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3.xml" ContentType="application/vnd.openxmlformats-officedocument.spreadsheetml.comments+xml"/>
  <Override PartName="/xl/drawings/drawing3.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threadedComments/threadedComment1.xml" ContentType="application/vnd.ms-excel.threadedcomments+xml"/>
  <Override PartName="/xl/drawings/drawing4.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defaultThemeVersion="124226"/>
  <mc:AlternateContent xmlns:mc="http://schemas.openxmlformats.org/markup-compatibility/2006">
    <mc:Choice Requires="x15">
      <x15ac:absPath xmlns:x15ac="http://schemas.microsoft.com/office/spreadsheetml/2010/11/ac" url="Y:\BUSINESS PLAN 2027-2031\"/>
    </mc:Choice>
  </mc:AlternateContent>
  <xr:revisionPtr revIDLastSave="0" documentId="13_ncr:1_{C8B36DB2-5ECF-4FDC-B66F-6E8A8A9FE0FF}" xr6:coauthVersionLast="47" xr6:coauthVersionMax="47" xr10:uidLastSave="{00000000-0000-0000-0000-000000000000}"/>
  <workbookProtection workbookPassword="EF75" lockStructure="1"/>
  <bookViews>
    <workbookView xWindow="-108" yWindow="-108" windowWidth="23256" windowHeight="12456" tabRatio="875" activeTab="3" xr2:uid="{00000000-000D-0000-FFFF-FFFF00000000}"/>
  </bookViews>
  <sheets>
    <sheet name="Приложение " sheetId="35" r:id="rId1"/>
    <sheet name="1. Обща информация" sheetId="5" r:id="rId2"/>
    <sheet name="2. Променливи" sheetId="1" r:id="rId3"/>
    <sheet name="3. Показатели за качество" sheetId="2" r:id="rId4"/>
    <sheet name="4. Отчет и прогн. потребление" sheetId="65" r:id="rId5"/>
    <sheet name="4.1. Фактурирани количества" sheetId="74" r:id="rId6"/>
    <sheet name="4.2. Продад. и закупени кол-ва" sheetId="76" r:id="rId7"/>
    <sheet name="5. Персонал" sheetId="60" r:id="rId8"/>
    <sheet name="6. Ел.Енергия" sheetId="39" r:id="rId9"/>
    <sheet name="7. Утайки от ПСОВ" sheetId="58" r:id="rId10"/>
    <sheet name="8. Ремонтна програма" sheetId="46" r:id="rId11"/>
    <sheet name="9.Инвестиционна програма" sheetId="41" r:id="rId12"/>
    <sheet name="10. Финансиране на ИП" sheetId="7" r:id="rId13"/>
    <sheet name="11. Амортиз. план" sheetId="50" r:id="rId14"/>
    <sheet name="11.1.Амортиз.нови активи" sheetId="51" r:id="rId15"/>
    <sheet name="11.2. ДА за периода" sheetId="62" r:id="rId16"/>
    <sheet name="11.3. ДА Базова година" sheetId="82" r:id="rId17"/>
    <sheet name="12. Разходи" sheetId="53" r:id="rId18"/>
    <sheet name="12.1. Разходи изменение" sheetId="73" r:id="rId19"/>
    <sheet name="12.2.Нови дейности или обекти" sheetId="77" r:id="rId20"/>
    <sheet name="13. Соц. поносимост" sheetId="16" r:id="rId21"/>
    <sheet name="14. ОПР" sheetId="47" r:id="rId22"/>
    <sheet name="15. ОПП" sheetId="48" r:id="rId23"/>
    <sheet name="16. Необходими приходи" sheetId="17" r:id="rId24"/>
    <sheet name="17. РБА" sheetId="49" r:id="rId25"/>
    <sheet name="18. OK" sheetId="20" r:id="rId26"/>
    <sheet name="19. HB" sheetId="21" r:id="rId27"/>
    <sheet name="20.Цени " sheetId="22" r:id="rId28"/>
    <sheet name="Анализ (ТЧ)" sheetId="78" state="hidden" r:id="rId29"/>
    <sheet name="Анализ (ТЧ€)" sheetId="83" state="hidden" r:id="rId30"/>
    <sheet name="Анализ (ОЧ)" sheetId="79" state="hidden" r:id="rId31"/>
    <sheet name="Анализ (ОЧ€)" sheetId="84" state="hidden" r:id="rId32"/>
    <sheet name="Анализ (ИЧ)" sheetId="67" state="hidden" r:id="rId33"/>
    <sheet name="Анализ (ИЧ€)" sheetId="85" state="hidden" r:id="rId34"/>
    <sheet name="Лист1" sheetId="68" r:id="rId35"/>
    <sheet name="Лист2" sheetId="80" r:id="rId36"/>
    <sheet name="Лист3" sheetId="81" r:id="rId37"/>
  </sheets>
  <externalReferences>
    <externalReference r:id="rId38"/>
    <externalReference r:id="rId39"/>
  </externalReferences>
  <definedNames>
    <definedName name="_xlnm._FilterDatabase" localSheetId="13" hidden="1">'11. Амортиз. план'!$B$1:$B$299</definedName>
    <definedName name="_xlnm._FilterDatabase" localSheetId="15" hidden="1">'11.2. ДА за периода'!$B$1:$CP$192</definedName>
    <definedName name="_xlnm._FilterDatabase" localSheetId="11" hidden="1">'9.Инвестиционна програма'!$B$1:$B$167</definedName>
    <definedName name="Year" localSheetId="16">#REF!</definedName>
    <definedName name="Year" localSheetId="5">#REF!</definedName>
    <definedName name="Year" localSheetId="33">#REF!</definedName>
    <definedName name="Year" localSheetId="30">#REF!</definedName>
    <definedName name="Year" localSheetId="31">#REF!</definedName>
    <definedName name="Year" localSheetId="29">#REF!</definedName>
    <definedName name="Year">#REF!</definedName>
    <definedName name="Z_0B349829_3F54_4163_960D_ECAFCC24CFC8_.wvu.PrintArea" localSheetId="20" hidden="1">'13. Соц. поносимост'!$A$1:$J$33</definedName>
    <definedName name="Z_0B349829_3F54_4163_960D_ECAFCC24CFC8_.wvu.PrintArea" localSheetId="2" hidden="1">'2. Променливи'!$B$1:$E$8</definedName>
    <definedName name="Z_0B349829_3F54_4163_960D_ECAFCC24CFC8_.wvu.PrintArea" localSheetId="3" hidden="1">'3. Показатели за качество'!$A$1:$J$7</definedName>
    <definedName name="Z_0B349829_3F54_4163_960D_ECAFCC24CFC8_.wvu.PrintArea" localSheetId="9" hidden="1">'7. Утайки от ПСОВ'!$A$1:$K$49</definedName>
    <definedName name="Z_40B752E9_F1B2_49B8_8062_4CC854FDABFB_.wvu.PrintArea" localSheetId="20" hidden="1">'13. Соц. поносимост'!$A$1:$J$33</definedName>
    <definedName name="Z_40B752E9_F1B2_49B8_8062_4CC854FDABFB_.wvu.PrintArea" localSheetId="2" hidden="1">'2. Променливи'!$B$1:$E$8</definedName>
    <definedName name="Z_40B752E9_F1B2_49B8_8062_4CC854FDABFB_.wvu.PrintArea" localSheetId="3" hidden="1">'3. Показатели за качество'!$A$1:$J$7</definedName>
    <definedName name="Z_40B752E9_F1B2_49B8_8062_4CC854FDABFB_.wvu.PrintArea" localSheetId="9" hidden="1">'7. Утайки от ПСОВ'!$A$1:$K$49</definedName>
    <definedName name="Z_E23DBFBB_7C2B_43B5_8169_5032323B5185_.wvu.PrintArea" localSheetId="20" hidden="1">'13. Соц. поносимост'!$A$1:$J$33</definedName>
    <definedName name="Z_E23DBFBB_7C2B_43B5_8169_5032323B5185_.wvu.PrintArea" localSheetId="2" hidden="1">'2. Променливи'!$B$1:$E$8</definedName>
    <definedName name="Z_E23DBFBB_7C2B_43B5_8169_5032323B5185_.wvu.PrintArea" localSheetId="3" hidden="1">'3. Показатели за качество'!$A$1:$J$7</definedName>
    <definedName name="Z_E23DBFBB_7C2B_43B5_8169_5032323B5185_.wvu.PrintArea" localSheetId="9" hidden="1">'7. Утайки от ПСОВ'!$A$1:$K$49</definedName>
    <definedName name="Амортизации" localSheetId="16" hidden="1">[1]Инвестиции!$A$43:$IV$43</definedName>
    <definedName name="Амортизации" localSheetId="9" hidden="1">[1]Инвестиции!$43:$43</definedName>
    <definedName name="Амортизации" hidden="1">[1]Инвестиции!$A$43:$IV$43</definedName>
    <definedName name="Амортизации_първа_год" localSheetId="16" hidden="1">[1]Инвестиции!$E$40</definedName>
    <definedName name="Амортизации_първа_год" localSheetId="9" hidden="1">[1]Инвестиции!$E$40</definedName>
    <definedName name="Амортизации_първа_год" hidden="1">[1]Инвестиции!$E$40</definedName>
    <definedName name="Брутна_печалба" localSheetId="1">#REF!</definedName>
    <definedName name="Брутна_печалба" localSheetId="12">#REF!</definedName>
    <definedName name="Брутна_печалба" localSheetId="16">#REF!</definedName>
    <definedName name="Брутна_печалба" localSheetId="20">#REF!</definedName>
    <definedName name="Брутна_печалба" localSheetId="21">#REF!</definedName>
    <definedName name="Брутна_печалба" localSheetId="22">#REF!</definedName>
    <definedName name="Брутна_печалба" localSheetId="24">#REF!</definedName>
    <definedName name="Брутна_печалба" localSheetId="4">#REF!</definedName>
    <definedName name="Брутна_печалба" localSheetId="8">#REF!</definedName>
    <definedName name="Брутна_печалба" localSheetId="9">#REF!</definedName>
    <definedName name="Брутна_печалба" localSheetId="10">#REF!</definedName>
    <definedName name="Брутна_печалба" localSheetId="11">#REF!</definedName>
    <definedName name="Брутна_печалба" localSheetId="33">#REF!</definedName>
    <definedName name="Брутна_печалба" localSheetId="30">#REF!</definedName>
    <definedName name="Брутна_печалба" localSheetId="31">#REF!</definedName>
    <definedName name="Брутна_печалба" localSheetId="29">#REF!</definedName>
    <definedName name="Брутна_печалба" localSheetId="0">#REF!</definedName>
    <definedName name="Брутна_печалба">#REF!</definedName>
    <definedName name="Вземания_по_ДДС" localSheetId="1">#REF!</definedName>
    <definedName name="Вземания_по_ДДС" localSheetId="12">#REF!</definedName>
    <definedName name="Вземания_по_ДДС" localSheetId="16">#REF!</definedName>
    <definedName name="Вземания_по_ДДС" localSheetId="20">#REF!</definedName>
    <definedName name="Вземания_по_ДДС" localSheetId="21">#REF!</definedName>
    <definedName name="Вземания_по_ДДС" localSheetId="22">#REF!</definedName>
    <definedName name="Вземания_по_ДДС" localSheetId="24">#REF!</definedName>
    <definedName name="Вземания_по_ДДС" localSheetId="4">#REF!</definedName>
    <definedName name="Вземания_по_ДДС" localSheetId="8">#REF!</definedName>
    <definedName name="Вземания_по_ДДС" localSheetId="9">#REF!</definedName>
    <definedName name="Вземания_по_ДДС" localSheetId="10">#REF!</definedName>
    <definedName name="Вземания_по_ДДС" localSheetId="11">#REF!</definedName>
    <definedName name="Вземания_по_ДДС" localSheetId="33">#REF!</definedName>
    <definedName name="Вземания_по_ДДС" localSheetId="30">#REF!</definedName>
    <definedName name="Вземания_по_ДДС" localSheetId="31">#REF!</definedName>
    <definedName name="Вземания_по_ДДС" localSheetId="29">#REF!</definedName>
    <definedName name="Вземания_по_ДДС" localSheetId="0">#REF!</definedName>
    <definedName name="Вземания_по_ДДС">#REF!</definedName>
    <definedName name="Вземания_по_получени_през_периода_съучастия" localSheetId="16" hidden="1">'[1]Собствен капитал'!$A$7:$IV$7</definedName>
    <definedName name="Вземания_по_получени_през_периода_съучастия" localSheetId="9" hidden="1">'[1]Собствен капитал'!$7:$7</definedName>
    <definedName name="Вземания_по_получени_през_периода_съучастия" hidden="1">'[1]Собствен капитал'!$A$7:$IV$7</definedName>
    <definedName name="Внесен_ДДС" localSheetId="1">#REF!</definedName>
    <definedName name="Внесен_ДДС" localSheetId="12">#REF!</definedName>
    <definedName name="Внесен_ДДС" localSheetId="16">#REF!</definedName>
    <definedName name="Внесен_ДДС" localSheetId="20">#REF!</definedName>
    <definedName name="Внесен_ДДС" localSheetId="21">#REF!</definedName>
    <definedName name="Внесен_ДДС" localSheetId="22">#REF!</definedName>
    <definedName name="Внесен_ДДС" localSheetId="24">#REF!</definedName>
    <definedName name="Внесен_ДДС" localSheetId="4">#REF!</definedName>
    <definedName name="Внесен_ДДС" localSheetId="8">#REF!</definedName>
    <definedName name="Внесен_ДДС" localSheetId="9">#REF!</definedName>
    <definedName name="Внесен_ДДС" localSheetId="10">#REF!</definedName>
    <definedName name="Внесен_ДДС" localSheetId="11">#REF!</definedName>
    <definedName name="Внесен_ДДС" localSheetId="33">#REF!</definedName>
    <definedName name="Внесен_ДДС" localSheetId="30">#REF!</definedName>
    <definedName name="Внесен_ДДС" localSheetId="31">#REF!</definedName>
    <definedName name="Внесен_ДДС" localSheetId="29">#REF!</definedName>
    <definedName name="Внесен_ДДС" localSheetId="0">#REF!</definedName>
    <definedName name="Внесен_ДДС">#REF!</definedName>
    <definedName name="ВС_1" localSheetId="1">#REF!</definedName>
    <definedName name="ВС_1" localSheetId="12">#REF!</definedName>
    <definedName name="ВС_1" localSheetId="16">#REF!</definedName>
    <definedName name="ВС_1" localSheetId="20">#REF!</definedName>
    <definedName name="ВС_1" localSheetId="21">#REF!</definedName>
    <definedName name="ВС_1" localSheetId="22">#REF!</definedName>
    <definedName name="ВС_1" localSheetId="24">#REF!</definedName>
    <definedName name="ВС_1" localSheetId="4">#REF!</definedName>
    <definedName name="ВС_1" localSheetId="8">#REF!</definedName>
    <definedName name="ВС_1" localSheetId="9">#REF!</definedName>
    <definedName name="ВС_1" localSheetId="10">#REF!</definedName>
    <definedName name="ВС_1" localSheetId="11">#REF!</definedName>
    <definedName name="ВС_1" localSheetId="33">#REF!</definedName>
    <definedName name="ВС_1" localSheetId="30">#REF!</definedName>
    <definedName name="ВС_1" localSheetId="31">#REF!</definedName>
    <definedName name="ВС_1" localSheetId="29">#REF!</definedName>
    <definedName name="ВС_1" localSheetId="0">#REF!</definedName>
    <definedName name="ВС_1">#REF!</definedName>
    <definedName name="ВС_2" localSheetId="1">#REF!</definedName>
    <definedName name="ВС_2" localSheetId="12">#REF!</definedName>
    <definedName name="ВС_2" localSheetId="16">#REF!</definedName>
    <definedName name="ВС_2" localSheetId="20">#REF!</definedName>
    <definedName name="ВС_2" localSheetId="21">#REF!</definedName>
    <definedName name="ВС_2" localSheetId="22">#REF!</definedName>
    <definedName name="ВС_2" localSheetId="24">#REF!</definedName>
    <definedName name="ВС_2" localSheetId="4">#REF!</definedName>
    <definedName name="ВС_2" localSheetId="8">#REF!</definedName>
    <definedName name="ВС_2" localSheetId="9">#REF!</definedName>
    <definedName name="ВС_2" localSheetId="10">#REF!</definedName>
    <definedName name="ВС_2" localSheetId="11">#REF!</definedName>
    <definedName name="ВС_2" localSheetId="33">#REF!</definedName>
    <definedName name="ВС_2" localSheetId="30">#REF!</definedName>
    <definedName name="ВС_2" localSheetId="31">#REF!</definedName>
    <definedName name="ВС_2" localSheetId="29">#REF!</definedName>
    <definedName name="ВС_2" localSheetId="0">#REF!</definedName>
    <definedName name="ВС_2">#REF!</definedName>
    <definedName name="ВС_3" localSheetId="1">#REF!</definedName>
    <definedName name="ВС_3" localSheetId="12">#REF!</definedName>
    <definedName name="ВС_3" localSheetId="16">#REF!</definedName>
    <definedName name="ВС_3" localSheetId="20">#REF!</definedName>
    <definedName name="ВС_3" localSheetId="21">#REF!</definedName>
    <definedName name="ВС_3" localSheetId="22">#REF!</definedName>
    <definedName name="ВС_3" localSheetId="24">#REF!</definedName>
    <definedName name="ВС_3" localSheetId="4">#REF!</definedName>
    <definedName name="ВС_3" localSheetId="8">#REF!</definedName>
    <definedName name="ВС_3" localSheetId="9">#REF!</definedName>
    <definedName name="ВС_3" localSheetId="10">#REF!</definedName>
    <definedName name="ВС_3" localSheetId="11">#REF!</definedName>
    <definedName name="ВС_3" localSheetId="33">#REF!</definedName>
    <definedName name="ВС_3" localSheetId="30">#REF!</definedName>
    <definedName name="ВС_3" localSheetId="31">#REF!</definedName>
    <definedName name="ВС_3" localSheetId="29">#REF!</definedName>
    <definedName name="ВС_3" localSheetId="0">#REF!</definedName>
    <definedName name="ВС_3">#REF!</definedName>
    <definedName name="ВС_4" localSheetId="1">#REF!</definedName>
    <definedName name="ВС_4" localSheetId="12">#REF!</definedName>
    <definedName name="ВС_4" localSheetId="16">#REF!</definedName>
    <definedName name="ВС_4" localSheetId="20">#REF!</definedName>
    <definedName name="ВС_4" localSheetId="21">#REF!</definedName>
    <definedName name="ВС_4" localSheetId="22">#REF!</definedName>
    <definedName name="ВС_4" localSheetId="24">#REF!</definedName>
    <definedName name="ВС_4" localSheetId="4">#REF!</definedName>
    <definedName name="ВС_4" localSheetId="8">#REF!</definedName>
    <definedName name="ВС_4" localSheetId="9">#REF!</definedName>
    <definedName name="ВС_4" localSheetId="10">#REF!</definedName>
    <definedName name="ВС_4" localSheetId="11">#REF!</definedName>
    <definedName name="ВС_4" localSheetId="33">#REF!</definedName>
    <definedName name="ВС_4" localSheetId="30">#REF!</definedName>
    <definedName name="ВС_4" localSheetId="31">#REF!</definedName>
    <definedName name="ВС_4" localSheetId="29">#REF!</definedName>
    <definedName name="ВС_4" localSheetId="0">#REF!</definedName>
    <definedName name="ВС_4">#REF!</definedName>
    <definedName name="ВС_5" localSheetId="1">#REF!</definedName>
    <definedName name="ВС_5" localSheetId="12">#REF!</definedName>
    <definedName name="ВС_5" localSheetId="16">#REF!</definedName>
    <definedName name="ВС_5" localSheetId="20">#REF!</definedName>
    <definedName name="ВС_5" localSheetId="21">#REF!</definedName>
    <definedName name="ВС_5" localSheetId="22">#REF!</definedName>
    <definedName name="ВС_5" localSheetId="24">#REF!</definedName>
    <definedName name="ВС_5" localSheetId="4">#REF!</definedName>
    <definedName name="ВС_5" localSheetId="8">#REF!</definedName>
    <definedName name="ВС_5" localSheetId="9">#REF!</definedName>
    <definedName name="ВС_5" localSheetId="10">#REF!</definedName>
    <definedName name="ВС_5" localSheetId="11">#REF!</definedName>
    <definedName name="ВС_5" localSheetId="33">#REF!</definedName>
    <definedName name="ВС_5" localSheetId="30">#REF!</definedName>
    <definedName name="ВС_5" localSheetId="31">#REF!</definedName>
    <definedName name="ВС_5" localSheetId="29">#REF!</definedName>
    <definedName name="ВС_5" localSheetId="0">#REF!</definedName>
    <definedName name="ВС_5">#REF!</definedName>
    <definedName name="Всичко_инвестиции" localSheetId="1">#REF!</definedName>
    <definedName name="Всичко_инвестиции" localSheetId="12">'10. Финансиране на ИП'!#REF!</definedName>
    <definedName name="Всичко_инвестиции" localSheetId="16">#REF!</definedName>
    <definedName name="Всичко_инвестиции" localSheetId="20">#REF!</definedName>
    <definedName name="Всичко_инвестиции" localSheetId="21">#REF!</definedName>
    <definedName name="Всичко_инвестиции" localSheetId="22">#REF!</definedName>
    <definedName name="Всичко_инвестиции" localSheetId="24">#REF!</definedName>
    <definedName name="Всичко_инвестиции" localSheetId="4">#REF!</definedName>
    <definedName name="Всичко_инвестиции" localSheetId="8">#REF!</definedName>
    <definedName name="Всичко_инвестиции" localSheetId="9">'[2]6. Инвестиции'!#REF!</definedName>
    <definedName name="Всичко_инвестиции" localSheetId="10">#REF!</definedName>
    <definedName name="Всичко_инвестиции" localSheetId="11">#REF!</definedName>
    <definedName name="Всичко_инвестиции" localSheetId="33">#REF!</definedName>
    <definedName name="Всичко_инвестиции" localSheetId="30">#REF!</definedName>
    <definedName name="Всичко_инвестиции" localSheetId="31">#REF!</definedName>
    <definedName name="Всичко_инвестиции" localSheetId="29">#REF!</definedName>
    <definedName name="Всичко_инвестиции" localSheetId="0">#REF!</definedName>
    <definedName name="Всичко_инвестиции">#REF!</definedName>
    <definedName name="Външни_услуги" localSheetId="1">#REF!</definedName>
    <definedName name="Външни_услуги" localSheetId="12">#REF!</definedName>
    <definedName name="Външни_услуги" localSheetId="16">#REF!</definedName>
    <definedName name="Външни_услуги" localSheetId="20">#REF!</definedName>
    <definedName name="Външни_услуги" localSheetId="21">#REF!</definedName>
    <definedName name="Външни_услуги" localSheetId="22">#REF!</definedName>
    <definedName name="Външни_услуги" localSheetId="24">#REF!</definedName>
    <definedName name="Външни_услуги" localSheetId="4">#REF!</definedName>
    <definedName name="Външни_услуги" localSheetId="8">#REF!</definedName>
    <definedName name="Външни_услуги" localSheetId="9">#REF!</definedName>
    <definedName name="Външни_услуги" localSheetId="10">#REF!</definedName>
    <definedName name="Външни_услуги" localSheetId="11">#REF!</definedName>
    <definedName name="Външни_услуги" localSheetId="33">#REF!</definedName>
    <definedName name="Външни_услуги" localSheetId="30">#REF!</definedName>
    <definedName name="Външни_услуги" localSheetId="31">#REF!</definedName>
    <definedName name="Външни_услуги" localSheetId="29">#REF!</definedName>
    <definedName name="Външни_услуги" localSheetId="0">#REF!</definedName>
    <definedName name="Външни_услуги">#REF!</definedName>
    <definedName name="Данъци" localSheetId="1">#REF!</definedName>
    <definedName name="Данъци" localSheetId="12">#REF!</definedName>
    <definedName name="Данъци" localSheetId="16">#REF!</definedName>
    <definedName name="Данъци" localSheetId="20">#REF!</definedName>
    <definedName name="Данъци" localSheetId="21">#REF!</definedName>
    <definedName name="Данъци" localSheetId="22">#REF!</definedName>
    <definedName name="Данъци" localSheetId="24">#REF!</definedName>
    <definedName name="Данъци" localSheetId="4">#REF!</definedName>
    <definedName name="Данъци" localSheetId="8">#REF!</definedName>
    <definedName name="Данъци" localSheetId="9">#REF!</definedName>
    <definedName name="Данъци" localSheetId="10">#REF!</definedName>
    <definedName name="Данъци" localSheetId="11">#REF!</definedName>
    <definedName name="Данъци" localSheetId="33">#REF!</definedName>
    <definedName name="Данъци" localSheetId="30">#REF!</definedName>
    <definedName name="Данъци" localSheetId="31">#REF!</definedName>
    <definedName name="Данъци" localSheetId="29">#REF!</definedName>
    <definedName name="Данъци" localSheetId="0">#REF!</definedName>
    <definedName name="Данъци">#REF!</definedName>
    <definedName name="Данъчен_период" localSheetId="1">#REF!</definedName>
    <definedName name="Данъчен_период" localSheetId="12">#REF!</definedName>
    <definedName name="Данъчен_период" localSheetId="16">#REF!</definedName>
    <definedName name="Данъчен_период" localSheetId="20">#REF!</definedName>
    <definedName name="Данъчен_период" localSheetId="21">#REF!</definedName>
    <definedName name="Данъчен_период" localSheetId="22">#REF!</definedName>
    <definedName name="Данъчен_период" localSheetId="24">#REF!</definedName>
    <definedName name="Данъчен_период" localSheetId="4">#REF!</definedName>
    <definedName name="Данъчен_период" localSheetId="8">#REF!</definedName>
    <definedName name="Данъчен_период" localSheetId="9">#REF!</definedName>
    <definedName name="Данъчен_период" localSheetId="10">#REF!</definedName>
    <definedName name="Данъчен_период" localSheetId="11">#REF!</definedName>
    <definedName name="Данъчен_период" localSheetId="33">#REF!</definedName>
    <definedName name="Данъчен_период" localSheetId="30">#REF!</definedName>
    <definedName name="Данъчен_период" localSheetId="31">#REF!</definedName>
    <definedName name="Данъчен_период" localSheetId="29">#REF!</definedName>
    <definedName name="Данъчен_период" localSheetId="0">#REF!</definedName>
    <definedName name="Данъчен_период">#REF!</definedName>
    <definedName name="Дни_на_оборот_на_запасите" localSheetId="1">#REF!</definedName>
    <definedName name="Дни_на_оборот_на_запасите" localSheetId="12">#REF!</definedName>
    <definedName name="Дни_на_оборот_на_запасите" localSheetId="16">#REF!</definedName>
    <definedName name="Дни_на_оборот_на_запасите" localSheetId="20">#REF!</definedName>
    <definedName name="Дни_на_оборот_на_запасите" localSheetId="21">#REF!</definedName>
    <definedName name="Дни_на_оборот_на_запасите" localSheetId="22">#REF!</definedName>
    <definedName name="Дни_на_оборот_на_запасите" localSheetId="24">#REF!</definedName>
    <definedName name="Дни_на_оборот_на_запасите" localSheetId="4">#REF!</definedName>
    <definedName name="Дни_на_оборот_на_запасите" localSheetId="8">#REF!</definedName>
    <definedName name="Дни_на_оборот_на_запасите" localSheetId="9">#REF!</definedName>
    <definedName name="Дни_на_оборот_на_запасите" localSheetId="10">#REF!</definedName>
    <definedName name="Дни_на_оборот_на_запасите" localSheetId="11">#REF!</definedName>
    <definedName name="Дни_на_оборот_на_запасите" localSheetId="33">#REF!</definedName>
    <definedName name="Дни_на_оборот_на_запасите" localSheetId="30">#REF!</definedName>
    <definedName name="Дни_на_оборот_на_запасите" localSheetId="31">#REF!</definedName>
    <definedName name="Дни_на_оборот_на_запасите" localSheetId="29">#REF!</definedName>
    <definedName name="Дни_на_оборот_на_запасите" localSheetId="0">#REF!</definedName>
    <definedName name="Дни_на_оборот_на_запасите">#REF!</definedName>
    <definedName name="Дял_на_продажбите_на_кредит" localSheetId="1">#REF!</definedName>
    <definedName name="Дял_на_продажбите_на_кредит" localSheetId="12">#REF!</definedName>
    <definedName name="Дял_на_продажбите_на_кредит" localSheetId="16">#REF!</definedName>
    <definedName name="Дял_на_продажбите_на_кредит" localSheetId="20">#REF!</definedName>
    <definedName name="Дял_на_продажбите_на_кредит" localSheetId="21">#REF!</definedName>
    <definedName name="Дял_на_продажбите_на_кредит" localSheetId="22">#REF!</definedName>
    <definedName name="Дял_на_продажбите_на_кредит" localSheetId="24">#REF!</definedName>
    <definedName name="Дял_на_продажбите_на_кредит" localSheetId="4">#REF!</definedName>
    <definedName name="Дял_на_продажбите_на_кредит" localSheetId="8">#REF!</definedName>
    <definedName name="Дял_на_продажбите_на_кредит" localSheetId="9">#REF!</definedName>
    <definedName name="Дял_на_продажбите_на_кредит" localSheetId="10">#REF!</definedName>
    <definedName name="Дял_на_продажбите_на_кредит" localSheetId="11">#REF!</definedName>
    <definedName name="Дял_на_продажбите_на_кредит" localSheetId="33">#REF!</definedName>
    <definedName name="Дял_на_продажбите_на_кредит" localSheetId="30">#REF!</definedName>
    <definedName name="Дял_на_продажбите_на_кредит" localSheetId="31">#REF!</definedName>
    <definedName name="Дял_на_продажбите_на_кредит" localSheetId="29">#REF!</definedName>
    <definedName name="Дял_на_продажбите_на_кредит" localSheetId="0">#REF!</definedName>
    <definedName name="Дял_на_продажбите_на_кредит">#REF!</definedName>
    <definedName name="Електроенергия" localSheetId="16" hidden="1">[1]Себестойност!$A$124:$IV$124</definedName>
    <definedName name="Електроенергия" localSheetId="9" hidden="1">[1]Себестойност!$124:$124</definedName>
    <definedName name="Електроенергия" hidden="1">[1]Себестойност!$A$124:$IV$124</definedName>
    <definedName name="Задължения_по_ДДС" localSheetId="1">#REF!</definedName>
    <definedName name="Задължения_по_ДДС" localSheetId="12">#REF!</definedName>
    <definedName name="Задължения_по_ДДС" localSheetId="16">#REF!</definedName>
    <definedName name="Задължения_по_ДДС" localSheetId="20">#REF!</definedName>
    <definedName name="Задължения_по_ДДС" localSheetId="21">#REF!</definedName>
    <definedName name="Задължения_по_ДДС" localSheetId="22">#REF!</definedName>
    <definedName name="Задължения_по_ДДС" localSheetId="24">#REF!</definedName>
    <definedName name="Задължения_по_ДДС" localSheetId="4">#REF!</definedName>
    <definedName name="Задължения_по_ДДС" localSheetId="8">#REF!</definedName>
    <definedName name="Задължения_по_ДДС" localSheetId="9">#REF!</definedName>
    <definedName name="Задължения_по_ДДС" localSheetId="10">#REF!</definedName>
    <definedName name="Задължения_по_ДДС" localSheetId="11">#REF!</definedName>
    <definedName name="Задължения_по_ДДС" localSheetId="33">#REF!</definedName>
    <definedName name="Задължения_по_ДДС" localSheetId="30">#REF!</definedName>
    <definedName name="Задължения_по_ДДС" localSheetId="31">#REF!</definedName>
    <definedName name="Задължения_по_ДДС" localSheetId="29">#REF!</definedName>
    <definedName name="Задължения_по_ДДС" localSheetId="0">#REF!</definedName>
    <definedName name="Задължения_по_ДДС">#REF!</definedName>
    <definedName name="Зона_1" localSheetId="1">#REF!</definedName>
    <definedName name="Зона_1" localSheetId="12">#REF!</definedName>
    <definedName name="Зона_1" localSheetId="16">#REF!</definedName>
    <definedName name="Зона_1" localSheetId="20">#REF!</definedName>
    <definedName name="Зона_1" localSheetId="21">#REF!</definedName>
    <definedName name="Зона_1" localSheetId="22">#REF!</definedName>
    <definedName name="Зона_1" localSheetId="24">#REF!</definedName>
    <definedName name="Зона_1" localSheetId="4">#REF!</definedName>
    <definedName name="Зона_1" localSheetId="8">#REF!</definedName>
    <definedName name="Зона_1" localSheetId="9">#REF!</definedName>
    <definedName name="Зона_1" localSheetId="10">#REF!</definedName>
    <definedName name="Зона_1" localSheetId="11">#REF!</definedName>
    <definedName name="Зона_1" localSheetId="33">#REF!</definedName>
    <definedName name="Зона_1" localSheetId="30">#REF!</definedName>
    <definedName name="Зона_1" localSheetId="31">#REF!</definedName>
    <definedName name="Зона_1" localSheetId="29">#REF!</definedName>
    <definedName name="Зона_1" localSheetId="0">#REF!</definedName>
    <definedName name="Зона_1">#REF!</definedName>
    <definedName name="Зона_2" localSheetId="1">#REF!</definedName>
    <definedName name="Зона_2" localSheetId="12">#REF!</definedName>
    <definedName name="Зона_2" localSheetId="16">#REF!</definedName>
    <definedName name="Зона_2" localSheetId="20">#REF!</definedName>
    <definedName name="Зона_2" localSheetId="21">#REF!</definedName>
    <definedName name="Зона_2" localSheetId="22">#REF!</definedName>
    <definedName name="Зона_2" localSheetId="24">#REF!</definedName>
    <definedName name="Зона_2" localSheetId="4">#REF!</definedName>
    <definedName name="Зона_2" localSheetId="8">#REF!</definedName>
    <definedName name="Зона_2" localSheetId="9">#REF!</definedName>
    <definedName name="Зона_2" localSheetId="10">#REF!</definedName>
    <definedName name="Зона_2" localSheetId="11">#REF!</definedName>
    <definedName name="Зона_2" localSheetId="33">#REF!</definedName>
    <definedName name="Зона_2" localSheetId="30">#REF!</definedName>
    <definedName name="Зона_2" localSheetId="31">#REF!</definedName>
    <definedName name="Зона_2" localSheetId="29">#REF!</definedName>
    <definedName name="Зона_2" localSheetId="0">#REF!</definedName>
    <definedName name="Зона_2">#REF!</definedName>
    <definedName name="Зона_3" localSheetId="1">#REF!</definedName>
    <definedName name="Зона_3" localSheetId="12">#REF!</definedName>
    <definedName name="Зона_3" localSheetId="16">#REF!</definedName>
    <definedName name="Зона_3" localSheetId="20">#REF!</definedName>
    <definedName name="Зона_3" localSheetId="21">#REF!</definedName>
    <definedName name="Зона_3" localSheetId="22">#REF!</definedName>
    <definedName name="Зона_3" localSheetId="24">#REF!</definedName>
    <definedName name="Зона_3" localSheetId="4">#REF!</definedName>
    <definedName name="Зона_3" localSheetId="8">#REF!</definedName>
    <definedName name="Зона_3" localSheetId="9">#REF!</definedName>
    <definedName name="Зона_3" localSheetId="10">#REF!</definedName>
    <definedName name="Зона_3" localSheetId="11">#REF!</definedName>
    <definedName name="Зона_3" localSheetId="33">#REF!</definedName>
    <definedName name="Зона_3" localSheetId="30">#REF!</definedName>
    <definedName name="Зона_3" localSheetId="31">#REF!</definedName>
    <definedName name="Зона_3" localSheetId="29">#REF!</definedName>
    <definedName name="Зона_3" localSheetId="0">#REF!</definedName>
    <definedName name="Зона_3">#REF!</definedName>
    <definedName name="Зона_4" localSheetId="1">#REF!</definedName>
    <definedName name="Зона_4" localSheetId="12">#REF!</definedName>
    <definedName name="Зона_4" localSheetId="16">#REF!</definedName>
    <definedName name="Зона_4" localSheetId="20">#REF!</definedName>
    <definedName name="Зона_4" localSheetId="21">#REF!</definedName>
    <definedName name="Зона_4" localSheetId="22">#REF!</definedName>
    <definedName name="Зона_4" localSheetId="24">#REF!</definedName>
    <definedName name="Зона_4" localSheetId="4">#REF!</definedName>
    <definedName name="Зона_4" localSheetId="8">#REF!</definedName>
    <definedName name="Зона_4" localSheetId="9">#REF!</definedName>
    <definedName name="Зона_4" localSheetId="10">#REF!</definedName>
    <definedName name="Зона_4" localSheetId="11">#REF!</definedName>
    <definedName name="Зона_4" localSheetId="33">#REF!</definedName>
    <definedName name="Зона_4" localSheetId="30">#REF!</definedName>
    <definedName name="Зона_4" localSheetId="31">#REF!</definedName>
    <definedName name="Зона_4" localSheetId="29">#REF!</definedName>
    <definedName name="Зона_4" localSheetId="0">#REF!</definedName>
    <definedName name="Зона_4">#REF!</definedName>
    <definedName name="Зона_5" localSheetId="1">#REF!</definedName>
    <definedName name="Зона_5" localSheetId="12">#REF!</definedName>
    <definedName name="Зона_5" localSheetId="16">#REF!</definedName>
    <definedName name="Зона_5" localSheetId="20">#REF!</definedName>
    <definedName name="Зона_5" localSheetId="21">#REF!</definedName>
    <definedName name="Зона_5" localSheetId="22">#REF!</definedName>
    <definedName name="Зона_5" localSheetId="24">#REF!</definedName>
    <definedName name="Зона_5" localSheetId="4">#REF!</definedName>
    <definedName name="Зона_5" localSheetId="8">#REF!</definedName>
    <definedName name="Зона_5" localSheetId="9">#REF!</definedName>
    <definedName name="Зона_5" localSheetId="10">#REF!</definedName>
    <definedName name="Зона_5" localSheetId="11">#REF!</definedName>
    <definedName name="Зона_5" localSheetId="33">#REF!</definedName>
    <definedName name="Зона_5" localSheetId="30">#REF!</definedName>
    <definedName name="Зона_5" localSheetId="31">#REF!</definedName>
    <definedName name="Зона_5" localSheetId="29">#REF!</definedName>
    <definedName name="Зона_5" localSheetId="0">#REF!</definedName>
    <definedName name="Зона_5">#REF!</definedName>
    <definedName name="Лихви" localSheetId="1">#REF!</definedName>
    <definedName name="Лихви" localSheetId="12">#REF!</definedName>
    <definedName name="Лихви" localSheetId="16">#REF!</definedName>
    <definedName name="Лихви" localSheetId="20">#REF!</definedName>
    <definedName name="Лихви" localSheetId="21">#REF!</definedName>
    <definedName name="Лихви" localSheetId="22">#REF!</definedName>
    <definedName name="Лихви" localSheetId="24">#REF!</definedName>
    <definedName name="Лихви" localSheetId="4">#REF!</definedName>
    <definedName name="Лихви" localSheetId="8">#REF!</definedName>
    <definedName name="Лихви" localSheetId="9">#REF!</definedName>
    <definedName name="Лихви" localSheetId="10">#REF!</definedName>
    <definedName name="Лихви" localSheetId="11">#REF!</definedName>
    <definedName name="Лихви" localSheetId="33">#REF!</definedName>
    <definedName name="Лихви" localSheetId="30">#REF!</definedName>
    <definedName name="Лихви" localSheetId="31">#REF!</definedName>
    <definedName name="Лихви" localSheetId="29">#REF!</definedName>
    <definedName name="Лихви" localSheetId="0">#REF!</definedName>
    <definedName name="Лихви">#REF!</definedName>
    <definedName name="Материали" localSheetId="1">#REF!</definedName>
    <definedName name="Материали" localSheetId="12">#REF!</definedName>
    <definedName name="Материали" localSheetId="16">#REF!</definedName>
    <definedName name="Материали" localSheetId="20">#REF!</definedName>
    <definedName name="Материали" localSheetId="21">#REF!</definedName>
    <definedName name="Материали" localSheetId="22">#REF!</definedName>
    <definedName name="Материали" localSheetId="24">#REF!</definedName>
    <definedName name="Материали" localSheetId="4">#REF!</definedName>
    <definedName name="Материали" localSheetId="8">#REF!</definedName>
    <definedName name="Материали" localSheetId="9">#REF!</definedName>
    <definedName name="Материали" localSheetId="10">#REF!</definedName>
    <definedName name="Материали" localSheetId="11">#REF!</definedName>
    <definedName name="Материали" localSheetId="33">#REF!</definedName>
    <definedName name="Материали" localSheetId="30">#REF!</definedName>
    <definedName name="Материали" localSheetId="31">#REF!</definedName>
    <definedName name="Материали" localSheetId="29">#REF!</definedName>
    <definedName name="Материали" localSheetId="0">#REF!</definedName>
    <definedName name="Материали">#REF!</definedName>
    <definedName name="Намаление_на_собствения_капитал" localSheetId="16" hidden="1">'[1]Собствен капитал'!$A$6:$IV$6</definedName>
    <definedName name="Намаление_на_собствения_капитал" localSheetId="9" hidden="1">'[1]Собствен капитал'!$6:$6</definedName>
    <definedName name="Намаление_на_собствения_капитал" hidden="1">'[1]Собствен капитал'!$A$6:$IV$6</definedName>
    <definedName name="Намаление_на_финансиранията" localSheetId="1">#REF!</definedName>
    <definedName name="Намаление_на_финансиранията" localSheetId="12">#REF!</definedName>
    <definedName name="Намаление_на_финансиранията" localSheetId="16">#REF!</definedName>
    <definedName name="Намаление_на_финансиранията" localSheetId="20">#REF!</definedName>
    <definedName name="Намаление_на_финансиранията" localSheetId="21">#REF!</definedName>
    <definedName name="Намаление_на_финансиранията" localSheetId="22">#REF!</definedName>
    <definedName name="Намаление_на_финансиранията" localSheetId="24">#REF!</definedName>
    <definedName name="Намаление_на_финансиранията" localSheetId="4">#REF!</definedName>
    <definedName name="Намаление_на_финансиранията" localSheetId="8">#REF!</definedName>
    <definedName name="Намаление_на_финансиранията" localSheetId="9">#REF!</definedName>
    <definedName name="Намаление_на_финансиранията" localSheetId="10">#REF!</definedName>
    <definedName name="Намаление_на_финансиранията" localSheetId="11">#REF!</definedName>
    <definedName name="Намаление_на_финансиранията" localSheetId="33">#REF!</definedName>
    <definedName name="Намаление_на_финансиранията" localSheetId="30">#REF!</definedName>
    <definedName name="Намаление_на_финансиранията" localSheetId="31">#REF!</definedName>
    <definedName name="Намаление_на_финансиранията" localSheetId="29">#REF!</definedName>
    <definedName name="Намаление_на_финансиранията" localSheetId="0">#REF!</definedName>
    <definedName name="Намаление_на_финансиранията">#REF!</definedName>
    <definedName name="Начална_година" localSheetId="1">#REF!</definedName>
    <definedName name="Начална_година" localSheetId="12">#REF!</definedName>
    <definedName name="Начална_година" localSheetId="16">#REF!</definedName>
    <definedName name="Начална_година" localSheetId="20">#REF!</definedName>
    <definedName name="Начална_година" localSheetId="21">#REF!</definedName>
    <definedName name="Начална_година" localSheetId="22">#REF!</definedName>
    <definedName name="Начална_година" localSheetId="24">#REF!</definedName>
    <definedName name="Начална_година" localSheetId="4">#REF!</definedName>
    <definedName name="Начална_година" localSheetId="8">#REF!</definedName>
    <definedName name="Начална_година" localSheetId="9">#REF!</definedName>
    <definedName name="Начална_година" localSheetId="10">#REF!</definedName>
    <definedName name="Начална_година" localSheetId="11">#REF!</definedName>
    <definedName name="Начална_година" localSheetId="33">#REF!</definedName>
    <definedName name="Начална_година" localSheetId="30">#REF!</definedName>
    <definedName name="Начална_година" localSheetId="31">#REF!</definedName>
    <definedName name="Начална_година" localSheetId="29">#REF!</definedName>
    <definedName name="Начална_година" localSheetId="0">#REF!</definedName>
    <definedName name="Начална_година">#REF!</definedName>
    <definedName name="_xlnm.Print_Area" localSheetId="1">'1. Обща информация'!$A$1:$D$50</definedName>
    <definedName name="_xlnm.Print_Area" localSheetId="12">'10. Финансиране на ИП'!$A$1:$AX$87</definedName>
    <definedName name="_xlnm.Print_Area" localSheetId="13">'11. Амортиз. план'!$A$1:$AO$294</definedName>
    <definedName name="_xlnm.Print_Area" localSheetId="14">'11.1.Амортиз.нови активи'!$A$1:$AT$122</definedName>
    <definedName name="_xlnm.Print_Area" localSheetId="15">'11.2. ДА за периода'!$A$1:$AT$191</definedName>
    <definedName name="_xlnm.Print_Area" localSheetId="16">'11.3. ДА Базова година'!$A$1:$X$241</definedName>
    <definedName name="_xlnm.Print_Area" localSheetId="17">'12. Разходи'!$A$1:$BH$95,'12. Разходи'!$A$96:$Z$122</definedName>
    <definedName name="_xlnm.Print_Area" localSheetId="18">'12.1. Разходи изменение'!$A$1:$BE$95,'12.1. Разходи изменение'!$A$97:$AT$112</definedName>
    <definedName name="_xlnm.Print_Area" localSheetId="19">'12.2.Нови дейности или обекти'!$A$1:$AA$155</definedName>
    <definedName name="_xlnm.Print_Area" localSheetId="20">'13. Соц. поносимост'!$A$1:$I$27</definedName>
    <definedName name="_xlnm.Print_Area" localSheetId="21">'14. ОПР'!$A$1:$G$51</definedName>
    <definedName name="_xlnm.Print_Area" localSheetId="22">'15. ОПП'!$A$1:$G$55</definedName>
    <definedName name="_xlnm.Print_Area" localSheetId="23">'16. Необходими приходи'!$A$1:$H$70</definedName>
    <definedName name="_xlnm.Print_Area" localSheetId="24">'17. РБА'!$A$1:$G$86</definedName>
    <definedName name="_xlnm.Print_Area" localSheetId="25">'18. OK'!$A$1:$H$38</definedName>
    <definedName name="_xlnm.Print_Area" localSheetId="26">'19. HB'!$A$1:$H$37</definedName>
    <definedName name="_xlnm.Print_Area" localSheetId="27">'20.Цени '!$A$2:$N$30</definedName>
    <definedName name="_xlnm.Print_Area" localSheetId="3">'3. Показатели за качество'!$A$1:$V$56</definedName>
    <definedName name="_xlnm.Print_Area" localSheetId="4">'4. Отчет и прогн. потребление'!$A$1:$I$123</definedName>
    <definedName name="_xlnm.Print_Area" localSheetId="5">'4.1. Фактурирани количества'!$A$1:$M$139</definedName>
    <definedName name="_xlnm.Print_Area" localSheetId="9">'7. Утайки от ПСОВ'!$A$1:$K$50</definedName>
    <definedName name="_xlnm.Print_Area" localSheetId="10">'8. Ремонтна програма'!$A$1:$V$165</definedName>
    <definedName name="_xlnm.Print_Area" localSheetId="11">'9.Инвестиционна програма'!$A$1:$AX$157</definedName>
    <definedName name="Общо_разходи_за_заплати" localSheetId="1">#REF!</definedName>
    <definedName name="Общо_разходи_за_заплати" localSheetId="12">#REF!</definedName>
    <definedName name="Общо_разходи_за_заплати" localSheetId="16">#REF!</definedName>
    <definedName name="Общо_разходи_за_заплати" localSheetId="20">#REF!</definedName>
    <definedName name="Общо_разходи_за_заплати" localSheetId="21">#REF!</definedName>
    <definedName name="Общо_разходи_за_заплати" localSheetId="22">#REF!</definedName>
    <definedName name="Общо_разходи_за_заплати" localSheetId="24">#REF!</definedName>
    <definedName name="Общо_разходи_за_заплати" localSheetId="4">#REF!</definedName>
    <definedName name="Общо_разходи_за_заплати" localSheetId="8">#REF!</definedName>
    <definedName name="Общо_разходи_за_заплати" localSheetId="9">#REF!</definedName>
    <definedName name="Общо_разходи_за_заплати" localSheetId="10">#REF!</definedName>
    <definedName name="Общо_разходи_за_заплати" localSheetId="11">#REF!</definedName>
    <definedName name="Общо_разходи_за_заплати" localSheetId="33">#REF!</definedName>
    <definedName name="Общо_разходи_за_заплати" localSheetId="30">#REF!</definedName>
    <definedName name="Общо_разходи_за_заплати" localSheetId="31">#REF!</definedName>
    <definedName name="Общо_разходи_за_заплати" localSheetId="29">#REF!</definedName>
    <definedName name="Общо_разходи_за_заплати" localSheetId="0">#REF!</definedName>
    <definedName name="Общо_разходи_за_заплати">#REF!</definedName>
    <definedName name="Отчетна_стойност_на_продадените_стоки" localSheetId="16" hidden="1">[1]Себестойност!$A$125:$IV$125</definedName>
    <definedName name="Отчетна_стойност_на_продадените_стоки" localSheetId="9" hidden="1">[1]Себестойност!$125:$125</definedName>
    <definedName name="Отчетна_стойност_на_продадените_стоки" hidden="1">[1]Себестойност!$A$125:$IV$125</definedName>
    <definedName name="Печалба_загуба" localSheetId="1">#REF!</definedName>
    <definedName name="Печалба_загуба" localSheetId="12">#REF!</definedName>
    <definedName name="Печалба_загуба" localSheetId="16">#REF!</definedName>
    <definedName name="Печалба_загуба" localSheetId="20">#REF!</definedName>
    <definedName name="Печалба_загуба" localSheetId="21">#REF!</definedName>
    <definedName name="Печалба_загуба" localSheetId="22">#REF!</definedName>
    <definedName name="Печалба_загуба" localSheetId="24">#REF!</definedName>
    <definedName name="Печалба_загуба" localSheetId="4">#REF!</definedName>
    <definedName name="Печалба_загуба" localSheetId="8">#REF!</definedName>
    <definedName name="Печалба_загуба" localSheetId="9">#REF!</definedName>
    <definedName name="Печалба_загуба" localSheetId="10">#REF!</definedName>
    <definedName name="Печалба_загуба" localSheetId="11">#REF!</definedName>
    <definedName name="Печалба_загуба" localSheetId="33">#REF!</definedName>
    <definedName name="Печалба_загуба" localSheetId="30">#REF!</definedName>
    <definedName name="Печалба_загуба" localSheetId="31">#REF!</definedName>
    <definedName name="Печалба_загуба" localSheetId="29">#REF!</definedName>
    <definedName name="Печалба_загуба" localSheetId="0">#REF!</definedName>
    <definedName name="Печалба_загуба">#REF!</definedName>
    <definedName name="_xlnm.Print_Titles" localSheetId="12">'10. Финансиране на ИП'!$A:$B</definedName>
    <definedName name="_xlnm.Print_Titles" localSheetId="13">'11. Амортиз. план'!$A:$D,'11. Амортиз. план'!$7:$8</definedName>
    <definedName name="_xlnm.Print_Titles" localSheetId="14">'11.1.Амортиз.нови активи'!$A:$D,'11.1.Амортиз.нови активи'!$9:$10</definedName>
    <definedName name="_xlnm.Print_Titles" localSheetId="15">'11.2. ДА за периода'!$A:$D,'11.2. ДА за периода'!$8:$9</definedName>
    <definedName name="_xlnm.Print_Titles" localSheetId="16">'11.3. ДА Базова година'!$7:$9</definedName>
    <definedName name="_xlnm.Print_Titles" localSheetId="17">'12. Разходи'!$A:$B,'12. Разходи'!$8:$10</definedName>
    <definedName name="_xlnm.Print_Titles" localSheetId="18">'12.1. Разходи изменение'!$A:$B,'12.1. Разходи изменение'!$7:$10</definedName>
    <definedName name="_xlnm.Print_Titles" localSheetId="19">'12.2.Нови дейности или обекти'!$A:$B</definedName>
    <definedName name="_xlnm.Print_Titles" localSheetId="2">'2. Променливи'!$7:$8</definedName>
    <definedName name="_xlnm.Print_Titles" localSheetId="4">'4. Отчет и прогн. потребление'!$7:$7</definedName>
    <definedName name="_xlnm.Print_Titles" localSheetId="5">'4.1. Фактурирани количества'!$7:$8</definedName>
    <definedName name="_xlnm.Print_Titles" localSheetId="6">'4.2. Продад. и закупени кол-ва'!$7:$7</definedName>
    <definedName name="_xlnm.Print_Titles" localSheetId="7">'5. Персонал'!$A:$B,'5. Персонал'!$7:$9</definedName>
    <definedName name="_xlnm.Print_Titles" localSheetId="10">'8. Ремонтна програма'!$7:$8</definedName>
    <definedName name="_xlnm.Print_Titles" localSheetId="11">'9.Инвестиционна програма'!$A:$E,'9.Инвестиционна програма'!$8:$9</definedName>
    <definedName name="Платен_ДДС" localSheetId="1">#REF!</definedName>
    <definedName name="Платен_ДДС" localSheetId="12">#REF!</definedName>
    <definedName name="Платен_ДДС" localSheetId="16">#REF!</definedName>
    <definedName name="Платен_ДДС" localSheetId="20">#REF!</definedName>
    <definedName name="Платен_ДДС" localSheetId="21">#REF!</definedName>
    <definedName name="Платен_ДДС" localSheetId="22">#REF!</definedName>
    <definedName name="Платен_ДДС" localSheetId="24">#REF!</definedName>
    <definedName name="Платен_ДДС" localSheetId="4">#REF!</definedName>
    <definedName name="Платен_ДДС" localSheetId="8">#REF!</definedName>
    <definedName name="Платен_ДДС" localSheetId="9">#REF!</definedName>
    <definedName name="Платен_ДДС" localSheetId="10">#REF!</definedName>
    <definedName name="Платен_ДДС" localSheetId="11">#REF!</definedName>
    <definedName name="Платен_ДДС" localSheetId="33">#REF!</definedName>
    <definedName name="Платен_ДДС" localSheetId="30">#REF!</definedName>
    <definedName name="Платен_ДДС" localSheetId="31">#REF!</definedName>
    <definedName name="Платен_ДДС" localSheetId="29">#REF!</definedName>
    <definedName name="Платен_ДДС" localSheetId="0">#REF!</definedName>
    <definedName name="Платен_ДДС">#REF!</definedName>
    <definedName name="Погасяване_главници_ДЗ" localSheetId="1">#REF!</definedName>
    <definedName name="Погасяване_главници_ДЗ" localSheetId="12">#REF!</definedName>
    <definedName name="Погасяване_главници_ДЗ" localSheetId="16">#REF!</definedName>
    <definedName name="Погасяване_главници_ДЗ" localSheetId="20">#REF!</definedName>
    <definedName name="Погасяване_главници_ДЗ" localSheetId="21">#REF!</definedName>
    <definedName name="Погасяване_главници_ДЗ" localSheetId="22">#REF!</definedName>
    <definedName name="Погасяване_главници_ДЗ" localSheetId="24">#REF!</definedName>
    <definedName name="Погасяване_главници_ДЗ" localSheetId="4">#REF!</definedName>
    <definedName name="Погасяване_главници_ДЗ" localSheetId="8">#REF!</definedName>
    <definedName name="Погасяване_главници_ДЗ" localSheetId="9">#REF!</definedName>
    <definedName name="Погасяване_главници_ДЗ" localSheetId="10">#REF!</definedName>
    <definedName name="Погасяване_главници_ДЗ" localSheetId="11">#REF!</definedName>
    <definedName name="Погасяване_главници_ДЗ" localSheetId="33">#REF!</definedName>
    <definedName name="Погасяване_главници_ДЗ" localSheetId="30">#REF!</definedName>
    <definedName name="Погасяване_главници_ДЗ" localSheetId="31">#REF!</definedName>
    <definedName name="Погасяване_главници_ДЗ" localSheetId="29">#REF!</definedName>
    <definedName name="Погасяване_главници_ДЗ" localSheetId="0">#REF!</definedName>
    <definedName name="Погасяване_главници_ДЗ">#REF!</definedName>
    <definedName name="Погасяване_главници_КЗ" localSheetId="1">#REF!</definedName>
    <definedName name="Погасяване_главници_КЗ" localSheetId="12">#REF!</definedName>
    <definedName name="Погасяване_главници_КЗ" localSheetId="16">#REF!</definedName>
    <definedName name="Погасяване_главници_КЗ" localSheetId="20">#REF!</definedName>
    <definedName name="Погасяване_главници_КЗ" localSheetId="21">#REF!</definedName>
    <definedName name="Погасяване_главници_КЗ" localSheetId="22">#REF!</definedName>
    <definedName name="Погасяване_главници_КЗ" localSheetId="24">#REF!</definedName>
    <definedName name="Погасяване_главници_КЗ" localSheetId="4">#REF!</definedName>
    <definedName name="Погасяване_главници_КЗ" localSheetId="8">#REF!</definedName>
    <definedName name="Погасяване_главници_КЗ" localSheetId="9">#REF!</definedName>
    <definedName name="Погасяване_главници_КЗ" localSheetId="10">#REF!</definedName>
    <definedName name="Погасяване_главници_КЗ" localSheetId="11">#REF!</definedName>
    <definedName name="Погасяване_главници_КЗ" localSheetId="33">#REF!</definedName>
    <definedName name="Погасяване_главници_КЗ" localSheetId="30">#REF!</definedName>
    <definedName name="Погасяване_главници_КЗ" localSheetId="31">#REF!</definedName>
    <definedName name="Погасяване_главници_КЗ" localSheetId="29">#REF!</definedName>
    <definedName name="Погасяване_главници_КЗ" localSheetId="0">#REF!</definedName>
    <definedName name="Погасяване_главници_КЗ">#REF!</definedName>
    <definedName name="Погасяване_главници_ОЗ" localSheetId="1">#REF!</definedName>
    <definedName name="Погасяване_главници_ОЗ" localSheetId="12">#REF!</definedName>
    <definedName name="Погасяване_главници_ОЗ" localSheetId="16">#REF!</definedName>
    <definedName name="Погасяване_главници_ОЗ" localSheetId="20">#REF!</definedName>
    <definedName name="Погасяване_главници_ОЗ" localSheetId="21">#REF!</definedName>
    <definedName name="Погасяване_главници_ОЗ" localSheetId="22">#REF!</definedName>
    <definedName name="Погасяване_главници_ОЗ" localSheetId="24">#REF!</definedName>
    <definedName name="Погасяване_главници_ОЗ" localSheetId="4">#REF!</definedName>
    <definedName name="Погасяване_главници_ОЗ" localSheetId="8">#REF!</definedName>
    <definedName name="Погасяване_главници_ОЗ" localSheetId="9">#REF!</definedName>
    <definedName name="Погасяване_главници_ОЗ" localSheetId="10">#REF!</definedName>
    <definedName name="Погасяване_главници_ОЗ" localSheetId="11">#REF!</definedName>
    <definedName name="Погасяване_главници_ОЗ" localSheetId="33">#REF!</definedName>
    <definedName name="Погасяване_главници_ОЗ" localSheetId="30">#REF!</definedName>
    <definedName name="Погасяване_главници_ОЗ" localSheetId="31">#REF!</definedName>
    <definedName name="Погасяване_главници_ОЗ" localSheetId="29">#REF!</definedName>
    <definedName name="Погасяване_главници_ОЗ" localSheetId="0">#REF!</definedName>
    <definedName name="Погасяване_главници_ОЗ">#REF!</definedName>
    <definedName name="Получен_ДДС_от_бюджета_през_периода" localSheetId="1">#REF!</definedName>
    <definedName name="Получен_ДДС_от_бюджета_през_периода" localSheetId="12">#REF!</definedName>
    <definedName name="Получен_ДДС_от_бюджета_през_периода" localSheetId="16">#REF!</definedName>
    <definedName name="Получен_ДДС_от_бюджета_през_периода" localSheetId="20">#REF!</definedName>
    <definedName name="Получен_ДДС_от_бюджета_през_периода" localSheetId="21">#REF!</definedName>
    <definedName name="Получен_ДДС_от_бюджета_през_периода" localSheetId="22">#REF!</definedName>
    <definedName name="Получен_ДДС_от_бюджета_през_периода" localSheetId="24">#REF!</definedName>
    <definedName name="Получен_ДДС_от_бюджета_през_периода" localSheetId="4">#REF!</definedName>
    <definedName name="Получен_ДДС_от_бюджета_през_периода" localSheetId="8">#REF!</definedName>
    <definedName name="Получен_ДДС_от_бюджета_през_периода" localSheetId="9">#REF!</definedName>
    <definedName name="Получен_ДДС_от_бюджета_през_периода" localSheetId="10">#REF!</definedName>
    <definedName name="Получен_ДДС_от_бюджета_през_периода" localSheetId="11">#REF!</definedName>
    <definedName name="Получен_ДДС_от_бюджета_през_периода" localSheetId="33">#REF!</definedName>
    <definedName name="Получен_ДДС_от_бюджета_през_периода" localSheetId="30">#REF!</definedName>
    <definedName name="Получен_ДДС_от_бюджета_през_периода" localSheetId="31">#REF!</definedName>
    <definedName name="Получен_ДДС_от_бюджета_през_периода" localSheetId="29">#REF!</definedName>
    <definedName name="Получен_ДДС_от_бюджета_през_периода" localSheetId="0">#REF!</definedName>
    <definedName name="Получен_ДДС_от_бюджета_през_периода">#REF!</definedName>
    <definedName name="Получени_вземания_по_ЗДВ" localSheetId="16" hidden="1">'[1]Собствен капитал'!$A$5:$IV$5</definedName>
    <definedName name="Получени_вземания_по_ЗДВ" localSheetId="9" hidden="1">'[1]Собствен капитал'!$5:$5</definedName>
    <definedName name="Получени_вземания_по_ЗДВ" hidden="1">'[1]Собствен капитал'!$A$5:$IV$5</definedName>
    <definedName name="Получени_ДЗ" localSheetId="1">#REF!</definedName>
    <definedName name="Получени_ДЗ" localSheetId="12">#REF!</definedName>
    <definedName name="Получени_ДЗ" localSheetId="16">#REF!</definedName>
    <definedName name="Получени_ДЗ" localSheetId="20">#REF!</definedName>
    <definedName name="Получени_ДЗ" localSheetId="21">#REF!</definedName>
    <definedName name="Получени_ДЗ" localSheetId="22">#REF!</definedName>
    <definedName name="Получени_ДЗ" localSheetId="24">#REF!</definedName>
    <definedName name="Получени_ДЗ" localSheetId="4">#REF!</definedName>
    <definedName name="Получени_ДЗ" localSheetId="8">#REF!</definedName>
    <definedName name="Получени_ДЗ" localSheetId="9">#REF!</definedName>
    <definedName name="Получени_ДЗ" localSheetId="10">#REF!</definedName>
    <definedName name="Получени_ДЗ" localSheetId="11">#REF!</definedName>
    <definedName name="Получени_ДЗ" localSheetId="33">#REF!</definedName>
    <definedName name="Получени_ДЗ" localSheetId="30">#REF!</definedName>
    <definedName name="Получени_ДЗ" localSheetId="31">#REF!</definedName>
    <definedName name="Получени_ДЗ" localSheetId="29">#REF!</definedName>
    <definedName name="Получени_ДЗ" localSheetId="0">#REF!</definedName>
    <definedName name="Получени_ДЗ">#REF!</definedName>
    <definedName name="Получени_КЗ" localSheetId="1">#REF!</definedName>
    <definedName name="Получени_КЗ" localSheetId="12">#REF!</definedName>
    <definedName name="Получени_КЗ" localSheetId="16">#REF!</definedName>
    <definedName name="Получени_КЗ" localSheetId="20">#REF!</definedName>
    <definedName name="Получени_КЗ" localSheetId="21">#REF!</definedName>
    <definedName name="Получени_КЗ" localSheetId="22">#REF!</definedName>
    <definedName name="Получени_КЗ" localSheetId="24">#REF!</definedName>
    <definedName name="Получени_КЗ" localSheetId="4">#REF!</definedName>
    <definedName name="Получени_КЗ" localSheetId="8">#REF!</definedName>
    <definedName name="Получени_КЗ" localSheetId="9">#REF!</definedName>
    <definedName name="Получени_КЗ" localSheetId="10">#REF!</definedName>
    <definedName name="Получени_КЗ" localSheetId="11">#REF!</definedName>
    <definedName name="Получени_КЗ" localSheetId="33">#REF!</definedName>
    <definedName name="Получени_КЗ" localSheetId="30">#REF!</definedName>
    <definedName name="Получени_КЗ" localSheetId="31">#REF!</definedName>
    <definedName name="Получени_КЗ" localSheetId="29">#REF!</definedName>
    <definedName name="Получени_КЗ" localSheetId="0">#REF!</definedName>
    <definedName name="Получени_КЗ">#REF!</definedName>
    <definedName name="Получени_ОЗ" localSheetId="1">#REF!</definedName>
    <definedName name="Получени_ОЗ" localSheetId="12">#REF!</definedName>
    <definedName name="Получени_ОЗ" localSheetId="16">#REF!</definedName>
    <definedName name="Получени_ОЗ" localSheetId="20">#REF!</definedName>
    <definedName name="Получени_ОЗ" localSheetId="21">#REF!</definedName>
    <definedName name="Получени_ОЗ" localSheetId="22">#REF!</definedName>
    <definedName name="Получени_ОЗ" localSheetId="24">#REF!</definedName>
    <definedName name="Получени_ОЗ" localSheetId="4">#REF!</definedName>
    <definedName name="Получени_ОЗ" localSheetId="8">#REF!</definedName>
    <definedName name="Получени_ОЗ" localSheetId="9">#REF!</definedName>
    <definedName name="Получени_ОЗ" localSheetId="10">#REF!</definedName>
    <definedName name="Получени_ОЗ" localSheetId="11">#REF!</definedName>
    <definedName name="Получени_ОЗ" localSheetId="33">#REF!</definedName>
    <definedName name="Получени_ОЗ" localSheetId="30">#REF!</definedName>
    <definedName name="Получени_ОЗ" localSheetId="31">#REF!</definedName>
    <definedName name="Получени_ОЗ" localSheetId="29">#REF!</definedName>
    <definedName name="Получени_ОЗ" localSheetId="0">#REF!</definedName>
    <definedName name="Получени_ОЗ">#REF!</definedName>
    <definedName name="Получени_съучастия" localSheetId="16" hidden="1">'[1]Собствен капитал'!$A$4:$IV$4</definedName>
    <definedName name="Получени_съучастия" localSheetId="9" hidden="1">'[1]Собствен капитал'!$4:$4</definedName>
    <definedName name="Получени_съучастия" hidden="1">'[1]Собствен капитал'!$A$4:$IV$4</definedName>
    <definedName name="Получени_финансирания" localSheetId="1">#REF!</definedName>
    <definedName name="Получени_финансирания" localSheetId="12">#REF!</definedName>
    <definedName name="Получени_финансирания" localSheetId="16">#REF!</definedName>
    <definedName name="Получени_финансирания" localSheetId="20">#REF!</definedName>
    <definedName name="Получени_финансирания" localSheetId="21">#REF!</definedName>
    <definedName name="Получени_финансирания" localSheetId="22">#REF!</definedName>
    <definedName name="Получени_финансирания" localSheetId="24">#REF!</definedName>
    <definedName name="Получени_финансирания" localSheetId="4">#REF!</definedName>
    <definedName name="Получени_финансирания" localSheetId="8">#REF!</definedName>
    <definedName name="Получени_финансирания" localSheetId="9">#REF!</definedName>
    <definedName name="Получени_финансирания" localSheetId="10">#REF!</definedName>
    <definedName name="Получени_финансирания" localSheetId="11">#REF!</definedName>
    <definedName name="Получени_финансирания" localSheetId="33">#REF!</definedName>
    <definedName name="Получени_финансирания" localSheetId="30">#REF!</definedName>
    <definedName name="Получени_финансирания" localSheetId="31">#REF!</definedName>
    <definedName name="Получени_финансирания" localSheetId="29">#REF!</definedName>
    <definedName name="Получени_финансирания" localSheetId="0">#REF!</definedName>
    <definedName name="Получени_финансирания">#REF!</definedName>
    <definedName name="Продажби" localSheetId="1">#REF!</definedName>
    <definedName name="Продажби" localSheetId="12">#REF!</definedName>
    <definedName name="Продажби" localSheetId="16">#REF!</definedName>
    <definedName name="Продажби" localSheetId="20">#REF!</definedName>
    <definedName name="Продажби" localSheetId="21">#REF!</definedName>
    <definedName name="Продажби" localSheetId="22">#REF!</definedName>
    <definedName name="Продажби" localSheetId="24">#REF!</definedName>
    <definedName name="Продажби" localSheetId="4">#REF!</definedName>
    <definedName name="Продажби" localSheetId="8">#REF!</definedName>
    <definedName name="Продажби" localSheetId="9">#REF!</definedName>
    <definedName name="Продажби" localSheetId="10">#REF!</definedName>
    <definedName name="Продажби" localSheetId="11">#REF!</definedName>
    <definedName name="Продажби" localSheetId="33">#REF!</definedName>
    <definedName name="Продажби" localSheetId="30">#REF!</definedName>
    <definedName name="Продажби" localSheetId="31">#REF!</definedName>
    <definedName name="Продажби" localSheetId="29">#REF!</definedName>
    <definedName name="Продажби" localSheetId="0">#REF!</definedName>
    <definedName name="Продажби">#REF!</definedName>
    <definedName name="Разходи_за_външни_услуги" localSheetId="1">#REF!</definedName>
    <definedName name="Разходи_за_външни_услуги" localSheetId="12">#REF!</definedName>
    <definedName name="Разходи_за_външни_услуги" localSheetId="16">#REF!</definedName>
    <definedName name="Разходи_за_външни_услуги" localSheetId="20">#REF!</definedName>
    <definedName name="Разходи_за_външни_услуги" localSheetId="21">#REF!</definedName>
    <definedName name="Разходи_за_външни_услуги" localSheetId="22">#REF!</definedName>
    <definedName name="Разходи_за_външни_услуги" localSheetId="24">#REF!</definedName>
    <definedName name="Разходи_за_външни_услуги" localSheetId="4">#REF!</definedName>
    <definedName name="Разходи_за_външни_услуги" localSheetId="8">#REF!</definedName>
    <definedName name="Разходи_за_външни_услуги" localSheetId="9">#REF!</definedName>
    <definedName name="Разходи_за_външни_услуги" localSheetId="10">#REF!</definedName>
    <definedName name="Разходи_за_външни_услуги" localSheetId="11">#REF!</definedName>
    <definedName name="Разходи_за_външни_услуги" localSheetId="33">#REF!</definedName>
    <definedName name="Разходи_за_външни_услуги" localSheetId="30">#REF!</definedName>
    <definedName name="Разходи_за_външни_услуги" localSheetId="31">#REF!</definedName>
    <definedName name="Разходи_за_външни_услуги" localSheetId="29">#REF!</definedName>
    <definedName name="Разходи_за_външни_услуги" localSheetId="0">#REF!</definedName>
    <definedName name="Разходи_за_външни_услуги">#REF!</definedName>
    <definedName name="Разходи_за_материали" localSheetId="1">#REF!</definedName>
    <definedName name="Разходи_за_материали" localSheetId="12">#REF!</definedName>
    <definedName name="Разходи_за_материали" localSheetId="16">#REF!</definedName>
    <definedName name="Разходи_за_материали" localSheetId="20">#REF!</definedName>
    <definedName name="Разходи_за_материали" localSheetId="21">#REF!</definedName>
    <definedName name="Разходи_за_материали" localSheetId="22">#REF!</definedName>
    <definedName name="Разходи_за_материали" localSheetId="24">#REF!</definedName>
    <definedName name="Разходи_за_материали" localSheetId="4">#REF!</definedName>
    <definedName name="Разходи_за_материали" localSheetId="8">#REF!</definedName>
    <definedName name="Разходи_за_материали" localSheetId="9">#REF!</definedName>
    <definedName name="Разходи_за_материали" localSheetId="10">#REF!</definedName>
    <definedName name="Разходи_за_материали" localSheetId="11">#REF!</definedName>
    <definedName name="Разходи_за_материали" localSheetId="33">#REF!</definedName>
    <definedName name="Разходи_за_материали" localSheetId="30">#REF!</definedName>
    <definedName name="Разходи_за_материали" localSheetId="31">#REF!</definedName>
    <definedName name="Разходи_за_материали" localSheetId="29">#REF!</definedName>
    <definedName name="Разходи_за_материали" localSheetId="0">#REF!</definedName>
    <definedName name="Разходи_за_материали">#REF!</definedName>
    <definedName name="Разходи_за_осигуровки" localSheetId="1">#REF!</definedName>
    <definedName name="Разходи_за_осигуровки" localSheetId="12">#REF!</definedName>
    <definedName name="Разходи_за_осигуровки" localSheetId="16">#REF!</definedName>
    <definedName name="Разходи_за_осигуровки" localSheetId="20">#REF!</definedName>
    <definedName name="Разходи_за_осигуровки" localSheetId="21">#REF!</definedName>
    <definedName name="Разходи_за_осигуровки" localSheetId="22">#REF!</definedName>
    <definedName name="Разходи_за_осигуровки" localSheetId="24">#REF!</definedName>
    <definedName name="Разходи_за_осигуровки" localSheetId="4">#REF!</definedName>
    <definedName name="Разходи_за_осигуровки" localSheetId="8">#REF!</definedName>
    <definedName name="Разходи_за_осигуровки" localSheetId="9">#REF!</definedName>
    <definedName name="Разходи_за_осигуровки" localSheetId="10">#REF!</definedName>
    <definedName name="Разходи_за_осигуровки" localSheetId="11">#REF!</definedName>
    <definedName name="Разходи_за_осигуровки" localSheetId="33">#REF!</definedName>
    <definedName name="Разходи_за_осигуровки" localSheetId="30">#REF!</definedName>
    <definedName name="Разходи_за_осигуровки" localSheetId="31">#REF!</definedName>
    <definedName name="Разходи_за_осигуровки" localSheetId="29">#REF!</definedName>
    <definedName name="Разходи_за_осигуровки" localSheetId="0">#REF!</definedName>
    <definedName name="Разходи_за_осигуровки">#REF!</definedName>
    <definedName name="Срок_на_плащане" localSheetId="1">#REF!</definedName>
    <definedName name="Срок_на_плащане" localSheetId="12">#REF!</definedName>
    <definedName name="Срок_на_плащане" localSheetId="16">#REF!</definedName>
    <definedName name="Срок_на_плащане" localSheetId="20">#REF!</definedName>
    <definedName name="Срок_на_плащане" localSheetId="21">#REF!</definedName>
    <definedName name="Срок_на_плащане" localSheetId="22">#REF!</definedName>
    <definedName name="Срок_на_плащане" localSheetId="24">#REF!</definedName>
    <definedName name="Срок_на_плащане" localSheetId="4">#REF!</definedName>
    <definedName name="Срок_на_плащане" localSheetId="8">#REF!</definedName>
    <definedName name="Срок_на_плащане" localSheetId="9">#REF!</definedName>
    <definedName name="Срок_на_плащане" localSheetId="10">#REF!</definedName>
    <definedName name="Срок_на_плащане" localSheetId="11">#REF!</definedName>
    <definedName name="Срок_на_плащане" localSheetId="33">#REF!</definedName>
    <definedName name="Срок_на_плащане" localSheetId="30">#REF!</definedName>
    <definedName name="Срок_на_плащане" localSheetId="31">#REF!</definedName>
    <definedName name="Срок_на_плащане" localSheetId="29">#REF!</definedName>
    <definedName name="Срок_на_плащане" localSheetId="0">#REF!</definedName>
    <definedName name="Срок_на_плащане">#REF!</definedName>
    <definedName name="Срок_на_събиране_на_вземанията" localSheetId="1">#REF!</definedName>
    <definedName name="Срок_на_събиране_на_вземанията" localSheetId="12">#REF!</definedName>
    <definedName name="Срок_на_събиране_на_вземанията" localSheetId="16">#REF!</definedName>
    <definedName name="Срок_на_събиране_на_вземанията" localSheetId="20">#REF!</definedName>
    <definedName name="Срок_на_събиране_на_вземанията" localSheetId="21">#REF!</definedName>
    <definedName name="Срок_на_събиране_на_вземанията" localSheetId="22">#REF!</definedName>
    <definedName name="Срок_на_събиране_на_вземанията" localSheetId="24">#REF!</definedName>
    <definedName name="Срок_на_събиране_на_вземанията" localSheetId="4">#REF!</definedName>
    <definedName name="Срок_на_събиране_на_вземанията" localSheetId="8">#REF!</definedName>
    <definedName name="Срок_на_събиране_на_вземанията" localSheetId="9">#REF!</definedName>
    <definedName name="Срок_на_събиране_на_вземанията" localSheetId="10">#REF!</definedName>
    <definedName name="Срок_на_събиране_на_вземанията" localSheetId="11">#REF!</definedName>
    <definedName name="Срок_на_събиране_на_вземанията" localSheetId="33">#REF!</definedName>
    <definedName name="Срок_на_събиране_на_вземанията" localSheetId="30">#REF!</definedName>
    <definedName name="Срок_на_събиране_на_вземанията" localSheetId="31">#REF!</definedName>
    <definedName name="Срок_на_събиране_на_вземанията" localSheetId="29">#REF!</definedName>
    <definedName name="Срок_на_събиране_на_вземанията" localSheetId="0">#REF!</definedName>
    <definedName name="Срок_на_събиране_на_вземанията">#REF!</definedName>
    <definedName name="Ставка_ДДС" localSheetId="1">#REF!</definedName>
    <definedName name="Ставка_ДДС" localSheetId="12">#REF!</definedName>
    <definedName name="Ставка_ДДС" localSheetId="16">#REF!</definedName>
    <definedName name="Ставка_ДДС" localSheetId="20">#REF!</definedName>
    <definedName name="Ставка_ДДС" localSheetId="21">#REF!</definedName>
    <definedName name="Ставка_ДДС" localSheetId="22">#REF!</definedName>
    <definedName name="Ставка_ДДС" localSheetId="24">#REF!</definedName>
    <definedName name="Ставка_ДДС" localSheetId="4">#REF!</definedName>
    <definedName name="Ставка_ДДС" localSheetId="8">#REF!</definedName>
    <definedName name="Ставка_ДДС" localSheetId="9">#REF!</definedName>
    <definedName name="Ставка_ДДС" localSheetId="10">#REF!</definedName>
    <definedName name="Ставка_ДДС" localSheetId="11">#REF!</definedName>
    <definedName name="Ставка_ДДС" localSheetId="33">#REF!</definedName>
    <definedName name="Ставка_ДДС" localSheetId="30">#REF!</definedName>
    <definedName name="Ставка_ДДС" localSheetId="31">#REF!</definedName>
    <definedName name="Ставка_ДДС" localSheetId="29">#REF!</definedName>
    <definedName name="Ставка_ДДС" localSheetId="0">#REF!</definedName>
    <definedName name="Ставка_ДДС">#REF!</definedName>
    <definedName name="Събран_ДДС" localSheetId="1">#REF!</definedName>
    <definedName name="Събран_ДДС" localSheetId="12">#REF!</definedName>
    <definedName name="Събран_ДДС" localSheetId="16">#REF!</definedName>
    <definedName name="Събран_ДДС" localSheetId="20">#REF!</definedName>
    <definedName name="Събран_ДДС" localSheetId="21">#REF!</definedName>
    <definedName name="Събран_ДДС" localSheetId="22">#REF!</definedName>
    <definedName name="Събран_ДДС" localSheetId="24">#REF!</definedName>
    <definedName name="Събран_ДДС" localSheetId="4">#REF!</definedName>
    <definedName name="Събран_ДДС" localSheetId="8">#REF!</definedName>
    <definedName name="Събран_ДДС" localSheetId="9">#REF!</definedName>
    <definedName name="Събран_ДДС" localSheetId="10">#REF!</definedName>
    <definedName name="Събран_ДДС" localSheetId="11">#REF!</definedName>
    <definedName name="Събран_ДДС" localSheetId="33">#REF!</definedName>
    <definedName name="Събран_ДДС" localSheetId="30">#REF!</definedName>
    <definedName name="Събран_ДДС" localSheetId="31">#REF!</definedName>
    <definedName name="Събран_ДДС" localSheetId="29">#REF!</definedName>
    <definedName name="Събран_ДДС" localSheetId="0">#REF!</definedName>
    <definedName name="Събран_ДДС">#REF!</definedName>
    <definedName name="Услуга_1" localSheetId="1">#REF!</definedName>
    <definedName name="Услуга_1" localSheetId="12">#REF!</definedName>
    <definedName name="Услуга_1" localSheetId="16">#REF!</definedName>
    <definedName name="Услуга_1" localSheetId="20">#REF!</definedName>
    <definedName name="Услуга_1" localSheetId="21">#REF!</definedName>
    <definedName name="Услуга_1" localSheetId="22">#REF!</definedName>
    <definedName name="Услуга_1" localSheetId="24">#REF!</definedName>
    <definedName name="Услуга_1" localSheetId="4">#REF!</definedName>
    <definedName name="Услуга_1" localSheetId="8">#REF!</definedName>
    <definedName name="Услуга_1" localSheetId="9">#REF!</definedName>
    <definedName name="Услуга_1" localSheetId="10">#REF!</definedName>
    <definedName name="Услуга_1" localSheetId="11">#REF!</definedName>
    <definedName name="Услуга_1" localSheetId="33">#REF!</definedName>
    <definedName name="Услуга_1" localSheetId="30">#REF!</definedName>
    <definedName name="Услуга_1" localSheetId="31">#REF!</definedName>
    <definedName name="Услуга_1" localSheetId="29">#REF!</definedName>
    <definedName name="Услуга_1" localSheetId="0">#REF!</definedName>
    <definedName name="Услуга_1">#REF!</definedName>
    <definedName name="Услуга_2" localSheetId="1">#REF!</definedName>
    <definedName name="Услуга_2" localSheetId="12">#REF!</definedName>
    <definedName name="Услуга_2" localSheetId="16">#REF!</definedName>
    <definedName name="Услуга_2" localSheetId="20">#REF!</definedName>
    <definedName name="Услуга_2" localSheetId="21">#REF!</definedName>
    <definedName name="Услуга_2" localSheetId="22">#REF!</definedName>
    <definedName name="Услуга_2" localSheetId="24">#REF!</definedName>
    <definedName name="Услуга_2" localSheetId="4">#REF!</definedName>
    <definedName name="Услуга_2" localSheetId="8">#REF!</definedName>
    <definedName name="Услуга_2" localSheetId="9">#REF!</definedName>
    <definedName name="Услуга_2" localSheetId="10">#REF!</definedName>
    <definedName name="Услуга_2" localSheetId="11">#REF!</definedName>
    <definedName name="Услуга_2" localSheetId="33">#REF!</definedName>
    <definedName name="Услуга_2" localSheetId="30">#REF!</definedName>
    <definedName name="Услуга_2" localSheetId="31">#REF!</definedName>
    <definedName name="Услуга_2" localSheetId="29">#REF!</definedName>
    <definedName name="Услуга_2" localSheetId="0">#REF!</definedName>
    <definedName name="Услуга_2">#REF!</definedName>
    <definedName name="Услуга_3" localSheetId="1">#REF!</definedName>
    <definedName name="Услуга_3" localSheetId="12">#REF!</definedName>
    <definedName name="Услуга_3" localSheetId="16">#REF!</definedName>
    <definedName name="Услуга_3" localSheetId="20">#REF!</definedName>
    <definedName name="Услуга_3" localSheetId="21">#REF!</definedName>
    <definedName name="Услуга_3" localSheetId="22">#REF!</definedName>
    <definedName name="Услуга_3" localSheetId="24">#REF!</definedName>
    <definedName name="Услуга_3" localSheetId="4">#REF!</definedName>
    <definedName name="Услуга_3" localSheetId="8">#REF!</definedName>
    <definedName name="Услуга_3" localSheetId="9">#REF!</definedName>
    <definedName name="Услуга_3" localSheetId="10">#REF!</definedName>
    <definedName name="Услуга_3" localSheetId="11">#REF!</definedName>
    <definedName name="Услуга_3" localSheetId="33">#REF!</definedName>
    <definedName name="Услуга_3" localSheetId="30">#REF!</definedName>
    <definedName name="Услуга_3" localSheetId="31">#REF!</definedName>
    <definedName name="Услуга_3" localSheetId="29">#REF!</definedName>
    <definedName name="Услуга_3" localSheetId="0">#REF!</definedName>
    <definedName name="Услуга_3">#REF!</definedName>
    <definedName name="Услуга_4" localSheetId="1">#REF!</definedName>
    <definedName name="Услуга_4" localSheetId="12">#REF!</definedName>
    <definedName name="Услуга_4" localSheetId="16">#REF!</definedName>
    <definedName name="Услуга_4" localSheetId="20">#REF!</definedName>
    <definedName name="Услуга_4" localSheetId="21">#REF!</definedName>
    <definedName name="Услуга_4" localSheetId="22">#REF!</definedName>
    <definedName name="Услуга_4" localSheetId="24">#REF!</definedName>
    <definedName name="Услуга_4" localSheetId="4">#REF!</definedName>
    <definedName name="Услуга_4" localSheetId="8">#REF!</definedName>
    <definedName name="Услуга_4" localSheetId="9">#REF!</definedName>
    <definedName name="Услуга_4" localSheetId="10">#REF!</definedName>
    <definedName name="Услуга_4" localSheetId="11">#REF!</definedName>
    <definedName name="Услуга_4" localSheetId="33">#REF!</definedName>
    <definedName name="Услуга_4" localSheetId="30">#REF!</definedName>
    <definedName name="Услуга_4" localSheetId="31">#REF!</definedName>
    <definedName name="Услуга_4" localSheetId="29">#REF!</definedName>
    <definedName name="Услуга_4" localSheetId="0">#REF!</definedName>
    <definedName name="Услуга_4">#REF!</definedName>
    <definedName name="Услуга_5" localSheetId="1">#REF!</definedName>
    <definedName name="Услуга_5" localSheetId="12">#REF!</definedName>
    <definedName name="Услуга_5" localSheetId="16">#REF!</definedName>
    <definedName name="Услуга_5" localSheetId="20">#REF!</definedName>
    <definedName name="Услуга_5" localSheetId="21">#REF!</definedName>
    <definedName name="Услуга_5" localSheetId="22">#REF!</definedName>
    <definedName name="Услуга_5" localSheetId="24">#REF!</definedName>
    <definedName name="Услуга_5" localSheetId="4">#REF!</definedName>
    <definedName name="Услуга_5" localSheetId="8">#REF!</definedName>
    <definedName name="Услуга_5" localSheetId="9">#REF!</definedName>
    <definedName name="Услуга_5" localSheetId="10">#REF!</definedName>
    <definedName name="Услуга_5" localSheetId="11">#REF!</definedName>
    <definedName name="Услуга_5" localSheetId="33">#REF!</definedName>
    <definedName name="Услуга_5" localSheetId="30">#REF!</definedName>
    <definedName name="Услуга_5" localSheetId="31">#REF!</definedName>
    <definedName name="Услуга_5" localSheetId="29">#REF!</definedName>
    <definedName name="Услуга_5" localSheetId="0">#REF!</definedName>
    <definedName name="Услуга_5">#REF!</definedName>
    <definedName name="Услуги_и_др." localSheetId="16" hidden="1">[1]Себестойност!$A$126:$IV$126</definedName>
    <definedName name="Услуги_и_др." localSheetId="9" hidden="1">[1]Себестойност!$126:$126</definedName>
    <definedName name="Услуги_и_др." hidden="1">[1]Себестойност!$A$126:$IV$126</definedName>
    <definedName name="ЧПП" localSheetId="1">#REF!</definedName>
    <definedName name="ЧПП" localSheetId="12">#REF!</definedName>
    <definedName name="ЧПП" localSheetId="16">#REF!</definedName>
    <definedName name="ЧПП" localSheetId="20">#REF!</definedName>
    <definedName name="ЧПП" localSheetId="21">#REF!</definedName>
    <definedName name="ЧПП" localSheetId="22">#REF!</definedName>
    <definedName name="ЧПП" localSheetId="24">#REF!</definedName>
    <definedName name="ЧПП" localSheetId="4">#REF!</definedName>
    <definedName name="ЧПП" localSheetId="8">#REF!</definedName>
    <definedName name="ЧПП" localSheetId="9">#REF!</definedName>
    <definedName name="ЧПП" localSheetId="10">#REF!</definedName>
    <definedName name="ЧПП" localSheetId="11">#REF!</definedName>
    <definedName name="ЧПП" localSheetId="33">#REF!</definedName>
    <definedName name="ЧПП" localSheetId="30">#REF!</definedName>
    <definedName name="ЧПП" localSheetId="31">#REF!</definedName>
    <definedName name="ЧПП" localSheetId="29">#REF!</definedName>
    <definedName name="ЧПП" localSheetId="0">#REF!</definedName>
    <definedName name="ЧПП">#REF!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L47" i="60" l="1"/>
  <c r="AK47" i="60"/>
  <c r="AJ47" i="60"/>
  <c r="AI47" i="60"/>
  <c r="AH47" i="60"/>
  <c r="AG47" i="60"/>
  <c r="AL43" i="60"/>
  <c r="AK43" i="60"/>
  <c r="AJ43" i="60"/>
  <c r="AI43" i="60"/>
  <c r="AH43" i="60"/>
  <c r="AG43" i="60"/>
  <c r="A3" i="82" l="1"/>
  <c r="I15" i="16" l="1"/>
  <c r="H15" i="16"/>
  <c r="G15" i="16"/>
  <c r="F15" i="16"/>
  <c r="M142" i="85" l="1"/>
  <c r="N117" i="85"/>
  <c r="S178" i="85"/>
  <c r="S177" i="85"/>
  <c r="S176" i="85"/>
  <c r="S175" i="85"/>
  <c r="S174" i="85"/>
  <c r="S173" i="85"/>
  <c r="S172" i="85"/>
  <c r="S171" i="85"/>
  <c r="S170" i="85"/>
  <c r="S169" i="85"/>
  <c r="S165" i="85"/>
  <c r="S164" i="85"/>
  <c r="S163" i="85"/>
  <c r="S162" i="85"/>
  <c r="S161" i="85"/>
  <c r="S160" i="85"/>
  <c r="S159" i="85"/>
  <c r="S158" i="85"/>
  <c r="S157" i="85"/>
  <c r="S156" i="85"/>
  <c r="S152" i="85"/>
  <c r="S151" i="85"/>
  <c r="S150" i="85"/>
  <c r="S149" i="85"/>
  <c r="S148" i="85"/>
  <c r="S147" i="85"/>
  <c r="S146" i="85"/>
  <c r="S145" i="85"/>
  <c r="S144" i="85"/>
  <c r="S143" i="85"/>
  <c r="T100" i="85"/>
  <c r="AL35" i="85" s="1"/>
  <c r="AS27" i="85" s="1"/>
  <c r="AM51" i="85"/>
  <c r="AM50" i="85"/>
  <c r="AQ47" i="85"/>
  <c r="AP47" i="85"/>
  <c r="AO47" i="85"/>
  <c r="AN47" i="85"/>
  <c r="AM47" i="85"/>
  <c r="AL27" i="85"/>
  <c r="AS21" i="85" s="1"/>
  <c r="AL19" i="85"/>
  <c r="AL11" i="85"/>
  <c r="N7" i="85"/>
  <c r="M7" i="85"/>
  <c r="L7" i="85"/>
  <c r="K7" i="85"/>
  <c r="J7" i="85"/>
  <c r="O6" i="85"/>
  <c r="O5" i="85"/>
  <c r="O4" i="85"/>
  <c r="AL3" i="85"/>
  <c r="O7" i="85" l="1"/>
  <c r="S54" i="84"/>
  <c r="S53" i="84"/>
  <c r="S52" i="84"/>
  <c r="S51" i="84"/>
  <c r="S50" i="84"/>
  <c r="S49" i="84"/>
  <c r="S48" i="84"/>
  <c r="S47" i="84"/>
  <c r="S45" i="84"/>
  <c r="S44" i="84"/>
  <c r="S43" i="84"/>
  <c r="S42" i="84"/>
  <c r="S41" i="84"/>
  <c r="S40" i="84"/>
  <c r="S39" i="84"/>
  <c r="S38" i="84"/>
  <c r="S37" i="84"/>
  <c r="S36" i="84"/>
  <c r="AG35" i="84"/>
  <c r="AF35" i="84"/>
  <c r="AE35" i="84"/>
  <c r="AD35" i="84"/>
  <c r="AC35" i="84"/>
  <c r="S35" i="84"/>
  <c r="AG34" i="84"/>
  <c r="AF34" i="84"/>
  <c r="AE34" i="84"/>
  <c r="AD34" i="84"/>
  <c r="AC34" i="84"/>
  <c r="S34" i="84"/>
  <c r="AG33" i="84"/>
  <c r="AF33" i="84"/>
  <c r="AE33" i="84"/>
  <c r="AD33" i="84"/>
  <c r="AC33" i="84"/>
  <c r="AS24" i="84"/>
  <c r="AR24" i="84"/>
  <c r="AQ24" i="84"/>
  <c r="AP24" i="84"/>
  <c r="AO24" i="84"/>
  <c r="AN24" i="84"/>
  <c r="AS21" i="84"/>
  <c r="AR21" i="84"/>
  <c r="AQ21" i="84"/>
  <c r="AP21" i="84"/>
  <c r="AO21" i="84"/>
  <c r="AN21" i="84"/>
  <c r="AM21" i="84"/>
  <c r="AC21" i="84"/>
  <c r="AG20" i="84"/>
  <c r="AF20" i="84"/>
  <c r="AE20" i="84"/>
  <c r="AD20" i="84"/>
  <c r="AC20" i="84"/>
  <c r="AC18" i="84"/>
  <c r="AK14" i="84" s="1"/>
  <c r="AG17" i="84"/>
  <c r="AF17" i="84"/>
  <c r="AE17" i="84"/>
  <c r="AD17" i="84"/>
  <c r="AC17" i="84"/>
  <c r="AK16" i="84"/>
  <c r="AG16" i="84"/>
  <c r="AF16" i="84"/>
  <c r="AE16" i="84"/>
  <c r="AD16" i="84"/>
  <c r="AC16" i="84"/>
  <c r="AG15" i="84"/>
  <c r="AF15" i="84"/>
  <c r="AE15" i="84"/>
  <c r="AD15" i="84"/>
  <c r="AC15" i="84"/>
  <c r="H64" i="83"/>
  <c r="G64" i="83"/>
  <c r="F64" i="83"/>
  <c r="E64" i="83"/>
  <c r="D64" i="83"/>
  <c r="C64" i="83"/>
  <c r="H61" i="83"/>
  <c r="G61" i="83"/>
  <c r="F61" i="83"/>
  <c r="E61" i="83"/>
  <c r="D61" i="83"/>
  <c r="C61" i="83"/>
  <c r="H60" i="83"/>
  <c r="G60" i="83"/>
  <c r="F60" i="83"/>
  <c r="E60" i="83"/>
  <c r="D60" i="83"/>
  <c r="C60" i="83"/>
  <c r="H59" i="83"/>
  <c r="G59" i="83"/>
  <c r="F59" i="83"/>
  <c r="E59" i="83"/>
  <c r="D59" i="83"/>
  <c r="C59" i="83"/>
  <c r="AH33" i="83"/>
  <c r="AH32" i="83"/>
  <c r="AH31" i="83"/>
  <c r="AH30" i="83"/>
  <c r="AH29" i="83"/>
  <c r="AH28" i="83"/>
  <c r="AH27" i="83"/>
  <c r="AH26" i="83"/>
  <c r="H26" i="83"/>
  <c r="G26" i="83"/>
  <c r="F26" i="83"/>
  <c r="E26" i="83"/>
  <c r="D26" i="83"/>
  <c r="C26" i="83"/>
  <c r="AH25" i="83"/>
  <c r="H25" i="83"/>
  <c r="G25" i="83"/>
  <c r="F25" i="83"/>
  <c r="E25" i="83"/>
  <c r="D25" i="83"/>
  <c r="C25" i="83"/>
  <c r="AH24" i="83"/>
  <c r="H24" i="83"/>
  <c r="G24" i="83"/>
  <c r="F24" i="83"/>
  <c r="E24" i="83"/>
  <c r="D24" i="83"/>
  <c r="C24" i="83"/>
  <c r="AH23" i="83"/>
  <c r="H23" i="83"/>
  <c r="G23" i="83"/>
  <c r="F23" i="83"/>
  <c r="E23" i="83"/>
  <c r="D23" i="83"/>
  <c r="C23" i="83"/>
  <c r="AH22" i="83"/>
  <c r="H22" i="83"/>
  <c r="G22" i="83"/>
  <c r="F22" i="83"/>
  <c r="E22" i="83"/>
  <c r="D22" i="83"/>
  <c r="C22" i="83"/>
  <c r="AH21" i="83"/>
  <c r="Q21" i="83"/>
  <c r="P21" i="83"/>
  <c r="O21" i="83"/>
  <c r="N21" i="83"/>
  <c r="M21" i="83"/>
  <c r="L21" i="83"/>
  <c r="H21" i="83"/>
  <c r="G21" i="83"/>
  <c r="F21" i="83"/>
  <c r="E21" i="83"/>
  <c r="D21" i="83"/>
  <c r="C21" i="83"/>
  <c r="AH20" i="83"/>
  <c r="H20" i="83"/>
  <c r="G20" i="83"/>
  <c r="F20" i="83"/>
  <c r="E20" i="83"/>
  <c r="D20" i="83"/>
  <c r="C20" i="83"/>
  <c r="AH19" i="83"/>
  <c r="H19" i="83"/>
  <c r="G19" i="83"/>
  <c r="F19" i="83"/>
  <c r="E19" i="83"/>
  <c r="D19" i="83"/>
  <c r="C19" i="83"/>
  <c r="AH18" i="83"/>
  <c r="H18" i="83"/>
  <c r="G18" i="83"/>
  <c r="F18" i="83"/>
  <c r="E18" i="83"/>
  <c r="D18" i="83"/>
  <c r="C18" i="83"/>
  <c r="AH17" i="83"/>
  <c r="Q17" i="83"/>
  <c r="P17" i="83"/>
  <c r="O17" i="83"/>
  <c r="N17" i="83"/>
  <c r="M17" i="83"/>
  <c r="L17" i="83"/>
  <c r="H17" i="83"/>
  <c r="G17" i="83"/>
  <c r="F17" i="83"/>
  <c r="E17" i="83"/>
  <c r="D17" i="83"/>
  <c r="C17" i="83"/>
  <c r="AH16" i="83"/>
  <c r="H16" i="83"/>
  <c r="G16" i="83"/>
  <c r="F16" i="83"/>
  <c r="E16" i="83"/>
  <c r="D16" i="83"/>
  <c r="C16" i="83"/>
  <c r="AH15" i="83"/>
  <c r="H15" i="83"/>
  <c r="G15" i="83"/>
  <c r="F15" i="83"/>
  <c r="E15" i="83"/>
  <c r="D15" i="83"/>
  <c r="C15" i="83"/>
  <c r="AH14" i="83"/>
  <c r="AH13" i="83"/>
  <c r="AH12" i="83"/>
  <c r="AH11" i="83"/>
  <c r="H11" i="83"/>
  <c r="G11" i="83"/>
  <c r="F11" i="83"/>
  <c r="E11" i="83"/>
  <c r="D11" i="83"/>
  <c r="C11" i="83"/>
  <c r="AH10" i="83"/>
  <c r="H10" i="83"/>
  <c r="G10" i="83"/>
  <c r="F10" i="83"/>
  <c r="E10" i="83"/>
  <c r="D10" i="83"/>
  <c r="C10" i="83"/>
  <c r="AH9" i="83"/>
  <c r="H9" i="83"/>
  <c r="G9" i="83"/>
  <c r="F9" i="83"/>
  <c r="E9" i="83"/>
  <c r="D9" i="83"/>
  <c r="C9" i="83"/>
  <c r="AH8" i="83"/>
  <c r="H8" i="83"/>
  <c r="G8" i="83"/>
  <c r="F8" i="83"/>
  <c r="E8" i="83"/>
  <c r="D8" i="83"/>
  <c r="C8" i="83"/>
  <c r="AH7" i="83"/>
  <c r="H7" i="83"/>
  <c r="G7" i="83"/>
  <c r="F7" i="83"/>
  <c r="E7" i="83"/>
  <c r="D7" i="83"/>
  <c r="C7" i="83"/>
  <c r="AH6" i="83"/>
  <c r="AH5" i="83"/>
  <c r="AH4" i="83"/>
  <c r="AC14" i="84" l="1"/>
  <c r="AD14" i="84"/>
  <c r="AG14" i="84"/>
  <c r="AE14" i="84"/>
  <c r="AE36" i="84"/>
  <c r="AG36" i="84"/>
  <c r="AC36" i="84"/>
  <c r="AF36" i="84"/>
  <c r="AF14" i="84"/>
  <c r="AD36" i="84"/>
  <c r="P114" i="82"/>
  <c r="H114" i="82"/>
  <c r="L119" i="82"/>
  <c r="L120" i="82"/>
  <c r="AO69" i="60" l="1"/>
  <c r="AN69" i="60"/>
  <c r="AL69" i="60"/>
  <c r="O10" i="21" l="1"/>
  <c r="N10" i="21"/>
  <c r="M10" i="21"/>
  <c r="L10" i="21"/>
  <c r="K10" i="21"/>
  <c r="C1" i="21"/>
  <c r="A1" i="21"/>
  <c r="O7" i="20"/>
  <c r="N7" i="20"/>
  <c r="M7" i="20"/>
  <c r="L7" i="20"/>
  <c r="K7" i="20"/>
  <c r="C1" i="20"/>
  <c r="A1" i="20"/>
  <c r="M9" i="49"/>
  <c r="M23" i="49" s="1"/>
  <c r="M37" i="49" s="1"/>
  <c r="M51" i="49" s="1"/>
  <c r="M65" i="49" s="1"/>
  <c r="L9" i="49"/>
  <c r="L23" i="49" s="1"/>
  <c r="L37" i="49" s="1"/>
  <c r="L51" i="49" s="1"/>
  <c r="L65" i="49" s="1"/>
  <c r="K9" i="49"/>
  <c r="K23" i="49" s="1"/>
  <c r="K37" i="49" s="1"/>
  <c r="K51" i="49" s="1"/>
  <c r="K65" i="49" s="1"/>
  <c r="J9" i="49"/>
  <c r="J23" i="49" s="1"/>
  <c r="J37" i="49" s="1"/>
  <c r="J51" i="49" s="1"/>
  <c r="J65" i="49" s="1"/>
  <c r="I9" i="49"/>
  <c r="I23" i="49" s="1"/>
  <c r="I37" i="49" s="1"/>
  <c r="I51" i="49" s="1"/>
  <c r="I65" i="49" s="1"/>
  <c r="C1" i="49"/>
  <c r="O8" i="17"/>
  <c r="O14" i="17" s="1"/>
  <c r="O22" i="17" s="1"/>
  <c r="O33" i="17" s="1"/>
  <c r="O39" i="17" s="1"/>
  <c r="N8" i="17"/>
  <c r="N14" i="17" s="1"/>
  <c r="N22" i="17" s="1"/>
  <c r="N33" i="17" s="1"/>
  <c r="N39" i="17" s="1"/>
  <c r="M8" i="17"/>
  <c r="M14" i="17" s="1"/>
  <c r="M22" i="17" s="1"/>
  <c r="M33" i="17" s="1"/>
  <c r="M39" i="17" s="1"/>
  <c r="L8" i="17"/>
  <c r="L14" i="17" s="1"/>
  <c r="L22" i="17" s="1"/>
  <c r="L33" i="17" s="1"/>
  <c r="L39" i="17" s="1"/>
  <c r="K8" i="17"/>
  <c r="K14" i="17" s="1"/>
  <c r="K22" i="17" s="1"/>
  <c r="K33" i="17" s="1"/>
  <c r="K39" i="17" s="1"/>
  <c r="C1" i="17"/>
  <c r="A1" i="17"/>
  <c r="N7" i="48"/>
  <c r="M7" i="48"/>
  <c r="L7" i="48"/>
  <c r="K7" i="48"/>
  <c r="J7" i="48"/>
  <c r="I7" i="48"/>
  <c r="B1" i="48"/>
  <c r="N12" i="48" s="1"/>
  <c r="A1" i="48"/>
  <c r="N7" i="47"/>
  <c r="M7" i="47"/>
  <c r="L7" i="47"/>
  <c r="K7" i="47"/>
  <c r="J7" i="47"/>
  <c r="I7" i="47"/>
  <c r="B1" i="47"/>
  <c r="J11" i="47" s="1"/>
  <c r="A1" i="47"/>
  <c r="A1" i="16"/>
  <c r="B1" i="16"/>
  <c r="M9" i="16" s="1"/>
  <c r="BA133" i="77"/>
  <c r="AZ133" i="77"/>
  <c r="AY133" i="77"/>
  <c r="AX133" i="77"/>
  <c r="AW133" i="77"/>
  <c r="AV133" i="77"/>
  <c r="AU133" i="77"/>
  <c r="AT133" i="77"/>
  <c r="AS133" i="77"/>
  <c r="AR133" i="77"/>
  <c r="AQ133" i="77"/>
  <c r="AP133" i="77"/>
  <c r="AO133" i="77"/>
  <c r="AN133" i="77"/>
  <c r="AM133" i="77"/>
  <c r="AL133" i="77"/>
  <c r="AK133" i="77"/>
  <c r="AJ133" i="77"/>
  <c r="AI133" i="77"/>
  <c r="AH133" i="77"/>
  <c r="AG133" i="77"/>
  <c r="AF133" i="77"/>
  <c r="AE133" i="77"/>
  <c r="AD133" i="77"/>
  <c r="AC133" i="77"/>
  <c r="AW132" i="77"/>
  <c r="AR132" i="77"/>
  <c r="AM132" i="77"/>
  <c r="AH132" i="77"/>
  <c r="AC132" i="77"/>
  <c r="AW131" i="77"/>
  <c r="AR131" i="77"/>
  <c r="AM131" i="77"/>
  <c r="AH131" i="77"/>
  <c r="AC131" i="77"/>
  <c r="AW130" i="77"/>
  <c r="AR130" i="77"/>
  <c r="AM130" i="77"/>
  <c r="AH130" i="77"/>
  <c r="AC130" i="77"/>
  <c r="AW129" i="77"/>
  <c r="AR129" i="77"/>
  <c r="AM129" i="77"/>
  <c r="AH129" i="77"/>
  <c r="AC129" i="77"/>
  <c r="AW128" i="77"/>
  <c r="AR128" i="77"/>
  <c r="AM128" i="77"/>
  <c r="AH128" i="77"/>
  <c r="AC128" i="77"/>
  <c r="AW127" i="77"/>
  <c r="AR127" i="77"/>
  <c r="AM127" i="77"/>
  <c r="AH127" i="77"/>
  <c r="AC127" i="77"/>
  <c r="AC126" i="77"/>
  <c r="BA110" i="77"/>
  <c r="AZ110" i="77"/>
  <c r="AY110" i="77"/>
  <c r="AX110" i="77"/>
  <c r="AW110" i="77"/>
  <c r="AV110" i="77"/>
  <c r="AU110" i="77"/>
  <c r="AT110" i="77"/>
  <c r="AS110" i="77"/>
  <c r="AR110" i="77"/>
  <c r="AQ110" i="77"/>
  <c r="AP110" i="77"/>
  <c r="AO110" i="77"/>
  <c r="AN110" i="77"/>
  <c r="AM110" i="77"/>
  <c r="AL110" i="77"/>
  <c r="AK110" i="77"/>
  <c r="AJ110" i="77"/>
  <c r="AI110" i="77"/>
  <c r="AH110" i="77"/>
  <c r="AG110" i="77"/>
  <c r="AF110" i="77"/>
  <c r="AE110" i="77"/>
  <c r="AD110" i="77"/>
  <c r="AC110" i="77"/>
  <c r="AW109" i="77"/>
  <c r="AR109" i="77"/>
  <c r="AM109" i="77"/>
  <c r="AH109" i="77"/>
  <c r="AC109" i="77"/>
  <c r="AW108" i="77"/>
  <c r="AR108" i="77"/>
  <c r="AM108" i="77"/>
  <c r="AH108" i="77"/>
  <c r="AC108" i="77"/>
  <c r="AW107" i="77"/>
  <c r="AR107" i="77"/>
  <c r="AM107" i="77"/>
  <c r="AH107" i="77"/>
  <c r="AC107" i="77"/>
  <c r="AW106" i="77"/>
  <c r="AR106" i="77"/>
  <c r="AM106" i="77"/>
  <c r="AH106" i="77"/>
  <c r="AC106" i="77"/>
  <c r="AW105" i="77"/>
  <c r="AR105" i="77"/>
  <c r="AM105" i="77"/>
  <c r="AH105" i="77"/>
  <c r="AC105" i="77"/>
  <c r="AW104" i="77"/>
  <c r="AR104" i="77"/>
  <c r="AM104" i="77"/>
  <c r="AH104" i="77"/>
  <c r="AC104" i="77"/>
  <c r="AC103" i="77"/>
  <c r="AC102" i="77"/>
  <c r="BA86" i="77"/>
  <c r="AZ86" i="77"/>
  <c r="AY86" i="77"/>
  <c r="AX86" i="77"/>
  <c r="AW86" i="77"/>
  <c r="AV86" i="77"/>
  <c r="AU86" i="77"/>
  <c r="AT86" i="77"/>
  <c r="AS86" i="77"/>
  <c r="AR86" i="77"/>
  <c r="AQ86" i="77"/>
  <c r="AP86" i="77"/>
  <c r="AO86" i="77"/>
  <c r="AN86" i="77"/>
  <c r="AM86" i="77"/>
  <c r="AL86" i="77"/>
  <c r="AK86" i="77"/>
  <c r="AJ86" i="77"/>
  <c r="AI86" i="77"/>
  <c r="AH86" i="77"/>
  <c r="AG86" i="77"/>
  <c r="AF86" i="77"/>
  <c r="AE86" i="77"/>
  <c r="AD86" i="77"/>
  <c r="AC86" i="77"/>
  <c r="AW85" i="77"/>
  <c r="AR85" i="77"/>
  <c r="AM85" i="77"/>
  <c r="AH85" i="77"/>
  <c r="AC85" i="77"/>
  <c r="AW84" i="77"/>
  <c r="AR84" i="77"/>
  <c r="AM84" i="77"/>
  <c r="AH84" i="77"/>
  <c r="AC84" i="77"/>
  <c r="AW83" i="77"/>
  <c r="AR83" i="77"/>
  <c r="AM83" i="77"/>
  <c r="AH83" i="77"/>
  <c r="AC83" i="77"/>
  <c r="AW82" i="77"/>
  <c r="AR82" i="77"/>
  <c r="AM82" i="77"/>
  <c r="AH82" i="77"/>
  <c r="AC82" i="77"/>
  <c r="AW81" i="77"/>
  <c r="AR81" i="77"/>
  <c r="AM81" i="77"/>
  <c r="AH81" i="77"/>
  <c r="AC81" i="77"/>
  <c r="AW80" i="77"/>
  <c r="AR80" i="77"/>
  <c r="AM80" i="77"/>
  <c r="AH80" i="77"/>
  <c r="AC80" i="77"/>
  <c r="AC79" i="77"/>
  <c r="BA63" i="77"/>
  <c r="AZ63" i="77"/>
  <c r="AY63" i="77"/>
  <c r="AX63" i="77"/>
  <c r="AW63" i="77"/>
  <c r="AV63" i="77"/>
  <c r="AU63" i="77"/>
  <c r="AT63" i="77"/>
  <c r="AS63" i="77"/>
  <c r="AR63" i="77"/>
  <c r="AQ63" i="77"/>
  <c r="AP63" i="77"/>
  <c r="AO63" i="77"/>
  <c r="AN63" i="77"/>
  <c r="AM63" i="77"/>
  <c r="AL63" i="77"/>
  <c r="AK63" i="77"/>
  <c r="AJ63" i="77"/>
  <c r="AI63" i="77"/>
  <c r="AH63" i="77"/>
  <c r="AG63" i="77"/>
  <c r="AF63" i="77"/>
  <c r="AE63" i="77"/>
  <c r="AD63" i="77"/>
  <c r="AC63" i="77"/>
  <c r="AW62" i="77"/>
  <c r="AR62" i="77"/>
  <c r="AM62" i="77"/>
  <c r="AH62" i="77"/>
  <c r="AC62" i="77"/>
  <c r="AW61" i="77"/>
  <c r="AR61" i="77"/>
  <c r="AM61" i="77"/>
  <c r="AH61" i="77"/>
  <c r="AC61" i="77"/>
  <c r="AW60" i="77"/>
  <c r="AR60" i="77"/>
  <c r="AM60" i="77"/>
  <c r="AH60" i="77"/>
  <c r="AC60" i="77"/>
  <c r="AW59" i="77"/>
  <c r="AR59" i="77"/>
  <c r="AM59" i="77"/>
  <c r="AH59" i="77"/>
  <c r="AC59" i="77"/>
  <c r="AW58" i="77"/>
  <c r="AR58" i="77"/>
  <c r="AM58" i="77"/>
  <c r="AH58" i="77"/>
  <c r="AC58" i="77"/>
  <c r="AW57" i="77"/>
  <c r="AR57" i="77"/>
  <c r="AM57" i="77"/>
  <c r="AH57" i="77"/>
  <c r="AC57" i="77"/>
  <c r="AC56" i="77"/>
  <c r="AC55" i="77"/>
  <c r="BA39" i="77"/>
  <c r="AZ39" i="77"/>
  <c r="AY39" i="77"/>
  <c r="AX39" i="77"/>
  <c r="AW39" i="77"/>
  <c r="AV39" i="77"/>
  <c r="AU39" i="77"/>
  <c r="AT39" i="77"/>
  <c r="AS39" i="77"/>
  <c r="AR39" i="77"/>
  <c r="AQ39" i="77"/>
  <c r="AP39" i="77"/>
  <c r="AO39" i="77"/>
  <c r="AN39" i="77"/>
  <c r="AM39" i="77"/>
  <c r="AL39" i="77"/>
  <c r="AK39" i="77"/>
  <c r="AJ39" i="77"/>
  <c r="AI39" i="77"/>
  <c r="AH39" i="77"/>
  <c r="AG39" i="77"/>
  <c r="AF39" i="77"/>
  <c r="AE39" i="77"/>
  <c r="AD39" i="77"/>
  <c r="AC39" i="77"/>
  <c r="AW38" i="77"/>
  <c r="AR38" i="77"/>
  <c r="AM38" i="77"/>
  <c r="AH38" i="77"/>
  <c r="AC38" i="77"/>
  <c r="AW37" i="77"/>
  <c r="AR37" i="77"/>
  <c r="AM37" i="77"/>
  <c r="AH37" i="77"/>
  <c r="AC37" i="77"/>
  <c r="AW36" i="77"/>
  <c r="AR36" i="77"/>
  <c r="AM36" i="77"/>
  <c r="AH36" i="77"/>
  <c r="AC36" i="77"/>
  <c r="AW35" i="77"/>
  <c r="AR35" i="77"/>
  <c r="AM35" i="77"/>
  <c r="AH35" i="77"/>
  <c r="AC35" i="77"/>
  <c r="AW34" i="77"/>
  <c r="AR34" i="77"/>
  <c r="AM34" i="77"/>
  <c r="AH34" i="77"/>
  <c r="AC34" i="77"/>
  <c r="AW33" i="77"/>
  <c r="AR33" i="77"/>
  <c r="AM33" i="77"/>
  <c r="AH33" i="77"/>
  <c r="AC33" i="77"/>
  <c r="AC32" i="77"/>
  <c r="AC9" i="77"/>
  <c r="AW15" i="77"/>
  <c r="AW14" i="77"/>
  <c r="AW13" i="77"/>
  <c r="AW12" i="77"/>
  <c r="AW11" i="77"/>
  <c r="AW10" i="77"/>
  <c r="AR15" i="77"/>
  <c r="AR14" i="77"/>
  <c r="AR13" i="77"/>
  <c r="AR12" i="77"/>
  <c r="AR11" i="77"/>
  <c r="AR10" i="77"/>
  <c r="AM15" i="77"/>
  <c r="AM14" i="77"/>
  <c r="AM13" i="77"/>
  <c r="AM12" i="77"/>
  <c r="AM11" i="77"/>
  <c r="AM10" i="77"/>
  <c r="AH15" i="77"/>
  <c r="AH14" i="77"/>
  <c r="AH13" i="77"/>
  <c r="AH12" i="77"/>
  <c r="AH11" i="77"/>
  <c r="AH10" i="77"/>
  <c r="AC15" i="77"/>
  <c r="AC14" i="77"/>
  <c r="AC13" i="77"/>
  <c r="AC12" i="77"/>
  <c r="AC11" i="77"/>
  <c r="AC10" i="77"/>
  <c r="AC8" i="77"/>
  <c r="BA16" i="77"/>
  <c r="AZ16" i="77"/>
  <c r="AY16" i="77"/>
  <c r="AX16" i="77"/>
  <c r="AW16" i="77"/>
  <c r="AV16" i="77"/>
  <c r="AU16" i="77"/>
  <c r="AT16" i="77"/>
  <c r="AS16" i="77"/>
  <c r="AR16" i="77"/>
  <c r="AQ16" i="77"/>
  <c r="AP16" i="77"/>
  <c r="AO16" i="77"/>
  <c r="AN16" i="77"/>
  <c r="AM16" i="77"/>
  <c r="AL16" i="77"/>
  <c r="AK16" i="77"/>
  <c r="AJ16" i="77"/>
  <c r="AI16" i="77"/>
  <c r="AH16" i="77"/>
  <c r="AG16" i="77"/>
  <c r="AF16" i="77"/>
  <c r="AE16" i="77"/>
  <c r="AD16" i="77"/>
  <c r="AC16" i="77"/>
  <c r="D1" i="77"/>
  <c r="AW145" i="77" s="1"/>
  <c r="A1" i="77"/>
  <c r="BY10" i="73"/>
  <c r="CE10" i="73" s="1"/>
  <c r="BS10" i="73"/>
  <c r="BM10" i="73"/>
  <c r="CJ9" i="73"/>
  <c r="CI9" i="73"/>
  <c r="CH9" i="73"/>
  <c r="CG9" i="73"/>
  <c r="CF9" i="73"/>
  <c r="CE9" i="73"/>
  <c r="CD9" i="73"/>
  <c r="CC9" i="73"/>
  <c r="CB9" i="73"/>
  <c r="CA9" i="73"/>
  <c r="BZ9" i="73"/>
  <c r="BY9" i="73"/>
  <c r="BX9" i="73"/>
  <c r="BW9" i="73"/>
  <c r="BV9" i="73"/>
  <c r="BU9" i="73"/>
  <c r="BT9" i="73"/>
  <c r="BS9" i="73"/>
  <c r="BR9" i="73"/>
  <c r="BQ9" i="73"/>
  <c r="BP9" i="73"/>
  <c r="BO9" i="73"/>
  <c r="BN9" i="73"/>
  <c r="BM9" i="73"/>
  <c r="D1" i="73"/>
  <c r="BI49" i="73" s="1"/>
  <c r="A1" i="73"/>
  <c r="AD54" i="77" l="1"/>
  <c r="AX26" i="77"/>
  <c r="M12" i="47"/>
  <c r="AK27" i="77"/>
  <c r="AE48" i="77"/>
  <c r="AU22" i="77"/>
  <c r="BA30" i="77"/>
  <c r="AU48" i="77"/>
  <c r="AR77" i="77"/>
  <c r="AJ23" i="77"/>
  <c r="AN31" i="77"/>
  <c r="AH53" i="77"/>
  <c r="AQ93" i="77"/>
  <c r="N42" i="47"/>
  <c r="AV23" i="77"/>
  <c r="AX27" i="77"/>
  <c r="BA31" i="77"/>
  <c r="AL49" i="77"/>
  <c r="AU97" i="77"/>
  <c r="I36" i="47"/>
  <c r="J45" i="48"/>
  <c r="AE17" i="85" s="1"/>
  <c r="K37" i="47"/>
  <c r="AJ24" i="77"/>
  <c r="AM28" i="77"/>
  <c r="AC50" i="77"/>
  <c r="AC69" i="77"/>
  <c r="M28" i="47"/>
  <c r="K30" i="48"/>
  <c r="AV24" i="77"/>
  <c r="AY28" i="77"/>
  <c r="AP45" i="77"/>
  <c r="AS50" i="77"/>
  <c r="AX70" i="77"/>
  <c r="AH117" i="77"/>
  <c r="M20" i="47"/>
  <c r="K17" i="48"/>
  <c r="AJ25" i="77"/>
  <c r="AM29" i="77"/>
  <c r="AG46" i="77"/>
  <c r="AJ51" i="77"/>
  <c r="AO72" i="77"/>
  <c r="BA123" i="77"/>
  <c r="K20" i="47"/>
  <c r="I12" i="47"/>
  <c r="AX25" i="77"/>
  <c r="AY29" i="77"/>
  <c r="AW46" i="77"/>
  <c r="AZ51" i="77"/>
  <c r="AF74" i="77"/>
  <c r="M17" i="47"/>
  <c r="AH22" i="77"/>
  <c r="AK26" i="77"/>
  <c r="AM30" i="77"/>
  <c r="AN47" i="77"/>
  <c r="AQ52" i="77"/>
  <c r="BA75" i="77"/>
  <c r="K15" i="47"/>
  <c r="AK22" i="77"/>
  <c r="AX46" i="77"/>
  <c r="AT50" i="77"/>
  <c r="AV72" i="77"/>
  <c r="AD76" i="77"/>
  <c r="AR93" i="77"/>
  <c r="AX117" i="77"/>
  <c r="AO22" i="77"/>
  <c r="AO23" i="77"/>
  <c r="AQ24" i="77"/>
  <c r="AQ25" i="77"/>
  <c r="AQ26" i="77"/>
  <c r="AR27" i="77"/>
  <c r="AR28" i="77"/>
  <c r="AT29" i="77"/>
  <c r="AT30" i="77"/>
  <c r="AT31" i="77"/>
  <c r="AX45" i="77"/>
  <c r="AF47" i="77"/>
  <c r="AM48" i="77"/>
  <c r="AT49" i="77"/>
  <c r="BA50" i="77"/>
  <c r="AI52" i="77"/>
  <c r="AP53" i="77"/>
  <c r="AZ69" i="77"/>
  <c r="AM73" i="77"/>
  <c r="AT76" i="77"/>
  <c r="AS94" i="77"/>
  <c r="AV119" i="77"/>
  <c r="M38" i="47"/>
  <c r="K19" i="47"/>
  <c r="J41" i="48"/>
  <c r="AK23" i="77"/>
  <c r="AK24" i="77"/>
  <c r="AL25" i="77"/>
  <c r="AL26" i="77"/>
  <c r="AN27" i="77"/>
  <c r="AN28" i="77"/>
  <c r="AN29" i="77"/>
  <c r="AO30" i="77"/>
  <c r="AO31" i="77"/>
  <c r="AQ45" i="77"/>
  <c r="AF48" i="77"/>
  <c r="AM49" i="77"/>
  <c r="BA51" i="77"/>
  <c r="AI53" i="77"/>
  <c r="AJ69" i="77"/>
  <c r="AT22" i="77"/>
  <c r="AT23" i="77"/>
  <c r="AU24" i="77"/>
  <c r="AU25" i="77"/>
  <c r="AW26" i="77"/>
  <c r="AW27" i="77"/>
  <c r="AW28" i="77"/>
  <c r="AX29" i="77"/>
  <c r="AX30" i="77"/>
  <c r="AZ31" i="77"/>
  <c r="AF46" i="77"/>
  <c r="AM47" i="77"/>
  <c r="AT48" i="77"/>
  <c r="BA49" i="77"/>
  <c r="AI51" i="77"/>
  <c r="AP52" i="77"/>
  <c r="BA53" i="77"/>
  <c r="AR70" i="77"/>
  <c r="AE74" i="77"/>
  <c r="AQ77" i="77"/>
  <c r="AE96" i="77"/>
  <c r="AZ123" i="77"/>
  <c r="I38" i="47"/>
  <c r="I18" i="47"/>
  <c r="L36" i="48"/>
  <c r="AW23" i="77"/>
  <c r="AY25" i="77"/>
  <c r="AZ27" i="77"/>
  <c r="AC30" i="77"/>
  <c r="AZ70" i="77"/>
  <c r="AI78" i="77"/>
  <c r="AL98" i="77"/>
  <c r="AO143" i="77"/>
  <c r="AC22" i="77"/>
  <c r="AC23" i="77"/>
  <c r="AC24" i="77"/>
  <c r="AD25" i="77"/>
  <c r="AD26" i="77"/>
  <c r="AF27" i="77"/>
  <c r="AF28" i="77"/>
  <c r="AF29" i="77"/>
  <c r="AG30" i="77"/>
  <c r="AG31" i="77"/>
  <c r="AH45" i="77"/>
  <c r="AO46" i="77"/>
  <c r="AV47" i="77"/>
  <c r="AD49" i="77"/>
  <c r="AK50" i="77"/>
  <c r="AR51" i="77"/>
  <c r="AY52" i="77"/>
  <c r="AT54" i="77"/>
  <c r="AQ71" i="77"/>
  <c r="AD75" i="77"/>
  <c r="AR92" i="77"/>
  <c r="AJ100" i="77"/>
  <c r="AR148" i="77"/>
  <c r="M33" i="47"/>
  <c r="I14" i="47"/>
  <c r="AW22" i="77"/>
  <c r="AY24" i="77"/>
  <c r="AY26" i="77"/>
  <c r="AZ28" i="77"/>
  <c r="AC31" i="77"/>
  <c r="AH46" i="77"/>
  <c r="AO47" i="77"/>
  <c r="AV48" i="77"/>
  <c r="AD50" i="77"/>
  <c r="AK51" i="77"/>
  <c r="AR52" i="77"/>
  <c r="AH54" i="77"/>
  <c r="AM74" i="77"/>
  <c r="AG22" i="77"/>
  <c r="AG23" i="77"/>
  <c r="AI24" i="77"/>
  <c r="AI25" i="77"/>
  <c r="AI26" i="77"/>
  <c r="AJ27" i="77"/>
  <c r="AJ28" i="77"/>
  <c r="AL29" i="77"/>
  <c r="AL30" i="77"/>
  <c r="AL31" i="77"/>
  <c r="AO45" i="77"/>
  <c r="AV46" i="77"/>
  <c r="AD48" i="77"/>
  <c r="AK49" i="77"/>
  <c r="AR50" i="77"/>
  <c r="AY51" i="77"/>
  <c r="AG53" i="77"/>
  <c r="AN72" i="77"/>
  <c r="AU75" i="77"/>
  <c r="AK93" i="77"/>
  <c r="I45" i="48"/>
  <c r="AD17" i="85" s="1"/>
  <c r="I15" i="48"/>
  <c r="AL22" i="77"/>
  <c r="AX22" i="77"/>
  <c r="AL23" i="77"/>
  <c r="AZ23" i="77"/>
  <c r="AM24" i="77"/>
  <c r="AZ24" i="77"/>
  <c r="AM25" i="77"/>
  <c r="AZ25" i="77"/>
  <c r="AO26" i="77"/>
  <c r="BA26" i="77"/>
  <c r="AO27" i="77"/>
  <c r="BA27" i="77"/>
  <c r="AO28" i="77"/>
  <c r="AD29" i="77"/>
  <c r="AP29" i="77"/>
  <c r="AD30" i="77"/>
  <c r="AP30" i="77"/>
  <c r="AD31" i="77"/>
  <c r="AR31" i="77"/>
  <c r="AC45" i="77"/>
  <c r="AS45" i="77"/>
  <c r="AJ46" i="77"/>
  <c r="AZ46" i="77"/>
  <c r="AQ47" i="77"/>
  <c r="AH48" i="77"/>
  <c r="AX48" i="77"/>
  <c r="AO49" i="77"/>
  <c r="AF50" i="77"/>
  <c r="AV50" i="77"/>
  <c r="AM51" i="77"/>
  <c r="AD52" i="77"/>
  <c r="AT52" i="77"/>
  <c r="AK53" i="77"/>
  <c r="AJ54" i="77"/>
  <c r="AS69" i="77"/>
  <c r="AO71" i="77"/>
  <c r="AF73" i="77"/>
  <c r="AV74" i="77"/>
  <c r="AR76" i="77"/>
  <c r="AJ78" i="77"/>
  <c r="AJ94" i="77"/>
  <c r="AM98" i="77"/>
  <c r="AO119" i="77"/>
  <c r="AR124" i="77"/>
  <c r="M37" i="47"/>
  <c r="L33" i="47"/>
  <c r="J20" i="47"/>
  <c r="L17" i="47"/>
  <c r="K12" i="47"/>
  <c r="M41" i="48"/>
  <c r="M33" i="48"/>
  <c r="N13" i="48"/>
  <c r="J36" i="48"/>
  <c r="AM22" i="77"/>
  <c r="BA22" i="77"/>
  <c r="AN23" i="77"/>
  <c r="BA23" i="77"/>
  <c r="AN24" i="77"/>
  <c r="BA24" i="77"/>
  <c r="AP25" i="77"/>
  <c r="AC26" i="77"/>
  <c r="AP26" i="77"/>
  <c r="AC27" i="77"/>
  <c r="AP27" i="77"/>
  <c r="AE28" i="77"/>
  <c r="AQ28" i="77"/>
  <c r="AE29" i="77"/>
  <c r="AQ29" i="77"/>
  <c r="AE30" i="77"/>
  <c r="AS30" i="77"/>
  <c r="AF31" i="77"/>
  <c r="AS31" i="77"/>
  <c r="AG45" i="77"/>
  <c r="AW45" i="77"/>
  <c r="AN46" i="77"/>
  <c r="AE47" i="77"/>
  <c r="AU47" i="77"/>
  <c r="AL48" i="77"/>
  <c r="AC49" i="77"/>
  <c r="AS49" i="77"/>
  <c r="AJ50" i="77"/>
  <c r="AZ50" i="77"/>
  <c r="AQ51" i="77"/>
  <c r="AH52" i="77"/>
  <c r="AX52" i="77"/>
  <c r="AO53" i="77"/>
  <c r="AR54" i="77"/>
  <c r="AY69" i="77"/>
  <c r="AP71" i="77"/>
  <c r="AG73" i="77"/>
  <c r="AC75" i="77"/>
  <c r="AS76" i="77"/>
  <c r="AP78" i="77"/>
  <c r="AK94" i="77"/>
  <c r="AI100" i="77"/>
  <c r="AP119" i="77"/>
  <c r="AH142" i="77"/>
  <c r="L37" i="47"/>
  <c r="K33" i="47"/>
  <c r="I20" i="47"/>
  <c r="K17" i="47"/>
  <c r="J12" i="47"/>
  <c r="L41" i="48"/>
  <c r="I33" i="48"/>
  <c r="J13" i="48"/>
  <c r="AD22" i="77"/>
  <c r="AP22" i="77"/>
  <c r="AD23" i="77"/>
  <c r="AR23" i="77"/>
  <c r="AE24" i="77"/>
  <c r="AR24" i="77"/>
  <c r="AE25" i="77"/>
  <c r="AR25" i="77"/>
  <c r="AG26" i="77"/>
  <c r="AS26" i="77"/>
  <c r="AG27" i="77"/>
  <c r="AS27" i="77"/>
  <c r="AG28" i="77"/>
  <c r="AU28" i="77"/>
  <c r="AH29" i="77"/>
  <c r="AU29" i="77"/>
  <c r="AH30" i="77"/>
  <c r="AU30" i="77"/>
  <c r="AJ31" i="77"/>
  <c r="AV31" i="77"/>
  <c r="AI45" i="77"/>
  <c r="AY45" i="77"/>
  <c r="AP46" i="77"/>
  <c r="AG47" i="77"/>
  <c r="AW47" i="77"/>
  <c r="AN48" i="77"/>
  <c r="AE49" i="77"/>
  <c r="AU49" i="77"/>
  <c r="AL50" i="77"/>
  <c r="AC51" i="77"/>
  <c r="AS51" i="77"/>
  <c r="AJ52" i="77"/>
  <c r="AZ52" i="77"/>
  <c r="AQ53" i="77"/>
  <c r="AX54" i="77"/>
  <c r="AH70" i="77"/>
  <c r="AX71" i="77"/>
  <c r="AO73" i="77"/>
  <c r="AK75" i="77"/>
  <c r="BA76" i="77"/>
  <c r="AS92" i="77"/>
  <c r="AW95" i="77"/>
  <c r="AZ100" i="77"/>
  <c r="AM121" i="77"/>
  <c r="AY143" i="77"/>
  <c r="J42" i="47"/>
  <c r="M36" i="47"/>
  <c r="K28" i="47"/>
  <c r="I19" i="47"/>
  <c r="I15" i="47"/>
  <c r="K11" i="47"/>
  <c r="I41" i="48"/>
  <c r="I30" i="48"/>
  <c r="L11" i="48"/>
  <c r="AE22" i="77"/>
  <c r="AS22" i="77"/>
  <c r="AF23" i="77"/>
  <c r="AS23" i="77"/>
  <c r="AF24" i="77"/>
  <c r="AS24" i="77"/>
  <c r="AH25" i="77"/>
  <c r="AT25" i="77"/>
  <c r="AH26" i="77"/>
  <c r="AT26" i="77"/>
  <c r="AH27" i="77"/>
  <c r="AV27" i="77"/>
  <c r="AI28" i="77"/>
  <c r="AV28" i="77"/>
  <c r="AI29" i="77"/>
  <c r="AV29" i="77"/>
  <c r="AK30" i="77"/>
  <c r="AW30" i="77"/>
  <c r="AK31" i="77"/>
  <c r="AW31" i="77"/>
  <c r="AK45" i="77"/>
  <c r="BA45" i="77"/>
  <c r="AR46" i="77"/>
  <c r="AI47" i="77"/>
  <c r="AY47" i="77"/>
  <c r="AP48" i="77"/>
  <c r="AG49" i="77"/>
  <c r="AW49" i="77"/>
  <c r="AN50" i="77"/>
  <c r="AE51" i="77"/>
  <c r="AU51" i="77"/>
  <c r="AL52" i="77"/>
  <c r="AC53" i="77"/>
  <c r="AS53" i="77"/>
  <c r="AZ54" i="77"/>
  <c r="AQ70" i="77"/>
  <c r="AH72" i="77"/>
  <c r="AD74" i="77"/>
  <c r="AT75" i="77"/>
  <c r="AK77" i="77"/>
  <c r="AT92" i="77"/>
  <c r="AX95" i="77"/>
  <c r="AD122" i="77"/>
  <c r="AI147" i="77"/>
  <c r="I41" i="47"/>
  <c r="K36" i="47"/>
  <c r="J28" i="47"/>
  <c r="N18" i="47"/>
  <c r="N14" i="47"/>
  <c r="I11" i="47"/>
  <c r="N37" i="48"/>
  <c r="I18" i="48"/>
  <c r="BA116" i="77"/>
  <c r="AE122" i="77"/>
  <c r="AK147" i="77"/>
  <c r="N38" i="47"/>
  <c r="J36" i="47"/>
  <c r="I28" i="47"/>
  <c r="M18" i="47"/>
  <c r="M14" i="47"/>
  <c r="I10" i="47"/>
  <c r="L37" i="48"/>
  <c r="M17" i="48"/>
  <c r="AF22" i="77"/>
  <c r="AN22" i="77"/>
  <c r="AV22" i="77"/>
  <c r="AE23" i="77"/>
  <c r="AM23" i="77"/>
  <c r="AU23" i="77"/>
  <c r="AD24" i="77"/>
  <c r="AL24" i="77"/>
  <c r="AT24" i="77"/>
  <c r="AC25" i="77"/>
  <c r="AK25" i="77"/>
  <c r="AS25" i="77"/>
  <c r="BA25" i="77"/>
  <c r="AJ26" i="77"/>
  <c r="AR26" i="77"/>
  <c r="AZ26" i="77"/>
  <c r="AI27" i="77"/>
  <c r="AQ27" i="77"/>
  <c r="AY27" i="77"/>
  <c r="AH28" i="77"/>
  <c r="AP28" i="77"/>
  <c r="AX28" i="77"/>
  <c r="AG29" i="77"/>
  <c r="AO29" i="77"/>
  <c r="AW29" i="77"/>
  <c r="AF30" i="77"/>
  <c r="AN30" i="77"/>
  <c r="AV30" i="77"/>
  <c r="AE31" i="77"/>
  <c r="AM31" i="77"/>
  <c r="AU31" i="77"/>
  <c r="AJ45" i="77"/>
  <c r="AR45" i="77"/>
  <c r="AZ45" i="77"/>
  <c r="AI46" i="77"/>
  <c r="AQ46" i="77"/>
  <c r="AY46" i="77"/>
  <c r="AH47" i="77"/>
  <c r="AP47" i="77"/>
  <c r="AX47" i="77"/>
  <c r="AG48" i="77"/>
  <c r="AO48" i="77"/>
  <c r="AW48" i="77"/>
  <c r="AF49" i="77"/>
  <c r="AN49" i="77"/>
  <c r="AV49" i="77"/>
  <c r="AE50" i="77"/>
  <c r="AM50" i="77"/>
  <c r="AU50" i="77"/>
  <c r="AD51" i="77"/>
  <c r="AL51" i="77"/>
  <c r="AT51" i="77"/>
  <c r="AC52" i="77"/>
  <c r="AK52" i="77"/>
  <c r="AS52" i="77"/>
  <c r="BA52" i="77"/>
  <c r="AJ53" i="77"/>
  <c r="AR53" i="77"/>
  <c r="AI54" i="77"/>
  <c r="AY54" i="77"/>
  <c r="AI69" i="77"/>
  <c r="BA69" i="77"/>
  <c r="AY70" i="77"/>
  <c r="AW71" i="77"/>
  <c r="AP72" i="77"/>
  <c r="AN73" i="77"/>
  <c r="AL74" i="77"/>
  <c r="AE75" i="77"/>
  <c r="AC76" i="77"/>
  <c r="AZ76" i="77"/>
  <c r="AS77" i="77"/>
  <c r="AQ78" i="77"/>
  <c r="AC92" i="77"/>
  <c r="AZ92" i="77"/>
  <c r="AS93" i="77"/>
  <c r="AT94" i="77"/>
  <c r="AU96" i="77"/>
  <c r="AS98" i="77"/>
  <c r="BA100" i="77"/>
  <c r="AY117" i="77"/>
  <c r="AM120" i="77"/>
  <c r="AK122" i="77"/>
  <c r="AS124" i="77"/>
  <c r="AH140" i="77"/>
  <c r="AD144" i="77"/>
  <c r="AY77" i="77"/>
  <c r="AR78" i="77"/>
  <c r="AD92" i="77"/>
  <c r="BA92" i="77"/>
  <c r="AY93" i="77"/>
  <c r="AW94" i="77"/>
  <c r="AV96" i="77"/>
  <c r="AJ99" i="77"/>
  <c r="AH101" i="77"/>
  <c r="AC116" i="77"/>
  <c r="AZ117" i="77"/>
  <c r="AN120" i="77"/>
  <c r="BA122" i="77"/>
  <c r="AY124" i="77"/>
  <c r="AJ140" i="77"/>
  <c r="AK145" i="77"/>
  <c r="AD45" i="77"/>
  <c r="AL45" i="77"/>
  <c r="AT45" i="77"/>
  <c r="AC46" i="77"/>
  <c r="AK46" i="77"/>
  <c r="AS46" i="77"/>
  <c r="BA46" i="77"/>
  <c r="AJ47" i="77"/>
  <c r="AR47" i="77"/>
  <c r="AZ47" i="77"/>
  <c r="AI48" i="77"/>
  <c r="AQ48" i="77"/>
  <c r="AY48" i="77"/>
  <c r="AH49" i="77"/>
  <c r="AP49" i="77"/>
  <c r="AX49" i="77"/>
  <c r="AG50" i="77"/>
  <c r="AO50" i="77"/>
  <c r="AW50" i="77"/>
  <c r="AF51" i="77"/>
  <c r="AN51" i="77"/>
  <c r="AV51" i="77"/>
  <c r="AE52" i="77"/>
  <c r="AM52" i="77"/>
  <c r="AU52" i="77"/>
  <c r="AD53" i="77"/>
  <c r="AL53" i="77"/>
  <c r="AU53" i="77"/>
  <c r="AL54" i="77"/>
  <c r="AK69" i="77"/>
  <c r="AI70" i="77"/>
  <c r="AG71" i="77"/>
  <c r="AY71" i="77"/>
  <c r="AW72" i="77"/>
  <c r="AU73" i="77"/>
  <c r="AN74" i="77"/>
  <c r="AL75" i="77"/>
  <c r="AJ76" i="77"/>
  <c r="AC77" i="77"/>
  <c r="AZ77" i="77"/>
  <c r="AX78" i="77"/>
  <c r="AJ92" i="77"/>
  <c r="AC93" i="77"/>
  <c r="AZ93" i="77"/>
  <c r="AG95" i="77"/>
  <c r="AW96" i="77"/>
  <c r="AK99" i="77"/>
  <c r="AX101" i="77"/>
  <c r="AI116" i="77"/>
  <c r="AQ118" i="77"/>
  <c r="AO120" i="77"/>
  <c r="AC123" i="77"/>
  <c r="AP125" i="77"/>
  <c r="AT140" i="77"/>
  <c r="AM145" i="77"/>
  <c r="AI22" i="77"/>
  <c r="AQ22" i="77"/>
  <c r="AY22" i="77"/>
  <c r="AH23" i="77"/>
  <c r="AP23" i="77"/>
  <c r="AX23" i="77"/>
  <c r="AG24" i="77"/>
  <c r="AO24" i="77"/>
  <c r="AW24" i="77"/>
  <c r="AF25" i="77"/>
  <c r="AN25" i="77"/>
  <c r="AV25" i="77"/>
  <c r="AE26" i="77"/>
  <c r="AM26" i="77"/>
  <c r="AU26" i="77"/>
  <c r="AD27" i="77"/>
  <c r="AL27" i="77"/>
  <c r="AT27" i="77"/>
  <c r="AC28" i="77"/>
  <c r="AK28" i="77"/>
  <c r="AS28" i="77"/>
  <c r="BA28" i="77"/>
  <c r="AJ29" i="77"/>
  <c r="AR29" i="77"/>
  <c r="AZ29" i="77"/>
  <c r="AI30" i="77"/>
  <c r="AQ30" i="77"/>
  <c r="AY30" i="77"/>
  <c r="AH31" i="77"/>
  <c r="AP31" i="77"/>
  <c r="AX31" i="77"/>
  <c r="AE45" i="77"/>
  <c r="AM45" i="77"/>
  <c r="AU45" i="77"/>
  <c r="AD46" i="77"/>
  <c r="AL46" i="77"/>
  <c r="AT46" i="77"/>
  <c r="AC47" i="77"/>
  <c r="AK47" i="77"/>
  <c r="AS47" i="77"/>
  <c r="BA47" i="77"/>
  <c r="AJ48" i="77"/>
  <c r="AR48" i="77"/>
  <c r="AZ48" i="77"/>
  <c r="AI49" i="77"/>
  <c r="AQ49" i="77"/>
  <c r="AY49" i="77"/>
  <c r="AH50" i="77"/>
  <c r="AP50" i="77"/>
  <c r="AX50" i="77"/>
  <c r="AG51" i="77"/>
  <c r="AO51" i="77"/>
  <c r="AW51" i="77"/>
  <c r="AF52" i="77"/>
  <c r="AN52" i="77"/>
  <c r="AV52" i="77"/>
  <c r="AE53" i="77"/>
  <c r="AM53" i="77"/>
  <c r="AY53" i="77"/>
  <c r="AP54" i="77"/>
  <c r="AQ69" i="77"/>
  <c r="AJ70" i="77"/>
  <c r="AH71" i="77"/>
  <c r="AF72" i="77"/>
  <c r="AX72" i="77"/>
  <c r="AV73" i="77"/>
  <c r="AT74" i="77"/>
  <c r="AM75" i="77"/>
  <c r="AK76" i="77"/>
  <c r="AI77" i="77"/>
  <c r="BA77" i="77"/>
  <c r="AY78" i="77"/>
  <c r="AK92" i="77"/>
  <c r="AI93" i="77"/>
  <c r="BA93" i="77"/>
  <c r="AH95" i="77"/>
  <c r="AN97" i="77"/>
  <c r="AL99" i="77"/>
  <c r="AY101" i="77"/>
  <c r="AJ116" i="77"/>
  <c r="AW118" i="77"/>
  <c r="AF121" i="77"/>
  <c r="AD123" i="77"/>
  <c r="AQ125" i="77"/>
  <c r="BA141" i="77"/>
  <c r="AY148" i="77"/>
  <c r="AQ148" i="77"/>
  <c r="AI148" i="77"/>
  <c r="AZ147" i="77"/>
  <c r="AR147" i="77"/>
  <c r="AJ147" i="77"/>
  <c r="BA146" i="77"/>
  <c r="AS146" i="77"/>
  <c r="AK146" i="77"/>
  <c r="AC146" i="77"/>
  <c r="AT145" i="77"/>
  <c r="AL145" i="77"/>
  <c r="AD145" i="77"/>
  <c r="AU144" i="77"/>
  <c r="AM144" i="77"/>
  <c r="AE144" i="77"/>
  <c r="AV143" i="77"/>
  <c r="AN143" i="77"/>
  <c r="AF143" i="77"/>
  <c r="AW142" i="77"/>
  <c r="AO142" i="77"/>
  <c r="AG142" i="77"/>
  <c r="AX141" i="77"/>
  <c r="AP141" i="77"/>
  <c r="AH141" i="77"/>
  <c r="AY140" i="77"/>
  <c r="AQ140" i="77"/>
  <c r="AI140" i="77"/>
  <c r="AZ139" i="77"/>
  <c r="AR139" i="77"/>
  <c r="AJ139" i="77"/>
  <c r="AW125" i="77"/>
  <c r="AW148" i="77"/>
  <c r="AO148" i="77"/>
  <c r="AG148" i="77"/>
  <c r="AX147" i="77"/>
  <c r="AP147" i="77"/>
  <c r="AH147" i="77"/>
  <c r="AY146" i="77"/>
  <c r="AQ146" i="77"/>
  <c r="AI146" i="77"/>
  <c r="AZ145" i="77"/>
  <c r="AR145" i="77"/>
  <c r="AJ145" i="77"/>
  <c r="BA144" i="77"/>
  <c r="AS144" i="77"/>
  <c r="AK144" i="77"/>
  <c r="AC144" i="77"/>
  <c r="AT143" i="77"/>
  <c r="AL143" i="77"/>
  <c r="AD143" i="77"/>
  <c r="AU142" i="77"/>
  <c r="AM142" i="77"/>
  <c r="AE142" i="77"/>
  <c r="AV141" i="77"/>
  <c r="AN141" i="77"/>
  <c r="AF141" i="77"/>
  <c r="AW140" i="77"/>
  <c r="AO140" i="77"/>
  <c r="AG140" i="77"/>
  <c r="AX139" i="77"/>
  <c r="AP139" i="77"/>
  <c r="AH139" i="77"/>
  <c r="AV148" i="77"/>
  <c r="AN148" i="77"/>
  <c r="AF148" i="77"/>
  <c r="AW147" i="77"/>
  <c r="AO147" i="77"/>
  <c r="AG147" i="77"/>
  <c r="AX146" i="77"/>
  <c r="AP146" i="77"/>
  <c r="AH146" i="77"/>
  <c r="AY145" i="77"/>
  <c r="AQ145" i="77"/>
  <c r="AI145" i="77"/>
  <c r="AZ144" i="77"/>
  <c r="AR144" i="77"/>
  <c r="AJ144" i="77"/>
  <c r="BA143" i="77"/>
  <c r="AS143" i="77"/>
  <c r="AK143" i="77"/>
  <c r="AC143" i="77"/>
  <c r="AT142" i="77"/>
  <c r="AL142" i="77"/>
  <c r="AD142" i="77"/>
  <c r="AU141" i="77"/>
  <c r="AM141" i="77"/>
  <c r="AE141" i="77"/>
  <c r="AV140" i="77"/>
  <c r="AN140" i="77"/>
  <c r="AF140" i="77"/>
  <c r="AW139" i="77"/>
  <c r="AO139" i="77"/>
  <c r="AG139" i="77"/>
  <c r="AU148" i="77"/>
  <c r="AM148" i="77"/>
  <c r="AE148" i="77"/>
  <c r="AV147" i="77"/>
  <c r="AN147" i="77"/>
  <c r="AF147" i="77"/>
  <c r="AW146" i="77"/>
  <c r="AO146" i="77"/>
  <c r="AG146" i="77"/>
  <c r="AX145" i="77"/>
  <c r="AP145" i="77"/>
  <c r="AH145" i="77"/>
  <c r="AY144" i="77"/>
  <c r="AQ144" i="77"/>
  <c r="AI144" i="77"/>
  <c r="AZ143" i="77"/>
  <c r="AR143" i="77"/>
  <c r="AJ143" i="77"/>
  <c r="BA142" i="77"/>
  <c r="AS142" i="77"/>
  <c r="AK142" i="77"/>
  <c r="AC142" i="77"/>
  <c r="AT141" i="77"/>
  <c r="AL141" i="77"/>
  <c r="AD141" i="77"/>
  <c r="AU140" i="77"/>
  <c r="AM140" i="77"/>
  <c r="AE140" i="77"/>
  <c r="AV139" i="77"/>
  <c r="AN139" i="77"/>
  <c r="AF139" i="77"/>
  <c r="BA148" i="77"/>
  <c r="AK148" i="77"/>
  <c r="AT147" i="77"/>
  <c r="AD147" i="77"/>
  <c r="AM146" i="77"/>
  <c r="AV145" i="77"/>
  <c r="AF145" i="77"/>
  <c r="AO144" i="77"/>
  <c r="AX143" i="77"/>
  <c r="AH143" i="77"/>
  <c r="AQ142" i="77"/>
  <c r="AZ141" i="77"/>
  <c r="AJ141" i="77"/>
  <c r="AS140" i="77"/>
  <c r="AC140" i="77"/>
  <c r="AL139" i="77"/>
  <c r="AX125" i="77"/>
  <c r="AO125" i="77"/>
  <c r="AG125" i="77"/>
  <c r="AX124" i="77"/>
  <c r="AP124" i="77"/>
  <c r="AH124" i="77"/>
  <c r="AY123" i="77"/>
  <c r="AQ123" i="77"/>
  <c r="AI123" i="77"/>
  <c r="AZ122" i="77"/>
  <c r="AR122" i="77"/>
  <c r="AJ122" i="77"/>
  <c r="BA121" i="77"/>
  <c r="AS121" i="77"/>
  <c r="AK121" i="77"/>
  <c r="AC121" i="77"/>
  <c r="AT120" i="77"/>
  <c r="AL120" i="77"/>
  <c r="AD120" i="77"/>
  <c r="AU119" i="77"/>
  <c r="AM119" i="77"/>
  <c r="AE119" i="77"/>
  <c r="AV118" i="77"/>
  <c r="AN118" i="77"/>
  <c r="AF118" i="77"/>
  <c r="AW117" i="77"/>
  <c r="AO117" i="77"/>
  <c r="AG117" i="77"/>
  <c r="AX116" i="77"/>
  <c r="AP116" i="77"/>
  <c r="AH116" i="77"/>
  <c r="AW101" i="77"/>
  <c r="AO101" i="77"/>
  <c r="AG101" i="77"/>
  <c r="AX100" i="77"/>
  <c r="AP100" i="77"/>
  <c r="AH100" i="77"/>
  <c r="AY99" i="77"/>
  <c r="AQ99" i="77"/>
  <c r="AI99" i="77"/>
  <c r="AZ98" i="77"/>
  <c r="AR98" i="77"/>
  <c r="AJ98" i="77"/>
  <c r="BA97" i="77"/>
  <c r="AS97" i="77"/>
  <c r="AK97" i="77"/>
  <c r="AC97" i="77"/>
  <c r="AT96" i="77"/>
  <c r="AL96" i="77"/>
  <c r="AD96" i="77"/>
  <c r="AU95" i="77"/>
  <c r="AM95" i="77"/>
  <c r="AE95" i="77"/>
  <c r="AV94" i="77"/>
  <c r="AZ148" i="77"/>
  <c r="AJ148" i="77"/>
  <c r="AS147" i="77"/>
  <c r="AC147" i="77"/>
  <c r="AL146" i="77"/>
  <c r="AU145" i="77"/>
  <c r="AE145" i="77"/>
  <c r="AN144" i="77"/>
  <c r="AW143" i="77"/>
  <c r="AG143" i="77"/>
  <c r="AP142" i="77"/>
  <c r="AY141" i="77"/>
  <c r="AI141" i="77"/>
  <c r="AR140" i="77"/>
  <c r="BA139" i="77"/>
  <c r="AK139" i="77"/>
  <c r="AV125" i="77"/>
  <c r="AN125" i="77"/>
  <c r="AF125" i="77"/>
  <c r="AW124" i="77"/>
  <c r="AO124" i="77"/>
  <c r="AG124" i="77"/>
  <c r="AX123" i="77"/>
  <c r="AP123" i="77"/>
  <c r="AH123" i="77"/>
  <c r="AY122" i="77"/>
  <c r="AQ122" i="77"/>
  <c r="AI122" i="77"/>
  <c r="AZ121" i="77"/>
  <c r="AR121" i="77"/>
  <c r="AJ121" i="77"/>
  <c r="BA120" i="77"/>
  <c r="AS120" i="77"/>
  <c r="AK120" i="77"/>
  <c r="AC120" i="77"/>
  <c r="AT119" i="77"/>
  <c r="AL119" i="77"/>
  <c r="AD119" i="77"/>
  <c r="AU118" i="77"/>
  <c r="AM118" i="77"/>
  <c r="AE118" i="77"/>
  <c r="AV117" i="77"/>
  <c r="AN117" i="77"/>
  <c r="AF117" i="77"/>
  <c r="AW116" i="77"/>
  <c r="AO116" i="77"/>
  <c r="AG116" i="77"/>
  <c r="AV101" i="77"/>
  <c r="AN101" i="77"/>
  <c r="AF101" i="77"/>
  <c r="AW100" i="77"/>
  <c r="AO100" i="77"/>
  <c r="AG100" i="77"/>
  <c r="AX99" i="77"/>
  <c r="AP99" i="77"/>
  <c r="AH99" i="77"/>
  <c r="AY98" i="77"/>
  <c r="AQ98" i="77"/>
  <c r="AI98" i="77"/>
  <c r="AZ97" i="77"/>
  <c r="AR97" i="77"/>
  <c r="AJ97" i="77"/>
  <c r="BA96" i="77"/>
  <c r="AS96" i="77"/>
  <c r="AK96" i="77"/>
  <c r="AC96" i="77"/>
  <c r="AT95" i="77"/>
  <c r="AL95" i="77"/>
  <c r="AD95" i="77"/>
  <c r="AU94" i="77"/>
  <c r="AM94" i="77"/>
  <c r="AE94" i="77"/>
  <c r="AX148" i="77"/>
  <c r="AH148" i="77"/>
  <c r="AQ147" i="77"/>
  <c r="AZ146" i="77"/>
  <c r="AJ146" i="77"/>
  <c r="AS145" i="77"/>
  <c r="AC145" i="77"/>
  <c r="AL144" i="77"/>
  <c r="AU143" i="77"/>
  <c r="AE143" i="77"/>
  <c r="AN142" i="77"/>
  <c r="AW141" i="77"/>
  <c r="AG141" i="77"/>
  <c r="AP140" i="77"/>
  <c r="AY139" i="77"/>
  <c r="AI139" i="77"/>
  <c r="AU125" i="77"/>
  <c r="AM125" i="77"/>
  <c r="AE125" i="77"/>
  <c r="AV124" i="77"/>
  <c r="AN124" i="77"/>
  <c r="AF124" i="77"/>
  <c r="AW123" i="77"/>
  <c r="AO123" i="77"/>
  <c r="AG123" i="77"/>
  <c r="AX122" i="77"/>
  <c r="AP122" i="77"/>
  <c r="AH122" i="77"/>
  <c r="AY121" i="77"/>
  <c r="AQ121" i="77"/>
  <c r="AI121" i="77"/>
  <c r="AZ120" i="77"/>
  <c r="AR120" i="77"/>
  <c r="AJ120" i="77"/>
  <c r="BA119" i="77"/>
  <c r="AS119" i="77"/>
  <c r="AK119" i="77"/>
  <c r="AC119" i="77"/>
  <c r="AT118" i="77"/>
  <c r="AL118" i="77"/>
  <c r="AD118" i="77"/>
  <c r="AU117" i="77"/>
  <c r="AM117" i="77"/>
  <c r="AE117" i="77"/>
  <c r="AV116" i="77"/>
  <c r="AN116" i="77"/>
  <c r="AF116" i="77"/>
  <c r="AU101" i="77"/>
  <c r="AM101" i="77"/>
  <c r="AE101" i="77"/>
  <c r="AV100" i="77"/>
  <c r="AN100" i="77"/>
  <c r="AF100" i="77"/>
  <c r="AW99" i="77"/>
  <c r="AO99" i="77"/>
  <c r="AG99" i="77"/>
  <c r="AX98" i="77"/>
  <c r="AP98" i="77"/>
  <c r="AH98" i="77"/>
  <c r="AY97" i="77"/>
  <c r="AQ97" i="77"/>
  <c r="AI97" i="77"/>
  <c r="AZ96" i="77"/>
  <c r="AR96" i="77"/>
  <c r="AJ96" i="77"/>
  <c r="BA95" i="77"/>
  <c r="AS95" i="77"/>
  <c r="AK95" i="77"/>
  <c r="AT148" i="77"/>
  <c r="AD148" i="77"/>
  <c r="AM147" i="77"/>
  <c r="AV146" i="77"/>
  <c r="AF146" i="77"/>
  <c r="AO145" i="77"/>
  <c r="AX144" i="77"/>
  <c r="AH144" i="77"/>
  <c r="AQ143" i="77"/>
  <c r="AZ142" i="77"/>
  <c r="AJ142" i="77"/>
  <c r="AS141" i="77"/>
  <c r="AC141" i="77"/>
  <c r="AL140" i="77"/>
  <c r="AU139" i="77"/>
  <c r="AE139" i="77"/>
  <c r="AT125" i="77"/>
  <c r="AL125" i="77"/>
  <c r="AD125" i="77"/>
  <c r="AU124" i="77"/>
  <c r="AM124" i="77"/>
  <c r="AE124" i="77"/>
  <c r="AV123" i="77"/>
  <c r="AN123" i="77"/>
  <c r="AF123" i="77"/>
  <c r="AW122" i="77"/>
  <c r="AO122" i="77"/>
  <c r="AG122" i="77"/>
  <c r="AX121" i="77"/>
  <c r="AP121" i="77"/>
  <c r="AH121" i="77"/>
  <c r="AY120" i="77"/>
  <c r="AQ120" i="77"/>
  <c r="AI120" i="77"/>
  <c r="AZ119" i="77"/>
  <c r="AR119" i="77"/>
  <c r="AJ119" i="77"/>
  <c r="BA118" i="77"/>
  <c r="AS118" i="77"/>
  <c r="AK118" i="77"/>
  <c r="AC118" i="77"/>
  <c r="AT117" i="77"/>
  <c r="AL117" i="77"/>
  <c r="AD117" i="77"/>
  <c r="AU116" i="77"/>
  <c r="AM116" i="77"/>
  <c r="AE116" i="77"/>
  <c r="AT101" i="77"/>
  <c r="AL101" i="77"/>
  <c r="AD101" i="77"/>
  <c r="AU100" i="77"/>
  <c r="AM100" i="77"/>
  <c r="AE100" i="77"/>
  <c r="AV99" i="77"/>
  <c r="AN99" i="77"/>
  <c r="AF99" i="77"/>
  <c r="AW98" i="77"/>
  <c r="AO98" i="77"/>
  <c r="AG98" i="77"/>
  <c r="AX97" i="77"/>
  <c r="AP97" i="77"/>
  <c r="AH97" i="77"/>
  <c r="AY96" i="77"/>
  <c r="AQ96" i="77"/>
  <c r="AI96" i="77"/>
  <c r="AZ95" i="77"/>
  <c r="AS148" i="77"/>
  <c r="AC148" i="77"/>
  <c r="AL147" i="77"/>
  <c r="AU146" i="77"/>
  <c r="AE146" i="77"/>
  <c r="AN145" i="77"/>
  <c r="AW144" i="77"/>
  <c r="AG144" i="77"/>
  <c r="AP143" i="77"/>
  <c r="AY142" i="77"/>
  <c r="AI142" i="77"/>
  <c r="AR141" i="77"/>
  <c r="BA140" i="77"/>
  <c r="AK140" i="77"/>
  <c r="AT139" i="77"/>
  <c r="AD139" i="77"/>
  <c r="AS125" i="77"/>
  <c r="AK125" i="77"/>
  <c r="AC125" i="77"/>
  <c r="AT124" i="77"/>
  <c r="AL124" i="77"/>
  <c r="AD124" i="77"/>
  <c r="AU123" i="77"/>
  <c r="AM123" i="77"/>
  <c r="AE123" i="77"/>
  <c r="AV122" i="77"/>
  <c r="AN122" i="77"/>
  <c r="AF122" i="77"/>
  <c r="AW121" i="77"/>
  <c r="AO121" i="77"/>
  <c r="AG121" i="77"/>
  <c r="AX120" i="77"/>
  <c r="AP120" i="77"/>
  <c r="AH120" i="77"/>
  <c r="AY119" i="77"/>
  <c r="AQ119" i="77"/>
  <c r="AI119" i="77"/>
  <c r="AZ118" i="77"/>
  <c r="AR118" i="77"/>
  <c r="AJ118" i="77"/>
  <c r="BA117" i="77"/>
  <c r="AS117" i="77"/>
  <c r="AK117" i="77"/>
  <c r="AC117" i="77"/>
  <c r="AT116" i="77"/>
  <c r="AL116" i="77"/>
  <c r="AD116" i="77"/>
  <c r="BA101" i="77"/>
  <c r="AS101" i="77"/>
  <c r="AK101" i="77"/>
  <c r="AC101" i="77"/>
  <c r="AT100" i="77"/>
  <c r="AL100" i="77"/>
  <c r="AD100" i="77"/>
  <c r="AU99" i="77"/>
  <c r="AM99" i="77"/>
  <c r="AE99" i="77"/>
  <c r="AV98" i="77"/>
  <c r="AN98" i="77"/>
  <c r="AF98" i="77"/>
  <c r="AW97" i="77"/>
  <c r="AO97" i="77"/>
  <c r="AG97" i="77"/>
  <c r="AX96" i="77"/>
  <c r="AP96" i="77"/>
  <c r="AH96" i="77"/>
  <c r="AY95" i="77"/>
  <c r="AQ95" i="77"/>
  <c r="AI95" i="77"/>
  <c r="AZ94" i="77"/>
  <c r="AR94" i="77"/>
  <c r="AP148" i="77"/>
  <c r="AT146" i="77"/>
  <c r="AG145" i="77"/>
  <c r="AM143" i="77"/>
  <c r="AQ141" i="77"/>
  <c r="AD140" i="77"/>
  <c r="AJ125" i="77"/>
  <c r="AQ124" i="77"/>
  <c r="AS123" i="77"/>
  <c r="AU122" i="77"/>
  <c r="AC122" i="77"/>
  <c r="AE121" i="77"/>
  <c r="AG120" i="77"/>
  <c r="AN119" i="77"/>
  <c r="AP118" i="77"/>
  <c r="AR117" i="77"/>
  <c r="AY116" i="77"/>
  <c r="AR101" i="77"/>
  <c r="AY100" i="77"/>
  <c r="BA99" i="77"/>
  <c r="AD99" i="77"/>
  <c r="AK98" i="77"/>
  <c r="AM97" i="77"/>
  <c r="AO96" i="77"/>
  <c r="AV95" i="77"/>
  <c r="AF95" i="77"/>
  <c r="AQ94" i="77"/>
  <c r="AH94" i="77"/>
  <c r="AX93" i="77"/>
  <c r="AP93" i="77"/>
  <c r="AH93" i="77"/>
  <c r="AY92" i="77"/>
  <c r="AQ92" i="77"/>
  <c r="AI92" i="77"/>
  <c r="AW78" i="77"/>
  <c r="AO78" i="77"/>
  <c r="AG78" i="77"/>
  <c r="AX77" i="77"/>
  <c r="AP77" i="77"/>
  <c r="AH77" i="77"/>
  <c r="AY76" i="77"/>
  <c r="AQ76" i="77"/>
  <c r="AI76" i="77"/>
  <c r="AZ75" i="77"/>
  <c r="AR75" i="77"/>
  <c r="AJ75" i="77"/>
  <c r="BA74" i="77"/>
  <c r="AS74" i="77"/>
  <c r="AK74" i="77"/>
  <c r="AC74" i="77"/>
  <c r="AT73" i="77"/>
  <c r="AL73" i="77"/>
  <c r="AD73" i="77"/>
  <c r="AU72" i="77"/>
  <c r="AM72" i="77"/>
  <c r="AE72" i="77"/>
  <c r="AV71" i="77"/>
  <c r="AN71" i="77"/>
  <c r="AF71" i="77"/>
  <c r="AW70" i="77"/>
  <c r="AO70" i="77"/>
  <c r="AG70" i="77"/>
  <c r="AX69" i="77"/>
  <c r="AP69" i="77"/>
  <c r="AH69" i="77"/>
  <c r="AW54" i="77"/>
  <c r="AO54" i="77"/>
  <c r="AG54" i="77"/>
  <c r="AX53" i="77"/>
  <c r="AL148" i="77"/>
  <c r="AR146" i="77"/>
  <c r="AV144" i="77"/>
  <c r="AI143" i="77"/>
  <c r="AO141" i="77"/>
  <c r="AS139" i="77"/>
  <c r="AI125" i="77"/>
  <c r="AK124" i="77"/>
  <c r="AR123" i="77"/>
  <c r="AT122" i="77"/>
  <c r="AV121" i="77"/>
  <c r="AD121" i="77"/>
  <c r="AF120" i="77"/>
  <c r="AH119" i="77"/>
  <c r="AO118" i="77"/>
  <c r="AQ117" i="77"/>
  <c r="AS116" i="77"/>
  <c r="AQ101" i="77"/>
  <c r="AS100" i="77"/>
  <c r="AZ99" i="77"/>
  <c r="AC99" i="77"/>
  <c r="AE98" i="77"/>
  <c r="AL97" i="77"/>
  <c r="AN96" i="77"/>
  <c r="AR95" i="77"/>
  <c r="AC95" i="77"/>
  <c r="AP94" i="77"/>
  <c r="AG94" i="77"/>
  <c r="AW93" i="77"/>
  <c r="AO93" i="77"/>
  <c r="AG93" i="77"/>
  <c r="AX92" i="77"/>
  <c r="AP92" i="77"/>
  <c r="AH92" i="77"/>
  <c r="AV78" i="77"/>
  <c r="AN78" i="77"/>
  <c r="AF78" i="77"/>
  <c r="AW77" i="77"/>
  <c r="AO77" i="77"/>
  <c r="AG77" i="77"/>
  <c r="AX76" i="77"/>
  <c r="AP76" i="77"/>
  <c r="AH76" i="77"/>
  <c r="AY75" i="77"/>
  <c r="AQ75" i="77"/>
  <c r="AI75" i="77"/>
  <c r="AZ74" i="77"/>
  <c r="AR74" i="77"/>
  <c r="AJ74" i="77"/>
  <c r="BA73" i="77"/>
  <c r="AS73" i="77"/>
  <c r="AK73" i="77"/>
  <c r="AC73" i="77"/>
  <c r="AT72" i="77"/>
  <c r="AL72" i="77"/>
  <c r="AD72" i="77"/>
  <c r="AU71" i="77"/>
  <c r="AM71" i="77"/>
  <c r="AE71" i="77"/>
  <c r="AV70" i="77"/>
  <c r="AN70" i="77"/>
  <c r="AF70" i="77"/>
  <c r="AW69" i="77"/>
  <c r="AO69" i="77"/>
  <c r="AG69" i="77"/>
  <c r="AV54" i="77"/>
  <c r="AN54" i="77"/>
  <c r="AF54" i="77"/>
  <c r="AW53" i="77"/>
  <c r="BA147" i="77"/>
  <c r="AN146" i="77"/>
  <c r="AT144" i="77"/>
  <c r="AX142" i="77"/>
  <c r="AK141" i="77"/>
  <c r="AQ139" i="77"/>
  <c r="BA125" i="77"/>
  <c r="AH125" i="77"/>
  <c r="AJ124" i="77"/>
  <c r="AL123" i="77"/>
  <c r="AS122" i="77"/>
  <c r="AU121" i="77"/>
  <c r="AW120" i="77"/>
  <c r="AE120" i="77"/>
  <c r="AG119" i="77"/>
  <c r="AI118" i="77"/>
  <c r="AP117" i="77"/>
  <c r="AR116" i="77"/>
  <c r="AP101" i="77"/>
  <c r="AR100" i="77"/>
  <c r="AT99" i="77"/>
  <c r="BA98" i="77"/>
  <c r="AD98" i="77"/>
  <c r="AF97" i="77"/>
  <c r="AM96" i="77"/>
  <c r="AP95" i="77"/>
  <c r="BA94" i="77"/>
  <c r="AO94" i="77"/>
  <c r="AF94" i="77"/>
  <c r="AV93" i="77"/>
  <c r="AN93" i="77"/>
  <c r="AF93" i="77"/>
  <c r="AW92" i="77"/>
  <c r="AO92" i="77"/>
  <c r="AG92" i="77"/>
  <c r="AU78" i="77"/>
  <c r="AM78" i="77"/>
  <c r="AE78" i="77"/>
  <c r="AV77" i="77"/>
  <c r="AN77" i="77"/>
  <c r="AF77" i="77"/>
  <c r="AW76" i="77"/>
  <c r="AO76" i="77"/>
  <c r="AG76" i="77"/>
  <c r="AX75" i="77"/>
  <c r="AP75" i="77"/>
  <c r="AH75" i="77"/>
  <c r="AY74" i="77"/>
  <c r="AQ74" i="77"/>
  <c r="AI74" i="77"/>
  <c r="AZ73" i="77"/>
  <c r="AR73" i="77"/>
  <c r="AJ73" i="77"/>
  <c r="BA72" i="77"/>
  <c r="AS72" i="77"/>
  <c r="AK72" i="77"/>
  <c r="AC72" i="77"/>
  <c r="AT71" i="77"/>
  <c r="AL71" i="77"/>
  <c r="AD71" i="77"/>
  <c r="AU70" i="77"/>
  <c r="AM70" i="77"/>
  <c r="AE70" i="77"/>
  <c r="AV69" i="77"/>
  <c r="AN69" i="77"/>
  <c r="AF69" i="77"/>
  <c r="AU54" i="77"/>
  <c r="AM54" i="77"/>
  <c r="AE54" i="77"/>
  <c r="AV53" i="77"/>
  <c r="AY147" i="77"/>
  <c r="AD146" i="77"/>
  <c r="AP144" i="77"/>
  <c r="AV142" i="77"/>
  <c r="AZ140" i="77"/>
  <c r="AM139" i="77"/>
  <c r="AZ125" i="77"/>
  <c r="BA124" i="77"/>
  <c r="AI124" i="77"/>
  <c r="AK123" i="77"/>
  <c r="AM122" i="77"/>
  <c r="AT121" i="77"/>
  <c r="AV120" i="77"/>
  <c r="AX119" i="77"/>
  <c r="AF119" i="77"/>
  <c r="AH118" i="77"/>
  <c r="AJ117" i="77"/>
  <c r="AQ116" i="77"/>
  <c r="AJ101" i="77"/>
  <c r="AQ100" i="77"/>
  <c r="AS99" i="77"/>
  <c r="AU98" i="77"/>
  <c r="AC98" i="77"/>
  <c r="AE97" i="77"/>
  <c r="AG96" i="77"/>
  <c r="AO95" i="77"/>
  <c r="AY94" i="77"/>
  <c r="AN94" i="77"/>
  <c r="AD94" i="77"/>
  <c r="AU93" i="77"/>
  <c r="AM93" i="77"/>
  <c r="AE93" i="77"/>
  <c r="AV92" i="77"/>
  <c r="AN92" i="77"/>
  <c r="AF92" i="77"/>
  <c r="AT78" i="77"/>
  <c r="AL78" i="77"/>
  <c r="AD78" i="77"/>
  <c r="AU77" i="77"/>
  <c r="AM77" i="77"/>
  <c r="AE77" i="77"/>
  <c r="AV76" i="77"/>
  <c r="AN76" i="77"/>
  <c r="AF76" i="77"/>
  <c r="AW75" i="77"/>
  <c r="AO75" i="77"/>
  <c r="AG75" i="77"/>
  <c r="AX74" i="77"/>
  <c r="AP74" i="77"/>
  <c r="AH74" i="77"/>
  <c r="AY73" i="77"/>
  <c r="AQ73" i="77"/>
  <c r="AI73" i="77"/>
  <c r="AZ72" i="77"/>
  <c r="AR72" i="77"/>
  <c r="AJ72" i="77"/>
  <c r="BA71" i="77"/>
  <c r="AS71" i="77"/>
  <c r="AK71" i="77"/>
  <c r="AC71" i="77"/>
  <c r="AT70" i="77"/>
  <c r="AL70" i="77"/>
  <c r="AD70" i="77"/>
  <c r="AU69" i="77"/>
  <c r="AM69" i="77"/>
  <c r="AE69" i="77"/>
  <c r="AU147" i="77"/>
  <c r="BA145" i="77"/>
  <c r="AF144" i="77"/>
  <c r="AR142" i="77"/>
  <c r="AX140" i="77"/>
  <c r="AC139" i="77"/>
  <c r="AY125" i="77"/>
  <c r="AZ124" i="77"/>
  <c r="AC124" i="77"/>
  <c r="AJ123" i="77"/>
  <c r="AL122" i="77"/>
  <c r="AN121" i="77"/>
  <c r="AU120" i="77"/>
  <c r="AW119" i="77"/>
  <c r="AY118" i="77"/>
  <c r="AG118" i="77"/>
  <c r="AI117" i="77"/>
  <c r="AK116" i="77"/>
  <c r="AI101" i="77"/>
  <c r="AK100" i="77"/>
  <c r="AR99" i="77"/>
  <c r="AT98" i="77"/>
  <c r="AV97" i="77"/>
  <c r="AD97" i="77"/>
  <c r="AF96" i="77"/>
  <c r="AN95" i="77"/>
  <c r="AX94" i="77"/>
  <c r="AL94" i="77"/>
  <c r="AC94" i="77"/>
  <c r="AT93" i="77"/>
  <c r="AL93" i="77"/>
  <c r="AD93" i="77"/>
  <c r="AU92" i="77"/>
  <c r="AM92" i="77"/>
  <c r="AE92" i="77"/>
  <c r="BA78" i="77"/>
  <c r="AS78" i="77"/>
  <c r="AK78" i="77"/>
  <c r="AC78" i="77"/>
  <c r="AT77" i="77"/>
  <c r="AL77" i="77"/>
  <c r="AD77" i="77"/>
  <c r="AU76" i="77"/>
  <c r="AM76" i="77"/>
  <c r="AE76" i="77"/>
  <c r="AV75" i="77"/>
  <c r="AN75" i="77"/>
  <c r="AF75" i="77"/>
  <c r="AW74" i="77"/>
  <c r="AO74" i="77"/>
  <c r="AG74" i="77"/>
  <c r="AX73" i="77"/>
  <c r="AP73" i="77"/>
  <c r="AH73" i="77"/>
  <c r="AY72" i="77"/>
  <c r="AQ72" i="77"/>
  <c r="AI72" i="77"/>
  <c r="AZ71" i="77"/>
  <c r="AR71" i="77"/>
  <c r="AJ71" i="77"/>
  <c r="BA70" i="77"/>
  <c r="AS70" i="77"/>
  <c r="AK70" i="77"/>
  <c r="AC70" i="77"/>
  <c r="AT69" i="77"/>
  <c r="AL69" i="77"/>
  <c r="AD69" i="77"/>
  <c r="BA54" i="77"/>
  <c r="AS54" i="77"/>
  <c r="AK54" i="77"/>
  <c r="AC54" i="77"/>
  <c r="AT53" i="77"/>
  <c r="AJ22" i="77"/>
  <c r="AR22" i="77"/>
  <c r="AZ22" i="77"/>
  <c r="AI23" i="77"/>
  <c r="AQ23" i="77"/>
  <c r="AY23" i="77"/>
  <c r="AH24" i="77"/>
  <c r="AP24" i="77"/>
  <c r="AX24" i="77"/>
  <c r="AG25" i="77"/>
  <c r="AO25" i="77"/>
  <c r="AW25" i="77"/>
  <c r="AF26" i="77"/>
  <c r="AN26" i="77"/>
  <c r="AV26" i="77"/>
  <c r="AE27" i="77"/>
  <c r="AM27" i="77"/>
  <c r="AU27" i="77"/>
  <c r="AD28" i="77"/>
  <c r="AL28" i="77"/>
  <c r="AT28" i="77"/>
  <c r="AC29" i="77"/>
  <c r="AK29" i="77"/>
  <c r="AS29" i="77"/>
  <c r="BA29" i="77"/>
  <c r="AJ30" i="77"/>
  <c r="AR30" i="77"/>
  <c r="AZ30" i="77"/>
  <c r="AI31" i="77"/>
  <c r="AQ31" i="77"/>
  <c r="AY31" i="77"/>
  <c r="AF45" i="77"/>
  <c r="AN45" i="77"/>
  <c r="AV45" i="77"/>
  <c r="AE46" i="77"/>
  <c r="AM46" i="77"/>
  <c r="AU46" i="77"/>
  <c r="AD47" i="77"/>
  <c r="AL47" i="77"/>
  <c r="AT47" i="77"/>
  <c r="AC48" i="77"/>
  <c r="AK48" i="77"/>
  <c r="AS48" i="77"/>
  <c r="BA48" i="77"/>
  <c r="AJ49" i="77"/>
  <c r="AR49" i="77"/>
  <c r="AZ49" i="77"/>
  <c r="AI50" i="77"/>
  <c r="AQ50" i="77"/>
  <c r="AY50" i="77"/>
  <c r="AH51" i="77"/>
  <c r="AP51" i="77"/>
  <c r="AX51" i="77"/>
  <c r="AG52" i="77"/>
  <c r="AO52" i="77"/>
  <c r="AW52" i="77"/>
  <c r="AF53" i="77"/>
  <c r="AN53" i="77"/>
  <c r="AZ53" i="77"/>
  <c r="AQ54" i="77"/>
  <c r="AR69" i="77"/>
  <c r="AP70" i="77"/>
  <c r="AI71" i="77"/>
  <c r="AG72" i="77"/>
  <c r="AE73" i="77"/>
  <c r="AW73" i="77"/>
  <c r="AU74" i="77"/>
  <c r="AS75" i="77"/>
  <c r="AL76" i="77"/>
  <c r="AJ77" i="77"/>
  <c r="AH78" i="77"/>
  <c r="AZ78" i="77"/>
  <c r="AL92" i="77"/>
  <c r="AJ93" i="77"/>
  <c r="AI94" i="77"/>
  <c r="AJ95" i="77"/>
  <c r="AT97" i="77"/>
  <c r="AC100" i="77"/>
  <c r="AZ101" i="77"/>
  <c r="AZ116" i="77"/>
  <c r="AX118" i="77"/>
  <c r="AL121" i="77"/>
  <c r="AT123" i="77"/>
  <c r="AR125" i="77"/>
  <c r="AF142" i="77"/>
  <c r="AE147" i="77"/>
  <c r="L10" i="16"/>
  <c r="L9" i="16"/>
  <c r="M8" i="16"/>
  <c r="L8" i="16"/>
  <c r="M10" i="16"/>
  <c r="L14" i="16"/>
  <c r="AM23" i="84" s="1"/>
  <c r="M42" i="47"/>
  <c r="L38" i="47"/>
  <c r="J37" i="47"/>
  <c r="J33" i="47"/>
  <c r="N19" i="47"/>
  <c r="L18" i="47"/>
  <c r="J17" i="47"/>
  <c r="N15" i="47"/>
  <c r="L14" i="47"/>
  <c r="N11" i="47"/>
  <c r="L42" i="47"/>
  <c r="K38" i="47"/>
  <c r="I37" i="47"/>
  <c r="I33" i="47"/>
  <c r="I29" i="47"/>
  <c r="M19" i="47"/>
  <c r="K18" i="47"/>
  <c r="I17" i="47"/>
  <c r="M15" i="47"/>
  <c r="K14" i="47"/>
  <c r="I13" i="47"/>
  <c r="M11" i="47"/>
  <c r="I12" i="48"/>
  <c r="K13" i="48"/>
  <c r="L15" i="48"/>
  <c r="L30" i="48"/>
  <c r="J33" i="48"/>
  <c r="M36" i="48"/>
  <c r="I38" i="48"/>
  <c r="I40" i="48"/>
  <c r="J12" i="48"/>
  <c r="L13" i="48"/>
  <c r="M15" i="48"/>
  <c r="I17" i="48"/>
  <c r="M30" i="48"/>
  <c r="I32" i="48"/>
  <c r="K33" i="48"/>
  <c r="N36" i="48"/>
  <c r="J38" i="48"/>
  <c r="I11" i="48"/>
  <c r="K12" i="48"/>
  <c r="M13" i="48"/>
  <c r="N15" i="48"/>
  <c r="J17" i="48"/>
  <c r="N30" i="48"/>
  <c r="L33" i="48"/>
  <c r="I37" i="48"/>
  <c r="I39" i="48"/>
  <c r="J11" i="48"/>
  <c r="L12" i="48"/>
  <c r="K11" i="48"/>
  <c r="M12" i="48"/>
  <c r="L17" i="48"/>
  <c r="N33" i="48"/>
  <c r="I36" i="48"/>
  <c r="K37" i="48"/>
  <c r="M11" i="48"/>
  <c r="I13" i="48"/>
  <c r="J15" i="48"/>
  <c r="N17" i="48"/>
  <c r="J30" i="48"/>
  <c r="K36" i="48"/>
  <c r="M37" i="48"/>
  <c r="N41" i="48"/>
  <c r="K41" i="48"/>
  <c r="J37" i="48"/>
  <c r="N11" i="48"/>
  <c r="K42" i="47"/>
  <c r="J38" i="47"/>
  <c r="N36" i="47"/>
  <c r="N28" i="47"/>
  <c r="N20" i="47"/>
  <c r="L19" i="47"/>
  <c r="J18" i="47"/>
  <c r="L15" i="47"/>
  <c r="J14" i="47"/>
  <c r="N12" i="47"/>
  <c r="L11" i="47"/>
  <c r="I42" i="47"/>
  <c r="N37" i="47"/>
  <c r="L36" i="47"/>
  <c r="N33" i="47"/>
  <c r="L28" i="47"/>
  <c r="L20" i="47"/>
  <c r="J19" i="47"/>
  <c r="N17" i="47"/>
  <c r="J15" i="47"/>
  <c r="L12" i="47"/>
  <c r="K15" i="48"/>
  <c r="BK50" i="73"/>
  <c r="BX73" i="73"/>
  <c r="BZ72" i="73"/>
  <c r="CJ72" i="73"/>
  <c r="BZ50" i="73"/>
  <c r="CB74" i="73"/>
  <c r="BU73" i="73"/>
  <c r="CJ50" i="73"/>
  <c r="BP50" i="73"/>
  <c r="CI49" i="73"/>
  <c r="BY74" i="73"/>
  <c r="CJ74" i="73"/>
  <c r="BP73" i="73"/>
  <c r="CD72" i="73"/>
  <c r="CD50" i="73"/>
  <c r="BM50" i="73"/>
  <c r="BN49" i="73"/>
  <c r="BJ74" i="73"/>
  <c r="CC50" i="73"/>
  <c r="BG49" i="73"/>
  <c r="CD74" i="73"/>
  <c r="BI50" i="73"/>
  <c r="BY49" i="73"/>
  <c r="CH72" i="73"/>
  <c r="CH50" i="73"/>
  <c r="CH49" i="73"/>
  <c r="BO49" i="73"/>
  <c r="BT73" i="73"/>
  <c r="CG74" i="73"/>
  <c r="BO73" i="73"/>
  <c r="CC49" i="73"/>
  <c r="BM49" i="73"/>
  <c r="CF74" i="73"/>
  <c r="BK74" i="73"/>
  <c r="BS73" i="73"/>
  <c r="CF72" i="73"/>
  <c r="CI50" i="73"/>
  <c r="BY50" i="73"/>
  <c r="CJ49" i="73"/>
  <c r="CB49" i="73"/>
  <c r="BK49" i="73"/>
  <c r="CI74" i="73"/>
  <c r="BG74" i="73"/>
  <c r="CI72" i="73"/>
  <c r="CA72" i="73"/>
  <c r="CF50" i="73"/>
  <c r="CG49" i="73"/>
  <c r="BJ49" i="73"/>
  <c r="BJ50" i="73"/>
  <c r="CE49" i="73"/>
  <c r="BP49" i="73"/>
  <c r="BH49" i="73"/>
  <c r="BQ49" i="73"/>
  <c r="BZ49" i="73"/>
  <c r="CD49" i="73"/>
  <c r="BN50" i="73"/>
  <c r="BR50" i="73"/>
  <c r="CA50" i="73"/>
  <c r="CE50" i="73"/>
  <c r="CC72" i="73"/>
  <c r="BQ73" i="73"/>
  <c r="CA74" i="73"/>
  <c r="CE74" i="73"/>
  <c r="CA49" i="73"/>
  <c r="CF49" i="73"/>
  <c r="BL50" i="73"/>
  <c r="BQ50" i="73"/>
  <c r="BM73" i="73"/>
  <c r="BR73" i="73"/>
  <c r="BW73" i="73"/>
  <c r="BH74" i="73"/>
  <c r="BL49" i="73"/>
  <c r="BG50" i="73"/>
  <c r="CB50" i="73"/>
  <c r="CG50" i="73"/>
  <c r="CB72" i="73"/>
  <c r="CG72" i="73"/>
  <c r="BN73" i="73"/>
  <c r="BI74" i="73"/>
  <c r="CC74" i="73"/>
  <c r="CH74" i="73"/>
  <c r="BZ74" i="73"/>
  <c r="BL74" i="73"/>
  <c r="BV73" i="73"/>
  <c r="CE72" i="73"/>
  <c r="BY72" i="73"/>
  <c r="BO50" i="73"/>
  <c r="BH50" i="73"/>
  <c r="BR49" i="73"/>
  <c r="D1" i="53"/>
  <c r="A1" i="53"/>
  <c r="AG9" i="82"/>
  <c r="AK9" i="82" s="1"/>
  <c r="AO9" i="82" s="1"/>
  <c r="AS9" i="82" s="1"/>
  <c r="AF9" i="82"/>
  <c r="AJ9" i="82" s="1"/>
  <c r="AN9" i="82" s="1"/>
  <c r="AR9" i="82" s="1"/>
  <c r="AE9" i="82"/>
  <c r="AI9" i="82" s="1"/>
  <c r="AM9" i="82" s="1"/>
  <c r="AQ9" i="82" s="1"/>
  <c r="AD9" i="82"/>
  <c r="AH9" i="82" s="1"/>
  <c r="AL9" i="82" s="1"/>
  <c r="AP9" i="82" s="1"/>
  <c r="D1" i="82"/>
  <c r="AJ97" i="82" s="1"/>
  <c r="A1" i="82"/>
  <c r="D1" i="62"/>
  <c r="BK145" i="62" s="1"/>
  <c r="A1" i="62"/>
  <c r="D1" i="51"/>
  <c r="A1" i="51"/>
  <c r="D1" i="50"/>
  <c r="A1" i="50"/>
  <c r="C1" i="7"/>
  <c r="BE39" i="7" s="1"/>
  <c r="A1" i="7"/>
  <c r="E1" i="41"/>
  <c r="BO87" i="41" s="1"/>
  <c r="A1" i="41"/>
  <c r="Q10" i="46"/>
  <c r="AL185" i="82" l="1"/>
  <c r="AD183" i="82"/>
  <c r="AN161" i="82"/>
  <c r="AN193" i="82"/>
  <c r="AH154" i="82"/>
  <c r="CC17" i="62"/>
  <c r="BV19" i="62"/>
  <c r="AQ221" i="82"/>
  <c r="AJ190" i="82"/>
  <c r="AF179" i="82"/>
  <c r="AM130" i="82"/>
  <c r="BN27" i="62"/>
  <c r="AM221" i="82"/>
  <c r="AH190" i="82"/>
  <c r="AP176" i="82"/>
  <c r="AI119" i="82"/>
  <c r="BU32" i="62"/>
  <c r="AJ221" i="82"/>
  <c r="Z189" i="82"/>
  <c r="AP174" i="82"/>
  <c r="AD192" i="82"/>
  <c r="BO59" i="62"/>
  <c r="AD195" i="82"/>
  <c r="AP185" i="82"/>
  <c r="AB166" i="82"/>
  <c r="BG56" i="62"/>
  <c r="AR196" i="82"/>
  <c r="AP188" i="82"/>
  <c r="AF171" i="82"/>
  <c r="BA144" i="62"/>
  <c r="AP193" i="82"/>
  <c r="AN185" i="82"/>
  <c r="Z166" i="82"/>
  <c r="BR16" i="41"/>
  <c r="BM21" i="41"/>
  <c r="BU27" i="41"/>
  <c r="BT16" i="41"/>
  <c r="BQ12" i="41"/>
  <c r="BZ13" i="41"/>
  <c r="BN15" i="41"/>
  <c r="CC16" i="41"/>
  <c r="BS18" i="41"/>
  <c r="BI20" i="41"/>
  <c r="BL22" i="41"/>
  <c r="CD23" i="41"/>
  <c r="BZ28" i="41"/>
  <c r="CB33" i="41"/>
  <c r="BU45" i="41"/>
  <c r="CC65" i="41"/>
  <c r="BE115" i="62"/>
  <c r="AP162" i="82"/>
  <c r="AD130" i="82"/>
  <c r="CE17" i="41"/>
  <c r="CD42" i="41"/>
  <c r="CC23" i="41"/>
  <c r="BS12" i="41"/>
  <c r="CA13" i="41"/>
  <c r="BP15" i="41"/>
  <c r="CE16" i="41"/>
  <c r="BU18" i="41"/>
  <c r="BL20" i="41"/>
  <c r="BN22" i="41"/>
  <c r="BW24" i="41"/>
  <c r="CB28" i="41"/>
  <c r="BM35" i="41"/>
  <c r="BO47" i="41"/>
  <c r="BQ77" i="41"/>
  <c r="BD32" i="62"/>
  <c r="BD133" i="62"/>
  <c r="AF197" i="82"/>
  <c r="AL193" i="82"/>
  <c r="AR188" i="82"/>
  <c r="AF183" i="82"/>
  <c r="AJ174" i="82"/>
  <c r="Z162" i="82"/>
  <c r="AB122" i="82"/>
  <c r="BZ14" i="41"/>
  <c r="BU19" i="41"/>
  <c r="CD31" i="41"/>
  <c r="BI12" i="41"/>
  <c r="BJ18" i="41"/>
  <c r="BT28" i="41"/>
  <c r="CF42" i="41"/>
  <c r="CF18" i="41"/>
  <c r="BM37" i="41"/>
  <c r="BP13" i="41"/>
  <c r="CA23" i="41"/>
  <c r="CF54" i="41"/>
  <c r="BR13" i="41"/>
  <c r="CF16" i="41"/>
  <c r="BX29" i="41"/>
  <c r="CB12" i="41"/>
  <c r="BL14" i="41"/>
  <c r="CA15" i="41"/>
  <c r="BS17" i="41"/>
  <c r="BI19" i="41"/>
  <c r="BX20" i="41"/>
  <c r="BY22" i="41"/>
  <c r="BT25" i="41"/>
  <c r="BZ30" i="41"/>
  <c r="BP37" i="41"/>
  <c r="BZ49" i="41"/>
  <c r="CB82" i="41"/>
  <c r="BH41" i="62"/>
  <c r="CB145" i="62"/>
  <c r="AP196" i="82"/>
  <c r="AB192" i="82"/>
  <c r="AH187" i="82"/>
  <c r="AJ182" i="82"/>
  <c r="AJ170" i="82"/>
  <c r="AJ158" i="82"/>
  <c r="AE114" i="82"/>
  <c r="CB14" i="41"/>
  <c r="BZ21" i="41"/>
  <c r="CE31" i="41"/>
  <c r="BT12" i="41"/>
  <c r="BQ15" i="41"/>
  <c r="BO22" i="41"/>
  <c r="BR49" i="41"/>
  <c r="CC12" i="41"/>
  <c r="BN14" i="41"/>
  <c r="CD15" i="41"/>
  <c r="BT17" i="41"/>
  <c r="BJ19" i="41"/>
  <c r="BY20" i="41"/>
  <c r="BN23" i="41"/>
  <c r="BP26" i="41"/>
  <c r="CE30" i="41"/>
  <c r="CB39" i="41"/>
  <c r="BI52" i="41"/>
  <c r="CF94" i="41"/>
  <c r="BL44" i="62"/>
  <c r="AH195" i="82"/>
  <c r="Z192" i="82"/>
  <c r="AF187" i="82"/>
  <c r="AB180" i="82"/>
  <c r="AH170" i="82"/>
  <c r="AN157" i="82"/>
  <c r="AJ64" i="82"/>
  <c r="BW19" i="41"/>
  <c r="BK55" i="41"/>
  <c r="CB13" i="41"/>
  <c r="BV20" i="41"/>
  <c r="BQ25" i="41"/>
  <c r="BU81" i="41"/>
  <c r="CD12" i="41"/>
  <c r="BY14" i="41"/>
  <c r="BP16" i="41"/>
  <c r="CD17" i="41"/>
  <c r="BT19" i="41"/>
  <c r="BK21" i="41"/>
  <c r="BQ23" i="41"/>
  <c r="BQ26" i="41"/>
  <c r="BW31" i="41"/>
  <c r="BU41" i="41"/>
  <c r="BY53" i="41"/>
  <c r="BL14" i="62"/>
  <c r="BO48" i="62"/>
  <c r="AF195" i="82"/>
  <c r="AL190" i="82"/>
  <c r="AD187" i="82"/>
  <c r="Z180" i="82"/>
  <c r="AD167" i="82"/>
  <c r="AL157" i="82"/>
  <c r="CH39" i="7"/>
  <c r="CS73" i="7"/>
  <c r="CB38" i="7"/>
  <c r="BS39" i="7"/>
  <c r="CI40" i="7"/>
  <c r="BN38" i="7"/>
  <c r="BU40" i="7"/>
  <c r="BC38" i="7"/>
  <c r="BG40" i="7"/>
  <c r="CD39" i="7"/>
  <c r="BO21" i="41"/>
  <c r="BZ22" i="41"/>
  <c r="BP24" i="41"/>
  <c r="BT26" i="41"/>
  <c r="BY29" i="41"/>
  <c r="BX32" i="41"/>
  <c r="BU38" i="41"/>
  <c r="BL44" i="41"/>
  <c r="BX50" i="41"/>
  <c r="BX56" i="41"/>
  <c r="CM38" i="7"/>
  <c r="BK120" i="41"/>
  <c r="BP94" i="41"/>
  <c r="BX86" i="41"/>
  <c r="BM81" i="41"/>
  <c r="BS75" i="41"/>
  <c r="BM65" i="41"/>
  <c r="BV56" i="41"/>
  <c r="CE54" i="41"/>
  <c r="BN53" i="41"/>
  <c r="CC51" i="41"/>
  <c r="BV50" i="41"/>
  <c r="BQ49" i="41"/>
  <c r="BZ46" i="41"/>
  <c r="BQ45" i="41"/>
  <c r="CF43" i="41"/>
  <c r="CA42" i="41"/>
  <c r="BL41" i="41"/>
  <c r="CA39" i="41"/>
  <c r="BR38" i="41"/>
  <c r="CF35" i="41"/>
  <c r="BY34" i="41"/>
  <c r="BU33" i="41"/>
  <c r="BV32" i="41"/>
  <c r="BV31" i="41"/>
  <c r="BX30" i="41"/>
  <c r="BU29" i="41"/>
  <c r="BR28" i="41"/>
  <c r="BM27" i="41"/>
  <c r="BI26" i="41"/>
  <c r="BL25" i="41"/>
  <c r="BO24" i="41"/>
  <c r="BY23" i="41"/>
  <c r="BM23" i="41"/>
  <c r="BW22" i="41"/>
  <c r="BJ22" i="41"/>
  <c r="BW21" i="41"/>
  <c r="BJ21" i="41"/>
  <c r="BT20" i="41"/>
  <c r="CE19" i="41"/>
  <c r="BR19" i="41"/>
  <c r="CD18" i="41"/>
  <c r="BR18" i="41"/>
  <c r="CB17" i="41"/>
  <c r="BO17" i="41"/>
  <c r="CB16" i="41"/>
  <c r="BO16" i="41"/>
  <c r="BY15" i="41"/>
  <c r="BM15" i="41"/>
  <c r="BW14" i="41"/>
  <c r="BJ14" i="41"/>
  <c r="BX13" i="41"/>
  <c r="BM13" i="41"/>
  <c r="CA12" i="41"/>
  <c r="BP12" i="41"/>
  <c r="CC49" i="41"/>
  <c r="BY41" i="41"/>
  <c r="CE38" i="41"/>
  <c r="CC32" i="41"/>
  <c r="BM118" i="41"/>
  <c r="BI93" i="41"/>
  <c r="BQ85" i="41"/>
  <c r="CD80" i="41"/>
  <c r="CE71" i="41"/>
  <c r="CE63" i="41"/>
  <c r="BS56" i="41"/>
  <c r="CB54" i="41"/>
  <c r="BM53" i="41"/>
  <c r="CA51" i="41"/>
  <c r="BS50" i="41"/>
  <c r="BM49" i="41"/>
  <c r="BW46" i="41"/>
  <c r="BI45" i="41"/>
  <c r="BX43" i="41"/>
  <c r="BS42" i="41"/>
  <c r="BI41" i="41"/>
  <c r="BW39" i="41"/>
  <c r="BJ38" i="41"/>
  <c r="CE35" i="41"/>
  <c r="BV34" i="41"/>
  <c r="BT33" i="41"/>
  <c r="BP32" i="41"/>
  <c r="BS31" i="41"/>
  <c r="BR30" i="41"/>
  <c r="BS29" i="41"/>
  <c r="BO28" i="41"/>
  <c r="BJ27" i="41"/>
  <c r="CC25" i="41"/>
  <c r="BJ25" i="41"/>
  <c r="BM24" i="41"/>
  <c r="BX23" i="41"/>
  <c r="BK23" i="41"/>
  <c r="BV22" i="41"/>
  <c r="BI22" i="41"/>
  <c r="BU21" i="41"/>
  <c r="CF20" i="41"/>
  <c r="BS20" i="41"/>
  <c r="CC19" i="41"/>
  <c r="BQ19" i="41"/>
  <c r="CC18" i="41"/>
  <c r="BP18" i="41"/>
  <c r="CA17" i="41"/>
  <c r="BN17" i="41"/>
  <c r="BZ16" i="41"/>
  <c r="BM16" i="41"/>
  <c r="BX15" i="41"/>
  <c r="BK15" i="41"/>
  <c r="BV14" i="41"/>
  <c r="BI14" i="41"/>
  <c r="BW13" i="41"/>
  <c r="BL13" i="41"/>
  <c r="BY12" i="41"/>
  <c r="BN12" i="41"/>
  <c r="BM89" i="41"/>
  <c r="BP59" i="41"/>
  <c r="CA53" i="41"/>
  <c r="CD45" i="41"/>
  <c r="BQ37" i="41"/>
  <c r="BQ114" i="41"/>
  <c r="BR92" i="41"/>
  <c r="BI85" i="41"/>
  <c r="BW79" i="41"/>
  <c r="BW71" i="41"/>
  <c r="BO63" i="41"/>
  <c r="BY55" i="41"/>
  <c r="BT54" i="41"/>
  <c r="BI53" i="41"/>
  <c r="BX51" i="41"/>
  <c r="BK50" i="41"/>
  <c r="CE47" i="41"/>
  <c r="BO46" i="41"/>
  <c r="CD44" i="41"/>
  <c r="BW43" i="41"/>
  <c r="BQ42" i="41"/>
  <c r="CF40" i="41"/>
  <c r="BO39" i="41"/>
  <c r="CD37" i="41"/>
  <c r="CA35" i="41"/>
  <c r="BT34" i="41"/>
  <c r="BQ33" i="41"/>
  <c r="BN32" i="41"/>
  <c r="BQ31" i="41"/>
  <c r="BP30" i="41"/>
  <c r="BM29" i="41"/>
  <c r="BN28" i="41"/>
  <c r="CD26" i="41"/>
  <c r="CB25" i="41"/>
  <c r="CF24" i="41"/>
  <c r="BL24" i="41"/>
  <c r="BV23" i="41"/>
  <c r="BI23" i="41"/>
  <c r="BT22" i="41"/>
  <c r="CF21" i="41"/>
  <c r="BS21" i="41"/>
  <c r="CD20" i="41"/>
  <c r="BQ20" i="41"/>
  <c r="CB19" i="41"/>
  <c r="BO19" i="41"/>
  <c r="CA18" i="41"/>
  <c r="BN18" i="41"/>
  <c r="BY17" i="41"/>
  <c r="BL17" i="41"/>
  <c r="BX16" i="41"/>
  <c r="BL16" i="41"/>
  <c r="BV15" i="41"/>
  <c r="BI15" i="41"/>
  <c r="BT14" i="41"/>
  <c r="CF13" i="41"/>
  <c r="BU13" i="41"/>
  <c r="BK13" i="41"/>
  <c r="BX12" i="41"/>
  <c r="BM12" i="41"/>
  <c r="BY77" i="41"/>
  <c r="BK51" i="41"/>
  <c r="BS40" i="41"/>
  <c r="CA104" i="41"/>
  <c r="BK91" i="41"/>
  <c r="BZ84" i="41"/>
  <c r="BO79" i="41"/>
  <c r="BY69" i="41"/>
  <c r="BQ61" i="41"/>
  <c r="BW55" i="41"/>
  <c r="BR54" i="41"/>
  <c r="CD52" i="41"/>
  <c r="BP51" i="41"/>
  <c r="BI50" i="41"/>
  <c r="CB47" i="41"/>
  <c r="BM46" i="41"/>
  <c r="CB44" i="41"/>
  <c r="BS43" i="41"/>
  <c r="BN42" i="41"/>
  <c r="CC40" i="41"/>
  <c r="BN39" i="41"/>
  <c r="CC37" i="41"/>
  <c r="BS35" i="41"/>
  <c r="BN34" i="41"/>
  <c r="BO33" i="41"/>
  <c r="BK32" i="41"/>
  <c r="BK31" i="41"/>
  <c r="BM30" i="41"/>
  <c r="BK29" i="41"/>
  <c r="CA27" i="41"/>
  <c r="CB26" i="41"/>
  <c r="BY25" i="41"/>
  <c r="CA24" i="41"/>
  <c r="BJ24" i="41"/>
  <c r="BU23" i="41"/>
  <c r="CE22" i="41"/>
  <c r="BR22" i="41"/>
  <c r="CE21" i="41"/>
  <c r="BR21" i="41"/>
  <c r="CB20" i="41"/>
  <c r="BP20" i="41"/>
  <c r="BZ19" i="41"/>
  <c r="BM19" i="41"/>
  <c r="BZ18" i="41"/>
  <c r="BM18" i="41"/>
  <c r="BW17" i="41"/>
  <c r="BK17" i="41"/>
  <c r="BW16" i="41"/>
  <c r="BJ16" i="41"/>
  <c r="BU15" i="41"/>
  <c r="CE14" i="41"/>
  <c r="BR14" i="41"/>
  <c r="CE13" i="41"/>
  <c r="BT13" i="41"/>
  <c r="BJ13" i="41"/>
  <c r="BV12" i="41"/>
  <c r="BL12" i="41"/>
  <c r="CD96" i="41"/>
  <c r="CA67" i="41"/>
  <c r="BT52" i="41"/>
  <c r="BQ44" i="41"/>
  <c r="BI34" i="41"/>
  <c r="CC102" i="41"/>
  <c r="BT90" i="41"/>
  <c r="BS83" i="41"/>
  <c r="CF78" i="41"/>
  <c r="BI69" i="41"/>
  <c r="CF59" i="41"/>
  <c r="BT55" i="41"/>
  <c r="BO54" i="41"/>
  <c r="BV52" i="41"/>
  <c r="BO51" i="41"/>
  <c r="CE49" i="41"/>
  <c r="BT47" i="41"/>
  <c r="BJ46" i="41"/>
  <c r="BY44" i="41"/>
  <c r="BK43" i="41"/>
  <c r="BZ41" i="41"/>
  <c r="BU40" i="41"/>
  <c r="BK39" i="41"/>
  <c r="BY37" i="41"/>
  <c r="BR35" i="41"/>
  <c r="BL34" i="41"/>
  <c r="BI33" i="41"/>
  <c r="BJ32" i="41"/>
  <c r="BI31" i="41"/>
  <c r="BL30" i="41"/>
  <c r="CE28" i="41"/>
  <c r="BZ27" i="41"/>
  <c r="BV26" i="41"/>
  <c r="BW25" i="41"/>
  <c r="BZ24" i="41"/>
  <c r="CF23" i="41"/>
  <c r="BS23" i="41"/>
  <c r="CD22" i="41"/>
  <c r="BQ22" i="41"/>
  <c r="CC21" i="41"/>
  <c r="BP21" i="41"/>
  <c r="CA20" i="41"/>
  <c r="BN20" i="41"/>
  <c r="BY19" i="41"/>
  <c r="BL19" i="41"/>
  <c r="BX18" i="41"/>
  <c r="BK18" i="41"/>
  <c r="BV17" i="41"/>
  <c r="BI17" i="41"/>
  <c r="BU16" i="41"/>
  <c r="CF15" i="41"/>
  <c r="BS15" i="41"/>
  <c r="CD14" i="41"/>
  <c r="BQ14" i="41"/>
  <c r="CC13" i="41"/>
  <c r="BS13" i="41"/>
  <c r="CF12" i="41"/>
  <c r="BU12" i="41"/>
  <c r="BK12" i="41"/>
  <c r="BK83" i="41"/>
  <c r="BL55" i="41"/>
  <c r="BS47" i="41"/>
  <c r="BJ43" i="41"/>
  <c r="BO35" i="41"/>
  <c r="BO13" i="41"/>
  <c r="BO14" i="41"/>
  <c r="CC15" i="41"/>
  <c r="BQ17" i="41"/>
  <c r="BV18" i="41"/>
  <c r="BK20" i="41"/>
  <c r="BX21" i="41"/>
  <c r="CB22" i="41"/>
  <c r="BV24" i="41"/>
  <c r="BO27" i="41"/>
  <c r="CF29" i="41"/>
  <c r="CA32" i="41"/>
  <c r="BW38" i="41"/>
  <c r="BO44" i="41"/>
  <c r="CF50" i="41"/>
  <c r="BI58" i="41"/>
  <c r="BV88" i="41"/>
  <c r="CA21" i="41"/>
  <c r="BP23" i="41"/>
  <c r="BO25" i="41"/>
  <c r="BW27" i="41"/>
  <c r="CC30" i="41"/>
  <c r="CC33" i="41"/>
  <c r="BP40" i="41"/>
  <c r="BV45" i="41"/>
  <c r="BQ52" i="41"/>
  <c r="BK67" i="41"/>
  <c r="BN96" i="41"/>
  <c r="CA34" i="41"/>
  <c r="BM41" i="41"/>
  <c r="CB46" i="41"/>
  <c r="BV53" i="41"/>
  <c r="CA75" i="41"/>
  <c r="BI20" i="62"/>
  <c r="AY36" i="62"/>
  <c r="BP48" i="62"/>
  <c r="BF115" i="62"/>
  <c r="BB149" i="62"/>
  <c r="AI221" i="82"/>
  <c r="AJ196" i="82"/>
  <c r="AR194" i="82"/>
  <c r="AF193" i="82"/>
  <c r="AN191" i="82"/>
  <c r="AB190" i="82"/>
  <c r="AJ188" i="82"/>
  <c r="AR186" i="82"/>
  <c r="AF185" i="82"/>
  <c r="AB182" i="82"/>
  <c r="AR178" i="82"/>
  <c r="AN173" i="82"/>
  <c r="AF169" i="82"/>
  <c r="AD165" i="82"/>
  <c r="AR160" i="82"/>
  <c r="AJ156" i="82"/>
  <c r="AL128" i="82"/>
  <c r="AE110" i="82"/>
  <c r="BW21" i="62"/>
  <c r="BD36" i="62"/>
  <c r="CC48" i="62"/>
  <c r="BW117" i="62"/>
  <c r="BH149" i="62"/>
  <c r="AE221" i="82"/>
  <c r="AE196" i="82"/>
  <c r="AM194" i="82"/>
  <c r="AA193" i="82"/>
  <c r="AI191" i="82"/>
  <c r="AQ189" i="82"/>
  <c r="AE188" i="82"/>
  <c r="AM186" i="82"/>
  <c r="Z185" i="82"/>
  <c r="Z182" i="82"/>
  <c r="AP178" i="82"/>
  <c r="AL173" i="82"/>
  <c r="AD169" i="82"/>
  <c r="AR164" i="82"/>
  <c r="AP160" i="82"/>
  <c r="AH156" i="82"/>
  <c r="AE128" i="82"/>
  <c r="AD108" i="82"/>
  <c r="BE24" i="62"/>
  <c r="BF39" i="62"/>
  <c r="BN53" i="62"/>
  <c r="BI125" i="62"/>
  <c r="AB221" i="82"/>
  <c r="AD196" i="82"/>
  <c r="AL194" i="82"/>
  <c r="Z193" i="82"/>
  <c r="AH191" i="82"/>
  <c r="AP189" i="82"/>
  <c r="AD188" i="82"/>
  <c r="AL186" i="82"/>
  <c r="AH184" i="82"/>
  <c r="AD181" i="82"/>
  <c r="Z178" i="82"/>
  <c r="AJ172" i="82"/>
  <c r="AH168" i="82"/>
  <c r="AB164" i="82"/>
  <c r="AN159" i="82"/>
  <c r="AL155" i="82"/>
  <c r="AD126" i="82"/>
  <c r="AD102" i="82"/>
  <c r="CD13" i="62"/>
  <c r="BM26" i="62"/>
  <c r="BL40" i="62"/>
  <c r="BW53" i="62"/>
  <c r="BH128" i="62"/>
  <c r="AA221" i="82"/>
  <c r="AP195" i="82"/>
  <c r="AD194" i="82"/>
  <c r="AL192" i="82"/>
  <c r="Z191" i="82"/>
  <c r="AH189" i="82"/>
  <c r="AP187" i="82"/>
  <c r="AD186" i="82"/>
  <c r="AB184" i="82"/>
  <c r="AR180" i="82"/>
  <c r="AN177" i="82"/>
  <c r="AH172" i="82"/>
  <c r="AB168" i="82"/>
  <c r="Z164" i="82"/>
  <c r="AL159" i="82"/>
  <c r="AF155" i="82"/>
  <c r="AI125" i="82"/>
  <c r="AA101" i="82"/>
  <c r="BA14" i="62"/>
  <c r="BN26" i="62"/>
  <c r="BM40" i="62"/>
  <c r="CD54" i="62"/>
  <c r="BB133" i="62"/>
  <c r="AR221" i="82"/>
  <c r="AQ197" i="82"/>
  <c r="AN195" i="82"/>
  <c r="AB194" i="82"/>
  <c r="AJ192" i="82"/>
  <c r="AR190" i="82"/>
  <c r="AF189" i="82"/>
  <c r="AN187" i="82"/>
  <c r="AB186" i="82"/>
  <c r="AL183" i="82"/>
  <c r="AH180" i="82"/>
  <c r="AR176" i="82"/>
  <c r="AL171" i="82"/>
  <c r="AF167" i="82"/>
  <c r="AR162" i="82"/>
  <c r="AP158" i="82"/>
  <c r="AJ154" i="82"/>
  <c r="Z123" i="82"/>
  <c r="AN92" i="82"/>
  <c r="CE123" i="41"/>
  <c r="BW123" i="41"/>
  <c r="BO123" i="41"/>
  <c r="CF122" i="41"/>
  <c r="BX122" i="41"/>
  <c r="BP122" i="41"/>
  <c r="BY121" i="41"/>
  <c r="BQ121" i="41"/>
  <c r="BI121" i="41"/>
  <c r="BZ120" i="41"/>
  <c r="BR120" i="41"/>
  <c r="BJ120" i="41"/>
  <c r="CA119" i="41"/>
  <c r="BS119" i="41"/>
  <c r="BK119" i="41"/>
  <c r="CB118" i="41"/>
  <c r="BT118" i="41"/>
  <c r="BL118" i="41"/>
  <c r="CC117" i="41"/>
  <c r="BU117" i="41"/>
  <c r="BM117" i="41"/>
  <c r="CD116" i="41"/>
  <c r="BV116" i="41"/>
  <c r="BN116" i="41"/>
  <c r="CE115" i="41"/>
  <c r="BW115" i="41"/>
  <c r="BO115" i="41"/>
  <c r="CF114" i="41"/>
  <c r="BX114" i="41"/>
  <c r="BP114" i="41"/>
  <c r="BY113" i="41"/>
  <c r="BQ113" i="41"/>
  <c r="BI113" i="41"/>
  <c r="BZ112" i="41"/>
  <c r="BR112" i="41"/>
  <c r="BJ112" i="41"/>
  <c r="CA111" i="41"/>
  <c r="BS111" i="41"/>
  <c r="BK111" i="41"/>
  <c r="CB110" i="41"/>
  <c r="BT110" i="41"/>
  <c r="BL110" i="41"/>
  <c r="CC109" i="41"/>
  <c r="BU109" i="41"/>
  <c r="BM109" i="41"/>
  <c r="CD108" i="41"/>
  <c r="BV108" i="41"/>
  <c r="BN108" i="41"/>
  <c r="CE107" i="41"/>
  <c r="BW107" i="41"/>
  <c r="BO107" i="41"/>
  <c r="CF106" i="41"/>
  <c r="BX106" i="41"/>
  <c r="BP106" i="41"/>
  <c r="BY105" i="41"/>
  <c r="BQ105" i="41"/>
  <c r="BI105" i="41"/>
  <c r="BZ104" i="41"/>
  <c r="BR104" i="41"/>
  <c r="BJ104" i="41"/>
  <c r="CA103" i="41"/>
  <c r="BS103" i="41"/>
  <c r="BK103" i="41"/>
  <c r="CB102" i="41"/>
  <c r="BT102" i="41"/>
  <c r="BL102" i="41"/>
  <c r="CC101" i="41"/>
  <c r="BU101" i="41"/>
  <c r="BM101" i="41"/>
  <c r="CD100" i="41"/>
  <c r="BV100" i="41"/>
  <c r="BN100" i="41"/>
  <c r="CF98" i="41"/>
  <c r="BX98" i="41"/>
  <c r="BP98" i="41"/>
  <c r="CD123" i="41"/>
  <c r="BV123" i="41"/>
  <c r="BN123" i="41"/>
  <c r="CE122" i="41"/>
  <c r="BW122" i="41"/>
  <c r="BO122" i="41"/>
  <c r="CF121" i="41"/>
  <c r="BX121" i="41"/>
  <c r="BP121" i="41"/>
  <c r="BY120" i="41"/>
  <c r="BQ120" i="41"/>
  <c r="BI120" i="41"/>
  <c r="BZ119" i="41"/>
  <c r="BR119" i="41"/>
  <c r="BJ119" i="41"/>
  <c r="CA118" i="41"/>
  <c r="BS118" i="41"/>
  <c r="BK118" i="41"/>
  <c r="CB117" i="41"/>
  <c r="BT117" i="41"/>
  <c r="BL117" i="41"/>
  <c r="CC116" i="41"/>
  <c r="BU116" i="41"/>
  <c r="BM116" i="41"/>
  <c r="CD115" i="41"/>
  <c r="BV115" i="41"/>
  <c r="BN115" i="41"/>
  <c r="CE114" i="41"/>
  <c r="BW114" i="41"/>
  <c r="BO114" i="41"/>
  <c r="CF113" i="41"/>
  <c r="BX113" i="41"/>
  <c r="BP113" i="41"/>
  <c r="BY112" i="41"/>
  <c r="BQ112" i="41"/>
  <c r="BI112" i="41"/>
  <c r="BZ111" i="41"/>
  <c r="BR111" i="41"/>
  <c r="BJ111" i="41"/>
  <c r="CA110" i="41"/>
  <c r="BS110" i="41"/>
  <c r="BK110" i="41"/>
  <c r="CB109" i="41"/>
  <c r="BT109" i="41"/>
  <c r="BL109" i="41"/>
  <c r="CC108" i="41"/>
  <c r="BU108" i="41"/>
  <c r="BM108" i="41"/>
  <c r="CD107" i="41"/>
  <c r="BV107" i="41"/>
  <c r="BN107" i="41"/>
  <c r="CE106" i="41"/>
  <c r="BW106" i="41"/>
  <c r="BO106" i="41"/>
  <c r="CF105" i="41"/>
  <c r="BX105" i="41"/>
  <c r="BP105" i="41"/>
  <c r="BY104" i="41"/>
  <c r="BQ104" i="41"/>
  <c r="BI104" i="41"/>
  <c r="BZ103" i="41"/>
  <c r="BR103" i="41"/>
  <c r="BJ103" i="41"/>
  <c r="CA102" i="41"/>
  <c r="BS102" i="41"/>
  <c r="BK102" i="41"/>
  <c r="CB101" i="41"/>
  <c r="BT101" i="41"/>
  <c r="BL101" i="41"/>
  <c r="CC100" i="41"/>
  <c r="BU100" i="41"/>
  <c r="BM100" i="41"/>
  <c r="CE98" i="41"/>
  <c r="BW98" i="41"/>
  <c r="BO98" i="41"/>
  <c r="CC123" i="41"/>
  <c r="BU123" i="41"/>
  <c r="BM123" i="41"/>
  <c r="CD122" i="41"/>
  <c r="BV122" i="41"/>
  <c r="BN122" i="41"/>
  <c r="CE121" i="41"/>
  <c r="BW121" i="41"/>
  <c r="BO121" i="41"/>
  <c r="CF120" i="41"/>
  <c r="BX120" i="41"/>
  <c r="BP120" i="41"/>
  <c r="BY119" i="41"/>
  <c r="BQ119" i="41"/>
  <c r="BI119" i="41"/>
  <c r="BZ118" i="41"/>
  <c r="BR118" i="41"/>
  <c r="BJ118" i="41"/>
  <c r="CA117" i="41"/>
  <c r="BS117" i="41"/>
  <c r="BK117" i="41"/>
  <c r="CB116" i="41"/>
  <c r="BT116" i="41"/>
  <c r="BL116" i="41"/>
  <c r="CC115" i="41"/>
  <c r="BU115" i="41"/>
  <c r="BM115" i="41"/>
  <c r="CD114" i="41"/>
  <c r="BV114" i="41"/>
  <c r="BN114" i="41"/>
  <c r="CE113" i="41"/>
  <c r="BW113" i="41"/>
  <c r="BO113" i="41"/>
  <c r="CF112" i="41"/>
  <c r="BX112" i="41"/>
  <c r="BP112" i="41"/>
  <c r="BY111" i="41"/>
  <c r="BQ111" i="41"/>
  <c r="BI111" i="41"/>
  <c r="BZ110" i="41"/>
  <c r="BR110" i="41"/>
  <c r="BJ110" i="41"/>
  <c r="CA109" i="41"/>
  <c r="BS109" i="41"/>
  <c r="BK109" i="41"/>
  <c r="CB108" i="41"/>
  <c r="BT108" i="41"/>
  <c r="BL108" i="41"/>
  <c r="CC107" i="41"/>
  <c r="BU107" i="41"/>
  <c r="BM107" i="41"/>
  <c r="CD106" i="41"/>
  <c r="BV106" i="41"/>
  <c r="BN106" i="41"/>
  <c r="CE105" i="41"/>
  <c r="BW105" i="41"/>
  <c r="BO105" i="41"/>
  <c r="CF104" i="41"/>
  <c r="BX104" i="41"/>
  <c r="BP104" i="41"/>
  <c r="BY103" i="41"/>
  <c r="BQ103" i="41"/>
  <c r="BI103" i="41"/>
  <c r="BZ102" i="41"/>
  <c r="BR102" i="41"/>
  <c r="BJ102" i="41"/>
  <c r="CA101" i="41"/>
  <c r="BS101" i="41"/>
  <c r="BK101" i="41"/>
  <c r="CB100" i="41"/>
  <c r="BT100" i="41"/>
  <c r="BL100" i="41"/>
  <c r="CD98" i="41"/>
  <c r="BV98" i="41"/>
  <c r="BN98" i="41"/>
  <c r="BF98" i="41"/>
  <c r="CB123" i="41"/>
  <c r="BT123" i="41"/>
  <c r="BL123" i="41"/>
  <c r="CC122" i="41"/>
  <c r="BU122" i="41"/>
  <c r="BM122" i="41"/>
  <c r="CD121" i="41"/>
  <c r="BV121" i="41"/>
  <c r="BN121" i="41"/>
  <c r="CE120" i="41"/>
  <c r="BW120" i="41"/>
  <c r="BO120" i="41"/>
  <c r="CF119" i="41"/>
  <c r="BX119" i="41"/>
  <c r="BP119" i="41"/>
  <c r="BY118" i="41"/>
  <c r="BQ118" i="41"/>
  <c r="BI118" i="41"/>
  <c r="BZ117" i="41"/>
  <c r="BR117" i="41"/>
  <c r="BJ117" i="41"/>
  <c r="CA116" i="41"/>
  <c r="BS116" i="41"/>
  <c r="BK116" i="41"/>
  <c r="CB115" i="41"/>
  <c r="BT115" i="41"/>
  <c r="BL115" i="41"/>
  <c r="CC114" i="41"/>
  <c r="BU114" i="41"/>
  <c r="BM114" i="41"/>
  <c r="CD113" i="41"/>
  <c r="BV113" i="41"/>
  <c r="BN113" i="41"/>
  <c r="CE112" i="41"/>
  <c r="BW112" i="41"/>
  <c r="BO112" i="41"/>
  <c r="CF111" i="41"/>
  <c r="BX111" i="41"/>
  <c r="BP111" i="41"/>
  <c r="BY110" i="41"/>
  <c r="BQ110" i="41"/>
  <c r="BI110" i="41"/>
  <c r="BZ109" i="41"/>
  <c r="BR109" i="41"/>
  <c r="BJ109" i="41"/>
  <c r="CA108" i="41"/>
  <c r="BS108" i="41"/>
  <c r="BK108" i="41"/>
  <c r="CB107" i="41"/>
  <c r="BT107" i="41"/>
  <c r="BL107" i="41"/>
  <c r="CC106" i="41"/>
  <c r="BU106" i="41"/>
  <c r="BM106" i="41"/>
  <c r="CD105" i="41"/>
  <c r="BV105" i="41"/>
  <c r="BN105" i="41"/>
  <c r="CE104" i="41"/>
  <c r="BW104" i="41"/>
  <c r="BO104" i="41"/>
  <c r="CF103" i="41"/>
  <c r="BX103" i="41"/>
  <c r="BP103" i="41"/>
  <c r="BY102" i="41"/>
  <c r="BQ102" i="41"/>
  <c r="BI102" i="41"/>
  <c r="BZ101" i="41"/>
  <c r="BR101" i="41"/>
  <c r="BJ101" i="41"/>
  <c r="CA100" i="41"/>
  <c r="BS100" i="41"/>
  <c r="BK100" i="41"/>
  <c r="CC98" i="41"/>
  <c r="BU98" i="41"/>
  <c r="BM98" i="41"/>
  <c r="CA123" i="41"/>
  <c r="BS123" i="41"/>
  <c r="BK123" i="41"/>
  <c r="CB122" i="41"/>
  <c r="BT122" i="41"/>
  <c r="BL122" i="41"/>
  <c r="CC121" i="41"/>
  <c r="BU121" i="41"/>
  <c r="BM121" i="41"/>
  <c r="CD120" i="41"/>
  <c r="BV120" i="41"/>
  <c r="BN120" i="41"/>
  <c r="CE119" i="41"/>
  <c r="BW119" i="41"/>
  <c r="BO119" i="41"/>
  <c r="CF118" i="41"/>
  <c r="BX118" i="41"/>
  <c r="BP118" i="41"/>
  <c r="BY117" i="41"/>
  <c r="BQ117" i="41"/>
  <c r="BI117" i="41"/>
  <c r="BZ116" i="41"/>
  <c r="BR116" i="41"/>
  <c r="BJ116" i="41"/>
  <c r="CA115" i="41"/>
  <c r="BS115" i="41"/>
  <c r="BK115" i="41"/>
  <c r="CB114" i="41"/>
  <c r="BT114" i="41"/>
  <c r="BL114" i="41"/>
  <c r="CC113" i="41"/>
  <c r="BU113" i="41"/>
  <c r="BM113" i="41"/>
  <c r="CD112" i="41"/>
  <c r="BV112" i="41"/>
  <c r="BN112" i="41"/>
  <c r="CE111" i="41"/>
  <c r="BW111" i="41"/>
  <c r="BO111" i="41"/>
  <c r="CF110" i="41"/>
  <c r="BX110" i="41"/>
  <c r="BP110" i="41"/>
  <c r="BY109" i="41"/>
  <c r="BQ109" i="41"/>
  <c r="BI109" i="41"/>
  <c r="BZ108" i="41"/>
  <c r="BR108" i="41"/>
  <c r="BJ108" i="41"/>
  <c r="CA107" i="41"/>
  <c r="BS107" i="41"/>
  <c r="BK107" i="41"/>
  <c r="CB106" i="41"/>
  <c r="BT106" i="41"/>
  <c r="BL106" i="41"/>
  <c r="CC105" i="41"/>
  <c r="BU105" i="41"/>
  <c r="BM105" i="41"/>
  <c r="CD104" i="41"/>
  <c r="BV104" i="41"/>
  <c r="BN104" i="41"/>
  <c r="CE103" i="41"/>
  <c r="BW103" i="41"/>
  <c r="BO103" i="41"/>
  <c r="CF102" i="41"/>
  <c r="BX102" i="41"/>
  <c r="BP102" i="41"/>
  <c r="BY101" i="41"/>
  <c r="BQ101" i="41"/>
  <c r="BI101" i="41"/>
  <c r="BZ100" i="41"/>
  <c r="BR100" i="41"/>
  <c r="BJ100" i="41"/>
  <c r="CB98" i="41"/>
  <c r="BT98" i="41"/>
  <c r="BZ123" i="41"/>
  <c r="BR123" i="41"/>
  <c r="BJ123" i="41"/>
  <c r="CA122" i="41"/>
  <c r="BS122" i="41"/>
  <c r="BK122" i="41"/>
  <c r="CB121" i="41"/>
  <c r="BT121" i="41"/>
  <c r="BL121" i="41"/>
  <c r="CC120" i="41"/>
  <c r="BU120" i="41"/>
  <c r="BM120" i="41"/>
  <c r="CD119" i="41"/>
  <c r="BV119" i="41"/>
  <c r="BN119" i="41"/>
  <c r="CE118" i="41"/>
  <c r="BW118" i="41"/>
  <c r="BO118" i="41"/>
  <c r="CF117" i="41"/>
  <c r="BX117" i="41"/>
  <c r="BP117" i="41"/>
  <c r="BY116" i="41"/>
  <c r="BQ116" i="41"/>
  <c r="BI116" i="41"/>
  <c r="BZ115" i="41"/>
  <c r="BR115" i="41"/>
  <c r="BJ115" i="41"/>
  <c r="CA114" i="41"/>
  <c r="BS114" i="41"/>
  <c r="BK114" i="41"/>
  <c r="CB113" i="41"/>
  <c r="BT113" i="41"/>
  <c r="BL113" i="41"/>
  <c r="CC112" i="41"/>
  <c r="BU112" i="41"/>
  <c r="BM112" i="41"/>
  <c r="CD111" i="41"/>
  <c r="BV111" i="41"/>
  <c r="BN111" i="41"/>
  <c r="CE110" i="41"/>
  <c r="BW110" i="41"/>
  <c r="BO110" i="41"/>
  <c r="CF109" i="41"/>
  <c r="BX109" i="41"/>
  <c r="BP109" i="41"/>
  <c r="BY108" i="41"/>
  <c r="BQ108" i="41"/>
  <c r="BI108" i="41"/>
  <c r="BZ107" i="41"/>
  <c r="BR107" i="41"/>
  <c r="BJ107" i="41"/>
  <c r="CA106" i="41"/>
  <c r="BS106" i="41"/>
  <c r="BK106" i="41"/>
  <c r="CB105" i="41"/>
  <c r="BT105" i="41"/>
  <c r="BL105" i="41"/>
  <c r="CC104" i="41"/>
  <c r="BU104" i="41"/>
  <c r="BM104" i="41"/>
  <c r="CD103" i="41"/>
  <c r="BV103" i="41"/>
  <c r="BN103" i="41"/>
  <c r="CE102" i="41"/>
  <c r="BW102" i="41"/>
  <c r="BO102" i="41"/>
  <c r="CF101" i="41"/>
  <c r="BX101" i="41"/>
  <c r="BP101" i="41"/>
  <c r="BY100" i="41"/>
  <c r="BQ100" i="41"/>
  <c r="BI100" i="41"/>
  <c r="CA98" i="41"/>
  <c r="BS98" i="41"/>
  <c r="BK98" i="41"/>
  <c r="BY123" i="41"/>
  <c r="BQ123" i="41"/>
  <c r="BI123" i="41"/>
  <c r="BZ122" i="41"/>
  <c r="BR122" i="41"/>
  <c r="BJ122" i="41"/>
  <c r="CA121" i="41"/>
  <c r="BS121" i="41"/>
  <c r="BK121" i="41"/>
  <c r="CB120" i="41"/>
  <c r="BT120" i="41"/>
  <c r="BL120" i="41"/>
  <c r="CC119" i="41"/>
  <c r="BU119" i="41"/>
  <c r="BM119" i="41"/>
  <c r="CD118" i="41"/>
  <c r="BV118" i="41"/>
  <c r="BN118" i="41"/>
  <c r="CE117" i="41"/>
  <c r="BW117" i="41"/>
  <c r="BO117" i="41"/>
  <c r="CF116" i="41"/>
  <c r="BX116" i="41"/>
  <c r="BP116" i="41"/>
  <c r="BY115" i="41"/>
  <c r="BQ115" i="41"/>
  <c r="BI115" i="41"/>
  <c r="BZ114" i="41"/>
  <c r="BR114" i="41"/>
  <c r="BJ114" i="41"/>
  <c r="CA113" i="41"/>
  <c r="BS113" i="41"/>
  <c r="BK113" i="41"/>
  <c r="CB112" i="41"/>
  <c r="BT112" i="41"/>
  <c r="BL112" i="41"/>
  <c r="CC111" i="41"/>
  <c r="BU111" i="41"/>
  <c r="BM111" i="41"/>
  <c r="CD110" i="41"/>
  <c r="BV110" i="41"/>
  <c r="BN110" i="41"/>
  <c r="CE109" i="41"/>
  <c r="BW109" i="41"/>
  <c r="BO109" i="41"/>
  <c r="CF108" i="41"/>
  <c r="BX108" i="41"/>
  <c r="BP108" i="41"/>
  <c r="BY107" i="41"/>
  <c r="BQ107" i="41"/>
  <c r="BI107" i="41"/>
  <c r="BZ106" i="41"/>
  <c r="BR106" i="41"/>
  <c r="BJ106" i="41"/>
  <c r="CA105" i="41"/>
  <c r="BS105" i="41"/>
  <c r="BK105" i="41"/>
  <c r="CB104" i="41"/>
  <c r="BT104" i="41"/>
  <c r="BL104" i="41"/>
  <c r="CC103" i="41"/>
  <c r="BU103" i="41"/>
  <c r="BM103" i="41"/>
  <c r="CD102" i="41"/>
  <c r="BV102" i="41"/>
  <c r="BN102" i="41"/>
  <c r="CE101" i="41"/>
  <c r="BW101" i="41"/>
  <c r="BO101" i="41"/>
  <c r="CF100" i="41"/>
  <c r="BX100" i="41"/>
  <c r="BP100" i="41"/>
  <c r="BZ98" i="41"/>
  <c r="BR98" i="41"/>
  <c r="BJ98" i="41"/>
  <c r="CF123" i="41"/>
  <c r="BI114" i="41"/>
  <c r="BK112" i="41"/>
  <c r="BM110" i="41"/>
  <c r="BO108" i="41"/>
  <c r="BQ106" i="41"/>
  <c r="BS104" i="41"/>
  <c r="BU102" i="41"/>
  <c r="BW100" i="41"/>
  <c r="BY98" i="41"/>
  <c r="BC98" i="41"/>
  <c r="CB97" i="41"/>
  <c r="BT97" i="41"/>
  <c r="BL97" i="41"/>
  <c r="CC96" i="41"/>
  <c r="BU96" i="41"/>
  <c r="BM96" i="41"/>
  <c r="CD95" i="41"/>
  <c r="BV95" i="41"/>
  <c r="BN95" i="41"/>
  <c r="CE94" i="41"/>
  <c r="BW94" i="41"/>
  <c r="BO94" i="41"/>
  <c r="CF93" i="41"/>
  <c r="BX93" i="41"/>
  <c r="BP93" i="41"/>
  <c r="BY92" i="41"/>
  <c r="BQ92" i="41"/>
  <c r="BI92" i="41"/>
  <c r="BZ91" i="41"/>
  <c r="BR91" i="41"/>
  <c r="BJ91" i="41"/>
  <c r="CA90" i="41"/>
  <c r="BS90" i="41"/>
  <c r="BK90" i="41"/>
  <c r="CB89" i="41"/>
  <c r="BT89" i="41"/>
  <c r="BL89" i="41"/>
  <c r="CC88" i="41"/>
  <c r="BU88" i="41"/>
  <c r="BM88" i="41"/>
  <c r="CD87" i="41"/>
  <c r="BV87" i="41"/>
  <c r="BN87" i="41"/>
  <c r="CE86" i="41"/>
  <c r="BW86" i="41"/>
  <c r="BO86" i="41"/>
  <c r="CF85" i="41"/>
  <c r="BX85" i="41"/>
  <c r="BP85" i="41"/>
  <c r="BY84" i="41"/>
  <c r="BQ84" i="41"/>
  <c r="BI84" i="41"/>
  <c r="BZ83" i="41"/>
  <c r="BR83" i="41"/>
  <c r="BJ83" i="41"/>
  <c r="CA82" i="41"/>
  <c r="BS82" i="41"/>
  <c r="BK82" i="41"/>
  <c r="CB81" i="41"/>
  <c r="BT81" i="41"/>
  <c r="BL81" i="41"/>
  <c r="CC80" i="41"/>
  <c r="BU80" i="41"/>
  <c r="BM80" i="41"/>
  <c r="CD79" i="41"/>
  <c r="BV79" i="41"/>
  <c r="BN79" i="41"/>
  <c r="CE78" i="41"/>
  <c r="BW78" i="41"/>
  <c r="BO78" i="41"/>
  <c r="CF77" i="41"/>
  <c r="BX77" i="41"/>
  <c r="BP77" i="41"/>
  <c r="BY76" i="41"/>
  <c r="BQ76" i="41"/>
  <c r="BI76" i="41"/>
  <c r="BZ75" i="41"/>
  <c r="BR75" i="41"/>
  <c r="BJ75" i="41"/>
  <c r="CA74" i="41"/>
  <c r="BS74" i="41"/>
  <c r="BK74" i="41"/>
  <c r="CC72" i="41"/>
  <c r="BU72" i="41"/>
  <c r="BM72" i="41"/>
  <c r="BE72" i="41"/>
  <c r="CD71" i="41"/>
  <c r="BV71" i="41"/>
  <c r="BN71" i="41"/>
  <c r="CE70" i="41"/>
  <c r="BW70" i="41"/>
  <c r="BO70" i="41"/>
  <c r="CF69" i="41"/>
  <c r="BX69" i="41"/>
  <c r="BP69" i="41"/>
  <c r="BY68" i="41"/>
  <c r="BQ68" i="41"/>
  <c r="BI68" i="41"/>
  <c r="BZ67" i="41"/>
  <c r="BR67" i="41"/>
  <c r="BJ67" i="41"/>
  <c r="CA66" i="41"/>
  <c r="BS66" i="41"/>
  <c r="BK66" i="41"/>
  <c r="CB65" i="41"/>
  <c r="BT65" i="41"/>
  <c r="BL65" i="41"/>
  <c r="CC64" i="41"/>
  <c r="BU64" i="41"/>
  <c r="BM64" i="41"/>
  <c r="CD63" i="41"/>
  <c r="BV63" i="41"/>
  <c r="BN63" i="41"/>
  <c r="CE62" i="41"/>
  <c r="BW62" i="41"/>
  <c r="BO62" i="41"/>
  <c r="CF61" i="41"/>
  <c r="BX61" i="41"/>
  <c r="BP61" i="41"/>
  <c r="CE59" i="41"/>
  <c r="BW59" i="41"/>
  <c r="BO59" i="41"/>
  <c r="CF58" i="41"/>
  <c r="BX58" i="41"/>
  <c r="BP58" i="41"/>
  <c r="BZ56" i="41"/>
  <c r="BR56" i="41"/>
  <c r="BJ56" i="41"/>
  <c r="CA55" i="41"/>
  <c r="BX123" i="41"/>
  <c r="BZ121" i="41"/>
  <c r="CB119" i="41"/>
  <c r="CD117" i="41"/>
  <c r="CF115" i="41"/>
  <c r="BI106" i="41"/>
  <c r="BK104" i="41"/>
  <c r="BM102" i="41"/>
  <c r="BO100" i="41"/>
  <c r="BQ98" i="41"/>
  <c r="BB98" i="41"/>
  <c r="CA97" i="41"/>
  <c r="BS97" i="41"/>
  <c r="BK97" i="41"/>
  <c r="CB96" i="41"/>
  <c r="BT96" i="41"/>
  <c r="BL96" i="41"/>
  <c r="CC95" i="41"/>
  <c r="BU95" i="41"/>
  <c r="BM95" i="41"/>
  <c r="CD94" i="41"/>
  <c r="BV94" i="41"/>
  <c r="BN94" i="41"/>
  <c r="CE93" i="41"/>
  <c r="BW93" i="41"/>
  <c r="BO93" i="41"/>
  <c r="CF92" i="41"/>
  <c r="BX92" i="41"/>
  <c r="BP92" i="41"/>
  <c r="BY91" i="41"/>
  <c r="BQ91" i="41"/>
  <c r="BI91" i="41"/>
  <c r="BZ90" i="41"/>
  <c r="BR90" i="41"/>
  <c r="BJ90" i="41"/>
  <c r="CA89" i="41"/>
  <c r="BS89" i="41"/>
  <c r="BK89" i="41"/>
  <c r="CB88" i="41"/>
  <c r="BT88" i="41"/>
  <c r="BL88" i="41"/>
  <c r="CC87" i="41"/>
  <c r="BU87" i="41"/>
  <c r="BM87" i="41"/>
  <c r="CD86" i="41"/>
  <c r="BV86" i="41"/>
  <c r="BN86" i="41"/>
  <c r="CE85" i="41"/>
  <c r="BW85" i="41"/>
  <c r="BO85" i="41"/>
  <c r="CF84" i="41"/>
  <c r="BX84" i="41"/>
  <c r="BP84" i="41"/>
  <c r="BY83" i="41"/>
  <c r="BQ83" i="41"/>
  <c r="BI83" i="41"/>
  <c r="BZ82" i="41"/>
  <c r="BR82" i="41"/>
  <c r="BJ82" i="41"/>
  <c r="CA81" i="41"/>
  <c r="BS81" i="41"/>
  <c r="BK81" i="41"/>
  <c r="CB80" i="41"/>
  <c r="BT80" i="41"/>
  <c r="BL80" i="41"/>
  <c r="CC79" i="41"/>
  <c r="BU79" i="41"/>
  <c r="BM79" i="41"/>
  <c r="CD78" i="41"/>
  <c r="BV78" i="41"/>
  <c r="BN78" i="41"/>
  <c r="CE77" i="41"/>
  <c r="BW77" i="41"/>
  <c r="BO77" i="41"/>
  <c r="CF76" i="41"/>
  <c r="BX76" i="41"/>
  <c r="BP76" i="41"/>
  <c r="BY75" i="41"/>
  <c r="BQ75" i="41"/>
  <c r="BI75" i="41"/>
  <c r="BZ74" i="41"/>
  <c r="BR74" i="41"/>
  <c r="BJ74" i="41"/>
  <c r="CB72" i="41"/>
  <c r="BT72" i="41"/>
  <c r="BL72" i="41"/>
  <c r="BD72" i="41"/>
  <c r="CC71" i="41"/>
  <c r="BU71" i="41"/>
  <c r="BM71" i="41"/>
  <c r="CD70" i="41"/>
  <c r="BV70" i="41"/>
  <c r="BN70" i="41"/>
  <c r="CE69" i="41"/>
  <c r="BW69" i="41"/>
  <c r="BO69" i="41"/>
  <c r="CF68" i="41"/>
  <c r="BX68" i="41"/>
  <c r="BP68" i="41"/>
  <c r="BY67" i="41"/>
  <c r="BQ67" i="41"/>
  <c r="BI67" i="41"/>
  <c r="BZ66" i="41"/>
  <c r="BR66" i="41"/>
  <c r="BJ66" i="41"/>
  <c r="CA65" i="41"/>
  <c r="BS65" i="41"/>
  <c r="BK65" i="41"/>
  <c r="CB64" i="41"/>
  <c r="BT64" i="41"/>
  <c r="BL64" i="41"/>
  <c r="CC63" i="41"/>
  <c r="BU63" i="41"/>
  <c r="BM63" i="41"/>
  <c r="CD62" i="41"/>
  <c r="BV62" i="41"/>
  <c r="BN62" i="41"/>
  <c r="CE61" i="41"/>
  <c r="BW61" i="41"/>
  <c r="BO61" i="41"/>
  <c r="CD59" i="41"/>
  <c r="BV59" i="41"/>
  <c r="BN59" i="41"/>
  <c r="CE58" i="41"/>
  <c r="BW58" i="41"/>
  <c r="BO58" i="41"/>
  <c r="BY56" i="41"/>
  <c r="BQ56" i="41"/>
  <c r="BI56" i="41"/>
  <c r="BZ55" i="41"/>
  <c r="BR55" i="41"/>
  <c r="BJ55" i="41"/>
  <c r="CA54" i="41"/>
  <c r="BS54" i="41"/>
  <c r="BK54" i="41"/>
  <c r="CB53" i="41"/>
  <c r="BT53" i="41"/>
  <c r="BL53" i="41"/>
  <c r="CC52" i="41"/>
  <c r="BU52" i="41"/>
  <c r="BM52" i="41"/>
  <c r="CD51" i="41"/>
  <c r="BV51" i="41"/>
  <c r="BN51" i="41"/>
  <c r="CE50" i="41"/>
  <c r="BW50" i="41"/>
  <c r="BO50" i="41"/>
  <c r="CF49" i="41"/>
  <c r="BX49" i="41"/>
  <c r="BP49" i="41"/>
  <c r="BZ47" i="41"/>
  <c r="BR47" i="41"/>
  <c r="BJ47" i="41"/>
  <c r="CA46" i="41"/>
  <c r="BS46" i="41"/>
  <c r="BK46" i="41"/>
  <c r="CB45" i="41"/>
  <c r="BT45" i="41"/>
  <c r="BL45" i="41"/>
  <c r="CC44" i="41"/>
  <c r="BU44" i="41"/>
  <c r="BM44" i="41"/>
  <c r="CD43" i="41"/>
  <c r="BV43" i="41"/>
  <c r="BN43" i="41"/>
  <c r="CE42" i="41"/>
  <c r="BW42" i="41"/>
  <c r="BO42" i="41"/>
  <c r="CF41" i="41"/>
  <c r="BX41" i="41"/>
  <c r="BP41" i="41"/>
  <c r="BY40" i="41"/>
  <c r="BQ40" i="41"/>
  <c r="BI40" i="41"/>
  <c r="BZ39" i="41"/>
  <c r="BR39" i="41"/>
  <c r="BJ39" i="41"/>
  <c r="CA38" i="41"/>
  <c r="BS38" i="41"/>
  <c r="BK38" i="41"/>
  <c r="CB37" i="41"/>
  <c r="BT37" i="41"/>
  <c r="BL37" i="41"/>
  <c r="CD35" i="41"/>
  <c r="BV35" i="41"/>
  <c r="BN35" i="41"/>
  <c r="CE34" i="41"/>
  <c r="BW34" i="41"/>
  <c r="BO34" i="41"/>
  <c r="CF33" i="41"/>
  <c r="BX33" i="41"/>
  <c r="BP33" i="41"/>
  <c r="BY32" i="41"/>
  <c r="BQ32" i="41"/>
  <c r="BI32" i="41"/>
  <c r="BZ31" i="41"/>
  <c r="BR31" i="41"/>
  <c r="BJ31" i="41"/>
  <c r="CA30" i="41"/>
  <c r="BS30" i="41"/>
  <c r="BK30" i="41"/>
  <c r="CB29" i="41"/>
  <c r="BT29" i="41"/>
  <c r="BL29" i="41"/>
  <c r="CC28" i="41"/>
  <c r="BU28" i="41"/>
  <c r="BM28" i="41"/>
  <c r="CD27" i="41"/>
  <c r="BV27" i="41"/>
  <c r="BN27" i="41"/>
  <c r="CE26" i="41"/>
  <c r="BW26" i="41"/>
  <c r="BO26" i="41"/>
  <c r="CF25" i="41"/>
  <c r="BX25" i="41"/>
  <c r="BP25" i="41"/>
  <c r="BY24" i="41"/>
  <c r="BQ24" i="41"/>
  <c r="BP123" i="41"/>
  <c r="BR121" i="41"/>
  <c r="BT119" i="41"/>
  <c r="BV117" i="41"/>
  <c r="BX115" i="41"/>
  <c r="BZ113" i="41"/>
  <c r="CB111" i="41"/>
  <c r="CD109" i="41"/>
  <c r="CF107" i="41"/>
  <c r="BL98" i="41"/>
  <c r="BA98" i="41"/>
  <c r="BZ97" i="41"/>
  <c r="BR97" i="41"/>
  <c r="BJ97" i="41"/>
  <c r="CA96" i="41"/>
  <c r="BS96" i="41"/>
  <c r="BK96" i="41"/>
  <c r="CB95" i="41"/>
  <c r="BT95" i="41"/>
  <c r="BL95" i="41"/>
  <c r="CC94" i="41"/>
  <c r="BU94" i="41"/>
  <c r="BM94" i="41"/>
  <c r="CD93" i="41"/>
  <c r="BV93" i="41"/>
  <c r="BN93" i="41"/>
  <c r="CE92" i="41"/>
  <c r="BW92" i="41"/>
  <c r="BO92" i="41"/>
  <c r="CF91" i="41"/>
  <c r="BX91" i="41"/>
  <c r="BP91" i="41"/>
  <c r="BY90" i="41"/>
  <c r="BQ90" i="41"/>
  <c r="BI90" i="41"/>
  <c r="BZ89" i="41"/>
  <c r="BR89" i="41"/>
  <c r="BJ89" i="41"/>
  <c r="CA88" i="41"/>
  <c r="BS88" i="41"/>
  <c r="BK88" i="41"/>
  <c r="CB87" i="41"/>
  <c r="BT87" i="41"/>
  <c r="BL87" i="41"/>
  <c r="CC86" i="41"/>
  <c r="BU86" i="41"/>
  <c r="BM86" i="41"/>
  <c r="CD85" i="41"/>
  <c r="BV85" i="41"/>
  <c r="BN85" i="41"/>
  <c r="CE84" i="41"/>
  <c r="BW84" i="41"/>
  <c r="BO84" i="41"/>
  <c r="CF83" i="41"/>
  <c r="BX83" i="41"/>
  <c r="BP83" i="41"/>
  <c r="BY82" i="41"/>
  <c r="BQ82" i="41"/>
  <c r="BI82" i="41"/>
  <c r="BZ81" i="41"/>
  <c r="BR81" i="41"/>
  <c r="BJ81" i="41"/>
  <c r="CA80" i="41"/>
  <c r="BS80" i="41"/>
  <c r="BK80" i="41"/>
  <c r="CB79" i="41"/>
  <c r="BT79" i="41"/>
  <c r="BL79" i="41"/>
  <c r="CC78" i="41"/>
  <c r="BU78" i="41"/>
  <c r="BM78" i="41"/>
  <c r="CD77" i="41"/>
  <c r="BV77" i="41"/>
  <c r="BN77" i="41"/>
  <c r="CE76" i="41"/>
  <c r="BW76" i="41"/>
  <c r="BO76" i="41"/>
  <c r="CF75" i="41"/>
  <c r="BX75" i="41"/>
  <c r="BP75" i="41"/>
  <c r="BY74" i="41"/>
  <c r="BQ74" i="41"/>
  <c r="BI74" i="41"/>
  <c r="CA72" i="41"/>
  <c r="BS72" i="41"/>
  <c r="BK72" i="41"/>
  <c r="BC72" i="41"/>
  <c r="CB71" i="41"/>
  <c r="BT71" i="41"/>
  <c r="BL71" i="41"/>
  <c r="CC70" i="41"/>
  <c r="BU70" i="41"/>
  <c r="BM70" i="41"/>
  <c r="CD69" i="41"/>
  <c r="BV69" i="41"/>
  <c r="BN69" i="41"/>
  <c r="CE68" i="41"/>
  <c r="BW68" i="41"/>
  <c r="BO68" i="41"/>
  <c r="CF67" i="41"/>
  <c r="BX67" i="41"/>
  <c r="BP67" i="41"/>
  <c r="BY66" i="41"/>
  <c r="BQ66" i="41"/>
  <c r="BI66" i="41"/>
  <c r="BZ65" i="41"/>
  <c r="BR65" i="41"/>
  <c r="BJ65" i="41"/>
  <c r="CA64" i="41"/>
  <c r="BS64" i="41"/>
  <c r="BK64" i="41"/>
  <c r="CB63" i="41"/>
  <c r="BT63" i="41"/>
  <c r="BL63" i="41"/>
  <c r="CC62" i="41"/>
  <c r="BU62" i="41"/>
  <c r="BM62" i="41"/>
  <c r="CD61" i="41"/>
  <c r="BV61" i="41"/>
  <c r="BN61" i="41"/>
  <c r="CC59" i="41"/>
  <c r="BU59" i="41"/>
  <c r="BM59" i="41"/>
  <c r="CD58" i="41"/>
  <c r="BV58" i="41"/>
  <c r="BN58" i="41"/>
  <c r="BJ121" i="41"/>
  <c r="BL119" i="41"/>
  <c r="BN117" i="41"/>
  <c r="BP115" i="41"/>
  <c r="BR113" i="41"/>
  <c r="BT111" i="41"/>
  <c r="BV109" i="41"/>
  <c r="BX107" i="41"/>
  <c r="BZ105" i="41"/>
  <c r="CB103" i="41"/>
  <c r="CD101" i="41"/>
  <c r="BI98" i="41"/>
  <c r="AZ98" i="41"/>
  <c r="BY97" i="41"/>
  <c r="BQ97" i="41"/>
  <c r="BI97" i="41"/>
  <c r="BZ96" i="41"/>
  <c r="BR96" i="41"/>
  <c r="BJ96" i="41"/>
  <c r="CA95" i="41"/>
  <c r="BS95" i="41"/>
  <c r="BK95" i="41"/>
  <c r="CB94" i="41"/>
  <c r="BT94" i="41"/>
  <c r="BL94" i="41"/>
  <c r="CC93" i="41"/>
  <c r="BU93" i="41"/>
  <c r="BM93" i="41"/>
  <c r="CD92" i="41"/>
  <c r="BV92" i="41"/>
  <c r="BN92" i="41"/>
  <c r="CE91" i="41"/>
  <c r="BW91" i="41"/>
  <c r="BO91" i="41"/>
  <c r="CF90" i="41"/>
  <c r="BX90" i="41"/>
  <c r="BP90" i="41"/>
  <c r="BY89" i="41"/>
  <c r="BQ89" i="41"/>
  <c r="BI89" i="41"/>
  <c r="BZ88" i="41"/>
  <c r="BR88" i="41"/>
  <c r="BJ88" i="41"/>
  <c r="CA87" i="41"/>
  <c r="BS87" i="41"/>
  <c r="BK87" i="41"/>
  <c r="CB86" i="41"/>
  <c r="BT86" i="41"/>
  <c r="BL86" i="41"/>
  <c r="CC85" i="41"/>
  <c r="BU85" i="41"/>
  <c r="BM85" i="41"/>
  <c r="CD84" i="41"/>
  <c r="BV84" i="41"/>
  <c r="BN84" i="41"/>
  <c r="CE83" i="41"/>
  <c r="BW83" i="41"/>
  <c r="BO83" i="41"/>
  <c r="CF82" i="41"/>
  <c r="BX82" i="41"/>
  <c r="BP82" i="41"/>
  <c r="BY81" i="41"/>
  <c r="BQ81" i="41"/>
  <c r="BI81" i="41"/>
  <c r="BZ80" i="41"/>
  <c r="BR80" i="41"/>
  <c r="BJ80" i="41"/>
  <c r="CA79" i="41"/>
  <c r="BS79" i="41"/>
  <c r="BK79" i="41"/>
  <c r="CB78" i="41"/>
  <c r="BT78" i="41"/>
  <c r="BL78" i="41"/>
  <c r="CC77" i="41"/>
  <c r="BU77" i="41"/>
  <c r="BM77" i="41"/>
  <c r="CD76" i="41"/>
  <c r="BV76" i="41"/>
  <c r="BN76" i="41"/>
  <c r="CE75" i="41"/>
  <c r="BW75" i="41"/>
  <c r="BO75" i="41"/>
  <c r="CF74" i="41"/>
  <c r="BX74" i="41"/>
  <c r="BP74" i="41"/>
  <c r="BZ72" i="41"/>
  <c r="BR72" i="41"/>
  <c r="BJ72" i="41"/>
  <c r="BB72" i="41"/>
  <c r="CA71" i="41"/>
  <c r="BS71" i="41"/>
  <c r="BK71" i="41"/>
  <c r="CB70" i="41"/>
  <c r="BT70" i="41"/>
  <c r="BL70" i="41"/>
  <c r="CC69" i="41"/>
  <c r="BU69" i="41"/>
  <c r="BM69" i="41"/>
  <c r="CD68" i="41"/>
  <c r="BV68" i="41"/>
  <c r="BN68" i="41"/>
  <c r="CE67" i="41"/>
  <c r="BW67" i="41"/>
  <c r="BO67" i="41"/>
  <c r="CF66" i="41"/>
  <c r="BX66" i="41"/>
  <c r="BP66" i="41"/>
  <c r="BY65" i="41"/>
  <c r="BQ65" i="41"/>
  <c r="BI65" i="41"/>
  <c r="BZ64" i="41"/>
  <c r="BR64" i="41"/>
  <c r="BJ64" i="41"/>
  <c r="CA63" i="41"/>
  <c r="BS63" i="41"/>
  <c r="BK63" i="41"/>
  <c r="CB62" i="41"/>
  <c r="BT62" i="41"/>
  <c r="BL62" i="41"/>
  <c r="CC61" i="41"/>
  <c r="BU61" i="41"/>
  <c r="BM61" i="41"/>
  <c r="CB59" i="41"/>
  <c r="BT59" i="41"/>
  <c r="BL59" i="41"/>
  <c r="CC58" i="41"/>
  <c r="BU58" i="41"/>
  <c r="BM58" i="41"/>
  <c r="CE56" i="41"/>
  <c r="BW56" i="41"/>
  <c r="BO56" i="41"/>
  <c r="CF55" i="41"/>
  <c r="BX55" i="41"/>
  <c r="BP55" i="41"/>
  <c r="BY54" i="41"/>
  <c r="BQ54" i="41"/>
  <c r="BI54" i="41"/>
  <c r="BZ53" i="41"/>
  <c r="BR53" i="41"/>
  <c r="BJ53" i="41"/>
  <c r="CA52" i="41"/>
  <c r="BS52" i="41"/>
  <c r="BK52" i="41"/>
  <c r="CB51" i="41"/>
  <c r="BT51" i="41"/>
  <c r="BL51" i="41"/>
  <c r="CC50" i="41"/>
  <c r="BU50" i="41"/>
  <c r="BM50" i="41"/>
  <c r="CD49" i="41"/>
  <c r="BV49" i="41"/>
  <c r="BN49" i="41"/>
  <c r="CF47" i="41"/>
  <c r="BX47" i="41"/>
  <c r="BP47" i="41"/>
  <c r="BY46" i="41"/>
  <c r="BQ46" i="41"/>
  <c r="BI46" i="41"/>
  <c r="BZ45" i="41"/>
  <c r="BR45" i="41"/>
  <c r="BJ45" i="41"/>
  <c r="CA44" i="41"/>
  <c r="BS44" i="41"/>
  <c r="BK44" i="41"/>
  <c r="CB43" i="41"/>
  <c r="BT43" i="41"/>
  <c r="BL43" i="41"/>
  <c r="CC42" i="41"/>
  <c r="BU42" i="41"/>
  <c r="BM42" i="41"/>
  <c r="CD41" i="41"/>
  <c r="BV41" i="41"/>
  <c r="BN41" i="41"/>
  <c r="CE40" i="41"/>
  <c r="BW40" i="41"/>
  <c r="BO40" i="41"/>
  <c r="CF39" i="41"/>
  <c r="BX39" i="41"/>
  <c r="BP39" i="41"/>
  <c r="BY38" i="41"/>
  <c r="BQ38" i="41"/>
  <c r="BI38" i="41"/>
  <c r="BZ37" i="41"/>
  <c r="BR37" i="41"/>
  <c r="BJ37" i="41"/>
  <c r="CB35" i="41"/>
  <c r="BT35" i="41"/>
  <c r="BL35" i="41"/>
  <c r="CC34" i="41"/>
  <c r="BU34" i="41"/>
  <c r="BM34" i="41"/>
  <c r="CD33" i="41"/>
  <c r="BV33" i="41"/>
  <c r="BN33" i="41"/>
  <c r="CE32" i="41"/>
  <c r="BW32" i="41"/>
  <c r="BO32" i="41"/>
  <c r="CF31" i="41"/>
  <c r="BX31" i="41"/>
  <c r="BP31" i="41"/>
  <c r="BY30" i="41"/>
  <c r="BQ30" i="41"/>
  <c r="BI30" i="41"/>
  <c r="BZ29" i="41"/>
  <c r="BR29" i="41"/>
  <c r="BJ29" i="41"/>
  <c r="CA28" i="41"/>
  <c r="BS28" i="41"/>
  <c r="BK28" i="41"/>
  <c r="CB27" i="41"/>
  <c r="BT27" i="41"/>
  <c r="BL27" i="41"/>
  <c r="CC26" i="41"/>
  <c r="BU26" i="41"/>
  <c r="BM26" i="41"/>
  <c r="CD25" i="41"/>
  <c r="BV25" i="41"/>
  <c r="BN25" i="41"/>
  <c r="BJ113" i="41"/>
  <c r="BL111" i="41"/>
  <c r="BN109" i="41"/>
  <c r="BP107" i="41"/>
  <c r="BR105" i="41"/>
  <c r="BT103" i="41"/>
  <c r="BV101" i="41"/>
  <c r="BH98" i="41"/>
  <c r="CF97" i="41"/>
  <c r="BX97" i="41"/>
  <c r="BP97" i="41"/>
  <c r="BY96" i="41"/>
  <c r="BQ96" i="41"/>
  <c r="BI96" i="41"/>
  <c r="BZ95" i="41"/>
  <c r="BR95" i="41"/>
  <c r="BJ95" i="41"/>
  <c r="CA94" i="41"/>
  <c r="BS94" i="41"/>
  <c r="BK94" i="41"/>
  <c r="CB93" i="41"/>
  <c r="BT93" i="41"/>
  <c r="BL93" i="41"/>
  <c r="CC92" i="41"/>
  <c r="BU92" i="41"/>
  <c r="BM92" i="41"/>
  <c r="CD91" i="41"/>
  <c r="BV91" i="41"/>
  <c r="BN91" i="41"/>
  <c r="CE90" i="41"/>
  <c r="BW90" i="41"/>
  <c r="BO90" i="41"/>
  <c r="CF89" i="41"/>
  <c r="BX89" i="41"/>
  <c r="BP89" i="41"/>
  <c r="BY88" i="41"/>
  <c r="BQ88" i="41"/>
  <c r="BI88" i="41"/>
  <c r="BZ87" i="41"/>
  <c r="BR87" i="41"/>
  <c r="BJ87" i="41"/>
  <c r="CA86" i="41"/>
  <c r="BS86" i="41"/>
  <c r="BK86" i="41"/>
  <c r="CB85" i="41"/>
  <c r="BT85" i="41"/>
  <c r="BL85" i="41"/>
  <c r="CC84" i="41"/>
  <c r="BU84" i="41"/>
  <c r="BM84" i="41"/>
  <c r="CD83" i="41"/>
  <c r="BV83" i="41"/>
  <c r="BN83" i="41"/>
  <c r="CE82" i="41"/>
  <c r="BW82" i="41"/>
  <c r="BO82" i="41"/>
  <c r="CF81" i="41"/>
  <c r="BX81" i="41"/>
  <c r="BP81" i="41"/>
  <c r="BY80" i="41"/>
  <c r="BQ80" i="41"/>
  <c r="BI80" i="41"/>
  <c r="BZ79" i="41"/>
  <c r="BR79" i="41"/>
  <c r="BJ79" i="41"/>
  <c r="CA78" i="41"/>
  <c r="BS78" i="41"/>
  <c r="BK78" i="41"/>
  <c r="CB77" i="41"/>
  <c r="BT77" i="41"/>
  <c r="BL77" i="41"/>
  <c r="CC76" i="41"/>
  <c r="BU76" i="41"/>
  <c r="BM76" i="41"/>
  <c r="CD75" i="41"/>
  <c r="BV75" i="41"/>
  <c r="BN75" i="41"/>
  <c r="CE74" i="41"/>
  <c r="BW74" i="41"/>
  <c r="BO74" i="41"/>
  <c r="BY72" i="41"/>
  <c r="BQ72" i="41"/>
  <c r="BI72" i="41"/>
  <c r="BA72" i="41"/>
  <c r="BZ71" i="41"/>
  <c r="BR71" i="41"/>
  <c r="BJ71" i="41"/>
  <c r="CA70" i="41"/>
  <c r="BS70" i="41"/>
  <c r="BK70" i="41"/>
  <c r="CB69" i="41"/>
  <c r="BT69" i="41"/>
  <c r="BL69" i="41"/>
  <c r="CC68" i="41"/>
  <c r="BU68" i="41"/>
  <c r="BM68" i="41"/>
  <c r="CD67" i="41"/>
  <c r="BV67" i="41"/>
  <c r="BN67" i="41"/>
  <c r="CE66" i="41"/>
  <c r="BW66" i="41"/>
  <c r="BO66" i="41"/>
  <c r="CF65" i="41"/>
  <c r="BX65" i="41"/>
  <c r="BP65" i="41"/>
  <c r="BY64" i="41"/>
  <c r="BQ64" i="41"/>
  <c r="BI64" i="41"/>
  <c r="BZ63" i="41"/>
  <c r="BR63" i="41"/>
  <c r="BJ63" i="41"/>
  <c r="CA62" i="41"/>
  <c r="BS62" i="41"/>
  <c r="BK62" i="41"/>
  <c r="CB61" i="41"/>
  <c r="BT61" i="41"/>
  <c r="BL61" i="41"/>
  <c r="CA59" i="41"/>
  <c r="BS59" i="41"/>
  <c r="BK59" i="41"/>
  <c r="CB58" i="41"/>
  <c r="BT58" i="41"/>
  <c r="BL58" i="41"/>
  <c r="BY122" i="41"/>
  <c r="CA120" i="41"/>
  <c r="CC118" i="41"/>
  <c r="CE116" i="41"/>
  <c r="BJ105" i="41"/>
  <c r="BL103" i="41"/>
  <c r="BN101" i="41"/>
  <c r="BG98" i="41"/>
  <c r="CE97" i="41"/>
  <c r="BW97" i="41"/>
  <c r="BO97" i="41"/>
  <c r="CF96" i="41"/>
  <c r="BX96" i="41"/>
  <c r="BP96" i="41"/>
  <c r="BY95" i="41"/>
  <c r="BQ95" i="41"/>
  <c r="BI95" i="41"/>
  <c r="BZ94" i="41"/>
  <c r="BR94" i="41"/>
  <c r="BJ94" i="41"/>
  <c r="CA93" i="41"/>
  <c r="BS93" i="41"/>
  <c r="BK93" i="41"/>
  <c r="CB92" i="41"/>
  <c r="BT92" i="41"/>
  <c r="BL92" i="41"/>
  <c r="CC91" i="41"/>
  <c r="BU91" i="41"/>
  <c r="BM91" i="41"/>
  <c r="CD90" i="41"/>
  <c r="BV90" i="41"/>
  <c r="BN90" i="41"/>
  <c r="CE89" i="41"/>
  <c r="BW89" i="41"/>
  <c r="BO89" i="41"/>
  <c r="CF88" i="41"/>
  <c r="BX88" i="41"/>
  <c r="BP88" i="41"/>
  <c r="BY87" i="41"/>
  <c r="BQ87" i="41"/>
  <c r="BI87" i="41"/>
  <c r="BZ86" i="41"/>
  <c r="BR86" i="41"/>
  <c r="BJ86" i="41"/>
  <c r="CA85" i="41"/>
  <c r="BS85" i="41"/>
  <c r="BK85" i="41"/>
  <c r="CB84" i="41"/>
  <c r="BT84" i="41"/>
  <c r="BL84" i="41"/>
  <c r="CC83" i="41"/>
  <c r="BU83" i="41"/>
  <c r="BM83" i="41"/>
  <c r="CD82" i="41"/>
  <c r="BV82" i="41"/>
  <c r="BN82" i="41"/>
  <c r="CE81" i="41"/>
  <c r="BW81" i="41"/>
  <c r="BO81" i="41"/>
  <c r="CF80" i="41"/>
  <c r="BX80" i="41"/>
  <c r="BP80" i="41"/>
  <c r="BY79" i="41"/>
  <c r="BQ79" i="41"/>
  <c r="BI79" i="41"/>
  <c r="BZ78" i="41"/>
  <c r="BR78" i="41"/>
  <c r="BJ78" i="41"/>
  <c r="CA77" i="41"/>
  <c r="BS77" i="41"/>
  <c r="BK77" i="41"/>
  <c r="CB76" i="41"/>
  <c r="BT76" i="41"/>
  <c r="BL76" i="41"/>
  <c r="CC75" i="41"/>
  <c r="BU75" i="41"/>
  <c r="BM75" i="41"/>
  <c r="CD74" i="41"/>
  <c r="BV74" i="41"/>
  <c r="BN74" i="41"/>
  <c r="CF72" i="41"/>
  <c r="BX72" i="41"/>
  <c r="BP72" i="41"/>
  <c r="BH72" i="41"/>
  <c r="AZ72" i="41"/>
  <c r="BY71" i="41"/>
  <c r="BQ71" i="41"/>
  <c r="BI71" i="41"/>
  <c r="BZ70" i="41"/>
  <c r="BR70" i="41"/>
  <c r="BJ70" i="41"/>
  <c r="CA69" i="41"/>
  <c r="BS69" i="41"/>
  <c r="BK69" i="41"/>
  <c r="CB68" i="41"/>
  <c r="BT68" i="41"/>
  <c r="BL68" i="41"/>
  <c r="CC67" i="41"/>
  <c r="BU67" i="41"/>
  <c r="BM67" i="41"/>
  <c r="CD66" i="41"/>
  <c r="BV66" i="41"/>
  <c r="BN66" i="41"/>
  <c r="CE65" i="41"/>
  <c r="BW65" i="41"/>
  <c r="BO65" i="41"/>
  <c r="CF64" i="41"/>
  <c r="BX64" i="41"/>
  <c r="BP64" i="41"/>
  <c r="BY63" i="41"/>
  <c r="BQ63" i="41"/>
  <c r="BI63" i="41"/>
  <c r="BZ62" i="41"/>
  <c r="BR62" i="41"/>
  <c r="BJ62" i="41"/>
  <c r="CA61" i="41"/>
  <c r="BS61" i="41"/>
  <c r="BK61" i="41"/>
  <c r="BZ59" i="41"/>
  <c r="BR59" i="41"/>
  <c r="BJ59" i="41"/>
  <c r="CA58" i="41"/>
  <c r="BS58" i="41"/>
  <c r="BK58" i="41"/>
  <c r="BQ122" i="41"/>
  <c r="BS120" i="41"/>
  <c r="BU118" i="41"/>
  <c r="BW116" i="41"/>
  <c r="BY114" i="41"/>
  <c r="CA112" i="41"/>
  <c r="CC110" i="41"/>
  <c r="CE108" i="41"/>
  <c r="BE98" i="41"/>
  <c r="CD97" i="41"/>
  <c r="BV97" i="41"/>
  <c r="BN97" i="41"/>
  <c r="CE96" i="41"/>
  <c r="BW96" i="41"/>
  <c r="BO96" i="41"/>
  <c r="CF95" i="41"/>
  <c r="BX95" i="41"/>
  <c r="BP95" i="41"/>
  <c r="BY94" i="41"/>
  <c r="BQ94" i="41"/>
  <c r="BI94" i="41"/>
  <c r="BZ93" i="41"/>
  <c r="BR93" i="41"/>
  <c r="BJ93" i="41"/>
  <c r="CA92" i="41"/>
  <c r="BS92" i="41"/>
  <c r="BK92" i="41"/>
  <c r="CB91" i="41"/>
  <c r="BT91" i="41"/>
  <c r="BL91" i="41"/>
  <c r="CC90" i="41"/>
  <c r="BU90" i="41"/>
  <c r="BM90" i="41"/>
  <c r="CD89" i="41"/>
  <c r="BV89" i="41"/>
  <c r="BN89" i="41"/>
  <c r="CE88" i="41"/>
  <c r="BW88" i="41"/>
  <c r="BO88" i="41"/>
  <c r="CF87" i="41"/>
  <c r="BX87" i="41"/>
  <c r="BP87" i="41"/>
  <c r="BY86" i="41"/>
  <c r="BQ86" i="41"/>
  <c r="BI86" i="41"/>
  <c r="BZ85" i="41"/>
  <c r="BR85" i="41"/>
  <c r="BJ85" i="41"/>
  <c r="CA84" i="41"/>
  <c r="BS84" i="41"/>
  <c r="BK84" i="41"/>
  <c r="CB83" i="41"/>
  <c r="BT83" i="41"/>
  <c r="BL83" i="41"/>
  <c r="CC82" i="41"/>
  <c r="BU82" i="41"/>
  <c r="BM82" i="41"/>
  <c r="CD81" i="41"/>
  <c r="BV81" i="41"/>
  <c r="BN81" i="41"/>
  <c r="CE80" i="41"/>
  <c r="BW80" i="41"/>
  <c r="BO80" i="41"/>
  <c r="CF79" i="41"/>
  <c r="BX79" i="41"/>
  <c r="BP79" i="41"/>
  <c r="BY78" i="41"/>
  <c r="BQ78" i="41"/>
  <c r="BI78" i="41"/>
  <c r="BZ77" i="41"/>
  <c r="BR77" i="41"/>
  <c r="BJ77" i="41"/>
  <c r="CA76" i="41"/>
  <c r="BS76" i="41"/>
  <c r="BK76" i="41"/>
  <c r="CB75" i="41"/>
  <c r="BT75" i="41"/>
  <c r="BL75" i="41"/>
  <c r="CC74" i="41"/>
  <c r="BU74" i="41"/>
  <c r="BM74" i="41"/>
  <c r="CE72" i="41"/>
  <c r="BW72" i="41"/>
  <c r="BO72" i="41"/>
  <c r="BG72" i="41"/>
  <c r="CF71" i="41"/>
  <c r="BX71" i="41"/>
  <c r="BP71" i="41"/>
  <c r="BY70" i="41"/>
  <c r="BQ70" i="41"/>
  <c r="BI70" i="41"/>
  <c r="BZ69" i="41"/>
  <c r="BR69" i="41"/>
  <c r="BJ69" i="41"/>
  <c r="CA68" i="41"/>
  <c r="BS68" i="41"/>
  <c r="BK68" i="41"/>
  <c r="CB67" i="41"/>
  <c r="BT67" i="41"/>
  <c r="BL67" i="41"/>
  <c r="CC66" i="41"/>
  <c r="BU66" i="41"/>
  <c r="BM66" i="41"/>
  <c r="CD65" i="41"/>
  <c r="BV65" i="41"/>
  <c r="BN65" i="41"/>
  <c r="CE64" i="41"/>
  <c r="BW64" i="41"/>
  <c r="BO64" i="41"/>
  <c r="CF63" i="41"/>
  <c r="BX63" i="41"/>
  <c r="BP63" i="41"/>
  <c r="BY62" i="41"/>
  <c r="BQ62" i="41"/>
  <c r="BI62" i="41"/>
  <c r="BZ61" i="41"/>
  <c r="BR61" i="41"/>
  <c r="BJ61" i="41"/>
  <c r="BY59" i="41"/>
  <c r="BQ59" i="41"/>
  <c r="BI59" i="41"/>
  <c r="BZ58" i="41"/>
  <c r="BR58" i="41"/>
  <c r="BJ58" i="41"/>
  <c r="CB56" i="41"/>
  <c r="BT56" i="41"/>
  <c r="BL56" i="41"/>
  <c r="CC55" i="41"/>
  <c r="BU55" i="41"/>
  <c r="BM55" i="41"/>
  <c r="CD54" i="41"/>
  <c r="BV54" i="41"/>
  <c r="BN54" i="41"/>
  <c r="CE53" i="41"/>
  <c r="BW53" i="41"/>
  <c r="BO53" i="41"/>
  <c r="CF52" i="41"/>
  <c r="BX52" i="41"/>
  <c r="BP52" i="41"/>
  <c r="BY51" i="41"/>
  <c r="BQ51" i="41"/>
  <c r="BI51" i="41"/>
  <c r="BZ50" i="41"/>
  <c r="BR50" i="41"/>
  <c r="BJ50" i="41"/>
  <c r="CA49" i="41"/>
  <c r="BS49" i="41"/>
  <c r="BK49" i="41"/>
  <c r="CC47" i="41"/>
  <c r="BU47" i="41"/>
  <c r="BM47" i="41"/>
  <c r="CD46" i="41"/>
  <c r="BV46" i="41"/>
  <c r="BN46" i="41"/>
  <c r="CE45" i="41"/>
  <c r="BW45" i="41"/>
  <c r="BO45" i="41"/>
  <c r="CF44" i="41"/>
  <c r="BX44" i="41"/>
  <c r="BP44" i="41"/>
  <c r="BY43" i="41"/>
  <c r="BQ43" i="41"/>
  <c r="BI43" i="41"/>
  <c r="BZ42" i="41"/>
  <c r="BR42" i="41"/>
  <c r="BJ42" i="41"/>
  <c r="CA41" i="41"/>
  <c r="BS41" i="41"/>
  <c r="BK41" i="41"/>
  <c r="CB40" i="41"/>
  <c r="BT40" i="41"/>
  <c r="BL40" i="41"/>
  <c r="CC39" i="41"/>
  <c r="BU39" i="41"/>
  <c r="BM39" i="41"/>
  <c r="CD38" i="41"/>
  <c r="BV38" i="41"/>
  <c r="BN38" i="41"/>
  <c r="CE37" i="41"/>
  <c r="BW37" i="41"/>
  <c r="BO37" i="41"/>
  <c r="BY35" i="41"/>
  <c r="BQ35" i="41"/>
  <c r="BI35" i="41"/>
  <c r="BZ34" i="41"/>
  <c r="BR34" i="41"/>
  <c r="BJ34" i="41"/>
  <c r="CA33" i="41"/>
  <c r="BS33" i="41"/>
  <c r="BK33" i="41"/>
  <c r="CB32" i="41"/>
  <c r="BT32" i="41"/>
  <c r="BL32" i="41"/>
  <c r="CC31" i="41"/>
  <c r="BU31" i="41"/>
  <c r="BM31" i="41"/>
  <c r="CD30" i="41"/>
  <c r="BV30" i="41"/>
  <c r="BN30" i="41"/>
  <c r="CE29" i="41"/>
  <c r="BW29" i="41"/>
  <c r="BO29" i="41"/>
  <c r="CF28" i="41"/>
  <c r="BX28" i="41"/>
  <c r="BP28" i="41"/>
  <c r="BY27" i="41"/>
  <c r="BQ27" i="41"/>
  <c r="BI27" i="41"/>
  <c r="BZ26" i="41"/>
  <c r="BR26" i="41"/>
  <c r="BJ26" i="41"/>
  <c r="CA25" i="41"/>
  <c r="BS25" i="41"/>
  <c r="BK25" i="41"/>
  <c r="CB24" i="41"/>
  <c r="BT24" i="41"/>
  <c r="BJ12" i="41"/>
  <c r="BR12" i="41"/>
  <c r="BZ12" i="41"/>
  <c r="BI13" i="41"/>
  <c r="BQ13" i="41"/>
  <c r="BY13" i="41"/>
  <c r="BP14" i="41"/>
  <c r="BX14" i="41"/>
  <c r="CF14" i="41"/>
  <c r="BO15" i="41"/>
  <c r="BW15" i="41"/>
  <c r="CE15" i="41"/>
  <c r="BN16" i="41"/>
  <c r="BV16" i="41"/>
  <c r="CD16" i="41"/>
  <c r="BM17" i="41"/>
  <c r="BU17" i="41"/>
  <c r="CC17" i="41"/>
  <c r="BL18" i="41"/>
  <c r="BT18" i="41"/>
  <c r="CB18" i="41"/>
  <c r="BK19" i="41"/>
  <c r="BS19" i="41"/>
  <c r="CA19" i="41"/>
  <c r="BJ20" i="41"/>
  <c r="BR20" i="41"/>
  <c r="BZ20" i="41"/>
  <c r="BI21" i="41"/>
  <c r="BQ21" i="41"/>
  <c r="BY21" i="41"/>
  <c r="BP22" i="41"/>
  <c r="BX22" i="41"/>
  <c r="CF22" i="41"/>
  <c r="BO23" i="41"/>
  <c r="BW23" i="41"/>
  <c r="CE23" i="41"/>
  <c r="BN24" i="41"/>
  <c r="BX24" i="41"/>
  <c r="BM25" i="41"/>
  <c r="BZ25" i="41"/>
  <c r="BS26" i="41"/>
  <c r="CF26" i="41"/>
  <c r="BK27" i="41"/>
  <c r="BX27" i="41"/>
  <c r="BQ28" i="41"/>
  <c r="CD28" i="41"/>
  <c r="BI29" i="41"/>
  <c r="BV29" i="41"/>
  <c r="BO30" i="41"/>
  <c r="CB30" i="41"/>
  <c r="BT31" i="41"/>
  <c r="BM32" i="41"/>
  <c r="BZ32" i="41"/>
  <c r="BR33" i="41"/>
  <c r="CE33" i="41"/>
  <c r="BK34" i="41"/>
  <c r="BX34" i="41"/>
  <c r="BP35" i="41"/>
  <c r="CC35" i="41"/>
  <c r="BN37" i="41"/>
  <c r="CA37" i="41"/>
  <c r="BT38" i="41"/>
  <c r="CF38" i="41"/>
  <c r="BL39" i="41"/>
  <c r="BY39" i="41"/>
  <c r="BR40" i="41"/>
  <c r="CD40" i="41"/>
  <c r="BJ41" i="41"/>
  <c r="BW41" i="41"/>
  <c r="BP42" i="41"/>
  <c r="CB42" i="41"/>
  <c r="BU43" i="41"/>
  <c r="BN44" i="41"/>
  <c r="BZ44" i="41"/>
  <c r="BS45" i="41"/>
  <c r="CF45" i="41"/>
  <c r="BL46" i="41"/>
  <c r="BX46" i="41"/>
  <c r="BQ47" i="41"/>
  <c r="CD47" i="41"/>
  <c r="BO49" i="41"/>
  <c r="CB49" i="41"/>
  <c r="BT50" i="41"/>
  <c r="BM51" i="41"/>
  <c r="BZ51" i="41"/>
  <c r="BR52" i="41"/>
  <c r="CE52" i="41"/>
  <c r="BK53" i="41"/>
  <c r="BX53" i="41"/>
  <c r="BP54" i="41"/>
  <c r="CC54" i="41"/>
  <c r="BI55" i="41"/>
  <c r="BV55" i="41"/>
  <c r="BU56" i="41"/>
  <c r="BX59" i="41"/>
  <c r="BY61" i="41"/>
  <c r="BW63" i="41"/>
  <c r="BU65" i="41"/>
  <c r="BS67" i="41"/>
  <c r="BQ69" i="41"/>
  <c r="BO71" i="41"/>
  <c r="BK75" i="41"/>
  <c r="BI77" i="41"/>
  <c r="CF86" i="41"/>
  <c r="CD88" i="41"/>
  <c r="CB90" i="41"/>
  <c r="BZ92" i="41"/>
  <c r="BX94" i="41"/>
  <c r="BV96" i="41"/>
  <c r="CE100" i="41"/>
  <c r="BO116" i="41"/>
  <c r="BK14" i="41"/>
  <c r="BS14" i="41"/>
  <c r="CA14" i="41"/>
  <c r="BJ15" i="41"/>
  <c r="BR15" i="41"/>
  <c r="BZ15" i="41"/>
  <c r="BI16" i="41"/>
  <c r="BQ16" i="41"/>
  <c r="BY16" i="41"/>
  <c r="BP17" i="41"/>
  <c r="BX17" i="41"/>
  <c r="CF17" i="41"/>
  <c r="BO18" i="41"/>
  <c r="BW18" i="41"/>
  <c r="CE18" i="41"/>
  <c r="BN19" i="41"/>
  <c r="BV19" i="41"/>
  <c r="CD19" i="41"/>
  <c r="BM20" i="41"/>
  <c r="BU20" i="41"/>
  <c r="CC20" i="41"/>
  <c r="BL21" i="41"/>
  <c r="BT21" i="41"/>
  <c r="CB21" i="41"/>
  <c r="BK22" i="41"/>
  <c r="BS22" i="41"/>
  <c r="CA22" i="41"/>
  <c r="BJ23" i="41"/>
  <c r="BR23" i="41"/>
  <c r="BZ23" i="41"/>
  <c r="BI24" i="41"/>
  <c r="BR24" i="41"/>
  <c r="CC24" i="41"/>
  <c r="BR25" i="41"/>
  <c r="CE25" i="41"/>
  <c r="BK26" i="41"/>
  <c r="BX26" i="41"/>
  <c r="BP27" i="41"/>
  <c r="CC27" i="41"/>
  <c r="BI28" i="41"/>
  <c r="BV28" i="41"/>
  <c r="BN29" i="41"/>
  <c r="CA29" i="41"/>
  <c r="BT30" i="41"/>
  <c r="CF30" i="41"/>
  <c r="BL31" i="41"/>
  <c r="BY31" i="41"/>
  <c r="BR32" i="41"/>
  <c r="CD32" i="41"/>
  <c r="BJ33" i="41"/>
  <c r="BW33" i="41"/>
  <c r="BP34" i="41"/>
  <c r="CB34" i="41"/>
  <c r="BU35" i="41"/>
  <c r="BS37" i="41"/>
  <c r="CF37" i="41"/>
  <c r="BL38" i="41"/>
  <c r="BX38" i="41"/>
  <c r="BQ39" i="41"/>
  <c r="CD39" i="41"/>
  <c r="BJ40" i="41"/>
  <c r="BV40" i="41"/>
  <c r="BO41" i="41"/>
  <c r="CB41" i="41"/>
  <c r="BT42" i="41"/>
  <c r="BM43" i="41"/>
  <c r="BZ43" i="41"/>
  <c r="BR44" i="41"/>
  <c r="CE44" i="41"/>
  <c r="BK45" i="41"/>
  <c r="BX45" i="41"/>
  <c r="BP46" i="41"/>
  <c r="CC46" i="41"/>
  <c r="BI47" i="41"/>
  <c r="BV47" i="41"/>
  <c r="BT49" i="41"/>
  <c r="BL50" i="41"/>
  <c r="BY50" i="41"/>
  <c r="BR51" i="41"/>
  <c r="CE51" i="41"/>
  <c r="BJ52" i="41"/>
  <c r="BW52" i="41"/>
  <c r="BP53" i="41"/>
  <c r="CC53" i="41"/>
  <c r="BU54" i="41"/>
  <c r="BN55" i="41"/>
  <c r="CB55" i="41"/>
  <c r="BK56" i="41"/>
  <c r="CA56" i="41"/>
  <c r="BQ58" i="41"/>
  <c r="BP62" i="41"/>
  <c r="BN64" i="41"/>
  <c r="BL66" i="41"/>
  <c r="BJ68" i="41"/>
  <c r="BF72" i="41"/>
  <c r="CE79" i="41"/>
  <c r="CC81" i="41"/>
  <c r="CA83" i="41"/>
  <c r="BY85" i="41"/>
  <c r="BW87" i="41"/>
  <c r="BU89" i="41"/>
  <c r="BS91" i="41"/>
  <c r="BQ93" i="41"/>
  <c r="BO95" i="41"/>
  <c r="BM97" i="41"/>
  <c r="BY106" i="41"/>
  <c r="BI122" i="41"/>
  <c r="BU30" i="41"/>
  <c r="BN31" i="41"/>
  <c r="CA31" i="41"/>
  <c r="BS32" i="41"/>
  <c r="CF32" i="41"/>
  <c r="BL33" i="41"/>
  <c r="BY33" i="41"/>
  <c r="CD34" i="41"/>
  <c r="BJ35" i="41"/>
  <c r="BW35" i="41"/>
  <c r="BU37" i="41"/>
  <c r="BM38" i="41"/>
  <c r="BZ38" i="41"/>
  <c r="BS39" i="41"/>
  <c r="CE39" i="41"/>
  <c r="BK40" i="41"/>
  <c r="BX40" i="41"/>
  <c r="BQ41" i="41"/>
  <c r="CC41" i="41"/>
  <c r="BI42" i="41"/>
  <c r="BV42" i="41"/>
  <c r="BO43" i="41"/>
  <c r="CA43" i="41"/>
  <c r="BT44" i="41"/>
  <c r="BM45" i="41"/>
  <c r="BY45" i="41"/>
  <c r="BR46" i="41"/>
  <c r="CE46" i="41"/>
  <c r="BK47" i="41"/>
  <c r="BW47" i="41"/>
  <c r="BI49" i="41"/>
  <c r="BU49" i="41"/>
  <c r="BN50" i="41"/>
  <c r="CA50" i="41"/>
  <c r="BS51" i="41"/>
  <c r="CF51" i="41"/>
  <c r="BL52" i="41"/>
  <c r="BY52" i="41"/>
  <c r="BQ53" i="41"/>
  <c r="CD53" i="41"/>
  <c r="BJ54" i="41"/>
  <c r="BW54" i="41"/>
  <c r="BO55" i="41"/>
  <c r="CD55" i="41"/>
  <c r="BM56" i="41"/>
  <c r="CC56" i="41"/>
  <c r="BY58" i="41"/>
  <c r="BX62" i="41"/>
  <c r="BV64" i="41"/>
  <c r="BT66" i="41"/>
  <c r="BR68" i="41"/>
  <c r="BP70" i="41"/>
  <c r="BN72" i="41"/>
  <c r="BL74" i="41"/>
  <c r="BJ76" i="41"/>
  <c r="CE87" i="41"/>
  <c r="CC89" i="41"/>
  <c r="CA91" i="41"/>
  <c r="BY93" i="41"/>
  <c r="BW95" i="41"/>
  <c r="BU97" i="41"/>
  <c r="BW108" i="41"/>
  <c r="BS24" i="41"/>
  <c r="CD24" i="41"/>
  <c r="BL26" i="41"/>
  <c r="BY26" i="41"/>
  <c r="BR27" i="41"/>
  <c r="CE27" i="41"/>
  <c r="BJ28" i="41"/>
  <c r="BW28" i="41"/>
  <c r="BP29" i="41"/>
  <c r="CC29" i="41"/>
  <c r="BQ34" i="41"/>
  <c r="BO12" i="41"/>
  <c r="BW12" i="41"/>
  <c r="CE12" i="41"/>
  <c r="BN13" i="41"/>
  <c r="BV13" i="41"/>
  <c r="CD13" i="41"/>
  <c r="BM14" i="41"/>
  <c r="BU14" i="41"/>
  <c r="CC14" i="41"/>
  <c r="BL15" i="41"/>
  <c r="BT15" i="41"/>
  <c r="CB15" i="41"/>
  <c r="BK16" i="41"/>
  <c r="BS16" i="41"/>
  <c r="CA16" i="41"/>
  <c r="BJ17" i="41"/>
  <c r="BR17" i="41"/>
  <c r="BZ17" i="41"/>
  <c r="BI18" i="41"/>
  <c r="BQ18" i="41"/>
  <c r="BY18" i="41"/>
  <c r="BP19" i="41"/>
  <c r="BX19" i="41"/>
  <c r="CF19" i="41"/>
  <c r="BO20" i="41"/>
  <c r="BW20" i="41"/>
  <c r="CE20" i="41"/>
  <c r="BN21" i="41"/>
  <c r="BV21" i="41"/>
  <c r="CD21" i="41"/>
  <c r="BM22" i="41"/>
  <c r="BU22" i="41"/>
  <c r="CC22" i="41"/>
  <c r="BL23" i="41"/>
  <c r="BT23" i="41"/>
  <c r="CB23" i="41"/>
  <c r="BK24" i="41"/>
  <c r="BU24" i="41"/>
  <c r="CE24" i="41"/>
  <c r="BI25" i="41"/>
  <c r="BU25" i="41"/>
  <c r="BN26" i="41"/>
  <c r="CA26" i="41"/>
  <c r="BS27" i="41"/>
  <c r="CF27" i="41"/>
  <c r="BL28" i="41"/>
  <c r="BY28" i="41"/>
  <c r="BQ29" i="41"/>
  <c r="CD29" i="41"/>
  <c r="BJ30" i="41"/>
  <c r="BW30" i="41"/>
  <c r="BO31" i="41"/>
  <c r="CB31" i="41"/>
  <c r="BU32" i="41"/>
  <c r="BM33" i="41"/>
  <c r="BZ33" i="41"/>
  <c r="BS34" i="41"/>
  <c r="CF34" i="41"/>
  <c r="BK35" i="41"/>
  <c r="BX35" i="41"/>
  <c r="BI37" i="41"/>
  <c r="BV37" i="41"/>
  <c r="BO38" i="41"/>
  <c r="CB38" i="41"/>
  <c r="BT39" i="41"/>
  <c r="BM40" i="41"/>
  <c r="BZ40" i="41"/>
  <c r="BR41" i="41"/>
  <c r="CE41" i="41"/>
  <c r="BK42" i="41"/>
  <c r="BX42" i="41"/>
  <c r="BP43" i="41"/>
  <c r="CC43" i="41"/>
  <c r="BI44" i="41"/>
  <c r="BV44" i="41"/>
  <c r="BN45" i="41"/>
  <c r="CA45" i="41"/>
  <c r="BT46" i="41"/>
  <c r="CF46" i="41"/>
  <c r="BL47" i="41"/>
  <c r="BY47" i="41"/>
  <c r="BJ49" i="41"/>
  <c r="BW49" i="41"/>
  <c r="BP50" i="41"/>
  <c r="CB50" i="41"/>
  <c r="BU51" i="41"/>
  <c r="BN52" i="41"/>
  <c r="BZ52" i="41"/>
  <c r="BS53" i="41"/>
  <c r="CF53" i="41"/>
  <c r="BL54" i="41"/>
  <c r="BX54" i="41"/>
  <c r="BQ55" i="41"/>
  <c r="CE55" i="41"/>
  <c r="BN56" i="41"/>
  <c r="CD56" i="41"/>
  <c r="CF62" i="41"/>
  <c r="CD64" i="41"/>
  <c r="CB66" i="41"/>
  <c r="BZ68" i="41"/>
  <c r="BX70" i="41"/>
  <c r="BV72" i="41"/>
  <c r="BT74" i="41"/>
  <c r="BR76" i="41"/>
  <c r="BP78" i="41"/>
  <c r="BN80" i="41"/>
  <c r="BL82" i="41"/>
  <c r="BJ84" i="41"/>
  <c r="CE95" i="41"/>
  <c r="CC97" i="41"/>
  <c r="BU110" i="41"/>
  <c r="BZ35" i="41"/>
  <c r="BK37" i="41"/>
  <c r="BX37" i="41"/>
  <c r="BP38" i="41"/>
  <c r="CC38" i="41"/>
  <c r="BI39" i="41"/>
  <c r="BV39" i="41"/>
  <c r="BN40" i="41"/>
  <c r="CA40" i="41"/>
  <c r="BT41" i="41"/>
  <c r="BL42" i="41"/>
  <c r="BY42" i="41"/>
  <c r="BR43" i="41"/>
  <c r="CE43" i="41"/>
  <c r="BJ44" i="41"/>
  <c r="BW44" i="41"/>
  <c r="BP45" i="41"/>
  <c r="CC45" i="41"/>
  <c r="BU46" i="41"/>
  <c r="BN47" i="41"/>
  <c r="CA47" i="41"/>
  <c r="BL49" i="41"/>
  <c r="BY49" i="41"/>
  <c r="BQ50" i="41"/>
  <c r="CD50" i="41"/>
  <c r="BJ51" i="41"/>
  <c r="BW51" i="41"/>
  <c r="BO52" i="41"/>
  <c r="CB52" i="41"/>
  <c r="BU53" i="41"/>
  <c r="BM54" i="41"/>
  <c r="BZ54" i="41"/>
  <c r="BS55" i="41"/>
  <c r="BP56" i="41"/>
  <c r="CF56" i="41"/>
  <c r="BI61" i="41"/>
  <c r="CF70" i="41"/>
  <c r="CD72" i="41"/>
  <c r="CB74" i="41"/>
  <c r="BZ76" i="41"/>
  <c r="BX78" i="41"/>
  <c r="BV80" i="41"/>
  <c r="BT82" i="41"/>
  <c r="BR84" i="41"/>
  <c r="BP86" i="41"/>
  <c r="BN88" i="41"/>
  <c r="BL90" i="41"/>
  <c r="BJ92" i="41"/>
  <c r="BD98" i="41"/>
  <c r="BS112" i="41"/>
  <c r="BD38" i="7"/>
  <c r="BO38" i="7"/>
  <c r="CC38" i="7"/>
  <c r="BF39" i="7"/>
  <c r="BT39" i="7"/>
  <c r="CE39" i="7"/>
  <c r="BK40" i="7"/>
  <c r="BV40" i="7"/>
  <c r="CJ40" i="7"/>
  <c r="CQ62" i="7"/>
  <c r="CQ72" i="7"/>
  <c r="CT73" i="7"/>
  <c r="BA40" i="7"/>
  <c r="AZ37" i="7"/>
  <c r="BI39" i="7"/>
  <c r="BR38" i="7"/>
  <c r="BX38" i="7"/>
  <c r="BZ40" i="7"/>
  <c r="CF40" i="7"/>
  <c r="BE38" i="7"/>
  <c r="BS38" i="7"/>
  <c r="CD38" i="7"/>
  <c r="BG39" i="7"/>
  <c r="BU39" i="7"/>
  <c r="CI39" i="7"/>
  <c r="BL40" i="7"/>
  <c r="BW40" i="7"/>
  <c r="CK40" i="7"/>
  <c r="CR62" i="7"/>
  <c r="CR72" i="7"/>
  <c r="CU73" i="7"/>
  <c r="AZ38" i="7"/>
  <c r="BB40" i="7"/>
  <c r="BH37" i="7"/>
  <c r="BJ39" i="7"/>
  <c r="BP39" i="7"/>
  <c r="BY38" i="7"/>
  <c r="CG40" i="7"/>
  <c r="CA31" i="7"/>
  <c r="BF38" i="7"/>
  <c r="BT38" i="7"/>
  <c r="CE38" i="7"/>
  <c r="BK39" i="7"/>
  <c r="BV39" i="7"/>
  <c r="CJ39" i="7"/>
  <c r="BM40" i="7"/>
  <c r="CA40" i="7"/>
  <c r="CL40" i="7"/>
  <c r="CQ61" i="7"/>
  <c r="CS62" i="7"/>
  <c r="CS72" i="7"/>
  <c r="BA38" i="7"/>
  <c r="BH40" i="7"/>
  <c r="BQ39" i="7"/>
  <c r="BZ38" i="7"/>
  <c r="CF38" i="7"/>
  <c r="CH40" i="7"/>
  <c r="CP72" i="7"/>
  <c r="CB31" i="7"/>
  <c r="BG38" i="7"/>
  <c r="BU38" i="7"/>
  <c r="CI38" i="7"/>
  <c r="BL39" i="7"/>
  <c r="BW39" i="7"/>
  <c r="CK39" i="7"/>
  <c r="BC40" i="7"/>
  <c r="BN40" i="7"/>
  <c r="CB40" i="7"/>
  <c r="CM40" i="7"/>
  <c r="CR61" i="7"/>
  <c r="CT62" i="7"/>
  <c r="CT72" i="7"/>
  <c r="BB38" i="7"/>
  <c r="BI40" i="7"/>
  <c r="BP37" i="7"/>
  <c r="BR39" i="7"/>
  <c r="BX39" i="7"/>
  <c r="CG38" i="7"/>
  <c r="CP73" i="7"/>
  <c r="CC31" i="7"/>
  <c r="BK38" i="7"/>
  <c r="BV38" i="7"/>
  <c r="CJ38" i="7"/>
  <c r="BM39" i="7"/>
  <c r="CA39" i="7"/>
  <c r="CL39" i="7"/>
  <c r="BD40" i="7"/>
  <c r="BO40" i="7"/>
  <c r="CC40" i="7"/>
  <c r="CS61" i="7"/>
  <c r="CU62" i="7"/>
  <c r="CU72" i="7"/>
  <c r="AZ39" i="7"/>
  <c r="BH38" i="7"/>
  <c r="BJ40" i="7"/>
  <c r="BP40" i="7"/>
  <c r="BY39" i="7"/>
  <c r="CH38" i="7"/>
  <c r="CD31" i="7"/>
  <c r="BL38" i="7"/>
  <c r="BW38" i="7"/>
  <c r="CK38" i="7"/>
  <c r="BC39" i="7"/>
  <c r="BN39" i="7"/>
  <c r="CB39" i="7"/>
  <c r="CM39" i="7"/>
  <c r="BE40" i="7"/>
  <c r="BS40" i="7"/>
  <c r="CD40" i="7"/>
  <c r="CT61" i="7"/>
  <c r="CQ73" i="7"/>
  <c r="BA39" i="7"/>
  <c r="BI38" i="7"/>
  <c r="BQ40" i="7"/>
  <c r="BX37" i="7"/>
  <c r="BZ39" i="7"/>
  <c r="CF39" i="7"/>
  <c r="CP61" i="7"/>
  <c r="CE31" i="7"/>
  <c r="BM38" i="7"/>
  <c r="CA38" i="7"/>
  <c r="CL38" i="7"/>
  <c r="BD39" i="7"/>
  <c r="BO39" i="7"/>
  <c r="CC39" i="7"/>
  <c r="BF40" i="7"/>
  <c r="BT40" i="7"/>
  <c r="CE40" i="7"/>
  <c r="CU61" i="7"/>
  <c r="CR73" i="7"/>
  <c r="BB39" i="7"/>
  <c r="BJ38" i="7"/>
  <c r="BP38" i="7"/>
  <c r="BR40" i="7"/>
  <c r="BX40" i="7"/>
  <c r="CG39" i="7"/>
  <c r="CP62" i="7"/>
  <c r="AZ40" i="7"/>
  <c r="BH39" i="7"/>
  <c r="BQ38" i="7"/>
  <c r="BY40" i="7"/>
  <c r="CF37" i="7"/>
  <c r="AF53" i="82"/>
  <c r="AE13" i="82"/>
  <c r="Z119" i="82"/>
  <c r="AP114" i="82"/>
  <c r="AJ109" i="82"/>
  <c r="AP101" i="82"/>
  <c r="AN51" i="82"/>
  <c r="AX16" i="62"/>
  <c r="BF23" i="62"/>
  <c r="BT27" i="62"/>
  <c r="BS36" i="62"/>
  <c r="BW42" i="62"/>
  <c r="BY49" i="62"/>
  <c r="CC56" i="62"/>
  <c r="AY118" i="62"/>
  <c r="BP136" i="62"/>
  <c r="AM196" i="82"/>
  <c r="AL195" i="82"/>
  <c r="AA195" i="82"/>
  <c r="Z194" i="82"/>
  <c r="AI193" i="82"/>
  <c r="AH192" i="82"/>
  <c r="AQ191" i="82"/>
  <c r="AP190" i="82"/>
  <c r="AE190" i="82"/>
  <c r="AD189" i="82"/>
  <c r="AM188" i="82"/>
  <c r="AL187" i="82"/>
  <c r="AA187" i="82"/>
  <c r="Z186" i="82"/>
  <c r="AI185" i="82"/>
  <c r="AR184" i="82"/>
  <c r="Z184" i="82"/>
  <c r="AR182" i="82"/>
  <c r="AP180" i="82"/>
  <c r="AN179" i="82"/>
  <c r="AL177" i="82"/>
  <c r="AJ176" i="82"/>
  <c r="AH174" i="82"/>
  <c r="AF173" i="82"/>
  <c r="AD171" i="82"/>
  <c r="AB170" i="82"/>
  <c r="Z168" i="82"/>
  <c r="AR166" i="82"/>
  <c r="AP164" i="82"/>
  <c r="AN163" i="82"/>
  <c r="AL161" i="82"/>
  <c r="AJ160" i="82"/>
  <c r="AH158" i="82"/>
  <c r="AF157" i="82"/>
  <c r="AD155" i="82"/>
  <c r="AB154" i="82"/>
  <c r="AA125" i="82"/>
  <c r="AR117" i="82"/>
  <c r="AD114" i="82"/>
  <c r="AB107" i="82"/>
  <c r="Z99" i="82"/>
  <c r="AQ63" i="82"/>
  <c r="AI47" i="82"/>
  <c r="BK16" i="62"/>
  <c r="BG23" i="62"/>
  <c r="CB28" i="62"/>
  <c r="BM37" i="62"/>
  <c r="BB43" i="62"/>
  <c r="BZ49" i="62"/>
  <c r="BW58" i="62"/>
  <c r="BE122" i="62"/>
  <c r="BD137" i="62"/>
  <c r="AN197" i="82"/>
  <c r="AL196" i="82"/>
  <c r="AB196" i="82"/>
  <c r="Z195" i="82"/>
  <c r="AJ194" i="82"/>
  <c r="AH193" i="82"/>
  <c r="AR192" i="82"/>
  <c r="AP191" i="82"/>
  <c r="AF191" i="82"/>
  <c r="AD190" i="82"/>
  <c r="AN189" i="82"/>
  <c r="AL188" i="82"/>
  <c r="AB188" i="82"/>
  <c r="Z187" i="82"/>
  <c r="AJ186" i="82"/>
  <c r="AH185" i="82"/>
  <c r="AP184" i="82"/>
  <c r="AP182" i="82"/>
  <c r="AN181" i="82"/>
  <c r="AL179" i="82"/>
  <c r="AJ178" i="82"/>
  <c r="AH176" i="82"/>
  <c r="AD173" i="82"/>
  <c r="AB172" i="82"/>
  <c r="Z170" i="82"/>
  <c r="AR168" i="82"/>
  <c r="AP166" i="82"/>
  <c r="AN165" i="82"/>
  <c r="AL163" i="82"/>
  <c r="AJ162" i="82"/>
  <c r="AH160" i="82"/>
  <c r="AF159" i="82"/>
  <c r="AD157" i="82"/>
  <c r="AB156" i="82"/>
  <c r="Z154" i="82"/>
  <c r="AQ129" i="82"/>
  <c r="AH127" i="82"/>
  <c r="AM121" i="82"/>
  <c r="AJ117" i="82"/>
  <c r="Z113" i="82"/>
  <c r="AA107" i="82"/>
  <c r="BS17" i="62"/>
  <c r="BZ23" i="62"/>
  <c r="AX29" i="62"/>
  <c r="CC37" i="62"/>
  <c r="BK44" i="62"/>
  <c r="BO52" i="62"/>
  <c r="BN59" i="62"/>
  <c r="BG124" i="62"/>
  <c r="BH137" i="62"/>
  <c r="AB12" i="82"/>
  <c r="AJ12" i="82"/>
  <c r="AR12" i="82"/>
  <c r="AF13" i="82"/>
  <c r="AN13" i="82"/>
  <c r="AF15" i="82"/>
  <c r="AN15" i="82"/>
  <c r="AB16" i="82"/>
  <c r="AJ16" i="82"/>
  <c r="AR16" i="82"/>
  <c r="AF17" i="82"/>
  <c r="AN17" i="82"/>
  <c r="AB18" i="82"/>
  <c r="AJ18" i="82"/>
  <c r="AR18" i="82"/>
  <c r="AF19" i="82"/>
  <c r="AN19" i="82"/>
  <c r="AF21" i="82"/>
  <c r="AN21" i="82"/>
  <c r="AB22" i="82"/>
  <c r="AJ22" i="82"/>
  <c r="AR22" i="82"/>
  <c r="AF23" i="82"/>
  <c r="AN23" i="82"/>
  <c r="AB24" i="82"/>
  <c r="AJ24" i="82"/>
  <c r="AR24" i="82"/>
  <c r="AF25" i="82"/>
  <c r="AN25" i="82"/>
  <c r="AB26" i="82"/>
  <c r="AJ26" i="82"/>
  <c r="AR26" i="82"/>
  <c r="AF27" i="82"/>
  <c r="AN27" i="82"/>
  <c r="AB28" i="82"/>
  <c r="AJ28" i="82"/>
  <c r="AR28" i="82"/>
  <c r="AF29" i="82"/>
  <c r="AN29" i="82"/>
  <c r="AM31" i="82"/>
  <c r="AI32" i="82"/>
  <c r="AB33" i="82"/>
  <c r="AJ33" i="82"/>
  <c r="AR33" i="82"/>
  <c r="AF34" i="82"/>
  <c r="AN34" i="82"/>
  <c r="AB35" i="82"/>
  <c r="AJ35" i="82"/>
  <c r="AR35" i="82"/>
  <c r="AB37" i="82"/>
  <c r="AJ37" i="82"/>
  <c r="AR37" i="82"/>
  <c r="AF38" i="82"/>
  <c r="AN38" i="82"/>
  <c r="AB39" i="82"/>
  <c r="AJ39" i="82"/>
  <c r="AR39" i="82"/>
  <c r="AB41" i="82"/>
  <c r="AJ41" i="82"/>
  <c r="AR41" i="82"/>
  <c r="AF42" i="82"/>
  <c r="AN42" i="82"/>
  <c r="AF44" i="82"/>
  <c r="AN44" i="82"/>
  <c r="AB45" i="82"/>
  <c r="AN31" i="82"/>
  <c r="AJ32" i="82"/>
  <c r="AC37" i="82"/>
  <c r="AK37" i="82"/>
  <c r="AS37" i="82"/>
  <c r="AG38" i="82"/>
  <c r="AO38" i="82"/>
  <c r="AE12" i="82"/>
  <c r="AM12" i="82"/>
  <c r="AA13" i="82"/>
  <c r="AI13" i="82"/>
  <c r="AQ13" i="82"/>
  <c r="AA15" i="82"/>
  <c r="AI15" i="82"/>
  <c r="AQ15" i="82"/>
  <c r="AE16" i="82"/>
  <c r="AM16" i="82"/>
  <c r="AA17" i="82"/>
  <c r="AI17" i="82"/>
  <c r="AQ17" i="82"/>
  <c r="AE18" i="82"/>
  <c r="AM18" i="82"/>
  <c r="AA19" i="82"/>
  <c r="AI19" i="82"/>
  <c r="AQ19" i="82"/>
  <c r="AA21" i="82"/>
  <c r="AI21" i="82"/>
  <c r="AQ21" i="82"/>
  <c r="AE22" i="82"/>
  <c r="AM22" i="82"/>
  <c r="AA23" i="82"/>
  <c r="AI23" i="82"/>
  <c r="AQ23" i="82"/>
  <c r="AE24" i="82"/>
  <c r="AM24" i="82"/>
  <c r="AA25" i="82"/>
  <c r="AI25" i="82"/>
  <c r="AQ25" i="82"/>
  <c r="AE26" i="82"/>
  <c r="AM26" i="82"/>
  <c r="AA27" i="82"/>
  <c r="AI27" i="82"/>
  <c r="AQ27" i="82"/>
  <c r="AE28" i="82"/>
  <c r="AM28" i="82"/>
  <c r="AA29" i="82"/>
  <c r="AI29" i="82"/>
  <c r="AQ29" i="82"/>
  <c r="AB31" i="82"/>
  <c r="AR31" i="82"/>
  <c r="AN32" i="82"/>
  <c r="AE33" i="82"/>
  <c r="AM33" i="82"/>
  <c r="AA34" i="82"/>
  <c r="AI34" i="82"/>
  <c r="AQ34" i="82"/>
  <c r="AE35" i="82"/>
  <c r="AM35" i="82"/>
  <c r="AE37" i="82"/>
  <c r="AM37" i="82"/>
  <c r="AA38" i="82"/>
  <c r="AI38" i="82"/>
  <c r="AQ38" i="82"/>
  <c r="AE39" i="82"/>
  <c r="AM39" i="82"/>
  <c r="AE41" i="82"/>
  <c r="AM41" i="82"/>
  <c r="AA42" i="82"/>
  <c r="AI42" i="82"/>
  <c r="AQ42" i="82"/>
  <c r="AA44" i="82"/>
  <c r="AI44" i="82"/>
  <c r="AQ44" i="82"/>
  <c r="AE45" i="82"/>
  <c r="AF12" i="82"/>
  <c r="AN12" i="82"/>
  <c r="AB13" i="82"/>
  <c r="AJ13" i="82"/>
  <c r="AR13" i="82"/>
  <c r="AB15" i="82"/>
  <c r="AJ15" i="82"/>
  <c r="AR15" i="82"/>
  <c r="AF16" i="82"/>
  <c r="AN16" i="82"/>
  <c r="AB17" i="82"/>
  <c r="AJ17" i="82"/>
  <c r="AR17" i="82"/>
  <c r="AF18" i="82"/>
  <c r="AN18" i="82"/>
  <c r="AB19" i="82"/>
  <c r="AJ19" i="82"/>
  <c r="AR19" i="82"/>
  <c r="AB21" i="82"/>
  <c r="AJ21" i="82"/>
  <c r="AR21" i="82"/>
  <c r="AF22" i="82"/>
  <c r="AN22" i="82"/>
  <c r="AB23" i="82"/>
  <c r="AJ23" i="82"/>
  <c r="AR23" i="82"/>
  <c r="AF24" i="82"/>
  <c r="AN24" i="82"/>
  <c r="AB25" i="82"/>
  <c r="AJ25" i="82"/>
  <c r="AR25" i="82"/>
  <c r="AF26" i="82"/>
  <c r="AN26" i="82"/>
  <c r="AB27" i="82"/>
  <c r="AJ27" i="82"/>
  <c r="AR27" i="82"/>
  <c r="AF28" i="82"/>
  <c r="AN28" i="82"/>
  <c r="AB29" i="82"/>
  <c r="AJ29" i="82"/>
  <c r="AR29" i="82"/>
  <c r="AE31" i="82"/>
  <c r="AA32" i="82"/>
  <c r="AQ32" i="82"/>
  <c r="AF33" i="82"/>
  <c r="AN33" i="82"/>
  <c r="AB34" i="82"/>
  <c r="AJ34" i="82"/>
  <c r="AR34" i="82"/>
  <c r="AF35" i="82"/>
  <c r="AN35" i="82"/>
  <c r="AF37" i="82"/>
  <c r="AN37" i="82"/>
  <c r="AB38" i="82"/>
  <c r="AJ38" i="82"/>
  <c r="AR38" i="82"/>
  <c r="AF39" i="82"/>
  <c r="AN39" i="82"/>
  <c r="AF41" i="82"/>
  <c r="AN41" i="82"/>
  <c r="AB42" i="82"/>
  <c r="AJ42" i="82"/>
  <c r="AR42" i="82"/>
  <c r="AB44" i="82"/>
  <c r="AJ44" i="82"/>
  <c r="AR44" i="82"/>
  <c r="AF45" i="82"/>
  <c r="AN45" i="82"/>
  <c r="Z12" i="82"/>
  <c r="AH12" i="82"/>
  <c r="AP12" i="82"/>
  <c r="AD13" i="82"/>
  <c r="AL13" i="82"/>
  <c r="AD15" i="82"/>
  <c r="AL15" i="82"/>
  <c r="Z16" i="82"/>
  <c r="AH16" i="82"/>
  <c r="AP16" i="82"/>
  <c r="AD17" i="82"/>
  <c r="AL17" i="82"/>
  <c r="Z18" i="82"/>
  <c r="AH18" i="82"/>
  <c r="AP18" i="82"/>
  <c r="AD19" i="82"/>
  <c r="AL19" i="82"/>
  <c r="AD21" i="82"/>
  <c r="AL21" i="82"/>
  <c r="Z22" i="82"/>
  <c r="AH22" i="82"/>
  <c r="AP22" i="82"/>
  <c r="AD23" i="82"/>
  <c r="AL23" i="82"/>
  <c r="Z24" i="82"/>
  <c r="AH24" i="82"/>
  <c r="AP24" i="82"/>
  <c r="AD25" i="82"/>
  <c r="AL25" i="82"/>
  <c r="Z26" i="82"/>
  <c r="AH26" i="82"/>
  <c r="AP26" i="82"/>
  <c r="AD27" i="82"/>
  <c r="AL27" i="82"/>
  <c r="Z28" i="82"/>
  <c r="AH28" i="82"/>
  <c r="AP28" i="82"/>
  <c r="AD29" i="82"/>
  <c r="AL29" i="82"/>
  <c r="Z30" i="82"/>
  <c r="AH30" i="82"/>
  <c r="AP30" i="82"/>
  <c r="AI31" i="82"/>
  <c r="AE32" i="82"/>
  <c r="Z33" i="82"/>
  <c r="AH33" i="82"/>
  <c r="AP33" i="82"/>
  <c r="AD34" i="82"/>
  <c r="AL34" i="82"/>
  <c r="Z35" i="82"/>
  <c r="AH35" i="82"/>
  <c r="AP35" i="82"/>
  <c r="AD36" i="82"/>
  <c r="AL36" i="82"/>
  <c r="Z37" i="82"/>
  <c r="AH37" i="82"/>
  <c r="AP37" i="82"/>
  <c r="AD38" i="82"/>
  <c r="AL38" i="82"/>
  <c r="Z39" i="82"/>
  <c r="AH39" i="82"/>
  <c r="AP39" i="82"/>
  <c r="Z41" i="82"/>
  <c r="AH41" i="82"/>
  <c r="AP41" i="82"/>
  <c r="AD42" i="82"/>
  <c r="AL42" i="82"/>
  <c r="AD44" i="82"/>
  <c r="AL44" i="82"/>
  <c r="Z45" i="82"/>
  <c r="AH45" i="82"/>
  <c r="AP45" i="82"/>
  <c r="AQ12" i="82"/>
  <c r="Z15" i="82"/>
  <c r="AA16" i="82"/>
  <c r="AD18" i="82"/>
  <c r="AE19" i="82"/>
  <c r="AH21" i="82"/>
  <c r="AI22" i="82"/>
  <c r="AL24" i="82"/>
  <c r="AM25" i="82"/>
  <c r="AP27" i="82"/>
  <c r="AQ28" i="82"/>
  <c r="AA31" i="82"/>
  <c r="AA33" i="82"/>
  <c r="AD35" i="82"/>
  <c r="AG37" i="82"/>
  <c r="AH38" i="82"/>
  <c r="AI39" i="82"/>
  <c r="AL41" i="82"/>
  <c r="AM42" i="82"/>
  <c r="AP44" i="82"/>
  <c r="AA46" i="82"/>
  <c r="AI46" i="82"/>
  <c r="AQ46" i="82"/>
  <c r="AE47" i="82"/>
  <c r="AM47" i="82"/>
  <c r="AA48" i="82"/>
  <c r="AI48" i="82"/>
  <c r="AQ48" i="82"/>
  <c r="AA50" i="82"/>
  <c r="AI50" i="82"/>
  <c r="AQ50" i="82"/>
  <c r="AE51" i="82"/>
  <c r="AM51" i="82"/>
  <c r="AA52" i="82"/>
  <c r="AI52" i="82"/>
  <c r="AQ52" i="82"/>
  <c r="AE53" i="82"/>
  <c r="AM53" i="82"/>
  <c r="AA54" i="82"/>
  <c r="AI54" i="82"/>
  <c r="AQ54" i="82"/>
  <c r="AE55" i="82"/>
  <c r="AM55" i="82"/>
  <c r="AA56" i="82"/>
  <c r="AI56" i="82"/>
  <c r="AQ56" i="82"/>
  <c r="AE57" i="82"/>
  <c r="AM57" i="82"/>
  <c r="AA58" i="82"/>
  <c r="AI58" i="82"/>
  <c r="AQ58" i="82"/>
  <c r="AE59" i="82"/>
  <c r="AM59" i="82"/>
  <c r="AA60" i="82"/>
  <c r="AI60" i="82"/>
  <c r="AQ60" i="82"/>
  <c r="AE61" i="82"/>
  <c r="AM61" i="82"/>
  <c r="AA62" i="82"/>
  <c r="AI62" i="82"/>
  <c r="AQ62" i="82"/>
  <c r="AE63" i="82"/>
  <c r="AM63" i="82"/>
  <c r="AA64" i="82"/>
  <c r="AI64" i="82"/>
  <c r="AQ64" i="82"/>
  <c r="Z13" i="82"/>
  <c r="AD16" i="82"/>
  <c r="AE17" i="82"/>
  <c r="AH19" i="82"/>
  <c r="AL22" i="82"/>
  <c r="AM23" i="82"/>
  <c r="AP25" i="82"/>
  <c r="AQ26" i="82"/>
  <c r="Z29" i="82"/>
  <c r="AF31" i="82"/>
  <c r="AD33" i="82"/>
  <c r="AE34" i="82"/>
  <c r="AH36" i="82"/>
  <c r="AI37" i="82"/>
  <c r="AK38" i="82"/>
  <c r="AL39" i="82"/>
  <c r="AP42" i="82"/>
  <c r="AA12" i="82"/>
  <c r="AE15" i="82"/>
  <c r="AH17" i="82"/>
  <c r="AI18" i="82"/>
  <c r="AM21" i="82"/>
  <c r="AP23" i="82"/>
  <c r="AQ24" i="82"/>
  <c r="Z27" i="82"/>
  <c r="AA28" i="82"/>
  <c r="AD30" i="82"/>
  <c r="AJ31" i="82"/>
  <c r="AH34" i="82"/>
  <c r="AI35" i="82"/>
  <c r="AL37" i="82"/>
  <c r="AM38" i="82"/>
  <c r="AQ41" i="82"/>
  <c r="Z44" i="82"/>
  <c r="AA45" i="82"/>
  <c r="AM45" i="82"/>
  <c r="AH13" i="82"/>
  <c r="AL18" i="82"/>
  <c r="AH23" i="82"/>
  <c r="AE25" i="82"/>
  <c r="AL28" i="82"/>
  <c r="AR32" i="82"/>
  <c r="AP34" i="82"/>
  <c r="AC38" i="82"/>
  <c r="AI41" i="82"/>
  <c r="AR45" i="82"/>
  <c r="AH46" i="82"/>
  <c r="Z47" i="82"/>
  <c r="AJ47" i="82"/>
  <c r="Z48" i="82"/>
  <c r="AL48" i="82"/>
  <c r="AD50" i="82"/>
  <c r="AN50" i="82"/>
  <c r="AD51" i="82"/>
  <c r="AP51" i="82"/>
  <c r="AF52" i="82"/>
  <c r="AP52" i="82"/>
  <c r="AH53" i="82"/>
  <c r="AR53" i="82"/>
  <c r="AH54" i="82"/>
  <c r="Z55" i="82"/>
  <c r="AJ55" i="82"/>
  <c r="Z56" i="82"/>
  <c r="AL56" i="82"/>
  <c r="AB57" i="82"/>
  <c r="AL57" i="82"/>
  <c r="AD58" i="82"/>
  <c r="AN58" i="82"/>
  <c r="AD59" i="82"/>
  <c r="AP59" i="82"/>
  <c r="AF60" i="82"/>
  <c r="AP60" i="82"/>
  <c r="AH61" i="82"/>
  <c r="AR61" i="82"/>
  <c r="AH62" i="82"/>
  <c r="Z63" i="82"/>
  <c r="AJ63" i="82"/>
  <c r="Z64" i="82"/>
  <c r="AL64" i="82"/>
  <c r="AG90" i="82"/>
  <c r="AO90" i="82"/>
  <c r="AH15" i="82"/>
  <c r="AQ16" i="82"/>
  <c r="AA22" i="82"/>
  <c r="AH25" i="82"/>
  <c r="AE27" i="82"/>
  <c r="AL30" i="82"/>
  <c r="AI33" i="82"/>
  <c r="AP36" i="82"/>
  <c r="AE38" i="82"/>
  <c r="Z42" i="82"/>
  <c r="AD45" i="82"/>
  <c r="AJ46" i="82"/>
  <c r="AA47" i="82"/>
  <c r="AB48" i="82"/>
  <c r="AM48" i="82"/>
  <c r="AE50" i="82"/>
  <c r="AF51" i="82"/>
  <c r="AQ51" i="82"/>
  <c r="AR52" i="82"/>
  <c r="AI53" i="82"/>
  <c r="AJ54" i="82"/>
  <c r="AA55" i="82"/>
  <c r="AB56" i="82"/>
  <c r="AM56" i="82"/>
  <c r="AN57" i="82"/>
  <c r="AE58" i="82"/>
  <c r="AF59" i="82"/>
  <c r="AQ59" i="82"/>
  <c r="AR60" i="82"/>
  <c r="AI61" i="82"/>
  <c r="AJ62" i="82"/>
  <c r="AA63" i="82"/>
  <c r="AB64" i="82"/>
  <c r="AM64" i="82"/>
  <c r="Z90" i="82"/>
  <c r="AH90" i="82"/>
  <c r="AP90" i="82"/>
  <c r="Z92" i="82"/>
  <c r="AH92" i="82"/>
  <c r="AP92" i="82"/>
  <c r="AD93" i="82"/>
  <c r="AL93" i="82"/>
  <c r="Z94" i="82"/>
  <c r="AH94" i="82"/>
  <c r="AP94" i="82"/>
  <c r="AD95" i="82"/>
  <c r="AL95" i="82"/>
  <c r="Z96" i="82"/>
  <c r="AH96" i="82"/>
  <c r="AP96" i="82"/>
  <c r="AD97" i="82"/>
  <c r="AL97" i="82"/>
  <c r="Z98" i="82"/>
  <c r="AH98" i="82"/>
  <c r="AP98" i="82"/>
  <c r="AD99" i="82"/>
  <c r="AL99" i="82"/>
  <c r="Z100" i="82"/>
  <c r="AH100" i="82"/>
  <c r="AP100" i="82"/>
  <c r="AD101" i="82"/>
  <c r="AL101" i="82"/>
  <c r="Z102" i="82"/>
  <c r="AH102" i="82"/>
  <c r="AP102" i="82"/>
  <c r="AD103" i="82"/>
  <c r="AL103" i="82"/>
  <c r="Z104" i="82"/>
  <c r="AH104" i="82"/>
  <c r="AP104" i="82"/>
  <c r="AD105" i="82"/>
  <c r="AL105" i="82"/>
  <c r="Z106" i="82"/>
  <c r="AH106" i="82"/>
  <c r="AP106" i="82"/>
  <c r="AD107" i="82"/>
  <c r="AL107" i="82"/>
  <c r="Z108" i="82"/>
  <c r="AH108" i="82"/>
  <c r="AP108" i="82"/>
  <c r="AD109" i="82"/>
  <c r="AL109" i="82"/>
  <c r="Z110" i="82"/>
  <c r="AH110" i="82"/>
  <c r="AP110" i="82"/>
  <c r="AD12" i="82"/>
  <c r="AM13" i="82"/>
  <c r="Z17" i="82"/>
  <c r="AQ18" i="82"/>
  <c r="AD22" i="82"/>
  <c r="AA24" i="82"/>
  <c r="AH27" i="82"/>
  <c r="AE29" i="82"/>
  <c r="AL33" i="82"/>
  <c r="AA35" i="82"/>
  <c r="AP38" i="82"/>
  <c r="Z46" i="82"/>
  <c r="AL46" i="82"/>
  <c r="AB47" i="82"/>
  <c r="AL47" i="82"/>
  <c r="AD48" i="82"/>
  <c r="AN48" i="82"/>
  <c r="AF50" i="82"/>
  <c r="AP50" i="82"/>
  <c r="AH51" i="82"/>
  <c r="AR51" i="82"/>
  <c r="AH52" i="82"/>
  <c r="Z53" i="82"/>
  <c r="AJ53" i="82"/>
  <c r="Z54" i="82"/>
  <c r="AL54" i="82"/>
  <c r="AB55" i="82"/>
  <c r="AL55" i="82"/>
  <c r="AD56" i="82"/>
  <c r="AN56" i="82"/>
  <c r="AD57" i="82"/>
  <c r="AP57" i="82"/>
  <c r="AF58" i="82"/>
  <c r="AP58" i="82"/>
  <c r="AH59" i="82"/>
  <c r="AR59" i="82"/>
  <c r="AH60" i="82"/>
  <c r="Z61" i="82"/>
  <c r="AJ61" i="82"/>
  <c r="Z62" i="82"/>
  <c r="AL62" i="82"/>
  <c r="AB63" i="82"/>
  <c r="AL63" i="82"/>
  <c r="AD64" i="82"/>
  <c r="AN64" i="82"/>
  <c r="AA90" i="82"/>
  <c r="AI90" i="82"/>
  <c r="AQ90" i="82"/>
  <c r="AA92" i="82"/>
  <c r="AI92" i="82"/>
  <c r="AQ92" i="82"/>
  <c r="AE93" i="82"/>
  <c r="AM93" i="82"/>
  <c r="AA94" i="82"/>
  <c r="AI94" i="82"/>
  <c r="AQ94" i="82"/>
  <c r="AE95" i="82"/>
  <c r="AM95" i="82"/>
  <c r="AA96" i="82"/>
  <c r="AI96" i="82"/>
  <c r="AQ96" i="82"/>
  <c r="AE97" i="82"/>
  <c r="AM97" i="82"/>
  <c r="AA98" i="82"/>
  <c r="AI98" i="82"/>
  <c r="AQ98" i="82"/>
  <c r="AE99" i="82"/>
  <c r="AM99" i="82"/>
  <c r="AA100" i="82"/>
  <c r="AI100" i="82"/>
  <c r="AQ100" i="82"/>
  <c r="AE101" i="82"/>
  <c r="AM101" i="82"/>
  <c r="AA102" i="82"/>
  <c r="AI102" i="82"/>
  <c r="AQ102" i="82"/>
  <c r="AE103" i="82"/>
  <c r="AM103" i="82"/>
  <c r="AA104" i="82"/>
  <c r="AI104" i="82"/>
  <c r="AQ104" i="82"/>
  <c r="AE105" i="82"/>
  <c r="AM105" i="82"/>
  <c r="AA106" i="82"/>
  <c r="AI106" i="82"/>
  <c r="AQ106" i="82"/>
  <c r="AE107" i="82"/>
  <c r="AM107" i="82"/>
  <c r="AA108" i="82"/>
  <c r="AI108" i="82"/>
  <c r="AQ108" i="82"/>
  <c r="AE109" i="82"/>
  <c r="AM109" i="82"/>
  <c r="AA110" i="82"/>
  <c r="AI110" i="82"/>
  <c r="AQ110" i="82"/>
  <c r="AA112" i="82"/>
  <c r="AI112" i="82"/>
  <c r="AQ112" i="82"/>
  <c r="AE113" i="82"/>
  <c r="AM113" i="82"/>
  <c r="AA114" i="82"/>
  <c r="AI114" i="82"/>
  <c r="AQ114" i="82"/>
  <c r="AE115" i="82"/>
  <c r="AM115" i="82"/>
  <c r="AA116" i="82"/>
  <c r="AI116" i="82"/>
  <c r="AQ116" i="82"/>
  <c r="AE117" i="82"/>
  <c r="AM117" i="82"/>
  <c r="AA118" i="82"/>
  <c r="AI118" i="82"/>
  <c r="AQ118" i="82"/>
  <c r="AE119" i="82"/>
  <c r="AM119" i="82"/>
  <c r="AA120" i="82"/>
  <c r="AI120" i="82"/>
  <c r="AQ120" i="82"/>
  <c r="AE121" i="82"/>
  <c r="AP13" i="82"/>
  <c r="AM15" i="82"/>
  <c r="Z19" i="82"/>
  <c r="AD24" i="82"/>
  <c r="AA26" i="82"/>
  <c r="AH29" i="82"/>
  <c r="AL35" i="82"/>
  <c r="AA37" i="82"/>
  <c r="AS38" i="82"/>
  <c r="AE42" i="82"/>
  <c r="AI45" i="82"/>
  <c r="AB46" i="82"/>
  <c r="AM46" i="82"/>
  <c r="AN47" i="82"/>
  <c r="AE48" i="82"/>
  <c r="AR50" i="82"/>
  <c r="AI51" i="82"/>
  <c r="AJ52" i="82"/>
  <c r="AA53" i="82"/>
  <c r="AB54" i="82"/>
  <c r="AM54" i="82"/>
  <c r="AN55" i="82"/>
  <c r="AE56" i="82"/>
  <c r="AF57" i="82"/>
  <c r="AQ57" i="82"/>
  <c r="AR58" i="82"/>
  <c r="AI59" i="82"/>
  <c r="AJ60" i="82"/>
  <c r="AA61" i="82"/>
  <c r="AB62" i="82"/>
  <c r="AM62" i="82"/>
  <c r="AN63" i="82"/>
  <c r="AE64" i="82"/>
  <c r="AB90" i="82"/>
  <c r="AJ90" i="82"/>
  <c r="AR90" i="82"/>
  <c r="AB92" i="82"/>
  <c r="AJ92" i="82"/>
  <c r="AR92" i="82"/>
  <c r="AF93" i="82"/>
  <c r="AN93" i="82"/>
  <c r="AB94" i="82"/>
  <c r="AJ94" i="82"/>
  <c r="AR94" i="82"/>
  <c r="AF95" i="82"/>
  <c r="AN95" i="82"/>
  <c r="AB96" i="82"/>
  <c r="AJ96" i="82"/>
  <c r="AR96" i="82"/>
  <c r="AF97" i="82"/>
  <c r="AN97" i="82"/>
  <c r="AB98" i="82"/>
  <c r="AJ98" i="82"/>
  <c r="AR98" i="82"/>
  <c r="AF99" i="82"/>
  <c r="AN99" i="82"/>
  <c r="AB100" i="82"/>
  <c r="AJ100" i="82"/>
  <c r="AR100" i="82"/>
  <c r="AF101" i="82"/>
  <c r="AN101" i="82"/>
  <c r="AB102" i="82"/>
  <c r="AJ102" i="82"/>
  <c r="AR102" i="82"/>
  <c r="AF103" i="82"/>
  <c r="AN103" i="82"/>
  <c r="AB104" i="82"/>
  <c r="AJ104" i="82"/>
  <c r="AR104" i="82"/>
  <c r="AF105" i="82"/>
  <c r="AN105" i="82"/>
  <c r="AB106" i="82"/>
  <c r="AJ106" i="82"/>
  <c r="AR106" i="82"/>
  <c r="AF107" i="82"/>
  <c r="AN107" i="82"/>
  <c r="AB108" i="82"/>
  <c r="AJ108" i="82"/>
  <c r="AR108" i="82"/>
  <c r="AF109" i="82"/>
  <c r="AN109" i="82"/>
  <c r="AB110" i="82"/>
  <c r="AJ110" i="82"/>
  <c r="AR110" i="82"/>
  <c r="AB112" i="82"/>
  <c r="AJ112" i="82"/>
  <c r="AR112" i="82"/>
  <c r="AF113" i="82"/>
  <c r="AN113" i="82"/>
  <c r="AB114" i="82"/>
  <c r="AJ114" i="82"/>
  <c r="AR114" i="82"/>
  <c r="AF115" i="82"/>
  <c r="AN115" i="82"/>
  <c r="AB116" i="82"/>
  <c r="AJ116" i="82"/>
  <c r="AR116" i="82"/>
  <c r="AI12" i="82"/>
  <c r="AP15" i="82"/>
  <c r="AM17" i="82"/>
  <c r="Z21" i="82"/>
  <c r="AQ22" i="82"/>
  <c r="AD26" i="82"/>
  <c r="AM27" i="82"/>
  <c r="AQ31" i="82"/>
  <c r="AQ33" i="82"/>
  <c r="AD37" i="82"/>
  <c r="AA39" i="82"/>
  <c r="AH42" i="82"/>
  <c r="AE44" i="82"/>
  <c r="AJ45" i="82"/>
  <c r="AD46" i="82"/>
  <c r="AN46" i="82"/>
  <c r="AD47" i="82"/>
  <c r="AP47" i="82"/>
  <c r="AF48" i="82"/>
  <c r="AP48" i="82"/>
  <c r="AH50" i="82"/>
  <c r="Z51" i="82"/>
  <c r="AJ51" i="82"/>
  <c r="Z52" i="82"/>
  <c r="AL52" i="82"/>
  <c r="AB53" i="82"/>
  <c r="AL53" i="82"/>
  <c r="AD54" i="82"/>
  <c r="AN54" i="82"/>
  <c r="AD55" i="82"/>
  <c r="AP55" i="82"/>
  <c r="AF56" i="82"/>
  <c r="AP56" i="82"/>
  <c r="AH57" i="82"/>
  <c r="AR57" i="82"/>
  <c r="AH58" i="82"/>
  <c r="Z59" i="82"/>
  <c r="AJ59" i="82"/>
  <c r="Z60" i="82"/>
  <c r="AL60" i="82"/>
  <c r="AB61" i="82"/>
  <c r="AL61" i="82"/>
  <c r="AD62" i="82"/>
  <c r="AN62" i="82"/>
  <c r="AD63" i="82"/>
  <c r="AP63" i="82"/>
  <c r="AF64" i="82"/>
  <c r="AP64" i="82"/>
  <c r="AC90" i="82"/>
  <c r="AK90" i="82"/>
  <c r="AS90" i="82"/>
  <c r="AL12" i="82"/>
  <c r="AP17" i="82"/>
  <c r="AM19" i="82"/>
  <c r="Z23" i="82"/>
  <c r="AI24" i="82"/>
  <c r="AD28" i="82"/>
  <c r="AM29" i="82"/>
  <c r="AB32" i="82"/>
  <c r="Z34" i="82"/>
  <c r="AQ35" i="82"/>
  <c r="AO37" i="82"/>
  <c r="AD39" i="82"/>
  <c r="AA41" i="82"/>
  <c r="AI16" i="82"/>
  <c r="AP19" i="82"/>
  <c r="AE21" i="82"/>
  <c r="Z25" i="82"/>
  <c r="AI26" i="82"/>
  <c r="AP29" i="82"/>
  <c r="AF32" i="82"/>
  <c r="Z36" i="82"/>
  <c r="AQ37" i="82"/>
  <c r="AD41" i="82"/>
  <c r="AF46" i="82"/>
  <c r="AP46" i="82"/>
  <c r="AH47" i="82"/>
  <c r="AR47" i="82"/>
  <c r="AH48" i="82"/>
  <c r="Z50" i="82"/>
  <c r="AL50" i="82"/>
  <c r="AB51" i="82"/>
  <c r="AL51" i="82"/>
  <c r="AD52" i="82"/>
  <c r="AN52" i="82"/>
  <c r="AD53" i="82"/>
  <c r="AP53" i="82"/>
  <c r="AF54" i="82"/>
  <c r="AP54" i="82"/>
  <c r="AH55" i="82"/>
  <c r="AR55" i="82"/>
  <c r="AH56" i="82"/>
  <c r="Z57" i="82"/>
  <c r="AJ57" i="82"/>
  <c r="Z58" i="82"/>
  <c r="AL58" i="82"/>
  <c r="AB59" i="82"/>
  <c r="AL59" i="82"/>
  <c r="AD60" i="82"/>
  <c r="AN60" i="82"/>
  <c r="AD61" i="82"/>
  <c r="AP61" i="82"/>
  <c r="AF62" i="82"/>
  <c r="AP62" i="82"/>
  <c r="AH63" i="82"/>
  <c r="AR63" i="82"/>
  <c r="AH64" i="82"/>
  <c r="AE90" i="82"/>
  <c r="AM90" i="82"/>
  <c r="AE92" i="82"/>
  <c r="AM92" i="82"/>
  <c r="AA93" i="82"/>
  <c r="AI93" i="82"/>
  <c r="AQ93" i="82"/>
  <c r="AE94" i="82"/>
  <c r="AM94" i="82"/>
  <c r="AA95" i="82"/>
  <c r="AI95" i="82"/>
  <c r="AQ95" i="82"/>
  <c r="AE96" i="82"/>
  <c r="AM96" i="82"/>
  <c r="AA97" i="82"/>
  <c r="AI97" i="82"/>
  <c r="AQ97" i="82"/>
  <c r="AE98" i="82"/>
  <c r="AM98" i="82"/>
  <c r="AA99" i="82"/>
  <c r="AI99" i="82"/>
  <c r="AQ99" i="82"/>
  <c r="AE100" i="82"/>
  <c r="AM100" i="82"/>
  <c r="AL16" i="82"/>
  <c r="AH44" i="82"/>
  <c r="AF47" i="82"/>
  <c r="AN53" i="82"/>
  <c r="AQ55" i="82"/>
  <c r="AB60" i="82"/>
  <c r="AE62" i="82"/>
  <c r="Z93" i="82"/>
  <c r="AL94" i="82"/>
  <c r="AD96" i="82"/>
  <c r="AP97" i="82"/>
  <c r="AH99" i="82"/>
  <c r="Z101" i="82"/>
  <c r="AR101" i="82"/>
  <c r="AA103" i="82"/>
  <c r="AD104" i="82"/>
  <c r="AB105" i="82"/>
  <c r="AE106" i="82"/>
  <c r="AH107" i="82"/>
  <c r="AF108" i="82"/>
  <c r="AI109" i="82"/>
  <c r="AL110" i="82"/>
  <c r="AE112" i="82"/>
  <c r="AA113" i="82"/>
  <c r="AF114" i="82"/>
  <c r="Z115" i="82"/>
  <c r="AL115" i="82"/>
  <c r="AE116" i="82"/>
  <c r="AI117" i="82"/>
  <c r="Z118" i="82"/>
  <c r="AA119" i="82"/>
  <c r="AL119" i="82"/>
  <c r="AM120" i="82"/>
  <c r="AD121" i="82"/>
  <c r="AN121" i="82"/>
  <c r="AL122" i="82"/>
  <c r="AA123" i="82"/>
  <c r="AJ123" i="82"/>
  <c r="AR123" i="82"/>
  <c r="AF124" i="82"/>
  <c r="AN124" i="82"/>
  <c r="AB125" i="82"/>
  <c r="AJ125" i="82"/>
  <c r="AR125" i="82"/>
  <c r="AF126" i="82"/>
  <c r="AN126" i="82"/>
  <c r="AB127" i="82"/>
  <c r="AJ127" i="82"/>
  <c r="AR127" i="82"/>
  <c r="AF128" i="82"/>
  <c r="AN128" i="82"/>
  <c r="AB129" i="82"/>
  <c r="AJ129" i="82"/>
  <c r="AR129" i="82"/>
  <c r="AF130" i="82"/>
  <c r="AN130" i="82"/>
  <c r="AM34" i="82"/>
  <c r="AL45" i="82"/>
  <c r="AQ47" i="82"/>
  <c r="AB52" i="82"/>
  <c r="AE54" i="82"/>
  <c r="AJ58" i="82"/>
  <c r="AM60" i="82"/>
  <c r="AR64" i="82"/>
  <c r="AD90" i="82"/>
  <c r="AH93" i="82"/>
  <c r="Z95" i="82"/>
  <c r="AL96" i="82"/>
  <c r="AD98" i="82"/>
  <c r="AP99" i="82"/>
  <c r="AB101" i="82"/>
  <c r="AE102" i="82"/>
  <c r="AH103" i="82"/>
  <c r="AF104" i="82"/>
  <c r="AI105" i="82"/>
  <c r="AL106" i="82"/>
  <c r="AJ107" i="82"/>
  <c r="AM108" i="82"/>
  <c r="AP109" i="82"/>
  <c r="AN110" i="82"/>
  <c r="AH112" i="82"/>
  <c r="AD113" i="82"/>
  <c r="AQ113" i="82"/>
  <c r="AB115" i="82"/>
  <c r="AP115" i="82"/>
  <c r="AH116" i="82"/>
  <c r="AA117" i="82"/>
  <c r="AL117" i="82"/>
  <c r="AM118" i="82"/>
  <c r="AD119" i="82"/>
  <c r="AE120" i="82"/>
  <c r="AP120" i="82"/>
  <c r="AP121" i="82"/>
  <c r="AE122" i="82"/>
  <c r="AN122" i="82"/>
  <c r="AD123" i="82"/>
  <c r="AL123" i="82"/>
  <c r="Z124" i="82"/>
  <c r="AH124" i="82"/>
  <c r="AP124" i="82"/>
  <c r="AD125" i="82"/>
  <c r="AL125" i="82"/>
  <c r="Z126" i="82"/>
  <c r="AH126" i="82"/>
  <c r="AP126" i="82"/>
  <c r="AD127" i="82"/>
  <c r="AL127" i="82"/>
  <c r="Z128" i="82"/>
  <c r="AH128" i="82"/>
  <c r="AP128" i="82"/>
  <c r="AD129" i="82"/>
  <c r="AL129" i="82"/>
  <c r="Z130" i="82"/>
  <c r="AH130" i="82"/>
  <c r="AP130" i="82"/>
  <c r="AP21" i="82"/>
  <c r="AQ45" i="82"/>
  <c r="AB50" i="82"/>
  <c r="AE52" i="82"/>
  <c r="AJ56" i="82"/>
  <c r="AM58" i="82"/>
  <c r="AR62" i="82"/>
  <c r="AF90" i="82"/>
  <c r="AJ93" i="82"/>
  <c r="AB95" i="82"/>
  <c r="AN96" i="82"/>
  <c r="AF98" i="82"/>
  <c r="AR99" i="82"/>
  <c r="AH101" i="82"/>
  <c r="AF102" i="82"/>
  <c r="AI103" i="82"/>
  <c r="AL104" i="82"/>
  <c r="AJ105" i="82"/>
  <c r="AM106" i="82"/>
  <c r="AP107" i="82"/>
  <c r="AN108" i="82"/>
  <c r="AQ109" i="82"/>
  <c r="AL112" i="82"/>
  <c r="AR113" i="82"/>
  <c r="AL114" i="82"/>
  <c r="AD115" i="82"/>
  <c r="AQ115" i="82"/>
  <c r="AB117" i="82"/>
  <c r="AN117" i="82"/>
  <c r="AD118" i="82"/>
  <c r="AN118" i="82"/>
  <c r="AF119" i="82"/>
  <c r="AP119" i="82"/>
  <c r="AF120" i="82"/>
  <c r="AR120" i="82"/>
  <c r="AH121" i="82"/>
  <c r="AQ121" i="82"/>
  <c r="AF122" i="82"/>
  <c r="AP122" i="82"/>
  <c r="AE123" i="82"/>
  <c r="AM123" i="82"/>
  <c r="AA124" i="82"/>
  <c r="AI124" i="82"/>
  <c r="AQ124" i="82"/>
  <c r="AE125" i="82"/>
  <c r="AM125" i="82"/>
  <c r="AA126" i="82"/>
  <c r="AI126" i="82"/>
  <c r="AQ126" i="82"/>
  <c r="AE127" i="82"/>
  <c r="AM127" i="82"/>
  <c r="AA128" i="82"/>
  <c r="AE23" i="82"/>
  <c r="Z38" i="82"/>
  <c r="AE46" i="82"/>
  <c r="AJ50" i="82"/>
  <c r="AM52" i="82"/>
  <c r="AR56" i="82"/>
  <c r="AA59" i="82"/>
  <c r="AF63" i="82"/>
  <c r="AL90" i="82"/>
  <c r="AD92" i="82"/>
  <c r="AP93" i="82"/>
  <c r="AH95" i="82"/>
  <c r="Z97" i="82"/>
  <c r="AL98" i="82"/>
  <c r="AD100" i="82"/>
  <c r="AI101" i="82"/>
  <c r="AL102" i="82"/>
  <c r="AJ103" i="82"/>
  <c r="AM104" i="82"/>
  <c r="AP105" i="82"/>
  <c r="AN106" i="82"/>
  <c r="AQ107" i="82"/>
  <c r="Z109" i="82"/>
  <c r="AR109" i="82"/>
  <c r="AM112" i="82"/>
  <c r="AH113" i="82"/>
  <c r="Z114" i="82"/>
  <c r="AM114" i="82"/>
  <c r="AR115" i="82"/>
  <c r="AL116" i="82"/>
  <c r="AD117" i="82"/>
  <c r="AE118" i="82"/>
  <c r="AP118" i="82"/>
  <c r="AQ119" i="82"/>
  <c r="AH120" i="82"/>
  <c r="AI121" i="82"/>
  <c r="AR121" i="82"/>
  <c r="AH122" i="82"/>
  <c r="AQ122" i="82"/>
  <c r="AF123" i="82"/>
  <c r="AN123" i="82"/>
  <c r="AB124" i="82"/>
  <c r="AJ124" i="82"/>
  <c r="AR124" i="82"/>
  <c r="AF125" i="82"/>
  <c r="AN125" i="82"/>
  <c r="AB126" i="82"/>
  <c r="AJ126" i="82"/>
  <c r="AR126" i="82"/>
  <c r="AF127" i="82"/>
  <c r="AN127" i="82"/>
  <c r="AB128" i="82"/>
  <c r="AJ128" i="82"/>
  <c r="AR128" i="82"/>
  <c r="AF129" i="82"/>
  <c r="AN129" i="82"/>
  <c r="AB130" i="82"/>
  <c r="AJ130" i="82"/>
  <c r="AR130" i="82"/>
  <c r="AQ39" i="82"/>
  <c r="AJ48" i="82"/>
  <c r="AM50" i="82"/>
  <c r="AR54" i="82"/>
  <c r="AA57" i="82"/>
  <c r="AF61" i="82"/>
  <c r="AI63" i="82"/>
  <c r="AN90" i="82"/>
  <c r="AF92" i="82"/>
  <c r="AR93" i="82"/>
  <c r="AJ95" i="82"/>
  <c r="AB97" i="82"/>
  <c r="AN98" i="82"/>
  <c r="AF100" i="82"/>
  <c r="AJ101" i="82"/>
  <c r="AM102" i="82"/>
  <c r="AP103" i="82"/>
  <c r="AN104" i="82"/>
  <c r="AQ105" i="82"/>
  <c r="Z107" i="82"/>
  <c r="AR107" i="82"/>
  <c r="AA109" i="82"/>
  <c r="AD110" i="82"/>
  <c r="AN112" i="82"/>
  <c r="AI113" i="82"/>
  <c r="AN114" i="82"/>
  <c r="AH115" i="82"/>
  <c r="Z116" i="82"/>
  <c r="AM116" i="82"/>
  <c r="AF117" i="82"/>
  <c r="AP117" i="82"/>
  <c r="AF118" i="82"/>
  <c r="AR118" i="82"/>
  <c r="AH119" i="82"/>
  <c r="AR119" i="82"/>
  <c r="AJ120" i="82"/>
  <c r="Z121" i="82"/>
  <c r="AJ121" i="82"/>
  <c r="Z122" i="82"/>
  <c r="AI122" i="82"/>
  <c r="AR122" i="82"/>
  <c r="AA18" i="82"/>
  <c r="AR46" i="82"/>
  <c r="AB58" i="82"/>
  <c r="AD94" i="82"/>
  <c r="AR97" i="82"/>
  <c r="AQ101" i="82"/>
  <c r="Z105" i="82"/>
  <c r="AI107" i="82"/>
  <c r="AF110" i="82"/>
  <c r="AP112" i="82"/>
  <c r="AH114" i="82"/>
  <c r="AD116" i="82"/>
  <c r="AQ117" i="82"/>
  <c r="AB119" i="82"/>
  <c r="AL120" i="82"/>
  <c r="AA122" i="82"/>
  <c r="AB123" i="82"/>
  <c r="AE124" i="82"/>
  <c r="AH125" i="82"/>
  <c r="AI127" i="82"/>
  <c r="AI128" i="82"/>
  <c r="AE129" i="82"/>
  <c r="AA130" i="82"/>
  <c r="AQ130" i="82"/>
  <c r="AA154" i="82"/>
  <c r="AI154" i="82"/>
  <c r="AQ154" i="82"/>
  <c r="AE155" i="82"/>
  <c r="AM155" i="82"/>
  <c r="AA156" i="82"/>
  <c r="AI156" i="82"/>
  <c r="AQ156" i="82"/>
  <c r="AE157" i="82"/>
  <c r="AM157" i="82"/>
  <c r="AA158" i="82"/>
  <c r="AI158" i="82"/>
  <c r="AQ158" i="82"/>
  <c r="AE159" i="82"/>
  <c r="AM159" i="82"/>
  <c r="AA160" i="82"/>
  <c r="AI160" i="82"/>
  <c r="AQ160" i="82"/>
  <c r="AE161" i="82"/>
  <c r="AM161" i="82"/>
  <c r="AA162" i="82"/>
  <c r="AI162" i="82"/>
  <c r="AQ162" i="82"/>
  <c r="AE163" i="82"/>
  <c r="AM163" i="82"/>
  <c r="AA164" i="82"/>
  <c r="AI164" i="82"/>
  <c r="AQ164" i="82"/>
  <c r="AE165" i="82"/>
  <c r="AM165" i="82"/>
  <c r="AA166" i="82"/>
  <c r="AI166" i="82"/>
  <c r="AQ166" i="82"/>
  <c r="AE167" i="82"/>
  <c r="AM167" i="82"/>
  <c r="AA168" i="82"/>
  <c r="AI168" i="82"/>
  <c r="AQ168" i="82"/>
  <c r="AE169" i="82"/>
  <c r="AM169" i="82"/>
  <c r="AA170" i="82"/>
  <c r="AI170" i="82"/>
  <c r="AQ170" i="82"/>
  <c r="AE171" i="82"/>
  <c r="AM171" i="82"/>
  <c r="AA172" i="82"/>
  <c r="AI172" i="82"/>
  <c r="AQ172" i="82"/>
  <c r="AE173" i="82"/>
  <c r="AM173" i="82"/>
  <c r="AA174" i="82"/>
  <c r="AI174" i="82"/>
  <c r="AQ174" i="82"/>
  <c r="AA176" i="82"/>
  <c r="AI176" i="82"/>
  <c r="AQ176" i="82"/>
  <c r="AE177" i="82"/>
  <c r="AM177" i="82"/>
  <c r="AA178" i="82"/>
  <c r="AI178" i="82"/>
  <c r="AQ178" i="82"/>
  <c r="AE179" i="82"/>
  <c r="AM179" i="82"/>
  <c r="AA180" i="82"/>
  <c r="AI180" i="82"/>
  <c r="AQ180" i="82"/>
  <c r="AE181" i="82"/>
  <c r="AM181" i="82"/>
  <c r="AA182" i="82"/>
  <c r="AI182" i="82"/>
  <c r="AQ182" i="82"/>
  <c r="AE183" i="82"/>
  <c r="AM183" i="82"/>
  <c r="AA184" i="82"/>
  <c r="AI184" i="82"/>
  <c r="AQ184" i="82"/>
  <c r="AE185" i="82"/>
  <c r="AM185" i="82"/>
  <c r="AA186" i="82"/>
  <c r="AI186" i="82"/>
  <c r="AQ186" i="82"/>
  <c r="AE187" i="82"/>
  <c r="AM187" i="82"/>
  <c r="AA188" i="82"/>
  <c r="AI188" i="82"/>
  <c r="AQ188" i="82"/>
  <c r="AE189" i="82"/>
  <c r="AM189" i="82"/>
  <c r="AA190" i="82"/>
  <c r="AI190" i="82"/>
  <c r="AQ190" i="82"/>
  <c r="AE191" i="82"/>
  <c r="AM191" i="82"/>
  <c r="AA192" i="82"/>
  <c r="AI192" i="82"/>
  <c r="AQ192" i="82"/>
  <c r="AE193" i="82"/>
  <c r="AM193" i="82"/>
  <c r="AA194" i="82"/>
  <c r="AI194" i="82"/>
  <c r="AQ194" i="82"/>
  <c r="AE195" i="82"/>
  <c r="AM195" i="82"/>
  <c r="AA196" i="82"/>
  <c r="AI196" i="82"/>
  <c r="AQ196" i="82"/>
  <c r="AE197" i="82"/>
  <c r="AM197" i="82"/>
  <c r="AI28" i="82"/>
  <c r="AR48" i="82"/>
  <c r="AQ53" i="82"/>
  <c r="AN59" i="82"/>
  <c r="AN94" i="82"/>
  <c r="AB99" i="82"/>
  <c r="AN102" i="82"/>
  <c r="AH105" i="82"/>
  <c r="AE108" i="82"/>
  <c r="AB113" i="82"/>
  <c r="AN116" i="82"/>
  <c r="AB118" i="82"/>
  <c r="AJ119" i="82"/>
  <c r="AA121" i="82"/>
  <c r="AD122" i="82"/>
  <c r="AI123" i="82"/>
  <c r="AL124" i="82"/>
  <c r="AM126" i="82"/>
  <c r="AP127" i="82"/>
  <c r="AM128" i="82"/>
  <c r="AI129" i="82"/>
  <c r="AE130" i="82"/>
  <c r="AM32" i="82"/>
  <c r="AF55" i="82"/>
  <c r="AE60" i="82"/>
  <c r="AP95" i="82"/>
  <c r="AJ99" i="82"/>
  <c r="Z103" i="82"/>
  <c r="AR105" i="82"/>
  <c r="AL108" i="82"/>
  <c r="AJ113" i="82"/>
  <c r="AA115" i="82"/>
  <c r="AP116" i="82"/>
  <c r="AH118" i="82"/>
  <c r="AN119" i="82"/>
  <c r="AB121" i="82"/>
  <c r="AJ122" i="82"/>
  <c r="AM124" i="82"/>
  <c r="AP125" i="82"/>
  <c r="AQ127" i="82"/>
  <c r="AD154" i="82"/>
  <c r="AL154" i="82"/>
  <c r="Z155" i="82"/>
  <c r="AH155" i="82"/>
  <c r="AP155" i="82"/>
  <c r="AD156" i="82"/>
  <c r="AL156" i="82"/>
  <c r="Z157" i="82"/>
  <c r="AH157" i="82"/>
  <c r="AP157" i="82"/>
  <c r="AD158" i="82"/>
  <c r="AL158" i="82"/>
  <c r="Z159" i="82"/>
  <c r="AH159" i="82"/>
  <c r="AP159" i="82"/>
  <c r="AD160" i="82"/>
  <c r="AL160" i="82"/>
  <c r="Z161" i="82"/>
  <c r="AH161" i="82"/>
  <c r="AP161" i="82"/>
  <c r="AD162" i="82"/>
  <c r="AL162" i="82"/>
  <c r="Z163" i="82"/>
  <c r="AH163" i="82"/>
  <c r="AP163" i="82"/>
  <c r="AD164" i="82"/>
  <c r="AL164" i="82"/>
  <c r="Z165" i="82"/>
  <c r="AH165" i="82"/>
  <c r="AP165" i="82"/>
  <c r="AD166" i="82"/>
  <c r="AL166" i="82"/>
  <c r="Z167" i="82"/>
  <c r="AH167" i="82"/>
  <c r="AP167" i="82"/>
  <c r="AD168" i="82"/>
  <c r="AL168" i="82"/>
  <c r="Z169" i="82"/>
  <c r="AH169" i="82"/>
  <c r="AP169" i="82"/>
  <c r="AD170" i="82"/>
  <c r="AL170" i="82"/>
  <c r="Z171" i="82"/>
  <c r="AH171" i="82"/>
  <c r="AP171" i="82"/>
  <c r="AD172" i="82"/>
  <c r="AL172" i="82"/>
  <c r="Z173" i="82"/>
  <c r="AH173" i="82"/>
  <c r="AP173" i="82"/>
  <c r="AD174" i="82"/>
  <c r="AL174" i="82"/>
  <c r="AD176" i="82"/>
  <c r="AL176" i="82"/>
  <c r="Z177" i="82"/>
  <c r="AH177" i="82"/>
  <c r="AP177" i="82"/>
  <c r="AD178" i="82"/>
  <c r="AL178" i="82"/>
  <c r="Z179" i="82"/>
  <c r="AH179" i="82"/>
  <c r="AP179" i="82"/>
  <c r="AD180" i="82"/>
  <c r="AL180" i="82"/>
  <c r="Z181" i="82"/>
  <c r="AH181" i="82"/>
  <c r="AP181" i="82"/>
  <c r="AD182" i="82"/>
  <c r="AL182" i="82"/>
  <c r="Z183" i="82"/>
  <c r="AH183" i="82"/>
  <c r="AP183" i="82"/>
  <c r="AD184" i="82"/>
  <c r="AL184" i="82"/>
  <c r="AI55" i="82"/>
  <c r="AN61" i="82"/>
  <c r="AR95" i="82"/>
  <c r="AL100" i="82"/>
  <c r="AB103" i="82"/>
  <c r="AD106" i="82"/>
  <c r="AB109" i="82"/>
  <c r="AL113" i="82"/>
  <c r="AI115" i="82"/>
  <c r="Z117" i="82"/>
  <c r="AJ118" i="82"/>
  <c r="Z120" i="82"/>
  <c r="AF121" i="82"/>
  <c r="AP123" i="82"/>
  <c r="AQ125" i="82"/>
  <c r="Z127" i="82"/>
  <c r="AQ128" i="82"/>
  <c r="AM129" i="82"/>
  <c r="AI130" i="82"/>
  <c r="AE154" i="82"/>
  <c r="AM154" i="82"/>
  <c r="AA155" i="82"/>
  <c r="AI155" i="82"/>
  <c r="AQ155" i="82"/>
  <c r="AE156" i="82"/>
  <c r="AM156" i="82"/>
  <c r="AA157" i="82"/>
  <c r="AI157" i="82"/>
  <c r="AQ157" i="82"/>
  <c r="AE158" i="82"/>
  <c r="AM158" i="82"/>
  <c r="AA159" i="82"/>
  <c r="AI159" i="82"/>
  <c r="AQ159" i="82"/>
  <c r="AE160" i="82"/>
  <c r="AM160" i="82"/>
  <c r="AA161" i="82"/>
  <c r="AI161" i="82"/>
  <c r="AQ161" i="82"/>
  <c r="AE162" i="82"/>
  <c r="AM162" i="82"/>
  <c r="AA163" i="82"/>
  <c r="AI163" i="82"/>
  <c r="AQ163" i="82"/>
  <c r="AE164" i="82"/>
  <c r="AM164" i="82"/>
  <c r="AA165" i="82"/>
  <c r="AI165" i="82"/>
  <c r="AQ165" i="82"/>
  <c r="AE166" i="82"/>
  <c r="AM166" i="82"/>
  <c r="AA167" i="82"/>
  <c r="AI167" i="82"/>
  <c r="AQ167" i="82"/>
  <c r="AE168" i="82"/>
  <c r="AM168" i="82"/>
  <c r="AA169" i="82"/>
  <c r="AI169" i="82"/>
  <c r="AQ169" i="82"/>
  <c r="AE170" i="82"/>
  <c r="AM170" i="82"/>
  <c r="AA171" i="82"/>
  <c r="AI171" i="82"/>
  <c r="AQ171" i="82"/>
  <c r="AE172" i="82"/>
  <c r="AM172" i="82"/>
  <c r="AA173" i="82"/>
  <c r="AI173" i="82"/>
  <c r="AQ173" i="82"/>
  <c r="AE174" i="82"/>
  <c r="AM174" i="82"/>
  <c r="AE176" i="82"/>
  <c r="AM176" i="82"/>
  <c r="AA177" i="82"/>
  <c r="AI177" i="82"/>
  <c r="AQ177" i="82"/>
  <c r="AE178" i="82"/>
  <c r="AM178" i="82"/>
  <c r="AA179" i="82"/>
  <c r="AI179" i="82"/>
  <c r="AQ179" i="82"/>
  <c r="AE180" i="82"/>
  <c r="AM180" i="82"/>
  <c r="AA181" i="82"/>
  <c r="AI181" i="82"/>
  <c r="AQ181" i="82"/>
  <c r="AE182" i="82"/>
  <c r="AM182" i="82"/>
  <c r="AA183" i="82"/>
  <c r="AI183" i="82"/>
  <c r="AQ183" i="82"/>
  <c r="AE184" i="82"/>
  <c r="AM184" i="82"/>
  <c r="AA185" i="82"/>
  <c r="AA51" i="82"/>
  <c r="AQ61" i="82"/>
  <c r="AL92" i="82"/>
  <c r="AF96" i="82"/>
  <c r="AN100" i="82"/>
  <c r="AQ103" i="82"/>
  <c r="AF106" i="82"/>
  <c r="AH109" i="82"/>
  <c r="Z112" i="82"/>
  <c r="AP113" i="82"/>
  <c r="AJ115" i="82"/>
  <c r="AL118" i="82"/>
  <c r="AB120" i="82"/>
  <c r="AL121" i="82"/>
  <c r="AM122" i="82"/>
  <c r="AQ123" i="82"/>
  <c r="Z125" i="82"/>
  <c r="AA127" i="82"/>
  <c r="AD128" i="82"/>
  <c r="Z129" i="82"/>
  <c r="AP129" i="82"/>
  <c r="AL130" i="82"/>
  <c r="AF154" i="82"/>
  <c r="AN154" i="82"/>
  <c r="AB155" i="82"/>
  <c r="AJ155" i="82"/>
  <c r="AR155" i="82"/>
  <c r="AF156" i="82"/>
  <c r="AN156" i="82"/>
  <c r="AB157" i="82"/>
  <c r="AJ157" i="82"/>
  <c r="AR157" i="82"/>
  <c r="AF158" i="82"/>
  <c r="AN158" i="82"/>
  <c r="AB159" i="82"/>
  <c r="AJ159" i="82"/>
  <c r="AR159" i="82"/>
  <c r="AF160" i="82"/>
  <c r="AN160" i="82"/>
  <c r="AB161" i="82"/>
  <c r="AJ161" i="82"/>
  <c r="AR161" i="82"/>
  <c r="AF162" i="82"/>
  <c r="AN162" i="82"/>
  <c r="AB163" i="82"/>
  <c r="AJ163" i="82"/>
  <c r="AR163" i="82"/>
  <c r="AF164" i="82"/>
  <c r="AN164" i="82"/>
  <c r="AB165" i="82"/>
  <c r="AJ165" i="82"/>
  <c r="AR165" i="82"/>
  <c r="AF166" i="82"/>
  <c r="AN166" i="82"/>
  <c r="AB167" i="82"/>
  <c r="AJ167" i="82"/>
  <c r="AR167" i="82"/>
  <c r="AF168" i="82"/>
  <c r="AN168" i="82"/>
  <c r="AB169" i="82"/>
  <c r="AJ169" i="82"/>
  <c r="AR169" i="82"/>
  <c r="AF170" i="82"/>
  <c r="AN170" i="82"/>
  <c r="AB171" i="82"/>
  <c r="AJ171" i="82"/>
  <c r="AR171" i="82"/>
  <c r="AF172" i="82"/>
  <c r="AN172" i="82"/>
  <c r="AB173" i="82"/>
  <c r="AJ173" i="82"/>
  <c r="AR173" i="82"/>
  <c r="AF174" i="82"/>
  <c r="AN174" i="82"/>
  <c r="AF176" i="82"/>
  <c r="AN176" i="82"/>
  <c r="AB177" i="82"/>
  <c r="AJ177" i="82"/>
  <c r="AR177" i="82"/>
  <c r="AF178" i="82"/>
  <c r="AN178" i="82"/>
  <c r="AB179" i="82"/>
  <c r="AJ179" i="82"/>
  <c r="AR179" i="82"/>
  <c r="AF180" i="82"/>
  <c r="AN180" i="82"/>
  <c r="AB181" i="82"/>
  <c r="AJ181" i="82"/>
  <c r="AR181" i="82"/>
  <c r="AF182" i="82"/>
  <c r="AN182" i="82"/>
  <c r="AB183" i="82"/>
  <c r="AJ183" i="82"/>
  <c r="AR183" i="82"/>
  <c r="AF184" i="82"/>
  <c r="AN184" i="82"/>
  <c r="AB185" i="82"/>
  <c r="AJ185" i="82"/>
  <c r="AR185" i="82"/>
  <c r="AF186" i="82"/>
  <c r="AN186" i="82"/>
  <c r="AB187" i="82"/>
  <c r="AJ187" i="82"/>
  <c r="AR187" i="82"/>
  <c r="AF188" i="82"/>
  <c r="AN188" i="82"/>
  <c r="AB189" i="82"/>
  <c r="AJ189" i="82"/>
  <c r="AR189" i="82"/>
  <c r="AF190" i="82"/>
  <c r="AN190" i="82"/>
  <c r="AB191" i="82"/>
  <c r="AJ191" i="82"/>
  <c r="AR191" i="82"/>
  <c r="AF192" i="82"/>
  <c r="AN192" i="82"/>
  <c r="AB193" i="82"/>
  <c r="AJ193" i="82"/>
  <c r="AR193" i="82"/>
  <c r="AF194" i="82"/>
  <c r="AN194" i="82"/>
  <c r="AB195" i="82"/>
  <c r="AJ195" i="82"/>
  <c r="AR195" i="82"/>
  <c r="AF196" i="82"/>
  <c r="AN196" i="82"/>
  <c r="AB197" i="82"/>
  <c r="AJ197" i="82"/>
  <c r="AR197" i="82"/>
  <c r="AN221" i="82"/>
  <c r="AF221" i="82"/>
  <c r="AA197" i="82"/>
  <c r="Z196" i="82"/>
  <c r="AI195" i="82"/>
  <c r="AH194" i="82"/>
  <c r="AQ193" i="82"/>
  <c r="AP192" i="82"/>
  <c r="AE192" i="82"/>
  <c r="AD191" i="82"/>
  <c r="AM190" i="82"/>
  <c r="AL189" i="82"/>
  <c r="AA189" i="82"/>
  <c r="Z188" i="82"/>
  <c r="AI187" i="82"/>
  <c r="AH186" i="82"/>
  <c r="AQ185" i="82"/>
  <c r="AN183" i="82"/>
  <c r="AL181" i="82"/>
  <c r="AJ180" i="82"/>
  <c r="AH178" i="82"/>
  <c r="AF177" i="82"/>
  <c r="AB174" i="82"/>
  <c r="Z172" i="82"/>
  <c r="AR170" i="82"/>
  <c r="AP168" i="82"/>
  <c r="AN167" i="82"/>
  <c r="AL165" i="82"/>
  <c r="AJ164" i="82"/>
  <c r="AH162" i="82"/>
  <c r="AF161" i="82"/>
  <c r="AD159" i="82"/>
  <c r="AB158" i="82"/>
  <c r="Z156" i="82"/>
  <c r="AR154" i="82"/>
  <c r="AH129" i="82"/>
  <c r="AD124" i="82"/>
  <c r="AN120" i="82"/>
  <c r="AH117" i="82"/>
  <c r="AF112" i="82"/>
  <c r="AA105" i="82"/>
  <c r="AH97" i="82"/>
  <c r="AM44" i="82"/>
  <c r="AD177" i="82"/>
  <c r="AB176" i="82"/>
  <c r="Z174" i="82"/>
  <c r="AR172" i="82"/>
  <c r="AP170" i="82"/>
  <c r="AN169" i="82"/>
  <c r="AL167" i="82"/>
  <c r="AJ166" i="82"/>
  <c r="AH164" i="82"/>
  <c r="AF163" i="82"/>
  <c r="AD161" i="82"/>
  <c r="AB160" i="82"/>
  <c r="Z158" i="82"/>
  <c r="AR156" i="82"/>
  <c r="AP154" i="82"/>
  <c r="AL126" i="82"/>
  <c r="AF116" i="82"/>
  <c r="AD112" i="82"/>
  <c r="AE104" i="82"/>
  <c r="AF94" i="82"/>
  <c r="AL26" i="82"/>
  <c r="BB19" i="62"/>
  <c r="BG26" i="62"/>
  <c r="BE32" i="62"/>
  <c r="AY40" i="62"/>
  <c r="BW44" i="62"/>
  <c r="BV53" i="62"/>
  <c r="BL114" i="62"/>
  <c r="BL125" i="62"/>
  <c r="AI197" i="82"/>
  <c r="AH196" i="82"/>
  <c r="AQ195" i="82"/>
  <c r="AP194" i="82"/>
  <c r="AE194" i="82"/>
  <c r="AD193" i="82"/>
  <c r="AM192" i="82"/>
  <c r="AL191" i="82"/>
  <c r="AA191" i="82"/>
  <c r="Z190" i="82"/>
  <c r="AI189" i="82"/>
  <c r="AH188" i="82"/>
  <c r="AQ187" i="82"/>
  <c r="AP186" i="82"/>
  <c r="AE186" i="82"/>
  <c r="AD185" i="82"/>
  <c r="AJ184" i="82"/>
  <c r="AH182" i="82"/>
  <c r="AF181" i="82"/>
  <c r="AD179" i="82"/>
  <c r="AB178" i="82"/>
  <c r="Z176" i="82"/>
  <c r="AR174" i="82"/>
  <c r="AP172" i="82"/>
  <c r="AN171" i="82"/>
  <c r="AL169" i="82"/>
  <c r="AJ168" i="82"/>
  <c r="AH166" i="82"/>
  <c r="AF165" i="82"/>
  <c r="AD163" i="82"/>
  <c r="AB162" i="82"/>
  <c r="Z160" i="82"/>
  <c r="AR158" i="82"/>
  <c r="AP156" i="82"/>
  <c r="AN155" i="82"/>
  <c r="AA129" i="82"/>
  <c r="AE126" i="82"/>
  <c r="AH123" i="82"/>
  <c r="AD120" i="82"/>
  <c r="AM110" i="82"/>
  <c r="AR103" i="82"/>
  <c r="AB93" i="82"/>
  <c r="AI57" i="82"/>
  <c r="BO107" i="53"/>
  <c r="BY107" i="53"/>
  <c r="CH94" i="53"/>
  <c r="W92" i="85" s="1"/>
  <c r="BZ107" i="53"/>
  <c r="CG94" i="53"/>
  <c r="V92" i="85" s="1"/>
  <c r="CI92" i="53"/>
  <c r="X90" i="85" s="1"/>
  <c r="CU87" i="53"/>
  <c r="CM87" i="53"/>
  <c r="CF87" i="53"/>
  <c r="BY87" i="53"/>
  <c r="BR87" i="53"/>
  <c r="BK87" i="53"/>
  <c r="CS94" i="53"/>
  <c r="CJ94" i="53"/>
  <c r="Y92" i="85" s="1"/>
  <c r="CG92" i="53"/>
  <c r="V90" i="85" s="1"/>
  <c r="BQ92" i="53"/>
  <c r="T38" i="85" s="1"/>
  <c r="CQ87" i="53"/>
  <c r="CI87" i="53"/>
  <c r="CA87" i="53"/>
  <c r="BS87" i="53"/>
  <c r="BJ87" i="53"/>
  <c r="CU86" i="53"/>
  <c r="CM86" i="53"/>
  <c r="CF86" i="53"/>
  <c r="BY86" i="53"/>
  <c r="BR86" i="53"/>
  <c r="BK86" i="53"/>
  <c r="CV85" i="53"/>
  <c r="CN85" i="53"/>
  <c r="CG85" i="53"/>
  <c r="BZ85" i="53"/>
  <c r="BS85" i="53"/>
  <c r="BL85" i="53"/>
  <c r="CW84" i="53"/>
  <c r="CI94" i="53"/>
  <c r="X92" i="85" s="1"/>
  <c r="BX94" i="53"/>
  <c r="T61" i="85" s="1"/>
  <c r="CF92" i="53"/>
  <c r="U90" i="85" s="1"/>
  <c r="BX92" i="53"/>
  <c r="T59" i="85" s="1"/>
  <c r="CP87" i="53"/>
  <c r="CH87" i="53"/>
  <c r="BZ87" i="53"/>
  <c r="BQ87" i="53"/>
  <c r="CT86" i="53"/>
  <c r="CL86" i="53"/>
  <c r="CE86" i="53"/>
  <c r="BX86" i="53"/>
  <c r="BQ86" i="53"/>
  <c r="BJ86" i="53"/>
  <c r="CU85" i="53"/>
  <c r="CM85" i="53"/>
  <c r="BJ94" i="53"/>
  <c r="T19" i="85" s="1"/>
  <c r="CN87" i="53"/>
  <c r="BT87" i="53"/>
  <c r="CX86" i="53"/>
  <c r="CN86" i="53"/>
  <c r="BU86" i="53"/>
  <c r="BL86" i="53"/>
  <c r="CQ85" i="53"/>
  <c r="CH85" i="53"/>
  <c r="BY85" i="53"/>
  <c r="BQ85" i="53"/>
  <c r="CT82" i="53"/>
  <c r="CL82" i="53"/>
  <c r="CE82" i="53"/>
  <c r="BX82" i="53"/>
  <c r="BQ82" i="53"/>
  <c r="BJ82" i="53"/>
  <c r="CU81" i="53"/>
  <c r="CM81" i="53"/>
  <c r="CF81" i="53"/>
  <c r="BY81" i="53"/>
  <c r="BR81" i="53"/>
  <c r="BK81" i="53"/>
  <c r="CV80" i="53"/>
  <c r="CN80" i="53"/>
  <c r="CG80" i="53"/>
  <c r="BZ80" i="53"/>
  <c r="BS80" i="53"/>
  <c r="BL80" i="53"/>
  <c r="CW79" i="53"/>
  <c r="CO79" i="53"/>
  <c r="CH79" i="53"/>
  <c r="CA79" i="53"/>
  <c r="BT79" i="53"/>
  <c r="BM79" i="53"/>
  <c r="CX78" i="53"/>
  <c r="CP78" i="53"/>
  <c r="CI78" i="53"/>
  <c r="CB78" i="53"/>
  <c r="BU78" i="53"/>
  <c r="BN78" i="53"/>
  <c r="CQ77" i="53"/>
  <c r="CJ77" i="53"/>
  <c r="CC77" i="53"/>
  <c r="BV77" i="53"/>
  <c r="BO77" i="53"/>
  <c r="CS75" i="53"/>
  <c r="CT74" i="53"/>
  <c r="CL74" i="53"/>
  <c r="CE74" i="53"/>
  <c r="BX74" i="53"/>
  <c r="BQ74" i="53"/>
  <c r="BJ74" i="53"/>
  <c r="CU73" i="53"/>
  <c r="CM73" i="53"/>
  <c r="CF73" i="53"/>
  <c r="BY73" i="53"/>
  <c r="BR73" i="53"/>
  <c r="BK73" i="53"/>
  <c r="CV72" i="53"/>
  <c r="CN72" i="53"/>
  <c r="CG72" i="53"/>
  <c r="BZ72" i="53"/>
  <c r="BS72" i="53"/>
  <c r="BL72" i="53"/>
  <c r="CW71" i="53"/>
  <c r="CO71" i="53"/>
  <c r="CH71" i="53"/>
  <c r="CA71" i="53"/>
  <c r="BT71" i="53"/>
  <c r="BM71" i="53"/>
  <c r="BL107" i="53"/>
  <c r="CC107" i="53"/>
  <c r="CF94" i="53"/>
  <c r="U92" i="85" s="1"/>
  <c r="CJ92" i="53"/>
  <c r="Y90" i="85" s="1"/>
  <c r="CO87" i="53"/>
  <c r="CC87" i="53"/>
  <c r="CH86" i="53"/>
  <c r="BM86" i="53"/>
  <c r="CO85" i="53"/>
  <c r="BV85" i="53"/>
  <c r="BM85" i="53"/>
  <c r="CS84" i="53"/>
  <c r="CJ84" i="53"/>
  <c r="CB84" i="53"/>
  <c r="BT84" i="53"/>
  <c r="BL84" i="53"/>
  <c r="CW82" i="53"/>
  <c r="CN82" i="53"/>
  <c r="CF82" i="53"/>
  <c r="CP81" i="53"/>
  <c r="CH81" i="53"/>
  <c r="BZ81" i="53"/>
  <c r="BQ81" i="53"/>
  <c r="CJ80" i="53"/>
  <c r="CB80" i="53"/>
  <c r="BT80" i="53"/>
  <c r="BK80" i="53"/>
  <c r="CT79" i="53"/>
  <c r="BM107" i="53"/>
  <c r="CE94" i="53"/>
  <c r="T92" i="85" s="1"/>
  <c r="CH92" i="53"/>
  <c r="W90" i="85" s="1"/>
  <c r="BJ92" i="53"/>
  <c r="T17" i="85" s="1"/>
  <c r="CL87" i="53"/>
  <c r="CB87" i="53"/>
  <c r="BO87" i="53"/>
  <c r="CQ86" i="53"/>
  <c r="CG86" i="53"/>
  <c r="BV86" i="53"/>
  <c r="CL85" i="53"/>
  <c r="BU85" i="53"/>
  <c r="BK85" i="53"/>
  <c r="CQ84" i="53"/>
  <c r="CI84" i="53"/>
  <c r="CA84" i="53"/>
  <c r="BS84" i="53"/>
  <c r="BK84" i="53"/>
  <c r="CV82" i="53"/>
  <c r="CM82" i="53"/>
  <c r="BO82" i="53"/>
  <c r="CX81" i="53"/>
  <c r="CO81" i="53"/>
  <c r="CG81" i="53"/>
  <c r="BX81" i="53"/>
  <c r="CQ80" i="53"/>
  <c r="CI80" i="53"/>
  <c r="CA80" i="53"/>
  <c r="BR80" i="53"/>
  <c r="BJ80" i="53"/>
  <c r="CS79" i="53"/>
  <c r="CC79" i="53"/>
  <c r="BU79" i="53"/>
  <c r="BL79" i="53"/>
  <c r="CU78" i="53"/>
  <c r="CL78" i="53"/>
  <c r="BO78" i="53"/>
  <c r="CW77" i="53"/>
  <c r="CN77" i="53"/>
  <c r="CF77" i="53"/>
  <c r="BX77" i="53"/>
  <c r="CJ75" i="53"/>
  <c r="CB75" i="53"/>
  <c r="BT75" i="53"/>
  <c r="BL75" i="53"/>
  <c r="CU74" i="53"/>
  <c r="BV74" i="53"/>
  <c r="BN74" i="53"/>
  <c r="CW73" i="53"/>
  <c r="CN73" i="53"/>
  <c r="CE73" i="53"/>
  <c r="CP72" i="53"/>
  <c r="CH72" i="53"/>
  <c r="BY72" i="53"/>
  <c r="BQ72" i="53"/>
  <c r="CJ71" i="53"/>
  <c r="CB71" i="53"/>
  <c r="BS71" i="53"/>
  <c r="BK71" i="53"/>
  <c r="CS57" i="53"/>
  <c r="CT56" i="53"/>
  <c r="CL56" i="53"/>
  <c r="T105" i="85" s="1"/>
  <c r="CE56" i="53"/>
  <c r="T81" i="85" s="1"/>
  <c r="BX56" i="53"/>
  <c r="T50" i="85" s="1"/>
  <c r="BQ56" i="53"/>
  <c r="T29" i="85" s="1"/>
  <c r="BJ56" i="53"/>
  <c r="T8" i="85" s="1"/>
  <c r="CV54" i="53"/>
  <c r="CN54" i="53"/>
  <c r="CG54" i="53"/>
  <c r="BZ54" i="53"/>
  <c r="BS54" i="53"/>
  <c r="BL54" i="53"/>
  <c r="CW53" i="53"/>
  <c r="CO53" i="53"/>
  <c r="CH53" i="53"/>
  <c r="CA53" i="53"/>
  <c r="BT53" i="53"/>
  <c r="BM53" i="53"/>
  <c r="CX52" i="53"/>
  <c r="CP52" i="53"/>
  <c r="CI52" i="53"/>
  <c r="CB52" i="53"/>
  <c r="BU52" i="53"/>
  <c r="BN52" i="53"/>
  <c r="CR50" i="53"/>
  <c r="CK50" i="53"/>
  <c r="BW50" i="53"/>
  <c r="BP50" i="53"/>
  <c r="CS49" i="53"/>
  <c r="CT48" i="53"/>
  <c r="CU47" i="53"/>
  <c r="CM47" i="53"/>
  <c r="CF47" i="53"/>
  <c r="BY47" i="53"/>
  <c r="BR47" i="53"/>
  <c r="BK47" i="53"/>
  <c r="CV46" i="53"/>
  <c r="CN46" i="53"/>
  <c r="CG46" i="53"/>
  <c r="BZ46" i="53"/>
  <c r="BS46" i="53"/>
  <c r="BL46" i="53"/>
  <c r="CW45" i="53"/>
  <c r="CO45" i="53"/>
  <c r="CH45" i="53"/>
  <c r="CA45" i="53"/>
  <c r="BT45" i="53"/>
  <c r="BM45" i="53"/>
  <c r="CX44" i="53"/>
  <c r="CP44" i="53"/>
  <c r="CI44" i="53"/>
  <c r="CB44" i="53"/>
  <c r="BU44" i="53"/>
  <c r="BN44" i="53"/>
  <c r="CQ43" i="53"/>
  <c r="CJ43" i="53"/>
  <c r="CC43" i="53"/>
  <c r="BV43" i="53"/>
  <c r="BO43" i="53"/>
  <c r="CT87" i="53"/>
  <c r="BM87" i="53"/>
  <c r="CW86" i="53"/>
  <c r="CI86" i="53"/>
  <c r="BS86" i="53"/>
  <c r="CP85" i="53"/>
  <c r="CB85" i="53"/>
  <c r="CO84" i="53"/>
  <c r="CE84" i="53"/>
  <c r="BU84" i="53"/>
  <c r="CS82" i="53"/>
  <c r="CI82" i="53"/>
  <c r="BY82" i="53"/>
  <c r="BM82" i="53"/>
  <c r="CQ81" i="53"/>
  <c r="BU81" i="53"/>
  <c r="BJ81" i="53"/>
  <c r="CX80" i="53"/>
  <c r="CL80" i="53"/>
  <c r="CC80" i="53"/>
  <c r="CU79" i="53"/>
  <c r="CJ79" i="53"/>
  <c r="BZ79" i="53"/>
  <c r="BQ79" i="53"/>
  <c r="CN78" i="53"/>
  <c r="CE78" i="53"/>
  <c r="BV78" i="53"/>
  <c r="BL78" i="53"/>
  <c r="CS77" i="53"/>
  <c r="CI77" i="53"/>
  <c r="BZ77" i="53"/>
  <c r="BQ77" i="53"/>
  <c r="CQ75" i="53"/>
  <c r="CH75" i="53"/>
  <c r="BY75" i="53"/>
  <c r="CW74" i="53"/>
  <c r="CM74" i="53"/>
  <c r="CC74" i="53"/>
  <c r="BT74" i="53"/>
  <c r="BK74" i="53"/>
  <c r="CQ73" i="53"/>
  <c r="CH73" i="53"/>
  <c r="BX73" i="53"/>
  <c r="BO73" i="53"/>
  <c r="CU72" i="53"/>
  <c r="CC72" i="53"/>
  <c r="BT72" i="53"/>
  <c r="BJ72" i="53"/>
  <c r="CP71" i="53"/>
  <c r="CF71" i="53"/>
  <c r="BO71" i="53"/>
  <c r="CV58" i="53"/>
  <c r="CE58" i="53"/>
  <c r="T83" i="85" s="1"/>
  <c r="CX57" i="53"/>
  <c r="BQ57" i="53"/>
  <c r="T30" i="85" s="1"/>
  <c r="CU54" i="53"/>
  <c r="CL54" i="53"/>
  <c r="BO54" i="53"/>
  <c r="CX53" i="53"/>
  <c r="CN53" i="53"/>
  <c r="CF53" i="53"/>
  <c r="BX53" i="53"/>
  <c r="CQ52" i="53"/>
  <c r="CH52" i="53"/>
  <c r="BZ52" i="53"/>
  <c r="BR52" i="53"/>
  <c r="BJ52" i="53"/>
  <c r="CU50" i="53"/>
  <c r="CL50" i="53"/>
  <c r="BV50" i="53"/>
  <c r="BN50" i="53"/>
  <c r="CW49" i="53"/>
  <c r="CN49" i="53"/>
  <c r="CF49" i="53"/>
  <c r="BP49" i="53"/>
  <c r="CJ47" i="53"/>
  <c r="CB47" i="53"/>
  <c r="BT47" i="53"/>
  <c r="BL47" i="53"/>
  <c r="CT46" i="53"/>
  <c r="BV46" i="53"/>
  <c r="BN46" i="53"/>
  <c r="CV45" i="53"/>
  <c r="CM45" i="53"/>
  <c r="CE45" i="53"/>
  <c r="CO44" i="53"/>
  <c r="CG44" i="53"/>
  <c r="BY44" i="53"/>
  <c r="BQ44" i="53"/>
  <c r="CI43" i="53"/>
  <c r="CA43" i="53"/>
  <c r="BS43" i="53"/>
  <c r="BK43" i="53"/>
  <c r="CU42" i="53"/>
  <c r="CM42" i="53"/>
  <c r="CF42" i="53"/>
  <c r="BY42" i="53"/>
  <c r="BR42" i="53"/>
  <c r="BK42" i="53"/>
  <c r="CV41" i="53"/>
  <c r="CN41" i="53"/>
  <c r="CG41" i="53"/>
  <c r="BZ41" i="53"/>
  <c r="BS41" i="53"/>
  <c r="BL41" i="53"/>
  <c r="CW40" i="53"/>
  <c r="CO40" i="53"/>
  <c r="CH40" i="53"/>
  <c r="CA40" i="53"/>
  <c r="BT40" i="53"/>
  <c r="BM40" i="53"/>
  <c r="CX39" i="53"/>
  <c r="CP39" i="53"/>
  <c r="CI39" i="53"/>
  <c r="CB39" i="53"/>
  <c r="BU39" i="53"/>
  <c r="BN39" i="53"/>
  <c r="CS36" i="53"/>
  <c r="CT35" i="53"/>
  <c r="CL35" i="53"/>
  <c r="CE35" i="53"/>
  <c r="BX35" i="53"/>
  <c r="BQ35" i="53"/>
  <c r="BJ35" i="53"/>
  <c r="CU34" i="53"/>
  <c r="CM34" i="53"/>
  <c r="CF34" i="53"/>
  <c r="BY34" i="53"/>
  <c r="BR34" i="53"/>
  <c r="BK34" i="53"/>
  <c r="CV33" i="53"/>
  <c r="CN33" i="53"/>
  <c r="CG33" i="53"/>
  <c r="BZ33" i="53"/>
  <c r="BS33" i="53"/>
  <c r="BL33" i="53"/>
  <c r="CW32" i="53"/>
  <c r="CO32" i="53"/>
  <c r="CH32" i="53"/>
  <c r="CA32" i="53"/>
  <c r="BT32" i="53"/>
  <c r="BM32" i="53"/>
  <c r="CX31" i="53"/>
  <c r="CP31" i="53"/>
  <c r="CI31" i="53"/>
  <c r="CB31" i="53"/>
  <c r="BU31" i="53"/>
  <c r="BN31" i="53"/>
  <c r="CQ30" i="53"/>
  <c r="CJ30" i="53"/>
  <c r="CC30" i="53"/>
  <c r="BV30" i="53"/>
  <c r="BO30" i="53"/>
  <c r="CS28" i="53"/>
  <c r="CT27" i="53"/>
  <c r="CL27" i="53"/>
  <c r="CE27" i="53"/>
  <c r="BX27" i="53"/>
  <c r="BQ27" i="53"/>
  <c r="BJ27" i="53"/>
  <c r="CU26" i="53"/>
  <c r="CM26" i="53"/>
  <c r="CF26" i="53"/>
  <c r="BY26" i="53"/>
  <c r="BR26" i="53"/>
  <c r="BK26" i="53"/>
  <c r="CW24" i="53"/>
  <c r="CX23" i="53"/>
  <c r="CP23" i="53"/>
  <c r="CI23" i="53"/>
  <c r="CB23" i="53"/>
  <c r="BU23" i="53"/>
  <c r="BN23" i="53"/>
  <c r="CQ22" i="53"/>
  <c r="CJ22" i="53"/>
  <c r="CC22" i="53"/>
  <c r="BV22" i="53"/>
  <c r="BO22" i="53"/>
  <c r="CS20" i="53"/>
  <c r="CT19" i="53"/>
  <c r="CL19" i="53"/>
  <c r="CE19" i="53"/>
  <c r="BX19" i="53"/>
  <c r="BQ19" i="53"/>
  <c r="BJ19" i="53"/>
  <c r="CW16" i="53"/>
  <c r="CO16" i="53"/>
  <c r="CH16" i="53"/>
  <c r="CA16" i="53"/>
  <c r="BT16" i="53"/>
  <c r="BM16" i="53"/>
  <c r="CX15" i="53"/>
  <c r="CP15" i="53"/>
  <c r="CI15" i="53"/>
  <c r="CB15" i="53"/>
  <c r="BU15" i="53"/>
  <c r="BN15" i="53"/>
  <c r="CQ14" i="53"/>
  <c r="CJ14" i="53"/>
  <c r="CC14" i="53"/>
  <c r="BV14" i="53"/>
  <c r="BO14" i="53"/>
  <c r="CL92" i="53"/>
  <c r="T114" i="85" s="1"/>
  <c r="CS87" i="53"/>
  <c r="BX87" i="53"/>
  <c r="BL87" i="53"/>
  <c r="CV86" i="53"/>
  <c r="CA85" i="53"/>
  <c r="BO85" i="53"/>
  <c r="CN84" i="53"/>
  <c r="BR84" i="53"/>
  <c r="CH82" i="53"/>
  <c r="BV82" i="53"/>
  <c r="BL82" i="53"/>
  <c r="CN81" i="53"/>
  <c r="BT81" i="53"/>
  <c r="CW80" i="53"/>
  <c r="BY80" i="53"/>
  <c r="CI79" i="53"/>
  <c r="BY79" i="53"/>
  <c r="CW78" i="53"/>
  <c r="CM78" i="53"/>
  <c r="BT78" i="53"/>
  <c r="BK78" i="53"/>
  <c r="CH77" i="53"/>
  <c r="BY77" i="53"/>
  <c r="CP75" i="53"/>
  <c r="CG75" i="53"/>
  <c r="BX75" i="53"/>
  <c r="BO75" i="53"/>
  <c r="CV74" i="53"/>
  <c r="CK74" i="53"/>
  <c r="CB74" i="53"/>
  <c r="BS74" i="53"/>
  <c r="CP73" i="53"/>
  <c r="CG73" i="53"/>
  <c r="BW73" i="53"/>
  <c r="BN73" i="53"/>
  <c r="CT72" i="53"/>
  <c r="CK72" i="53"/>
  <c r="CB72" i="53"/>
  <c r="BR72" i="53"/>
  <c r="CN71" i="53"/>
  <c r="CE71" i="53"/>
  <c r="BN71" i="53"/>
  <c r="BQ94" i="53"/>
  <c r="T40" i="85" s="1"/>
  <c r="CX87" i="53"/>
  <c r="CE87" i="53"/>
  <c r="BT86" i="53"/>
  <c r="CX85" i="53"/>
  <c r="CF85" i="53"/>
  <c r="CX84" i="53"/>
  <c r="CH84" i="53"/>
  <c r="BV84" i="53"/>
  <c r="CJ82" i="53"/>
  <c r="BT82" i="53"/>
  <c r="CB81" i="53"/>
  <c r="BN81" i="53"/>
  <c r="CH80" i="53"/>
  <c r="BV80" i="53"/>
  <c r="CP79" i="53"/>
  <c r="BR79" i="53"/>
  <c r="CF78" i="53"/>
  <c r="BR78" i="53"/>
  <c r="CT77" i="53"/>
  <c r="CE77" i="53"/>
  <c r="BT77" i="53"/>
  <c r="CV75" i="53"/>
  <c r="CI75" i="53"/>
  <c r="BV75" i="53"/>
  <c r="BJ75" i="53"/>
  <c r="CX74" i="53"/>
  <c r="CI74" i="53"/>
  <c r="BL74" i="53"/>
  <c r="CX73" i="53"/>
  <c r="BZ73" i="53"/>
  <c r="BL73" i="53"/>
  <c r="CL72" i="53"/>
  <c r="BX72" i="53"/>
  <c r="BN72" i="53"/>
  <c r="CL71" i="53"/>
  <c r="BZ71" i="53"/>
  <c r="CT58" i="53"/>
  <c r="CE57" i="53"/>
  <c r="T82" i="85" s="1"/>
  <c r="CS56" i="53"/>
  <c r="CI54" i="53"/>
  <c r="BY54" i="53"/>
  <c r="BK107" i="53"/>
  <c r="CW87" i="53"/>
  <c r="CW85" i="53"/>
  <c r="CE85" i="53"/>
  <c r="BN85" i="53"/>
  <c r="CV84" i="53"/>
  <c r="CG84" i="53"/>
  <c r="BQ84" i="53"/>
  <c r="CX82" i="53"/>
  <c r="CG82" i="53"/>
  <c r="BS82" i="53"/>
  <c r="CL81" i="53"/>
  <c r="CA81" i="53"/>
  <c r="BM81" i="53"/>
  <c r="CU80" i="53"/>
  <c r="CF80" i="53"/>
  <c r="BU80" i="53"/>
  <c r="CN79" i="53"/>
  <c r="CQ78" i="53"/>
  <c r="CC78" i="53"/>
  <c r="BQ78" i="53"/>
  <c r="CP77" i="53"/>
  <c r="BS77" i="53"/>
  <c r="CU75" i="53"/>
  <c r="CF75" i="53"/>
  <c r="BU75" i="53"/>
  <c r="CS74" i="53"/>
  <c r="CH74" i="53"/>
  <c r="CV73" i="53"/>
  <c r="CJ73" i="53"/>
  <c r="BV73" i="53"/>
  <c r="BJ73" i="53"/>
  <c r="CX72" i="53"/>
  <c r="CJ72" i="53"/>
  <c r="BM72" i="53"/>
  <c r="CX71" i="53"/>
  <c r="BY71" i="53"/>
  <c r="BL71" i="53"/>
  <c r="CS58" i="53"/>
  <c r="BQ58" i="53"/>
  <c r="T31" i="85" s="1"/>
  <c r="CW57" i="53"/>
  <c r="CQ54" i="53"/>
  <c r="CH54" i="53"/>
  <c r="BX54" i="53"/>
  <c r="CU53" i="53"/>
  <c r="CC53" i="53"/>
  <c r="BS53" i="53"/>
  <c r="BJ53" i="53"/>
  <c r="CO52" i="53"/>
  <c r="CF52" i="53"/>
  <c r="BO52" i="53"/>
  <c r="CO50" i="53"/>
  <c r="CF50" i="53"/>
  <c r="BM50" i="53"/>
  <c r="CT49" i="53"/>
  <c r="CJ49" i="53"/>
  <c r="BR49" i="53"/>
  <c r="CX48" i="53"/>
  <c r="CS47" i="53"/>
  <c r="CI47" i="53"/>
  <c r="BZ47" i="53"/>
  <c r="CX46" i="53"/>
  <c r="CM46" i="53"/>
  <c r="BU46" i="53"/>
  <c r="BK46" i="53"/>
  <c r="CI45" i="53"/>
  <c r="BY45" i="53"/>
  <c r="CV44" i="53"/>
  <c r="CL44" i="53"/>
  <c r="BT44" i="53"/>
  <c r="BK44" i="53"/>
  <c r="CP43" i="53"/>
  <c r="CG43" i="53"/>
  <c r="BX43" i="53"/>
  <c r="CW42" i="53"/>
  <c r="CN42" i="53"/>
  <c r="CE42" i="53"/>
  <c r="CP41" i="53"/>
  <c r="CH41" i="53"/>
  <c r="BY41" i="53"/>
  <c r="BQ41" i="53"/>
  <c r="CJ40" i="53"/>
  <c r="CB40" i="53"/>
  <c r="BS40" i="53"/>
  <c r="BK40" i="53"/>
  <c r="CT39" i="53"/>
  <c r="BV39" i="53"/>
  <c r="BM39" i="53"/>
  <c r="CX37" i="53"/>
  <c r="CO37" i="53"/>
  <c r="CG37" i="53"/>
  <c r="BY37" i="53"/>
  <c r="BQ37" i="53"/>
  <c r="CQ36" i="53"/>
  <c r="CI36" i="53"/>
  <c r="CA36" i="53"/>
  <c r="BS36" i="53"/>
  <c r="BK36" i="53"/>
  <c r="CS35" i="53"/>
  <c r="CC35" i="53"/>
  <c r="BU35" i="53"/>
  <c r="BM35" i="53"/>
  <c r="CV34" i="53"/>
  <c r="CL34" i="53"/>
  <c r="BO34" i="53"/>
  <c r="CX33" i="53"/>
  <c r="CO33" i="53"/>
  <c r="CF33" i="53"/>
  <c r="BX33" i="53"/>
  <c r="CQ32" i="53"/>
  <c r="CI32" i="53"/>
  <c r="BZ32" i="53"/>
  <c r="BR32" i="53"/>
  <c r="CL94" i="53"/>
  <c r="T116" i="85" s="1"/>
  <c r="CE92" i="53"/>
  <c r="T90" i="85" s="1"/>
  <c r="BZ86" i="53"/>
  <c r="CT85" i="53"/>
  <c r="CF84" i="53"/>
  <c r="BN84" i="53"/>
  <c r="BR82" i="53"/>
  <c r="CW81" i="53"/>
  <c r="CE81" i="53"/>
  <c r="BL81" i="53"/>
  <c r="CP80" i="53"/>
  <c r="BV79" i="53"/>
  <c r="CL77" i="53"/>
  <c r="CN75" i="53"/>
  <c r="BZ75" i="53"/>
  <c r="CP74" i="53"/>
  <c r="BZ74" i="53"/>
  <c r="CB73" i="53"/>
  <c r="CR72" i="53"/>
  <c r="BK72" i="53"/>
  <c r="CT71" i="53"/>
  <c r="BJ71" i="53"/>
  <c r="CT57" i="53"/>
  <c r="CV56" i="53"/>
  <c r="CX54" i="53"/>
  <c r="BK54" i="53"/>
  <c r="CP53" i="53"/>
  <c r="BU53" i="53"/>
  <c r="CW52" i="53"/>
  <c r="CL52" i="53"/>
  <c r="CC52" i="53"/>
  <c r="BQ52" i="53"/>
  <c r="CS50" i="53"/>
  <c r="CH50" i="53"/>
  <c r="BL50" i="53"/>
  <c r="CP49" i="53"/>
  <c r="CE49" i="53"/>
  <c r="BU49" i="53"/>
  <c r="BK49" i="53"/>
  <c r="CW47" i="53"/>
  <c r="CA47" i="53"/>
  <c r="CS46" i="53"/>
  <c r="CI46" i="53"/>
  <c r="BX46" i="53"/>
  <c r="BO46" i="53"/>
  <c r="CQ45" i="53"/>
  <c r="CF45" i="53"/>
  <c r="BV45" i="53"/>
  <c r="BK45" i="53"/>
  <c r="CN44" i="53"/>
  <c r="BS44" i="53"/>
  <c r="CW43" i="53"/>
  <c r="CL43" i="53"/>
  <c r="CB43" i="53"/>
  <c r="BQ43" i="53"/>
  <c r="CV42" i="53"/>
  <c r="CC42" i="53"/>
  <c r="BT42" i="53"/>
  <c r="BJ42" i="53"/>
  <c r="CQ41" i="53"/>
  <c r="CF41" i="53"/>
  <c r="BO41" i="53"/>
  <c r="CU40" i="53"/>
  <c r="CC40" i="53"/>
  <c r="BR40" i="53"/>
  <c r="CO39" i="53"/>
  <c r="CF39" i="53"/>
  <c r="BO39" i="53"/>
  <c r="CN37" i="53"/>
  <c r="CE37" i="53"/>
  <c r="BV37" i="53"/>
  <c r="BM37" i="53"/>
  <c r="CT36" i="53"/>
  <c r="CJ36" i="53"/>
  <c r="BZ36" i="53"/>
  <c r="BQ36" i="53"/>
  <c r="CX35" i="53"/>
  <c r="CN35" i="53"/>
  <c r="BV35" i="53"/>
  <c r="BL35" i="53"/>
  <c r="CI34" i="53"/>
  <c r="BZ34" i="53"/>
  <c r="CW33" i="53"/>
  <c r="CL33" i="53"/>
  <c r="BU33" i="53"/>
  <c r="BK33" i="53"/>
  <c r="CG32" i="53"/>
  <c r="BX32" i="53"/>
  <c r="CO31" i="53"/>
  <c r="CG31" i="53"/>
  <c r="BY31" i="53"/>
  <c r="BQ31" i="53"/>
  <c r="CI30" i="53"/>
  <c r="CA30" i="53"/>
  <c r="BS30" i="53"/>
  <c r="BK30" i="53"/>
  <c r="CV28" i="53"/>
  <c r="CM28" i="53"/>
  <c r="CE28" i="53"/>
  <c r="BO28" i="53"/>
  <c r="CX27" i="53"/>
  <c r="CO27" i="53"/>
  <c r="CG27" i="53"/>
  <c r="BY27" i="53"/>
  <c r="CQ26" i="53"/>
  <c r="CI26" i="53"/>
  <c r="CA26" i="53"/>
  <c r="BS26" i="53"/>
  <c r="BJ26" i="53"/>
  <c r="CU24" i="53"/>
  <c r="CW23" i="53"/>
  <c r="CN23" i="53"/>
  <c r="CF23" i="53"/>
  <c r="BX23" i="53"/>
  <c r="CP22" i="53"/>
  <c r="CH22" i="53"/>
  <c r="BZ22" i="53"/>
  <c r="BR22" i="53"/>
  <c r="BJ22" i="53"/>
  <c r="CS21" i="53"/>
  <c r="CU20" i="53"/>
  <c r="CL20" i="53"/>
  <c r="BV20" i="53"/>
  <c r="BN20" i="53"/>
  <c r="CW19" i="53"/>
  <c r="CN19" i="53"/>
  <c r="CF19" i="53"/>
  <c r="CT16" i="53"/>
  <c r="BV16" i="53"/>
  <c r="BN16" i="53"/>
  <c r="BV87" i="53"/>
  <c r="CS86" i="53"/>
  <c r="CS85" i="53"/>
  <c r="CC84" i="53"/>
  <c r="BM84" i="53"/>
  <c r="CV81" i="53"/>
  <c r="CC81" i="53"/>
  <c r="CO80" i="53"/>
  <c r="CG79" i="53"/>
  <c r="BS79" i="53"/>
  <c r="CJ78" i="53"/>
  <c r="BS78" i="53"/>
  <c r="BU77" i="53"/>
  <c r="CM75" i="53"/>
  <c r="CO74" i="53"/>
  <c r="BY74" i="53"/>
  <c r="CO73" i="53"/>
  <c r="CA73" i="53"/>
  <c r="CQ72" i="53"/>
  <c r="CA72" i="53"/>
  <c r="CS71" i="53"/>
  <c r="CC71" i="53"/>
  <c r="CU56" i="53"/>
  <c r="CW54" i="53"/>
  <c r="CJ54" i="53"/>
  <c r="BV54" i="53"/>
  <c r="BJ54" i="53"/>
  <c r="CM53" i="53"/>
  <c r="BR53" i="53"/>
  <c r="CV52" i="53"/>
  <c r="CA52" i="53"/>
  <c r="CQ50" i="53"/>
  <c r="CG50" i="53"/>
  <c r="BU50" i="53"/>
  <c r="BK50" i="53"/>
  <c r="CO49" i="53"/>
  <c r="BT49" i="53"/>
  <c r="BJ49" i="53"/>
  <c r="CW48" i="53"/>
  <c r="CV47" i="53"/>
  <c r="BX47" i="53"/>
  <c r="BO47" i="53"/>
  <c r="CH46" i="53"/>
  <c r="BM46" i="53"/>
  <c r="CP45" i="53"/>
  <c r="BU45" i="53"/>
  <c r="BJ45" i="53"/>
  <c r="CM44" i="53"/>
  <c r="CC44" i="53"/>
  <c r="BR44" i="53"/>
  <c r="CV43" i="53"/>
  <c r="BZ43" i="53"/>
  <c r="CT42" i="53"/>
  <c r="CB42" i="53"/>
  <c r="BS42" i="53"/>
  <c r="CO41" i="53"/>
  <c r="CE41" i="53"/>
  <c r="BN41" i="53"/>
  <c r="CT40" i="53"/>
  <c r="BZ40" i="53"/>
  <c r="BQ40" i="53"/>
  <c r="CN39" i="53"/>
  <c r="CE39" i="53"/>
  <c r="BL39" i="53"/>
  <c r="CW37" i="53"/>
  <c r="CM37" i="53"/>
  <c r="BU37" i="53"/>
  <c r="BL37" i="53"/>
  <c r="CH36" i="53"/>
  <c r="BY36" i="53"/>
  <c r="CW35" i="53"/>
  <c r="CM35" i="53"/>
  <c r="BT35" i="53"/>
  <c r="BK35" i="53"/>
  <c r="CQ34" i="53"/>
  <c r="CH34" i="53"/>
  <c r="BX34" i="53"/>
  <c r="CU33" i="53"/>
  <c r="CC33" i="53"/>
  <c r="BT33" i="53"/>
  <c r="BJ33" i="53"/>
  <c r="CP32" i="53"/>
  <c r="CF32" i="53"/>
  <c r="BO32" i="53"/>
  <c r="CW31" i="53"/>
  <c r="CN31" i="53"/>
  <c r="CF31" i="53"/>
  <c r="BX31" i="53"/>
  <c r="CP30" i="53"/>
  <c r="CH30" i="53"/>
  <c r="BZ30" i="53"/>
  <c r="BR30" i="53"/>
  <c r="BJ30" i="53"/>
  <c r="CU28" i="53"/>
  <c r="CL28" i="53"/>
  <c r="BV28" i="53"/>
  <c r="BN28" i="53"/>
  <c r="CW27" i="53"/>
  <c r="CN27" i="53"/>
  <c r="CF27" i="53"/>
  <c r="CP26" i="53"/>
  <c r="CH26" i="53"/>
  <c r="BZ26" i="53"/>
  <c r="BQ26" i="53"/>
  <c r="CT24" i="53"/>
  <c r="CV23" i="53"/>
  <c r="CM23" i="53"/>
  <c r="CE23" i="53"/>
  <c r="CX22" i="53"/>
  <c r="CO22" i="53"/>
  <c r="CG22" i="53"/>
  <c r="BY22" i="53"/>
  <c r="BQ22" i="53"/>
  <c r="CT20" i="53"/>
  <c r="CC20" i="53"/>
  <c r="BU20" i="53"/>
  <c r="BM20" i="53"/>
  <c r="CV19" i="53"/>
  <c r="CM19" i="53"/>
  <c r="BO19" i="53"/>
  <c r="CS16" i="53"/>
  <c r="CC16" i="53"/>
  <c r="BU16" i="53"/>
  <c r="BL16" i="53"/>
  <c r="CU15" i="53"/>
  <c r="CL15" i="53"/>
  <c r="BO15" i="53"/>
  <c r="CW14" i="53"/>
  <c r="CN14" i="53"/>
  <c r="CF14" i="53"/>
  <c r="BX14" i="53"/>
  <c r="CH13" i="53"/>
  <c r="BZ13" i="53"/>
  <c r="BR13" i="53"/>
  <c r="BJ13" i="53"/>
  <c r="CV87" i="53"/>
  <c r="BU87" i="53"/>
  <c r="CP86" i="53"/>
  <c r="BO86" i="53"/>
  <c r="BT85" i="53"/>
  <c r="CU84" i="53"/>
  <c r="BZ84" i="53"/>
  <c r="BJ84" i="53"/>
  <c r="BN82" i="53"/>
  <c r="CT81" i="53"/>
  <c r="CM80" i="53"/>
  <c r="BQ80" i="53"/>
  <c r="CF79" i="53"/>
  <c r="BO79" i="53"/>
  <c r="CH78" i="53"/>
  <c r="BR77" i="53"/>
  <c r="CL75" i="53"/>
  <c r="BS75" i="53"/>
  <c r="CN74" i="53"/>
  <c r="BU74" i="53"/>
  <c r="CL73" i="53"/>
  <c r="BU73" i="53"/>
  <c r="CO72" i="53"/>
  <c r="CQ71" i="53"/>
  <c r="BX71" i="53"/>
  <c r="CT54" i="53"/>
  <c r="CF54" i="53"/>
  <c r="BU54" i="53"/>
  <c r="CL53" i="53"/>
  <c r="CB53" i="53"/>
  <c r="BQ53" i="53"/>
  <c r="CU52" i="53"/>
  <c r="BY52" i="53"/>
  <c r="CP50" i="53"/>
  <c r="CE50" i="53"/>
  <c r="BT50" i="53"/>
  <c r="BJ50" i="53"/>
  <c r="CM49" i="53"/>
  <c r="BS49" i="53"/>
  <c r="CV48" i="53"/>
  <c r="CT47" i="53"/>
  <c r="CH47" i="53"/>
  <c r="BN47" i="53"/>
  <c r="CQ46" i="53"/>
  <c r="CF46" i="53"/>
  <c r="BJ46" i="53"/>
  <c r="CN45" i="53"/>
  <c r="BS45" i="53"/>
  <c r="CW44" i="53"/>
  <c r="CA44" i="53"/>
  <c r="CU43" i="53"/>
  <c r="BY43" i="53"/>
  <c r="BN43" i="53"/>
  <c r="CS42" i="53"/>
  <c r="CJ42" i="53"/>
  <c r="CA42" i="53"/>
  <c r="BQ42" i="53"/>
  <c r="CX41" i="53"/>
  <c r="CM41" i="53"/>
  <c r="BV41" i="53"/>
  <c r="BM41" i="53"/>
  <c r="CS40" i="53"/>
  <c r="CI40" i="53"/>
  <c r="BY40" i="53"/>
  <c r="CW39" i="53"/>
  <c r="CM39" i="53"/>
  <c r="BT39" i="53"/>
  <c r="BK39" i="53"/>
  <c r="CV37" i="53"/>
  <c r="CL37" i="53"/>
  <c r="CC37" i="53"/>
  <c r="BT37" i="53"/>
  <c r="BK37" i="53"/>
  <c r="CP36" i="53"/>
  <c r="CG36" i="53"/>
  <c r="BX36" i="53"/>
  <c r="BO36" i="53"/>
  <c r="CV35" i="53"/>
  <c r="CB35" i="53"/>
  <c r="BS35" i="53"/>
  <c r="CP34" i="53"/>
  <c r="CG34" i="53"/>
  <c r="BN34" i="53"/>
  <c r="CT33" i="53"/>
  <c r="CB33" i="53"/>
  <c r="BR33" i="53"/>
  <c r="CN32" i="53"/>
  <c r="CE32" i="53"/>
  <c r="BN32" i="53"/>
  <c r="CV31" i="53"/>
  <c r="CM31" i="53"/>
  <c r="CE31" i="53"/>
  <c r="CX30" i="53"/>
  <c r="CO30" i="53"/>
  <c r="CG30" i="53"/>
  <c r="BY30" i="53"/>
  <c r="BQ30" i="53"/>
  <c r="CT28" i="53"/>
  <c r="CC28" i="53"/>
  <c r="BU28" i="53"/>
  <c r="BM28" i="53"/>
  <c r="CV27" i="53"/>
  <c r="CM27" i="53"/>
  <c r="BO27" i="53"/>
  <c r="CX26" i="53"/>
  <c r="CO26" i="53"/>
  <c r="CG26" i="53"/>
  <c r="BX26" i="53"/>
  <c r="CS24" i="53"/>
  <c r="CU23" i="53"/>
  <c r="CL23" i="53"/>
  <c r="BO23" i="53"/>
  <c r="CW22" i="53"/>
  <c r="CN22" i="53"/>
  <c r="CF22" i="53"/>
  <c r="BX22" i="53"/>
  <c r="CJ20" i="53"/>
  <c r="CB20" i="53"/>
  <c r="BT20" i="53"/>
  <c r="BL20" i="53"/>
  <c r="CU19" i="53"/>
  <c r="BV19" i="53"/>
  <c r="BN19" i="53"/>
  <c r="CJ16" i="53"/>
  <c r="CB16" i="53"/>
  <c r="BS16" i="53"/>
  <c r="BK16" i="53"/>
  <c r="CT15" i="53"/>
  <c r="BV15" i="53"/>
  <c r="BM15" i="53"/>
  <c r="CV14" i="53"/>
  <c r="CM14" i="53"/>
  <c r="CE14" i="53"/>
  <c r="CX13" i="53"/>
  <c r="CG13" i="53"/>
  <c r="BY13" i="53"/>
  <c r="BQ13" i="53"/>
  <c r="CA107" i="53"/>
  <c r="CJ87" i="53"/>
  <c r="CJ86" i="53"/>
  <c r="BY84" i="53"/>
  <c r="CO82" i="53"/>
  <c r="CT80" i="53"/>
  <c r="BN80" i="53"/>
  <c r="CL79" i="53"/>
  <c r="BJ79" i="53"/>
  <c r="CG78" i="53"/>
  <c r="BJ77" i="53"/>
  <c r="CC75" i="53"/>
  <c r="CA74" i="53"/>
  <c r="BT73" i="53"/>
  <c r="CW72" i="53"/>
  <c r="BU72" i="53"/>
  <c r="CU71" i="53"/>
  <c r="BR71" i="53"/>
  <c r="BX57" i="53"/>
  <c r="T51" i="85" s="1"/>
  <c r="CB107" i="53"/>
  <c r="CG87" i="53"/>
  <c r="CC86" i="53"/>
  <c r="BX84" i="53"/>
  <c r="CC82" i="53"/>
  <c r="BV81" i="53"/>
  <c r="CS80" i="53"/>
  <c r="BM80" i="53"/>
  <c r="CE79" i="53"/>
  <c r="CA78" i="53"/>
  <c r="CB77" i="53"/>
  <c r="CX75" i="53"/>
  <c r="CA75" i="53"/>
  <c r="BR74" i="53"/>
  <c r="CT73" i="53"/>
  <c r="BS73" i="53"/>
  <c r="CS72" i="53"/>
  <c r="CM71" i="53"/>
  <c r="BQ71" i="53"/>
  <c r="CX58" i="53"/>
  <c r="CL57" i="53"/>
  <c r="T106" i="85" s="1"/>
  <c r="CE54" i="53"/>
  <c r="BN54" i="53"/>
  <c r="CT53" i="53"/>
  <c r="CE53" i="53"/>
  <c r="BN53" i="53"/>
  <c r="CT52" i="53"/>
  <c r="BL52" i="53"/>
  <c r="CV50" i="53"/>
  <c r="BO50" i="53"/>
  <c r="CU49" i="53"/>
  <c r="BM49" i="53"/>
  <c r="CS48" i="53"/>
  <c r="CQ47" i="53"/>
  <c r="BJ47" i="53"/>
  <c r="CU46" i="53"/>
  <c r="CB46" i="53"/>
  <c r="CT45" i="53"/>
  <c r="CB45" i="53"/>
  <c r="BL45" i="53"/>
  <c r="CS44" i="53"/>
  <c r="BZ44" i="53"/>
  <c r="BL44" i="53"/>
  <c r="CS43" i="53"/>
  <c r="BJ43" i="53"/>
  <c r="BO42" i="53"/>
  <c r="BU41" i="53"/>
  <c r="CP40" i="53"/>
  <c r="BN40" i="53"/>
  <c r="CV39" i="53"/>
  <c r="CH39" i="53"/>
  <c r="BR39" i="53"/>
  <c r="CT37" i="53"/>
  <c r="CF37" i="53"/>
  <c r="CL36" i="53"/>
  <c r="BV36" i="53"/>
  <c r="CQ35" i="53"/>
  <c r="CA35" i="53"/>
  <c r="BO35" i="53"/>
  <c r="CX34" i="53"/>
  <c r="CJ34" i="53"/>
  <c r="BT34" i="53"/>
  <c r="CP33" i="53"/>
  <c r="BY33" i="53"/>
  <c r="BM33" i="53"/>
  <c r="CU32" i="53"/>
  <c r="BQ32" i="53"/>
  <c r="CQ31" i="53"/>
  <c r="CC31" i="53"/>
  <c r="BO31" i="53"/>
  <c r="CM30" i="53"/>
  <c r="CB30" i="53"/>
  <c r="BN30" i="53"/>
  <c r="CJ28" i="53"/>
  <c r="BY28" i="53"/>
  <c r="BK28" i="53"/>
  <c r="CJ27" i="53"/>
  <c r="BV27" i="53"/>
  <c r="BK27" i="53"/>
  <c r="CV26" i="53"/>
  <c r="CJ26" i="53"/>
  <c r="BV26" i="53"/>
  <c r="BR23" i="53"/>
  <c r="CN20" i="53"/>
  <c r="BZ20" i="53"/>
  <c r="BO20" i="53"/>
  <c r="BZ19" i="53"/>
  <c r="BL19" i="53"/>
  <c r="CV16" i="53"/>
  <c r="CG16" i="53"/>
  <c r="CV15" i="53"/>
  <c r="CJ15" i="53"/>
  <c r="BY15" i="53"/>
  <c r="CG14" i="53"/>
  <c r="BU14" i="53"/>
  <c r="BK14" i="53"/>
  <c r="CC13" i="53"/>
  <c r="BS13" i="53"/>
  <c r="BJ107" i="53"/>
  <c r="CB86" i="53"/>
  <c r="CJ85" i="53"/>
  <c r="CB82" i="53"/>
  <c r="BS81" i="53"/>
  <c r="CB79" i="53"/>
  <c r="BZ78" i="53"/>
  <c r="CX77" i="53"/>
  <c r="CA77" i="53"/>
  <c r="CW75" i="53"/>
  <c r="BR75" i="53"/>
  <c r="CR74" i="53"/>
  <c r="CS73" i="53"/>
  <c r="BQ73" i="53"/>
  <c r="CM72" i="53"/>
  <c r="CW58" i="53"/>
  <c r="BJ58" i="53"/>
  <c r="T10" i="85" s="1"/>
  <c r="CX56" i="53"/>
  <c r="BM54" i="53"/>
  <c r="CS53" i="53"/>
  <c r="BZ53" i="53"/>
  <c r="BL53" i="53"/>
  <c r="CS52" i="53"/>
  <c r="BK52" i="53"/>
  <c r="CT50" i="53"/>
  <c r="CR49" i="53"/>
  <c r="BL49" i="53"/>
  <c r="CP47" i="53"/>
  <c r="CC47" i="53"/>
  <c r="CP46" i="53"/>
  <c r="CA46" i="53"/>
  <c r="CS45" i="53"/>
  <c r="BZ45" i="53"/>
  <c r="BX44" i="53"/>
  <c r="BJ44" i="53"/>
  <c r="CO43" i="53"/>
  <c r="CQ42" i="53"/>
  <c r="BN42" i="53"/>
  <c r="CW41" i="53"/>
  <c r="CJ41" i="53"/>
  <c r="BT41" i="53"/>
  <c r="CN40" i="53"/>
  <c r="BX40" i="53"/>
  <c r="BL40" i="53"/>
  <c r="CU39" i="53"/>
  <c r="CG39" i="53"/>
  <c r="BQ39" i="53"/>
  <c r="CS37" i="53"/>
  <c r="CB37" i="53"/>
  <c r="BO37" i="53"/>
  <c r="CX36" i="53"/>
  <c r="BU36" i="53"/>
  <c r="CP35" i="53"/>
  <c r="BZ35" i="53"/>
  <c r="BN35" i="53"/>
  <c r="CW34" i="53"/>
  <c r="CE34" i="53"/>
  <c r="BS34" i="53"/>
  <c r="CM33" i="53"/>
  <c r="CT32" i="53"/>
  <c r="CL31" i="53"/>
  <c r="CA31" i="53"/>
  <c r="BM31" i="53"/>
  <c r="CL30" i="53"/>
  <c r="BX30" i="53"/>
  <c r="BM30" i="53"/>
  <c r="CX28" i="53"/>
  <c r="CI28" i="53"/>
  <c r="BX28" i="53"/>
  <c r="BJ28" i="53"/>
  <c r="CU27" i="53"/>
  <c r="CI27" i="53"/>
  <c r="BU27" i="53"/>
  <c r="CT26" i="53"/>
  <c r="CE26" i="53"/>
  <c r="BU26" i="53"/>
  <c r="CQ23" i="53"/>
  <c r="CC23" i="53"/>
  <c r="BQ23" i="53"/>
  <c r="CM22" i="53"/>
  <c r="CB22" i="53"/>
  <c r="BN22" i="53"/>
  <c r="CM20" i="53"/>
  <c r="BY20" i="53"/>
  <c r="BK20" i="53"/>
  <c r="CJ19" i="53"/>
  <c r="BY19" i="53"/>
  <c r="BK19" i="53"/>
  <c r="CU16" i="53"/>
  <c r="CF16" i="53"/>
  <c r="BR16" i="53"/>
  <c r="CS15" i="53"/>
  <c r="CH15" i="53"/>
  <c r="BX15" i="53"/>
  <c r="BL15" i="53"/>
  <c r="CP14" i="53"/>
  <c r="BT14" i="53"/>
  <c r="BJ14" i="53"/>
  <c r="CW13" i="53"/>
  <c r="CL13" i="53"/>
  <c r="CB13" i="53"/>
  <c r="BN87" i="53"/>
  <c r="CA86" i="53"/>
  <c r="CI85" i="53"/>
  <c r="CT84" i="53"/>
  <c r="CA82" i="53"/>
  <c r="CS81" i="53"/>
  <c r="CE80" i="53"/>
  <c r="BX79" i="53"/>
  <c r="CV78" i="53"/>
  <c r="BY78" i="53"/>
  <c r="CV77" i="53"/>
  <c r="CT75" i="53"/>
  <c r="BQ75" i="53"/>
  <c r="CQ74" i="53"/>
  <c r="BP74" i="53"/>
  <c r="CI72" i="53"/>
  <c r="BO72" i="53"/>
  <c r="CI71" i="53"/>
  <c r="CU58" i="53"/>
  <c r="BX58" i="53"/>
  <c r="T52" i="85" s="1"/>
  <c r="CW56" i="53"/>
  <c r="CC54" i="53"/>
  <c r="BY53" i="53"/>
  <c r="BK53" i="53"/>
  <c r="BX52" i="53"/>
  <c r="CN50" i="53"/>
  <c r="CQ49" i="53"/>
  <c r="CO47" i="53"/>
  <c r="CO46" i="53"/>
  <c r="BY46" i="53"/>
  <c r="CL45" i="53"/>
  <c r="BX45" i="53"/>
  <c r="CQ44" i="53"/>
  <c r="CN43" i="53"/>
  <c r="CP42" i="53"/>
  <c r="BZ42" i="53"/>
  <c r="BM42" i="53"/>
  <c r="CU41" i="53"/>
  <c r="CI41" i="53"/>
  <c r="BR41" i="53"/>
  <c r="CM40" i="53"/>
  <c r="BJ40" i="53"/>
  <c r="CS39" i="53"/>
  <c r="CC39" i="53"/>
  <c r="CQ37" i="53"/>
  <c r="CA37" i="53"/>
  <c r="BN37" i="53"/>
  <c r="CW36" i="53"/>
  <c r="CF36" i="53"/>
  <c r="BT36" i="53"/>
  <c r="CO35" i="53"/>
  <c r="BY35" i="53"/>
  <c r="CT34" i="53"/>
  <c r="BQ34" i="53"/>
  <c r="CJ33" i="53"/>
  <c r="CS32" i="53"/>
  <c r="CC32" i="53"/>
  <c r="BL32" i="53"/>
  <c r="BZ31" i="53"/>
  <c r="BL31" i="53"/>
  <c r="CW30" i="53"/>
  <c r="BL30" i="53"/>
  <c r="CW28" i="53"/>
  <c r="CH28" i="53"/>
  <c r="BT28" i="53"/>
  <c r="CS27" i="53"/>
  <c r="CH27" i="53"/>
  <c r="BT27" i="53"/>
  <c r="CS26" i="53"/>
  <c r="BT26" i="53"/>
  <c r="CO23" i="53"/>
  <c r="CA23" i="53"/>
  <c r="BM23" i="53"/>
  <c r="CL22" i="53"/>
  <c r="CA22" i="53"/>
  <c r="BM22" i="53"/>
  <c r="CX21" i="53"/>
  <c r="CX20" i="53"/>
  <c r="CI20" i="53"/>
  <c r="BX20" i="53"/>
  <c r="BJ20" i="53"/>
  <c r="CX19" i="53"/>
  <c r="CI19" i="53"/>
  <c r="BU19" i="53"/>
  <c r="CQ16" i="53"/>
  <c r="CE16" i="53"/>
  <c r="BQ16" i="53"/>
  <c r="CG15" i="53"/>
  <c r="BK15" i="53"/>
  <c r="CO14" i="53"/>
  <c r="BS14" i="53"/>
  <c r="CV13" i="53"/>
  <c r="CA13" i="53"/>
  <c r="CS92" i="53"/>
  <c r="BN86" i="53"/>
  <c r="CC85" i="53"/>
  <c r="CP84" i="53"/>
  <c r="BO84" i="53"/>
  <c r="BZ82" i="53"/>
  <c r="BO81" i="53"/>
  <c r="CX79" i="53"/>
  <c r="CT78" i="53"/>
  <c r="BX78" i="53"/>
  <c r="CU77" i="53"/>
  <c r="BN77" i="53"/>
  <c r="CO75" i="53"/>
  <c r="BN75" i="53"/>
  <c r="CJ74" i="53"/>
  <c r="BO74" i="53"/>
  <c r="CI73" i="53"/>
  <c r="BM73" i="53"/>
  <c r="CF72" i="53"/>
  <c r="CG71" i="53"/>
  <c r="CS54" i="53"/>
  <c r="CB54" i="53"/>
  <c r="CQ53" i="53"/>
  <c r="CN52" i="53"/>
  <c r="CM50" i="53"/>
  <c r="CL49" i="53"/>
  <c r="BW49" i="53"/>
  <c r="CN47" i="53"/>
  <c r="BV47" i="53"/>
  <c r="CL46" i="53"/>
  <c r="BT46" i="53"/>
  <c r="CM43" i="53"/>
  <c r="BU43" i="53"/>
  <c r="CO42" i="53"/>
  <c r="BX42" i="53"/>
  <c r="BL42" i="53"/>
  <c r="CT41" i="53"/>
  <c r="CL40" i="53"/>
  <c r="CA39" i="53"/>
  <c r="CP37" i="53"/>
  <c r="BZ37" i="53"/>
  <c r="BJ37" i="53"/>
  <c r="CV36" i="53"/>
  <c r="CE36" i="53"/>
  <c r="BR36" i="53"/>
  <c r="CJ35" i="53"/>
  <c r="CS34" i="53"/>
  <c r="CC34" i="53"/>
  <c r="BM34" i="53"/>
  <c r="CI33" i="53"/>
  <c r="BV33" i="53"/>
  <c r="CM32" i="53"/>
  <c r="CB32" i="53"/>
  <c r="BK32" i="53"/>
  <c r="BW31" i="53"/>
  <c r="BK31" i="53"/>
  <c r="CV30" i="53"/>
  <c r="CG28" i="53"/>
  <c r="BS28" i="53"/>
  <c r="BS27" i="53"/>
  <c r="BZ23" i="53"/>
  <c r="BL23" i="53"/>
  <c r="BL22" i="53"/>
  <c r="CW21" i="53"/>
  <c r="CW20" i="53"/>
  <c r="CH20" i="53"/>
  <c r="CS19" i="53"/>
  <c r="CH19" i="53"/>
  <c r="BT19" i="53"/>
  <c r="CP16" i="53"/>
  <c r="CQ15" i="53"/>
  <c r="CF15" i="53"/>
  <c r="BT15" i="53"/>
  <c r="BJ15" i="53"/>
  <c r="CL14" i="53"/>
  <c r="CB14" i="53"/>
  <c r="BR14" i="53"/>
  <c r="CU13" i="53"/>
  <c r="CJ13" i="53"/>
  <c r="BX13" i="53"/>
  <c r="BX85" i="53"/>
  <c r="CM84" i="53"/>
  <c r="CU82" i="53"/>
  <c r="BU82" i="53"/>
  <c r="CV79" i="53"/>
  <c r="CS78" i="53"/>
  <c r="CO77" i="53"/>
  <c r="BM77" i="53"/>
  <c r="BM75" i="53"/>
  <c r="CG74" i="53"/>
  <c r="BM74" i="53"/>
  <c r="CE72" i="53"/>
  <c r="CL58" i="53"/>
  <c r="T107" i="85" s="1"/>
  <c r="CP54" i="53"/>
  <c r="CA54" i="53"/>
  <c r="CM52" i="53"/>
  <c r="BV52" i="53"/>
  <c r="BS50" i="53"/>
  <c r="CK49" i="53"/>
  <c r="BV49" i="53"/>
  <c r="CL47" i="53"/>
  <c r="BU47" i="53"/>
  <c r="BR46" i="53"/>
  <c r="BR45" i="53"/>
  <c r="CJ44" i="53"/>
  <c r="BV44" i="53"/>
  <c r="CH43" i="53"/>
  <c r="BT43" i="53"/>
  <c r="CL42" i="53"/>
  <c r="CS41" i="53"/>
  <c r="CC41" i="53"/>
  <c r="CG40" i="53"/>
  <c r="BV40" i="53"/>
  <c r="CQ39" i="53"/>
  <c r="BZ39" i="53"/>
  <c r="BJ39" i="53"/>
  <c r="BX37" i="53"/>
  <c r="CU36" i="53"/>
  <c r="BN36" i="53"/>
  <c r="CI35" i="53"/>
  <c r="CO34" i="53"/>
  <c r="CB34" i="53"/>
  <c r="BL34" i="53"/>
  <c r="CH33" i="53"/>
  <c r="BQ33" i="53"/>
  <c r="CL32" i="53"/>
  <c r="BY32" i="53"/>
  <c r="BJ32" i="53"/>
  <c r="CU31" i="53"/>
  <c r="CJ31" i="53"/>
  <c r="BV31" i="53"/>
  <c r="BJ31" i="53"/>
  <c r="CU30" i="53"/>
  <c r="CF30" i="53"/>
  <c r="BU30" i="53"/>
  <c r="CQ28" i="53"/>
  <c r="CF28" i="53"/>
  <c r="BR28" i="53"/>
  <c r="CQ27" i="53"/>
  <c r="CC27" i="53"/>
  <c r="BR27" i="53"/>
  <c r="CN26" i="53"/>
  <c r="CC26" i="53"/>
  <c r="BO26" i="53"/>
  <c r="BY23" i="53"/>
  <c r="BK23" i="53"/>
  <c r="CV22" i="53"/>
  <c r="BK22" i="53"/>
  <c r="CV21" i="53"/>
  <c r="CV20" i="53"/>
  <c r="CG20" i="53"/>
  <c r="BS20" i="53"/>
  <c r="CG19" i="53"/>
  <c r="BS19" i="53"/>
  <c r="CN16" i="53"/>
  <c r="BZ16" i="53"/>
  <c r="CO15" i="53"/>
  <c r="CE15" i="53"/>
  <c r="BS15" i="53"/>
  <c r="CX14" i="53"/>
  <c r="CA14" i="53"/>
  <c r="BQ14" i="53"/>
  <c r="CT13" i="53"/>
  <c r="CI13" i="53"/>
  <c r="BN107" i="53"/>
  <c r="BR85" i="53"/>
  <c r="CL84" i="53"/>
  <c r="CQ82" i="53"/>
  <c r="BK82" i="53"/>
  <c r="CJ81" i="53"/>
  <c r="BX80" i="53"/>
  <c r="CQ79" i="53"/>
  <c r="BN79" i="53"/>
  <c r="CO78" i="53"/>
  <c r="BM78" i="53"/>
  <c r="CM77" i="53"/>
  <c r="BL77" i="53"/>
  <c r="CE75" i="53"/>
  <c r="BK75" i="53"/>
  <c r="CF74" i="53"/>
  <c r="CD73" i="53"/>
  <c r="BV71" i="53"/>
  <c r="CV57" i="53"/>
  <c r="BJ57" i="53"/>
  <c r="T9" i="85" s="1"/>
  <c r="CO54" i="53"/>
  <c r="BT54" i="53"/>
  <c r="CJ53" i="53"/>
  <c r="BV53" i="53"/>
  <c r="CJ52" i="53"/>
  <c r="BT52" i="53"/>
  <c r="CJ50" i="53"/>
  <c r="BR50" i="53"/>
  <c r="CI49" i="53"/>
  <c r="BQ49" i="53"/>
  <c r="CG47" i="53"/>
  <c r="BS47" i="53"/>
  <c r="CJ46" i="53"/>
  <c r="BQ46" i="53"/>
  <c r="CJ45" i="53"/>
  <c r="BQ45" i="53"/>
  <c r="CH44" i="53"/>
  <c r="CF43" i="53"/>
  <c r="BR43" i="53"/>
  <c r="CI42" i="53"/>
  <c r="BV42" i="53"/>
  <c r="CB41" i="53"/>
  <c r="BK41" i="53"/>
  <c r="CX40" i="53"/>
  <c r="CF40" i="53"/>
  <c r="BU40" i="53"/>
  <c r="CL39" i="53"/>
  <c r="BY39" i="53"/>
  <c r="CJ37" i="53"/>
  <c r="CO36" i="53"/>
  <c r="CC36" i="53"/>
  <c r="BM36" i="53"/>
  <c r="CH35" i="53"/>
  <c r="BR35" i="53"/>
  <c r="CN34" i="53"/>
  <c r="CA34" i="53"/>
  <c r="BJ34" i="53"/>
  <c r="CS33" i="53"/>
  <c r="CE33" i="53"/>
  <c r="BV32" i="53"/>
  <c r="CT31" i="53"/>
  <c r="CH31" i="53"/>
  <c r="BT31" i="53"/>
  <c r="CT30" i="53"/>
  <c r="CE30" i="53"/>
  <c r="BT30" i="53"/>
  <c r="CP28" i="53"/>
  <c r="CB28" i="53"/>
  <c r="BQ28" i="53"/>
  <c r="CP27" i="53"/>
  <c r="CB27" i="53"/>
  <c r="BN27" i="53"/>
  <c r="CL26" i="53"/>
  <c r="CB26" i="53"/>
  <c r="BN26" i="53"/>
  <c r="CJ23" i="53"/>
  <c r="BV23" i="53"/>
  <c r="CP82" i="53"/>
  <c r="BJ78" i="53"/>
  <c r="BQ54" i="53"/>
  <c r="CU48" i="53"/>
  <c r="CT44" i="53"/>
  <c r="CH37" i="53"/>
  <c r="CV32" i="53"/>
  <c r="CN30" i="53"/>
  <c r="CN28" i="53"/>
  <c r="CG23" i="53"/>
  <c r="CS22" i="53"/>
  <c r="CO20" i="53"/>
  <c r="BR19" i="53"/>
  <c r="CI16" i="53"/>
  <c r="BR15" i="53"/>
  <c r="CS14" i="53"/>
  <c r="BM14" i="53"/>
  <c r="CF13" i="53"/>
  <c r="CG77" i="53"/>
  <c r="CC73" i="53"/>
  <c r="CG52" i="53"/>
  <c r="CX49" i="53"/>
  <c r="BQ47" i="53"/>
  <c r="CX45" i="53"/>
  <c r="CF44" i="53"/>
  <c r="BM43" i="53"/>
  <c r="CV40" i="53"/>
  <c r="BS37" i="53"/>
  <c r="BL36" i="53"/>
  <c r="CA28" i="53"/>
  <c r="CA27" i="53"/>
  <c r="BT23" i="53"/>
  <c r="CI22" i="53"/>
  <c r="CF20" i="53"/>
  <c r="BY16" i="53"/>
  <c r="CW15" i="53"/>
  <c r="BQ15" i="53"/>
  <c r="BL14" i="53"/>
  <c r="CE13" i="53"/>
  <c r="CO86" i="53"/>
  <c r="CI81" i="53"/>
  <c r="BK77" i="53"/>
  <c r="CV53" i="53"/>
  <c r="CE52" i="53"/>
  <c r="CV49" i="53"/>
  <c r="BM47" i="53"/>
  <c r="CU45" i="53"/>
  <c r="CE44" i="53"/>
  <c r="BL43" i="53"/>
  <c r="CQ40" i="53"/>
  <c r="CJ39" i="53"/>
  <c r="BR37" i="53"/>
  <c r="BJ36" i="53"/>
  <c r="CQ33" i="53"/>
  <c r="CJ32" i="53"/>
  <c r="CD31" i="53"/>
  <c r="BZ28" i="53"/>
  <c r="BZ27" i="53"/>
  <c r="BS23" i="53"/>
  <c r="CE22" i="53"/>
  <c r="CU21" i="53"/>
  <c r="CE20" i="53"/>
  <c r="CQ19" i="53"/>
  <c r="BM19" i="53"/>
  <c r="BX16" i="53"/>
  <c r="CN15" i="53"/>
  <c r="CI14" i="53"/>
  <c r="BV72" i="53"/>
  <c r="CI53" i="53"/>
  <c r="BS52" i="53"/>
  <c r="CX50" i="53"/>
  <c r="CH49" i="53"/>
  <c r="CG45" i="53"/>
  <c r="BO44" i="53"/>
  <c r="CL41" i="53"/>
  <c r="CE40" i="53"/>
  <c r="BX39" i="53"/>
  <c r="CU35" i="53"/>
  <c r="BU32" i="53"/>
  <c r="BS31" i="53"/>
  <c r="BM27" i="53"/>
  <c r="BM26" i="53"/>
  <c r="BJ23" i="53"/>
  <c r="CT21" i="53"/>
  <c r="CA20" i="53"/>
  <c r="CP19" i="53"/>
  <c r="CM15" i="53"/>
  <c r="CH14" i="53"/>
  <c r="BV13" i="53"/>
  <c r="BJ85" i="53"/>
  <c r="BO80" i="53"/>
  <c r="CV71" i="53"/>
  <c r="CU57" i="53"/>
  <c r="CG53" i="53"/>
  <c r="BM52" i="53"/>
  <c r="CW50" i="53"/>
  <c r="CG49" i="53"/>
  <c r="CW46" i="53"/>
  <c r="CC45" i="53"/>
  <c r="BM44" i="53"/>
  <c r="CX42" i="53"/>
  <c r="BS39" i="53"/>
  <c r="CA33" i="53"/>
  <c r="BS32" i="53"/>
  <c r="BR31" i="53"/>
  <c r="BL28" i="53"/>
  <c r="BL27" i="53"/>
  <c r="BL26" i="53"/>
  <c r="BU22" i="53"/>
  <c r="BR20" i="53"/>
  <c r="CO19" i="53"/>
  <c r="BO16" i="53"/>
  <c r="BZ14" i="53"/>
  <c r="BU13" i="53"/>
  <c r="CM79" i="53"/>
  <c r="BU71" i="53"/>
  <c r="CM54" i="53"/>
  <c r="CI50" i="53"/>
  <c r="BO49" i="53"/>
  <c r="CE46" i="53"/>
  <c r="BO45" i="53"/>
  <c r="CX43" i="53"/>
  <c r="CH42" i="53"/>
  <c r="CA41" i="53"/>
  <c r="CN36" i="53"/>
  <c r="CG35" i="53"/>
  <c r="BV34" i="53"/>
  <c r="BO33" i="53"/>
  <c r="CX24" i="53"/>
  <c r="CT23" i="53"/>
  <c r="BT22" i="53"/>
  <c r="BQ20" i="53"/>
  <c r="CC19" i="53"/>
  <c r="CX16" i="53"/>
  <c r="BJ16" i="53"/>
  <c r="CC15" i="53"/>
  <c r="BY14" i="53"/>
  <c r="CS13" i="53"/>
  <c r="BT13" i="53"/>
  <c r="BK79" i="53"/>
  <c r="BO53" i="53"/>
  <c r="BN49" i="53"/>
  <c r="CX47" i="53"/>
  <c r="CC46" i="53"/>
  <c r="BN45" i="53"/>
  <c r="CT43" i="53"/>
  <c r="CG42" i="53"/>
  <c r="BX41" i="53"/>
  <c r="BO40" i="53"/>
  <c r="CU37" i="53"/>
  <c r="CM36" i="53"/>
  <c r="CF35" i="53"/>
  <c r="BU34" i="53"/>
  <c r="BN33" i="53"/>
  <c r="CW26" i="53"/>
  <c r="CV24" i="53"/>
  <c r="CS23" i="53"/>
  <c r="CU22" i="53"/>
  <c r="BS22" i="53"/>
  <c r="CQ20" i="53"/>
  <c r="CB19" i="53"/>
  <c r="CM16" i="53"/>
  <c r="CA15" i="53"/>
  <c r="CU14" i="53"/>
  <c r="BX107" i="53"/>
  <c r="BR54" i="53"/>
  <c r="BQ50" i="53"/>
  <c r="CE47" i="53"/>
  <c r="CU44" i="53"/>
  <c r="CE43" i="53"/>
  <c r="BU42" i="53"/>
  <c r="BJ41" i="53"/>
  <c r="CI37" i="53"/>
  <c r="CB36" i="53"/>
  <c r="CX32" i="53"/>
  <c r="CS31" i="53"/>
  <c r="CS30" i="53"/>
  <c r="CO28" i="53"/>
  <c r="CH23" i="53"/>
  <c r="CT22" i="53"/>
  <c r="CP20" i="53"/>
  <c r="CA19" i="53"/>
  <c r="CL16" i="53"/>
  <c r="BZ15" i="53"/>
  <c r="CT14" i="53"/>
  <c r="BN14" i="53"/>
  <c r="BK153" i="62"/>
  <c r="BO147" i="62"/>
  <c r="AZ144" i="62"/>
  <c r="BN140" i="62"/>
  <c r="BN135" i="62"/>
  <c r="CA131" i="62"/>
  <c r="BE127" i="62"/>
  <c r="CC123" i="62"/>
  <c r="AY117" i="62"/>
  <c r="BK114" i="62"/>
  <c r="BG58" i="62"/>
  <c r="BD56" i="62"/>
  <c r="CC54" i="62"/>
  <c r="BM53" i="62"/>
  <c r="BV51" i="62"/>
  <c r="BS49" i="62"/>
  <c r="BL48" i="62"/>
  <c r="CB46" i="62"/>
  <c r="AY44" i="62"/>
  <c r="BN42" i="62"/>
  <c r="BE41" i="62"/>
  <c r="AX40" i="62"/>
  <c r="BY38" i="62"/>
  <c r="BL37" i="62"/>
  <c r="CC35" i="62"/>
  <c r="BM33" i="62"/>
  <c r="BW29" i="62"/>
  <c r="BW28" i="62"/>
  <c r="BK27" i="62"/>
  <c r="CD24" i="62"/>
  <c r="BW23" i="62"/>
  <c r="BF21" i="62"/>
  <c r="BU19" i="62"/>
  <c r="BE17" i="62"/>
  <c r="AW16" i="62"/>
  <c r="BO13" i="62"/>
  <c r="BV150" i="62"/>
  <c r="BP142" i="62"/>
  <c r="CD134" i="62"/>
  <c r="CD125" i="62"/>
  <c r="BM119" i="62"/>
  <c r="CB59" i="62"/>
  <c r="BW57" i="62"/>
  <c r="CA52" i="62"/>
  <c r="BL51" i="62"/>
  <c r="BW47" i="62"/>
  <c r="BE43" i="62"/>
  <c r="BW40" i="62"/>
  <c r="BE38" i="62"/>
  <c r="BM35" i="62"/>
  <c r="BW32" i="62"/>
  <c r="CC26" i="62"/>
  <c r="BO24" i="62"/>
  <c r="BU16" i="62"/>
  <c r="BE13" i="62"/>
  <c r="AW146" i="62"/>
  <c r="BA129" i="62"/>
  <c r="CC125" i="62"/>
  <c r="BL119" i="62"/>
  <c r="BP59" i="62"/>
  <c r="BP52" i="62"/>
  <c r="BV47" i="62"/>
  <c r="CC41" i="62"/>
  <c r="BW36" i="62"/>
  <c r="AY29" i="62"/>
  <c r="AX152" i="62"/>
  <c r="BH147" i="62"/>
  <c r="BZ143" i="62"/>
  <c r="BE139" i="62"/>
  <c r="AY135" i="62"/>
  <c r="BG130" i="62"/>
  <c r="BZ123" i="62"/>
  <c r="BS119" i="62"/>
  <c r="AX117" i="62"/>
  <c r="BE111" i="62"/>
  <c r="CD57" i="62"/>
  <c r="BW55" i="62"/>
  <c r="BU54" i="62"/>
  <c r="AW53" i="62"/>
  <c r="BU51" i="62"/>
  <c r="BR49" i="62"/>
  <c r="BK48" i="62"/>
  <c r="BN46" i="62"/>
  <c r="BV43" i="62"/>
  <c r="BM42" i="62"/>
  <c r="BD41" i="62"/>
  <c r="AW40" i="62"/>
  <c r="BS38" i="62"/>
  <c r="BF37" i="62"/>
  <c r="CB35" i="62"/>
  <c r="BK33" i="62"/>
  <c r="BV29" i="62"/>
  <c r="BO28" i="62"/>
  <c r="AW27" i="62"/>
  <c r="CC24" i="62"/>
  <c r="BV23" i="62"/>
  <c r="BE21" i="62"/>
  <c r="BT19" i="62"/>
  <c r="BD17" i="62"/>
  <c r="BY14" i="62"/>
  <c r="BN13" i="62"/>
  <c r="BF146" i="62"/>
  <c r="BL138" i="62"/>
  <c r="BE130" i="62"/>
  <c r="BR122" i="62"/>
  <c r="BY116" i="62"/>
  <c r="BY112" i="62"/>
  <c r="BP55" i="62"/>
  <c r="BI54" i="62"/>
  <c r="BD49" i="62"/>
  <c r="BL46" i="62"/>
  <c r="AW42" i="62"/>
  <c r="BO39" i="62"/>
  <c r="BY36" i="62"/>
  <c r="BM29" i="62"/>
  <c r="BB28" i="62"/>
  <c r="BR23" i="62"/>
  <c r="CB20" i="62"/>
  <c r="BM14" i="62"/>
  <c r="BV149" i="62"/>
  <c r="BA142" i="62"/>
  <c r="BW133" i="62"/>
  <c r="BH122" i="62"/>
  <c r="BB57" i="62"/>
  <c r="BK55" i="62"/>
  <c r="CD48" i="62"/>
  <c r="BD43" i="62"/>
  <c r="BN39" i="62"/>
  <c r="BL35" i="62"/>
  <c r="BE151" i="62"/>
  <c r="BG147" i="62"/>
  <c r="BV138" i="62"/>
  <c r="AX135" i="62"/>
  <c r="BF130" i="62"/>
  <c r="AW127" i="62"/>
  <c r="AX123" i="62"/>
  <c r="BN119" i="62"/>
  <c r="BZ116" i="62"/>
  <c r="BY113" i="62"/>
  <c r="CC59" i="62"/>
  <c r="CA57" i="62"/>
  <c r="BV55" i="62"/>
  <c r="BM54" i="62"/>
  <c r="CB52" i="62"/>
  <c r="BT51" i="62"/>
  <c r="BE49" i="62"/>
  <c r="BE48" i="62"/>
  <c r="BM46" i="62"/>
  <c r="BU43" i="62"/>
  <c r="AX42" i="62"/>
  <c r="BA41" i="62"/>
  <c r="CA39" i="62"/>
  <c r="BM38" i="62"/>
  <c r="BA37" i="62"/>
  <c r="BO35" i="62"/>
  <c r="AW33" i="62"/>
  <c r="BN29" i="62"/>
  <c r="BG28" i="62"/>
  <c r="CD26" i="62"/>
  <c r="CB24" i="62"/>
  <c r="BS23" i="62"/>
  <c r="BD21" i="62"/>
  <c r="BG19" i="62"/>
  <c r="BB17" i="62"/>
  <c r="BU14" i="62"/>
  <c r="BF13" i="62"/>
  <c r="BF19" i="62"/>
  <c r="BR115" i="62"/>
  <c r="BB54" i="62"/>
  <c r="BF51" i="62"/>
  <c r="BK46" i="62"/>
  <c r="BU40" i="62"/>
  <c r="AW38" i="62"/>
  <c r="BV32" i="62"/>
  <c r="BL16" i="62"/>
  <c r="BO20" i="62"/>
  <c r="BM24" i="62"/>
  <c r="BU27" i="62"/>
  <c r="BR33" i="62"/>
  <c r="CD37" i="62"/>
  <c r="BP41" i="62"/>
  <c r="BB47" i="62"/>
  <c r="AW51" i="62"/>
  <c r="AX55" i="62"/>
  <c r="CB111" i="62"/>
  <c r="BK118" i="62"/>
  <c r="BY128" i="62"/>
  <c r="BP140" i="62"/>
  <c r="BT149" i="62"/>
  <c r="BD13" i="62"/>
  <c r="BO16" i="62"/>
  <c r="BP20" i="62"/>
  <c r="BN24" i="62"/>
  <c r="BZ27" i="62"/>
  <c r="CC33" i="62"/>
  <c r="BZ38" i="62"/>
  <c r="BT41" i="62"/>
  <c r="BH47" i="62"/>
  <c r="BW51" i="62"/>
  <c r="AY55" i="62"/>
  <c r="CC111" i="62"/>
  <c r="AX121" i="62"/>
  <c r="BZ128" i="62"/>
  <c r="BU140" i="62"/>
  <c r="CB153" i="62"/>
  <c r="CC13" i="62"/>
  <c r="BH17" i="62"/>
  <c r="BV21" i="62"/>
  <c r="BA26" i="62"/>
  <c r="CA28" i="62"/>
  <c r="BD35" i="62"/>
  <c r="BB39" i="62"/>
  <c r="BO42" i="62"/>
  <c r="BS47" i="62"/>
  <c r="BG52" i="62"/>
  <c r="BE56" i="62"/>
  <c r="BT112" i="62"/>
  <c r="AY121" i="62"/>
  <c r="CB131" i="62"/>
  <c r="BW141" i="62"/>
  <c r="CD153" i="62"/>
  <c r="CC153" i="62"/>
  <c r="BU153" i="62"/>
  <c r="BM153" i="62"/>
  <c r="BE153" i="62"/>
  <c r="AW153" i="62"/>
  <c r="BW152" i="62"/>
  <c r="BO152" i="62"/>
  <c r="BG152" i="62"/>
  <c r="AY152" i="62"/>
  <c r="BY151" i="62"/>
  <c r="BI151" i="62"/>
  <c r="BA151" i="62"/>
  <c r="CA150" i="62"/>
  <c r="BS150" i="62"/>
  <c r="BK150" i="62"/>
  <c r="CC149" i="62"/>
  <c r="BU149" i="62"/>
  <c r="BM149" i="62"/>
  <c r="BE149" i="62"/>
  <c r="AW149" i="62"/>
  <c r="BW148" i="62"/>
  <c r="BO148" i="62"/>
  <c r="BG148" i="62"/>
  <c r="AY148" i="62"/>
  <c r="BY147" i="62"/>
  <c r="BI147" i="62"/>
  <c r="BA147" i="62"/>
  <c r="CA146" i="62"/>
  <c r="BS146" i="62"/>
  <c r="BK146" i="62"/>
  <c r="CC145" i="62"/>
  <c r="BU145" i="62"/>
  <c r="BM145" i="62"/>
  <c r="BE145" i="62"/>
  <c r="AW145" i="62"/>
  <c r="BW144" i="62"/>
  <c r="BO144" i="62"/>
  <c r="BG144" i="62"/>
  <c r="AY144" i="62"/>
  <c r="BY143" i="62"/>
  <c r="BI143" i="62"/>
  <c r="BA143" i="62"/>
  <c r="CA142" i="62"/>
  <c r="BS142" i="62"/>
  <c r="BK142" i="62"/>
  <c r="CC141" i="62"/>
  <c r="BU141" i="62"/>
  <c r="BM141" i="62"/>
  <c r="BE141" i="62"/>
  <c r="AW141" i="62"/>
  <c r="BW140" i="62"/>
  <c r="BO140" i="62"/>
  <c r="BG140" i="62"/>
  <c r="AY140" i="62"/>
  <c r="BY139" i="62"/>
  <c r="BI139" i="62"/>
  <c r="BA139" i="62"/>
  <c r="CA138" i="62"/>
  <c r="BS138" i="62"/>
  <c r="BK138" i="62"/>
  <c r="CC137" i="62"/>
  <c r="BU137" i="62"/>
  <c r="BM137" i="62"/>
  <c r="BE137" i="62"/>
  <c r="AW137" i="62"/>
  <c r="BW136" i="62"/>
  <c r="BO136" i="62"/>
  <c r="BG136" i="62"/>
  <c r="AY136" i="62"/>
  <c r="BY135" i="62"/>
  <c r="BI135" i="62"/>
  <c r="BA135" i="62"/>
  <c r="CA134" i="62"/>
  <c r="BS134" i="62"/>
  <c r="BK134" i="62"/>
  <c r="CC133" i="62"/>
  <c r="BU133" i="62"/>
  <c r="BY153" i="62"/>
  <c r="BP153" i="62"/>
  <c r="BG153" i="62"/>
  <c r="AX153" i="62"/>
  <c r="BV152" i="62"/>
  <c r="BM152" i="62"/>
  <c r="BD152" i="62"/>
  <c r="CC151" i="62"/>
  <c r="BT151" i="62"/>
  <c r="BK151" i="62"/>
  <c r="BB151" i="62"/>
  <c r="BZ150" i="62"/>
  <c r="BH150" i="62"/>
  <c r="AY150" i="62"/>
  <c r="BO149" i="62"/>
  <c r="BF149" i="62"/>
  <c r="CD148" i="62"/>
  <c r="BU148" i="62"/>
  <c r="BL148" i="62"/>
  <c r="CB147" i="62"/>
  <c r="BS147" i="62"/>
  <c r="AZ147" i="62"/>
  <c r="BY146" i="62"/>
  <c r="BP146" i="62"/>
  <c r="BG146" i="62"/>
  <c r="AX146" i="62"/>
  <c r="BW145" i="62"/>
  <c r="BN145" i="62"/>
  <c r="BD145" i="62"/>
  <c r="CC144" i="62"/>
  <c r="BT144" i="62"/>
  <c r="BK144" i="62"/>
  <c r="BB144" i="62"/>
  <c r="CA143" i="62"/>
  <c r="BR143" i="62"/>
  <c r="BH143" i="62"/>
  <c r="AY143" i="62"/>
  <c r="BO142" i="62"/>
  <c r="BF142" i="62"/>
  <c r="AW142" i="62"/>
  <c r="BV141" i="62"/>
  <c r="BL141" i="62"/>
  <c r="CB140" i="62"/>
  <c r="BS140" i="62"/>
  <c r="BA140" i="62"/>
  <c r="BZ139" i="62"/>
  <c r="BP139" i="62"/>
  <c r="BG139" i="62"/>
  <c r="AX139" i="62"/>
  <c r="BW138" i="62"/>
  <c r="BN138" i="62"/>
  <c r="BE138" i="62"/>
  <c r="CD137" i="62"/>
  <c r="BT137" i="62"/>
  <c r="BK137" i="62"/>
  <c r="BB137" i="62"/>
  <c r="CA136" i="62"/>
  <c r="BR136" i="62"/>
  <c r="BI136" i="62"/>
  <c r="AZ136" i="62"/>
  <c r="BO135" i="62"/>
  <c r="BF135" i="62"/>
  <c r="AW135" i="62"/>
  <c r="BV134" i="62"/>
  <c r="BM134" i="62"/>
  <c r="BD134" i="62"/>
  <c r="CB133" i="62"/>
  <c r="BS133" i="62"/>
  <c r="BK133" i="62"/>
  <c r="BW131" i="62"/>
  <c r="BO131" i="62"/>
  <c r="BG131" i="62"/>
  <c r="AY131" i="62"/>
  <c r="BY130" i="62"/>
  <c r="BI130" i="62"/>
  <c r="BA130" i="62"/>
  <c r="CA129" i="62"/>
  <c r="BS129" i="62"/>
  <c r="BK129" i="62"/>
  <c r="CC128" i="62"/>
  <c r="BU128" i="62"/>
  <c r="BM128" i="62"/>
  <c r="BE128" i="62"/>
  <c r="AW128" i="62"/>
  <c r="BW127" i="62"/>
  <c r="BO127" i="62"/>
  <c r="BG127" i="62"/>
  <c r="AY127" i="62"/>
  <c r="BY126" i="62"/>
  <c r="BI126" i="62"/>
  <c r="BA126" i="62"/>
  <c r="CA125" i="62"/>
  <c r="BS125" i="62"/>
  <c r="BK125" i="62"/>
  <c r="CC124" i="62"/>
  <c r="BU124" i="62"/>
  <c r="BM124" i="62"/>
  <c r="BE124" i="62"/>
  <c r="AW124" i="62"/>
  <c r="BW123" i="62"/>
  <c r="BO123" i="62"/>
  <c r="BG123" i="62"/>
  <c r="AY123" i="62"/>
  <c r="BY122" i="62"/>
  <c r="BI122" i="62"/>
  <c r="BA122" i="62"/>
  <c r="CA121" i="62"/>
  <c r="BS121" i="62"/>
  <c r="BK121" i="62"/>
  <c r="CC120" i="62"/>
  <c r="BU120" i="62"/>
  <c r="BM120" i="62"/>
  <c r="BE120" i="62"/>
  <c r="AW120" i="62"/>
  <c r="BW119" i="62"/>
  <c r="BO119" i="62"/>
  <c r="BG119" i="62"/>
  <c r="AY119" i="62"/>
  <c r="BY118" i="62"/>
  <c r="BI118" i="62"/>
  <c r="BA118" i="62"/>
  <c r="CA117" i="62"/>
  <c r="BS117" i="62"/>
  <c r="BK117" i="62"/>
  <c r="CC116" i="62"/>
  <c r="BU116" i="62"/>
  <c r="BM116" i="62"/>
  <c r="BE116" i="62"/>
  <c r="AW116" i="62"/>
  <c r="BW115" i="62"/>
  <c r="BO115" i="62"/>
  <c r="BG115" i="62"/>
  <c r="AY115" i="62"/>
  <c r="BY114" i="62"/>
  <c r="BI114" i="62"/>
  <c r="BA114" i="62"/>
  <c r="CA113" i="62"/>
  <c r="BS113" i="62"/>
  <c r="BK113" i="62"/>
  <c r="CC112" i="62"/>
  <c r="BU112" i="62"/>
  <c r="BM112" i="62"/>
  <c r="BE112" i="62"/>
  <c r="AW112" i="62"/>
  <c r="BW111" i="62"/>
  <c r="BO111" i="62"/>
  <c r="BG111" i="62"/>
  <c r="AY111" i="62"/>
  <c r="BO153" i="62"/>
  <c r="BF153" i="62"/>
  <c r="CD152" i="62"/>
  <c r="BU152" i="62"/>
  <c r="BL152" i="62"/>
  <c r="CB151" i="62"/>
  <c r="BS151" i="62"/>
  <c r="AZ151" i="62"/>
  <c r="BY150" i="62"/>
  <c r="BT153" i="62"/>
  <c r="BI153" i="62"/>
  <c r="CC152" i="62"/>
  <c r="BR152" i="62"/>
  <c r="BF152" i="62"/>
  <c r="CA151" i="62"/>
  <c r="BO151" i="62"/>
  <c r="BD151" i="62"/>
  <c r="BN150" i="62"/>
  <c r="BD150" i="62"/>
  <c r="CA149" i="62"/>
  <c r="BG149" i="62"/>
  <c r="CC148" i="62"/>
  <c r="BS148" i="62"/>
  <c r="BI148" i="62"/>
  <c r="AX148" i="62"/>
  <c r="BV147" i="62"/>
  <c r="BL147" i="62"/>
  <c r="BB147" i="62"/>
  <c r="BN146" i="62"/>
  <c r="BD146" i="62"/>
  <c r="CA145" i="62"/>
  <c r="BG145" i="62"/>
  <c r="CD144" i="62"/>
  <c r="BS144" i="62"/>
  <c r="BI144" i="62"/>
  <c r="AX144" i="62"/>
  <c r="BV143" i="62"/>
  <c r="BL143" i="62"/>
  <c r="BB143" i="62"/>
  <c r="BY142" i="62"/>
  <c r="BN142" i="62"/>
  <c r="BD142" i="62"/>
  <c r="CA141" i="62"/>
  <c r="BG141" i="62"/>
  <c r="CD140" i="62"/>
  <c r="BT140" i="62"/>
  <c r="BI140" i="62"/>
  <c r="AX140" i="62"/>
  <c r="BV139" i="62"/>
  <c r="BL139" i="62"/>
  <c r="BB139" i="62"/>
  <c r="BY138" i="62"/>
  <c r="BO138" i="62"/>
  <c r="BD138" i="62"/>
  <c r="CA137" i="62"/>
  <c r="BG137" i="62"/>
  <c r="CD136" i="62"/>
  <c r="BT136" i="62"/>
  <c r="AX136" i="62"/>
  <c r="BV135" i="62"/>
  <c r="BL135" i="62"/>
  <c r="BB135" i="62"/>
  <c r="BY134" i="62"/>
  <c r="BO134" i="62"/>
  <c r="BE134" i="62"/>
  <c r="CA133" i="62"/>
  <c r="BH133" i="62"/>
  <c r="AY133" i="62"/>
  <c r="CD131" i="62"/>
  <c r="BU131" i="62"/>
  <c r="BL131" i="62"/>
  <c r="CB130" i="62"/>
  <c r="BS130" i="62"/>
  <c r="AZ130" i="62"/>
  <c r="BY129" i="62"/>
  <c r="BP129" i="62"/>
  <c r="BG129" i="62"/>
  <c r="AX129" i="62"/>
  <c r="BW128" i="62"/>
  <c r="BN128" i="62"/>
  <c r="BD128" i="62"/>
  <c r="CC127" i="62"/>
  <c r="BT127" i="62"/>
  <c r="BK127" i="62"/>
  <c r="BB127" i="62"/>
  <c r="CA126" i="62"/>
  <c r="BR126" i="62"/>
  <c r="BH126" i="62"/>
  <c r="AY126" i="62"/>
  <c r="BO125" i="62"/>
  <c r="BF125" i="62"/>
  <c r="AW125" i="62"/>
  <c r="BV124" i="62"/>
  <c r="BL124" i="62"/>
  <c r="CB123" i="62"/>
  <c r="BS123" i="62"/>
  <c r="BA123" i="62"/>
  <c r="BZ122" i="62"/>
  <c r="BP122" i="62"/>
  <c r="BG122" i="62"/>
  <c r="AX122" i="62"/>
  <c r="BW121" i="62"/>
  <c r="BN121" i="62"/>
  <c r="BE121" i="62"/>
  <c r="CD120" i="62"/>
  <c r="BT120" i="62"/>
  <c r="BK120" i="62"/>
  <c r="BB120" i="62"/>
  <c r="CA119" i="62"/>
  <c r="BR119" i="62"/>
  <c r="BI119" i="62"/>
  <c r="AZ119" i="62"/>
  <c r="BO118" i="62"/>
  <c r="BF118" i="62"/>
  <c r="AW118" i="62"/>
  <c r="BV117" i="62"/>
  <c r="BM117" i="62"/>
  <c r="BD117" i="62"/>
  <c r="CB116" i="62"/>
  <c r="BS116" i="62"/>
  <c r="BA116" i="62"/>
  <c r="BZ115" i="62"/>
  <c r="BH115" i="62"/>
  <c r="AX115" i="62"/>
  <c r="BW114" i="62"/>
  <c r="BN114" i="62"/>
  <c r="BE114" i="62"/>
  <c r="CD113" i="62"/>
  <c r="BU113" i="62"/>
  <c r="BL113" i="62"/>
  <c r="BB113" i="62"/>
  <c r="CA112" i="62"/>
  <c r="BR112" i="62"/>
  <c r="BI112" i="62"/>
  <c r="AZ112" i="62"/>
  <c r="BY111" i="62"/>
  <c r="BP111" i="62"/>
  <c r="BF111" i="62"/>
  <c r="AW111" i="62"/>
  <c r="BS153" i="62"/>
  <c r="BH153" i="62"/>
  <c r="CB152" i="62"/>
  <c r="BE152" i="62"/>
  <c r="BZ151" i="62"/>
  <c r="BN151" i="62"/>
  <c r="BW150" i="62"/>
  <c r="BM150" i="62"/>
  <c r="BB150" i="62"/>
  <c r="BZ149" i="62"/>
  <c r="BP149" i="62"/>
  <c r="BD149" i="62"/>
  <c r="CB148" i="62"/>
  <c r="BR148" i="62"/>
  <c r="BH148" i="62"/>
  <c r="AW148" i="62"/>
  <c r="BU147" i="62"/>
  <c r="BK147" i="62"/>
  <c r="AY147" i="62"/>
  <c r="BW146" i="62"/>
  <c r="BM146" i="62"/>
  <c r="BB146" i="62"/>
  <c r="BZ145" i="62"/>
  <c r="BP145" i="62"/>
  <c r="BF145" i="62"/>
  <c r="CB144" i="62"/>
  <c r="BR144" i="62"/>
  <c r="BH144" i="62"/>
  <c r="AW144" i="62"/>
  <c r="BU143" i="62"/>
  <c r="BK143" i="62"/>
  <c r="AZ143" i="62"/>
  <c r="BW142" i="62"/>
  <c r="BM142" i="62"/>
  <c r="BB142" i="62"/>
  <c r="BZ141" i="62"/>
  <c r="BP141" i="62"/>
  <c r="BF141" i="62"/>
  <c r="CC140" i="62"/>
  <c r="BR140" i="62"/>
  <c r="BH140" i="62"/>
  <c r="AW140" i="62"/>
  <c r="BU139" i="62"/>
  <c r="BK139" i="62"/>
  <c r="AZ139" i="62"/>
  <c r="BM138" i="62"/>
  <c r="BB138" i="62"/>
  <c r="BZ137" i="62"/>
  <c r="BP137" i="62"/>
  <c r="BF137" i="62"/>
  <c r="CC136" i="62"/>
  <c r="BS136" i="62"/>
  <c r="BH136" i="62"/>
  <c r="AW136" i="62"/>
  <c r="BU135" i="62"/>
  <c r="BK135" i="62"/>
  <c r="AZ135" i="62"/>
  <c r="BN134" i="62"/>
  <c r="BB134" i="62"/>
  <c r="BZ133" i="62"/>
  <c r="BP133" i="62"/>
  <c r="BG133" i="62"/>
  <c r="AX133" i="62"/>
  <c r="CC131" i="62"/>
  <c r="BT131" i="62"/>
  <c r="BK131" i="62"/>
  <c r="BB131" i="62"/>
  <c r="CA130" i="62"/>
  <c r="BR130" i="62"/>
  <c r="BH130" i="62"/>
  <c r="AY130" i="62"/>
  <c r="BO129" i="62"/>
  <c r="BF129" i="62"/>
  <c r="AW129" i="62"/>
  <c r="BV128" i="62"/>
  <c r="BL128" i="62"/>
  <c r="CB127" i="62"/>
  <c r="BS127" i="62"/>
  <c r="BA127" i="62"/>
  <c r="BZ126" i="62"/>
  <c r="BP126" i="62"/>
  <c r="BG126" i="62"/>
  <c r="AX126" i="62"/>
  <c r="BW125" i="62"/>
  <c r="BN125" i="62"/>
  <c r="BE125" i="62"/>
  <c r="CD124" i="62"/>
  <c r="BT124" i="62"/>
  <c r="BK124" i="62"/>
  <c r="BB124" i="62"/>
  <c r="CA123" i="62"/>
  <c r="BR123" i="62"/>
  <c r="BI123" i="62"/>
  <c r="AZ123" i="62"/>
  <c r="BO122" i="62"/>
  <c r="BF122" i="62"/>
  <c r="AW122" i="62"/>
  <c r="BV121" i="62"/>
  <c r="BM121" i="62"/>
  <c r="BD121" i="62"/>
  <c r="CB120" i="62"/>
  <c r="BS120" i="62"/>
  <c r="BA120" i="62"/>
  <c r="BW153" i="62"/>
  <c r="BD153" i="62"/>
  <c r="BY152" i="62"/>
  <c r="BI152" i="62"/>
  <c r="BH151" i="62"/>
  <c r="CC150" i="62"/>
  <c r="BL150" i="62"/>
  <c r="AX150" i="62"/>
  <c r="BS149" i="62"/>
  <c r="BY148" i="62"/>
  <c r="BK148" i="62"/>
  <c r="CD147" i="62"/>
  <c r="BP147" i="62"/>
  <c r="BD147" i="62"/>
  <c r="BV146" i="62"/>
  <c r="BI146" i="62"/>
  <c r="CD145" i="62"/>
  <c r="BO145" i="62"/>
  <c r="BA145" i="62"/>
  <c r="BV144" i="62"/>
  <c r="BF144" i="62"/>
  <c r="CB143" i="62"/>
  <c r="BN143" i="62"/>
  <c r="AX143" i="62"/>
  <c r="BT142" i="62"/>
  <c r="BG142" i="62"/>
  <c r="BY141" i="62"/>
  <c r="BK141" i="62"/>
  <c r="AY141" i="62"/>
  <c r="BD140" i="62"/>
  <c r="CD138" i="62"/>
  <c r="BA138" i="62"/>
  <c r="BW137" i="62"/>
  <c r="BI137" i="62"/>
  <c r="CB136" i="62"/>
  <c r="BN136" i="62"/>
  <c r="BB136" i="62"/>
  <c r="BT135" i="62"/>
  <c r="BG135" i="62"/>
  <c r="CB134" i="62"/>
  <c r="BL134" i="62"/>
  <c r="AY134" i="62"/>
  <c r="BT133" i="62"/>
  <c r="BF133" i="62"/>
  <c r="BZ131" i="62"/>
  <c r="BN131" i="62"/>
  <c r="BA131" i="62"/>
  <c r="BW130" i="62"/>
  <c r="BL130" i="62"/>
  <c r="AX130" i="62"/>
  <c r="BU129" i="62"/>
  <c r="BI129" i="62"/>
  <c r="CD128" i="62"/>
  <c r="BR128" i="62"/>
  <c r="BG128" i="62"/>
  <c r="CA127" i="62"/>
  <c r="BP127" i="62"/>
  <c r="BD127" i="62"/>
  <c r="BM126" i="62"/>
  <c r="BB126" i="62"/>
  <c r="BV125" i="62"/>
  <c r="AY125" i="62"/>
  <c r="BS124" i="62"/>
  <c r="BH124" i="62"/>
  <c r="CD123" i="62"/>
  <c r="BE123" i="62"/>
  <c r="CB122" i="62"/>
  <c r="BN122" i="62"/>
  <c r="BY121" i="62"/>
  <c r="BL121" i="62"/>
  <c r="AZ121" i="62"/>
  <c r="BW120" i="62"/>
  <c r="BI120" i="62"/>
  <c r="AX120" i="62"/>
  <c r="BU119" i="62"/>
  <c r="BK119" i="62"/>
  <c r="BA119" i="62"/>
  <c r="BW118" i="62"/>
  <c r="BM118" i="62"/>
  <c r="BZ117" i="62"/>
  <c r="BP117" i="62"/>
  <c r="BF117" i="62"/>
  <c r="CD116" i="62"/>
  <c r="BR116" i="62"/>
  <c r="BH116" i="62"/>
  <c r="AX116" i="62"/>
  <c r="BU115" i="62"/>
  <c r="BK115" i="62"/>
  <c r="BA115" i="62"/>
  <c r="BM114" i="62"/>
  <c r="BZ113" i="62"/>
  <c r="BP113" i="62"/>
  <c r="BF113" i="62"/>
  <c r="CD112" i="62"/>
  <c r="BS112" i="62"/>
  <c r="BH112" i="62"/>
  <c r="AX112" i="62"/>
  <c r="BU111" i="62"/>
  <c r="BK111" i="62"/>
  <c r="BA111" i="62"/>
  <c r="BV153" i="62"/>
  <c r="BH152" i="62"/>
  <c r="BW151" i="62"/>
  <c r="BG151" i="62"/>
  <c r="CB150" i="62"/>
  <c r="AW150" i="62"/>
  <c r="BN153" i="62"/>
  <c r="CA152" i="62"/>
  <c r="BB152" i="62"/>
  <c r="BR151" i="62"/>
  <c r="AW151" i="62"/>
  <c r="BI150" i="62"/>
  <c r="BY149" i="62"/>
  <c r="CA148" i="62"/>
  <c r="BM148" i="62"/>
  <c r="CC147" i="62"/>
  <c r="BN147" i="62"/>
  <c r="AW147" i="62"/>
  <c r="AZ146" i="62"/>
  <c r="BS145" i="62"/>
  <c r="BB145" i="62"/>
  <c r="BU144" i="62"/>
  <c r="BD144" i="62"/>
  <c r="BW143" i="62"/>
  <c r="BF143" i="62"/>
  <c r="BZ142" i="62"/>
  <c r="BI142" i="62"/>
  <c r="CB141" i="62"/>
  <c r="CA140" i="62"/>
  <c r="BM140" i="62"/>
  <c r="CD139" i="62"/>
  <c r="BO139" i="62"/>
  <c r="AY139" i="62"/>
  <c r="BR138" i="62"/>
  <c r="AZ138" i="62"/>
  <c r="BS137" i="62"/>
  <c r="BV136" i="62"/>
  <c r="BE136" i="62"/>
  <c r="BZ135" i="62"/>
  <c r="BH135" i="62"/>
  <c r="BZ134" i="62"/>
  <c r="BI134" i="62"/>
  <c r="CD133" i="62"/>
  <c r="BM133" i="62"/>
  <c r="AZ133" i="62"/>
  <c r="BY131" i="62"/>
  <c r="AW131" i="62"/>
  <c r="BP130" i="62"/>
  <c r="BD130" i="62"/>
  <c r="BW129" i="62"/>
  <c r="CB128" i="62"/>
  <c r="BP128" i="62"/>
  <c r="BA128" i="62"/>
  <c r="BV127" i="62"/>
  <c r="BH127" i="62"/>
  <c r="CC126" i="62"/>
  <c r="BN126" i="62"/>
  <c r="AZ126" i="62"/>
  <c r="BT125" i="62"/>
  <c r="BG125" i="62"/>
  <c r="BZ124" i="62"/>
  <c r="BN124" i="62"/>
  <c r="AY124" i="62"/>
  <c r="BT123" i="62"/>
  <c r="BD123" i="62"/>
  <c r="BW122" i="62"/>
  <c r="BK122" i="62"/>
  <c r="CD121" i="62"/>
  <c r="BB121" i="62"/>
  <c r="BH120" i="62"/>
  <c r="CC119" i="62"/>
  <c r="BE119" i="62"/>
  <c r="CB118" i="62"/>
  <c r="BP118" i="62"/>
  <c r="BD118" i="62"/>
  <c r="BY117" i="62"/>
  <c r="BN117" i="62"/>
  <c r="BA117" i="62"/>
  <c r="BL116" i="62"/>
  <c r="AZ116" i="62"/>
  <c r="BV115" i="62"/>
  <c r="AW115" i="62"/>
  <c r="BT114" i="62"/>
  <c r="BH114" i="62"/>
  <c r="AW114" i="62"/>
  <c r="BR113" i="62"/>
  <c r="BG113" i="62"/>
  <c r="CB112" i="62"/>
  <c r="BP112" i="62"/>
  <c r="BD112" i="62"/>
  <c r="CA111" i="62"/>
  <c r="BN111" i="62"/>
  <c r="CA59" i="62"/>
  <c r="BS59" i="62"/>
  <c r="BK59" i="62"/>
  <c r="CD58" i="62"/>
  <c r="BV58" i="62"/>
  <c r="BN58" i="62"/>
  <c r="BF58" i="62"/>
  <c r="AX58" i="62"/>
  <c r="BY57" i="62"/>
  <c r="BI57" i="62"/>
  <c r="BA57" i="62"/>
  <c r="CB56" i="62"/>
  <c r="BT56" i="62"/>
  <c r="BL56" i="62"/>
  <c r="BL153" i="62"/>
  <c r="BZ152" i="62"/>
  <c r="BA152" i="62"/>
  <c r="BP151" i="62"/>
  <c r="CD150" i="62"/>
  <c r="BG150" i="62"/>
  <c r="BW149" i="62"/>
  <c r="BI149" i="62"/>
  <c r="BZ148" i="62"/>
  <c r="CA147" i="62"/>
  <c r="BM147" i="62"/>
  <c r="CD146" i="62"/>
  <c r="BO146" i="62"/>
  <c r="AY146" i="62"/>
  <c r="BR145" i="62"/>
  <c r="AZ145" i="62"/>
  <c r="BT143" i="62"/>
  <c r="BE143" i="62"/>
  <c r="BV142" i="62"/>
  <c r="BH142" i="62"/>
  <c r="BI141" i="62"/>
  <c r="BZ140" i="62"/>
  <c r="BL140" i="62"/>
  <c r="CC139" i="62"/>
  <c r="BN139" i="62"/>
  <c r="AW139" i="62"/>
  <c r="BP138" i="62"/>
  <c r="AY138" i="62"/>
  <c r="BR137" i="62"/>
  <c r="BA137" i="62"/>
  <c r="BU136" i="62"/>
  <c r="BD136" i="62"/>
  <c r="BW135" i="62"/>
  <c r="BE135" i="62"/>
  <c r="BW134" i="62"/>
  <c r="BH134" i="62"/>
  <c r="BY133" i="62"/>
  <c r="BL133" i="62"/>
  <c r="AW133" i="62"/>
  <c r="BI131" i="62"/>
  <c r="CD130" i="62"/>
  <c r="BO130" i="62"/>
  <c r="BV129" i="62"/>
  <c r="BH129" i="62"/>
  <c r="CA128" i="62"/>
  <c r="BO128" i="62"/>
  <c r="AZ128" i="62"/>
  <c r="BU127" i="62"/>
  <c r="BF127" i="62"/>
  <c r="CB126" i="62"/>
  <c r="BL126" i="62"/>
  <c r="AW126" i="62"/>
  <c r="BR125" i="62"/>
  <c r="BD125" i="62"/>
  <c r="BY124" i="62"/>
  <c r="AX124" i="62"/>
  <c r="BP123" i="62"/>
  <c r="BV122" i="62"/>
  <c r="CC121" i="62"/>
  <c r="BP121" i="62"/>
  <c r="BA121" i="62"/>
  <c r="BV120" i="62"/>
  <c r="BG120" i="62"/>
  <c r="CB119" i="62"/>
  <c r="BP119" i="62"/>
  <c r="BD119" i="62"/>
  <c r="CA118" i="62"/>
  <c r="BN118" i="62"/>
  <c r="BB118" i="62"/>
  <c r="BL117" i="62"/>
  <c r="AZ117" i="62"/>
  <c r="BW116" i="62"/>
  <c r="BK116" i="62"/>
  <c r="AY116" i="62"/>
  <c r="BT115" i="62"/>
  <c r="BI115" i="62"/>
  <c r="CD114" i="62"/>
  <c r="BS114" i="62"/>
  <c r="BG114" i="62"/>
  <c r="CC113" i="62"/>
  <c r="BE113" i="62"/>
  <c r="BZ112" i="62"/>
  <c r="BO112" i="62"/>
  <c r="BZ111" i="62"/>
  <c r="BM111" i="62"/>
  <c r="BB111" i="62"/>
  <c r="BZ59" i="62"/>
  <c r="BR59" i="62"/>
  <c r="BB59" i="62"/>
  <c r="CC58" i="62"/>
  <c r="BU58" i="62"/>
  <c r="BM58" i="62"/>
  <c r="BE58" i="62"/>
  <c r="AW58" i="62"/>
  <c r="BP57" i="62"/>
  <c r="BH57" i="62"/>
  <c r="AZ57" i="62"/>
  <c r="CA56" i="62"/>
  <c r="BS56" i="62"/>
  <c r="BK56" i="62"/>
  <c r="BR153" i="62"/>
  <c r="BT152" i="62"/>
  <c r="AW152" i="62"/>
  <c r="AY151" i="62"/>
  <c r="BF150" i="62"/>
  <c r="BR149" i="62"/>
  <c r="AY149" i="62"/>
  <c r="BF148" i="62"/>
  <c r="BW147" i="62"/>
  <c r="BL146" i="62"/>
  <c r="BY145" i="62"/>
  <c r="BH145" i="62"/>
  <c r="BP144" i="62"/>
  <c r="CD143" i="62"/>
  <c r="BU142" i="62"/>
  <c r="AZ142" i="62"/>
  <c r="BO141" i="62"/>
  <c r="BY140" i="62"/>
  <c r="BE140" i="62"/>
  <c r="BS139" i="62"/>
  <c r="CC138" i="62"/>
  <c r="BI138" i="62"/>
  <c r="AZ137" i="62"/>
  <c r="BM136" i="62"/>
  <c r="CB135" i="62"/>
  <c r="BD135" i="62"/>
  <c r="BR134" i="62"/>
  <c r="AX134" i="62"/>
  <c r="BV131" i="62"/>
  <c r="BE131" i="62"/>
  <c r="BU130" i="62"/>
  <c r="BB130" i="62"/>
  <c r="AZ129" i="62"/>
  <c r="BK128" i="62"/>
  <c r="CD127" i="62"/>
  <c r="BL127" i="62"/>
  <c r="BW126" i="62"/>
  <c r="BF126" i="62"/>
  <c r="BY125" i="62"/>
  <c r="BB125" i="62"/>
  <c r="BR124" i="62"/>
  <c r="BA124" i="62"/>
  <c r="BN123" i="62"/>
  <c r="AW123" i="62"/>
  <c r="BM122" i="62"/>
  <c r="CB121" i="62"/>
  <c r="BI121" i="62"/>
  <c r="BZ120" i="62"/>
  <c r="BF120" i="62"/>
  <c r="BH119" i="62"/>
  <c r="BZ118" i="62"/>
  <c r="CC117" i="62"/>
  <c r="AW117" i="62"/>
  <c r="BO116" i="62"/>
  <c r="CD115" i="62"/>
  <c r="BP115" i="62"/>
  <c r="BB115" i="62"/>
  <c r="BR114" i="62"/>
  <c r="BB114" i="62"/>
  <c r="BV113" i="62"/>
  <c r="BD113" i="62"/>
  <c r="BW112" i="62"/>
  <c r="BG112" i="62"/>
  <c r="BI111" i="62"/>
  <c r="BW59" i="62"/>
  <c r="BM59" i="62"/>
  <c r="BA59" i="62"/>
  <c r="BZ58" i="62"/>
  <c r="BP58" i="62"/>
  <c r="BD58" i="62"/>
  <c r="CC57" i="62"/>
  <c r="BS57" i="62"/>
  <c r="BG57" i="62"/>
  <c r="AW57" i="62"/>
  <c r="BV56" i="62"/>
  <c r="BB56" i="62"/>
  <c r="CC55" i="62"/>
  <c r="BU55" i="62"/>
  <c r="BM55" i="62"/>
  <c r="BE55" i="62"/>
  <c r="AW55" i="62"/>
  <c r="BP54" i="62"/>
  <c r="BH54" i="62"/>
  <c r="AZ54" i="62"/>
  <c r="CA53" i="62"/>
  <c r="BS53" i="62"/>
  <c r="BK53" i="62"/>
  <c r="CD52" i="62"/>
  <c r="BV52" i="62"/>
  <c r="BN52" i="62"/>
  <c r="BF52" i="62"/>
  <c r="AX52" i="62"/>
  <c r="BY51" i="62"/>
  <c r="BI51" i="62"/>
  <c r="BA51" i="62"/>
  <c r="BW49" i="62"/>
  <c r="BO49" i="62"/>
  <c r="BG49" i="62"/>
  <c r="AY49" i="62"/>
  <c r="BZ48" i="62"/>
  <c r="BR48" i="62"/>
  <c r="BB48" i="62"/>
  <c r="CC47" i="62"/>
  <c r="BU47" i="62"/>
  <c r="BM47" i="62"/>
  <c r="BE47" i="62"/>
  <c r="AW47" i="62"/>
  <c r="BP46" i="62"/>
  <c r="BH46" i="62"/>
  <c r="AZ46" i="62"/>
  <c r="CD44" i="62"/>
  <c r="BV44" i="62"/>
  <c r="BN44" i="62"/>
  <c r="BF44" i="62"/>
  <c r="AX44" i="62"/>
  <c r="BY43" i="62"/>
  <c r="BI43" i="62"/>
  <c r="BA43" i="62"/>
  <c r="CB42" i="62"/>
  <c r="BT42" i="62"/>
  <c r="BL42" i="62"/>
  <c r="BD42" i="62"/>
  <c r="BW41" i="62"/>
  <c r="BO41" i="62"/>
  <c r="BG41" i="62"/>
  <c r="AY41" i="62"/>
  <c r="BZ40" i="62"/>
  <c r="BR40" i="62"/>
  <c r="BB40" i="62"/>
  <c r="CC39" i="62"/>
  <c r="BU39" i="62"/>
  <c r="BM39" i="62"/>
  <c r="BE39" i="62"/>
  <c r="AW39" i="62"/>
  <c r="BP38" i="62"/>
  <c r="BH38" i="62"/>
  <c r="AZ38" i="62"/>
  <c r="CA37" i="62"/>
  <c r="BS37" i="62"/>
  <c r="BK37" i="62"/>
  <c r="CD36" i="62"/>
  <c r="BV36" i="62"/>
  <c r="BN36" i="62"/>
  <c r="BF36" i="62"/>
  <c r="AX36" i="62"/>
  <c r="BY35" i="62"/>
  <c r="BI35" i="62"/>
  <c r="BA35" i="62"/>
  <c r="BW33" i="62"/>
  <c r="BO33" i="62"/>
  <c r="BG33" i="62"/>
  <c r="AY33" i="62"/>
  <c r="BZ32" i="62"/>
  <c r="BR32" i="62"/>
  <c r="BB32" i="62"/>
  <c r="CA29" i="62"/>
  <c r="BS29" i="62"/>
  <c r="BK29" i="62"/>
  <c r="CD28" i="62"/>
  <c r="BV28" i="62"/>
  <c r="BN28" i="62"/>
  <c r="BF28" i="62"/>
  <c r="AX28" i="62"/>
  <c r="BY27" i="62"/>
  <c r="BI27" i="62"/>
  <c r="BA27" i="62"/>
  <c r="CB26" i="62"/>
  <c r="BT26" i="62"/>
  <c r="BL26" i="62"/>
  <c r="BD26" i="62"/>
  <c r="BZ24" i="62"/>
  <c r="BR24" i="62"/>
  <c r="BB24" i="62"/>
  <c r="CC23" i="62"/>
  <c r="BU23" i="62"/>
  <c r="BM23" i="62"/>
  <c r="BE23" i="62"/>
  <c r="AW23" i="62"/>
  <c r="CA21" i="62"/>
  <c r="BS21" i="62"/>
  <c r="BK21" i="62"/>
  <c r="CD20" i="62"/>
  <c r="BV20" i="62"/>
  <c r="BN20" i="62"/>
  <c r="BF20" i="62"/>
  <c r="AX20" i="62"/>
  <c r="BY19" i="62"/>
  <c r="BI19" i="62"/>
  <c r="BA19" i="62"/>
  <c r="BW17" i="62"/>
  <c r="BO17" i="62"/>
  <c r="BG17" i="62"/>
  <c r="AY17" i="62"/>
  <c r="BZ16" i="62"/>
  <c r="BR16" i="62"/>
  <c r="BB16" i="62"/>
  <c r="BP14" i="62"/>
  <c r="BH14" i="62"/>
  <c r="AZ14" i="62"/>
  <c r="CA13" i="62"/>
  <c r="BS13" i="62"/>
  <c r="BK13" i="62"/>
  <c r="BS152" i="62"/>
  <c r="CD151" i="62"/>
  <c r="AX151" i="62"/>
  <c r="BE150" i="62"/>
  <c r="BN149" i="62"/>
  <c r="AX149" i="62"/>
  <c r="BE148" i="62"/>
  <c r="BT147" i="62"/>
  <c r="AX147" i="62"/>
  <c r="BN144" i="62"/>
  <c r="CC143" i="62"/>
  <c r="BG143" i="62"/>
  <c r="BR142" i="62"/>
  <c r="AY142" i="62"/>
  <c r="BN141" i="62"/>
  <c r="BR139" i="62"/>
  <c r="CB138" i="62"/>
  <c r="BH138" i="62"/>
  <c r="BV137" i="62"/>
  <c r="AY137" i="62"/>
  <c r="BL136" i="62"/>
  <c r="CA135" i="62"/>
  <c r="AW134" i="62"/>
  <c r="BI133" i="62"/>
  <c r="BS131" i="62"/>
  <c r="BD131" i="62"/>
  <c r="BT130" i="62"/>
  <c r="AW130" i="62"/>
  <c r="BN129" i="62"/>
  <c r="AY129" i="62"/>
  <c r="BZ127" i="62"/>
  <c r="BI127" i="62"/>
  <c r="BV126" i="62"/>
  <c r="BE126" i="62"/>
  <c r="BU125" i="62"/>
  <c r="BA125" i="62"/>
  <c r="AZ124" i="62"/>
  <c r="BM123" i="62"/>
  <c r="CD122" i="62"/>
  <c r="BL122" i="62"/>
  <c r="BZ121" i="62"/>
  <c r="BH121" i="62"/>
  <c r="BY120" i="62"/>
  <c r="BD120" i="62"/>
  <c r="BV119" i="62"/>
  <c r="BF119" i="62"/>
  <c r="BV118" i="62"/>
  <c r="BH118" i="62"/>
  <c r="CB117" i="62"/>
  <c r="BI117" i="62"/>
  <c r="CA116" i="62"/>
  <c r="BN116" i="62"/>
  <c r="CC115" i="62"/>
  <c r="BN115" i="62"/>
  <c r="AZ115" i="62"/>
  <c r="BP114" i="62"/>
  <c r="AZ114" i="62"/>
  <c r="BT113" i="62"/>
  <c r="BA113" i="62"/>
  <c r="BV112" i="62"/>
  <c r="BF112" i="62"/>
  <c r="BV111" i="62"/>
  <c r="BH111" i="62"/>
  <c r="BV59" i="62"/>
  <c r="BL59" i="62"/>
  <c r="AZ59" i="62"/>
  <c r="BY58" i="62"/>
  <c r="BO58" i="62"/>
  <c r="CB57" i="62"/>
  <c r="BR57" i="62"/>
  <c r="BF57" i="62"/>
  <c r="BU56" i="62"/>
  <c r="BI56" i="62"/>
  <c r="BA56" i="62"/>
  <c r="CB55" i="62"/>
  <c r="BT55" i="62"/>
  <c r="BL55" i="62"/>
  <c r="BD55" i="62"/>
  <c r="BW54" i="62"/>
  <c r="BO54" i="62"/>
  <c r="BG54" i="62"/>
  <c r="AY54" i="62"/>
  <c r="BZ53" i="62"/>
  <c r="BR53" i="62"/>
  <c r="BB53" i="62"/>
  <c r="CC52" i="62"/>
  <c r="BU52" i="62"/>
  <c r="BM52" i="62"/>
  <c r="BE52" i="62"/>
  <c r="AW52" i="62"/>
  <c r="BP51" i="62"/>
  <c r="BH51" i="62"/>
  <c r="AZ51" i="62"/>
  <c r="CD49" i="62"/>
  <c r="BV49" i="62"/>
  <c r="BN49" i="62"/>
  <c r="BF49" i="62"/>
  <c r="AX49" i="62"/>
  <c r="BY48" i="62"/>
  <c r="BI48" i="62"/>
  <c r="BA48" i="62"/>
  <c r="CB47" i="62"/>
  <c r="BT47" i="62"/>
  <c r="BL47" i="62"/>
  <c r="BD47" i="62"/>
  <c r="BW46" i="62"/>
  <c r="BO46" i="62"/>
  <c r="BG46" i="62"/>
  <c r="AY46" i="62"/>
  <c r="CC44" i="62"/>
  <c r="BU44" i="62"/>
  <c r="BM44" i="62"/>
  <c r="BE44" i="62"/>
  <c r="AW44" i="62"/>
  <c r="BP43" i="62"/>
  <c r="BH43" i="62"/>
  <c r="AZ43" i="62"/>
  <c r="CA42" i="62"/>
  <c r="BS42" i="62"/>
  <c r="BK42" i="62"/>
  <c r="CD41" i="62"/>
  <c r="BV41" i="62"/>
  <c r="BN41" i="62"/>
  <c r="BF41" i="62"/>
  <c r="AX41" i="62"/>
  <c r="BY40" i="62"/>
  <c r="BI40" i="62"/>
  <c r="BA40" i="62"/>
  <c r="CB39" i="62"/>
  <c r="BT39" i="62"/>
  <c r="BL39" i="62"/>
  <c r="BD39" i="62"/>
  <c r="BW38" i="62"/>
  <c r="BO38" i="62"/>
  <c r="BG38" i="62"/>
  <c r="AY38" i="62"/>
  <c r="BZ37" i="62"/>
  <c r="BR37" i="62"/>
  <c r="BB37" i="62"/>
  <c r="CC36" i="62"/>
  <c r="BU36" i="62"/>
  <c r="BM36" i="62"/>
  <c r="BE36" i="62"/>
  <c r="AW36" i="62"/>
  <c r="BP35" i="62"/>
  <c r="BH35" i="62"/>
  <c r="AZ35" i="62"/>
  <c r="CD33" i="62"/>
  <c r="BV33" i="62"/>
  <c r="BN33" i="62"/>
  <c r="BF33" i="62"/>
  <c r="AX33" i="62"/>
  <c r="BY32" i="62"/>
  <c r="BI32" i="62"/>
  <c r="BA32" i="62"/>
  <c r="BZ29" i="62"/>
  <c r="BR29" i="62"/>
  <c r="BB29" i="62"/>
  <c r="CC28" i="62"/>
  <c r="BU28" i="62"/>
  <c r="BM28" i="62"/>
  <c r="BE28" i="62"/>
  <c r="AW28" i="62"/>
  <c r="BP27" i="62"/>
  <c r="BH27" i="62"/>
  <c r="AZ27" i="62"/>
  <c r="CA26" i="62"/>
  <c r="BS26" i="62"/>
  <c r="BK26" i="62"/>
  <c r="BY24" i="62"/>
  <c r="BI24" i="62"/>
  <c r="BA24" i="62"/>
  <c r="CB23" i="62"/>
  <c r="BT23" i="62"/>
  <c r="BL23" i="62"/>
  <c r="BD23" i="62"/>
  <c r="BZ21" i="62"/>
  <c r="BR21" i="62"/>
  <c r="BB21" i="62"/>
  <c r="CC20" i="62"/>
  <c r="BU20" i="62"/>
  <c r="BM20" i="62"/>
  <c r="BE20" i="62"/>
  <c r="AW20" i="62"/>
  <c r="BP19" i="62"/>
  <c r="BH19" i="62"/>
  <c r="AZ19" i="62"/>
  <c r="CD17" i="62"/>
  <c r="BV17" i="62"/>
  <c r="BN17" i="62"/>
  <c r="BF17" i="62"/>
  <c r="AX17" i="62"/>
  <c r="BY16" i="62"/>
  <c r="BI16" i="62"/>
  <c r="BA16" i="62"/>
  <c r="BW14" i="62"/>
  <c r="BO14" i="62"/>
  <c r="BG14" i="62"/>
  <c r="AY14" i="62"/>
  <c r="BZ13" i="62"/>
  <c r="BR13" i="62"/>
  <c r="BB13" i="62"/>
  <c r="CA153" i="62"/>
  <c r="BP152" i="62"/>
  <c r="BM151" i="62"/>
  <c r="BP150" i="62"/>
  <c r="BL149" i="62"/>
  <c r="BT148" i="62"/>
  <c r="BZ147" i="62"/>
  <c r="CC146" i="62"/>
  <c r="BE146" i="62"/>
  <c r="BM144" i="62"/>
  <c r="BS143" i="62"/>
  <c r="CC142" i="62"/>
  <c r="AX142" i="62"/>
  <c r="BB141" i="62"/>
  <c r="BK140" i="62"/>
  <c r="BM139" i="62"/>
  <c r="BU138" i="62"/>
  <c r="CB137" i="62"/>
  <c r="AX137" i="62"/>
  <c r="BM135" i="62"/>
  <c r="BP134" i="62"/>
  <c r="BV133" i="62"/>
  <c r="BP131" i="62"/>
  <c r="CD129" i="62"/>
  <c r="BE129" i="62"/>
  <c r="BS128" i="62"/>
  <c r="BY127" i="62"/>
  <c r="AZ127" i="62"/>
  <c r="BK126" i="62"/>
  <c r="CB124" i="62"/>
  <c r="BF124" i="62"/>
  <c r="BL123" i="62"/>
  <c r="BU122" i="62"/>
  <c r="AZ122" i="62"/>
  <c r="BG121" i="62"/>
  <c r="BP120" i="62"/>
  <c r="BZ119" i="62"/>
  <c r="BS118" i="62"/>
  <c r="AX118" i="62"/>
  <c r="BH117" i="62"/>
  <c r="BV116" i="62"/>
  <c r="BM115" i="62"/>
  <c r="CA114" i="62"/>
  <c r="BF114" i="62"/>
  <c r="BO113" i="62"/>
  <c r="AX113" i="62"/>
  <c r="BK112" i="62"/>
  <c r="BT111" i="62"/>
  <c r="AZ111" i="62"/>
  <c r="BU59" i="62"/>
  <c r="BG59" i="62"/>
  <c r="CB58" i="62"/>
  <c r="BL58" i="62"/>
  <c r="AZ58" i="62"/>
  <c r="BU57" i="62"/>
  <c r="BE57" i="62"/>
  <c r="BZ56" i="62"/>
  <c r="BN56" i="62"/>
  <c r="AZ56" i="62"/>
  <c r="BY55" i="62"/>
  <c r="BO55" i="62"/>
  <c r="CB54" i="62"/>
  <c r="BR54" i="62"/>
  <c r="BF54" i="62"/>
  <c r="BU53" i="62"/>
  <c r="BI53" i="62"/>
  <c r="AY53" i="62"/>
  <c r="BL52" i="62"/>
  <c r="BB52" i="62"/>
  <c r="CA51" i="62"/>
  <c r="BO51" i="62"/>
  <c r="BE51" i="62"/>
  <c r="BU49" i="62"/>
  <c r="BK49" i="62"/>
  <c r="BA49" i="62"/>
  <c r="BN48" i="62"/>
  <c r="BD48" i="62"/>
  <c r="CA47" i="62"/>
  <c r="BG47" i="62"/>
  <c r="CD46" i="62"/>
  <c r="BT46" i="62"/>
  <c r="AX46" i="62"/>
  <c r="BZ44" i="62"/>
  <c r="BP44" i="62"/>
  <c r="BD44" i="62"/>
  <c r="CC43" i="62"/>
  <c r="BS43" i="62"/>
  <c r="BG43" i="62"/>
  <c r="AW43" i="62"/>
  <c r="BV42" i="62"/>
  <c r="AZ42" i="62"/>
  <c r="BY41" i="62"/>
  <c r="BM41" i="62"/>
  <c r="CB40" i="62"/>
  <c r="BP40" i="62"/>
  <c r="BF40" i="62"/>
  <c r="BS39" i="62"/>
  <c r="BI39" i="62"/>
  <c r="AY39" i="62"/>
  <c r="BV38" i="62"/>
  <c r="BL38" i="62"/>
  <c r="BB38" i="62"/>
  <c r="BY37" i="62"/>
  <c r="BO37" i="62"/>
  <c r="BE37" i="62"/>
  <c r="CB36" i="62"/>
  <c r="BR36" i="62"/>
  <c r="BH36" i="62"/>
  <c r="BU35" i="62"/>
  <c r="BK35" i="62"/>
  <c r="AY35" i="62"/>
  <c r="CA33" i="62"/>
  <c r="BE33" i="62"/>
  <c r="CD32" i="62"/>
  <c r="BT32" i="62"/>
  <c r="BH32" i="62"/>
  <c r="AX32" i="62"/>
  <c r="CC29" i="62"/>
  <c r="BG29" i="62"/>
  <c r="AW29" i="62"/>
  <c r="BT28" i="62"/>
  <c r="AZ28" i="62"/>
  <c r="BW27" i="62"/>
  <c r="BM27" i="62"/>
  <c r="BZ26" i="62"/>
  <c r="BP26" i="62"/>
  <c r="BF26" i="62"/>
  <c r="BV24" i="62"/>
  <c r="BL24" i="62"/>
  <c r="AZ24" i="62"/>
  <c r="BY23" i="62"/>
  <c r="BO23" i="62"/>
  <c r="BU21" i="62"/>
  <c r="BI21" i="62"/>
  <c r="AY21" i="62"/>
  <c r="BL20" i="62"/>
  <c r="BB20" i="62"/>
  <c r="CA19" i="62"/>
  <c r="BO19" i="62"/>
  <c r="BE19" i="62"/>
  <c r="BU17" i="62"/>
  <c r="BK17" i="62"/>
  <c r="BA17" i="62"/>
  <c r="BN16" i="62"/>
  <c r="BD16" i="62"/>
  <c r="CD14" i="62"/>
  <c r="BT14" i="62"/>
  <c r="AX14" i="62"/>
  <c r="BW13" i="62"/>
  <c r="BM13" i="62"/>
  <c r="BA13" i="62"/>
  <c r="BZ153" i="62"/>
  <c r="BN152" i="62"/>
  <c r="BL151" i="62"/>
  <c r="BO150" i="62"/>
  <c r="BK149" i="62"/>
  <c r="CB146" i="62"/>
  <c r="BA146" i="62"/>
  <c r="BI145" i="62"/>
  <c r="BL144" i="62"/>
  <c r="BP143" i="62"/>
  <c r="CB142" i="62"/>
  <c r="CD141" i="62"/>
  <c r="BA141" i="62"/>
  <c r="BF140" i="62"/>
  <c r="BH139" i="62"/>
  <c r="BT138" i="62"/>
  <c r="BY137" i="62"/>
  <c r="BZ136" i="62"/>
  <c r="BA136" i="62"/>
  <c r="BR133" i="62"/>
  <c r="BM131" i="62"/>
  <c r="BV130" i="62"/>
  <c r="CC129" i="62"/>
  <c r="BD129" i="62"/>
  <c r="AX127" i="62"/>
  <c r="BP125" i="62"/>
  <c r="CA124" i="62"/>
  <c r="BD124" i="62"/>
  <c r="BK123" i="62"/>
  <c r="BT122" i="62"/>
  <c r="AY122" i="62"/>
  <c r="BF121" i="62"/>
  <c r="BO120" i="62"/>
  <c r="BY119" i="62"/>
  <c r="BB119" i="62"/>
  <c r="BR118" i="62"/>
  <c r="CD117" i="62"/>
  <c r="BG117" i="62"/>
  <c r="BT116" i="62"/>
  <c r="BB116" i="62"/>
  <c r="BL115" i="62"/>
  <c r="BZ114" i="62"/>
  <c r="BD114" i="62"/>
  <c r="BN113" i="62"/>
  <c r="AW113" i="62"/>
  <c r="BS111" i="62"/>
  <c r="AX111" i="62"/>
  <c r="BT59" i="62"/>
  <c r="BF59" i="62"/>
  <c r="CA58" i="62"/>
  <c r="BK58" i="62"/>
  <c r="AY58" i="62"/>
  <c r="BT57" i="62"/>
  <c r="BD57" i="62"/>
  <c r="BY56" i="62"/>
  <c r="BM56" i="62"/>
  <c r="AY56" i="62"/>
  <c r="BN55" i="62"/>
  <c r="BB55" i="62"/>
  <c r="CA54" i="62"/>
  <c r="BE54" i="62"/>
  <c r="CD53" i="62"/>
  <c r="BT53" i="62"/>
  <c r="BH53" i="62"/>
  <c r="AX53" i="62"/>
  <c r="BW52" i="62"/>
  <c r="BK52" i="62"/>
  <c r="BA52" i="62"/>
  <c r="BZ51" i="62"/>
  <c r="BN51" i="62"/>
  <c r="BD51" i="62"/>
  <c r="BT49" i="62"/>
  <c r="AZ49" i="62"/>
  <c r="BW48" i="62"/>
  <c r="BM48" i="62"/>
  <c r="BZ47" i="62"/>
  <c r="BP47" i="62"/>
  <c r="BF47" i="62"/>
  <c r="CC46" i="62"/>
  <c r="BS46" i="62"/>
  <c r="BI46" i="62"/>
  <c r="AW46" i="62"/>
  <c r="BY44" i="62"/>
  <c r="BO44" i="62"/>
  <c r="CB43" i="62"/>
  <c r="BR43" i="62"/>
  <c r="BF43" i="62"/>
  <c r="BU42" i="62"/>
  <c r="BI42" i="62"/>
  <c r="AY42" i="62"/>
  <c r="BL41" i="62"/>
  <c r="BB41" i="62"/>
  <c r="CA40" i="62"/>
  <c r="BO40" i="62"/>
  <c r="BE40" i="62"/>
  <c r="CD39" i="62"/>
  <c r="BR39" i="62"/>
  <c r="BH39" i="62"/>
  <c r="AX39" i="62"/>
  <c r="BU38" i="62"/>
  <c r="BK38" i="62"/>
  <c r="BA38" i="62"/>
  <c r="BN37" i="62"/>
  <c r="BD37" i="62"/>
  <c r="CA36" i="62"/>
  <c r="BG36" i="62"/>
  <c r="CD35" i="62"/>
  <c r="BT35" i="62"/>
  <c r="AX35" i="62"/>
  <c r="BZ33" i="62"/>
  <c r="BP33" i="62"/>
  <c r="BD33" i="62"/>
  <c r="CC32" i="62"/>
  <c r="BS32" i="62"/>
  <c r="BG32" i="62"/>
  <c r="AW32" i="62"/>
  <c r="CB29" i="62"/>
  <c r="BP29" i="62"/>
  <c r="BF29" i="62"/>
  <c r="BS28" i="62"/>
  <c r="BI28" i="62"/>
  <c r="AY28" i="62"/>
  <c r="BV27" i="62"/>
  <c r="BL27" i="62"/>
  <c r="BB27" i="62"/>
  <c r="BY26" i="62"/>
  <c r="BO26" i="62"/>
  <c r="BE26" i="62"/>
  <c r="BU24" i="62"/>
  <c r="BK24" i="62"/>
  <c r="AY24" i="62"/>
  <c r="BN23" i="62"/>
  <c r="BB23" i="62"/>
  <c r="CD21" i="62"/>
  <c r="BT21" i="62"/>
  <c r="BH21" i="62"/>
  <c r="AX21" i="62"/>
  <c r="BW20" i="62"/>
  <c r="BK20" i="62"/>
  <c r="BA20" i="62"/>
  <c r="BZ19" i="62"/>
  <c r="BN19" i="62"/>
  <c r="BD19" i="62"/>
  <c r="BT17" i="62"/>
  <c r="AZ17" i="62"/>
  <c r="BW16" i="62"/>
  <c r="BM16" i="62"/>
  <c r="CC14" i="62"/>
  <c r="BS14" i="62"/>
  <c r="BI14" i="62"/>
  <c r="AW14" i="62"/>
  <c r="BV13" i="62"/>
  <c r="BL13" i="62"/>
  <c r="AZ13" i="62"/>
  <c r="BB153" i="62"/>
  <c r="BV151" i="62"/>
  <c r="BA150" i="62"/>
  <c r="BA149" i="62"/>
  <c r="BA148" i="62"/>
  <c r="BZ146" i="62"/>
  <c r="BV145" i="62"/>
  <c r="BY144" i="62"/>
  <c r="BO143" i="62"/>
  <c r="BL142" i="62"/>
  <c r="BH141" i="62"/>
  <c r="BB140" i="62"/>
  <c r="BD139" i="62"/>
  <c r="AX138" i="62"/>
  <c r="BY136" i="62"/>
  <c r="BS135" i="62"/>
  <c r="BU134" i="62"/>
  <c r="BO133" i="62"/>
  <c r="BR131" i="62"/>
  <c r="BN130" i="62"/>
  <c r="BT129" i="62"/>
  <c r="BR127" i="62"/>
  <c r="BU126" i="62"/>
  <c r="CB125" i="62"/>
  <c r="BY123" i="62"/>
  <c r="CC122" i="62"/>
  <c r="AW121" i="62"/>
  <c r="AY120" i="62"/>
  <c r="AX119" i="62"/>
  <c r="BG118" i="62"/>
  <c r="BY115" i="62"/>
  <c r="CC114" i="62"/>
  <c r="AY114" i="62"/>
  <c r="BI113" i="62"/>
  <c r="BN112" i="62"/>
  <c r="BR111" i="62"/>
  <c r="BY59" i="62"/>
  <c r="BE59" i="62"/>
  <c r="BT58" i="62"/>
  <c r="BB58" i="62"/>
  <c r="BO57" i="62"/>
  <c r="AY57" i="62"/>
  <c r="BP56" i="62"/>
  <c r="AX56" i="62"/>
  <c r="BS55" i="62"/>
  <c r="BG55" i="62"/>
  <c r="BZ54" i="62"/>
  <c r="BL54" i="62"/>
  <c r="AX54" i="62"/>
  <c r="BE53" i="62"/>
  <c r="BZ52" i="62"/>
  <c r="BS51" i="62"/>
  <c r="CC49" i="62"/>
  <c r="BV48" i="62"/>
  <c r="BH48" i="62"/>
  <c r="BO47" i="62"/>
  <c r="BA47" i="62"/>
  <c r="BV46" i="62"/>
  <c r="BF46" i="62"/>
  <c r="BT44" i="62"/>
  <c r="BH44" i="62"/>
  <c r="CA43" i="62"/>
  <c r="BM43" i="62"/>
  <c r="AY43" i="62"/>
  <c r="BR42" i="62"/>
  <c r="BF42" i="62"/>
  <c r="CA41" i="62"/>
  <c r="BK41" i="62"/>
  <c r="AW41" i="62"/>
  <c r="BT40" i="62"/>
  <c r="BD40" i="62"/>
  <c r="BY39" i="62"/>
  <c r="BK39" i="62"/>
  <c r="CD38" i="62"/>
  <c r="BR38" i="62"/>
  <c r="BD38" i="62"/>
  <c r="BW37" i="62"/>
  <c r="BI37" i="62"/>
  <c r="AW37" i="62"/>
  <c r="BP36" i="62"/>
  <c r="BB36" i="62"/>
  <c r="BW35" i="62"/>
  <c r="BG35" i="62"/>
  <c r="BU33" i="62"/>
  <c r="BI33" i="62"/>
  <c r="CB32" i="62"/>
  <c r="BN32" i="62"/>
  <c r="AZ32" i="62"/>
  <c r="BU29" i="62"/>
  <c r="BE29" i="62"/>
  <c r="BZ28" i="62"/>
  <c r="BL28" i="62"/>
  <c r="BS27" i="62"/>
  <c r="BE27" i="62"/>
  <c r="AX26" i="62"/>
  <c r="BH24" i="62"/>
  <c r="BA23" i="62"/>
  <c r="CC21" i="62"/>
  <c r="BO21" i="62"/>
  <c r="BA21" i="62"/>
  <c r="BT20" i="62"/>
  <c r="BH20" i="62"/>
  <c r="CC19" i="62"/>
  <c r="BM19" i="62"/>
  <c r="AY19" i="62"/>
  <c r="CA17" i="62"/>
  <c r="BM17" i="62"/>
  <c r="AW17" i="62"/>
  <c r="BT16" i="62"/>
  <c r="BF16" i="62"/>
  <c r="BR14" i="62"/>
  <c r="BD14" i="62"/>
  <c r="BY13" i="62"/>
  <c r="BI13" i="62"/>
  <c r="AW13" i="62"/>
  <c r="BS33" i="62"/>
  <c r="BB14" i="62"/>
  <c r="BA153" i="62"/>
  <c r="BU151" i="62"/>
  <c r="AZ150" i="62"/>
  <c r="AZ149" i="62"/>
  <c r="AZ148" i="62"/>
  <c r="BU146" i="62"/>
  <c r="BT145" i="62"/>
  <c r="BM143" i="62"/>
  <c r="BD141" i="62"/>
  <c r="AZ140" i="62"/>
  <c r="AW138" i="62"/>
  <c r="BR135" i="62"/>
  <c r="BT134" i="62"/>
  <c r="BN133" i="62"/>
  <c r="BM130" i="62"/>
  <c r="BR129" i="62"/>
  <c r="BT128" i="62"/>
  <c r="BT126" i="62"/>
  <c r="BZ125" i="62"/>
  <c r="BW124" i="62"/>
  <c r="CA122" i="62"/>
  <c r="BU121" i="62"/>
  <c r="CA120" i="62"/>
  <c r="CD119" i="62"/>
  <c r="AW119" i="62"/>
  <c r="BE118" i="62"/>
  <c r="BO117" i="62"/>
  <c r="BP116" i="62"/>
  <c r="CB114" i="62"/>
  <c r="AX114" i="62"/>
  <c r="BH113" i="62"/>
  <c r="BL112" i="62"/>
  <c r="BD59" i="62"/>
  <c r="BS58" i="62"/>
  <c r="BA58" i="62"/>
  <c r="BN57" i="62"/>
  <c r="AX57" i="62"/>
  <c r="BO56" i="62"/>
  <c r="AW56" i="62"/>
  <c r="BR55" i="62"/>
  <c r="BF55" i="62"/>
  <c r="BY54" i="62"/>
  <c r="BK54" i="62"/>
  <c r="AW54" i="62"/>
  <c r="BP53" i="62"/>
  <c r="BD53" i="62"/>
  <c r="BY52" i="62"/>
  <c r="BI52" i="62"/>
  <c r="CD51" i="62"/>
  <c r="BR51" i="62"/>
  <c r="BB51" i="62"/>
  <c r="CB49" i="62"/>
  <c r="BP49" i="62"/>
  <c r="BB49" i="62"/>
  <c r="BU48" i="62"/>
  <c r="BG48" i="62"/>
  <c r="CD47" i="62"/>
  <c r="BN47" i="62"/>
  <c r="AZ47" i="62"/>
  <c r="BU46" i="62"/>
  <c r="BE46" i="62"/>
  <c r="BS44" i="62"/>
  <c r="BG44" i="62"/>
  <c r="BZ43" i="62"/>
  <c r="BL43" i="62"/>
  <c r="AX43" i="62"/>
  <c r="BE42" i="62"/>
  <c r="BZ41" i="62"/>
  <c r="BS40" i="62"/>
  <c r="CC38" i="62"/>
  <c r="BV37" i="62"/>
  <c r="BH37" i="62"/>
  <c r="BO36" i="62"/>
  <c r="BA36" i="62"/>
  <c r="BV35" i="62"/>
  <c r="BF35" i="62"/>
  <c r="BT33" i="62"/>
  <c r="BH33" i="62"/>
  <c r="CA32" i="62"/>
  <c r="BM32" i="62"/>
  <c r="AY32" i="62"/>
  <c r="BT29" i="62"/>
  <c r="BD29" i="62"/>
  <c r="BY28" i="62"/>
  <c r="BK28" i="62"/>
  <c r="CD27" i="62"/>
  <c r="BR27" i="62"/>
  <c r="BD27" i="62"/>
  <c r="BW26" i="62"/>
  <c r="BI26" i="62"/>
  <c r="AW26" i="62"/>
  <c r="BW24" i="62"/>
  <c r="BG24" i="62"/>
  <c r="CD23" i="62"/>
  <c r="BP23" i="62"/>
  <c r="AZ23" i="62"/>
  <c r="CB21" i="62"/>
  <c r="BN21" i="62"/>
  <c r="AZ21" i="62"/>
  <c r="BS20" i="62"/>
  <c r="BG20" i="62"/>
  <c r="CB19" i="62"/>
  <c r="BL19" i="62"/>
  <c r="AX19" i="62"/>
  <c r="BZ17" i="62"/>
  <c r="BL17" i="62"/>
  <c r="BS16" i="62"/>
  <c r="BE16" i="62"/>
  <c r="BH13" i="62"/>
  <c r="AZ153" i="62"/>
  <c r="BF151" i="62"/>
  <c r="CD149" i="62"/>
  <c r="BR147" i="62"/>
  <c r="BT146" i="62"/>
  <c r="BL145" i="62"/>
  <c r="BD143" i="62"/>
  <c r="BE142" i="62"/>
  <c r="AZ141" i="62"/>
  <c r="CB139" i="62"/>
  <c r="BZ138" i="62"/>
  <c r="BO137" i="62"/>
  <c r="BP135" i="62"/>
  <c r="BG134" i="62"/>
  <c r="BE133" i="62"/>
  <c r="BH131" i="62"/>
  <c r="BK130" i="62"/>
  <c r="BM129" i="62"/>
  <c r="BI128" i="62"/>
  <c r="BN127" i="62"/>
  <c r="BS126" i="62"/>
  <c r="BM125" i="62"/>
  <c r="BP124" i="62"/>
  <c r="BV123" i="62"/>
  <c r="BS122" i="62"/>
  <c r="BT121" i="62"/>
  <c r="BR120" i="62"/>
  <c r="BT119" i="62"/>
  <c r="CD118" i="62"/>
  <c r="AZ118" i="62"/>
  <c r="BE117" i="62"/>
  <c r="BI116" i="62"/>
  <c r="BS115" i="62"/>
  <c r="BV114" i="62"/>
  <c r="CB113" i="62"/>
  <c r="AZ113" i="62"/>
  <c r="BB112" i="62"/>
  <c r="BL111" i="62"/>
  <c r="AY59" i="62"/>
  <c r="BR58" i="62"/>
  <c r="BM57" i="62"/>
  <c r="CD56" i="62"/>
  <c r="BH56" i="62"/>
  <c r="BA55" i="62"/>
  <c r="BV54" i="62"/>
  <c r="CC53" i="62"/>
  <c r="BO53" i="62"/>
  <c r="BA53" i="62"/>
  <c r="BT52" i="62"/>
  <c r="BH52" i="62"/>
  <c r="CC51" i="62"/>
  <c r="BM51" i="62"/>
  <c r="AY51" i="62"/>
  <c r="CA49" i="62"/>
  <c r="BM49" i="62"/>
  <c r="AW49" i="62"/>
  <c r="BT48" i="62"/>
  <c r="BF48" i="62"/>
  <c r="BY47" i="62"/>
  <c r="BK47" i="62"/>
  <c r="AY47" i="62"/>
  <c r="BR46" i="62"/>
  <c r="BD46" i="62"/>
  <c r="BR44" i="62"/>
  <c r="BB44" i="62"/>
  <c r="BW43" i="62"/>
  <c r="BK43" i="62"/>
  <c r="CD42" i="62"/>
  <c r="BP42" i="62"/>
  <c r="BB42" i="62"/>
  <c r="BU41" i="62"/>
  <c r="BI41" i="62"/>
  <c r="CD40" i="62"/>
  <c r="BN40" i="62"/>
  <c r="AZ40" i="62"/>
  <c r="BW39" i="62"/>
  <c r="BG39" i="62"/>
  <c r="CB38" i="62"/>
  <c r="BN38" i="62"/>
  <c r="AX38" i="62"/>
  <c r="BU37" i="62"/>
  <c r="BG37" i="62"/>
  <c r="BZ36" i="62"/>
  <c r="BL36" i="62"/>
  <c r="AZ36" i="62"/>
  <c r="BS35" i="62"/>
  <c r="BE35" i="62"/>
  <c r="BL32" i="62"/>
  <c r="BO29" i="62"/>
  <c r="BA29" i="62"/>
  <c r="BH28" i="62"/>
  <c r="CC27" i="62"/>
  <c r="BO27" i="62"/>
  <c r="AY27" i="62"/>
  <c r="BV26" i="62"/>
  <c r="BH26" i="62"/>
  <c r="BT24" i="62"/>
  <c r="BF24" i="62"/>
  <c r="CA23" i="62"/>
  <c r="BK23" i="62"/>
  <c r="AY23" i="62"/>
  <c r="BY21" i="62"/>
  <c r="BM21" i="62"/>
  <c r="AW21" i="62"/>
  <c r="BR20" i="62"/>
  <c r="BD20" i="62"/>
  <c r="BW19" i="62"/>
  <c r="BK19" i="62"/>
  <c r="AW19" i="62"/>
  <c r="BY17" i="62"/>
  <c r="BI17" i="62"/>
  <c r="CD16" i="62"/>
  <c r="BP16" i="62"/>
  <c r="AZ16" i="62"/>
  <c r="CB14" i="62"/>
  <c r="BN14" i="62"/>
  <c r="BU13" i="62"/>
  <c r="BG13" i="62"/>
  <c r="BU150" i="62"/>
  <c r="BV148" i="62"/>
  <c r="BF147" i="62"/>
  <c r="AY145" i="62"/>
  <c r="BT141" i="62"/>
  <c r="CA139" i="62"/>
  <c r="BG138" i="62"/>
  <c r="BK136" i="62"/>
  <c r="CC134" i="62"/>
  <c r="BA133" i="62"/>
  <c r="BF131" i="62"/>
  <c r="CB129" i="62"/>
  <c r="BF128" i="62"/>
  <c r="CD126" i="62"/>
  <c r="BH125" i="62"/>
  <c r="BU123" i="62"/>
  <c r="BD122" i="62"/>
  <c r="BN120" i="62"/>
  <c r="BU117" i="62"/>
  <c r="BG116" i="62"/>
  <c r="BD115" i="62"/>
  <c r="BD111" i="62"/>
  <c r="BI59" i="62"/>
  <c r="BV57" i="62"/>
  <c r="BW56" i="62"/>
  <c r="CD55" i="62"/>
  <c r="BI55" i="62"/>
  <c r="BT54" i="62"/>
  <c r="BA54" i="62"/>
  <c r="BL53" i="62"/>
  <c r="BS52" i="62"/>
  <c r="AZ52" i="62"/>
  <c r="BK51" i="62"/>
  <c r="BL49" i="62"/>
  <c r="CB48" i="62"/>
  <c r="AZ48" i="62"/>
  <c r="BR47" i="62"/>
  <c r="CA46" i="62"/>
  <c r="CB44" i="62"/>
  <c r="BI44" i="62"/>
  <c r="BT43" i="62"/>
  <c r="CC42" i="62"/>
  <c r="BH42" i="62"/>
  <c r="BS41" i="62"/>
  <c r="AZ41" i="62"/>
  <c r="BK40" i="62"/>
  <c r="BV39" i="62"/>
  <c r="BA39" i="62"/>
  <c r="CB37" i="62"/>
  <c r="AZ37" i="62"/>
  <c r="BK36" i="62"/>
  <c r="CA35" i="62"/>
  <c r="CB33" i="62"/>
  <c r="BB33" i="62"/>
  <c r="BP32" i="62"/>
  <c r="CD29" i="62"/>
  <c r="BI29" i="62"/>
  <c r="BR28" i="62"/>
  <c r="BA28" i="62"/>
  <c r="BU26" i="62"/>
  <c r="AZ26" i="62"/>
  <c r="CA24" i="62"/>
  <c r="BP21" i="62"/>
  <c r="CA20" i="62"/>
  <c r="BS19" i="62"/>
  <c r="BR17" i="62"/>
  <c r="CC16" i="62"/>
  <c r="BH16" i="62"/>
  <c r="BK14" i="62"/>
  <c r="BT13" i="62"/>
  <c r="AY13" i="62"/>
  <c r="CB149" i="62"/>
  <c r="BD148" i="62"/>
  <c r="BH146" i="62"/>
  <c r="BZ144" i="62"/>
  <c r="CD142" i="62"/>
  <c r="AX141" i="62"/>
  <c r="BF139" i="62"/>
  <c r="BL137" i="62"/>
  <c r="CC135" i="62"/>
  <c r="AZ134" i="62"/>
  <c r="CC130" i="62"/>
  <c r="BB129" i="62"/>
  <c r="AX128" i="62"/>
  <c r="BO124" i="62"/>
  <c r="BB123" i="62"/>
  <c r="BO121" i="62"/>
  <c r="AZ120" i="62"/>
  <c r="BT118" i="62"/>
  <c r="BB117" i="62"/>
  <c r="CB115" i="62"/>
  <c r="BO114" i="62"/>
  <c r="CD111" i="62"/>
  <c r="AY153" i="62"/>
  <c r="BT150" i="62"/>
  <c r="BP148" i="62"/>
  <c r="BE147" i="62"/>
  <c r="AX145" i="62"/>
  <c r="BS141" i="62"/>
  <c r="BW139" i="62"/>
  <c r="BF138" i="62"/>
  <c r="BF136" i="62"/>
  <c r="BF134" i="62"/>
  <c r="AZ131" i="62"/>
  <c r="BZ129" i="62"/>
  <c r="BB128" i="62"/>
  <c r="BO126" i="62"/>
  <c r="AZ125" i="62"/>
  <c r="BH123" i="62"/>
  <c r="BB122" i="62"/>
  <c r="BL120" i="62"/>
  <c r="CC118" i="62"/>
  <c r="BT117" i="62"/>
  <c r="BF116" i="62"/>
  <c r="BW113" i="62"/>
  <c r="BA112" i="62"/>
  <c r="BH59" i="62"/>
  <c r="BI58" i="62"/>
  <c r="BL57" i="62"/>
  <c r="BR56" i="62"/>
  <c r="CA55" i="62"/>
  <c r="BH55" i="62"/>
  <c r="BS54" i="62"/>
  <c r="CB53" i="62"/>
  <c r="BG53" i="62"/>
  <c r="BR52" i="62"/>
  <c r="AY52" i="62"/>
  <c r="BI49" i="62"/>
  <c r="CA48" i="62"/>
  <c r="AY48" i="62"/>
  <c r="BZ46" i="62"/>
  <c r="BB46" i="62"/>
  <c r="CA44" i="62"/>
  <c r="BA44" i="62"/>
  <c r="BO43" i="62"/>
  <c r="BZ42" i="62"/>
  <c r="BG42" i="62"/>
  <c r="BR41" i="62"/>
  <c r="CC40" i="62"/>
  <c r="BH40" i="62"/>
  <c r="AZ39" i="62"/>
  <c r="BI38" i="62"/>
  <c r="BT37" i="62"/>
  <c r="AY37" i="62"/>
  <c r="BZ35" i="62"/>
  <c r="BB35" i="62"/>
  <c r="BY33" i="62"/>
  <c r="BA33" i="62"/>
  <c r="BO32" i="62"/>
  <c r="BY29" i="62"/>
  <c r="BH29" i="62"/>
  <c r="CB27" i="62"/>
  <c r="BG27" i="62"/>
  <c r="BR26" i="62"/>
  <c r="AY26" i="62"/>
  <c r="BS24" i="62"/>
  <c r="AX24" i="62"/>
  <c r="BI23" i="62"/>
  <c r="BL21" i="62"/>
  <c r="BZ20" i="62"/>
  <c r="AZ20" i="62"/>
  <c r="BR19" i="62"/>
  <c r="CB16" i="62"/>
  <c r="BG16" i="62"/>
  <c r="CA14" i="62"/>
  <c r="BF14" i="62"/>
  <c r="AX13" i="62"/>
  <c r="BK152" i="62"/>
  <c r="BR150" i="62"/>
  <c r="BN148" i="62"/>
  <c r="BR146" i="62"/>
  <c r="CA144" i="62"/>
  <c r="AW143" i="62"/>
  <c r="BR141" i="62"/>
  <c r="BT139" i="62"/>
  <c r="BN137" i="62"/>
  <c r="CD135" i="62"/>
  <c r="BA134" i="62"/>
  <c r="AX131" i="62"/>
  <c r="BL129" i="62"/>
  <c r="AY128" i="62"/>
  <c r="BD126" i="62"/>
  <c r="AX125" i="62"/>
  <c r="BF123" i="62"/>
  <c r="BR121" i="62"/>
  <c r="BU118" i="62"/>
  <c r="BR117" i="62"/>
  <c r="BD116" i="62"/>
  <c r="BU114" i="62"/>
  <c r="BM113" i="62"/>
  <c r="AY112" i="62"/>
  <c r="CD59" i="62"/>
  <c r="AX59" i="62"/>
  <c r="BH58" i="62"/>
  <c r="BK57" i="62"/>
  <c r="BZ55" i="62"/>
  <c r="AZ55" i="62"/>
  <c r="BN54" i="62"/>
  <c r="BY53" i="62"/>
  <c r="BF53" i="62"/>
  <c r="CB51" i="62"/>
  <c r="BG51" i="62"/>
  <c r="BH49" i="62"/>
  <c r="BS48" i="62"/>
  <c r="AX48" i="62"/>
  <c r="BI47" i="62"/>
  <c r="BY46" i="62"/>
  <c r="BA46" i="62"/>
  <c r="AZ44" i="62"/>
  <c r="BN43" i="62"/>
  <c r="BY42" i="62"/>
  <c r="BA42" i="62"/>
  <c r="BG40" i="62"/>
  <c r="BP39" i="62"/>
  <c r="CA38" i="62"/>
  <c r="BF38" i="62"/>
  <c r="AX37" i="62"/>
  <c r="BI36" i="62"/>
  <c r="BR35" i="62"/>
  <c r="AW35" i="62"/>
  <c r="AZ33" i="62"/>
  <c r="BK32" i="62"/>
  <c r="AZ29" i="62"/>
  <c r="BP28" i="62"/>
  <c r="CA27" i="62"/>
  <c r="BF27" i="62"/>
  <c r="BP24" i="62"/>
  <c r="AW24" i="62"/>
  <c r="BH23" i="62"/>
  <c r="BG21" i="62"/>
  <c r="BY20" i="62"/>
  <c r="AY20" i="62"/>
  <c r="BP17" i="62"/>
  <c r="CA16" i="62"/>
  <c r="AY16" i="62"/>
  <c r="BZ14" i="62"/>
  <c r="BE14" i="62"/>
  <c r="BP13" i="62"/>
  <c r="CB13" i="62"/>
  <c r="BV14" i="62"/>
  <c r="BV16" i="62"/>
  <c r="CB17" i="62"/>
  <c r="CD19" i="62"/>
  <c r="AX23" i="62"/>
  <c r="BD24" i="62"/>
  <c r="BB26" i="62"/>
  <c r="AX27" i="62"/>
  <c r="BD28" i="62"/>
  <c r="BL29" i="62"/>
  <c r="BF32" i="62"/>
  <c r="BL33" i="62"/>
  <c r="BN35" i="62"/>
  <c r="BT36" i="62"/>
  <c r="BP37" i="62"/>
  <c r="BT38" i="62"/>
  <c r="BZ39" i="62"/>
  <c r="BV40" i="62"/>
  <c r="CB41" i="62"/>
  <c r="CD43" i="62"/>
  <c r="AX47" i="62"/>
  <c r="AW48" i="62"/>
  <c r="AX51" i="62"/>
  <c r="BD52" i="62"/>
  <c r="AZ53" i="62"/>
  <c r="BD54" i="62"/>
  <c r="BF56" i="62"/>
  <c r="BZ57" i="62"/>
  <c r="AW59" i="62"/>
  <c r="AY113" i="62"/>
  <c r="CA115" i="62"/>
  <c r="BL118" i="62"/>
  <c r="BI124" i="62"/>
  <c r="BM127" i="62"/>
  <c r="BZ130" i="62"/>
  <c r="BV140" i="62"/>
  <c r="BE144" i="62"/>
  <c r="BB148" i="62"/>
  <c r="AZ152" i="62"/>
  <c r="C1" i="46"/>
  <c r="A1" i="46"/>
  <c r="C1" i="58"/>
  <c r="U28" i="58" s="1"/>
  <c r="A1" i="58"/>
  <c r="V98" i="39"/>
  <c r="V86" i="39"/>
  <c r="V70" i="39"/>
  <c r="V54" i="39"/>
  <c r="V38" i="39"/>
  <c r="V23" i="39"/>
  <c r="C1" i="39"/>
  <c r="AF63" i="39" s="1"/>
  <c r="A1" i="39"/>
  <c r="V7" i="39"/>
  <c r="C1" i="60"/>
  <c r="CE68" i="60" s="1"/>
  <c r="A1" i="60"/>
  <c r="Q7" i="76"/>
  <c r="P7" i="76"/>
  <c r="O7" i="76"/>
  <c r="N7" i="76"/>
  <c r="M7" i="76"/>
  <c r="L7" i="76"/>
  <c r="C1" i="76"/>
  <c r="Q110" i="76" s="1"/>
  <c r="A1" i="76"/>
  <c r="Z131" i="1"/>
  <c r="Y131" i="1"/>
  <c r="X131" i="1"/>
  <c r="W131" i="1"/>
  <c r="V131" i="1"/>
  <c r="U131" i="1"/>
  <c r="A1" i="1"/>
  <c r="C1" i="1"/>
  <c r="Z92" i="1" s="1"/>
  <c r="Z83" i="1"/>
  <c r="Y83" i="1"/>
  <c r="X83" i="1"/>
  <c r="W83" i="1"/>
  <c r="V83" i="1"/>
  <c r="U83" i="1"/>
  <c r="J8" i="1"/>
  <c r="I8" i="1"/>
  <c r="H8" i="1"/>
  <c r="G8" i="1"/>
  <c r="F8" i="1"/>
  <c r="E8" i="1"/>
  <c r="AG235" i="50"/>
  <c r="BS235" i="50" s="1"/>
  <c r="AG234" i="50"/>
  <c r="BS234" i="50" s="1"/>
  <c r="AG233" i="50"/>
  <c r="BS233" i="50" s="1"/>
  <c r="AG232" i="50"/>
  <c r="BS232" i="50" s="1"/>
  <c r="AG231" i="50"/>
  <c r="BS231" i="50" s="1"/>
  <c r="AG230" i="50"/>
  <c r="BS230" i="50" s="1"/>
  <c r="AG229" i="50"/>
  <c r="BS229" i="50" s="1"/>
  <c r="AG228" i="50"/>
  <c r="BS228" i="50" s="1"/>
  <c r="AG227" i="50"/>
  <c r="BS227" i="50" s="1"/>
  <c r="AG226" i="50"/>
  <c r="BS226" i="50" s="1"/>
  <c r="AG225" i="50"/>
  <c r="BS225" i="50" s="1"/>
  <c r="AG224" i="50"/>
  <c r="BS224" i="50" s="1"/>
  <c r="AG223" i="50"/>
  <c r="BS223" i="50" s="1"/>
  <c r="AG222" i="50"/>
  <c r="BS222" i="50" s="1"/>
  <c r="AG221" i="50"/>
  <c r="BS221" i="50" s="1"/>
  <c r="AG220" i="50"/>
  <c r="BS220" i="50" s="1"/>
  <c r="AG219" i="50"/>
  <c r="BS219" i="50" s="1"/>
  <c r="AG218" i="50"/>
  <c r="BS218" i="50" s="1"/>
  <c r="AG217" i="50"/>
  <c r="BS217" i="50" s="1"/>
  <c r="AG216" i="50"/>
  <c r="BS216" i="50" s="1"/>
  <c r="AG215" i="50"/>
  <c r="BS215" i="50" s="1"/>
  <c r="Z235" i="50"/>
  <c r="BL235" i="50" s="1"/>
  <c r="Z234" i="50"/>
  <c r="BL234" i="50" s="1"/>
  <c r="Z233" i="50"/>
  <c r="BL233" i="50" s="1"/>
  <c r="Z232" i="50"/>
  <c r="BL232" i="50" s="1"/>
  <c r="Z231" i="50"/>
  <c r="BL231" i="50" s="1"/>
  <c r="Z230" i="50"/>
  <c r="BL230" i="50" s="1"/>
  <c r="Z229" i="50"/>
  <c r="BL229" i="50" s="1"/>
  <c r="Z228" i="50"/>
  <c r="BL228" i="50" s="1"/>
  <c r="Z227" i="50"/>
  <c r="BL227" i="50" s="1"/>
  <c r="Z226" i="50"/>
  <c r="BL226" i="50" s="1"/>
  <c r="Z225" i="50"/>
  <c r="BL225" i="50" s="1"/>
  <c r="Z224" i="50"/>
  <c r="BL224" i="50" s="1"/>
  <c r="Z223" i="50"/>
  <c r="BL223" i="50" s="1"/>
  <c r="Z222" i="50"/>
  <c r="BL222" i="50" s="1"/>
  <c r="Z221" i="50"/>
  <c r="BL221" i="50" s="1"/>
  <c r="Z220" i="50"/>
  <c r="BL220" i="50" s="1"/>
  <c r="Z219" i="50"/>
  <c r="BL219" i="50" s="1"/>
  <c r="Z218" i="50"/>
  <c r="BL218" i="50" s="1"/>
  <c r="Z217" i="50"/>
  <c r="BL217" i="50" s="1"/>
  <c r="Z216" i="50"/>
  <c r="BL216" i="50" s="1"/>
  <c r="Z215" i="50"/>
  <c r="BL215" i="50" s="1"/>
  <c r="S235" i="50"/>
  <c r="BE235" i="50" s="1"/>
  <c r="S234" i="50"/>
  <c r="BE234" i="50" s="1"/>
  <c r="S233" i="50"/>
  <c r="BE233" i="50" s="1"/>
  <c r="S232" i="50"/>
  <c r="BE232" i="50" s="1"/>
  <c r="S231" i="50"/>
  <c r="BE231" i="50" s="1"/>
  <c r="S230" i="50"/>
  <c r="BE230" i="50" s="1"/>
  <c r="S229" i="50"/>
  <c r="BE229" i="50" s="1"/>
  <c r="S228" i="50"/>
  <c r="BE228" i="50" s="1"/>
  <c r="S227" i="50"/>
  <c r="BE227" i="50" s="1"/>
  <c r="S226" i="50"/>
  <c r="BE226" i="50" s="1"/>
  <c r="S225" i="50"/>
  <c r="BE225" i="50" s="1"/>
  <c r="S224" i="50"/>
  <c r="BE224" i="50" s="1"/>
  <c r="S223" i="50"/>
  <c r="BE223" i="50" s="1"/>
  <c r="S222" i="50"/>
  <c r="BE222" i="50" s="1"/>
  <c r="S221" i="50"/>
  <c r="BE221" i="50" s="1"/>
  <c r="S220" i="50"/>
  <c r="BE220" i="50" s="1"/>
  <c r="S219" i="50"/>
  <c r="BE219" i="50" s="1"/>
  <c r="S218" i="50"/>
  <c r="BE218" i="50" s="1"/>
  <c r="S217" i="50"/>
  <c r="BE217" i="50" s="1"/>
  <c r="S216" i="50"/>
  <c r="BE216" i="50" s="1"/>
  <c r="S215" i="50"/>
  <c r="BE215" i="50" s="1"/>
  <c r="L235" i="50"/>
  <c r="AX235" i="50" s="1"/>
  <c r="L234" i="50"/>
  <c r="AX234" i="50" s="1"/>
  <c r="L233" i="50"/>
  <c r="AX233" i="50" s="1"/>
  <c r="L232" i="50"/>
  <c r="AX232" i="50" s="1"/>
  <c r="L231" i="50"/>
  <c r="AX231" i="50" s="1"/>
  <c r="L230" i="50"/>
  <c r="AX230" i="50" s="1"/>
  <c r="L229" i="50"/>
  <c r="AX229" i="50" s="1"/>
  <c r="L228" i="50"/>
  <c r="AX228" i="50" s="1"/>
  <c r="L227" i="50"/>
  <c r="AX227" i="50" s="1"/>
  <c r="L226" i="50"/>
  <c r="AX226" i="50" s="1"/>
  <c r="L225" i="50"/>
  <c r="AX225" i="50" s="1"/>
  <c r="L224" i="50"/>
  <c r="AX224" i="50" s="1"/>
  <c r="L223" i="50"/>
  <c r="AX223" i="50" s="1"/>
  <c r="L222" i="50"/>
  <c r="AX222" i="50" s="1"/>
  <c r="L221" i="50"/>
  <c r="AX221" i="50" s="1"/>
  <c r="L220" i="50"/>
  <c r="AX220" i="50" s="1"/>
  <c r="L219" i="50"/>
  <c r="AX219" i="50" s="1"/>
  <c r="L218" i="50"/>
  <c r="AX218" i="50" s="1"/>
  <c r="L217" i="50"/>
  <c r="AX217" i="50" s="1"/>
  <c r="L216" i="50"/>
  <c r="AX216" i="50" s="1"/>
  <c r="L215" i="50"/>
  <c r="AX215" i="50" s="1"/>
  <c r="E235" i="50"/>
  <c r="AQ235" i="50" s="1"/>
  <c r="E234" i="50"/>
  <c r="AQ234" i="50" s="1"/>
  <c r="E233" i="50"/>
  <c r="AQ233" i="50" s="1"/>
  <c r="E232" i="50"/>
  <c r="AQ232" i="50" s="1"/>
  <c r="E231" i="50"/>
  <c r="AQ231" i="50" s="1"/>
  <c r="E230" i="50"/>
  <c r="AQ230" i="50" s="1"/>
  <c r="E229" i="50"/>
  <c r="AQ229" i="50" s="1"/>
  <c r="E228" i="50"/>
  <c r="AQ228" i="50" s="1"/>
  <c r="E227" i="50"/>
  <c r="AQ227" i="50" s="1"/>
  <c r="E226" i="50"/>
  <c r="AQ226" i="50" s="1"/>
  <c r="E225" i="50"/>
  <c r="AQ225" i="50" s="1"/>
  <c r="E224" i="50"/>
  <c r="AQ224" i="50" s="1"/>
  <c r="E223" i="50"/>
  <c r="AQ223" i="50" s="1"/>
  <c r="E222" i="50"/>
  <c r="AQ222" i="50" s="1"/>
  <c r="E221" i="50"/>
  <c r="AQ221" i="50" s="1"/>
  <c r="E220" i="50"/>
  <c r="AQ220" i="50" s="1"/>
  <c r="E219" i="50"/>
  <c r="AQ219" i="50" s="1"/>
  <c r="E218" i="50"/>
  <c r="AQ218" i="50" s="1"/>
  <c r="E217" i="50"/>
  <c r="AQ217" i="50" s="1"/>
  <c r="E216" i="50"/>
  <c r="AQ216" i="50" s="1"/>
  <c r="E215" i="50"/>
  <c r="AQ215" i="50" s="1"/>
  <c r="AG150" i="50"/>
  <c r="BS150" i="50" s="1"/>
  <c r="AG149" i="50"/>
  <c r="BS149" i="50" s="1"/>
  <c r="AG148" i="50"/>
  <c r="BS148" i="50" s="1"/>
  <c r="AG147" i="50"/>
  <c r="BS147" i="50" s="1"/>
  <c r="AG146" i="50"/>
  <c r="BS146" i="50" s="1"/>
  <c r="AG145" i="50"/>
  <c r="BS145" i="50" s="1"/>
  <c r="AG144" i="50"/>
  <c r="BS144" i="50" s="1"/>
  <c r="AG143" i="50"/>
  <c r="BS143" i="50" s="1"/>
  <c r="AG142" i="50"/>
  <c r="BS142" i="50" s="1"/>
  <c r="AG141" i="50"/>
  <c r="BS141" i="50" s="1"/>
  <c r="AG140" i="50"/>
  <c r="BS140" i="50" s="1"/>
  <c r="AG139" i="50"/>
  <c r="BS139" i="50" s="1"/>
  <c r="AG138" i="50"/>
  <c r="BS138" i="50" s="1"/>
  <c r="AG137" i="50"/>
  <c r="BS137" i="50" s="1"/>
  <c r="AG136" i="50"/>
  <c r="BS136" i="50" s="1"/>
  <c r="AG135" i="50"/>
  <c r="BS135" i="50" s="1"/>
  <c r="AG134" i="50"/>
  <c r="BS134" i="50" s="1"/>
  <c r="AG133" i="50"/>
  <c r="BS133" i="50" s="1"/>
  <c r="AG132" i="50"/>
  <c r="BS132" i="50" s="1"/>
  <c r="Z150" i="50"/>
  <c r="BL150" i="50" s="1"/>
  <c r="Z149" i="50"/>
  <c r="BL149" i="50" s="1"/>
  <c r="Z148" i="50"/>
  <c r="BL148" i="50" s="1"/>
  <c r="Z147" i="50"/>
  <c r="BL147" i="50" s="1"/>
  <c r="Z146" i="50"/>
  <c r="BL146" i="50" s="1"/>
  <c r="Z145" i="50"/>
  <c r="BL145" i="50" s="1"/>
  <c r="Z144" i="50"/>
  <c r="BL144" i="50" s="1"/>
  <c r="Z143" i="50"/>
  <c r="BL143" i="50" s="1"/>
  <c r="Z142" i="50"/>
  <c r="BL142" i="50" s="1"/>
  <c r="Z141" i="50"/>
  <c r="BL141" i="50" s="1"/>
  <c r="Z140" i="50"/>
  <c r="BL140" i="50" s="1"/>
  <c r="Z139" i="50"/>
  <c r="BL139" i="50" s="1"/>
  <c r="Z138" i="50"/>
  <c r="BL138" i="50" s="1"/>
  <c r="Z137" i="50"/>
  <c r="BL137" i="50" s="1"/>
  <c r="Z136" i="50"/>
  <c r="BL136" i="50" s="1"/>
  <c r="Z135" i="50"/>
  <c r="BL135" i="50" s="1"/>
  <c r="Z134" i="50"/>
  <c r="BL134" i="50" s="1"/>
  <c r="Z133" i="50"/>
  <c r="BL133" i="50" s="1"/>
  <c r="Z132" i="50"/>
  <c r="BL132" i="50" s="1"/>
  <c r="S33" i="62"/>
  <c r="S32" i="62"/>
  <c r="S150" i="50"/>
  <c r="BE150" i="50" s="1"/>
  <c r="S149" i="50"/>
  <c r="BE149" i="50" s="1"/>
  <c r="S148" i="50"/>
  <c r="BE148" i="50" s="1"/>
  <c r="S147" i="50"/>
  <c r="BE147" i="50" s="1"/>
  <c r="S146" i="50"/>
  <c r="BE146" i="50" s="1"/>
  <c r="S145" i="50"/>
  <c r="BE145" i="50" s="1"/>
  <c r="S144" i="50"/>
  <c r="BE144" i="50" s="1"/>
  <c r="S143" i="50"/>
  <c r="BE143" i="50" s="1"/>
  <c r="S142" i="50"/>
  <c r="BE142" i="50" s="1"/>
  <c r="S141" i="50"/>
  <c r="BE141" i="50" s="1"/>
  <c r="S140" i="50"/>
  <c r="BE140" i="50" s="1"/>
  <c r="S139" i="50"/>
  <c r="BE139" i="50" s="1"/>
  <c r="S138" i="50"/>
  <c r="BE138" i="50" s="1"/>
  <c r="S137" i="50"/>
  <c r="BE137" i="50" s="1"/>
  <c r="S136" i="50"/>
  <c r="BE136" i="50" s="1"/>
  <c r="S135" i="50"/>
  <c r="BE135" i="50" s="1"/>
  <c r="S134" i="50"/>
  <c r="BE134" i="50" s="1"/>
  <c r="S133" i="50"/>
  <c r="BE133" i="50" s="1"/>
  <c r="S132" i="50"/>
  <c r="BE132" i="50" s="1"/>
  <c r="L150" i="50"/>
  <c r="AX150" i="50" s="1"/>
  <c r="L149" i="50"/>
  <c r="AX149" i="50" s="1"/>
  <c r="L148" i="50"/>
  <c r="AX148" i="50" s="1"/>
  <c r="L147" i="50"/>
  <c r="AX147" i="50" s="1"/>
  <c r="L146" i="50"/>
  <c r="AX146" i="50" s="1"/>
  <c r="L145" i="50"/>
  <c r="AX145" i="50" s="1"/>
  <c r="L144" i="50"/>
  <c r="AX144" i="50" s="1"/>
  <c r="L143" i="50"/>
  <c r="AX143" i="50" s="1"/>
  <c r="L142" i="50"/>
  <c r="AX142" i="50" s="1"/>
  <c r="L141" i="50"/>
  <c r="AX141" i="50" s="1"/>
  <c r="L140" i="50"/>
  <c r="AX140" i="50" s="1"/>
  <c r="L139" i="50"/>
  <c r="AX139" i="50" s="1"/>
  <c r="L138" i="50"/>
  <c r="AX138" i="50" s="1"/>
  <c r="L137" i="50"/>
  <c r="AX137" i="50" s="1"/>
  <c r="L136" i="50"/>
  <c r="AX136" i="50" s="1"/>
  <c r="L135" i="50"/>
  <c r="AX135" i="50" s="1"/>
  <c r="L134" i="50"/>
  <c r="AX134" i="50" s="1"/>
  <c r="L133" i="50"/>
  <c r="AX133" i="50" s="1"/>
  <c r="L132" i="50"/>
  <c r="AX132" i="50" s="1"/>
  <c r="E150" i="50"/>
  <c r="AQ150" i="50" s="1"/>
  <c r="E149" i="50"/>
  <c r="AQ149" i="50" s="1"/>
  <c r="E148" i="50"/>
  <c r="AQ148" i="50" s="1"/>
  <c r="E147" i="50"/>
  <c r="AQ147" i="50" s="1"/>
  <c r="E146" i="50"/>
  <c r="AQ146" i="50" s="1"/>
  <c r="E145" i="50"/>
  <c r="AQ145" i="50" s="1"/>
  <c r="E144" i="50"/>
  <c r="AQ144" i="50" s="1"/>
  <c r="E143" i="50"/>
  <c r="AQ143" i="50" s="1"/>
  <c r="E142" i="50"/>
  <c r="AQ142" i="50" s="1"/>
  <c r="E141" i="50"/>
  <c r="AQ141" i="50" s="1"/>
  <c r="E140" i="50"/>
  <c r="AQ140" i="50" s="1"/>
  <c r="E139" i="50"/>
  <c r="AQ139" i="50" s="1"/>
  <c r="E138" i="50"/>
  <c r="AQ138" i="50" s="1"/>
  <c r="E137" i="50"/>
  <c r="AQ137" i="50" s="1"/>
  <c r="E136" i="50"/>
  <c r="AQ136" i="50" s="1"/>
  <c r="E135" i="50"/>
  <c r="AQ135" i="50" s="1"/>
  <c r="E134" i="50"/>
  <c r="AQ134" i="50" s="1"/>
  <c r="E133" i="50"/>
  <c r="AQ133" i="50" s="1"/>
  <c r="E132" i="50"/>
  <c r="AQ132" i="50" s="1"/>
  <c r="AG59" i="50"/>
  <c r="BS59" i="50" s="1"/>
  <c r="AG58" i="50"/>
  <c r="BS58" i="50" s="1"/>
  <c r="AG57" i="50"/>
  <c r="BS57" i="50" s="1"/>
  <c r="AG56" i="50"/>
  <c r="BS56" i="50" s="1"/>
  <c r="AG55" i="50"/>
  <c r="BS55" i="50" s="1"/>
  <c r="AG54" i="50"/>
  <c r="BS54" i="50" s="1"/>
  <c r="AG53" i="50"/>
  <c r="BS53" i="50" s="1"/>
  <c r="AG52" i="50"/>
  <c r="BS52" i="50" s="1"/>
  <c r="AG51" i="50"/>
  <c r="BS51" i="50" s="1"/>
  <c r="AG50" i="50"/>
  <c r="BS50" i="50" s="1"/>
  <c r="AG49" i="50"/>
  <c r="BS49" i="50" s="1"/>
  <c r="AG48" i="50"/>
  <c r="BS48" i="50" s="1"/>
  <c r="AG47" i="50"/>
  <c r="BS47" i="50" s="1"/>
  <c r="AG46" i="50"/>
  <c r="BS46" i="50" s="1"/>
  <c r="AG45" i="50"/>
  <c r="BS45" i="50" s="1"/>
  <c r="AG43" i="50"/>
  <c r="BS43" i="50" s="1"/>
  <c r="AG42" i="50"/>
  <c r="BS42" i="50" s="1"/>
  <c r="AG41" i="50"/>
  <c r="BS41" i="50" s="1"/>
  <c r="AG40" i="50"/>
  <c r="BS40" i="50" s="1"/>
  <c r="AG39" i="50"/>
  <c r="BS39" i="50" s="1"/>
  <c r="AG37" i="50"/>
  <c r="BS37" i="50" s="1"/>
  <c r="AG36" i="50"/>
  <c r="BS36" i="50" s="1"/>
  <c r="Z59" i="50"/>
  <c r="BL59" i="50" s="1"/>
  <c r="Z58" i="50"/>
  <c r="BL58" i="50" s="1"/>
  <c r="Z57" i="50"/>
  <c r="BL57" i="50" s="1"/>
  <c r="Z56" i="50"/>
  <c r="BL56" i="50" s="1"/>
  <c r="Z55" i="50"/>
  <c r="BL55" i="50" s="1"/>
  <c r="Z54" i="50"/>
  <c r="BL54" i="50" s="1"/>
  <c r="Z53" i="50"/>
  <c r="BL53" i="50" s="1"/>
  <c r="Z52" i="50"/>
  <c r="BL52" i="50" s="1"/>
  <c r="Z51" i="50"/>
  <c r="BL51" i="50" s="1"/>
  <c r="Z50" i="50"/>
  <c r="BL50" i="50" s="1"/>
  <c r="Z49" i="50"/>
  <c r="BL49" i="50" s="1"/>
  <c r="Z48" i="50"/>
  <c r="BL48" i="50" s="1"/>
  <c r="Z47" i="50"/>
  <c r="BL47" i="50" s="1"/>
  <c r="Z46" i="50"/>
  <c r="BL46" i="50" s="1"/>
  <c r="Z45" i="50"/>
  <c r="BL45" i="50" s="1"/>
  <c r="Z43" i="50"/>
  <c r="BL43" i="50" s="1"/>
  <c r="Z42" i="50"/>
  <c r="BL42" i="50" s="1"/>
  <c r="Z41" i="50"/>
  <c r="BL41" i="50" s="1"/>
  <c r="Z40" i="50"/>
  <c r="BL40" i="50" s="1"/>
  <c r="Z39" i="50"/>
  <c r="BL39" i="50" s="1"/>
  <c r="Z37" i="50"/>
  <c r="BL37" i="50" s="1"/>
  <c r="Z36" i="50"/>
  <c r="BL36" i="50" s="1"/>
  <c r="S59" i="50"/>
  <c r="BE59" i="50" s="1"/>
  <c r="S58" i="50"/>
  <c r="BE58" i="50" s="1"/>
  <c r="S57" i="50"/>
  <c r="BE57" i="50" s="1"/>
  <c r="S56" i="50"/>
  <c r="BE56" i="50" s="1"/>
  <c r="S55" i="50"/>
  <c r="BE55" i="50" s="1"/>
  <c r="S54" i="50"/>
  <c r="BE54" i="50" s="1"/>
  <c r="S53" i="50"/>
  <c r="BE53" i="50" s="1"/>
  <c r="S52" i="50"/>
  <c r="BE52" i="50" s="1"/>
  <c r="S51" i="50"/>
  <c r="BE51" i="50" s="1"/>
  <c r="S50" i="50"/>
  <c r="BE50" i="50" s="1"/>
  <c r="S49" i="50"/>
  <c r="BE49" i="50" s="1"/>
  <c r="S48" i="50"/>
  <c r="BE48" i="50" s="1"/>
  <c r="S47" i="50"/>
  <c r="BE47" i="50" s="1"/>
  <c r="S46" i="50"/>
  <c r="BE46" i="50" s="1"/>
  <c r="S45" i="50"/>
  <c r="BE45" i="50" s="1"/>
  <c r="S43" i="50"/>
  <c r="BE43" i="50" s="1"/>
  <c r="S42" i="50"/>
  <c r="BE42" i="50" s="1"/>
  <c r="S41" i="50"/>
  <c r="BE41" i="50" s="1"/>
  <c r="S40" i="50"/>
  <c r="BE40" i="50" s="1"/>
  <c r="S39" i="50"/>
  <c r="BE39" i="50" s="1"/>
  <c r="S37" i="50"/>
  <c r="BE37" i="50" s="1"/>
  <c r="S36" i="50"/>
  <c r="BE36" i="50" s="1"/>
  <c r="L59" i="50"/>
  <c r="AX59" i="50" s="1"/>
  <c r="L58" i="50"/>
  <c r="AX58" i="50" s="1"/>
  <c r="L57" i="50"/>
  <c r="AX57" i="50" s="1"/>
  <c r="L56" i="50"/>
  <c r="AX56" i="50" s="1"/>
  <c r="L55" i="50"/>
  <c r="AX55" i="50" s="1"/>
  <c r="L54" i="50"/>
  <c r="AX54" i="50" s="1"/>
  <c r="L53" i="50"/>
  <c r="AX53" i="50" s="1"/>
  <c r="L52" i="50"/>
  <c r="AX52" i="50" s="1"/>
  <c r="L51" i="50"/>
  <c r="AX51" i="50" s="1"/>
  <c r="L50" i="50"/>
  <c r="AX50" i="50" s="1"/>
  <c r="L49" i="50"/>
  <c r="AX49" i="50" s="1"/>
  <c r="L48" i="50"/>
  <c r="AX48" i="50" s="1"/>
  <c r="L47" i="50"/>
  <c r="AX47" i="50" s="1"/>
  <c r="L46" i="50"/>
  <c r="AX46" i="50" s="1"/>
  <c r="L45" i="50"/>
  <c r="AX45" i="50" s="1"/>
  <c r="L43" i="50"/>
  <c r="AX43" i="50" s="1"/>
  <c r="L42" i="50"/>
  <c r="AX42" i="50" s="1"/>
  <c r="L41" i="50"/>
  <c r="AX41" i="50" s="1"/>
  <c r="L40" i="50"/>
  <c r="AX40" i="50" s="1"/>
  <c r="L39" i="50"/>
  <c r="AX39" i="50" s="1"/>
  <c r="L37" i="50"/>
  <c r="AX37" i="50" s="1"/>
  <c r="L36" i="50"/>
  <c r="AX36" i="50" s="1"/>
  <c r="T127" i="85" l="1"/>
  <c r="O69" i="76"/>
  <c r="N28" i="58"/>
  <c r="Q79" i="76"/>
  <c r="O31" i="58"/>
  <c r="M83" i="76"/>
  <c r="S29" i="58"/>
  <c r="Q97" i="76"/>
  <c r="T28" i="58"/>
  <c r="N30" i="58"/>
  <c r="Q28" i="58"/>
  <c r="Z92" i="85"/>
  <c r="M76" i="76"/>
  <c r="R29" i="58"/>
  <c r="T125" i="85"/>
  <c r="AA92" i="85"/>
  <c r="T134" i="85"/>
  <c r="T126" i="85"/>
  <c r="M90" i="76"/>
  <c r="U31" i="58"/>
  <c r="M100" i="76"/>
  <c r="T30" i="58"/>
  <c r="Z90" i="85"/>
  <c r="S30" i="58"/>
  <c r="T136" i="85"/>
  <c r="AA90" i="85"/>
  <c r="BP33" i="60"/>
  <c r="BX31" i="60"/>
  <c r="BP68" i="60"/>
  <c r="Q72" i="76"/>
  <c r="BT38" i="60"/>
  <c r="CB36" i="60"/>
  <c r="AZ35" i="60"/>
  <c r="BH33" i="60"/>
  <c r="BP31" i="60"/>
  <c r="BD42" i="60"/>
  <c r="BX44" i="60"/>
  <c r="BH48" i="60"/>
  <c r="CF66" i="60"/>
  <c r="BX68" i="60"/>
  <c r="T31" i="58"/>
  <c r="R28" i="58"/>
  <c r="AZ37" i="60"/>
  <c r="AZ48" i="60"/>
  <c r="CF40" i="60"/>
  <c r="BL38" i="60"/>
  <c r="BT36" i="60"/>
  <c r="CB34" i="60"/>
  <c r="AZ33" i="60"/>
  <c r="BH31" i="60"/>
  <c r="BL42" i="60"/>
  <c r="CF44" i="60"/>
  <c r="BD67" i="60"/>
  <c r="CF68" i="60"/>
  <c r="CD39" i="60"/>
  <c r="BX33" i="60"/>
  <c r="BH44" i="60"/>
  <c r="BH68" i="60"/>
  <c r="BD38" i="60"/>
  <c r="BT42" i="60"/>
  <c r="X91" i="1"/>
  <c r="CF37" i="60"/>
  <c r="BD36" i="60"/>
  <c r="BL34" i="60"/>
  <c r="BT32" i="60"/>
  <c r="CI30" i="60"/>
  <c r="CB42" i="60"/>
  <c r="BL46" i="60"/>
  <c r="CF48" i="60"/>
  <c r="BT67" i="60"/>
  <c r="BH37" i="60"/>
  <c r="CF31" i="60"/>
  <c r="CD47" i="60"/>
  <c r="CB38" i="60"/>
  <c r="BH35" i="60"/>
  <c r="BC30" i="60"/>
  <c r="BX66" i="60"/>
  <c r="BT34" i="60"/>
  <c r="AZ31" i="60"/>
  <c r="BX48" i="60"/>
  <c r="P110" i="76"/>
  <c r="M93" i="76"/>
  <c r="N93" i="76"/>
  <c r="Q93" i="76"/>
  <c r="L93" i="76"/>
  <c r="O93" i="76"/>
  <c r="P93" i="76"/>
  <c r="U92" i="1"/>
  <c r="Q86" i="76"/>
  <c r="BH40" i="60"/>
  <c r="BX37" i="60"/>
  <c r="CF35" i="60"/>
  <c r="BD34" i="60"/>
  <c r="BL32" i="60"/>
  <c r="CA30" i="60"/>
  <c r="CD43" i="60"/>
  <c r="BT46" i="60"/>
  <c r="AZ66" i="60"/>
  <c r="CB67" i="60"/>
  <c r="U29" i="58"/>
  <c r="BP35" i="60"/>
  <c r="BK30" i="60"/>
  <c r="BP66" i="60"/>
  <c r="BX40" i="60"/>
  <c r="BL36" i="60"/>
  <c r="CB32" i="60"/>
  <c r="BD46" i="60"/>
  <c r="BL67" i="60"/>
  <c r="AZ40" i="60"/>
  <c r="BP37" i="60"/>
  <c r="BX35" i="60"/>
  <c r="CF33" i="60"/>
  <c r="BD32" i="60"/>
  <c r="BS30" i="60"/>
  <c r="AZ44" i="60"/>
  <c r="CB46" i="60"/>
  <c r="BH66" i="60"/>
  <c r="AZ68" i="60"/>
  <c r="Y91" i="1"/>
  <c r="N69" i="76"/>
  <c r="N76" i="76"/>
  <c r="N83" i="76"/>
  <c r="N90" i="76"/>
  <c r="N100" i="76"/>
  <c r="CE40" i="60"/>
  <c r="BW40" i="60"/>
  <c r="BG40" i="60"/>
  <c r="CL39" i="60"/>
  <c r="CI38" i="60"/>
  <c r="CA38" i="60"/>
  <c r="BS38" i="60"/>
  <c r="BK38" i="60"/>
  <c r="BC38" i="60"/>
  <c r="CE37" i="60"/>
  <c r="BW37" i="60"/>
  <c r="BO37" i="60"/>
  <c r="BG37" i="60"/>
  <c r="CI36" i="60"/>
  <c r="CA36" i="60"/>
  <c r="BS36" i="60"/>
  <c r="BK36" i="60"/>
  <c r="BC36" i="60"/>
  <c r="CE35" i="60"/>
  <c r="BW35" i="60"/>
  <c r="BO35" i="60"/>
  <c r="BG35" i="60"/>
  <c r="CI34" i="60"/>
  <c r="CA34" i="60"/>
  <c r="BS34" i="60"/>
  <c r="BK34" i="60"/>
  <c r="BC34" i="60"/>
  <c r="CE33" i="60"/>
  <c r="BW33" i="60"/>
  <c r="BO33" i="60"/>
  <c r="BG33" i="60"/>
  <c r="CI32" i="60"/>
  <c r="CA32" i="60"/>
  <c r="BS32" i="60"/>
  <c r="BK32" i="60"/>
  <c r="BC32" i="60"/>
  <c r="CE31" i="60"/>
  <c r="BW31" i="60"/>
  <c r="BO31" i="60"/>
  <c r="BG31" i="60"/>
  <c r="CH30" i="60"/>
  <c r="BZ30" i="60"/>
  <c r="BR30" i="60"/>
  <c r="BJ30" i="60"/>
  <c r="BB30" i="60"/>
  <c r="BE42" i="60"/>
  <c r="BM42" i="60"/>
  <c r="BU42" i="60"/>
  <c r="CC42" i="60"/>
  <c r="CK42" i="60"/>
  <c r="CE43" i="60"/>
  <c r="BI44" i="60"/>
  <c r="CG44" i="60"/>
  <c r="BE46" i="60"/>
  <c r="BM46" i="60"/>
  <c r="BU46" i="60"/>
  <c r="CC46" i="60"/>
  <c r="CK46" i="60"/>
  <c r="CE47" i="60"/>
  <c r="BI48" i="60"/>
  <c r="CG48" i="60"/>
  <c r="BA66" i="60"/>
  <c r="BI66" i="60"/>
  <c r="BQ66" i="60"/>
  <c r="BY66" i="60"/>
  <c r="CG66" i="60"/>
  <c r="BE67" i="60"/>
  <c r="BM67" i="60"/>
  <c r="BU67" i="60"/>
  <c r="CC67" i="60"/>
  <c r="CK67" i="60"/>
  <c r="BA68" i="60"/>
  <c r="BI68" i="60"/>
  <c r="BQ68" i="60"/>
  <c r="BY68" i="60"/>
  <c r="CG68" i="60"/>
  <c r="N29" i="58"/>
  <c r="U30" i="58"/>
  <c r="T29" i="58"/>
  <c r="S28" i="58"/>
  <c r="U84" i="1"/>
  <c r="Z91" i="1"/>
  <c r="M69" i="76"/>
  <c r="O76" i="76"/>
  <c r="O83" i="76"/>
  <c r="O90" i="76"/>
  <c r="O100" i="76"/>
  <c r="U132" i="1"/>
  <c r="CL40" i="60"/>
  <c r="CD40" i="60"/>
  <c r="BV40" i="60"/>
  <c r="BF40" i="60"/>
  <c r="CK39" i="60"/>
  <c r="CH38" i="60"/>
  <c r="BZ38" i="60"/>
  <c r="BR38" i="60"/>
  <c r="BJ38" i="60"/>
  <c r="BB38" i="60"/>
  <c r="CL37" i="60"/>
  <c r="CD37" i="60"/>
  <c r="BV37" i="60"/>
  <c r="BN37" i="60"/>
  <c r="BF37" i="60"/>
  <c r="CH36" i="60"/>
  <c r="BZ36" i="60"/>
  <c r="BR36" i="60"/>
  <c r="BJ36" i="60"/>
  <c r="BB36" i="60"/>
  <c r="CL35" i="60"/>
  <c r="CD35" i="60"/>
  <c r="BV35" i="60"/>
  <c r="BN35" i="60"/>
  <c r="BF35" i="60"/>
  <c r="CH34" i="60"/>
  <c r="BZ34" i="60"/>
  <c r="BR34" i="60"/>
  <c r="BJ34" i="60"/>
  <c r="BB34" i="60"/>
  <c r="CL33" i="60"/>
  <c r="CD33" i="60"/>
  <c r="BV33" i="60"/>
  <c r="BN33" i="60"/>
  <c r="BF33" i="60"/>
  <c r="CH32" i="60"/>
  <c r="BZ32" i="60"/>
  <c r="BR32" i="60"/>
  <c r="BJ32" i="60"/>
  <c r="BB32" i="60"/>
  <c r="CL31" i="60"/>
  <c r="CD31" i="60"/>
  <c r="BV31" i="60"/>
  <c r="BN31" i="60"/>
  <c r="BF31" i="60"/>
  <c r="CG30" i="60"/>
  <c r="BY30" i="60"/>
  <c r="BQ30" i="60"/>
  <c r="BI30" i="60"/>
  <c r="BA30" i="60"/>
  <c r="BF42" i="60"/>
  <c r="BN42" i="60"/>
  <c r="BV42" i="60"/>
  <c r="CD42" i="60"/>
  <c r="CL42" i="60"/>
  <c r="CF43" i="60"/>
  <c r="BJ44" i="60"/>
  <c r="BR44" i="60"/>
  <c r="BZ44" i="60"/>
  <c r="CH44" i="60"/>
  <c r="BF46" i="60"/>
  <c r="BN46" i="60"/>
  <c r="BV46" i="60"/>
  <c r="CD46" i="60"/>
  <c r="CL46" i="60"/>
  <c r="CF47" i="60"/>
  <c r="BJ48" i="60"/>
  <c r="BR48" i="60"/>
  <c r="BZ48" i="60"/>
  <c r="CH48" i="60"/>
  <c r="BB66" i="60"/>
  <c r="BJ66" i="60"/>
  <c r="BR66" i="60"/>
  <c r="BZ66" i="60"/>
  <c r="CH66" i="60"/>
  <c r="BF67" i="60"/>
  <c r="BN67" i="60"/>
  <c r="BV67" i="60"/>
  <c r="CD67" i="60"/>
  <c r="CL67" i="60"/>
  <c r="BB68" i="60"/>
  <c r="BJ68" i="60"/>
  <c r="BR68" i="60"/>
  <c r="BZ68" i="60"/>
  <c r="CH68" i="60"/>
  <c r="U86" i="1"/>
  <c r="V92" i="1"/>
  <c r="L72" i="76"/>
  <c r="P76" i="76"/>
  <c r="L79" i="76"/>
  <c r="P83" i="76"/>
  <c r="L86" i="76"/>
  <c r="P90" i="76"/>
  <c r="L97" i="76"/>
  <c r="P100" i="76"/>
  <c r="L110" i="76"/>
  <c r="CK40" i="60"/>
  <c r="CC40" i="60"/>
  <c r="BU40" i="60"/>
  <c r="CI39" i="60"/>
  <c r="CG38" i="60"/>
  <c r="BY38" i="60"/>
  <c r="BQ38" i="60"/>
  <c r="BI38" i="60"/>
  <c r="BA38" i="60"/>
  <c r="CK37" i="60"/>
  <c r="CC37" i="60"/>
  <c r="BU37" i="60"/>
  <c r="BM37" i="60"/>
  <c r="BE37" i="60"/>
  <c r="CG36" i="60"/>
  <c r="BY36" i="60"/>
  <c r="BQ36" i="60"/>
  <c r="BI36" i="60"/>
  <c r="BA36" i="60"/>
  <c r="CK35" i="60"/>
  <c r="CC35" i="60"/>
  <c r="BU35" i="60"/>
  <c r="BM35" i="60"/>
  <c r="BE35" i="60"/>
  <c r="CG34" i="60"/>
  <c r="BY34" i="60"/>
  <c r="BQ34" i="60"/>
  <c r="BI34" i="60"/>
  <c r="BA34" i="60"/>
  <c r="CK33" i="60"/>
  <c r="CC33" i="60"/>
  <c r="BU33" i="60"/>
  <c r="BM33" i="60"/>
  <c r="BE33" i="60"/>
  <c r="CG32" i="60"/>
  <c r="BY32" i="60"/>
  <c r="BQ32" i="60"/>
  <c r="BI32" i="60"/>
  <c r="BA32" i="60"/>
  <c r="CK31" i="60"/>
  <c r="CC31" i="60"/>
  <c r="BU31" i="60"/>
  <c r="BM31" i="60"/>
  <c r="BE31" i="60"/>
  <c r="CF30" i="60"/>
  <c r="BX30" i="60"/>
  <c r="BP30" i="60"/>
  <c r="BH30" i="60"/>
  <c r="AZ30" i="60"/>
  <c r="BG42" i="60"/>
  <c r="BO42" i="60"/>
  <c r="BW42" i="60"/>
  <c r="CE42" i="60"/>
  <c r="CG43" i="60"/>
  <c r="BK44" i="60"/>
  <c r="BS44" i="60"/>
  <c r="CA44" i="60"/>
  <c r="CI44" i="60"/>
  <c r="BG46" i="60"/>
  <c r="BO46" i="60"/>
  <c r="BW46" i="60"/>
  <c r="CE46" i="60"/>
  <c r="CG47" i="60"/>
  <c r="BK48" i="60"/>
  <c r="BS48" i="60"/>
  <c r="CA48" i="60"/>
  <c r="CI48" i="60"/>
  <c r="BC66" i="60"/>
  <c r="BK66" i="60"/>
  <c r="BS66" i="60"/>
  <c r="CA66" i="60"/>
  <c r="CI66" i="60"/>
  <c r="BG67" i="60"/>
  <c r="BO67" i="60"/>
  <c r="BW67" i="60"/>
  <c r="CE67" i="60"/>
  <c r="BC68" i="60"/>
  <c r="BK68" i="60"/>
  <c r="BS68" i="60"/>
  <c r="CA68" i="60"/>
  <c r="CI68" i="60"/>
  <c r="U88" i="1"/>
  <c r="W92" i="1"/>
  <c r="M72" i="76"/>
  <c r="Q76" i="76"/>
  <c r="M79" i="76"/>
  <c r="Q83" i="76"/>
  <c r="M86" i="76"/>
  <c r="Q90" i="76"/>
  <c r="M97" i="76"/>
  <c r="Q100" i="76"/>
  <c r="M110" i="76"/>
  <c r="CB40" i="60"/>
  <c r="BT40" i="60"/>
  <c r="BL40" i="60"/>
  <c r="CH39" i="60"/>
  <c r="CF38" i="60"/>
  <c r="BX38" i="60"/>
  <c r="BP38" i="60"/>
  <c r="BH38" i="60"/>
  <c r="AZ38" i="60"/>
  <c r="CB37" i="60"/>
  <c r="BT37" i="60"/>
  <c r="BL37" i="60"/>
  <c r="BD37" i="60"/>
  <c r="CF36" i="60"/>
  <c r="BX36" i="60"/>
  <c r="BP36" i="60"/>
  <c r="BH36" i="60"/>
  <c r="AZ36" i="60"/>
  <c r="CB35" i="60"/>
  <c r="BT35" i="60"/>
  <c r="BL35" i="60"/>
  <c r="BD35" i="60"/>
  <c r="CF34" i="60"/>
  <c r="BX34" i="60"/>
  <c r="BP34" i="60"/>
  <c r="BH34" i="60"/>
  <c r="AZ34" i="60"/>
  <c r="CB33" i="60"/>
  <c r="BT33" i="60"/>
  <c r="BL33" i="60"/>
  <c r="BD33" i="60"/>
  <c r="CF32" i="60"/>
  <c r="BX32" i="60"/>
  <c r="BP32" i="60"/>
  <c r="BH32" i="60"/>
  <c r="AZ32" i="60"/>
  <c r="CB31" i="60"/>
  <c r="BT31" i="60"/>
  <c r="BL31" i="60"/>
  <c r="BD31" i="60"/>
  <c r="CE30" i="60"/>
  <c r="BW30" i="60"/>
  <c r="BO30" i="60"/>
  <c r="BG30" i="60"/>
  <c r="AZ42" i="60"/>
  <c r="BH42" i="60"/>
  <c r="BP42" i="60"/>
  <c r="BX42" i="60"/>
  <c r="CF42" i="60"/>
  <c r="CH43" i="60"/>
  <c r="BL44" i="60"/>
  <c r="BT44" i="60"/>
  <c r="CB44" i="60"/>
  <c r="AZ46" i="60"/>
  <c r="BH46" i="60"/>
  <c r="BP46" i="60"/>
  <c r="BX46" i="60"/>
  <c r="CF46" i="60"/>
  <c r="CH47" i="60"/>
  <c r="BL48" i="60"/>
  <c r="BT48" i="60"/>
  <c r="CB48" i="60"/>
  <c r="BD66" i="60"/>
  <c r="BL66" i="60"/>
  <c r="BT66" i="60"/>
  <c r="CB66" i="60"/>
  <c r="AZ67" i="60"/>
  <c r="BH67" i="60"/>
  <c r="BP67" i="60"/>
  <c r="BX67" i="60"/>
  <c r="CF67" i="60"/>
  <c r="BD68" i="60"/>
  <c r="BL68" i="60"/>
  <c r="BT68" i="60"/>
  <c r="CB68" i="60"/>
  <c r="S31" i="58"/>
  <c r="R30" i="58"/>
  <c r="Q29" i="58"/>
  <c r="P28" i="58"/>
  <c r="U91" i="1"/>
  <c r="X92" i="1"/>
  <c r="N72" i="76"/>
  <c r="N79" i="76"/>
  <c r="N86" i="76"/>
  <c r="N97" i="76"/>
  <c r="N110" i="76"/>
  <c r="CI40" i="60"/>
  <c r="CA40" i="60"/>
  <c r="BS40" i="60"/>
  <c r="BK40" i="60"/>
  <c r="CG39" i="60"/>
  <c r="CE38" i="60"/>
  <c r="BW38" i="60"/>
  <c r="BO38" i="60"/>
  <c r="BG38" i="60"/>
  <c r="CI37" i="60"/>
  <c r="CA37" i="60"/>
  <c r="BS37" i="60"/>
  <c r="BK37" i="60"/>
  <c r="BC37" i="60"/>
  <c r="CE36" i="60"/>
  <c r="BW36" i="60"/>
  <c r="BO36" i="60"/>
  <c r="BG36" i="60"/>
  <c r="CI35" i="60"/>
  <c r="CA35" i="60"/>
  <c r="BS35" i="60"/>
  <c r="BK35" i="60"/>
  <c r="BC35" i="60"/>
  <c r="CE34" i="60"/>
  <c r="BW34" i="60"/>
  <c r="BO34" i="60"/>
  <c r="BG34" i="60"/>
  <c r="CI33" i="60"/>
  <c r="CA33" i="60"/>
  <c r="BS33" i="60"/>
  <c r="BK33" i="60"/>
  <c r="BC33" i="60"/>
  <c r="CE32" i="60"/>
  <c r="BW32" i="60"/>
  <c r="BO32" i="60"/>
  <c r="BG32" i="60"/>
  <c r="CI31" i="60"/>
  <c r="CA31" i="60"/>
  <c r="BS31" i="60"/>
  <c r="BK31" i="60"/>
  <c r="BC31" i="60"/>
  <c r="CD30" i="60"/>
  <c r="BV30" i="60"/>
  <c r="BN30" i="60"/>
  <c r="BF30" i="60"/>
  <c r="BA42" i="60"/>
  <c r="BI42" i="60"/>
  <c r="BQ42" i="60"/>
  <c r="BY42" i="60"/>
  <c r="CG42" i="60"/>
  <c r="CI43" i="60"/>
  <c r="BU44" i="60"/>
  <c r="CC44" i="60"/>
  <c r="CK44" i="60"/>
  <c r="BA46" i="60"/>
  <c r="BI46" i="60"/>
  <c r="BQ46" i="60"/>
  <c r="BY46" i="60"/>
  <c r="CG46" i="60"/>
  <c r="CI47" i="60"/>
  <c r="BU48" i="60"/>
  <c r="CC48" i="60"/>
  <c r="CK48" i="60"/>
  <c r="BE66" i="60"/>
  <c r="BM66" i="60"/>
  <c r="BU66" i="60"/>
  <c r="CC66" i="60"/>
  <c r="CK66" i="60"/>
  <c r="BA67" i="60"/>
  <c r="BI67" i="60"/>
  <c r="BQ67" i="60"/>
  <c r="BY67" i="60"/>
  <c r="CG67" i="60"/>
  <c r="BE68" i="60"/>
  <c r="BM68" i="60"/>
  <c r="BU68" i="60"/>
  <c r="CC68" i="60"/>
  <c r="CK68" i="60"/>
  <c r="R31" i="58"/>
  <c r="Q30" i="58"/>
  <c r="P29" i="58"/>
  <c r="O28" i="58"/>
  <c r="V91" i="1"/>
  <c r="Y92" i="1"/>
  <c r="Q69" i="76"/>
  <c r="O72" i="76"/>
  <c r="O79" i="76"/>
  <c r="O86" i="76"/>
  <c r="O97" i="76"/>
  <c r="O110" i="76"/>
  <c r="CH40" i="60"/>
  <c r="BZ40" i="60"/>
  <c r="BR40" i="60"/>
  <c r="BJ40" i="60"/>
  <c r="CF39" i="60"/>
  <c r="CL38" i="60"/>
  <c r="CD38" i="60"/>
  <c r="BV38" i="60"/>
  <c r="BN38" i="60"/>
  <c r="BF38" i="60"/>
  <c r="CH37" i="60"/>
  <c r="BZ37" i="60"/>
  <c r="BR37" i="60"/>
  <c r="BJ37" i="60"/>
  <c r="BB37" i="60"/>
  <c r="CL36" i="60"/>
  <c r="CD36" i="60"/>
  <c r="BV36" i="60"/>
  <c r="BN36" i="60"/>
  <c r="BF36" i="60"/>
  <c r="CH35" i="60"/>
  <c r="BZ35" i="60"/>
  <c r="BR35" i="60"/>
  <c r="BJ35" i="60"/>
  <c r="BB35" i="60"/>
  <c r="CL34" i="60"/>
  <c r="CD34" i="60"/>
  <c r="BV34" i="60"/>
  <c r="BN34" i="60"/>
  <c r="BF34" i="60"/>
  <c r="CH33" i="60"/>
  <c r="BZ33" i="60"/>
  <c r="BR33" i="60"/>
  <c r="BJ33" i="60"/>
  <c r="BB33" i="60"/>
  <c r="CL32" i="60"/>
  <c r="CD32" i="60"/>
  <c r="BV32" i="60"/>
  <c r="BN32" i="60"/>
  <c r="BF32" i="60"/>
  <c r="CH31" i="60"/>
  <c r="BZ31" i="60"/>
  <c r="BR31" i="60"/>
  <c r="BJ31" i="60"/>
  <c r="BB31" i="60"/>
  <c r="CL30" i="60"/>
  <c r="CC30" i="60"/>
  <c r="BU30" i="60"/>
  <c r="BM30" i="60"/>
  <c r="BE30" i="60"/>
  <c r="BB42" i="60"/>
  <c r="BJ42" i="60"/>
  <c r="BR42" i="60"/>
  <c r="BZ42" i="60"/>
  <c r="CH42" i="60"/>
  <c r="CK43" i="60"/>
  <c r="BF44" i="60"/>
  <c r="BV44" i="60"/>
  <c r="CD44" i="60"/>
  <c r="CL44" i="60"/>
  <c r="BB46" i="60"/>
  <c r="BJ46" i="60"/>
  <c r="BR46" i="60"/>
  <c r="BZ46" i="60"/>
  <c r="CH46" i="60"/>
  <c r="CK47" i="60"/>
  <c r="BF48" i="60"/>
  <c r="BV48" i="60"/>
  <c r="CD48" i="60"/>
  <c r="CL48" i="60"/>
  <c r="BF66" i="60"/>
  <c r="BN66" i="60"/>
  <c r="BV66" i="60"/>
  <c r="CD66" i="60"/>
  <c r="CL66" i="60"/>
  <c r="BB67" i="60"/>
  <c r="BJ67" i="60"/>
  <c r="BR67" i="60"/>
  <c r="BZ67" i="60"/>
  <c r="CH67" i="60"/>
  <c r="BF68" i="60"/>
  <c r="BN68" i="60"/>
  <c r="BV68" i="60"/>
  <c r="CD68" i="60"/>
  <c r="CL68" i="60"/>
  <c r="Q31" i="58"/>
  <c r="P30" i="58"/>
  <c r="O29" i="58"/>
  <c r="W91" i="1"/>
  <c r="L69" i="76"/>
  <c r="P69" i="76"/>
  <c r="P72" i="76"/>
  <c r="L76" i="76"/>
  <c r="P79" i="76"/>
  <c r="L83" i="76"/>
  <c r="P86" i="76"/>
  <c r="L90" i="76"/>
  <c r="P97" i="76"/>
  <c r="L100" i="76"/>
  <c r="CG40" i="60"/>
  <c r="BI40" i="60"/>
  <c r="CE39" i="60"/>
  <c r="CK38" i="60"/>
  <c r="CC38" i="60"/>
  <c r="BU38" i="60"/>
  <c r="BM38" i="60"/>
  <c r="BE38" i="60"/>
  <c r="CG37" i="60"/>
  <c r="BY37" i="60"/>
  <c r="BQ37" i="60"/>
  <c r="BI37" i="60"/>
  <c r="BA37" i="60"/>
  <c r="CK36" i="60"/>
  <c r="CC36" i="60"/>
  <c r="BU36" i="60"/>
  <c r="BM36" i="60"/>
  <c r="BE36" i="60"/>
  <c r="CG35" i="60"/>
  <c r="BY35" i="60"/>
  <c r="BQ35" i="60"/>
  <c r="BI35" i="60"/>
  <c r="BA35" i="60"/>
  <c r="CK34" i="60"/>
  <c r="CC34" i="60"/>
  <c r="BU34" i="60"/>
  <c r="BM34" i="60"/>
  <c r="BE34" i="60"/>
  <c r="CG33" i="60"/>
  <c r="BY33" i="60"/>
  <c r="BQ33" i="60"/>
  <c r="BI33" i="60"/>
  <c r="BA33" i="60"/>
  <c r="CK32" i="60"/>
  <c r="CC32" i="60"/>
  <c r="BU32" i="60"/>
  <c r="BM32" i="60"/>
  <c r="BE32" i="60"/>
  <c r="CG31" i="60"/>
  <c r="BY31" i="60"/>
  <c r="BQ31" i="60"/>
  <c r="BI31" i="60"/>
  <c r="BA31" i="60"/>
  <c r="CK30" i="60"/>
  <c r="CB30" i="60"/>
  <c r="BT30" i="60"/>
  <c r="BL30" i="60"/>
  <c r="BD30" i="60"/>
  <c r="BC42" i="60"/>
  <c r="BK42" i="60"/>
  <c r="BS42" i="60"/>
  <c r="CA42" i="60"/>
  <c r="CI42" i="60"/>
  <c r="CL43" i="60"/>
  <c r="BG44" i="60"/>
  <c r="BW44" i="60"/>
  <c r="CE44" i="60"/>
  <c r="BC46" i="60"/>
  <c r="BK46" i="60"/>
  <c r="BS46" i="60"/>
  <c r="CA46" i="60"/>
  <c r="CI46" i="60"/>
  <c r="CL47" i="60"/>
  <c r="BG48" i="60"/>
  <c r="BW48" i="60"/>
  <c r="CE48" i="60"/>
  <c r="BG66" i="60"/>
  <c r="BO66" i="60"/>
  <c r="BW66" i="60"/>
  <c r="CE66" i="60"/>
  <c r="BC67" i="60"/>
  <c r="BK67" i="60"/>
  <c r="BS67" i="60"/>
  <c r="CA67" i="60"/>
  <c r="CI67" i="60"/>
  <c r="BG68" i="60"/>
  <c r="BO68" i="60"/>
  <c r="BW68" i="60"/>
  <c r="N31" i="58"/>
  <c r="P31" i="58"/>
  <c r="O30" i="58"/>
  <c r="S81" i="62"/>
  <c r="BJ81" i="62" s="1"/>
  <c r="BJ32" i="62"/>
  <c r="S82" i="62"/>
  <c r="BJ82" i="62" s="1"/>
  <c r="BJ33" i="62"/>
  <c r="AA152" i="46"/>
  <c r="Y150" i="46"/>
  <c r="AC146" i="46"/>
  <c r="AA144" i="46"/>
  <c r="AC139" i="46"/>
  <c r="AA138" i="46"/>
  <c r="Y137" i="46"/>
  <c r="AC135" i="46"/>
  <c r="AA134" i="46"/>
  <c r="Y133" i="46"/>
  <c r="AC131" i="46"/>
  <c r="AA130" i="46"/>
  <c r="Y129" i="46"/>
  <c r="AC127" i="46"/>
  <c r="Y121" i="46"/>
  <c r="AC117" i="46"/>
  <c r="AA115" i="46"/>
  <c r="Y113" i="46"/>
  <c r="AC109" i="46"/>
  <c r="Y108" i="46"/>
  <c r="AC107" i="46"/>
  <c r="Y106" i="46"/>
  <c r="AC105" i="46"/>
  <c r="Y104" i="46"/>
  <c r="AC103" i="46"/>
  <c r="Y102" i="46"/>
  <c r="AC101" i="46"/>
  <c r="Y100" i="46"/>
  <c r="AC99" i="46"/>
  <c r="Y98" i="46"/>
  <c r="AC97" i="46"/>
  <c r="Y96" i="46"/>
  <c r="AB90" i="46"/>
  <c r="Z88" i="46"/>
  <c r="X86" i="46"/>
  <c r="AB82" i="46"/>
  <c r="Y152" i="46"/>
  <c r="AC140" i="46"/>
  <c r="AC136" i="46"/>
  <c r="AC132" i="46"/>
  <c r="AC128" i="46"/>
  <c r="AC119" i="46"/>
  <c r="AA105" i="46"/>
  <c r="AA101" i="46"/>
  <c r="AA99" i="46"/>
  <c r="AA97" i="46"/>
  <c r="X144" i="46"/>
  <c r="AB136" i="46"/>
  <c r="AB132" i="46"/>
  <c r="Z152" i="46"/>
  <c r="X150" i="46"/>
  <c r="AB146" i="46"/>
  <c r="Z144" i="46"/>
  <c r="AB139" i="46"/>
  <c r="Z138" i="46"/>
  <c r="X137" i="46"/>
  <c r="AB135" i="46"/>
  <c r="Z134" i="46"/>
  <c r="X133" i="46"/>
  <c r="AB131" i="46"/>
  <c r="Z130" i="46"/>
  <c r="X129" i="46"/>
  <c r="AB127" i="46"/>
  <c r="X121" i="46"/>
  <c r="AB117" i="46"/>
  <c r="Z115" i="46"/>
  <c r="X113" i="46"/>
  <c r="AB109" i="46"/>
  <c r="X108" i="46"/>
  <c r="AB107" i="46"/>
  <c r="X106" i="46"/>
  <c r="AB105" i="46"/>
  <c r="X104" i="46"/>
  <c r="AB103" i="46"/>
  <c r="X102" i="46"/>
  <c r="AB101" i="46"/>
  <c r="X100" i="46"/>
  <c r="AB99" i="46"/>
  <c r="X98" i="46"/>
  <c r="AB97" i="46"/>
  <c r="X96" i="46"/>
  <c r="AA90" i="46"/>
  <c r="Y88" i="46"/>
  <c r="AC84" i="46"/>
  <c r="AA82" i="46"/>
  <c r="AC148" i="46"/>
  <c r="AA146" i="46"/>
  <c r="Y144" i="46"/>
  <c r="AA139" i="46"/>
  <c r="Y138" i="46"/>
  <c r="AA135" i="46"/>
  <c r="Y134" i="46"/>
  <c r="AA131" i="46"/>
  <c r="Y130" i="46"/>
  <c r="AA127" i="46"/>
  <c r="AA117" i="46"/>
  <c r="Y115" i="46"/>
  <c r="AA109" i="46"/>
  <c r="AA107" i="46"/>
  <c r="AA103" i="46"/>
  <c r="Z90" i="46"/>
  <c r="X88" i="46"/>
  <c r="AB84" i="46"/>
  <c r="Z82" i="46"/>
  <c r="X152" i="46"/>
  <c r="AB148" i="46"/>
  <c r="Z146" i="46"/>
  <c r="AB140" i="46"/>
  <c r="Z139" i="46"/>
  <c r="X138" i="46"/>
  <c r="Z135" i="46"/>
  <c r="X134" i="46"/>
  <c r="AA148" i="46"/>
  <c r="Y139" i="46"/>
  <c r="AA136" i="46"/>
  <c r="AC133" i="46"/>
  <c r="Z131" i="46"/>
  <c r="AA129" i="46"/>
  <c r="Y127" i="46"/>
  <c r="Z121" i="46"/>
  <c r="X117" i="46"/>
  <c r="AC102" i="46"/>
  <c r="AB100" i="46"/>
  <c r="Z99" i="46"/>
  <c r="AA98" i="46"/>
  <c r="Y97" i="46"/>
  <c r="Z96" i="46"/>
  <c r="AC88" i="46"/>
  <c r="AA84" i="46"/>
  <c r="Z148" i="46"/>
  <c r="X139" i="46"/>
  <c r="Z136" i="46"/>
  <c r="AB133" i="46"/>
  <c r="Y131" i="46"/>
  <c r="Z129" i="46"/>
  <c r="X127" i="46"/>
  <c r="AB119" i="46"/>
  <c r="AC115" i="46"/>
  <c r="AC104" i="46"/>
  <c r="AB102" i="46"/>
  <c r="Z101" i="46"/>
  <c r="AA100" i="46"/>
  <c r="Y99" i="46"/>
  <c r="Z98" i="46"/>
  <c r="X97" i="46"/>
  <c r="AB88" i="46"/>
  <c r="Z84" i="46"/>
  <c r="AC152" i="46"/>
  <c r="Y148" i="46"/>
  <c r="AC138" i="46"/>
  <c r="Y136" i="46"/>
  <c r="AA133" i="46"/>
  <c r="X131" i="46"/>
  <c r="AB128" i="46"/>
  <c r="AA119" i="46"/>
  <c r="AB115" i="46"/>
  <c r="AC106" i="46"/>
  <c r="AB104" i="46"/>
  <c r="Z103" i="46"/>
  <c r="AA102" i="46"/>
  <c r="Y101" i="46"/>
  <c r="Z100" i="46"/>
  <c r="X99" i="46"/>
  <c r="AA88" i="46"/>
  <c r="Y84" i="46"/>
  <c r="AB152" i="46"/>
  <c r="X148" i="46"/>
  <c r="AB138" i="46"/>
  <c r="AC150" i="46"/>
  <c r="AA140" i="46"/>
  <c r="X136" i="46"/>
  <c r="Y132" i="46"/>
  <c r="Z128" i="46"/>
  <c r="AA121" i="46"/>
  <c r="AB113" i="46"/>
  <c r="AC108" i="46"/>
  <c r="X107" i="46"/>
  <c r="Y105" i="46"/>
  <c r="AC98" i="46"/>
  <c r="X90" i="46"/>
  <c r="Y82" i="46"/>
  <c r="AB150" i="46"/>
  <c r="Z140" i="46"/>
  <c r="Y135" i="46"/>
  <c r="X132" i="46"/>
  <c r="Y128" i="46"/>
  <c r="Z119" i="46"/>
  <c r="AA113" i="46"/>
  <c r="AB108" i="46"/>
  <c r="X105" i="46"/>
  <c r="Y103" i="46"/>
  <c r="AB98" i="46"/>
  <c r="AC96" i="46"/>
  <c r="AC86" i="46"/>
  <c r="X82" i="46"/>
  <c r="AA150" i="46"/>
  <c r="Y140" i="46"/>
  <c r="X135" i="46"/>
  <c r="AC130" i="46"/>
  <c r="X128" i="46"/>
  <c r="Y119" i="46"/>
  <c r="Z113" i="46"/>
  <c r="AA108" i="46"/>
  <c r="AB106" i="46"/>
  <c r="X103" i="46"/>
  <c r="AB96" i="46"/>
  <c r="AB86" i="46"/>
  <c r="Z150" i="46"/>
  <c r="X140" i="46"/>
  <c r="AC134" i="46"/>
  <c r="AB130" i="46"/>
  <c r="Z127" i="46"/>
  <c r="X119" i="46"/>
  <c r="Z108" i="46"/>
  <c r="AA106" i="46"/>
  <c r="X101" i="46"/>
  <c r="AA96" i="46"/>
  <c r="AA86" i="46"/>
  <c r="AC137" i="46"/>
  <c r="AB134" i="46"/>
  <c r="X130" i="46"/>
  <c r="Z117" i="46"/>
  <c r="Z106" i="46"/>
  <c r="Z86" i="46"/>
  <c r="X146" i="46"/>
  <c r="Z133" i="46"/>
  <c r="AC129" i="46"/>
  <c r="Y117" i="46"/>
  <c r="Z109" i="46"/>
  <c r="Z104" i="46"/>
  <c r="AC144" i="46"/>
  <c r="AA132" i="46"/>
  <c r="AC121" i="46"/>
  <c r="Y109" i="46"/>
  <c r="Z102" i="46"/>
  <c r="AC90" i="46"/>
  <c r="Z137" i="46"/>
  <c r="Z132" i="46"/>
  <c r="AA128" i="46"/>
  <c r="AB121" i="46"/>
  <c r="X109" i="46"/>
  <c r="Z105" i="46"/>
  <c r="Y90" i="46"/>
  <c r="Y146" i="46"/>
  <c r="AA104" i="46"/>
  <c r="AB137" i="46"/>
  <c r="Y86" i="46"/>
  <c r="AA137" i="46"/>
  <c r="AB129" i="46"/>
  <c r="X115" i="46"/>
  <c r="Z107" i="46"/>
  <c r="Z97" i="46"/>
  <c r="X84" i="46"/>
  <c r="AB144" i="46"/>
  <c r="AC113" i="46"/>
  <c r="Y107" i="46"/>
  <c r="AC100" i="46"/>
  <c r="AC82" i="46"/>
  <c r="Y78" i="46"/>
  <c r="AC77" i="46"/>
  <c r="Y76" i="46"/>
  <c r="AC75" i="46"/>
  <c r="Y74" i="46"/>
  <c r="AC73" i="46"/>
  <c r="Y72" i="46"/>
  <c r="AC71" i="46"/>
  <c r="Y70" i="46"/>
  <c r="AC64" i="46"/>
  <c r="AA62" i="46"/>
  <c r="Y60" i="46"/>
  <c r="AC56" i="46"/>
  <c r="X78" i="46"/>
  <c r="AB77" i="46"/>
  <c r="X76" i="46"/>
  <c r="AB75" i="46"/>
  <c r="X74" i="46"/>
  <c r="AB73" i="46"/>
  <c r="X72" i="46"/>
  <c r="AB71" i="46"/>
  <c r="X70" i="46"/>
  <c r="AB64" i="46"/>
  <c r="Z62" i="46"/>
  <c r="X60" i="46"/>
  <c r="AB56" i="46"/>
  <c r="AA77" i="46"/>
  <c r="AA75" i="46"/>
  <c r="AA73" i="46"/>
  <c r="AA71" i="46"/>
  <c r="AA64" i="46"/>
  <c r="Y62" i="46"/>
  <c r="AC58" i="46"/>
  <c r="AA56" i="46"/>
  <c r="Z77" i="46"/>
  <c r="Z75" i="46"/>
  <c r="Z73" i="46"/>
  <c r="Z71" i="46"/>
  <c r="Z64" i="46"/>
  <c r="X62" i="46"/>
  <c r="AB58" i="46"/>
  <c r="Z56" i="46"/>
  <c r="AC78" i="46"/>
  <c r="Y77" i="46"/>
  <c r="AC76" i="46"/>
  <c r="Y75" i="46"/>
  <c r="AC74" i="46"/>
  <c r="Y73" i="46"/>
  <c r="AC72" i="46"/>
  <c r="Y71" i="46"/>
  <c r="AC70" i="46"/>
  <c r="AB78" i="46"/>
  <c r="X73" i="46"/>
  <c r="AB60" i="46"/>
  <c r="X56" i="46"/>
  <c r="AA78" i="46"/>
  <c r="AB76" i="46"/>
  <c r="X71" i="46"/>
  <c r="AA60" i="46"/>
  <c r="Z78" i="46"/>
  <c r="AA76" i="46"/>
  <c r="AB74" i="46"/>
  <c r="Z60" i="46"/>
  <c r="Z76" i="46"/>
  <c r="AA74" i="46"/>
  <c r="AB72" i="46"/>
  <c r="Y64" i="46"/>
  <c r="AA58" i="46"/>
  <c r="Z74" i="46"/>
  <c r="AA72" i="46"/>
  <c r="AB70" i="46"/>
  <c r="X64" i="46"/>
  <c r="Z58" i="46"/>
  <c r="Z72" i="46"/>
  <c r="AA70" i="46"/>
  <c r="AC62" i="46"/>
  <c r="Y58" i="46"/>
  <c r="X77" i="46"/>
  <c r="Z70" i="46"/>
  <c r="AB62" i="46"/>
  <c r="X58" i="46"/>
  <c r="X75" i="46"/>
  <c r="AC60" i="46"/>
  <c r="Y56" i="46"/>
  <c r="Y52" i="46"/>
  <c r="AC51" i="46"/>
  <c r="Y50" i="46"/>
  <c r="AC49" i="46"/>
  <c r="Y48" i="46"/>
  <c r="AC47" i="46"/>
  <c r="Y46" i="46"/>
  <c r="AC45" i="46"/>
  <c r="Y44" i="46"/>
  <c r="AC43" i="46"/>
  <c r="Y42" i="46"/>
  <c r="AC41" i="46"/>
  <c r="Y35" i="46"/>
  <c r="AC31" i="46"/>
  <c r="AA29" i="46"/>
  <c r="Y27" i="46"/>
  <c r="X11" i="46"/>
  <c r="Z12" i="46"/>
  <c r="AB13" i="46"/>
  <c r="X15" i="46"/>
  <c r="Z16" i="46"/>
  <c r="AB17" i="46"/>
  <c r="X19" i="46"/>
  <c r="Z20" i="46"/>
  <c r="AB21" i="46"/>
  <c r="X23" i="46"/>
  <c r="AC10" i="46"/>
  <c r="AA12" i="46"/>
  <c r="AC13" i="46"/>
  <c r="Y15" i="46"/>
  <c r="AC17" i="46"/>
  <c r="Y19" i="46"/>
  <c r="AA20" i="46"/>
  <c r="AC21" i="46"/>
  <c r="Y23" i="46"/>
  <c r="AA41" i="46"/>
  <c r="AC33" i="46"/>
  <c r="Y29" i="46"/>
  <c r="Z11" i="46"/>
  <c r="AB12" i="46"/>
  <c r="X14" i="46"/>
  <c r="AB16" i="46"/>
  <c r="X18" i="46"/>
  <c r="AB20" i="46"/>
  <c r="Z23" i="46"/>
  <c r="X10" i="46"/>
  <c r="Z49" i="46"/>
  <c r="Z47" i="46"/>
  <c r="Z45" i="46"/>
  <c r="Z41" i="46"/>
  <c r="AB33" i="46"/>
  <c r="Z31" i="46"/>
  <c r="X52" i="46"/>
  <c r="AB51" i="46"/>
  <c r="X50" i="46"/>
  <c r="AB49" i="46"/>
  <c r="X48" i="46"/>
  <c r="AB47" i="46"/>
  <c r="X46" i="46"/>
  <c r="AB45" i="46"/>
  <c r="X44" i="46"/>
  <c r="AB43" i="46"/>
  <c r="X42" i="46"/>
  <c r="AB41" i="46"/>
  <c r="X35" i="46"/>
  <c r="AB31" i="46"/>
  <c r="Z29" i="46"/>
  <c r="X27" i="46"/>
  <c r="Y11" i="46"/>
  <c r="AA16" i="46"/>
  <c r="AA51" i="46"/>
  <c r="AA49" i="46"/>
  <c r="AA47" i="46"/>
  <c r="AA45" i="46"/>
  <c r="AA43" i="46"/>
  <c r="AA31" i="46"/>
  <c r="Z15" i="46"/>
  <c r="Z19" i="46"/>
  <c r="X22" i="46"/>
  <c r="Z51" i="46"/>
  <c r="Z43" i="46"/>
  <c r="X29" i="46"/>
  <c r="AC52" i="46"/>
  <c r="Y51" i="46"/>
  <c r="AC48" i="46"/>
  <c r="Y47" i="46"/>
  <c r="AC44" i="46"/>
  <c r="Y43" i="46"/>
  <c r="AC35" i="46"/>
  <c r="Y31" i="46"/>
  <c r="X12" i="46"/>
  <c r="Z14" i="46"/>
  <c r="Y16" i="46"/>
  <c r="AA18" i="46"/>
  <c r="AC20" i="46"/>
  <c r="AB22" i="46"/>
  <c r="Y10" i="46"/>
  <c r="Y12" i="46"/>
  <c r="AA14" i="46"/>
  <c r="AC16" i="46"/>
  <c r="X21" i="46"/>
  <c r="AC22" i="46"/>
  <c r="Z10" i="46"/>
  <c r="AA52" i="46"/>
  <c r="AA44" i="46"/>
  <c r="AA35" i="46"/>
  <c r="AB14" i="46"/>
  <c r="AC18" i="46"/>
  <c r="Y21" i="46"/>
  <c r="AA10" i="46"/>
  <c r="Z44" i="46"/>
  <c r="AB29" i="46"/>
  <c r="AC14" i="46"/>
  <c r="AA19" i="46"/>
  <c r="AB23" i="46"/>
  <c r="Y45" i="46"/>
  <c r="AC42" i="46"/>
  <c r="AA33" i="46"/>
  <c r="AD10" i="46"/>
  <c r="Z17" i="46"/>
  <c r="AA21" i="46"/>
  <c r="AB50" i="46"/>
  <c r="X45" i="46"/>
  <c r="AB42" i="46"/>
  <c r="Z33" i="46"/>
  <c r="Z13" i="46"/>
  <c r="AA17" i="46"/>
  <c r="Y22" i="46"/>
  <c r="AA50" i="46"/>
  <c r="AA42" i="46"/>
  <c r="Y33" i="46"/>
  <c r="AA27" i="46"/>
  <c r="AA13" i="46"/>
  <c r="Y18" i="46"/>
  <c r="Z22" i="46"/>
  <c r="Z46" i="46"/>
  <c r="Z27" i="46"/>
  <c r="AC11" i="46"/>
  <c r="X16" i="46"/>
  <c r="Y20" i="46"/>
  <c r="AB52" i="46"/>
  <c r="X51" i="46"/>
  <c r="AB48" i="46"/>
  <c r="X47" i="46"/>
  <c r="AB44" i="46"/>
  <c r="X43" i="46"/>
  <c r="AB35" i="46"/>
  <c r="X31" i="46"/>
  <c r="AB18" i="46"/>
  <c r="AA48" i="46"/>
  <c r="AC29" i="46"/>
  <c r="AC12" i="46"/>
  <c r="X17" i="46"/>
  <c r="AA23" i="46"/>
  <c r="Z52" i="46"/>
  <c r="Z48" i="46"/>
  <c r="Z35" i="46"/>
  <c r="X13" i="46"/>
  <c r="Y17" i="46"/>
  <c r="Z21" i="46"/>
  <c r="AB10" i="46"/>
  <c r="AC50" i="46"/>
  <c r="Y49" i="46"/>
  <c r="AC46" i="46"/>
  <c r="Y41" i="46"/>
  <c r="AC27" i="46"/>
  <c r="Y13" i="46"/>
  <c r="AA15" i="46"/>
  <c r="AB19" i="46"/>
  <c r="AC23" i="46"/>
  <c r="X49" i="46"/>
  <c r="AB46" i="46"/>
  <c r="X41" i="46"/>
  <c r="AB27" i="46"/>
  <c r="AA11" i="46"/>
  <c r="AB15" i="46"/>
  <c r="AC19" i="46"/>
  <c r="AA46" i="46"/>
  <c r="AB11" i="46"/>
  <c r="AC15" i="46"/>
  <c r="X20" i="46"/>
  <c r="Z50" i="46"/>
  <c r="Z42" i="46"/>
  <c r="X33" i="46"/>
  <c r="Y14" i="46"/>
  <c r="Z18" i="46"/>
  <c r="AA22" i="46"/>
  <c r="AC26" i="39"/>
  <c r="Y17" i="39"/>
  <c r="AC15" i="39"/>
  <c r="AE32" i="39"/>
  <c r="AC12" i="39"/>
  <c r="W103" i="39"/>
  <c r="AF10" i="39"/>
  <c r="AB42" i="39"/>
  <c r="AA103" i="39"/>
  <c r="AB10" i="39"/>
  <c r="AG16" i="39"/>
  <c r="AG14" i="39"/>
  <c r="AG11" i="39"/>
  <c r="AG26" i="39"/>
  <c r="AA33" i="39"/>
  <c r="AF43" i="39"/>
  <c r="AF57" i="39"/>
  <c r="X103" i="39"/>
  <c r="AG17" i="39"/>
  <c r="AC16" i="39"/>
  <c r="AC14" i="39"/>
  <c r="AC11" i="39"/>
  <c r="AE28" i="39"/>
  <c r="AB46" i="39"/>
  <c r="Y103" i="39"/>
  <c r="AC17" i="39"/>
  <c r="AG15" i="39"/>
  <c r="AG12" i="39"/>
  <c r="AE30" i="39"/>
  <c r="AB41" i="39"/>
  <c r="AF47" i="39"/>
  <c r="AE80" i="39"/>
  <c r="V103" i="39"/>
  <c r="Z103" i="39"/>
  <c r="AE10" i="39"/>
  <c r="AF17" i="39"/>
  <c r="AB17" i="39"/>
  <c r="X17" i="39"/>
  <c r="AF16" i="39"/>
  <c r="AB16" i="39"/>
  <c r="AF15" i="39"/>
  <c r="AB15" i="39"/>
  <c r="AF14" i="39"/>
  <c r="AB14" i="39"/>
  <c r="AF12" i="39"/>
  <c r="AB12" i="39"/>
  <c r="AF11" i="39"/>
  <c r="AB11" i="39"/>
  <c r="AD26" i="39"/>
  <c r="AC27" i="39"/>
  <c r="AG28" i="39"/>
  <c r="AG30" i="39"/>
  <c r="AC31" i="39"/>
  <c r="AG32" i="39"/>
  <c r="AC33" i="39"/>
  <c r="AD41" i="39"/>
  <c r="AF42" i="39"/>
  <c r="AB45" i="39"/>
  <c r="AF46" i="39"/>
  <c r="X48" i="39"/>
  <c r="AB58" i="39"/>
  <c r="AG95" i="39"/>
  <c r="AC95" i="39"/>
  <c r="AG94" i="39"/>
  <c r="AC94" i="39"/>
  <c r="AD80" i="39"/>
  <c r="Z80" i="39"/>
  <c r="V80" i="39"/>
  <c r="AD79" i="39"/>
  <c r="AD78" i="39"/>
  <c r="AD77" i="39"/>
  <c r="AD75" i="39"/>
  <c r="AD74" i="39"/>
  <c r="AD73" i="39"/>
  <c r="AE64" i="39"/>
  <c r="AA64" i="39"/>
  <c r="W64" i="39"/>
  <c r="AE63" i="39"/>
  <c r="AE62" i="39"/>
  <c r="AE61" i="39"/>
  <c r="AE59" i="39"/>
  <c r="AE58" i="39"/>
  <c r="AE57" i="39"/>
  <c r="AF95" i="39"/>
  <c r="AB95" i="39"/>
  <c r="AF94" i="39"/>
  <c r="AB94" i="39"/>
  <c r="AG80" i="39"/>
  <c r="AC80" i="39"/>
  <c r="Y80" i="39"/>
  <c r="AG79" i="39"/>
  <c r="AC79" i="39"/>
  <c r="AG78" i="39"/>
  <c r="AC78" i="39"/>
  <c r="AG77" i="39"/>
  <c r="AC77" i="39"/>
  <c r="AG75" i="39"/>
  <c r="AC75" i="39"/>
  <c r="AG74" i="39"/>
  <c r="AC74" i="39"/>
  <c r="AG73" i="39"/>
  <c r="AC73" i="39"/>
  <c r="AE95" i="39"/>
  <c r="AE94" i="39"/>
  <c r="AF80" i="39"/>
  <c r="AB80" i="39"/>
  <c r="X80" i="39"/>
  <c r="AF79" i="39"/>
  <c r="AB79" i="39"/>
  <c r="AF78" i="39"/>
  <c r="AB78" i="39"/>
  <c r="AF77" i="39"/>
  <c r="AB77" i="39"/>
  <c r="AF75" i="39"/>
  <c r="AB75" i="39"/>
  <c r="AF74" i="39"/>
  <c r="AB74" i="39"/>
  <c r="AF73" i="39"/>
  <c r="AB73" i="39"/>
  <c r="AG64" i="39"/>
  <c r="AC64" i="39"/>
  <c r="Y64" i="39"/>
  <c r="AG63" i="39"/>
  <c r="AC63" i="39"/>
  <c r="AG62" i="39"/>
  <c r="AC62" i="39"/>
  <c r="AG61" i="39"/>
  <c r="AC61" i="39"/>
  <c r="AG59" i="39"/>
  <c r="AC59" i="39"/>
  <c r="AG58" i="39"/>
  <c r="AC58" i="39"/>
  <c r="AG57" i="39"/>
  <c r="AC57" i="39"/>
  <c r="AA80" i="39"/>
  <c r="AE77" i="39"/>
  <c r="AE73" i="39"/>
  <c r="Z64" i="39"/>
  <c r="AD63" i="39"/>
  <c r="AD61" i="39"/>
  <c r="AD59" i="39"/>
  <c r="AD57" i="39"/>
  <c r="AE48" i="39"/>
  <c r="AA48" i="39"/>
  <c r="W48" i="39"/>
  <c r="AE47" i="39"/>
  <c r="AE46" i="39"/>
  <c r="AE45" i="39"/>
  <c r="AE43" i="39"/>
  <c r="AE42" i="39"/>
  <c r="AE41" i="39"/>
  <c r="AF33" i="39"/>
  <c r="AB33" i="39"/>
  <c r="X33" i="39"/>
  <c r="AF32" i="39"/>
  <c r="AB32" i="39"/>
  <c r="AF31" i="39"/>
  <c r="AB31" i="39"/>
  <c r="AF30" i="39"/>
  <c r="AB30" i="39"/>
  <c r="AF28" i="39"/>
  <c r="AB28" i="39"/>
  <c r="AF27" i="39"/>
  <c r="AB27" i="39"/>
  <c r="W80" i="39"/>
  <c r="AE78" i="39"/>
  <c r="AE74" i="39"/>
  <c r="AF64" i="39"/>
  <c r="X64" i="39"/>
  <c r="AB63" i="39"/>
  <c r="AF62" i="39"/>
  <c r="AB61" i="39"/>
  <c r="AB59" i="39"/>
  <c r="AF58" i="39"/>
  <c r="AB57" i="39"/>
  <c r="AD48" i="39"/>
  <c r="Z48" i="39"/>
  <c r="V48" i="39"/>
  <c r="AD47" i="39"/>
  <c r="AD46" i="39"/>
  <c r="AD45" i="39"/>
  <c r="AD43" i="39"/>
  <c r="AD42" i="39"/>
  <c r="AD94" i="39"/>
  <c r="AE79" i="39"/>
  <c r="AE75" i="39"/>
  <c r="AD64" i="39"/>
  <c r="V64" i="39"/>
  <c r="AD62" i="39"/>
  <c r="AD58" i="39"/>
  <c r="AG48" i="39"/>
  <c r="AC48" i="39"/>
  <c r="Y48" i="39"/>
  <c r="AG47" i="39"/>
  <c r="AC47" i="39"/>
  <c r="AG46" i="39"/>
  <c r="AC46" i="39"/>
  <c r="AG45" i="39"/>
  <c r="AC45" i="39"/>
  <c r="AG43" i="39"/>
  <c r="AC43" i="39"/>
  <c r="AG42" i="39"/>
  <c r="AC42" i="39"/>
  <c r="AG41" i="39"/>
  <c r="AC41" i="39"/>
  <c r="AD33" i="39"/>
  <c r="Z33" i="39"/>
  <c r="V33" i="39"/>
  <c r="AD32" i="39"/>
  <c r="AD31" i="39"/>
  <c r="AD30" i="39"/>
  <c r="AD28" i="39"/>
  <c r="AD27" i="39"/>
  <c r="AD10" i="39"/>
  <c r="AE17" i="39"/>
  <c r="AA17" i="39"/>
  <c r="W17" i="39"/>
  <c r="AE16" i="39"/>
  <c r="AE15" i="39"/>
  <c r="AE14" i="39"/>
  <c r="AE12" i="39"/>
  <c r="AE11" i="39"/>
  <c r="AE26" i="39"/>
  <c r="AE27" i="39"/>
  <c r="AE31" i="39"/>
  <c r="W33" i="39"/>
  <c r="AE33" i="39"/>
  <c r="AF41" i="39"/>
  <c r="AF45" i="39"/>
  <c r="AB48" i="39"/>
  <c r="AF61" i="39"/>
  <c r="AB64" i="39"/>
  <c r="AG10" i="39"/>
  <c r="AC10" i="39"/>
  <c r="AD17" i="39"/>
  <c r="Z17" i="39"/>
  <c r="V17" i="39"/>
  <c r="AD16" i="39"/>
  <c r="AD15" i="39"/>
  <c r="AD14" i="39"/>
  <c r="AD12" i="39"/>
  <c r="AD11" i="39"/>
  <c r="AB26" i="39"/>
  <c r="AF26" i="39"/>
  <c r="AG27" i="39"/>
  <c r="AC28" i="39"/>
  <c r="AC30" i="39"/>
  <c r="AG31" i="39"/>
  <c r="AC32" i="39"/>
  <c r="Y33" i="39"/>
  <c r="AG33" i="39"/>
  <c r="AB43" i="39"/>
  <c r="AB47" i="39"/>
  <c r="AF48" i="39"/>
  <c r="AF59" i="39"/>
  <c r="AB62" i="39"/>
  <c r="AD95" i="39"/>
  <c r="E59" i="50"/>
  <c r="AQ59" i="50" s="1"/>
  <c r="E58" i="50"/>
  <c r="AQ58" i="50" s="1"/>
  <c r="E57" i="50"/>
  <c r="AQ57" i="50" s="1"/>
  <c r="E56" i="50"/>
  <c r="AQ56" i="50" s="1"/>
  <c r="E55" i="50"/>
  <c r="AQ55" i="50" s="1"/>
  <c r="E54" i="50"/>
  <c r="AQ54" i="50" s="1"/>
  <c r="E53" i="50"/>
  <c r="AQ53" i="50" s="1"/>
  <c r="E52" i="50"/>
  <c r="AQ52" i="50" s="1"/>
  <c r="E51" i="50"/>
  <c r="AQ51" i="50" s="1"/>
  <c r="E50" i="50"/>
  <c r="AQ50" i="50" s="1"/>
  <c r="E49" i="50"/>
  <c r="AQ49" i="50" s="1"/>
  <c r="E48" i="50"/>
  <c r="AQ48" i="50" s="1"/>
  <c r="E47" i="50"/>
  <c r="AQ47" i="50" s="1"/>
  <c r="E46" i="50"/>
  <c r="AQ46" i="50" s="1"/>
  <c r="E45" i="50"/>
  <c r="AQ45" i="50" s="1"/>
  <c r="E43" i="50"/>
  <c r="AQ43" i="50" s="1"/>
  <c r="E42" i="50"/>
  <c r="AQ42" i="50" s="1"/>
  <c r="E41" i="50"/>
  <c r="AQ41" i="50" s="1"/>
  <c r="E40" i="50"/>
  <c r="AQ40" i="50" s="1"/>
  <c r="E39" i="50"/>
  <c r="AQ39" i="50" s="1"/>
  <c r="E37" i="50"/>
  <c r="AQ37" i="50" s="1"/>
  <c r="E36" i="50"/>
  <c r="AQ36" i="50" s="1"/>
  <c r="I65" i="65" l="1"/>
  <c r="H65" i="65"/>
  <c r="G65" i="65"/>
  <c r="F65" i="65"/>
  <c r="E65" i="65"/>
  <c r="D65" i="65"/>
  <c r="D56" i="65" l="1"/>
  <c r="C58" i="83" s="1"/>
  <c r="D55" i="65"/>
  <c r="C57" i="83" s="1"/>
  <c r="D51" i="65"/>
  <c r="C53" i="83" s="1"/>
  <c r="D50" i="65"/>
  <c r="C52" i="83" s="1"/>
  <c r="D24" i="65"/>
  <c r="D23" i="65"/>
  <c r="D22" i="65"/>
  <c r="D14" i="16" l="1"/>
  <c r="M14" i="16" s="1"/>
  <c r="AN23" i="84" s="1"/>
  <c r="BC86" i="53"/>
  <c r="DE86" i="53" s="1"/>
  <c r="BC94" i="53"/>
  <c r="DE94" i="53" s="1"/>
  <c r="BC92" i="53"/>
  <c r="DE92" i="53" s="1"/>
  <c r="AW92" i="53"/>
  <c r="CY92" i="53" s="1"/>
  <c r="E14" i="16" l="1"/>
  <c r="N14" i="16" s="1"/>
  <c r="AO23" i="84" s="1"/>
  <c r="I11" i="39"/>
  <c r="V11" i="39" s="1"/>
  <c r="N8" i="22" l="1"/>
  <c r="M8" i="22"/>
  <c r="L8" i="22"/>
  <c r="K8" i="22"/>
  <c r="J8" i="22"/>
  <c r="AW66" i="60" l="1"/>
  <c r="AW68" i="60"/>
  <c r="AW67" i="60"/>
  <c r="AW65" i="60"/>
  <c r="AW46" i="60"/>
  <c r="AW42" i="60"/>
  <c r="AW38" i="60"/>
  <c r="AW37" i="60"/>
  <c r="AW36" i="60"/>
  <c r="AW35" i="60"/>
  <c r="AW34" i="60"/>
  <c r="AW33" i="60"/>
  <c r="AW32" i="60"/>
  <c r="AW31" i="60"/>
  <c r="AW30" i="60"/>
  <c r="AW26" i="60"/>
  <c r="AW24" i="60"/>
  <c r="AW23" i="60"/>
  <c r="AW22" i="60"/>
  <c r="AW21" i="60"/>
  <c r="AW20" i="60"/>
  <c r="AW19" i="60"/>
  <c r="AW18" i="60"/>
  <c r="AW17" i="60"/>
  <c r="AW16" i="60"/>
  <c r="AW15" i="60"/>
  <c r="AW13" i="60"/>
  <c r="AW12" i="60"/>
  <c r="AV68" i="60"/>
  <c r="AV67" i="60"/>
  <c r="AV66" i="60"/>
  <c r="AV65" i="60"/>
  <c r="AV46" i="60"/>
  <c r="AV42" i="60"/>
  <c r="AV38" i="60"/>
  <c r="AV37" i="60"/>
  <c r="AV36" i="60"/>
  <c r="AV35" i="60"/>
  <c r="AV34" i="60"/>
  <c r="AV33" i="60"/>
  <c r="AV32" i="60"/>
  <c r="AV31" i="60"/>
  <c r="AV30" i="60"/>
  <c r="AV20" i="60"/>
  <c r="AV26" i="60"/>
  <c r="AV23" i="60"/>
  <c r="AV22" i="60"/>
  <c r="AV21" i="60"/>
  <c r="AV19" i="60"/>
  <c r="AV18" i="60"/>
  <c r="AV17" i="60"/>
  <c r="AV16" i="60"/>
  <c r="AV15" i="60"/>
  <c r="AV13" i="60"/>
  <c r="AV12" i="60"/>
  <c r="AP87" i="53" l="1"/>
  <c r="AO87" i="53"/>
  <c r="CR87" i="53" s="1"/>
  <c r="AP86" i="53"/>
  <c r="AO86" i="53"/>
  <c r="CR86" i="53" s="1"/>
  <c r="AP85" i="53"/>
  <c r="AO85" i="53"/>
  <c r="CR85" i="53" s="1"/>
  <c r="AP84" i="53"/>
  <c r="AO84" i="53"/>
  <c r="CR84" i="53" s="1"/>
  <c r="AP82" i="53"/>
  <c r="AO82" i="53"/>
  <c r="CR82" i="53" s="1"/>
  <c r="AP81" i="53"/>
  <c r="AO81" i="53"/>
  <c r="CR81" i="53" s="1"/>
  <c r="AP80" i="53"/>
  <c r="AO80" i="53"/>
  <c r="CR80" i="53" s="1"/>
  <c r="AP79" i="53"/>
  <c r="AO79" i="53"/>
  <c r="CR79" i="53" s="1"/>
  <c r="AP78" i="53"/>
  <c r="AO78" i="53"/>
  <c r="CR78" i="53" s="1"/>
  <c r="AP77" i="53"/>
  <c r="AO77" i="53"/>
  <c r="CR77" i="53" s="1"/>
  <c r="AP75" i="53"/>
  <c r="AO75" i="53"/>
  <c r="CR75" i="53" s="1"/>
  <c r="AP73" i="53"/>
  <c r="AO73" i="53"/>
  <c r="CR73" i="53" s="1"/>
  <c r="AP71" i="53"/>
  <c r="AO71" i="53"/>
  <c r="CR71" i="53" s="1"/>
  <c r="AP54" i="53"/>
  <c r="AO54" i="53"/>
  <c r="CR54" i="53" s="1"/>
  <c r="AP53" i="53"/>
  <c r="AO53" i="53"/>
  <c r="CR53" i="53" s="1"/>
  <c r="AP52" i="53"/>
  <c r="AO52" i="53"/>
  <c r="CR52" i="53" s="1"/>
  <c r="AP47" i="53"/>
  <c r="AO47" i="53"/>
  <c r="CR47" i="53" s="1"/>
  <c r="AP46" i="53"/>
  <c r="AO46" i="53"/>
  <c r="CR46" i="53" s="1"/>
  <c r="AP45" i="53"/>
  <c r="AO45" i="53"/>
  <c r="CR45" i="53" s="1"/>
  <c r="AP44" i="53"/>
  <c r="AO44" i="53"/>
  <c r="CR44" i="53" s="1"/>
  <c r="AP43" i="53"/>
  <c r="AO43" i="53"/>
  <c r="CR43" i="53" s="1"/>
  <c r="AP42" i="53"/>
  <c r="AO42" i="53"/>
  <c r="CR42" i="53" s="1"/>
  <c r="AP41" i="53"/>
  <c r="AO41" i="53"/>
  <c r="CR41" i="53" s="1"/>
  <c r="AP40" i="53"/>
  <c r="AO40" i="53"/>
  <c r="CR40" i="53" s="1"/>
  <c r="AP39" i="53"/>
  <c r="AO39" i="53"/>
  <c r="CR39" i="53" s="1"/>
  <c r="AP37" i="53"/>
  <c r="AO37" i="53"/>
  <c r="CR37" i="53" s="1"/>
  <c r="AP36" i="53"/>
  <c r="AO36" i="53"/>
  <c r="CR36" i="53" s="1"/>
  <c r="AP35" i="53"/>
  <c r="AO35" i="53"/>
  <c r="CR35" i="53" s="1"/>
  <c r="AP34" i="53"/>
  <c r="AO34" i="53"/>
  <c r="CR34" i="53" s="1"/>
  <c r="AP33" i="53"/>
  <c r="AO33" i="53"/>
  <c r="CR33" i="53" s="1"/>
  <c r="AP32" i="53"/>
  <c r="AO32" i="53"/>
  <c r="CR32" i="53" s="1"/>
  <c r="AP31" i="53"/>
  <c r="AO31" i="53"/>
  <c r="CR31" i="53" s="1"/>
  <c r="AP30" i="53"/>
  <c r="AO30" i="53"/>
  <c r="CR30" i="53" s="1"/>
  <c r="AP28" i="53"/>
  <c r="AO28" i="53"/>
  <c r="CR28" i="53" s="1"/>
  <c r="AP27" i="53"/>
  <c r="AO27" i="53"/>
  <c r="CR27" i="53" s="1"/>
  <c r="AP26" i="53"/>
  <c r="AO26" i="53"/>
  <c r="CR26" i="53" s="1"/>
  <c r="AP23" i="53"/>
  <c r="AO23" i="53"/>
  <c r="CR23" i="53" s="1"/>
  <c r="AP22" i="53"/>
  <c r="AO22" i="53"/>
  <c r="CR22" i="53" s="1"/>
  <c r="AP20" i="53"/>
  <c r="AO20" i="53"/>
  <c r="CR20" i="53" s="1"/>
  <c r="AP19" i="53"/>
  <c r="AO19" i="53"/>
  <c r="CR19" i="53" s="1"/>
  <c r="AP16" i="53"/>
  <c r="AO16" i="53"/>
  <c r="CR16" i="53" s="1"/>
  <c r="AP15" i="53"/>
  <c r="AO15" i="53"/>
  <c r="CR15" i="53" s="1"/>
  <c r="AP14" i="53"/>
  <c r="AO14" i="53"/>
  <c r="CR14" i="53" s="1"/>
  <c r="AH94" i="53"/>
  <c r="AG94" i="53"/>
  <c r="CK94" i="53" s="1"/>
  <c r="AH92" i="53"/>
  <c r="AG92" i="53"/>
  <c r="CK92" i="53" s="1"/>
  <c r="AH87" i="53"/>
  <c r="AG87" i="53"/>
  <c r="CK87" i="53" s="1"/>
  <c r="AH86" i="53"/>
  <c r="AG86" i="53"/>
  <c r="CK86" i="53" s="1"/>
  <c r="AH85" i="53"/>
  <c r="AG85" i="53"/>
  <c r="CK85" i="53" s="1"/>
  <c r="AH84" i="53"/>
  <c r="AG84" i="53"/>
  <c r="CK84" i="53" s="1"/>
  <c r="AH82" i="53"/>
  <c r="AG82" i="53"/>
  <c r="CK82" i="53" s="1"/>
  <c r="AH81" i="53"/>
  <c r="AG81" i="53"/>
  <c r="CK81" i="53" s="1"/>
  <c r="AH80" i="53"/>
  <c r="AG80" i="53"/>
  <c r="CK80" i="53" s="1"/>
  <c r="AH79" i="53"/>
  <c r="AG79" i="53"/>
  <c r="CK79" i="53" s="1"/>
  <c r="AH78" i="53"/>
  <c r="AG78" i="53"/>
  <c r="CK78" i="53" s="1"/>
  <c r="AH77" i="53"/>
  <c r="AG77" i="53"/>
  <c r="CK77" i="53" s="1"/>
  <c r="AH75" i="53"/>
  <c r="AG75" i="53"/>
  <c r="CK75" i="53" s="1"/>
  <c r="AH73" i="53"/>
  <c r="AG73" i="53"/>
  <c r="CK73" i="53" s="1"/>
  <c r="AH71" i="53"/>
  <c r="AG71" i="53"/>
  <c r="CK71" i="53" s="1"/>
  <c r="AH54" i="53"/>
  <c r="AG54" i="53"/>
  <c r="CK54" i="53" s="1"/>
  <c r="AH53" i="53"/>
  <c r="AG53" i="53"/>
  <c r="CK53" i="53" s="1"/>
  <c r="AH52" i="53"/>
  <c r="AG52" i="53"/>
  <c r="CK52" i="53" s="1"/>
  <c r="AH47" i="53"/>
  <c r="AG47" i="53"/>
  <c r="CK47" i="53" s="1"/>
  <c r="AH46" i="53"/>
  <c r="AG46" i="53"/>
  <c r="CK46" i="53" s="1"/>
  <c r="AH45" i="53"/>
  <c r="AG45" i="53"/>
  <c r="CK45" i="53" s="1"/>
  <c r="AH44" i="53"/>
  <c r="AG44" i="53"/>
  <c r="CK44" i="53" s="1"/>
  <c r="AH43" i="53"/>
  <c r="AG43" i="53"/>
  <c r="CK43" i="53" s="1"/>
  <c r="AH42" i="53"/>
  <c r="AG42" i="53"/>
  <c r="CK42" i="53" s="1"/>
  <c r="AH41" i="53"/>
  <c r="AG41" i="53"/>
  <c r="CK41" i="53" s="1"/>
  <c r="AH40" i="53"/>
  <c r="AG40" i="53"/>
  <c r="CK40" i="53" s="1"/>
  <c r="AH39" i="53"/>
  <c r="AG39" i="53"/>
  <c r="CK39" i="53" s="1"/>
  <c r="AH37" i="53"/>
  <c r="AG37" i="53"/>
  <c r="CK37" i="53" s="1"/>
  <c r="AH36" i="53"/>
  <c r="AG36" i="53"/>
  <c r="CK36" i="53" s="1"/>
  <c r="AH35" i="53"/>
  <c r="AG35" i="53"/>
  <c r="CK35" i="53" s="1"/>
  <c r="AH34" i="53"/>
  <c r="AG34" i="53"/>
  <c r="CK34" i="53" s="1"/>
  <c r="AH33" i="53"/>
  <c r="AG33" i="53"/>
  <c r="CK33" i="53" s="1"/>
  <c r="AH32" i="53"/>
  <c r="AG32" i="53"/>
  <c r="CK32" i="53" s="1"/>
  <c r="AH31" i="53"/>
  <c r="AG31" i="53"/>
  <c r="CK31" i="53" s="1"/>
  <c r="AH30" i="53"/>
  <c r="AG30" i="53"/>
  <c r="CK30" i="53" s="1"/>
  <c r="AH28" i="53"/>
  <c r="AG28" i="53"/>
  <c r="CK28" i="53" s="1"/>
  <c r="AH27" i="53"/>
  <c r="AG27" i="53"/>
  <c r="CK27" i="53" s="1"/>
  <c r="AH26" i="53"/>
  <c r="AG26" i="53"/>
  <c r="CK26" i="53" s="1"/>
  <c r="AH23" i="53"/>
  <c r="AG23" i="53"/>
  <c r="CK23" i="53" s="1"/>
  <c r="AH22" i="53"/>
  <c r="AG22" i="53"/>
  <c r="CK22" i="53" s="1"/>
  <c r="AH20" i="53"/>
  <c r="AG20" i="53"/>
  <c r="CK20" i="53" s="1"/>
  <c r="AH19" i="53"/>
  <c r="AG19" i="53"/>
  <c r="CK19" i="53" s="1"/>
  <c r="AH16" i="53"/>
  <c r="AG16" i="53"/>
  <c r="CK16" i="53" s="1"/>
  <c r="AH15" i="53"/>
  <c r="AG15" i="53"/>
  <c r="CK15" i="53" s="1"/>
  <c r="AH14" i="53"/>
  <c r="AG14" i="53"/>
  <c r="CK14" i="53" s="1"/>
  <c r="AH13" i="53"/>
  <c r="AG13" i="53"/>
  <c r="CK13" i="53" s="1"/>
  <c r="Z87" i="53"/>
  <c r="Y87" i="53"/>
  <c r="CD87" i="53" s="1"/>
  <c r="Z86" i="53"/>
  <c r="Y86" i="53"/>
  <c r="CD86" i="53" s="1"/>
  <c r="Z85" i="53"/>
  <c r="Y85" i="53"/>
  <c r="CD85" i="53" s="1"/>
  <c r="Z84" i="53"/>
  <c r="Y84" i="53"/>
  <c r="CD84" i="53" s="1"/>
  <c r="Z82" i="53"/>
  <c r="Y82" i="53"/>
  <c r="CD82" i="53" s="1"/>
  <c r="Z81" i="53"/>
  <c r="Y81" i="53"/>
  <c r="CD81" i="53" s="1"/>
  <c r="Z80" i="53"/>
  <c r="Y80" i="53"/>
  <c r="CD80" i="53" s="1"/>
  <c r="Z79" i="53"/>
  <c r="Y79" i="53"/>
  <c r="CD79" i="53" s="1"/>
  <c r="Z78" i="53"/>
  <c r="Y78" i="53"/>
  <c r="CD78" i="53" s="1"/>
  <c r="Z77" i="53"/>
  <c r="Y77" i="53"/>
  <c r="CD77" i="53" s="1"/>
  <c r="Z75" i="53"/>
  <c r="Y75" i="53"/>
  <c r="CD75" i="53" s="1"/>
  <c r="Z74" i="53"/>
  <c r="Y74" i="53"/>
  <c r="CD74" i="53" s="1"/>
  <c r="Z72" i="53"/>
  <c r="Y72" i="53"/>
  <c r="CD72" i="53" s="1"/>
  <c r="Z71" i="53"/>
  <c r="Y71" i="53"/>
  <c r="CD71" i="53" s="1"/>
  <c r="Z54" i="53"/>
  <c r="Y54" i="53"/>
  <c r="CD54" i="53" s="1"/>
  <c r="Z53" i="53"/>
  <c r="Y53" i="53"/>
  <c r="CD53" i="53" s="1"/>
  <c r="Z52" i="53"/>
  <c r="Y52" i="53"/>
  <c r="CD52" i="53" s="1"/>
  <c r="Z47" i="53"/>
  <c r="Y47" i="53"/>
  <c r="CD47" i="53" s="1"/>
  <c r="Z46" i="53"/>
  <c r="Y46" i="53"/>
  <c r="CD46" i="53" s="1"/>
  <c r="Z45" i="53"/>
  <c r="Y45" i="53"/>
  <c r="CD45" i="53" s="1"/>
  <c r="Z44" i="53"/>
  <c r="Y44" i="53"/>
  <c r="CD44" i="53" s="1"/>
  <c r="Z43" i="53"/>
  <c r="Y43" i="53"/>
  <c r="CD43" i="53" s="1"/>
  <c r="Z42" i="53"/>
  <c r="Y42" i="53"/>
  <c r="CD42" i="53" s="1"/>
  <c r="Z41" i="53"/>
  <c r="Y41" i="53"/>
  <c r="CD41" i="53" s="1"/>
  <c r="Z40" i="53"/>
  <c r="Y40" i="53"/>
  <c r="CD40" i="53" s="1"/>
  <c r="Z39" i="53"/>
  <c r="Y39" i="53"/>
  <c r="CD39" i="53" s="1"/>
  <c r="Z37" i="53"/>
  <c r="Y37" i="53"/>
  <c r="CD37" i="53" s="1"/>
  <c r="Z36" i="53"/>
  <c r="Y36" i="53"/>
  <c r="CD36" i="53" s="1"/>
  <c r="Z35" i="53"/>
  <c r="Y35" i="53"/>
  <c r="CD35" i="53" s="1"/>
  <c r="Z34" i="53"/>
  <c r="Y34" i="53"/>
  <c r="CD34" i="53" s="1"/>
  <c r="Z33" i="53"/>
  <c r="Y33" i="53"/>
  <c r="CD33" i="53" s="1"/>
  <c r="Z32" i="53"/>
  <c r="Y32" i="53"/>
  <c r="CD32" i="53" s="1"/>
  <c r="Z30" i="53"/>
  <c r="Y30" i="53"/>
  <c r="CD30" i="53" s="1"/>
  <c r="Z28" i="53"/>
  <c r="Y28" i="53"/>
  <c r="CD28" i="53" s="1"/>
  <c r="Z27" i="53"/>
  <c r="Y27" i="53"/>
  <c r="CD27" i="53" s="1"/>
  <c r="Z26" i="53"/>
  <c r="Y26" i="53"/>
  <c r="CD26" i="53" s="1"/>
  <c r="Z23" i="53"/>
  <c r="Y23" i="53"/>
  <c r="CD23" i="53" s="1"/>
  <c r="Z22" i="53"/>
  <c r="Y22" i="53"/>
  <c r="CD22" i="53" s="1"/>
  <c r="Z20" i="53"/>
  <c r="Y20" i="53"/>
  <c r="CD20" i="53" s="1"/>
  <c r="Z19" i="53"/>
  <c r="Y19" i="53"/>
  <c r="CD19" i="53" s="1"/>
  <c r="Z16" i="53"/>
  <c r="Y16" i="53"/>
  <c r="CD16" i="53" s="1"/>
  <c r="Z15" i="53"/>
  <c r="Y15" i="53"/>
  <c r="CD15" i="53" s="1"/>
  <c r="Z14" i="53"/>
  <c r="Y14" i="53"/>
  <c r="CD14" i="53" s="1"/>
  <c r="Z13" i="53"/>
  <c r="Y13" i="53"/>
  <c r="CD13" i="53" s="1"/>
  <c r="R87" i="53"/>
  <c r="Q87" i="53"/>
  <c r="BW87" i="53" s="1"/>
  <c r="R86" i="53"/>
  <c r="Q86" i="53"/>
  <c r="BW86" i="53" s="1"/>
  <c r="R85" i="53"/>
  <c r="Q85" i="53"/>
  <c r="BW85" i="53" s="1"/>
  <c r="R84" i="53"/>
  <c r="Q84" i="53"/>
  <c r="BW84" i="53" s="1"/>
  <c r="R82" i="53"/>
  <c r="Q82" i="53"/>
  <c r="BW82" i="53" s="1"/>
  <c r="R81" i="53"/>
  <c r="Q81" i="53"/>
  <c r="BW81" i="53" s="1"/>
  <c r="R80" i="53"/>
  <c r="Q80" i="53"/>
  <c r="BW80" i="53" s="1"/>
  <c r="R79" i="53"/>
  <c r="Q79" i="53"/>
  <c r="BW79" i="53" s="1"/>
  <c r="R78" i="53"/>
  <c r="Q78" i="53"/>
  <c r="BW78" i="53" s="1"/>
  <c r="R77" i="53"/>
  <c r="Q77" i="53"/>
  <c r="BW77" i="53" s="1"/>
  <c r="R75" i="53"/>
  <c r="Q75" i="53"/>
  <c r="BW75" i="53" s="1"/>
  <c r="R74" i="53"/>
  <c r="Q74" i="53"/>
  <c r="BW74" i="53" s="1"/>
  <c r="R72" i="53"/>
  <c r="Q72" i="53"/>
  <c r="BW72" i="53" s="1"/>
  <c r="R71" i="53"/>
  <c r="Q71" i="53"/>
  <c r="BW71" i="53" s="1"/>
  <c r="R54" i="53"/>
  <c r="Q54" i="53"/>
  <c r="BW54" i="53" s="1"/>
  <c r="R53" i="53"/>
  <c r="Q53" i="53"/>
  <c r="BW53" i="53" s="1"/>
  <c r="R52" i="53"/>
  <c r="Q52" i="53"/>
  <c r="BW52" i="53" s="1"/>
  <c r="R47" i="53"/>
  <c r="Q47" i="53"/>
  <c r="BW47" i="53" s="1"/>
  <c r="R46" i="53"/>
  <c r="Q46" i="53"/>
  <c r="BW46" i="53" s="1"/>
  <c r="R45" i="53"/>
  <c r="Q45" i="53"/>
  <c r="BW45" i="53" s="1"/>
  <c r="R44" i="53"/>
  <c r="Q44" i="53"/>
  <c r="BW44" i="53" s="1"/>
  <c r="R43" i="53"/>
  <c r="Q43" i="53"/>
  <c r="BW43" i="53" s="1"/>
  <c r="R42" i="53"/>
  <c r="Q42" i="53"/>
  <c r="BW42" i="53" s="1"/>
  <c r="R41" i="53"/>
  <c r="Q41" i="53"/>
  <c r="BW41" i="53" s="1"/>
  <c r="R40" i="53"/>
  <c r="Q40" i="53"/>
  <c r="BW40" i="53" s="1"/>
  <c r="R39" i="53"/>
  <c r="Q39" i="53"/>
  <c r="BW39" i="53" s="1"/>
  <c r="R37" i="53"/>
  <c r="Q37" i="53"/>
  <c r="BW37" i="53" s="1"/>
  <c r="R36" i="53"/>
  <c r="Q36" i="53"/>
  <c r="BW36" i="53" s="1"/>
  <c r="R35" i="53"/>
  <c r="Q35" i="53"/>
  <c r="BW35" i="53" s="1"/>
  <c r="R34" i="53"/>
  <c r="Q34" i="53"/>
  <c r="BW34" i="53" s="1"/>
  <c r="R33" i="53"/>
  <c r="Q33" i="53"/>
  <c r="BW33" i="53" s="1"/>
  <c r="R32" i="53"/>
  <c r="Q32" i="53"/>
  <c r="BW32" i="53" s="1"/>
  <c r="R30" i="53"/>
  <c r="Q30" i="53"/>
  <c r="BW30" i="53" s="1"/>
  <c r="R28" i="53"/>
  <c r="Q28" i="53"/>
  <c r="BW28" i="53" s="1"/>
  <c r="R27" i="53"/>
  <c r="Q27" i="53"/>
  <c r="BW27" i="53" s="1"/>
  <c r="R26" i="53"/>
  <c r="Q26" i="53"/>
  <c r="BW26" i="53" s="1"/>
  <c r="R23" i="53"/>
  <c r="Q23" i="53"/>
  <c r="BW23" i="53" s="1"/>
  <c r="R22" i="53"/>
  <c r="Q22" i="53"/>
  <c r="BW22" i="53" s="1"/>
  <c r="R20" i="53"/>
  <c r="Q20" i="53"/>
  <c r="BW20" i="53" s="1"/>
  <c r="R19" i="53"/>
  <c r="Q19" i="53"/>
  <c r="BW19" i="53" s="1"/>
  <c r="R16" i="53"/>
  <c r="Q16" i="53"/>
  <c r="BW16" i="53" s="1"/>
  <c r="R15" i="53"/>
  <c r="Q15" i="53"/>
  <c r="BW15" i="53" s="1"/>
  <c r="R14" i="53"/>
  <c r="Q14" i="53"/>
  <c r="BW14" i="53" s="1"/>
  <c r="R13" i="53"/>
  <c r="Q13" i="53"/>
  <c r="BW13" i="53" s="1"/>
  <c r="J87" i="53"/>
  <c r="I87" i="53"/>
  <c r="BP87" i="53" s="1"/>
  <c r="J86" i="53"/>
  <c r="I86" i="53"/>
  <c r="BP86" i="53" s="1"/>
  <c r="J85" i="53"/>
  <c r="I85" i="53"/>
  <c r="BP85" i="53" s="1"/>
  <c r="J84" i="53"/>
  <c r="I84" i="53"/>
  <c r="BP84" i="53" s="1"/>
  <c r="J82" i="53"/>
  <c r="I82" i="53"/>
  <c r="BP82" i="53" s="1"/>
  <c r="J81" i="53"/>
  <c r="I81" i="53"/>
  <c r="BP81" i="53" s="1"/>
  <c r="J80" i="53"/>
  <c r="I80" i="53"/>
  <c r="BP80" i="53" s="1"/>
  <c r="J79" i="53"/>
  <c r="I79" i="53"/>
  <c r="BP79" i="53" s="1"/>
  <c r="J78" i="53"/>
  <c r="I78" i="53"/>
  <c r="BP78" i="53" s="1"/>
  <c r="J77" i="53"/>
  <c r="I77" i="53"/>
  <c r="BP77" i="53" s="1"/>
  <c r="J75" i="53"/>
  <c r="I75" i="53"/>
  <c r="BP75" i="53" s="1"/>
  <c r="J73" i="53"/>
  <c r="I73" i="53"/>
  <c r="BP73" i="53" s="1"/>
  <c r="J72" i="53"/>
  <c r="I72" i="53"/>
  <c r="BP72" i="53" s="1"/>
  <c r="J71" i="53"/>
  <c r="I71" i="53"/>
  <c r="BP71" i="53" s="1"/>
  <c r="J54" i="53"/>
  <c r="I54" i="53"/>
  <c r="BP54" i="53" s="1"/>
  <c r="J53" i="53"/>
  <c r="I53" i="53"/>
  <c r="BP53" i="53" s="1"/>
  <c r="J52" i="53"/>
  <c r="I52" i="53"/>
  <c r="BP52" i="53" s="1"/>
  <c r="J47" i="53"/>
  <c r="I47" i="53"/>
  <c r="BP47" i="53" s="1"/>
  <c r="J46" i="53"/>
  <c r="I46" i="53"/>
  <c r="BP46" i="53" s="1"/>
  <c r="J45" i="53"/>
  <c r="I45" i="53"/>
  <c r="BP45" i="53" s="1"/>
  <c r="J44" i="53"/>
  <c r="I44" i="53"/>
  <c r="BP44" i="53" s="1"/>
  <c r="J43" i="53"/>
  <c r="I43" i="53"/>
  <c r="BP43" i="53" s="1"/>
  <c r="J42" i="53"/>
  <c r="I42" i="53"/>
  <c r="BP42" i="53" s="1"/>
  <c r="J41" i="53"/>
  <c r="I41" i="53"/>
  <c r="BP41" i="53" s="1"/>
  <c r="J40" i="53"/>
  <c r="I40" i="53"/>
  <c r="BP40" i="53" s="1"/>
  <c r="J39" i="53"/>
  <c r="I39" i="53"/>
  <c r="BP39" i="53" s="1"/>
  <c r="J37" i="53"/>
  <c r="I37" i="53"/>
  <c r="BP37" i="53" s="1"/>
  <c r="J36" i="53"/>
  <c r="I36" i="53"/>
  <c r="BP36" i="53" s="1"/>
  <c r="J35" i="53"/>
  <c r="I35" i="53"/>
  <c r="BP35" i="53" s="1"/>
  <c r="J34" i="53"/>
  <c r="I34" i="53"/>
  <c r="BP34" i="53" s="1"/>
  <c r="J33" i="53"/>
  <c r="I33" i="53"/>
  <c r="BP33" i="53" s="1"/>
  <c r="J32" i="53"/>
  <c r="I32" i="53"/>
  <c r="BP32" i="53" s="1"/>
  <c r="J31" i="53"/>
  <c r="I31" i="53"/>
  <c r="BP31" i="53" s="1"/>
  <c r="J30" i="53"/>
  <c r="I30" i="53"/>
  <c r="BP30" i="53" s="1"/>
  <c r="J28" i="53"/>
  <c r="I28" i="53"/>
  <c r="BP28" i="53" s="1"/>
  <c r="J27" i="53"/>
  <c r="I27" i="53"/>
  <c r="BP27" i="53" s="1"/>
  <c r="J26" i="53"/>
  <c r="I26" i="53"/>
  <c r="BP26" i="53" s="1"/>
  <c r="J23" i="53"/>
  <c r="I23" i="53"/>
  <c r="BP23" i="53" s="1"/>
  <c r="J22" i="53"/>
  <c r="I22" i="53"/>
  <c r="BP22" i="53" s="1"/>
  <c r="J20" i="53"/>
  <c r="I20" i="53"/>
  <c r="BP20" i="53" s="1"/>
  <c r="J19" i="53"/>
  <c r="I19" i="53"/>
  <c r="BP19" i="53" s="1"/>
  <c r="J16" i="53"/>
  <c r="I16" i="53"/>
  <c r="BP16" i="53" s="1"/>
  <c r="J15" i="53"/>
  <c r="I15" i="53"/>
  <c r="BP15" i="53" s="1"/>
  <c r="J14" i="53"/>
  <c r="I14" i="53"/>
  <c r="BP14" i="53" s="1"/>
  <c r="P152" i="46"/>
  <c r="P150" i="46"/>
  <c r="P148" i="46"/>
  <c r="P146" i="46"/>
  <c r="P144" i="46"/>
  <c r="P140" i="46"/>
  <c r="P139" i="46"/>
  <c r="P138" i="46"/>
  <c r="P137" i="46"/>
  <c r="P136" i="46"/>
  <c r="P135" i="46"/>
  <c r="P134" i="46"/>
  <c r="P133" i="46"/>
  <c r="P132" i="46"/>
  <c r="P131" i="46"/>
  <c r="P130" i="46"/>
  <c r="P129" i="46"/>
  <c r="P128" i="46"/>
  <c r="P127" i="46"/>
  <c r="P121" i="46"/>
  <c r="P119" i="46"/>
  <c r="P117" i="46"/>
  <c r="P115" i="46"/>
  <c r="P113" i="46"/>
  <c r="P109" i="46"/>
  <c r="P108" i="46"/>
  <c r="P107" i="46"/>
  <c r="P106" i="46"/>
  <c r="P105" i="46"/>
  <c r="P104" i="46"/>
  <c r="P103" i="46"/>
  <c r="P102" i="46"/>
  <c r="P101" i="46"/>
  <c r="P100" i="46"/>
  <c r="P99" i="46"/>
  <c r="P98" i="46"/>
  <c r="P97" i="46"/>
  <c r="P96" i="46"/>
  <c r="P90" i="46"/>
  <c r="P88" i="46"/>
  <c r="P86" i="46"/>
  <c r="P84" i="46"/>
  <c r="P82" i="46"/>
  <c r="P78" i="46"/>
  <c r="P77" i="46"/>
  <c r="P76" i="46"/>
  <c r="P75" i="46"/>
  <c r="P74" i="46"/>
  <c r="P73" i="46"/>
  <c r="P72" i="46"/>
  <c r="P71" i="46"/>
  <c r="P70" i="46"/>
  <c r="P64" i="46"/>
  <c r="P62" i="46"/>
  <c r="P60" i="46"/>
  <c r="P58" i="46"/>
  <c r="P56" i="46"/>
  <c r="P52" i="46"/>
  <c r="P51" i="46"/>
  <c r="P50" i="46"/>
  <c r="P49" i="46"/>
  <c r="P48" i="46"/>
  <c r="P47" i="46"/>
  <c r="P46" i="46"/>
  <c r="P45" i="46"/>
  <c r="P44" i="46"/>
  <c r="P43" i="46"/>
  <c r="P42" i="46"/>
  <c r="P41" i="46"/>
  <c r="P35" i="46"/>
  <c r="P33" i="46"/>
  <c r="P31" i="46"/>
  <c r="P29" i="46"/>
  <c r="P27" i="46"/>
  <c r="P23" i="46"/>
  <c r="P22" i="46"/>
  <c r="P21" i="46"/>
  <c r="P20" i="46"/>
  <c r="P19" i="46"/>
  <c r="P18" i="46"/>
  <c r="P17" i="46"/>
  <c r="P16" i="46"/>
  <c r="P15" i="46"/>
  <c r="P14" i="46"/>
  <c r="P13" i="46"/>
  <c r="P12" i="46"/>
  <c r="P11" i="46"/>
  <c r="P10" i="46"/>
  <c r="CK69" i="60" l="1"/>
  <c r="CL69" i="60"/>
  <c r="AO61" i="60"/>
  <c r="AN61" i="60"/>
  <c r="AO60" i="60"/>
  <c r="AN60" i="60"/>
  <c r="AO59" i="60"/>
  <c r="AN59" i="60"/>
  <c r="AO58" i="60"/>
  <c r="AN58" i="60"/>
  <c r="AO57" i="60"/>
  <c r="AN57" i="60"/>
  <c r="AO56" i="60"/>
  <c r="AN56" i="60"/>
  <c r="AO55" i="60"/>
  <c r="AN55" i="60"/>
  <c r="AO54" i="60"/>
  <c r="AN54" i="60"/>
  <c r="AO53" i="60"/>
  <c r="AN53" i="60"/>
  <c r="AO29" i="60"/>
  <c r="AN29" i="60"/>
  <c r="AO14" i="60"/>
  <c r="AO25" i="60" s="1"/>
  <c r="AN14" i="60"/>
  <c r="AN25" i="60" s="1"/>
  <c r="AO11" i="60"/>
  <c r="AN11" i="60"/>
  <c r="AR13" i="60"/>
  <c r="CL53" i="60" l="1"/>
  <c r="CL55" i="60"/>
  <c r="CL57" i="60"/>
  <c r="CL59" i="60"/>
  <c r="CL61" i="60"/>
  <c r="CK55" i="60"/>
  <c r="CK57" i="60"/>
  <c r="CK59" i="60"/>
  <c r="CK61" i="60"/>
  <c r="AN62" i="60"/>
  <c r="CK54" i="60"/>
  <c r="CK56" i="60"/>
  <c r="CK58" i="60"/>
  <c r="CK60" i="60"/>
  <c r="CK53" i="60"/>
  <c r="AO62" i="60"/>
  <c r="CL54" i="60"/>
  <c r="CL56" i="60"/>
  <c r="CL58" i="60"/>
  <c r="CL60" i="60"/>
  <c r="CL29" i="60"/>
  <c r="CK29" i="60"/>
  <c r="AN63" i="60"/>
  <c r="AN50" i="60"/>
  <c r="AO63" i="60"/>
  <c r="AO50" i="60"/>
  <c r="CK50" i="60" l="1"/>
  <c r="CL50" i="60"/>
  <c r="AO51" i="60"/>
  <c r="F14" i="16" l="1"/>
  <c r="G14" i="16" l="1"/>
  <c r="O14" i="16"/>
  <c r="AP23" i="84" s="1"/>
  <c r="AQ51" i="7"/>
  <c r="AQ50" i="7"/>
  <c r="AQ49" i="7"/>
  <c r="AQ48" i="7"/>
  <c r="AQ52" i="7" s="1"/>
  <c r="AQ40" i="7"/>
  <c r="CN40" i="7" s="1"/>
  <c r="AQ39" i="7"/>
  <c r="AQ38" i="7"/>
  <c r="CN38" i="7" s="1"/>
  <c r="AQ37" i="7"/>
  <c r="AI54" i="7"/>
  <c r="AI53" i="7"/>
  <c r="AI52" i="7"/>
  <c r="AI43" i="7"/>
  <c r="AI42" i="7"/>
  <c r="CF42" i="7" s="1"/>
  <c r="AI41" i="7"/>
  <c r="AA54" i="7"/>
  <c r="AA53" i="7"/>
  <c r="AA52" i="7"/>
  <c r="AA43" i="7"/>
  <c r="AA42" i="7"/>
  <c r="BX42" i="7" s="1"/>
  <c r="AA41" i="7"/>
  <c r="S54" i="7"/>
  <c r="T48" i="7" s="1"/>
  <c r="S53" i="7"/>
  <c r="S52" i="7"/>
  <c r="S43" i="7"/>
  <c r="S42" i="7"/>
  <c r="BP42" i="7" s="1"/>
  <c r="S41" i="7"/>
  <c r="K54" i="7"/>
  <c r="L48" i="7" s="1"/>
  <c r="K53" i="7"/>
  <c r="K52" i="7"/>
  <c r="K43" i="7"/>
  <c r="K41" i="7" s="1"/>
  <c r="K42" i="7"/>
  <c r="BH42" i="7" s="1"/>
  <c r="C54" i="7"/>
  <c r="D48" i="7" s="1"/>
  <c r="C53" i="7"/>
  <c r="C52" i="7"/>
  <c r="C43" i="7"/>
  <c r="C41" i="7" s="1"/>
  <c r="C42" i="7"/>
  <c r="AZ42" i="7" s="1"/>
  <c r="AQ53" i="7" l="1"/>
  <c r="BX43" i="7"/>
  <c r="AB37" i="7"/>
  <c r="BY37" i="7" s="1"/>
  <c r="CF43" i="7"/>
  <c r="AJ37" i="7"/>
  <c r="CG37" i="7" s="1"/>
  <c r="L37" i="7"/>
  <c r="BI37" i="7" s="1"/>
  <c r="BH43" i="7"/>
  <c r="AQ42" i="7"/>
  <c r="CN42" i="7" s="1"/>
  <c r="CN39" i="7"/>
  <c r="D37" i="7"/>
  <c r="BA37" i="7" s="1"/>
  <c r="AZ43" i="7"/>
  <c r="T37" i="7"/>
  <c r="BQ37" i="7" s="1"/>
  <c r="BP43" i="7"/>
  <c r="CN37" i="7"/>
  <c r="H14" i="16"/>
  <c r="Q14" i="16" s="1"/>
  <c r="AR23" i="84" s="1"/>
  <c r="P14" i="16"/>
  <c r="AQ23" i="84" s="1"/>
  <c r="AQ43" i="7"/>
  <c r="CN43" i="7" s="1"/>
  <c r="AQ54" i="7"/>
  <c r="AP132" i="41"/>
  <c r="AP130" i="41"/>
  <c r="AE151" i="41"/>
  <c r="BY151" i="41" s="1"/>
  <c r="AE150" i="41"/>
  <c r="BY150" i="41" s="1"/>
  <c r="W151" i="41"/>
  <c r="BQ151" i="41" s="1"/>
  <c r="W150" i="41"/>
  <c r="BQ150" i="41" s="1"/>
  <c r="O151" i="41"/>
  <c r="BI151" i="41" s="1"/>
  <c r="O150" i="41"/>
  <c r="BI150" i="41" s="1"/>
  <c r="F123" i="41"/>
  <c r="AZ123" i="41" s="1"/>
  <c r="F122" i="41"/>
  <c r="AZ122" i="41" s="1"/>
  <c r="F121" i="41"/>
  <c r="AZ121" i="41" s="1"/>
  <c r="F120" i="41"/>
  <c r="AZ120" i="41" s="1"/>
  <c r="F119" i="41"/>
  <c r="AZ119" i="41" s="1"/>
  <c r="F118" i="41"/>
  <c r="AZ118" i="41" s="1"/>
  <c r="F117" i="41"/>
  <c r="AZ117" i="41" s="1"/>
  <c r="F116" i="41"/>
  <c r="AZ116" i="41" s="1"/>
  <c r="F115" i="41"/>
  <c r="AZ115" i="41" s="1"/>
  <c r="F114" i="41"/>
  <c r="AZ114" i="41" s="1"/>
  <c r="F113" i="41"/>
  <c r="AZ113" i="41" s="1"/>
  <c r="F112" i="41"/>
  <c r="AZ112" i="41" s="1"/>
  <c r="F111" i="41"/>
  <c r="AZ111" i="41" s="1"/>
  <c r="F110" i="41"/>
  <c r="AZ110" i="41" s="1"/>
  <c r="F109" i="41"/>
  <c r="AZ109" i="41" s="1"/>
  <c r="F108" i="41"/>
  <c r="AZ108" i="41" s="1"/>
  <c r="F107" i="41"/>
  <c r="AZ107" i="41" s="1"/>
  <c r="F106" i="41"/>
  <c r="AZ106" i="41" s="1"/>
  <c r="F105" i="41"/>
  <c r="AZ105" i="41" s="1"/>
  <c r="F104" i="41"/>
  <c r="AZ104" i="41" s="1"/>
  <c r="F103" i="41"/>
  <c r="AZ103" i="41" s="1"/>
  <c r="F102" i="41"/>
  <c r="AZ102" i="41" s="1"/>
  <c r="F101" i="41"/>
  <c r="AZ101" i="41" s="1"/>
  <c r="F100" i="41"/>
  <c r="AZ100" i="41" s="1"/>
  <c r="F97" i="41"/>
  <c r="AZ97" i="41" s="1"/>
  <c r="F96" i="41"/>
  <c r="AZ96" i="41" s="1"/>
  <c r="F95" i="41"/>
  <c r="AZ95" i="41" s="1"/>
  <c r="F94" i="41"/>
  <c r="AZ94" i="41" s="1"/>
  <c r="F93" i="41"/>
  <c r="AZ93" i="41" s="1"/>
  <c r="F92" i="41"/>
  <c r="AZ92" i="41" s="1"/>
  <c r="F91" i="41"/>
  <c r="AZ91" i="41" s="1"/>
  <c r="F90" i="41"/>
  <c r="AZ90" i="41" s="1"/>
  <c r="F89" i="41"/>
  <c r="AZ89" i="41" s="1"/>
  <c r="F88" i="41"/>
  <c r="AZ88" i="41" s="1"/>
  <c r="F87" i="41"/>
  <c r="AZ87" i="41" s="1"/>
  <c r="F86" i="41"/>
  <c r="AZ86" i="41" s="1"/>
  <c r="F85" i="41"/>
  <c r="AZ85" i="41" s="1"/>
  <c r="F84" i="41"/>
  <c r="AZ84" i="41" s="1"/>
  <c r="F83" i="41"/>
  <c r="AZ83" i="41" s="1"/>
  <c r="F82" i="41"/>
  <c r="AZ82" i="41" s="1"/>
  <c r="F81" i="41"/>
  <c r="AZ81" i="41" s="1"/>
  <c r="F80" i="41"/>
  <c r="AZ80" i="41" s="1"/>
  <c r="F79" i="41"/>
  <c r="AZ79" i="41" s="1"/>
  <c r="F78" i="41"/>
  <c r="AZ78" i="41" s="1"/>
  <c r="F77" i="41"/>
  <c r="AZ77" i="41" s="1"/>
  <c r="F76" i="41"/>
  <c r="AZ76" i="41" s="1"/>
  <c r="F75" i="41"/>
  <c r="AZ75" i="41" s="1"/>
  <c r="F74" i="41"/>
  <c r="AZ74" i="41" s="1"/>
  <c r="F71" i="41"/>
  <c r="AZ71" i="41" s="1"/>
  <c r="F70" i="41"/>
  <c r="AZ70" i="41" s="1"/>
  <c r="F69" i="41"/>
  <c r="AZ69" i="41" s="1"/>
  <c r="F68" i="41"/>
  <c r="AZ68" i="41" s="1"/>
  <c r="F67" i="41"/>
  <c r="AZ67" i="41" s="1"/>
  <c r="F66" i="41"/>
  <c r="AZ66" i="41" s="1"/>
  <c r="F65" i="41"/>
  <c r="AZ65" i="41" s="1"/>
  <c r="F64" i="41"/>
  <c r="AZ64" i="41" s="1"/>
  <c r="F63" i="41"/>
  <c r="AZ63" i="41" s="1"/>
  <c r="F62" i="41"/>
  <c r="AZ62" i="41" s="1"/>
  <c r="F61" i="41"/>
  <c r="AZ61" i="41" s="1"/>
  <c r="F59" i="41"/>
  <c r="AZ59" i="41" s="1"/>
  <c r="F58" i="41"/>
  <c r="AZ58" i="41" s="1"/>
  <c r="F56" i="41"/>
  <c r="AZ56" i="41" s="1"/>
  <c r="F55" i="41"/>
  <c r="AZ55" i="41" s="1"/>
  <c r="F54" i="41"/>
  <c r="AZ54" i="41" s="1"/>
  <c r="F53" i="41"/>
  <c r="AZ53" i="41" s="1"/>
  <c r="F52" i="41"/>
  <c r="AZ52" i="41" s="1"/>
  <c r="F51" i="41"/>
  <c r="AZ51" i="41" s="1"/>
  <c r="F50" i="41"/>
  <c r="AZ50" i="41" s="1"/>
  <c r="F49" i="41"/>
  <c r="AZ49" i="41" s="1"/>
  <c r="F47" i="41"/>
  <c r="AZ47" i="41" s="1"/>
  <c r="F46" i="41"/>
  <c r="AZ46" i="41" s="1"/>
  <c r="F45" i="41"/>
  <c r="AZ45" i="41" s="1"/>
  <c r="F44" i="41"/>
  <c r="AZ44" i="41" s="1"/>
  <c r="F43" i="41"/>
  <c r="AZ43" i="41" s="1"/>
  <c r="F42" i="41"/>
  <c r="AZ42" i="41" s="1"/>
  <c r="F41" i="41"/>
  <c r="AZ41" i="41" s="1"/>
  <c r="F40" i="41"/>
  <c r="AZ40" i="41" s="1"/>
  <c r="F39" i="41"/>
  <c r="AZ39" i="41" s="1"/>
  <c r="F38" i="41"/>
  <c r="AZ38" i="41" s="1"/>
  <c r="F37" i="41"/>
  <c r="AZ37" i="41" s="1"/>
  <c r="F35" i="41"/>
  <c r="AZ35" i="41" s="1"/>
  <c r="F34" i="41"/>
  <c r="AZ34" i="41" s="1"/>
  <c r="F33" i="41"/>
  <c r="AZ33" i="41" s="1"/>
  <c r="F32" i="41"/>
  <c r="AZ32" i="41" s="1"/>
  <c r="F31" i="41"/>
  <c r="AZ31" i="41" s="1"/>
  <c r="F30" i="41"/>
  <c r="AZ30" i="41" s="1"/>
  <c r="F29" i="41"/>
  <c r="AZ29" i="41" s="1"/>
  <c r="F28" i="41"/>
  <c r="AZ28" i="41" s="1"/>
  <c r="F27" i="41"/>
  <c r="AZ27" i="41" s="1"/>
  <c r="F26" i="41"/>
  <c r="AZ26" i="41" s="1"/>
  <c r="F25" i="41"/>
  <c r="AZ25" i="41" s="1"/>
  <c r="F24" i="41"/>
  <c r="AZ24" i="41" s="1"/>
  <c r="F23" i="41"/>
  <c r="AZ23" i="41" s="1"/>
  <c r="F22" i="41"/>
  <c r="AZ22" i="41" s="1"/>
  <c r="F21" i="41"/>
  <c r="AZ21" i="41" s="1"/>
  <c r="F20" i="41"/>
  <c r="AZ20" i="41" s="1"/>
  <c r="F19" i="41"/>
  <c r="AZ19" i="41" s="1"/>
  <c r="F18" i="41"/>
  <c r="AZ18" i="41" s="1"/>
  <c r="F17" i="41"/>
  <c r="AZ17" i="41" s="1"/>
  <c r="F16" i="41"/>
  <c r="AZ16" i="41" s="1"/>
  <c r="F15" i="41"/>
  <c r="AZ15" i="41" s="1"/>
  <c r="F14" i="41"/>
  <c r="AZ14" i="41" s="1"/>
  <c r="F13" i="41"/>
  <c r="AZ13" i="41" s="1"/>
  <c r="F12" i="41"/>
  <c r="AZ12" i="41" s="1"/>
  <c r="F9" i="41"/>
  <c r="AE99" i="41"/>
  <c r="AE73" i="41"/>
  <c r="AE60" i="41"/>
  <c r="BY60" i="41" s="1"/>
  <c r="AE57" i="41"/>
  <c r="BY57" i="41" s="1"/>
  <c r="AE48" i="41"/>
  <c r="BY48" i="41" s="1"/>
  <c r="AE36" i="41"/>
  <c r="BY36" i="41" s="1"/>
  <c r="AE11" i="41"/>
  <c r="BY11" i="41" s="1"/>
  <c r="W99" i="41"/>
  <c r="W73" i="41"/>
  <c r="W60" i="41"/>
  <c r="BQ60" i="41" s="1"/>
  <c r="W57" i="41"/>
  <c r="BQ57" i="41" s="1"/>
  <c r="W48" i="41"/>
  <c r="BQ48" i="41" s="1"/>
  <c r="W36" i="41"/>
  <c r="BQ36" i="41" s="1"/>
  <c r="W11" i="41"/>
  <c r="BQ11" i="41" s="1"/>
  <c r="O99" i="41"/>
  <c r="O73" i="41"/>
  <c r="O60" i="41"/>
  <c r="BI60" i="41" s="1"/>
  <c r="O57" i="41"/>
  <c r="BI57" i="41" s="1"/>
  <c r="O48" i="41"/>
  <c r="BI48" i="41" s="1"/>
  <c r="O36" i="41"/>
  <c r="BI36" i="41" s="1"/>
  <c r="O11" i="41"/>
  <c r="BI11" i="41" s="1"/>
  <c r="G13" i="41"/>
  <c r="BA13" i="41" s="1"/>
  <c r="E13" i="62"/>
  <c r="E14" i="62"/>
  <c r="E16" i="62"/>
  <c r="E17" i="62"/>
  <c r="E19" i="62"/>
  <c r="E20" i="62"/>
  <c r="E21" i="62"/>
  <c r="E23" i="62"/>
  <c r="E24" i="62"/>
  <c r="E26" i="62"/>
  <c r="E27" i="62"/>
  <c r="E28" i="62"/>
  <c r="E29" i="62"/>
  <c r="E32" i="62"/>
  <c r="E33" i="62"/>
  <c r="E35" i="62"/>
  <c r="E36" i="62"/>
  <c r="E37" i="62"/>
  <c r="E38" i="62"/>
  <c r="E39" i="62"/>
  <c r="E40" i="62"/>
  <c r="E41" i="62"/>
  <c r="E42" i="62"/>
  <c r="E43" i="62"/>
  <c r="E44" i="62"/>
  <c r="AQ41" i="7" l="1"/>
  <c r="AE143" i="41"/>
  <c r="BY143" i="41" s="1"/>
  <c r="BY73" i="41"/>
  <c r="O143" i="41"/>
  <c r="BI143" i="41" s="1"/>
  <c r="BI73" i="41"/>
  <c r="W144" i="41"/>
  <c r="BQ144" i="41" s="1"/>
  <c r="BQ99" i="41"/>
  <c r="C8" i="7"/>
  <c r="AZ9" i="41"/>
  <c r="BI9" i="41" s="1"/>
  <c r="O144" i="41"/>
  <c r="BI99" i="41"/>
  <c r="AE144" i="41"/>
  <c r="BY144" i="41" s="1"/>
  <c r="BY99" i="41"/>
  <c r="W143" i="41"/>
  <c r="BQ143" i="41" s="1"/>
  <c r="BQ73" i="41"/>
  <c r="E91" i="62"/>
  <c r="AV91" i="62" s="1"/>
  <c r="AV42" i="62"/>
  <c r="E82" i="62"/>
  <c r="AV82" i="62" s="1"/>
  <c r="AV33" i="62"/>
  <c r="E90" i="62"/>
  <c r="AV90" i="62" s="1"/>
  <c r="AV41" i="62"/>
  <c r="E69" i="62"/>
  <c r="AV69" i="62" s="1"/>
  <c r="AV20" i="62"/>
  <c r="E89" i="62"/>
  <c r="AV89" i="62" s="1"/>
  <c r="AV40" i="62"/>
  <c r="E68" i="62"/>
  <c r="AV68" i="62" s="1"/>
  <c r="AV19" i="62"/>
  <c r="E88" i="62"/>
  <c r="AV88" i="62" s="1"/>
  <c r="AV39" i="62"/>
  <c r="E66" i="62"/>
  <c r="AV66" i="62" s="1"/>
  <c r="AV17" i="62"/>
  <c r="E87" i="62"/>
  <c r="AV87" i="62" s="1"/>
  <c r="AV38" i="62"/>
  <c r="E65" i="62"/>
  <c r="AV65" i="62" s="1"/>
  <c r="AV16" i="62"/>
  <c r="E86" i="62"/>
  <c r="AV86" i="62" s="1"/>
  <c r="AV37" i="62"/>
  <c r="E75" i="62"/>
  <c r="AV75" i="62" s="1"/>
  <c r="AV26" i="62"/>
  <c r="E63" i="62"/>
  <c r="AV63" i="62" s="1"/>
  <c r="AV14" i="62"/>
  <c r="E93" i="62"/>
  <c r="AV93" i="62" s="1"/>
  <c r="AV44" i="62"/>
  <c r="E85" i="62"/>
  <c r="AV85" i="62" s="1"/>
  <c r="AV36" i="62"/>
  <c r="E73" i="62"/>
  <c r="AV73" i="62" s="1"/>
  <c r="AV24" i="62"/>
  <c r="E62" i="62"/>
  <c r="AV62" i="62" s="1"/>
  <c r="AV13" i="62"/>
  <c r="E70" i="62"/>
  <c r="AV70" i="62" s="1"/>
  <c r="AV21" i="62"/>
  <c r="E81" i="62"/>
  <c r="AV81" i="62" s="1"/>
  <c r="AV32" i="62"/>
  <c r="E78" i="62"/>
  <c r="AV78" i="62" s="1"/>
  <c r="AV29" i="62"/>
  <c r="E77" i="62"/>
  <c r="AV77" i="62" s="1"/>
  <c r="AV28" i="62"/>
  <c r="E76" i="62"/>
  <c r="AV76" i="62" s="1"/>
  <c r="AV27" i="62"/>
  <c r="E92" i="62"/>
  <c r="AV92" i="62" s="1"/>
  <c r="AV43" i="62"/>
  <c r="E84" i="62"/>
  <c r="AV84" i="62" s="1"/>
  <c r="AV35" i="62"/>
  <c r="E72" i="62"/>
  <c r="AV72" i="62" s="1"/>
  <c r="AV23" i="62"/>
  <c r="W156" i="41"/>
  <c r="BQ156" i="41" s="1"/>
  <c r="W157" i="41"/>
  <c r="BQ157" i="41" s="1"/>
  <c r="F11" i="41"/>
  <c r="AZ11" i="41" s="1"/>
  <c r="F57" i="41"/>
  <c r="O134" i="41"/>
  <c r="BI134" i="41" s="1"/>
  <c r="O126" i="41"/>
  <c r="BI126" i="41" s="1"/>
  <c r="W134" i="41"/>
  <c r="BQ134" i="41" s="1"/>
  <c r="AE134" i="41"/>
  <c r="BY134" i="41" s="1"/>
  <c r="AP9" i="41"/>
  <c r="F48" i="41"/>
  <c r="AZ48" i="41" s="1"/>
  <c r="F99" i="41"/>
  <c r="O9" i="41"/>
  <c r="F36" i="41"/>
  <c r="AZ36" i="41" s="1"/>
  <c r="F73" i="41"/>
  <c r="F150" i="41"/>
  <c r="AZ150" i="41" s="1"/>
  <c r="F151" i="41"/>
  <c r="AZ151" i="41" s="1"/>
  <c r="W126" i="41"/>
  <c r="BQ126" i="41" s="1"/>
  <c r="F60" i="41"/>
  <c r="AE125" i="41"/>
  <c r="BY125" i="41" s="1"/>
  <c r="AE126" i="41"/>
  <c r="BY126" i="41" s="1"/>
  <c r="AE124" i="41"/>
  <c r="BY124" i="41" s="1"/>
  <c r="W125" i="41"/>
  <c r="BQ125" i="41" s="1"/>
  <c r="W124" i="41"/>
  <c r="BQ124" i="41" s="1"/>
  <c r="O125" i="41"/>
  <c r="BI125" i="41" s="1"/>
  <c r="O124" i="41"/>
  <c r="BI124" i="41" s="1"/>
  <c r="AG59" i="62"/>
  <c r="AG58" i="62"/>
  <c r="AG57" i="62"/>
  <c r="AG56" i="62"/>
  <c r="AG55" i="62"/>
  <c r="AG54" i="62"/>
  <c r="AG53" i="62"/>
  <c r="AG52" i="62"/>
  <c r="AG51" i="62"/>
  <c r="AG49" i="62"/>
  <c r="AG48" i="62"/>
  <c r="AG47" i="62"/>
  <c r="AG46" i="62"/>
  <c r="AG44" i="62"/>
  <c r="AG43" i="62"/>
  <c r="AG42" i="62"/>
  <c r="AG41" i="62"/>
  <c r="AG40" i="62"/>
  <c r="AG39" i="62"/>
  <c r="AG38" i="62"/>
  <c r="AG37" i="62"/>
  <c r="AG36" i="62"/>
  <c r="AG35" i="62"/>
  <c r="AG33" i="62"/>
  <c r="AG32" i="62"/>
  <c r="AG29" i="62"/>
  <c r="AG28" i="62"/>
  <c r="AG27" i="62"/>
  <c r="AG26" i="62"/>
  <c r="AG24" i="62"/>
  <c r="AG23" i="62"/>
  <c r="AG21" i="62"/>
  <c r="AG20" i="62"/>
  <c r="AG19" i="62"/>
  <c r="AG17" i="62"/>
  <c r="AG16" i="62"/>
  <c r="AG14" i="62"/>
  <c r="AG13" i="62"/>
  <c r="F66" i="62"/>
  <c r="AW66" i="62" s="1"/>
  <c r="Z59" i="62"/>
  <c r="Z58" i="62"/>
  <c r="Z57" i="62"/>
  <c r="Z56" i="62"/>
  <c r="Z55" i="62"/>
  <c r="Z54" i="62"/>
  <c r="Z53" i="62"/>
  <c r="Z52" i="62"/>
  <c r="Z51" i="62"/>
  <c r="Z49" i="62"/>
  <c r="Z48" i="62"/>
  <c r="Z47" i="62"/>
  <c r="Z46" i="62"/>
  <c r="Z44" i="62"/>
  <c r="Z43" i="62"/>
  <c r="Z42" i="62"/>
  <c r="Z41" i="62"/>
  <c r="Z40" i="62"/>
  <c r="Z39" i="62"/>
  <c r="Z38" i="62"/>
  <c r="Z37" i="62"/>
  <c r="Z36" i="62"/>
  <c r="Z35" i="62"/>
  <c r="Z33" i="62"/>
  <c r="Z32" i="62"/>
  <c r="Z29" i="62"/>
  <c r="Z28" i="62"/>
  <c r="Z27" i="62"/>
  <c r="Z26" i="62"/>
  <c r="Z24" i="62"/>
  <c r="Z23" i="62"/>
  <c r="Z21" i="62"/>
  <c r="Z20" i="62"/>
  <c r="Z19" i="62"/>
  <c r="Z17" i="62"/>
  <c r="Z16" i="62"/>
  <c r="Z14" i="62"/>
  <c r="Z13" i="62"/>
  <c r="AE157" i="41" l="1"/>
  <c r="BY157" i="41" s="1"/>
  <c r="BY9" i="41"/>
  <c r="BQ9" i="41"/>
  <c r="O157" i="41"/>
  <c r="BI157" i="41" s="1"/>
  <c r="BI144" i="41"/>
  <c r="AE156" i="41"/>
  <c r="BY156" i="41" s="1"/>
  <c r="K8" i="7"/>
  <c r="S8" i="7" s="1"/>
  <c r="AA8" i="7" s="1"/>
  <c r="AI8" i="7" s="1"/>
  <c r="AQ8" i="7" s="1"/>
  <c r="AZ8" i="7"/>
  <c r="BH8" i="7" s="1"/>
  <c r="BP8" i="7" s="1"/>
  <c r="BX8" i="7" s="1"/>
  <c r="CF8" i="7" s="1"/>
  <c r="CN8" i="7" s="1"/>
  <c r="F144" i="41"/>
  <c r="AZ99" i="41"/>
  <c r="F126" i="41"/>
  <c r="AZ126" i="41" s="1"/>
  <c r="AZ57" i="41"/>
  <c r="F143" i="41"/>
  <c r="AZ143" i="41" s="1"/>
  <c r="AZ73" i="41"/>
  <c r="O156" i="41"/>
  <c r="BI156" i="41" s="1"/>
  <c r="Z106" i="62"/>
  <c r="BQ106" i="62" s="1"/>
  <c r="BQ57" i="62"/>
  <c r="AG98" i="62"/>
  <c r="BX98" i="62" s="1"/>
  <c r="BX49" i="62"/>
  <c r="Z107" i="62"/>
  <c r="BQ107" i="62" s="1"/>
  <c r="BQ58" i="62"/>
  <c r="AG100" i="62"/>
  <c r="BX100" i="62" s="1"/>
  <c r="BX51" i="62"/>
  <c r="Z100" i="62"/>
  <c r="BQ100" i="62" s="1"/>
  <c r="BQ51" i="62"/>
  <c r="AG101" i="62"/>
  <c r="BX52" i="62"/>
  <c r="Z91" i="62"/>
  <c r="BQ91" i="62" s="1"/>
  <c r="BQ42" i="62"/>
  <c r="AG92" i="62"/>
  <c r="BX92" i="62" s="1"/>
  <c r="BX43" i="62"/>
  <c r="Z102" i="62"/>
  <c r="BQ102" i="62" s="1"/>
  <c r="BQ53" i="62"/>
  <c r="AG85" i="62"/>
  <c r="BX85" i="62" s="1"/>
  <c r="BX36" i="62"/>
  <c r="Z73" i="62"/>
  <c r="BQ73" i="62" s="1"/>
  <c r="BQ24" i="62"/>
  <c r="Z85" i="62"/>
  <c r="BQ85" i="62" s="1"/>
  <c r="BQ36" i="62"/>
  <c r="AG63" i="62"/>
  <c r="BX63" i="62" s="1"/>
  <c r="BX14" i="62"/>
  <c r="AG75" i="62"/>
  <c r="BX75" i="62" s="1"/>
  <c r="BX26" i="62"/>
  <c r="AG86" i="62"/>
  <c r="BX86" i="62" s="1"/>
  <c r="BX37" i="62"/>
  <c r="AG95" i="62"/>
  <c r="BX95" i="62" s="1"/>
  <c r="BX46" i="62"/>
  <c r="AG104" i="62"/>
  <c r="BX104" i="62" s="1"/>
  <c r="BX55" i="62"/>
  <c r="Z66" i="62"/>
  <c r="BQ66" i="62" s="1"/>
  <c r="BQ17" i="62"/>
  <c r="Z88" i="62"/>
  <c r="BQ88" i="62" s="1"/>
  <c r="BQ39" i="62"/>
  <c r="AG68" i="62"/>
  <c r="BX68" i="62" s="1"/>
  <c r="BX19" i="62"/>
  <c r="AG89" i="62"/>
  <c r="BX89" i="62" s="1"/>
  <c r="BX40" i="62"/>
  <c r="Z68" i="62"/>
  <c r="BQ68" i="62" s="1"/>
  <c r="BQ19" i="62"/>
  <c r="Z89" i="62"/>
  <c r="BQ89" i="62" s="1"/>
  <c r="BQ40" i="62"/>
  <c r="AG69" i="62"/>
  <c r="BX69" i="62" s="1"/>
  <c r="BX20" i="62"/>
  <c r="AG90" i="62"/>
  <c r="BX90" i="62" s="1"/>
  <c r="BX41" i="62"/>
  <c r="Z69" i="62"/>
  <c r="BQ69" i="62" s="1"/>
  <c r="BQ20" i="62"/>
  <c r="Z90" i="62"/>
  <c r="BQ90" i="62" s="1"/>
  <c r="BQ41" i="62"/>
  <c r="AG70" i="62"/>
  <c r="BX70" i="62" s="1"/>
  <c r="BX21" i="62"/>
  <c r="AG91" i="62"/>
  <c r="BX91" i="62" s="1"/>
  <c r="BX42" i="62"/>
  <c r="Z82" i="62"/>
  <c r="BQ82" i="62" s="1"/>
  <c r="BQ33" i="62"/>
  <c r="AG72" i="62"/>
  <c r="BX72" i="62" s="1"/>
  <c r="BX23" i="62"/>
  <c r="AG102" i="62"/>
  <c r="BX102" i="62" s="1"/>
  <c r="BX53" i="62"/>
  <c r="Z84" i="62"/>
  <c r="BQ84" i="62" s="1"/>
  <c r="BQ35" i="62"/>
  <c r="AG62" i="62"/>
  <c r="BX13" i="62"/>
  <c r="AG93" i="62"/>
  <c r="BX93" i="62" s="1"/>
  <c r="BX44" i="62"/>
  <c r="Z62" i="62"/>
  <c r="BQ62" i="62" s="1"/>
  <c r="BQ13" i="62"/>
  <c r="Z93" i="62"/>
  <c r="BQ93" i="62" s="1"/>
  <c r="BQ44" i="62"/>
  <c r="Z103" i="62"/>
  <c r="BQ103" i="62" s="1"/>
  <c r="BQ54" i="62"/>
  <c r="Z63" i="62"/>
  <c r="BQ63" i="62" s="1"/>
  <c r="BQ14" i="62"/>
  <c r="Z75" i="62"/>
  <c r="BQ75" i="62" s="1"/>
  <c r="BQ26" i="62"/>
  <c r="Z86" i="62"/>
  <c r="BQ86" i="62" s="1"/>
  <c r="BQ37" i="62"/>
  <c r="Z95" i="62"/>
  <c r="BQ95" i="62" s="1"/>
  <c r="BQ46" i="62"/>
  <c r="Z104" i="62"/>
  <c r="BQ104" i="62" s="1"/>
  <c r="BQ55" i="62"/>
  <c r="AG65" i="62"/>
  <c r="BX16" i="62"/>
  <c r="AG76" i="62"/>
  <c r="BX76" i="62" s="1"/>
  <c r="BX27" i="62"/>
  <c r="AG87" i="62"/>
  <c r="BX87" i="62" s="1"/>
  <c r="BX38" i="62"/>
  <c r="AG96" i="62"/>
  <c r="BX96" i="62" s="1"/>
  <c r="BX47" i="62"/>
  <c r="AG105" i="62"/>
  <c r="BX105" i="62" s="1"/>
  <c r="BX56" i="62"/>
  <c r="Z77" i="62"/>
  <c r="BQ77" i="62" s="1"/>
  <c r="BQ28" i="62"/>
  <c r="Z97" i="62"/>
  <c r="BQ97" i="62" s="1"/>
  <c r="BQ48" i="62"/>
  <c r="AG78" i="62"/>
  <c r="BX78" i="62" s="1"/>
  <c r="BX29" i="62"/>
  <c r="AG107" i="62"/>
  <c r="BX107" i="62" s="1"/>
  <c r="BX58" i="62"/>
  <c r="Z78" i="62"/>
  <c r="BQ78" i="62" s="1"/>
  <c r="BQ29" i="62"/>
  <c r="Z98" i="62"/>
  <c r="BQ98" i="62" s="1"/>
  <c r="BQ49" i="62"/>
  <c r="AG81" i="62"/>
  <c r="BX81" i="62" s="1"/>
  <c r="BX32" i="62"/>
  <c r="AG108" i="62"/>
  <c r="BX108" i="62" s="1"/>
  <c r="BX59" i="62"/>
  <c r="Z81" i="62"/>
  <c r="BQ81" i="62" s="1"/>
  <c r="BQ32" i="62"/>
  <c r="Z108" i="62"/>
  <c r="BQ108" i="62" s="1"/>
  <c r="BQ59" i="62"/>
  <c r="AG82" i="62"/>
  <c r="BX82" i="62" s="1"/>
  <c r="BX33" i="62"/>
  <c r="Z70" i="62"/>
  <c r="BQ70" i="62" s="1"/>
  <c r="BQ21" i="62"/>
  <c r="Z101" i="62"/>
  <c r="BQ101" i="62" s="1"/>
  <c r="BQ52" i="62"/>
  <c r="AG84" i="62"/>
  <c r="BX84" i="62" s="1"/>
  <c r="BX35" i="62"/>
  <c r="Z72" i="62"/>
  <c r="BQ23" i="62"/>
  <c r="Z92" i="62"/>
  <c r="BQ92" i="62" s="1"/>
  <c r="BQ43" i="62"/>
  <c r="AG73" i="62"/>
  <c r="BX73" i="62" s="1"/>
  <c r="BX24" i="62"/>
  <c r="AG103" i="62"/>
  <c r="BX103" i="62" s="1"/>
  <c r="BX54" i="62"/>
  <c r="Z65" i="62"/>
  <c r="BQ65" i="62" s="1"/>
  <c r="BQ16" i="62"/>
  <c r="Z76" i="62"/>
  <c r="BQ76" i="62" s="1"/>
  <c r="BQ27" i="62"/>
  <c r="Z87" i="62"/>
  <c r="BQ87" i="62" s="1"/>
  <c r="BQ38" i="62"/>
  <c r="Z96" i="62"/>
  <c r="BQ96" i="62" s="1"/>
  <c r="BQ47" i="62"/>
  <c r="Z105" i="62"/>
  <c r="BQ105" i="62" s="1"/>
  <c r="BQ56" i="62"/>
  <c r="AG66" i="62"/>
  <c r="BX66" i="62" s="1"/>
  <c r="BX17" i="62"/>
  <c r="AG77" i="62"/>
  <c r="BX77" i="62" s="1"/>
  <c r="BX28" i="62"/>
  <c r="AG88" i="62"/>
  <c r="BX88" i="62" s="1"/>
  <c r="BX39" i="62"/>
  <c r="AG97" i="62"/>
  <c r="BX97" i="62" s="1"/>
  <c r="BX48" i="62"/>
  <c r="AG106" i="62"/>
  <c r="BX106" i="62" s="1"/>
  <c r="BX57" i="62"/>
  <c r="F125" i="41"/>
  <c r="AZ125" i="41" s="1"/>
  <c r="AZ60" i="41"/>
  <c r="Z94" i="62"/>
  <c r="BQ94" i="62" s="1"/>
  <c r="F134" i="41"/>
  <c r="AZ134" i="41" s="1"/>
  <c r="F124" i="41"/>
  <c r="W9" i="41"/>
  <c r="AE9" i="41"/>
  <c r="C58" i="7"/>
  <c r="C36" i="7"/>
  <c r="S59" i="62"/>
  <c r="S58" i="62"/>
  <c r="S57" i="62"/>
  <c r="S56" i="62"/>
  <c r="S55" i="62"/>
  <c r="S54" i="62"/>
  <c r="S53" i="62"/>
  <c r="S52" i="62"/>
  <c r="S51" i="62"/>
  <c r="S49" i="62"/>
  <c r="S48" i="62"/>
  <c r="S47" i="62"/>
  <c r="S46" i="62"/>
  <c r="S44" i="62"/>
  <c r="S43" i="62"/>
  <c r="S42" i="62"/>
  <c r="S41" i="62"/>
  <c r="S40" i="62"/>
  <c r="S39" i="62"/>
  <c r="S38" i="62"/>
  <c r="S37" i="62"/>
  <c r="S36" i="62"/>
  <c r="S35" i="62"/>
  <c r="S29" i="62"/>
  <c r="S28" i="62"/>
  <c r="S27" i="62"/>
  <c r="S26" i="62"/>
  <c r="S24" i="62"/>
  <c r="S23" i="62"/>
  <c r="S21" i="62"/>
  <c r="S20" i="62"/>
  <c r="S19" i="62"/>
  <c r="S17" i="62"/>
  <c r="S16" i="62"/>
  <c r="S14" i="62"/>
  <c r="S13" i="62"/>
  <c r="L59" i="62"/>
  <c r="L58" i="62"/>
  <c r="L57" i="62"/>
  <c r="L56" i="62"/>
  <c r="L55" i="62"/>
  <c r="L54" i="62"/>
  <c r="L53" i="62"/>
  <c r="L52" i="62"/>
  <c r="L51" i="62"/>
  <c r="L49" i="62"/>
  <c r="L48" i="62"/>
  <c r="L47" i="62"/>
  <c r="L46" i="62"/>
  <c r="L44" i="62"/>
  <c r="L43" i="62"/>
  <c r="L42" i="62"/>
  <c r="L41" i="62"/>
  <c r="L40" i="62"/>
  <c r="L39" i="62"/>
  <c r="L38" i="62"/>
  <c r="L37" i="62"/>
  <c r="L36" i="62"/>
  <c r="L35" i="62"/>
  <c r="L33" i="62"/>
  <c r="L32" i="62"/>
  <c r="L29" i="62"/>
  <c r="L28" i="62"/>
  <c r="L27" i="62"/>
  <c r="L26" i="62"/>
  <c r="L24" i="62"/>
  <c r="L23" i="62"/>
  <c r="L21" i="62"/>
  <c r="L20" i="62"/>
  <c r="L19" i="62"/>
  <c r="L17" i="62"/>
  <c r="L16" i="62"/>
  <c r="L14" i="62"/>
  <c r="L13" i="62"/>
  <c r="E59" i="62"/>
  <c r="E58" i="62"/>
  <c r="E57" i="62"/>
  <c r="E56" i="62"/>
  <c r="E55" i="62"/>
  <c r="E54" i="62"/>
  <c r="E53" i="62"/>
  <c r="E52" i="62"/>
  <c r="E51" i="62"/>
  <c r="E49" i="62"/>
  <c r="E48" i="62"/>
  <c r="E47" i="62"/>
  <c r="E46" i="62"/>
  <c r="E8" i="82"/>
  <c r="Z8" i="82" s="1"/>
  <c r="AD8" i="82" s="1"/>
  <c r="AH8" i="82" s="1"/>
  <c r="AL8" i="82" s="1"/>
  <c r="AP8" i="82" s="1"/>
  <c r="U218" i="82"/>
  <c r="AP218" i="82" s="1"/>
  <c r="Q218" i="82"/>
  <c r="AL218" i="82" s="1"/>
  <c r="M218" i="82"/>
  <c r="AH218" i="82" s="1"/>
  <c r="I218" i="82"/>
  <c r="AD218" i="82" s="1"/>
  <c r="E218" i="82"/>
  <c r="Z218" i="82" s="1"/>
  <c r="U217" i="82"/>
  <c r="AP217" i="82" s="1"/>
  <c r="Q217" i="82"/>
  <c r="AL217" i="82" s="1"/>
  <c r="M217" i="82"/>
  <c r="AH217" i="82" s="1"/>
  <c r="I217" i="82"/>
  <c r="AD217" i="82" s="1"/>
  <c r="E217" i="82"/>
  <c r="Z217" i="82" s="1"/>
  <c r="U216" i="82"/>
  <c r="AP216" i="82" s="1"/>
  <c r="Q216" i="82"/>
  <c r="AL216" i="82" s="1"/>
  <c r="M216" i="82"/>
  <c r="AH216" i="82" s="1"/>
  <c r="I216" i="82"/>
  <c r="AD216" i="82" s="1"/>
  <c r="E216" i="82"/>
  <c r="Z216" i="82" s="1"/>
  <c r="U215" i="82"/>
  <c r="AP215" i="82" s="1"/>
  <c r="Q215" i="82"/>
  <c r="AL215" i="82" s="1"/>
  <c r="M215" i="82"/>
  <c r="AH215" i="82" s="1"/>
  <c r="I215" i="82"/>
  <c r="AD215" i="82" s="1"/>
  <c r="E215" i="82"/>
  <c r="Z215" i="82" s="1"/>
  <c r="U214" i="82"/>
  <c r="AP214" i="82" s="1"/>
  <c r="Q214" i="82"/>
  <c r="AL214" i="82" s="1"/>
  <c r="M214" i="82"/>
  <c r="AH214" i="82" s="1"/>
  <c r="I214" i="82"/>
  <c r="AD214" i="82" s="1"/>
  <c r="E214" i="82"/>
  <c r="Z214" i="82" s="1"/>
  <c r="U213" i="82"/>
  <c r="AP213" i="82" s="1"/>
  <c r="Q213" i="82"/>
  <c r="AL213" i="82" s="1"/>
  <c r="M213" i="82"/>
  <c r="AH213" i="82" s="1"/>
  <c r="I213" i="82"/>
  <c r="AD213" i="82" s="1"/>
  <c r="E213" i="82"/>
  <c r="Z213" i="82" s="1"/>
  <c r="U212" i="82"/>
  <c r="AP212" i="82" s="1"/>
  <c r="Q212" i="82"/>
  <c r="AL212" i="82" s="1"/>
  <c r="M212" i="82"/>
  <c r="AH212" i="82" s="1"/>
  <c r="I212" i="82"/>
  <c r="AD212" i="82" s="1"/>
  <c r="E212" i="82"/>
  <c r="Z212" i="82" s="1"/>
  <c r="U211" i="82"/>
  <c r="AP211" i="82" s="1"/>
  <c r="Q211" i="82"/>
  <c r="AL211" i="82" s="1"/>
  <c r="M211" i="82"/>
  <c r="AH211" i="82" s="1"/>
  <c r="I211" i="82"/>
  <c r="AD211" i="82" s="1"/>
  <c r="E211" i="82"/>
  <c r="Z211" i="82" s="1"/>
  <c r="U210" i="82"/>
  <c r="AP210" i="82" s="1"/>
  <c r="Q210" i="82"/>
  <c r="AL210" i="82" s="1"/>
  <c r="M210" i="82"/>
  <c r="AH210" i="82" s="1"/>
  <c r="I210" i="82"/>
  <c r="AD210" i="82" s="1"/>
  <c r="E210" i="82"/>
  <c r="Z210" i="82" s="1"/>
  <c r="U209" i="82"/>
  <c r="AP209" i="82" s="1"/>
  <c r="Q209" i="82"/>
  <c r="AL209" i="82" s="1"/>
  <c r="M209" i="82"/>
  <c r="AH209" i="82" s="1"/>
  <c r="I209" i="82"/>
  <c r="AD209" i="82" s="1"/>
  <c r="E209" i="82"/>
  <c r="Z209" i="82" s="1"/>
  <c r="U208" i="82"/>
  <c r="AP208" i="82" s="1"/>
  <c r="Q208" i="82"/>
  <c r="AL208" i="82" s="1"/>
  <c r="M208" i="82"/>
  <c r="AH208" i="82" s="1"/>
  <c r="I208" i="82"/>
  <c r="AD208" i="82" s="1"/>
  <c r="E208" i="82"/>
  <c r="Z208" i="82" s="1"/>
  <c r="U207" i="82"/>
  <c r="AP207" i="82" s="1"/>
  <c r="Q207" i="82"/>
  <c r="AL207" i="82" s="1"/>
  <c r="M207" i="82"/>
  <c r="AH207" i="82" s="1"/>
  <c r="I207" i="82"/>
  <c r="AD207" i="82" s="1"/>
  <c r="E207" i="82"/>
  <c r="Z207" i="82" s="1"/>
  <c r="U206" i="82"/>
  <c r="AP206" i="82" s="1"/>
  <c r="Q206" i="82"/>
  <c r="AL206" i="82" s="1"/>
  <c r="M206" i="82"/>
  <c r="AH206" i="82" s="1"/>
  <c r="I206" i="82"/>
  <c r="AD206" i="82" s="1"/>
  <c r="E206" i="82"/>
  <c r="Z206" i="82" s="1"/>
  <c r="U205" i="82"/>
  <c r="AP205" i="82" s="1"/>
  <c r="Q205" i="82"/>
  <c r="AL205" i="82" s="1"/>
  <c r="M205" i="82"/>
  <c r="AH205" i="82" s="1"/>
  <c r="I205" i="82"/>
  <c r="AD205" i="82" s="1"/>
  <c r="E205" i="82"/>
  <c r="Z205" i="82" s="1"/>
  <c r="U204" i="82"/>
  <c r="AP204" i="82" s="1"/>
  <c r="Q204" i="82"/>
  <c r="AL204" i="82" s="1"/>
  <c r="M204" i="82"/>
  <c r="AH204" i="82" s="1"/>
  <c r="I204" i="82"/>
  <c r="AD204" i="82" s="1"/>
  <c r="E204" i="82"/>
  <c r="Z204" i="82" s="1"/>
  <c r="U203" i="82"/>
  <c r="AP203" i="82" s="1"/>
  <c r="Q203" i="82"/>
  <c r="AL203" i="82" s="1"/>
  <c r="M203" i="82"/>
  <c r="AH203" i="82" s="1"/>
  <c r="I203" i="82"/>
  <c r="AD203" i="82" s="1"/>
  <c r="E203" i="82"/>
  <c r="Z203" i="82" s="1"/>
  <c r="U202" i="82"/>
  <c r="AP202" i="82" s="1"/>
  <c r="Q202" i="82"/>
  <c r="AL202" i="82" s="1"/>
  <c r="M202" i="82"/>
  <c r="AH202" i="82" s="1"/>
  <c r="I202" i="82"/>
  <c r="AD202" i="82" s="1"/>
  <c r="E202" i="82"/>
  <c r="Z202" i="82" s="1"/>
  <c r="U201" i="82"/>
  <c r="AP201" i="82" s="1"/>
  <c r="Q201" i="82"/>
  <c r="AL201" i="82" s="1"/>
  <c r="M201" i="82"/>
  <c r="AH201" i="82" s="1"/>
  <c r="I201" i="82"/>
  <c r="AD201" i="82" s="1"/>
  <c r="E201" i="82"/>
  <c r="Z201" i="82" s="1"/>
  <c r="U200" i="82"/>
  <c r="AP200" i="82" s="1"/>
  <c r="Q200" i="82"/>
  <c r="AL200" i="82" s="1"/>
  <c r="M200" i="82"/>
  <c r="AH200" i="82" s="1"/>
  <c r="I200" i="82"/>
  <c r="AD200" i="82" s="1"/>
  <c r="E200" i="82"/>
  <c r="Z200" i="82" s="1"/>
  <c r="U199" i="82"/>
  <c r="AP199" i="82" s="1"/>
  <c r="Q199" i="82"/>
  <c r="AL199" i="82" s="1"/>
  <c r="M199" i="82"/>
  <c r="AH199" i="82" s="1"/>
  <c r="I199" i="82"/>
  <c r="AD199" i="82" s="1"/>
  <c r="E199" i="82"/>
  <c r="Z199" i="82" s="1"/>
  <c r="U198" i="82"/>
  <c r="AP198" i="82" s="1"/>
  <c r="Q198" i="82"/>
  <c r="AL198" i="82" s="1"/>
  <c r="M198" i="82"/>
  <c r="AH198" i="82" s="1"/>
  <c r="I198" i="82"/>
  <c r="AD198" i="82" s="1"/>
  <c r="E198" i="82"/>
  <c r="Z198" i="82" s="1"/>
  <c r="X196" i="82"/>
  <c r="T196" i="82"/>
  <c r="P196" i="82"/>
  <c r="L196" i="82"/>
  <c r="H196" i="82"/>
  <c r="AC196" i="82" s="1"/>
  <c r="X195" i="82"/>
  <c r="T195" i="82"/>
  <c r="P195" i="82"/>
  <c r="L195" i="82"/>
  <c r="H195" i="82"/>
  <c r="X194" i="82"/>
  <c r="T194" i="82"/>
  <c r="P194" i="82"/>
  <c r="AK194" i="82" s="1"/>
  <c r="L194" i="82"/>
  <c r="H194" i="82"/>
  <c r="X193" i="82"/>
  <c r="T193" i="82"/>
  <c r="P193" i="82"/>
  <c r="L193" i="82"/>
  <c r="H193" i="82"/>
  <c r="X192" i="82"/>
  <c r="AS192" i="82" s="1"/>
  <c r="T192" i="82"/>
  <c r="P192" i="82"/>
  <c r="L192" i="82"/>
  <c r="H192" i="82"/>
  <c r="AC192" i="82" s="1"/>
  <c r="X191" i="82"/>
  <c r="T191" i="82"/>
  <c r="P191" i="82"/>
  <c r="L191" i="82"/>
  <c r="AG191" i="82" s="1"/>
  <c r="H191" i="82"/>
  <c r="X190" i="82"/>
  <c r="T190" i="82"/>
  <c r="P190" i="82"/>
  <c r="L190" i="82"/>
  <c r="H190" i="82"/>
  <c r="X189" i="82"/>
  <c r="T189" i="82"/>
  <c r="AO189" i="82" s="1"/>
  <c r="P189" i="82"/>
  <c r="L189" i="82"/>
  <c r="H189" i="82"/>
  <c r="X188" i="82"/>
  <c r="T188" i="82"/>
  <c r="P188" i="82"/>
  <c r="L188" i="82"/>
  <c r="H188" i="82"/>
  <c r="AC188" i="82" s="1"/>
  <c r="X187" i="82"/>
  <c r="T187" i="82"/>
  <c r="P187" i="82"/>
  <c r="L187" i="82"/>
  <c r="AG187" i="82" s="1"/>
  <c r="H187" i="82"/>
  <c r="X186" i="82"/>
  <c r="T186" i="82"/>
  <c r="P186" i="82"/>
  <c r="AK186" i="82" s="1"/>
  <c r="L186" i="82"/>
  <c r="H186" i="82"/>
  <c r="X185" i="82"/>
  <c r="T185" i="82"/>
  <c r="AO185" i="82" s="1"/>
  <c r="P185" i="82"/>
  <c r="L185" i="82"/>
  <c r="H185" i="82"/>
  <c r="X184" i="82"/>
  <c r="AS184" i="82" s="1"/>
  <c r="T184" i="82"/>
  <c r="P184" i="82"/>
  <c r="L184" i="82"/>
  <c r="H184" i="82"/>
  <c r="X183" i="82"/>
  <c r="T183" i="82"/>
  <c r="P183" i="82"/>
  <c r="L183" i="82"/>
  <c r="AG183" i="82" s="1"/>
  <c r="H183" i="82"/>
  <c r="X182" i="82"/>
  <c r="T182" i="82"/>
  <c r="P182" i="82"/>
  <c r="L182" i="82"/>
  <c r="H182" i="82"/>
  <c r="X181" i="82"/>
  <c r="T181" i="82"/>
  <c r="AO181" i="82" s="1"/>
  <c r="P181" i="82"/>
  <c r="L181" i="82"/>
  <c r="H181" i="82"/>
  <c r="X180" i="82"/>
  <c r="AS180" i="82" s="1"/>
  <c r="T180" i="82"/>
  <c r="P180" i="82"/>
  <c r="L180" i="82"/>
  <c r="H180" i="82"/>
  <c r="AC180" i="82" s="1"/>
  <c r="X179" i="82"/>
  <c r="T179" i="82"/>
  <c r="P179" i="82"/>
  <c r="L179" i="82"/>
  <c r="AG179" i="82" s="1"/>
  <c r="H179" i="82"/>
  <c r="X178" i="82"/>
  <c r="T178" i="82"/>
  <c r="P178" i="82"/>
  <c r="L178" i="82"/>
  <c r="H178" i="82"/>
  <c r="X177" i="82"/>
  <c r="T177" i="82"/>
  <c r="AO177" i="82" s="1"/>
  <c r="P177" i="82"/>
  <c r="L177" i="82"/>
  <c r="H177" i="82"/>
  <c r="X176" i="82"/>
  <c r="T176" i="82"/>
  <c r="P176" i="82"/>
  <c r="L176" i="82"/>
  <c r="H176" i="82"/>
  <c r="AC176" i="82" s="1"/>
  <c r="W175" i="82"/>
  <c r="AR175" i="82" s="1"/>
  <c r="V175" i="82"/>
  <c r="AQ175" i="82" s="1"/>
  <c r="U175" i="82"/>
  <c r="AP175" i="82" s="1"/>
  <c r="S175" i="82"/>
  <c r="AN175" i="82" s="1"/>
  <c r="R175" i="82"/>
  <c r="AM175" i="82" s="1"/>
  <c r="Q175" i="82"/>
  <c r="AL175" i="82" s="1"/>
  <c r="O175" i="82"/>
  <c r="AJ175" i="82" s="1"/>
  <c r="N175" i="82"/>
  <c r="AI175" i="82" s="1"/>
  <c r="M175" i="82"/>
  <c r="AH175" i="82" s="1"/>
  <c r="K175" i="82"/>
  <c r="AF175" i="82" s="1"/>
  <c r="J175" i="82"/>
  <c r="AE175" i="82" s="1"/>
  <c r="I175" i="82"/>
  <c r="AD175" i="82" s="1"/>
  <c r="G175" i="82"/>
  <c r="AB175" i="82" s="1"/>
  <c r="F175" i="82"/>
  <c r="AA175" i="82" s="1"/>
  <c r="E175" i="82"/>
  <c r="Z175" i="82" s="1"/>
  <c r="X174" i="82"/>
  <c r="T174" i="82"/>
  <c r="AO174" i="82" s="1"/>
  <c r="P174" i="82"/>
  <c r="L174" i="82"/>
  <c r="AG174" i="82" s="1"/>
  <c r="H174" i="82"/>
  <c r="X173" i="82"/>
  <c r="AS173" i="82" s="1"/>
  <c r="T173" i="82"/>
  <c r="P173" i="82"/>
  <c r="AK173" i="82" s="1"/>
  <c r="L173" i="82"/>
  <c r="H173" i="82"/>
  <c r="X172" i="82"/>
  <c r="T172" i="82"/>
  <c r="AO172" i="82" s="1"/>
  <c r="P172" i="82"/>
  <c r="L172" i="82"/>
  <c r="AG172" i="82" s="1"/>
  <c r="H172" i="82"/>
  <c r="X171" i="82"/>
  <c r="AS171" i="82" s="1"/>
  <c r="T171" i="82"/>
  <c r="P171" i="82"/>
  <c r="AK171" i="82" s="1"/>
  <c r="L171" i="82"/>
  <c r="H171" i="82"/>
  <c r="AC171" i="82" s="1"/>
  <c r="X170" i="82"/>
  <c r="T170" i="82"/>
  <c r="AO170" i="82" s="1"/>
  <c r="P170" i="82"/>
  <c r="L170" i="82"/>
  <c r="AG170" i="82" s="1"/>
  <c r="H170" i="82"/>
  <c r="X169" i="82"/>
  <c r="AS169" i="82" s="1"/>
  <c r="T169" i="82"/>
  <c r="P169" i="82"/>
  <c r="AK169" i="82" s="1"/>
  <c r="L169" i="82"/>
  <c r="H169" i="82"/>
  <c r="X168" i="82"/>
  <c r="T168" i="82"/>
  <c r="AO168" i="82" s="1"/>
  <c r="P168" i="82"/>
  <c r="L168" i="82"/>
  <c r="AG168" i="82" s="1"/>
  <c r="H168" i="82"/>
  <c r="X167" i="82"/>
  <c r="AS167" i="82" s="1"/>
  <c r="T167" i="82"/>
  <c r="P167" i="82"/>
  <c r="AK167" i="82" s="1"/>
  <c r="L167" i="82"/>
  <c r="H167" i="82"/>
  <c r="AC167" i="82" s="1"/>
  <c r="X166" i="82"/>
  <c r="T166" i="82"/>
  <c r="AO166" i="82" s="1"/>
  <c r="P166" i="82"/>
  <c r="L166" i="82"/>
  <c r="AG166" i="82" s="1"/>
  <c r="H166" i="82"/>
  <c r="X165" i="82"/>
  <c r="AS165" i="82" s="1"/>
  <c r="T165" i="82"/>
  <c r="P165" i="82"/>
  <c r="AK165" i="82" s="1"/>
  <c r="L165" i="82"/>
  <c r="H165" i="82"/>
  <c r="X164" i="82"/>
  <c r="T164" i="82"/>
  <c r="AO164" i="82" s="1"/>
  <c r="P164" i="82"/>
  <c r="L164" i="82"/>
  <c r="AG164" i="82" s="1"/>
  <c r="H164" i="82"/>
  <c r="X163" i="82"/>
  <c r="AS163" i="82" s="1"/>
  <c r="T163" i="82"/>
  <c r="P163" i="82"/>
  <c r="AK163" i="82" s="1"/>
  <c r="L163" i="82"/>
  <c r="H163" i="82"/>
  <c r="AC163" i="82" s="1"/>
  <c r="X162" i="82"/>
  <c r="T162" i="82"/>
  <c r="AO162" i="82" s="1"/>
  <c r="P162" i="82"/>
  <c r="L162" i="82"/>
  <c r="AG162" i="82" s="1"/>
  <c r="H162" i="82"/>
  <c r="X161" i="82"/>
  <c r="AS161" i="82" s="1"/>
  <c r="T161" i="82"/>
  <c r="P161" i="82"/>
  <c r="AK161" i="82" s="1"/>
  <c r="L161" i="82"/>
  <c r="H161" i="82"/>
  <c r="X160" i="82"/>
  <c r="T160" i="82"/>
  <c r="AO160" i="82" s="1"/>
  <c r="P160" i="82"/>
  <c r="L160" i="82"/>
  <c r="AG160" i="82" s="1"/>
  <c r="H160" i="82"/>
  <c r="X159" i="82"/>
  <c r="AS159" i="82" s="1"/>
  <c r="T159" i="82"/>
  <c r="P159" i="82"/>
  <c r="AK159" i="82" s="1"/>
  <c r="L159" i="82"/>
  <c r="H159" i="82"/>
  <c r="AC159" i="82" s="1"/>
  <c r="X158" i="82"/>
  <c r="T158" i="82"/>
  <c r="AO158" i="82" s="1"/>
  <c r="P158" i="82"/>
  <c r="L158" i="82"/>
  <c r="AG158" i="82" s="1"/>
  <c r="H158" i="82"/>
  <c r="X157" i="82"/>
  <c r="AS157" i="82" s="1"/>
  <c r="T157" i="82"/>
  <c r="P157" i="82"/>
  <c r="AK157" i="82" s="1"/>
  <c r="L157" i="82"/>
  <c r="H157" i="82"/>
  <c r="X156" i="82"/>
  <c r="T156" i="82"/>
  <c r="AO156" i="82" s="1"/>
  <c r="P156" i="82"/>
  <c r="L156" i="82"/>
  <c r="AG156" i="82" s="1"/>
  <c r="H156" i="82"/>
  <c r="X155" i="82"/>
  <c r="AS155" i="82" s="1"/>
  <c r="T155" i="82"/>
  <c r="AO155" i="82" s="1"/>
  <c r="P155" i="82"/>
  <c r="AK155" i="82" s="1"/>
  <c r="L155" i="82"/>
  <c r="H155" i="82"/>
  <c r="AC155" i="82" s="1"/>
  <c r="X154" i="82"/>
  <c r="AS154" i="82" s="1"/>
  <c r="T154" i="82"/>
  <c r="AO154" i="82" s="1"/>
  <c r="P154" i="82"/>
  <c r="L154" i="82"/>
  <c r="H154" i="82"/>
  <c r="AC154" i="82" s="1"/>
  <c r="W153" i="82"/>
  <c r="AR153" i="82" s="1"/>
  <c r="V153" i="82"/>
  <c r="AQ153" i="82" s="1"/>
  <c r="U153" i="82"/>
  <c r="AP153" i="82" s="1"/>
  <c r="S153" i="82"/>
  <c r="AN153" i="82" s="1"/>
  <c r="R153" i="82"/>
  <c r="AM153" i="82" s="1"/>
  <c r="Q153" i="82"/>
  <c r="AL153" i="82" s="1"/>
  <c r="O153" i="82"/>
  <c r="AJ153" i="82" s="1"/>
  <c r="N153" i="82"/>
  <c r="AI153" i="82" s="1"/>
  <c r="M153" i="82"/>
  <c r="AH153" i="82" s="1"/>
  <c r="K153" i="82"/>
  <c r="AF153" i="82" s="1"/>
  <c r="J153" i="82"/>
  <c r="AE153" i="82" s="1"/>
  <c r="I153" i="82"/>
  <c r="AD153" i="82" s="1"/>
  <c r="G153" i="82"/>
  <c r="AB153" i="82" s="1"/>
  <c r="F153" i="82"/>
  <c r="AA153" i="82" s="1"/>
  <c r="E153" i="82"/>
  <c r="Z153" i="82" s="1"/>
  <c r="V151" i="82"/>
  <c r="AQ151" i="82" s="1"/>
  <c r="R151" i="82"/>
  <c r="AM151" i="82" s="1"/>
  <c r="N151" i="82"/>
  <c r="AI151" i="82" s="1"/>
  <c r="J151" i="82"/>
  <c r="AE151" i="82" s="1"/>
  <c r="F151" i="82"/>
  <c r="AA151" i="82" s="1"/>
  <c r="U150" i="82"/>
  <c r="AP150" i="82" s="1"/>
  <c r="Q150" i="82"/>
  <c r="AL150" i="82" s="1"/>
  <c r="M150" i="82"/>
  <c r="AH150" i="82" s="1"/>
  <c r="I150" i="82"/>
  <c r="AD150" i="82" s="1"/>
  <c r="E150" i="82"/>
  <c r="Z150" i="82" s="1"/>
  <c r="U149" i="82"/>
  <c r="AP149" i="82" s="1"/>
  <c r="Q149" i="82"/>
  <c r="AL149" i="82" s="1"/>
  <c r="M149" i="82"/>
  <c r="AH149" i="82" s="1"/>
  <c r="I149" i="82"/>
  <c r="AD149" i="82" s="1"/>
  <c r="E149" i="82"/>
  <c r="Z149" i="82" s="1"/>
  <c r="U148" i="82"/>
  <c r="AP148" i="82" s="1"/>
  <c r="Q148" i="82"/>
  <c r="AL148" i="82" s="1"/>
  <c r="M148" i="82"/>
  <c r="AH148" i="82" s="1"/>
  <c r="I148" i="82"/>
  <c r="AD148" i="82" s="1"/>
  <c r="E148" i="82"/>
  <c r="Z148" i="82" s="1"/>
  <c r="U147" i="82"/>
  <c r="AP147" i="82" s="1"/>
  <c r="Q147" i="82"/>
  <c r="AL147" i="82" s="1"/>
  <c r="M147" i="82"/>
  <c r="AH147" i="82" s="1"/>
  <c r="I147" i="82"/>
  <c r="AD147" i="82" s="1"/>
  <c r="E147" i="82"/>
  <c r="Z147" i="82" s="1"/>
  <c r="U146" i="82"/>
  <c r="AP146" i="82" s="1"/>
  <c r="Q146" i="82"/>
  <c r="AL146" i="82" s="1"/>
  <c r="M146" i="82"/>
  <c r="AH146" i="82" s="1"/>
  <c r="I146" i="82"/>
  <c r="AD146" i="82" s="1"/>
  <c r="E146" i="82"/>
  <c r="Z146" i="82" s="1"/>
  <c r="U145" i="82"/>
  <c r="AP145" i="82" s="1"/>
  <c r="Q145" i="82"/>
  <c r="AL145" i="82" s="1"/>
  <c r="M145" i="82"/>
  <c r="AH145" i="82" s="1"/>
  <c r="I145" i="82"/>
  <c r="AD145" i="82" s="1"/>
  <c r="E145" i="82"/>
  <c r="Z145" i="82" s="1"/>
  <c r="U144" i="82"/>
  <c r="AP144" i="82" s="1"/>
  <c r="Q144" i="82"/>
  <c r="AL144" i="82" s="1"/>
  <c r="M144" i="82"/>
  <c r="AH144" i="82" s="1"/>
  <c r="I144" i="82"/>
  <c r="AD144" i="82" s="1"/>
  <c r="E144" i="82"/>
  <c r="Z144" i="82" s="1"/>
  <c r="U143" i="82"/>
  <c r="AP143" i="82" s="1"/>
  <c r="Q143" i="82"/>
  <c r="AL143" i="82" s="1"/>
  <c r="M143" i="82"/>
  <c r="AH143" i="82" s="1"/>
  <c r="I143" i="82"/>
  <c r="AD143" i="82" s="1"/>
  <c r="E143" i="82"/>
  <c r="Z143" i="82" s="1"/>
  <c r="U142" i="82"/>
  <c r="AP142" i="82" s="1"/>
  <c r="Q142" i="82"/>
  <c r="AL142" i="82" s="1"/>
  <c r="M142" i="82"/>
  <c r="AH142" i="82" s="1"/>
  <c r="I142" i="82"/>
  <c r="AD142" i="82" s="1"/>
  <c r="E142" i="82"/>
  <c r="Z142" i="82" s="1"/>
  <c r="U141" i="82"/>
  <c r="AP141" i="82" s="1"/>
  <c r="Q141" i="82"/>
  <c r="AL141" i="82" s="1"/>
  <c r="M141" i="82"/>
  <c r="AH141" i="82" s="1"/>
  <c r="I141" i="82"/>
  <c r="AD141" i="82" s="1"/>
  <c r="E141" i="82"/>
  <c r="Z141" i="82" s="1"/>
  <c r="U140" i="82"/>
  <c r="AP140" i="82" s="1"/>
  <c r="Q140" i="82"/>
  <c r="AL140" i="82" s="1"/>
  <c r="M140" i="82"/>
  <c r="AH140" i="82" s="1"/>
  <c r="I140" i="82"/>
  <c r="AD140" i="82" s="1"/>
  <c r="E140" i="82"/>
  <c r="Z140" i="82" s="1"/>
  <c r="U139" i="82"/>
  <c r="AP139" i="82" s="1"/>
  <c r="Q139" i="82"/>
  <c r="AL139" i="82" s="1"/>
  <c r="M139" i="82"/>
  <c r="AH139" i="82" s="1"/>
  <c r="I139" i="82"/>
  <c r="AD139" i="82" s="1"/>
  <c r="E139" i="82"/>
  <c r="Z139" i="82" s="1"/>
  <c r="U138" i="82"/>
  <c r="AP138" i="82" s="1"/>
  <c r="Q138" i="82"/>
  <c r="AL138" i="82" s="1"/>
  <c r="M138" i="82"/>
  <c r="AH138" i="82" s="1"/>
  <c r="I138" i="82"/>
  <c r="AD138" i="82" s="1"/>
  <c r="E138" i="82"/>
  <c r="Z138" i="82" s="1"/>
  <c r="U137" i="82"/>
  <c r="AP137" i="82" s="1"/>
  <c r="Q137" i="82"/>
  <c r="AL137" i="82" s="1"/>
  <c r="M137" i="82"/>
  <c r="AH137" i="82" s="1"/>
  <c r="I137" i="82"/>
  <c r="AD137" i="82" s="1"/>
  <c r="E137" i="82"/>
  <c r="Z137" i="82" s="1"/>
  <c r="U136" i="82"/>
  <c r="AP136" i="82" s="1"/>
  <c r="Q136" i="82"/>
  <c r="AL136" i="82" s="1"/>
  <c r="M136" i="82"/>
  <c r="AH136" i="82" s="1"/>
  <c r="I136" i="82"/>
  <c r="AD136" i="82" s="1"/>
  <c r="E136" i="82"/>
  <c r="Z136" i="82" s="1"/>
  <c r="U135" i="82"/>
  <c r="AP135" i="82" s="1"/>
  <c r="Q135" i="82"/>
  <c r="AL135" i="82" s="1"/>
  <c r="M135" i="82"/>
  <c r="AH135" i="82" s="1"/>
  <c r="I135" i="82"/>
  <c r="AD135" i="82" s="1"/>
  <c r="E135" i="82"/>
  <c r="Z135" i="82" s="1"/>
  <c r="U134" i="82"/>
  <c r="AP134" i="82" s="1"/>
  <c r="Q134" i="82"/>
  <c r="AL134" i="82" s="1"/>
  <c r="M134" i="82"/>
  <c r="AH134" i="82" s="1"/>
  <c r="I134" i="82"/>
  <c r="AD134" i="82" s="1"/>
  <c r="E134" i="82"/>
  <c r="Z134" i="82" s="1"/>
  <c r="U133" i="82"/>
  <c r="AP133" i="82" s="1"/>
  <c r="Q133" i="82"/>
  <c r="AL133" i="82" s="1"/>
  <c r="M133" i="82"/>
  <c r="AH133" i="82" s="1"/>
  <c r="I133" i="82"/>
  <c r="AD133" i="82" s="1"/>
  <c r="E133" i="82"/>
  <c r="Z133" i="82" s="1"/>
  <c r="U132" i="82"/>
  <c r="AP132" i="82" s="1"/>
  <c r="Q132" i="82"/>
  <c r="AL132" i="82" s="1"/>
  <c r="M132" i="82"/>
  <c r="AH132" i="82" s="1"/>
  <c r="I132" i="82"/>
  <c r="AD132" i="82" s="1"/>
  <c r="E132" i="82"/>
  <c r="Z132" i="82" s="1"/>
  <c r="W131" i="82"/>
  <c r="AR131" i="82" s="1"/>
  <c r="V131" i="82"/>
  <c r="AQ131" i="82" s="1"/>
  <c r="S131" i="82"/>
  <c r="AN131" i="82" s="1"/>
  <c r="R131" i="82"/>
  <c r="AM131" i="82" s="1"/>
  <c r="O131" i="82"/>
  <c r="AJ131" i="82" s="1"/>
  <c r="N131" i="82"/>
  <c r="AI131" i="82" s="1"/>
  <c r="K131" i="82"/>
  <c r="AF131" i="82" s="1"/>
  <c r="J131" i="82"/>
  <c r="AE131" i="82" s="1"/>
  <c r="G131" i="82"/>
  <c r="AB131" i="82" s="1"/>
  <c r="F131" i="82"/>
  <c r="AA131" i="82" s="1"/>
  <c r="X130" i="82"/>
  <c r="T130" i="82"/>
  <c r="P130" i="82"/>
  <c r="L130" i="82"/>
  <c r="H130" i="82"/>
  <c r="X129" i="82"/>
  <c r="T129" i="82"/>
  <c r="P129" i="82"/>
  <c r="L129" i="82"/>
  <c r="H129" i="82"/>
  <c r="X128" i="82"/>
  <c r="T128" i="82"/>
  <c r="P128" i="82"/>
  <c r="L128" i="82"/>
  <c r="H128" i="82"/>
  <c r="X127" i="82"/>
  <c r="T127" i="82"/>
  <c r="P127" i="82"/>
  <c r="L127" i="82"/>
  <c r="H127" i="82"/>
  <c r="X126" i="82"/>
  <c r="T126" i="82"/>
  <c r="P126" i="82"/>
  <c r="L126" i="82"/>
  <c r="H126" i="82"/>
  <c r="X125" i="82"/>
  <c r="T125" i="82"/>
  <c r="P125" i="82"/>
  <c r="L125" i="82"/>
  <c r="H125" i="82"/>
  <c r="X124" i="82"/>
  <c r="T124" i="82"/>
  <c r="P124" i="82"/>
  <c r="L124" i="82"/>
  <c r="H124" i="82"/>
  <c r="X123" i="82"/>
  <c r="T123" i="82"/>
  <c r="P123" i="82"/>
  <c r="L123" i="82"/>
  <c r="H123" i="82"/>
  <c r="X122" i="82"/>
  <c r="T122" i="82"/>
  <c r="P122" i="82"/>
  <c r="L122" i="82"/>
  <c r="H122" i="82"/>
  <c r="X121" i="82"/>
  <c r="T121" i="82"/>
  <c r="P121" i="82"/>
  <c r="L121" i="82"/>
  <c r="H121" i="82"/>
  <c r="X120" i="82"/>
  <c r="T120" i="82"/>
  <c r="P120" i="82"/>
  <c r="H120" i="82"/>
  <c r="X119" i="82"/>
  <c r="T119" i="82"/>
  <c r="P119" i="82"/>
  <c r="H119" i="82"/>
  <c r="X118" i="82"/>
  <c r="T118" i="82"/>
  <c r="P118" i="82"/>
  <c r="L118" i="82"/>
  <c r="H118" i="82"/>
  <c r="X117" i="82"/>
  <c r="T117" i="82"/>
  <c r="P117" i="82"/>
  <c r="L117" i="82"/>
  <c r="H117" i="82"/>
  <c r="X116" i="82"/>
  <c r="T116" i="82"/>
  <c r="P116" i="82"/>
  <c r="L116" i="82"/>
  <c r="H116" i="82"/>
  <c r="X115" i="82"/>
  <c r="T115" i="82"/>
  <c r="P115" i="82"/>
  <c r="L115" i="82"/>
  <c r="H115" i="82"/>
  <c r="X114" i="82"/>
  <c r="T114" i="82"/>
  <c r="L114" i="82"/>
  <c r="X113" i="82"/>
  <c r="T113" i="82"/>
  <c r="P113" i="82"/>
  <c r="L113" i="82"/>
  <c r="H113" i="82"/>
  <c r="X112" i="82"/>
  <c r="T112" i="82"/>
  <c r="P112" i="82"/>
  <c r="L112" i="82"/>
  <c r="H112" i="82"/>
  <c r="W111" i="82"/>
  <c r="AR111" i="82" s="1"/>
  <c r="V111" i="82"/>
  <c r="AQ111" i="82" s="1"/>
  <c r="U111" i="82"/>
  <c r="AP111" i="82" s="1"/>
  <c r="S111" i="82"/>
  <c r="AN111" i="82" s="1"/>
  <c r="R111" i="82"/>
  <c r="AM111" i="82" s="1"/>
  <c r="Q111" i="82"/>
  <c r="AL111" i="82" s="1"/>
  <c r="O111" i="82"/>
  <c r="AJ111" i="82" s="1"/>
  <c r="N111" i="82"/>
  <c r="AI111" i="82" s="1"/>
  <c r="M111" i="82"/>
  <c r="AH111" i="82" s="1"/>
  <c r="K111" i="82"/>
  <c r="AF111" i="82" s="1"/>
  <c r="J111" i="82"/>
  <c r="AE111" i="82" s="1"/>
  <c r="I111" i="82"/>
  <c r="AD111" i="82" s="1"/>
  <c r="G111" i="82"/>
  <c r="AB111" i="82" s="1"/>
  <c r="F111" i="82"/>
  <c r="AA111" i="82" s="1"/>
  <c r="E111" i="82"/>
  <c r="Z111" i="82" s="1"/>
  <c r="X110" i="82"/>
  <c r="AS110" i="82" s="1"/>
  <c r="T110" i="82"/>
  <c r="AO110" i="82" s="1"/>
  <c r="P110" i="82"/>
  <c r="AK110" i="82" s="1"/>
  <c r="L110" i="82"/>
  <c r="AG110" i="82" s="1"/>
  <c r="H110" i="82"/>
  <c r="AC110" i="82" s="1"/>
  <c r="X109" i="82"/>
  <c r="AS109" i="82" s="1"/>
  <c r="T109" i="82"/>
  <c r="AO109" i="82" s="1"/>
  <c r="P109" i="82"/>
  <c r="AK109" i="82" s="1"/>
  <c r="L109" i="82"/>
  <c r="AG109" i="82" s="1"/>
  <c r="H109" i="82"/>
  <c r="AC109" i="82" s="1"/>
  <c r="X108" i="82"/>
  <c r="AS108" i="82" s="1"/>
  <c r="T108" i="82"/>
  <c r="AO108" i="82" s="1"/>
  <c r="P108" i="82"/>
  <c r="AK108" i="82" s="1"/>
  <c r="L108" i="82"/>
  <c r="AG108" i="82" s="1"/>
  <c r="H108" i="82"/>
  <c r="AC108" i="82" s="1"/>
  <c r="X107" i="82"/>
  <c r="AS107" i="82" s="1"/>
  <c r="T107" i="82"/>
  <c r="AO107" i="82" s="1"/>
  <c r="P107" i="82"/>
  <c r="AK107" i="82" s="1"/>
  <c r="L107" i="82"/>
  <c r="AG107" i="82" s="1"/>
  <c r="H107" i="82"/>
  <c r="AC107" i="82" s="1"/>
  <c r="X106" i="82"/>
  <c r="AS106" i="82" s="1"/>
  <c r="T106" i="82"/>
  <c r="AO106" i="82" s="1"/>
  <c r="P106" i="82"/>
  <c r="AK106" i="82" s="1"/>
  <c r="L106" i="82"/>
  <c r="AG106" i="82" s="1"/>
  <c r="H106" i="82"/>
  <c r="AC106" i="82" s="1"/>
  <c r="X105" i="82"/>
  <c r="AS105" i="82" s="1"/>
  <c r="T105" i="82"/>
  <c r="AO105" i="82" s="1"/>
  <c r="P105" i="82"/>
  <c r="AK105" i="82" s="1"/>
  <c r="L105" i="82"/>
  <c r="AG105" i="82" s="1"/>
  <c r="H105" i="82"/>
  <c r="AC105" i="82" s="1"/>
  <c r="X104" i="82"/>
  <c r="AS104" i="82" s="1"/>
  <c r="T104" i="82"/>
  <c r="AO104" i="82" s="1"/>
  <c r="P104" i="82"/>
  <c r="AK104" i="82" s="1"/>
  <c r="L104" i="82"/>
  <c r="AG104" i="82" s="1"/>
  <c r="H104" i="82"/>
  <c r="AC104" i="82" s="1"/>
  <c r="X103" i="82"/>
  <c r="AS103" i="82" s="1"/>
  <c r="T103" i="82"/>
  <c r="AO103" i="82" s="1"/>
  <c r="P103" i="82"/>
  <c r="AK103" i="82" s="1"/>
  <c r="L103" i="82"/>
  <c r="AG103" i="82" s="1"/>
  <c r="H103" i="82"/>
  <c r="AC103" i="82" s="1"/>
  <c r="X102" i="82"/>
  <c r="AS102" i="82" s="1"/>
  <c r="T102" i="82"/>
  <c r="AO102" i="82" s="1"/>
  <c r="P102" i="82"/>
  <c r="AK102" i="82" s="1"/>
  <c r="L102" i="82"/>
  <c r="AG102" i="82" s="1"/>
  <c r="H102" i="82"/>
  <c r="AC102" i="82" s="1"/>
  <c r="X101" i="82"/>
  <c r="AS101" i="82" s="1"/>
  <c r="T101" i="82"/>
  <c r="AO101" i="82" s="1"/>
  <c r="P101" i="82"/>
  <c r="AK101" i="82" s="1"/>
  <c r="L101" i="82"/>
  <c r="AG101" i="82" s="1"/>
  <c r="H101" i="82"/>
  <c r="AC101" i="82" s="1"/>
  <c r="X100" i="82"/>
  <c r="AS100" i="82" s="1"/>
  <c r="T100" i="82"/>
  <c r="AO100" i="82" s="1"/>
  <c r="P100" i="82"/>
  <c r="AK100" i="82" s="1"/>
  <c r="L100" i="82"/>
  <c r="AG100" i="82" s="1"/>
  <c r="H100" i="82"/>
  <c r="AC100" i="82" s="1"/>
  <c r="X99" i="82"/>
  <c r="AS99" i="82" s="1"/>
  <c r="T99" i="82"/>
  <c r="AO99" i="82" s="1"/>
  <c r="P99" i="82"/>
  <c r="AK99" i="82" s="1"/>
  <c r="L99" i="82"/>
  <c r="AG99" i="82" s="1"/>
  <c r="H99" i="82"/>
  <c r="AC99" i="82" s="1"/>
  <c r="X98" i="82"/>
  <c r="AS98" i="82" s="1"/>
  <c r="T98" i="82"/>
  <c r="AO98" i="82" s="1"/>
  <c r="P98" i="82"/>
  <c r="AK98" i="82" s="1"/>
  <c r="L98" i="82"/>
  <c r="AG98" i="82" s="1"/>
  <c r="H98" i="82"/>
  <c r="AC98" i="82" s="1"/>
  <c r="X97" i="82"/>
  <c r="AS97" i="82" s="1"/>
  <c r="T97" i="82"/>
  <c r="AO97" i="82" s="1"/>
  <c r="P97" i="82"/>
  <c r="AK97" i="82" s="1"/>
  <c r="L97" i="82"/>
  <c r="AG97" i="82" s="1"/>
  <c r="H97" i="82"/>
  <c r="AC97" i="82" s="1"/>
  <c r="X96" i="82"/>
  <c r="AS96" i="82" s="1"/>
  <c r="T96" i="82"/>
  <c r="AO96" i="82" s="1"/>
  <c r="P96" i="82"/>
  <c r="AK96" i="82" s="1"/>
  <c r="L96" i="82"/>
  <c r="AG96" i="82" s="1"/>
  <c r="H96" i="82"/>
  <c r="AC96" i="82" s="1"/>
  <c r="X95" i="82"/>
  <c r="AS95" i="82" s="1"/>
  <c r="T95" i="82"/>
  <c r="AO95" i="82" s="1"/>
  <c r="P95" i="82"/>
  <c r="AK95" i="82" s="1"/>
  <c r="L95" i="82"/>
  <c r="AG95" i="82" s="1"/>
  <c r="H95" i="82"/>
  <c r="AC95" i="82" s="1"/>
  <c r="X94" i="82"/>
  <c r="AS94" i="82" s="1"/>
  <c r="T94" i="82"/>
  <c r="AO94" i="82" s="1"/>
  <c r="P94" i="82"/>
  <c r="AK94" i="82" s="1"/>
  <c r="L94" i="82"/>
  <c r="AG94" i="82" s="1"/>
  <c r="H94" i="82"/>
  <c r="AC94" i="82" s="1"/>
  <c r="X93" i="82"/>
  <c r="AS93" i="82" s="1"/>
  <c r="T93" i="82"/>
  <c r="AO93" i="82" s="1"/>
  <c r="P93" i="82"/>
  <c r="AK93" i="82" s="1"/>
  <c r="L93" i="82"/>
  <c r="AG93" i="82" s="1"/>
  <c r="H93" i="82"/>
  <c r="AC93" i="82" s="1"/>
  <c r="X92" i="82"/>
  <c r="AS92" i="82" s="1"/>
  <c r="T92" i="82"/>
  <c r="AO92" i="82" s="1"/>
  <c r="P92" i="82"/>
  <c r="AK92" i="82" s="1"/>
  <c r="L92" i="82"/>
  <c r="AG92" i="82" s="1"/>
  <c r="H92" i="82"/>
  <c r="AC92" i="82" s="1"/>
  <c r="W91" i="82"/>
  <c r="AR91" i="82" s="1"/>
  <c r="V91" i="82"/>
  <c r="AQ91" i="82" s="1"/>
  <c r="U91" i="82"/>
  <c r="AP91" i="82" s="1"/>
  <c r="S91" i="82"/>
  <c r="AN91" i="82" s="1"/>
  <c r="R91" i="82"/>
  <c r="AM91" i="82" s="1"/>
  <c r="Q91" i="82"/>
  <c r="AL91" i="82" s="1"/>
  <c r="O91" i="82"/>
  <c r="AJ91" i="82" s="1"/>
  <c r="N91" i="82"/>
  <c r="AI91" i="82" s="1"/>
  <c r="M91" i="82"/>
  <c r="AH91" i="82" s="1"/>
  <c r="K91" i="82"/>
  <c r="AF91" i="82" s="1"/>
  <c r="J91" i="82"/>
  <c r="AE91" i="82" s="1"/>
  <c r="I91" i="82"/>
  <c r="AD91" i="82" s="1"/>
  <c r="G91" i="82"/>
  <c r="AB91" i="82" s="1"/>
  <c r="F91" i="82"/>
  <c r="AA91" i="82" s="1"/>
  <c r="E91" i="82"/>
  <c r="Z91" i="82" s="1"/>
  <c r="U89" i="82"/>
  <c r="AP89" i="82" s="1"/>
  <c r="Q89" i="82"/>
  <c r="AL89" i="82" s="1"/>
  <c r="M89" i="82"/>
  <c r="AH89" i="82" s="1"/>
  <c r="I89" i="82"/>
  <c r="AD89" i="82" s="1"/>
  <c r="E89" i="82"/>
  <c r="Z89" i="82" s="1"/>
  <c r="U88" i="82"/>
  <c r="AP88" i="82" s="1"/>
  <c r="Q88" i="82"/>
  <c r="AL88" i="82" s="1"/>
  <c r="M88" i="82"/>
  <c r="AH88" i="82" s="1"/>
  <c r="I88" i="82"/>
  <c r="AD88" i="82" s="1"/>
  <c r="E88" i="82"/>
  <c r="Z88" i="82" s="1"/>
  <c r="U87" i="82"/>
  <c r="AP87" i="82" s="1"/>
  <c r="Q87" i="82"/>
  <c r="AL87" i="82" s="1"/>
  <c r="M87" i="82"/>
  <c r="AH87" i="82" s="1"/>
  <c r="I87" i="82"/>
  <c r="AD87" i="82" s="1"/>
  <c r="E87" i="82"/>
  <c r="Z87" i="82" s="1"/>
  <c r="U86" i="82"/>
  <c r="AP86" i="82" s="1"/>
  <c r="Q86" i="82"/>
  <c r="AL86" i="82" s="1"/>
  <c r="M86" i="82"/>
  <c r="AH86" i="82" s="1"/>
  <c r="I86" i="82"/>
  <c r="AD86" i="82" s="1"/>
  <c r="E86" i="82"/>
  <c r="Z86" i="82" s="1"/>
  <c r="U85" i="82"/>
  <c r="AP85" i="82" s="1"/>
  <c r="Q85" i="82"/>
  <c r="AL85" i="82" s="1"/>
  <c r="M85" i="82"/>
  <c r="AH85" i="82" s="1"/>
  <c r="I85" i="82"/>
  <c r="AD85" i="82" s="1"/>
  <c r="E85" i="82"/>
  <c r="Z85" i="82" s="1"/>
  <c r="U84" i="82"/>
  <c r="AP84" i="82" s="1"/>
  <c r="Q84" i="82"/>
  <c r="AL84" i="82" s="1"/>
  <c r="M84" i="82"/>
  <c r="AH84" i="82" s="1"/>
  <c r="I84" i="82"/>
  <c r="AD84" i="82" s="1"/>
  <c r="E84" i="82"/>
  <c r="Z84" i="82" s="1"/>
  <c r="U83" i="82"/>
  <c r="AP83" i="82" s="1"/>
  <c r="Q83" i="82"/>
  <c r="AL83" i="82" s="1"/>
  <c r="M83" i="82"/>
  <c r="AH83" i="82" s="1"/>
  <c r="I83" i="82"/>
  <c r="AD83" i="82" s="1"/>
  <c r="E83" i="82"/>
  <c r="Z83" i="82" s="1"/>
  <c r="U82" i="82"/>
  <c r="AP82" i="82" s="1"/>
  <c r="Q82" i="82"/>
  <c r="AL82" i="82" s="1"/>
  <c r="M82" i="82"/>
  <c r="AH82" i="82" s="1"/>
  <c r="I82" i="82"/>
  <c r="AD82" i="82" s="1"/>
  <c r="E82" i="82"/>
  <c r="Z82" i="82" s="1"/>
  <c r="U81" i="82"/>
  <c r="AP81" i="82" s="1"/>
  <c r="Q81" i="82"/>
  <c r="AL81" i="82" s="1"/>
  <c r="M81" i="82"/>
  <c r="AH81" i="82" s="1"/>
  <c r="I81" i="82"/>
  <c r="AD81" i="82" s="1"/>
  <c r="E81" i="82"/>
  <c r="Z81" i="82" s="1"/>
  <c r="U80" i="82"/>
  <c r="AP80" i="82" s="1"/>
  <c r="Q80" i="82"/>
  <c r="AL80" i="82" s="1"/>
  <c r="M80" i="82"/>
  <c r="AH80" i="82" s="1"/>
  <c r="I80" i="82"/>
  <c r="AD80" i="82" s="1"/>
  <c r="E80" i="82"/>
  <c r="Z80" i="82" s="1"/>
  <c r="U79" i="82"/>
  <c r="AP79" i="82" s="1"/>
  <c r="Q79" i="82"/>
  <c r="AL79" i="82" s="1"/>
  <c r="M79" i="82"/>
  <c r="AH79" i="82" s="1"/>
  <c r="I79" i="82"/>
  <c r="AD79" i="82" s="1"/>
  <c r="E79" i="82"/>
  <c r="Z79" i="82" s="1"/>
  <c r="U78" i="82"/>
  <c r="AP78" i="82" s="1"/>
  <c r="Q78" i="82"/>
  <c r="AL78" i="82" s="1"/>
  <c r="M78" i="82"/>
  <c r="AH78" i="82" s="1"/>
  <c r="I78" i="82"/>
  <c r="AD78" i="82" s="1"/>
  <c r="E78" i="82"/>
  <c r="Z78" i="82" s="1"/>
  <c r="U77" i="82"/>
  <c r="AP77" i="82" s="1"/>
  <c r="Q77" i="82"/>
  <c r="AL77" i="82" s="1"/>
  <c r="M77" i="82"/>
  <c r="AH77" i="82" s="1"/>
  <c r="I77" i="82"/>
  <c r="AD77" i="82" s="1"/>
  <c r="E77" i="82"/>
  <c r="Z77" i="82" s="1"/>
  <c r="U76" i="82"/>
  <c r="AP76" i="82" s="1"/>
  <c r="Q76" i="82"/>
  <c r="AL76" i="82" s="1"/>
  <c r="M76" i="82"/>
  <c r="AH76" i="82" s="1"/>
  <c r="I76" i="82"/>
  <c r="AD76" i="82" s="1"/>
  <c r="E76" i="82"/>
  <c r="Z76" i="82" s="1"/>
  <c r="U75" i="82"/>
  <c r="AP75" i="82" s="1"/>
  <c r="Q75" i="82"/>
  <c r="AL75" i="82" s="1"/>
  <c r="M75" i="82"/>
  <c r="AH75" i="82" s="1"/>
  <c r="I75" i="82"/>
  <c r="AD75" i="82" s="1"/>
  <c r="E75" i="82"/>
  <c r="Z75" i="82" s="1"/>
  <c r="U73" i="82"/>
  <c r="AP73" i="82" s="1"/>
  <c r="Q73" i="82"/>
  <c r="AL73" i="82" s="1"/>
  <c r="M73" i="82"/>
  <c r="AH73" i="82" s="1"/>
  <c r="I73" i="82"/>
  <c r="AD73" i="82" s="1"/>
  <c r="E73" i="82"/>
  <c r="Z73" i="82" s="1"/>
  <c r="U72" i="82"/>
  <c r="AP72" i="82" s="1"/>
  <c r="Q72" i="82"/>
  <c r="AL72" i="82" s="1"/>
  <c r="M72" i="82"/>
  <c r="AH72" i="82" s="1"/>
  <c r="I72" i="82"/>
  <c r="AD72" i="82" s="1"/>
  <c r="E72" i="82"/>
  <c r="Z72" i="82" s="1"/>
  <c r="U71" i="82"/>
  <c r="AP71" i="82" s="1"/>
  <c r="Q71" i="82"/>
  <c r="AL71" i="82" s="1"/>
  <c r="M71" i="82"/>
  <c r="AH71" i="82" s="1"/>
  <c r="I71" i="82"/>
  <c r="AD71" i="82" s="1"/>
  <c r="E71" i="82"/>
  <c r="Z71" i="82" s="1"/>
  <c r="U70" i="82"/>
  <c r="AP70" i="82" s="1"/>
  <c r="Q70" i="82"/>
  <c r="AL70" i="82" s="1"/>
  <c r="M70" i="82"/>
  <c r="AH70" i="82" s="1"/>
  <c r="I70" i="82"/>
  <c r="AD70" i="82" s="1"/>
  <c r="E70" i="82"/>
  <c r="Z70" i="82" s="1"/>
  <c r="U69" i="82"/>
  <c r="AP69" i="82" s="1"/>
  <c r="Q69" i="82"/>
  <c r="AL69" i="82" s="1"/>
  <c r="M69" i="82"/>
  <c r="AH69" i="82" s="1"/>
  <c r="I69" i="82"/>
  <c r="AD69" i="82" s="1"/>
  <c r="E69" i="82"/>
  <c r="Z69" i="82" s="1"/>
  <c r="U67" i="82"/>
  <c r="AP67" i="82" s="1"/>
  <c r="Q67" i="82"/>
  <c r="AL67" i="82" s="1"/>
  <c r="M67" i="82"/>
  <c r="AH67" i="82" s="1"/>
  <c r="I67" i="82"/>
  <c r="AD67" i="82" s="1"/>
  <c r="E67" i="82"/>
  <c r="Z67" i="82" s="1"/>
  <c r="U66" i="82"/>
  <c r="AP66" i="82" s="1"/>
  <c r="Q66" i="82"/>
  <c r="AL66" i="82" s="1"/>
  <c r="M66" i="82"/>
  <c r="AH66" i="82" s="1"/>
  <c r="I66" i="82"/>
  <c r="AD66" i="82" s="1"/>
  <c r="E66" i="82"/>
  <c r="Z66" i="82" s="1"/>
  <c r="W65" i="82"/>
  <c r="AR65" i="82" s="1"/>
  <c r="V65" i="82"/>
  <c r="AQ65" i="82" s="1"/>
  <c r="S65" i="82"/>
  <c r="AN65" i="82" s="1"/>
  <c r="R65" i="82"/>
  <c r="AM65" i="82" s="1"/>
  <c r="O65" i="82"/>
  <c r="AJ65" i="82" s="1"/>
  <c r="N65" i="82"/>
  <c r="AI65" i="82" s="1"/>
  <c r="K65" i="82"/>
  <c r="AF65" i="82" s="1"/>
  <c r="J65" i="82"/>
  <c r="AE65" i="82" s="1"/>
  <c r="G65" i="82"/>
  <c r="AB65" i="82" s="1"/>
  <c r="F65" i="82"/>
  <c r="AA65" i="82" s="1"/>
  <c r="X64" i="82"/>
  <c r="T64" i="82"/>
  <c r="P64" i="82"/>
  <c r="L64" i="82"/>
  <c r="H64" i="82"/>
  <c r="X63" i="82"/>
  <c r="T63" i="82"/>
  <c r="P63" i="82"/>
  <c r="L63" i="82"/>
  <c r="H63" i="82"/>
  <c r="X62" i="82"/>
  <c r="T62" i="82"/>
  <c r="P62" i="82"/>
  <c r="L62" i="82"/>
  <c r="H62" i="82"/>
  <c r="X61" i="82"/>
  <c r="T61" i="82"/>
  <c r="P61" i="82"/>
  <c r="L61" i="82"/>
  <c r="H61" i="82"/>
  <c r="X60" i="82"/>
  <c r="T60" i="82"/>
  <c r="P60" i="82"/>
  <c r="L60" i="82"/>
  <c r="H60" i="82"/>
  <c r="X59" i="82"/>
  <c r="T59" i="82"/>
  <c r="P59" i="82"/>
  <c r="L59" i="82"/>
  <c r="H59" i="82"/>
  <c r="X58" i="82"/>
  <c r="T58" i="82"/>
  <c r="P58" i="82"/>
  <c r="L58" i="82"/>
  <c r="AG58" i="82" s="1"/>
  <c r="H58" i="82"/>
  <c r="X57" i="82"/>
  <c r="T57" i="82"/>
  <c r="P57" i="82"/>
  <c r="AK57" i="82" s="1"/>
  <c r="L57" i="82"/>
  <c r="H57" i="82"/>
  <c r="X56" i="82"/>
  <c r="T56" i="82"/>
  <c r="AO56" i="82" s="1"/>
  <c r="P56" i="82"/>
  <c r="L56" i="82"/>
  <c r="H56" i="82"/>
  <c r="X55" i="82"/>
  <c r="AS55" i="82" s="1"/>
  <c r="T55" i="82"/>
  <c r="P55" i="82"/>
  <c r="L55" i="82"/>
  <c r="H55" i="82"/>
  <c r="AC55" i="82" s="1"/>
  <c r="X54" i="82"/>
  <c r="T54" i="82"/>
  <c r="P54" i="82"/>
  <c r="L54" i="82"/>
  <c r="AG54" i="82" s="1"/>
  <c r="H54" i="82"/>
  <c r="X53" i="82"/>
  <c r="T53" i="82"/>
  <c r="P53" i="82"/>
  <c r="AK53" i="82" s="1"/>
  <c r="L53" i="82"/>
  <c r="H53" i="82"/>
  <c r="X52" i="82"/>
  <c r="T52" i="82"/>
  <c r="AO52" i="82" s="1"/>
  <c r="P52" i="82"/>
  <c r="L52" i="82"/>
  <c r="H52" i="82"/>
  <c r="X51" i="82"/>
  <c r="AS51" i="82" s="1"/>
  <c r="T51" i="82"/>
  <c r="P51" i="82"/>
  <c r="L51" i="82"/>
  <c r="H51" i="82"/>
  <c r="AC51" i="82" s="1"/>
  <c r="X50" i="82"/>
  <c r="T50" i="82"/>
  <c r="P50" i="82"/>
  <c r="L50" i="82"/>
  <c r="AG50" i="82" s="1"/>
  <c r="H50" i="82"/>
  <c r="W49" i="82"/>
  <c r="AR49" i="82" s="1"/>
  <c r="V49" i="82"/>
  <c r="AQ49" i="82" s="1"/>
  <c r="U49" i="82"/>
  <c r="AP49" i="82" s="1"/>
  <c r="S49" i="82"/>
  <c r="AN49" i="82" s="1"/>
  <c r="R49" i="82"/>
  <c r="AM49" i="82" s="1"/>
  <c r="Q49" i="82"/>
  <c r="AL49" i="82" s="1"/>
  <c r="O49" i="82"/>
  <c r="AJ49" i="82" s="1"/>
  <c r="N49" i="82"/>
  <c r="AI49" i="82" s="1"/>
  <c r="M49" i="82"/>
  <c r="AH49" i="82" s="1"/>
  <c r="K49" i="82"/>
  <c r="AF49" i="82" s="1"/>
  <c r="J49" i="82"/>
  <c r="AE49" i="82" s="1"/>
  <c r="I49" i="82"/>
  <c r="AD49" i="82" s="1"/>
  <c r="G49" i="82"/>
  <c r="AB49" i="82" s="1"/>
  <c r="F49" i="82"/>
  <c r="AA49" i="82" s="1"/>
  <c r="E49" i="82"/>
  <c r="Z49" i="82" s="1"/>
  <c r="X48" i="82"/>
  <c r="T48" i="82"/>
  <c r="P48" i="82"/>
  <c r="L48" i="82"/>
  <c r="AG48" i="82" s="1"/>
  <c r="H48" i="82"/>
  <c r="X47" i="82"/>
  <c r="T47" i="82"/>
  <c r="P47" i="82"/>
  <c r="L47" i="82"/>
  <c r="H47" i="82"/>
  <c r="X46" i="82"/>
  <c r="T46" i="82"/>
  <c r="AO46" i="82" s="1"/>
  <c r="P46" i="82"/>
  <c r="L46" i="82"/>
  <c r="H46" i="82"/>
  <c r="X45" i="82"/>
  <c r="AS45" i="82" s="1"/>
  <c r="T45" i="82"/>
  <c r="P45" i="82"/>
  <c r="L45" i="82"/>
  <c r="H45" i="82"/>
  <c r="AC45" i="82" s="1"/>
  <c r="X44" i="82"/>
  <c r="T44" i="82"/>
  <c r="P44" i="82"/>
  <c r="L44" i="82"/>
  <c r="AG44" i="82" s="1"/>
  <c r="H44" i="82"/>
  <c r="W43" i="82"/>
  <c r="V43" i="82"/>
  <c r="U43" i="82"/>
  <c r="S43" i="82"/>
  <c r="R43" i="82"/>
  <c r="Q43" i="82"/>
  <c r="O43" i="82"/>
  <c r="N43" i="82"/>
  <c r="M43" i="82"/>
  <c r="K43" i="82"/>
  <c r="J43" i="82"/>
  <c r="I43" i="82"/>
  <c r="G43" i="82"/>
  <c r="F43" i="82"/>
  <c r="E43" i="82"/>
  <c r="Z43" i="82" s="1"/>
  <c r="X42" i="82"/>
  <c r="T42" i="82"/>
  <c r="AO42" i="82" s="1"/>
  <c r="P42" i="82"/>
  <c r="L42" i="82"/>
  <c r="H42" i="82"/>
  <c r="X41" i="82"/>
  <c r="AS41" i="82" s="1"/>
  <c r="T41" i="82"/>
  <c r="P41" i="82"/>
  <c r="L41" i="82"/>
  <c r="H41" i="82"/>
  <c r="AC41" i="82" s="1"/>
  <c r="X39" i="82"/>
  <c r="AS39" i="82" s="1"/>
  <c r="T39" i="82"/>
  <c r="P39" i="82"/>
  <c r="AK39" i="82" s="1"/>
  <c r="L39" i="82"/>
  <c r="AG39" i="82" s="1"/>
  <c r="H39" i="82"/>
  <c r="AC39" i="82" s="1"/>
  <c r="W36" i="82"/>
  <c r="AR36" i="82" s="1"/>
  <c r="V36" i="82"/>
  <c r="AQ36" i="82" s="1"/>
  <c r="S36" i="82"/>
  <c r="AN36" i="82" s="1"/>
  <c r="R36" i="82"/>
  <c r="AM36" i="82" s="1"/>
  <c r="O36" i="82"/>
  <c r="AJ36" i="82" s="1"/>
  <c r="N36" i="82"/>
  <c r="AI36" i="82" s="1"/>
  <c r="K36" i="82"/>
  <c r="AF36" i="82" s="1"/>
  <c r="J36" i="82"/>
  <c r="AE36" i="82" s="1"/>
  <c r="G36" i="82"/>
  <c r="AB36" i="82" s="1"/>
  <c r="F36" i="82"/>
  <c r="AA36" i="82" s="1"/>
  <c r="X35" i="82"/>
  <c r="AS35" i="82" s="1"/>
  <c r="T35" i="82"/>
  <c r="AO35" i="82" s="1"/>
  <c r="P35" i="82"/>
  <c r="AK35" i="82" s="1"/>
  <c r="L35" i="82"/>
  <c r="AG35" i="82" s="1"/>
  <c r="H35" i="82"/>
  <c r="AC35" i="82" s="1"/>
  <c r="X34" i="82"/>
  <c r="AS34" i="82" s="1"/>
  <c r="T34" i="82"/>
  <c r="AO34" i="82" s="1"/>
  <c r="P34" i="82"/>
  <c r="AK34" i="82" s="1"/>
  <c r="L34" i="82"/>
  <c r="AG34" i="82" s="1"/>
  <c r="H34" i="82"/>
  <c r="AC34" i="82" s="1"/>
  <c r="X33" i="82"/>
  <c r="AS33" i="82" s="1"/>
  <c r="T33" i="82"/>
  <c r="AO33" i="82" s="1"/>
  <c r="P33" i="82"/>
  <c r="AK33" i="82" s="1"/>
  <c r="L33" i="82"/>
  <c r="H33" i="82"/>
  <c r="AC33" i="82" s="1"/>
  <c r="W30" i="82"/>
  <c r="AR30" i="82" s="1"/>
  <c r="V30" i="82"/>
  <c r="AQ30" i="82" s="1"/>
  <c r="S30" i="82"/>
  <c r="AN30" i="82" s="1"/>
  <c r="R30" i="82"/>
  <c r="AM30" i="82" s="1"/>
  <c r="O30" i="82"/>
  <c r="AJ30" i="82" s="1"/>
  <c r="N30" i="82"/>
  <c r="AI30" i="82" s="1"/>
  <c r="K30" i="82"/>
  <c r="AF30" i="82" s="1"/>
  <c r="J30" i="82"/>
  <c r="AE30" i="82" s="1"/>
  <c r="G30" i="82"/>
  <c r="AB30" i="82" s="1"/>
  <c r="F30" i="82"/>
  <c r="AA30" i="82" s="1"/>
  <c r="X29" i="82"/>
  <c r="AS29" i="82" s="1"/>
  <c r="T29" i="82"/>
  <c r="AO29" i="82" s="1"/>
  <c r="P29" i="82"/>
  <c r="AK29" i="82" s="1"/>
  <c r="L29" i="82"/>
  <c r="H29" i="82"/>
  <c r="AC29" i="82" s="1"/>
  <c r="X28" i="82"/>
  <c r="AS28" i="82" s="1"/>
  <c r="T28" i="82"/>
  <c r="AO28" i="82" s="1"/>
  <c r="P28" i="82"/>
  <c r="L28" i="82"/>
  <c r="AG28" i="82" s="1"/>
  <c r="H28" i="82"/>
  <c r="AC28" i="82" s="1"/>
  <c r="X27" i="82"/>
  <c r="AS27" i="82" s="1"/>
  <c r="T27" i="82"/>
  <c r="P27" i="82"/>
  <c r="AK27" i="82" s="1"/>
  <c r="L27" i="82"/>
  <c r="AG27" i="82" s="1"/>
  <c r="H27" i="82"/>
  <c r="AC27" i="82" s="1"/>
  <c r="X26" i="82"/>
  <c r="T26" i="82"/>
  <c r="AO26" i="82" s="1"/>
  <c r="P26" i="82"/>
  <c r="AK26" i="82" s="1"/>
  <c r="L26" i="82"/>
  <c r="AG26" i="82" s="1"/>
  <c r="H26" i="82"/>
  <c r="X25" i="82"/>
  <c r="AS25" i="82" s="1"/>
  <c r="T25" i="82"/>
  <c r="AO25" i="82" s="1"/>
  <c r="P25" i="82"/>
  <c r="AK25" i="82" s="1"/>
  <c r="L25" i="82"/>
  <c r="H25" i="82"/>
  <c r="AC25" i="82" s="1"/>
  <c r="X24" i="82"/>
  <c r="AS24" i="82" s="1"/>
  <c r="T24" i="82"/>
  <c r="AO24" i="82" s="1"/>
  <c r="P24" i="82"/>
  <c r="L24" i="82"/>
  <c r="AG24" i="82" s="1"/>
  <c r="H24" i="82"/>
  <c r="AC24" i="82" s="1"/>
  <c r="X23" i="82"/>
  <c r="AS23" i="82" s="1"/>
  <c r="T23" i="82"/>
  <c r="P23" i="82"/>
  <c r="AK23" i="82" s="1"/>
  <c r="L23" i="82"/>
  <c r="AG23" i="82" s="1"/>
  <c r="H23" i="82"/>
  <c r="AC23" i="82" s="1"/>
  <c r="X22" i="82"/>
  <c r="T22" i="82"/>
  <c r="AO22" i="82" s="1"/>
  <c r="P22" i="82"/>
  <c r="AK22" i="82" s="1"/>
  <c r="L22" i="82"/>
  <c r="AG22" i="82" s="1"/>
  <c r="H22" i="82"/>
  <c r="X21" i="82"/>
  <c r="AS21" i="82" s="1"/>
  <c r="T21" i="82"/>
  <c r="AO21" i="82" s="1"/>
  <c r="P21" i="82"/>
  <c r="AK21" i="82" s="1"/>
  <c r="L21" i="82"/>
  <c r="H21" i="82"/>
  <c r="AC21" i="82" s="1"/>
  <c r="W20" i="82"/>
  <c r="AR20" i="82" s="1"/>
  <c r="V20" i="82"/>
  <c r="AQ20" i="82" s="1"/>
  <c r="U20" i="82"/>
  <c r="AP20" i="82" s="1"/>
  <c r="S20" i="82"/>
  <c r="AN20" i="82" s="1"/>
  <c r="R20" i="82"/>
  <c r="AM20" i="82" s="1"/>
  <c r="Q20" i="82"/>
  <c r="AL20" i="82" s="1"/>
  <c r="O20" i="82"/>
  <c r="AJ20" i="82" s="1"/>
  <c r="N20" i="82"/>
  <c r="AI20" i="82" s="1"/>
  <c r="M20" i="82"/>
  <c r="AH20" i="82" s="1"/>
  <c r="K20" i="82"/>
  <c r="AF20" i="82" s="1"/>
  <c r="J20" i="82"/>
  <c r="AE20" i="82" s="1"/>
  <c r="I20" i="82"/>
  <c r="AD20" i="82" s="1"/>
  <c r="G20" i="82"/>
  <c r="AB20" i="82" s="1"/>
  <c r="F20" i="82"/>
  <c r="AA20" i="82" s="1"/>
  <c r="E20" i="82"/>
  <c r="Z20" i="82" s="1"/>
  <c r="X19" i="82"/>
  <c r="AS19" i="82" s="1"/>
  <c r="T19" i="82"/>
  <c r="AO19" i="82" s="1"/>
  <c r="P19" i="82"/>
  <c r="AK19" i="82" s="1"/>
  <c r="L19" i="82"/>
  <c r="H19" i="82"/>
  <c r="AC19" i="82" s="1"/>
  <c r="X18" i="82"/>
  <c r="AS18" i="82" s="1"/>
  <c r="T18" i="82"/>
  <c r="AO18" i="82" s="1"/>
  <c r="P18" i="82"/>
  <c r="AK18" i="82" s="1"/>
  <c r="L18" i="82"/>
  <c r="AG18" i="82" s="1"/>
  <c r="H18" i="82"/>
  <c r="AC18" i="82" s="1"/>
  <c r="X17" i="82"/>
  <c r="AS17" i="82" s="1"/>
  <c r="T17" i="82"/>
  <c r="P17" i="82"/>
  <c r="AK17" i="82" s="1"/>
  <c r="L17" i="82"/>
  <c r="AG17" i="82" s="1"/>
  <c r="H17" i="82"/>
  <c r="AC17" i="82" s="1"/>
  <c r="X16" i="82"/>
  <c r="AS16" i="82" s="1"/>
  <c r="T16" i="82"/>
  <c r="AO16" i="82" s="1"/>
  <c r="P16" i="82"/>
  <c r="AK16" i="82" s="1"/>
  <c r="L16" i="82"/>
  <c r="AG16" i="82" s="1"/>
  <c r="H16" i="82"/>
  <c r="X15" i="82"/>
  <c r="AS15" i="82" s="1"/>
  <c r="T15" i="82"/>
  <c r="AO15" i="82" s="1"/>
  <c r="P15" i="82"/>
  <c r="AK15" i="82" s="1"/>
  <c r="L15" i="82"/>
  <c r="AG15" i="82" s="1"/>
  <c r="H15" i="82"/>
  <c r="AC15" i="82" s="1"/>
  <c r="W14" i="82"/>
  <c r="AR14" i="82" s="1"/>
  <c r="V14" i="82"/>
  <c r="AQ14" i="82" s="1"/>
  <c r="U14" i="82"/>
  <c r="AP14" i="82" s="1"/>
  <c r="S14" i="82"/>
  <c r="AN14" i="82" s="1"/>
  <c r="R14" i="82"/>
  <c r="AM14" i="82" s="1"/>
  <c r="Q14" i="82"/>
  <c r="AL14" i="82" s="1"/>
  <c r="O14" i="82"/>
  <c r="AJ14" i="82" s="1"/>
  <c r="N14" i="82"/>
  <c r="AI14" i="82" s="1"/>
  <c r="M14" i="82"/>
  <c r="AH14" i="82" s="1"/>
  <c r="K14" i="82"/>
  <c r="AF14" i="82" s="1"/>
  <c r="J14" i="82"/>
  <c r="AE14" i="82" s="1"/>
  <c r="I14" i="82"/>
  <c r="AD14" i="82" s="1"/>
  <c r="G14" i="82"/>
  <c r="AB14" i="82" s="1"/>
  <c r="F14" i="82"/>
  <c r="AA14" i="82" s="1"/>
  <c r="E14" i="82"/>
  <c r="Z14" i="82" s="1"/>
  <c r="X13" i="82"/>
  <c r="AS13" i="82" s="1"/>
  <c r="T13" i="82"/>
  <c r="P13" i="82"/>
  <c r="AK13" i="82" s="1"/>
  <c r="L13" i="82"/>
  <c r="AG13" i="82" s="1"/>
  <c r="H13" i="82"/>
  <c r="AC13" i="82" s="1"/>
  <c r="X12" i="82"/>
  <c r="T12" i="82"/>
  <c r="AO12" i="82" s="1"/>
  <c r="P12" i="82"/>
  <c r="L12" i="82"/>
  <c r="AG12" i="82" s="1"/>
  <c r="H12" i="82"/>
  <c r="L9" i="82"/>
  <c r="P9" i="82" s="1"/>
  <c r="T9" i="82" s="1"/>
  <c r="X9" i="82" s="1"/>
  <c r="K9" i="82"/>
  <c r="O9" i="82" s="1"/>
  <c r="S9" i="82" s="1"/>
  <c r="W9" i="82" s="1"/>
  <c r="J9" i="82"/>
  <c r="N9" i="82" s="1"/>
  <c r="R9" i="82" s="1"/>
  <c r="V9" i="82" s="1"/>
  <c r="I9" i="82"/>
  <c r="M9" i="82" s="1"/>
  <c r="Q9" i="82" s="1"/>
  <c r="U9" i="82" s="1"/>
  <c r="AZ124" i="41" l="1"/>
  <c r="AZ144" i="41"/>
  <c r="F156" i="41"/>
  <c r="AZ156" i="41" s="1"/>
  <c r="Z99" i="62"/>
  <c r="BQ99" i="62" s="1"/>
  <c r="S76" i="50"/>
  <c r="BE76" i="50" s="1"/>
  <c r="AK56" i="82"/>
  <c r="E11" i="50"/>
  <c r="AQ11" i="50" s="1"/>
  <c r="AC12" i="82"/>
  <c r="O40" i="82"/>
  <c r="AJ40" i="82" s="1"/>
  <c r="AJ43" i="82"/>
  <c r="E157" i="50"/>
  <c r="AQ157" i="50" s="1"/>
  <c r="AC117" i="82"/>
  <c r="E165" i="50"/>
  <c r="AQ165" i="50" s="1"/>
  <c r="AC125" i="82"/>
  <c r="E238" i="50"/>
  <c r="AQ238" i="50" s="1"/>
  <c r="AC177" i="82"/>
  <c r="Z247" i="50"/>
  <c r="BL247" i="50" s="1"/>
  <c r="AO186" i="82"/>
  <c r="L30" i="50"/>
  <c r="AX30" i="50" s="1"/>
  <c r="AG33" i="82"/>
  <c r="Z61" i="50"/>
  <c r="BL61" i="50" s="1"/>
  <c r="AO41" i="82"/>
  <c r="F40" i="82"/>
  <c r="AA40" i="82" s="1"/>
  <c r="AA43" i="82"/>
  <c r="Q40" i="82"/>
  <c r="AL40" i="82" s="1"/>
  <c r="AL43" i="82"/>
  <c r="S64" i="50"/>
  <c r="BE64" i="50" s="1"/>
  <c r="AK44" i="82"/>
  <c r="E66" i="50"/>
  <c r="AQ66" i="50" s="1"/>
  <c r="AC46" i="82"/>
  <c r="Z67" i="50"/>
  <c r="BL67" i="50" s="1"/>
  <c r="AO47" i="82"/>
  <c r="S70" i="50"/>
  <c r="BE70" i="50" s="1"/>
  <c r="AK50" i="82"/>
  <c r="E72" i="50"/>
  <c r="AQ72" i="50" s="1"/>
  <c r="AC52" i="82"/>
  <c r="Z73" i="50"/>
  <c r="BL73" i="50" s="1"/>
  <c r="AO53" i="82"/>
  <c r="L75" i="50"/>
  <c r="AX75" i="50" s="1"/>
  <c r="AG55" i="82"/>
  <c r="AG76" i="50"/>
  <c r="BS76" i="50" s="1"/>
  <c r="AS56" i="82"/>
  <c r="S78" i="50"/>
  <c r="BE78" i="50" s="1"/>
  <c r="AK58" i="82"/>
  <c r="E80" i="50"/>
  <c r="AQ80" i="50" s="1"/>
  <c r="AC60" i="82"/>
  <c r="Z81" i="50"/>
  <c r="BL81" i="50" s="1"/>
  <c r="AO61" i="82"/>
  <c r="L83" i="50"/>
  <c r="AX83" i="50" s="1"/>
  <c r="AG63" i="82"/>
  <c r="AG84" i="50"/>
  <c r="BS84" i="50" s="1"/>
  <c r="AS64" i="82"/>
  <c r="S152" i="50"/>
  <c r="BE152" i="50" s="1"/>
  <c r="AK112" i="82"/>
  <c r="E154" i="50"/>
  <c r="AQ154" i="50" s="1"/>
  <c r="AC114" i="82"/>
  <c r="Z155" i="50"/>
  <c r="BL155" i="50" s="1"/>
  <c r="AO115" i="82"/>
  <c r="L157" i="50"/>
  <c r="AX157" i="50" s="1"/>
  <c r="AG117" i="82"/>
  <c r="AG158" i="50"/>
  <c r="BS158" i="50" s="1"/>
  <c r="AS118" i="82"/>
  <c r="S160" i="50"/>
  <c r="BE160" i="50" s="1"/>
  <c r="AK120" i="82"/>
  <c r="E162" i="50"/>
  <c r="AQ162" i="50" s="1"/>
  <c r="AC122" i="82"/>
  <c r="Z163" i="50"/>
  <c r="BL163" i="50" s="1"/>
  <c r="AO123" i="82"/>
  <c r="L165" i="50"/>
  <c r="AX165" i="50" s="1"/>
  <c r="AG125" i="82"/>
  <c r="AG166" i="50"/>
  <c r="BS166" i="50" s="1"/>
  <c r="AS126" i="82"/>
  <c r="S168" i="50"/>
  <c r="BE168" i="50" s="1"/>
  <c r="AK128" i="82"/>
  <c r="E170" i="50"/>
  <c r="AQ170" i="50" s="1"/>
  <c r="AC130" i="82"/>
  <c r="L194" i="50"/>
  <c r="AG155" i="82"/>
  <c r="AG195" i="50"/>
  <c r="AS156" i="82"/>
  <c r="S197" i="50"/>
  <c r="BE197" i="50" s="1"/>
  <c r="AK158" i="82"/>
  <c r="E199" i="50"/>
  <c r="AC160" i="82"/>
  <c r="Z200" i="50"/>
  <c r="BL200" i="50" s="1"/>
  <c r="AO161" i="82"/>
  <c r="L202" i="50"/>
  <c r="AG163" i="82"/>
  <c r="AG203" i="50"/>
  <c r="BS203" i="50" s="1"/>
  <c r="AS164" i="82"/>
  <c r="S205" i="50"/>
  <c r="AK166" i="82"/>
  <c r="E207" i="50"/>
  <c r="AC168" i="82"/>
  <c r="Z208" i="50"/>
  <c r="BL208" i="50" s="1"/>
  <c r="AO169" i="82"/>
  <c r="L210" i="50"/>
  <c r="AX210" i="50" s="1"/>
  <c r="AG171" i="82"/>
  <c r="AG211" i="50"/>
  <c r="AS172" i="82"/>
  <c r="S213" i="50"/>
  <c r="BE213" i="50" s="1"/>
  <c r="AK174" i="82"/>
  <c r="L238" i="50"/>
  <c r="AX238" i="50" s="1"/>
  <c r="AG177" i="82"/>
  <c r="AG239" i="50"/>
  <c r="BS239" i="50" s="1"/>
  <c r="AS178" i="82"/>
  <c r="S241" i="50"/>
  <c r="BE241" i="50" s="1"/>
  <c r="AK180" i="82"/>
  <c r="E243" i="50"/>
  <c r="AQ243" i="50" s="1"/>
  <c r="AC182" i="82"/>
  <c r="Z244" i="50"/>
  <c r="BL244" i="50" s="1"/>
  <c r="AO183" i="82"/>
  <c r="L246" i="50"/>
  <c r="AX246" i="50" s="1"/>
  <c r="AG185" i="82"/>
  <c r="AG247" i="50"/>
  <c r="BS247" i="50" s="1"/>
  <c r="AS186" i="82"/>
  <c r="S249" i="50"/>
  <c r="BE249" i="50" s="1"/>
  <c r="AK188" i="82"/>
  <c r="E251" i="50"/>
  <c r="AQ251" i="50" s="1"/>
  <c r="AC190" i="82"/>
  <c r="Z252" i="50"/>
  <c r="BL252" i="50" s="1"/>
  <c r="AO191" i="82"/>
  <c r="L254" i="50"/>
  <c r="AX254" i="50" s="1"/>
  <c r="AG193" i="82"/>
  <c r="AG255" i="50"/>
  <c r="BS255" i="50" s="1"/>
  <c r="AS194" i="82"/>
  <c r="S257" i="50"/>
  <c r="BE257" i="50" s="1"/>
  <c r="AK196" i="82"/>
  <c r="L61" i="50"/>
  <c r="AX61" i="50" s="1"/>
  <c r="AG41" i="82"/>
  <c r="Z65" i="50"/>
  <c r="BL65" i="50" s="1"/>
  <c r="AO45" i="82"/>
  <c r="L73" i="50"/>
  <c r="AX73" i="50" s="1"/>
  <c r="AG53" i="82"/>
  <c r="S81" i="50"/>
  <c r="BE81" i="50" s="1"/>
  <c r="AK61" i="82"/>
  <c r="S155" i="50"/>
  <c r="BE155" i="50" s="1"/>
  <c r="AK115" i="82"/>
  <c r="S163" i="50"/>
  <c r="BE163" i="50" s="1"/>
  <c r="AK123" i="82"/>
  <c r="AG169" i="50"/>
  <c r="BS169" i="50" s="1"/>
  <c r="AS129" i="82"/>
  <c r="S244" i="50"/>
  <c r="BE244" i="50" s="1"/>
  <c r="AK183" i="82"/>
  <c r="E254" i="50"/>
  <c r="AQ254" i="50" s="1"/>
  <c r="AC193" i="82"/>
  <c r="S11" i="50"/>
  <c r="BE11" i="50" s="1"/>
  <c r="AK12" i="82"/>
  <c r="L20" i="50"/>
  <c r="AX20" i="50" s="1"/>
  <c r="AG21" i="82"/>
  <c r="AG21" i="50"/>
  <c r="BS21" i="50" s="1"/>
  <c r="AS22" i="82"/>
  <c r="S23" i="50"/>
  <c r="BE23" i="50" s="1"/>
  <c r="AK24" i="82"/>
  <c r="E25" i="50"/>
  <c r="AQ25" i="50" s="1"/>
  <c r="AC26" i="82"/>
  <c r="Z26" i="50"/>
  <c r="BL26" i="50" s="1"/>
  <c r="AO27" i="82"/>
  <c r="L28" i="50"/>
  <c r="AX28" i="50" s="1"/>
  <c r="AG29" i="82"/>
  <c r="G40" i="82"/>
  <c r="AB40" i="82" s="1"/>
  <c r="AB43" i="82"/>
  <c r="R40" i="82"/>
  <c r="AM40" i="82" s="1"/>
  <c r="AM43" i="82"/>
  <c r="Z64" i="50"/>
  <c r="BL64" i="50" s="1"/>
  <c r="AO44" i="82"/>
  <c r="L66" i="50"/>
  <c r="AX66" i="50" s="1"/>
  <c r="AG46" i="82"/>
  <c r="AG67" i="50"/>
  <c r="BS67" i="50" s="1"/>
  <c r="AS47" i="82"/>
  <c r="Z70" i="50"/>
  <c r="BL70" i="50" s="1"/>
  <c r="AO50" i="82"/>
  <c r="L72" i="50"/>
  <c r="AX72" i="50" s="1"/>
  <c r="AG52" i="82"/>
  <c r="AG73" i="50"/>
  <c r="BS73" i="50" s="1"/>
  <c r="AS53" i="82"/>
  <c r="S75" i="50"/>
  <c r="BE75" i="50" s="1"/>
  <c r="AK55" i="82"/>
  <c r="E77" i="50"/>
  <c r="AQ77" i="50" s="1"/>
  <c r="AC57" i="82"/>
  <c r="Z78" i="50"/>
  <c r="BL78" i="50" s="1"/>
  <c r="AO58" i="82"/>
  <c r="L80" i="50"/>
  <c r="AX80" i="50" s="1"/>
  <c r="AG60" i="82"/>
  <c r="AG81" i="50"/>
  <c r="BS81" i="50" s="1"/>
  <c r="AS61" i="82"/>
  <c r="S83" i="50"/>
  <c r="BE83" i="50" s="1"/>
  <c r="AK63" i="82"/>
  <c r="Z152" i="50"/>
  <c r="BL152" i="50" s="1"/>
  <c r="AO112" i="82"/>
  <c r="L154" i="50"/>
  <c r="AX154" i="50" s="1"/>
  <c r="AG114" i="82"/>
  <c r="AG155" i="50"/>
  <c r="BS155" i="50" s="1"/>
  <c r="AS115" i="82"/>
  <c r="S157" i="50"/>
  <c r="BE157" i="50" s="1"/>
  <c r="AK117" i="82"/>
  <c r="E159" i="50"/>
  <c r="AQ159" i="50" s="1"/>
  <c r="AC119" i="82"/>
  <c r="Z160" i="50"/>
  <c r="BL160" i="50" s="1"/>
  <c r="AO120" i="82"/>
  <c r="L162" i="50"/>
  <c r="AX162" i="50" s="1"/>
  <c r="AG122" i="82"/>
  <c r="AG163" i="50"/>
  <c r="BS163" i="50" s="1"/>
  <c r="AS123" i="82"/>
  <c r="S165" i="50"/>
  <c r="BE165" i="50" s="1"/>
  <c r="AK125" i="82"/>
  <c r="E167" i="50"/>
  <c r="AQ167" i="50" s="1"/>
  <c r="AC127" i="82"/>
  <c r="Z168" i="50"/>
  <c r="BL168" i="50" s="1"/>
  <c r="AO128" i="82"/>
  <c r="L170" i="50"/>
  <c r="AX170" i="50" s="1"/>
  <c r="AG130" i="82"/>
  <c r="H201" i="82"/>
  <c r="AC201" i="82" s="1"/>
  <c r="AC157" i="82"/>
  <c r="H209" i="82"/>
  <c r="AC209" i="82" s="1"/>
  <c r="AC165" i="82"/>
  <c r="H217" i="82"/>
  <c r="AC217" i="82" s="1"/>
  <c r="AC173" i="82"/>
  <c r="S238" i="50"/>
  <c r="BE238" i="50" s="1"/>
  <c r="AK177" i="82"/>
  <c r="E240" i="50"/>
  <c r="AQ240" i="50" s="1"/>
  <c r="AC179" i="82"/>
  <c r="Z241" i="50"/>
  <c r="BL241" i="50" s="1"/>
  <c r="AO180" i="82"/>
  <c r="L243" i="50"/>
  <c r="AX243" i="50" s="1"/>
  <c r="AG182" i="82"/>
  <c r="AG244" i="50"/>
  <c r="BS244" i="50" s="1"/>
  <c r="AS183" i="82"/>
  <c r="S246" i="50"/>
  <c r="BE246" i="50" s="1"/>
  <c r="AK185" i="82"/>
  <c r="E248" i="50"/>
  <c r="AQ248" i="50" s="1"/>
  <c r="AC187" i="82"/>
  <c r="Z249" i="50"/>
  <c r="BL249" i="50" s="1"/>
  <c r="AO188" i="82"/>
  <c r="L251" i="50"/>
  <c r="AX251" i="50" s="1"/>
  <c r="AG190" i="82"/>
  <c r="AG252" i="50"/>
  <c r="BS252" i="50" s="1"/>
  <c r="AS191" i="82"/>
  <c r="S254" i="50"/>
  <c r="BE254" i="50" s="1"/>
  <c r="AK193" i="82"/>
  <c r="E256" i="50"/>
  <c r="AQ256" i="50" s="1"/>
  <c r="AC195" i="82"/>
  <c r="Z257" i="50"/>
  <c r="BL257" i="50" s="1"/>
  <c r="AO196" i="82"/>
  <c r="AG62" i="50"/>
  <c r="BS62" i="50" s="1"/>
  <c r="AS42" i="82"/>
  <c r="L67" i="50"/>
  <c r="AX67" i="50" s="1"/>
  <c r="AG47" i="82"/>
  <c r="AG74" i="50"/>
  <c r="BS74" i="50" s="1"/>
  <c r="AS54" i="82"/>
  <c r="Z12" i="50"/>
  <c r="BL12" i="50" s="1"/>
  <c r="AO13" i="82"/>
  <c r="S61" i="50"/>
  <c r="BE61" i="50" s="1"/>
  <c r="AK41" i="82"/>
  <c r="S67" i="50"/>
  <c r="BE67" i="50" s="1"/>
  <c r="AK47" i="82"/>
  <c r="E83" i="50"/>
  <c r="AQ83" i="50" s="1"/>
  <c r="AC63" i="82"/>
  <c r="L160" i="50"/>
  <c r="AX160" i="50" s="1"/>
  <c r="AG120" i="82"/>
  <c r="AG242" i="50"/>
  <c r="BS242" i="50" s="1"/>
  <c r="AS181" i="82"/>
  <c r="S252" i="50"/>
  <c r="BE252" i="50" s="1"/>
  <c r="AK191" i="82"/>
  <c r="E62" i="50"/>
  <c r="AQ62" i="50" s="1"/>
  <c r="AC42" i="82"/>
  <c r="I40" i="82"/>
  <c r="AD40" i="82" s="1"/>
  <c r="AD43" i="82"/>
  <c r="S40" i="82"/>
  <c r="AN40" i="82" s="1"/>
  <c r="AN43" i="82"/>
  <c r="AG64" i="50"/>
  <c r="BS64" i="50" s="1"/>
  <c r="AS44" i="82"/>
  <c r="S66" i="50"/>
  <c r="BE66" i="50" s="1"/>
  <c r="AK46" i="82"/>
  <c r="E68" i="50"/>
  <c r="AQ68" i="50" s="1"/>
  <c r="AC48" i="82"/>
  <c r="AG70" i="50"/>
  <c r="BS70" i="50" s="1"/>
  <c r="AS50" i="82"/>
  <c r="S72" i="50"/>
  <c r="BE72" i="50" s="1"/>
  <c r="AK52" i="82"/>
  <c r="E74" i="50"/>
  <c r="AQ74" i="50" s="1"/>
  <c r="AC54" i="82"/>
  <c r="Z75" i="50"/>
  <c r="BL75" i="50" s="1"/>
  <c r="AO55" i="82"/>
  <c r="L77" i="50"/>
  <c r="AX77" i="50" s="1"/>
  <c r="AG57" i="82"/>
  <c r="AG78" i="50"/>
  <c r="BS78" i="50" s="1"/>
  <c r="AS58" i="82"/>
  <c r="S80" i="50"/>
  <c r="BE80" i="50" s="1"/>
  <c r="AK60" i="82"/>
  <c r="E82" i="50"/>
  <c r="AQ82" i="50" s="1"/>
  <c r="AC62" i="82"/>
  <c r="Z83" i="50"/>
  <c r="BL83" i="50" s="1"/>
  <c r="AO63" i="82"/>
  <c r="AG152" i="50"/>
  <c r="BS152" i="50" s="1"/>
  <c r="AS112" i="82"/>
  <c r="S154" i="50"/>
  <c r="BE154" i="50" s="1"/>
  <c r="AK114" i="82"/>
  <c r="E156" i="50"/>
  <c r="AQ156" i="50" s="1"/>
  <c r="AC116" i="82"/>
  <c r="Z157" i="50"/>
  <c r="BL157" i="50" s="1"/>
  <c r="AO117" i="82"/>
  <c r="L159" i="50"/>
  <c r="AX159" i="50" s="1"/>
  <c r="AG119" i="82"/>
  <c r="AG160" i="50"/>
  <c r="BS160" i="50" s="1"/>
  <c r="AS120" i="82"/>
  <c r="S162" i="50"/>
  <c r="BE162" i="50" s="1"/>
  <c r="AK122" i="82"/>
  <c r="E164" i="50"/>
  <c r="AQ164" i="50" s="1"/>
  <c r="AC124" i="82"/>
  <c r="Z165" i="50"/>
  <c r="BL165" i="50" s="1"/>
  <c r="AO125" i="82"/>
  <c r="L167" i="50"/>
  <c r="AX167" i="50" s="1"/>
  <c r="AG127" i="82"/>
  <c r="AG168" i="50"/>
  <c r="BS168" i="50" s="1"/>
  <c r="AS128" i="82"/>
  <c r="S170" i="50"/>
  <c r="BE170" i="50" s="1"/>
  <c r="AK130" i="82"/>
  <c r="L196" i="50"/>
  <c r="AX196" i="50" s="1"/>
  <c r="AG157" i="82"/>
  <c r="AG197" i="50"/>
  <c r="BS197" i="50" s="1"/>
  <c r="AS158" i="82"/>
  <c r="S199" i="50"/>
  <c r="AK160" i="82"/>
  <c r="E201" i="50"/>
  <c r="AC162" i="82"/>
  <c r="Z202" i="50"/>
  <c r="BL202" i="50" s="1"/>
  <c r="AO163" i="82"/>
  <c r="L204" i="50"/>
  <c r="AX204" i="50" s="1"/>
  <c r="AG165" i="82"/>
  <c r="AG205" i="50"/>
  <c r="AS166" i="82"/>
  <c r="S207" i="50"/>
  <c r="BE207" i="50" s="1"/>
  <c r="AK168" i="82"/>
  <c r="E209" i="50"/>
  <c r="AQ209" i="50" s="1"/>
  <c r="AC170" i="82"/>
  <c r="Z210" i="50"/>
  <c r="AO171" i="82"/>
  <c r="L212" i="50"/>
  <c r="AX212" i="50" s="1"/>
  <c r="AG173" i="82"/>
  <c r="AG213" i="50"/>
  <c r="BS213" i="50" s="1"/>
  <c r="AS174" i="82"/>
  <c r="S243" i="50"/>
  <c r="BE243" i="50" s="1"/>
  <c r="AK182" i="82"/>
  <c r="E245" i="50"/>
  <c r="AQ245" i="50" s="1"/>
  <c r="AC184" i="82"/>
  <c r="AG249" i="50"/>
  <c r="BS249" i="50" s="1"/>
  <c r="AS188" i="82"/>
  <c r="S251" i="50"/>
  <c r="BE251" i="50" s="1"/>
  <c r="AK190" i="82"/>
  <c r="Z254" i="50"/>
  <c r="BL254" i="50" s="1"/>
  <c r="AO193" i="82"/>
  <c r="L256" i="50"/>
  <c r="AX256" i="50" s="1"/>
  <c r="AG195" i="82"/>
  <c r="AG257" i="50"/>
  <c r="BS257" i="50" s="1"/>
  <c r="AS196" i="82"/>
  <c r="E64" i="50"/>
  <c r="AQ64" i="50" s="1"/>
  <c r="AC44" i="82"/>
  <c r="Z71" i="50"/>
  <c r="BL71" i="50" s="1"/>
  <c r="AO51" i="82"/>
  <c r="AG79" i="50"/>
  <c r="BS79" i="50" s="1"/>
  <c r="AS59" i="82"/>
  <c r="Z158" i="50"/>
  <c r="BL158" i="50" s="1"/>
  <c r="AO118" i="82"/>
  <c r="L168" i="50"/>
  <c r="AX168" i="50" s="1"/>
  <c r="AG128" i="82"/>
  <c r="L241" i="50"/>
  <c r="AX241" i="50" s="1"/>
  <c r="AG180" i="82"/>
  <c r="AG250" i="50"/>
  <c r="BS250" i="50" s="1"/>
  <c r="AS189" i="82"/>
  <c r="L257" i="50"/>
  <c r="AX257" i="50" s="1"/>
  <c r="AG196" i="82"/>
  <c r="AG11" i="50"/>
  <c r="BS11" i="50" s="1"/>
  <c r="AS12" i="82"/>
  <c r="Z34" i="50"/>
  <c r="BL34" i="50" s="1"/>
  <c r="AO39" i="82"/>
  <c r="L62" i="50"/>
  <c r="AX62" i="50" s="1"/>
  <c r="AG42" i="82"/>
  <c r="J40" i="82"/>
  <c r="AE40" i="82" s="1"/>
  <c r="AE43" i="82"/>
  <c r="U40" i="82"/>
  <c r="AP40" i="82" s="1"/>
  <c r="AP43" i="82"/>
  <c r="E79" i="50"/>
  <c r="AQ79" i="50" s="1"/>
  <c r="AC59" i="82"/>
  <c r="Z80" i="50"/>
  <c r="BL80" i="50" s="1"/>
  <c r="AO60" i="82"/>
  <c r="L82" i="50"/>
  <c r="AX82" i="50" s="1"/>
  <c r="AG62" i="82"/>
  <c r="AG83" i="50"/>
  <c r="BS83" i="50" s="1"/>
  <c r="AS63" i="82"/>
  <c r="E153" i="50"/>
  <c r="AQ153" i="50" s="1"/>
  <c r="AC113" i="82"/>
  <c r="Z154" i="50"/>
  <c r="BL154" i="50" s="1"/>
  <c r="AO114" i="82"/>
  <c r="L156" i="50"/>
  <c r="AX156" i="50" s="1"/>
  <c r="AG116" i="82"/>
  <c r="AG157" i="50"/>
  <c r="BS157" i="50" s="1"/>
  <c r="AS117" i="82"/>
  <c r="S159" i="50"/>
  <c r="BE159" i="50" s="1"/>
  <c r="AK119" i="82"/>
  <c r="E161" i="50"/>
  <c r="AQ161" i="50" s="1"/>
  <c r="AC121" i="82"/>
  <c r="Z162" i="50"/>
  <c r="BL162" i="50" s="1"/>
  <c r="AO122" i="82"/>
  <c r="L164" i="50"/>
  <c r="AX164" i="50" s="1"/>
  <c r="AG124" i="82"/>
  <c r="AG165" i="50"/>
  <c r="BS165" i="50" s="1"/>
  <c r="AS125" i="82"/>
  <c r="S167" i="50"/>
  <c r="BE167" i="50" s="1"/>
  <c r="AK127" i="82"/>
  <c r="E169" i="50"/>
  <c r="AQ169" i="50" s="1"/>
  <c r="AC129" i="82"/>
  <c r="Z170" i="50"/>
  <c r="BL170" i="50" s="1"/>
  <c r="AO130" i="82"/>
  <c r="L193" i="50"/>
  <c r="AG154" i="82"/>
  <c r="L237" i="50"/>
  <c r="AX237" i="50" s="1"/>
  <c r="AG176" i="82"/>
  <c r="AG238" i="50"/>
  <c r="BS238" i="50" s="1"/>
  <c r="AS177" i="82"/>
  <c r="S240" i="50"/>
  <c r="BE240" i="50" s="1"/>
  <c r="AK179" i="82"/>
  <c r="E242" i="50"/>
  <c r="AQ242" i="50" s="1"/>
  <c r="AC181" i="82"/>
  <c r="Z243" i="50"/>
  <c r="BL243" i="50" s="1"/>
  <c r="AO182" i="82"/>
  <c r="L245" i="50"/>
  <c r="AX245" i="50" s="1"/>
  <c r="AG184" i="82"/>
  <c r="AG246" i="50"/>
  <c r="BS246" i="50" s="1"/>
  <c r="AS185" i="82"/>
  <c r="S248" i="50"/>
  <c r="BE248" i="50" s="1"/>
  <c r="AK187" i="82"/>
  <c r="E250" i="50"/>
  <c r="AQ250" i="50" s="1"/>
  <c r="AC189" i="82"/>
  <c r="Z251" i="50"/>
  <c r="BL251" i="50" s="1"/>
  <c r="AO190" i="82"/>
  <c r="L253" i="50"/>
  <c r="AX253" i="50" s="1"/>
  <c r="AG192" i="82"/>
  <c r="AG254" i="50"/>
  <c r="BS254" i="50" s="1"/>
  <c r="AS193" i="82"/>
  <c r="S256" i="50"/>
  <c r="BE256" i="50" s="1"/>
  <c r="AK195" i="82"/>
  <c r="E70" i="50"/>
  <c r="AQ70" i="50" s="1"/>
  <c r="AC50" i="82"/>
  <c r="Z84" i="50"/>
  <c r="BL84" i="50" s="1"/>
  <c r="AO64" i="82"/>
  <c r="AG153" i="50"/>
  <c r="BS153" i="50" s="1"/>
  <c r="AS113" i="82"/>
  <c r="Z166" i="50"/>
  <c r="BL166" i="50" s="1"/>
  <c r="AO126" i="82"/>
  <c r="L249" i="50"/>
  <c r="AX249" i="50" s="1"/>
  <c r="AG188" i="82"/>
  <c r="S62" i="50"/>
  <c r="BE62" i="50" s="1"/>
  <c r="AK42" i="82"/>
  <c r="K40" i="82"/>
  <c r="AF40" i="82" s="1"/>
  <c r="AF43" i="82"/>
  <c r="V40" i="82"/>
  <c r="AQ40" i="82" s="1"/>
  <c r="AQ43" i="82"/>
  <c r="L65" i="50"/>
  <c r="AX65" i="50" s="1"/>
  <c r="AG45" i="82"/>
  <c r="AG66" i="50"/>
  <c r="BS66" i="50" s="1"/>
  <c r="AS46" i="82"/>
  <c r="S68" i="50"/>
  <c r="BE68" i="50" s="1"/>
  <c r="AK48" i="82"/>
  <c r="L71" i="50"/>
  <c r="AX71" i="50" s="1"/>
  <c r="AG51" i="82"/>
  <c r="AG72" i="50"/>
  <c r="BS72" i="50" s="1"/>
  <c r="AS52" i="82"/>
  <c r="S74" i="50"/>
  <c r="BE74" i="50" s="1"/>
  <c r="AK54" i="82"/>
  <c r="E76" i="50"/>
  <c r="AQ76" i="50" s="1"/>
  <c r="AC56" i="82"/>
  <c r="Z77" i="50"/>
  <c r="BL77" i="50" s="1"/>
  <c r="AO57" i="82"/>
  <c r="L79" i="50"/>
  <c r="AX79" i="50" s="1"/>
  <c r="AG59" i="82"/>
  <c r="AG80" i="50"/>
  <c r="BS80" i="50" s="1"/>
  <c r="AS60" i="82"/>
  <c r="S82" i="50"/>
  <c r="BE82" i="50" s="1"/>
  <c r="AK62" i="82"/>
  <c r="E84" i="50"/>
  <c r="AQ84" i="50" s="1"/>
  <c r="AC64" i="82"/>
  <c r="L153" i="50"/>
  <c r="AX153" i="50" s="1"/>
  <c r="AG113" i="82"/>
  <c r="AG154" i="50"/>
  <c r="BS154" i="50" s="1"/>
  <c r="AS114" i="82"/>
  <c r="S156" i="50"/>
  <c r="BE156" i="50" s="1"/>
  <c r="AK116" i="82"/>
  <c r="E158" i="50"/>
  <c r="AQ158" i="50" s="1"/>
  <c r="AC118" i="82"/>
  <c r="Z159" i="50"/>
  <c r="BL159" i="50" s="1"/>
  <c r="AO119" i="82"/>
  <c r="L161" i="50"/>
  <c r="AX161" i="50" s="1"/>
  <c r="AG121" i="82"/>
  <c r="AG162" i="50"/>
  <c r="BS162" i="50" s="1"/>
  <c r="AS122" i="82"/>
  <c r="S164" i="50"/>
  <c r="BE164" i="50" s="1"/>
  <c r="AK124" i="82"/>
  <c r="E166" i="50"/>
  <c r="AQ166" i="50" s="1"/>
  <c r="AC126" i="82"/>
  <c r="Z167" i="50"/>
  <c r="BL167" i="50" s="1"/>
  <c r="AO127" i="82"/>
  <c r="L169" i="50"/>
  <c r="AX169" i="50" s="1"/>
  <c r="AG129" i="82"/>
  <c r="AG170" i="50"/>
  <c r="BS170" i="50" s="1"/>
  <c r="AS130" i="82"/>
  <c r="S193" i="50"/>
  <c r="BE193" i="50" s="1"/>
  <c r="AK154" i="82"/>
  <c r="H200" i="82"/>
  <c r="AC200" i="82" s="1"/>
  <c r="AC156" i="82"/>
  <c r="Z196" i="50"/>
  <c r="BL196" i="50" s="1"/>
  <c r="AO157" i="82"/>
  <c r="L198" i="50"/>
  <c r="AX198" i="50" s="1"/>
  <c r="AG159" i="82"/>
  <c r="AG199" i="50"/>
  <c r="BS199" i="50" s="1"/>
  <c r="AS160" i="82"/>
  <c r="S201" i="50"/>
  <c r="BE201" i="50" s="1"/>
  <c r="AK162" i="82"/>
  <c r="H208" i="82"/>
  <c r="AC208" i="82" s="1"/>
  <c r="AC164" i="82"/>
  <c r="Z204" i="50"/>
  <c r="BL204" i="50" s="1"/>
  <c r="AO165" i="82"/>
  <c r="L206" i="50"/>
  <c r="AX206" i="50" s="1"/>
  <c r="AG167" i="82"/>
  <c r="AG207" i="50"/>
  <c r="AS168" i="82"/>
  <c r="S209" i="50"/>
  <c r="BE209" i="50" s="1"/>
  <c r="AK170" i="82"/>
  <c r="E211" i="50"/>
  <c r="AQ211" i="50" s="1"/>
  <c r="AC172" i="82"/>
  <c r="Z212" i="50"/>
  <c r="BL212" i="50" s="1"/>
  <c r="AO173" i="82"/>
  <c r="S237" i="50"/>
  <c r="BE237" i="50" s="1"/>
  <c r="AK176" i="82"/>
  <c r="E239" i="50"/>
  <c r="AQ239" i="50" s="1"/>
  <c r="AC178" i="82"/>
  <c r="Z240" i="50"/>
  <c r="BL240" i="50" s="1"/>
  <c r="AO179" i="82"/>
  <c r="L242" i="50"/>
  <c r="AX242" i="50" s="1"/>
  <c r="AG181" i="82"/>
  <c r="AG243" i="50"/>
  <c r="BS243" i="50" s="1"/>
  <c r="AS182" i="82"/>
  <c r="S245" i="50"/>
  <c r="BE245" i="50" s="1"/>
  <c r="AK184" i="82"/>
  <c r="E247" i="50"/>
  <c r="AQ247" i="50" s="1"/>
  <c r="AC186" i="82"/>
  <c r="Z248" i="50"/>
  <c r="BL248" i="50" s="1"/>
  <c r="AO187" i="82"/>
  <c r="L250" i="50"/>
  <c r="AX250" i="50" s="1"/>
  <c r="AG189" i="82"/>
  <c r="AG251" i="50"/>
  <c r="BS251" i="50" s="1"/>
  <c r="AS190" i="82"/>
  <c r="S253" i="50"/>
  <c r="BE253" i="50" s="1"/>
  <c r="AK192" i="82"/>
  <c r="E255" i="50"/>
  <c r="AQ255" i="50" s="1"/>
  <c r="AC194" i="82"/>
  <c r="Z256" i="50"/>
  <c r="BL256" i="50" s="1"/>
  <c r="AO195" i="82"/>
  <c r="N40" i="82"/>
  <c r="AI40" i="82" s="1"/>
  <c r="AI43" i="82"/>
  <c r="AG68" i="50"/>
  <c r="BS68" i="50" s="1"/>
  <c r="AS48" i="82"/>
  <c r="E78" i="50"/>
  <c r="AQ78" i="50" s="1"/>
  <c r="AC58" i="82"/>
  <c r="L152" i="50"/>
  <c r="AX152" i="50" s="1"/>
  <c r="AG112" i="82"/>
  <c r="AG161" i="50"/>
  <c r="BS161" i="50" s="1"/>
  <c r="AS121" i="82"/>
  <c r="Z239" i="50"/>
  <c r="BL239" i="50" s="1"/>
  <c r="AO178" i="82"/>
  <c r="E246" i="50"/>
  <c r="AQ246" i="50" s="1"/>
  <c r="AC185" i="82"/>
  <c r="Z255" i="50"/>
  <c r="BL255" i="50" s="1"/>
  <c r="AO194" i="82"/>
  <c r="E15" i="50"/>
  <c r="AQ15" i="50" s="1"/>
  <c r="AC16" i="82"/>
  <c r="Z16" i="50"/>
  <c r="BL16" i="50" s="1"/>
  <c r="AO17" i="82"/>
  <c r="L18" i="50"/>
  <c r="AX18" i="50" s="1"/>
  <c r="AG19" i="82"/>
  <c r="E21" i="50"/>
  <c r="AQ21" i="50" s="1"/>
  <c r="AC22" i="82"/>
  <c r="Z22" i="50"/>
  <c r="BL22" i="50" s="1"/>
  <c r="AO23" i="82"/>
  <c r="L24" i="50"/>
  <c r="AX24" i="50" s="1"/>
  <c r="AG25" i="82"/>
  <c r="AG25" i="50"/>
  <c r="BS25" i="50" s="1"/>
  <c r="AS26" i="82"/>
  <c r="S27" i="50"/>
  <c r="BE27" i="50" s="1"/>
  <c r="AK28" i="82"/>
  <c r="M40" i="82"/>
  <c r="AH40" i="82" s="1"/>
  <c r="AH43" i="82"/>
  <c r="W40" i="82"/>
  <c r="AR40" i="82" s="1"/>
  <c r="AR43" i="82"/>
  <c r="S65" i="50"/>
  <c r="BE65" i="50" s="1"/>
  <c r="AK45" i="82"/>
  <c r="E67" i="50"/>
  <c r="AQ67" i="50" s="1"/>
  <c r="AC47" i="82"/>
  <c r="Z68" i="50"/>
  <c r="BL68" i="50" s="1"/>
  <c r="AO48" i="82"/>
  <c r="S71" i="50"/>
  <c r="BE71" i="50" s="1"/>
  <c r="AK51" i="82"/>
  <c r="E73" i="50"/>
  <c r="AQ73" i="50" s="1"/>
  <c r="AC53" i="82"/>
  <c r="Z74" i="50"/>
  <c r="BL74" i="50" s="1"/>
  <c r="AO54" i="82"/>
  <c r="L76" i="50"/>
  <c r="AX76" i="50" s="1"/>
  <c r="AG56" i="82"/>
  <c r="AG77" i="50"/>
  <c r="BS77" i="50" s="1"/>
  <c r="AS57" i="82"/>
  <c r="S79" i="50"/>
  <c r="BE79" i="50" s="1"/>
  <c r="AK59" i="82"/>
  <c r="E81" i="50"/>
  <c r="AQ81" i="50" s="1"/>
  <c r="AC61" i="82"/>
  <c r="Z82" i="50"/>
  <c r="BL82" i="50" s="1"/>
  <c r="AO62" i="82"/>
  <c r="L84" i="50"/>
  <c r="AX84" i="50" s="1"/>
  <c r="AG64" i="82"/>
  <c r="S153" i="50"/>
  <c r="BE153" i="50" s="1"/>
  <c r="AK113" i="82"/>
  <c r="E155" i="50"/>
  <c r="AQ155" i="50" s="1"/>
  <c r="AC115" i="82"/>
  <c r="Z156" i="50"/>
  <c r="BL156" i="50" s="1"/>
  <c r="AO116" i="82"/>
  <c r="L158" i="50"/>
  <c r="AX158" i="50" s="1"/>
  <c r="AG118" i="82"/>
  <c r="AG159" i="50"/>
  <c r="BS159" i="50" s="1"/>
  <c r="AS119" i="82"/>
  <c r="S161" i="50"/>
  <c r="BE161" i="50" s="1"/>
  <c r="AK121" i="82"/>
  <c r="E163" i="50"/>
  <c r="AQ163" i="50" s="1"/>
  <c r="AC123" i="82"/>
  <c r="Z164" i="50"/>
  <c r="BL164" i="50" s="1"/>
  <c r="AO124" i="82"/>
  <c r="L166" i="50"/>
  <c r="AX166" i="50" s="1"/>
  <c r="AG126" i="82"/>
  <c r="AG167" i="50"/>
  <c r="BS167" i="50" s="1"/>
  <c r="AS127" i="82"/>
  <c r="S169" i="50"/>
  <c r="BE169" i="50" s="1"/>
  <c r="AK129" i="82"/>
  <c r="H205" i="82"/>
  <c r="AC205" i="82" s="1"/>
  <c r="AC161" i="82"/>
  <c r="H213" i="82"/>
  <c r="AC213" i="82" s="1"/>
  <c r="AC169" i="82"/>
  <c r="Z237" i="50"/>
  <c r="BL237" i="50" s="1"/>
  <c r="AO176" i="82"/>
  <c r="L239" i="50"/>
  <c r="AX239" i="50" s="1"/>
  <c r="AG178" i="82"/>
  <c r="AG240" i="50"/>
  <c r="BS240" i="50" s="1"/>
  <c r="AS179" i="82"/>
  <c r="S242" i="50"/>
  <c r="BE242" i="50" s="1"/>
  <c r="AK181" i="82"/>
  <c r="E244" i="50"/>
  <c r="AQ244" i="50" s="1"/>
  <c r="AC183" i="82"/>
  <c r="Z245" i="50"/>
  <c r="BL245" i="50" s="1"/>
  <c r="AO184" i="82"/>
  <c r="L247" i="50"/>
  <c r="AX247" i="50" s="1"/>
  <c r="AG186" i="82"/>
  <c r="AG248" i="50"/>
  <c r="BS248" i="50" s="1"/>
  <c r="AS187" i="82"/>
  <c r="S250" i="50"/>
  <c r="BE250" i="50" s="1"/>
  <c r="AK189" i="82"/>
  <c r="E252" i="50"/>
  <c r="AQ252" i="50" s="1"/>
  <c r="AC191" i="82"/>
  <c r="Z253" i="50"/>
  <c r="BL253" i="50" s="1"/>
  <c r="AO192" i="82"/>
  <c r="L255" i="50"/>
  <c r="AX255" i="50" s="1"/>
  <c r="AG194" i="82"/>
  <c r="AG256" i="50"/>
  <c r="BS256" i="50" s="1"/>
  <c r="AS195" i="82"/>
  <c r="Z79" i="50"/>
  <c r="BL79" i="50" s="1"/>
  <c r="AO59" i="82"/>
  <c r="L81" i="50"/>
  <c r="AX81" i="50" s="1"/>
  <c r="AG61" i="82"/>
  <c r="AG82" i="50"/>
  <c r="BS82" i="50" s="1"/>
  <c r="AS62" i="82"/>
  <c r="S84" i="50"/>
  <c r="BE84" i="50" s="1"/>
  <c r="AK64" i="82"/>
  <c r="E152" i="50"/>
  <c r="AQ152" i="50" s="1"/>
  <c r="AC112" i="82"/>
  <c r="Z153" i="50"/>
  <c r="BL153" i="50" s="1"/>
  <c r="AO113" i="82"/>
  <c r="L155" i="50"/>
  <c r="AX155" i="50" s="1"/>
  <c r="AG115" i="82"/>
  <c r="AG156" i="50"/>
  <c r="BS156" i="50" s="1"/>
  <c r="AS116" i="82"/>
  <c r="S158" i="50"/>
  <c r="BE158" i="50" s="1"/>
  <c r="AK118" i="82"/>
  <c r="E160" i="50"/>
  <c r="AQ160" i="50" s="1"/>
  <c r="AC120" i="82"/>
  <c r="Z161" i="50"/>
  <c r="BL161" i="50" s="1"/>
  <c r="AO121" i="82"/>
  <c r="L163" i="50"/>
  <c r="AX163" i="50" s="1"/>
  <c r="AG123" i="82"/>
  <c r="AG164" i="50"/>
  <c r="BS164" i="50" s="1"/>
  <c r="AS124" i="82"/>
  <c r="S166" i="50"/>
  <c r="BE166" i="50" s="1"/>
  <c r="AK126" i="82"/>
  <c r="E168" i="50"/>
  <c r="AQ168" i="50" s="1"/>
  <c r="AC128" i="82"/>
  <c r="Z169" i="50"/>
  <c r="BL169" i="50" s="1"/>
  <c r="AO129" i="82"/>
  <c r="S195" i="50"/>
  <c r="BE195" i="50" s="1"/>
  <c r="AK156" i="82"/>
  <c r="E197" i="50"/>
  <c r="AQ197" i="50" s="1"/>
  <c r="AC158" i="82"/>
  <c r="Z198" i="50"/>
  <c r="BL198" i="50" s="1"/>
  <c r="AO159" i="82"/>
  <c r="L200" i="50"/>
  <c r="AX200" i="50" s="1"/>
  <c r="AG161" i="82"/>
  <c r="AG201" i="50"/>
  <c r="BS201" i="50" s="1"/>
  <c r="AS162" i="82"/>
  <c r="S203" i="50"/>
  <c r="BE203" i="50" s="1"/>
  <c r="AK164" i="82"/>
  <c r="E205" i="50"/>
  <c r="AQ205" i="50" s="1"/>
  <c r="AC166" i="82"/>
  <c r="Z206" i="50"/>
  <c r="BL206" i="50" s="1"/>
  <c r="AO167" i="82"/>
  <c r="L208" i="50"/>
  <c r="AX208" i="50" s="1"/>
  <c r="AG169" i="82"/>
  <c r="AG209" i="50"/>
  <c r="BS209" i="50" s="1"/>
  <c r="AS170" i="82"/>
  <c r="S211" i="50"/>
  <c r="BE211" i="50" s="1"/>
  <c r="AK172" i="82"/>
  <c r="E213" i="50"/>
  <c r="AQ213" i="50" s="1"/>
  <c r="AC174" i="82"/>
  <c r="AG237" i="50"/>
  <c r="BS237" i="50" s="1"/>
  <c r="AS176" i="82"/>
  <c r="S239" i="50"/>
  <c r="BE239" i="50" s="1"/>
  <c r="AK178" i="82"/>
  <c r="F157" i="41"/>
  <c r="AZ157" i="41" s="1"/>
  <c r="AG74" i="62"/>
  <c r="BX74" i="62" s="1"/>
  <c r="AG71" i="62"/>
  <c r="Z64" i="62"/>
  <c r="BQ64" i="62" s="1"/>
  <c r="AG94" i="62"/>
  <c r="BX94" i="62" s="1"/>
  <c r="E100" i="62"/>
  <c r="AV100" i="62" s="1"/>
  <c r="AV51" i="62"/>
  <c r="E108" i="62"/>
  <c r="AV108" i="62" s="1"/>
  <c r="AV59" i="62"/>
  <c r="L72" i="62"/>
  <c r="BC72" i="62" s="1"/>
  <c r="BC23" i="62"/>
  <c r="L84" i="62"/>
  <c r="BC84" i="62" s="1"/>
  <c r="BC35" i="62"/>
  <c r="L92" i="62"/>
  <c r="BC92" i="62" s="1"/>
  <c r="BC43" i="62"/>
  <c r="L102" i="62"/>
  <c r="BC102" i="62" s="1"/>
  <c r="BC53" i="62"/>
  <c r="S63" i="62"/>
  <c r="BJ63" i="62" s="1"/>
  <c r="BJ14" i="62"/>
  <c r="S75" i="62"/>
  <c r="BJ75" i="62" s="1"/>
  <c r="BJ26" i="62"/>
  <c r="S88" i="62"/>
  <c r="BJ88" i="62" s="1"/>
  <c r="BJ39" i="62"/>
  <c r="S97" i="62"/>
  <c r="BJ97" i="62" s="1"/>
  <c r="BJ48" i="62"/>
  <c r="S106" i="62"/>
  <c r="BJ106" i="62" s="1"/>
  <c r="BJ57" i="62"/>
  <c r="BL210" i="50"/>
  <c r="L62" i="62"/>
  <c r="BC62" i="62" s="1"/>
  <c r="BC13" i="62"/>
  <c r="L93" i="62"/>
  <c r="BC93" i="62" s="1"/>
  <c r="BC44" i="62"/>
  <c r="S65" i="62"/>
  <c r="BJ65" i="62" s="1"/>
  <c r="BJ16" i="62"/>
  <c r="S89" i="62"/>
  <c r="BJ89" i="62" s="1"/>
  <c r="BJ40" i="62"/>
  <c r="S107" i="62"/>
  <c r="BJ107" i="62" s="1"/>
  <c r="BJ58" i="62"/>
  <c r="AG64" i="62"/>
  <c r="BX64" i="62" s="1"/>
  <c r="BX65" i="62"/>
  <c r="AX193" i="50"/>
  <c r="L63" i="62"/>
  <c r="BC63" i="62" s="1"/>
  <c r="BC14" i="62"/>
  <c r="L86" i="62"/>
  <c r="BC86" i="62" s="1"/>
  <c r="BC37" i="62"/>
  <c r="L104" i="62"/>
  <c r="BC104" i="62" s="1"/>
  <c r="BC55" i="62"/>
  <c r="S77" i="62"/>
  <c r="BJ77" i="62" s="1"/>
  <c r="BJ28" i="62"/>
  <c r="S100" i="62"/>
  <c r="BJ100" i="62" s="1"/>
  <c r="BJ51" i="62"/>
  <c r="L65" i="62"/>
  <c r="BC65" i="62" s="1"/>
  <c r="BC16" i="62"/>
  <c r="L87" i="62"/>
  <c r="BC87" i="62" s="1"/>
  <c r="BC38" i="62"/>
  <c r="L105" i="62"/>
  <c r="BC105" i="62" s="1"/>
  <c r="BC56" i="62"/>
  <c r="S78" i="62"/>
  <c r="BJ78" i="62" s="1"/>
  <c r="BJ29" i="62"/>
  <c r="S101" i="62"/>
  <c r="BJ101" i="62" s="1"/>
  <c r="BJ52" i="62"/>
  <c r="E104" i="62"/>
  <c r="AV104" i="62" s="1"/>
  <c r="AV55" i="62"/>
  <c r="L77" i="62"/>
  <c r="BC77" i="62" s="1"/>
  <c r="BC28" i="62"/>
  <c r="L97" i="62"/>
  <c r="BC97" i="62" s="1"/>
  <c r="BC48" i="62"/>
  <c r="S69" i="62"/>
  <c r="BJ69" i="62" s="1"/>
  <c r="BJ20" i="62"/>
  <c r="S102" i="62"/>
  <c r="BJ102" i="62" s="1"/>
  <c r="BJ53" i="62"/>
  <c r="Z83" i="62"/>
  <c r="BQ83" i="62" s="1"/>
  <c r="E96" i="62"/>
  <c r="AV96" i="62" s="1"/>
  <c r="AV47" i="62"/>
  <c r="L68" i="62"/>
  <c r="BC68" i="62" s="1"/>
  <c r="BC19" i="62"/>
  <c r="L89" i="62"/>
  <c r="BC89" i="62" s="1"/>
  <c r="BC40" i="62"/>
  <c r="L107" i="62"/>
  <c r="BC107" i="62" s="1"/>
  <c r="BC58" i="62"/>
  <c r="S85" i="62"/>
  <c r="BJ85" i="62" s="1"/>
  <c r="BJ36" i="62"/>
  <c r="S103" i="62"/>
  <c r="BJ103" i="62" s="1"/>
  <c r="BJ54" i="62"/>
  <c r="Z74" i="62"/>
  <c r="BQ74" i="62" s="1"/>
  <c r="AG61" i="62"/>
  <c r="BX61" i="62" s="1"/>
  <c r="BX62" i="62"/>
  <c r="E97" i="62"/>
  <c r="AV97" i="62" s="1"/>
  <c r="AV48" i="62"/>
  <c r="E106" i="62"/>
  <c r="AV106" i="62" s="1"/>
  <c r="AV57" i="62"/>
  <c r="L69" i="62"/>
  <c r="BC69" i="62" s="1"/>
  <c r="BC20" i="62"/>
  <c r="L81" i="62"/>
  <c r="BC81" i="62" s="1"/>
  <c r="BC32" i="62"/>
  <c r="L90" i="62"/>
  <c r="BC90" i="62" s="1"/>
  <c r="BC41" i="62"/>
  <c r="L100" i="62"/>
  <c r="BC100" i="62" s="1"/>
  <c r="BC51" i="62"/>
  <c r="L108" i="62"/>
  <c r="BC108" i="62" s="1"/>
  <c r="BC59" i="62"/>
  <c r="S72" i="62"/>
  <c r="BJ72" i="62" s="1"/>
  <c r="BJ23" i="62"/>
  <c r="S86" i="62"/>
  <c r="BJ86" i="62" s="1"/>
  <c r="BJ37" i="62"/>
  <c r="S95" i="62"/>
  <c r="BJ95" i="62" s="1"/>
  <c r="BJ46" i="62"/>
  <c r="S104" i="62"/>
  <c r="BJ104" i="62" s="1"/>
  <c r="BJ55" i="62"/>
  <c r="E101" i="62"/>
  <c r="AV101" i="62" s="1"/>
  <c r="AV52" i="62"/>
  <c r="L73" i="62"/>
  <c r="BC73" i="62" s="1"/>
  <c r="BC24" i="62"/>
  <c r="L85" i="62"/>
  <c r="BC85" i="62" s="1"/>
  <c r="BC36" i="62"/>
  <c r="L103" i="62"/>
  <c r="BC103" i="62" s="1"/>
  <c r="BC54" i="62"/>
  <c r="S76" i="62"/>
  <c r="BJ76" i="62" s="1"/>
  <c r="BJ27" i="62"/>
  <c r="S98" i="62"/>
  <c r="BJ98" i="62" s="1"/>
  <c r="BJ49" i="62"/>
  <c r="E102" i="62"/>
  <c r="AV102" i="62" s="1"/>
  <c r="AV53" i="62"/>
  <c r="L75" i="62"/>
  <c r="BC75" i="62" s="1"/>
  <c r="BC26" i="62"/>
  <c r="L95" i="62"/>
  <c r="BC95" i="62" s="1"/>
  <c r="BC46" i="62"/>
  <c r="S66" i="62"/>
  <c r="BJ66" i="62" s="1"/>
  <c r="BJ17" i="62"/>
  <c r="S90" i="62"/>
  <c r="BJ90" i="62" s="1"/>
  <c r="BJ41" i="62"/>
  <c r="S108" i="62"/>
  <c r="BJ108" i="62" s="1"/>
  <c r="BJ59" i="62"/>
  <c r="E103" i="62"/>
  <c r="AV103" i="62" s="1"/>
  <c r="AV54" i="62"/>
  <c r="L76" i="62"/>
  <c r="BC76" i="62" s="1"/>
  <c r="BC27" i="62"/>
  <c r="L96" i="62"/>
  <c r="BC96" i="62" s="1"/>
  <c r="BC47" i="62"/>
  <c r="S68" i="62"/>
  <c r="BJ68" i="62" s="1"/>
  <c r="BJ19" i="62"/>
  <c r="S91" i="62"/>
  <c r="BJ91" i="62" s="1"/>
  <c r="BJ42" i="62"/>
  <c r="Z71" i="62"/>
  <c r="BQ72" i="62"/>
  <c r="E95" i="62"/>
  <c r="AV95" i="62" s="1"/>
  <c r="AV46" i="62"/>
  <c r="L66" i="62"/>
  <c r="BC66" i="62" s="1"/>
  <c r="BC17" i="62"/>
  <c r="L88" i="62"/>
  <c r="BC88" i="62" s="1"/>
  <c r="BC39" i="62"/>
  <c r="L106" i="62"/>
  <c r="BC106" i="62" s="1"/>
  <c r="BC57" i="62"/>
  <c r="S84" i="62"/>
  <c r="BJ84" i="62" s="1"/>
  <c r="BJ35" i="62"/>
  <c r="S92" i="62"/>
  <c r="BJ92" i="62" s="1"/>
  <c r="BJ43" i="62"/>
  <c r="Z61" i="62"/>
  <c r="BQ61" i="62" s="1"/>
  <c r="E105" i="62"/>
  <c r="AV105" i="62" s="1"/>
  <c r="AV56" i="62"/>
  <c r="L78" i="62"/>
  <c r="BC78" i="62" s="1"/>
  <c r="BC29" i="62"/>
  <c r="L98" i="62"/>
  <c r="BC98" i="62" s="1"/>
  <c r="BC49" i="62"/>
  <c r="S70" i="62"/>
  <c r="BJ70" i="62" s="1"/>
  <c r="BJ21" i="62"/>
  <c r="S93" i="62"/>
  <c r="BJ93" i="62" s="1"/>
  <c r="BJ44" i="62"/>
  <c r="AG99" i="62"/>
  <c r="BX99" i="62" s="1"/>
  <c r="BX101" i="62"/>
  <c r="L260" i="50"/>
  <c r="AX260" i="50" s="1"/>
  <c r="AX194" i="50"/>
  <c r="BS195" i="50"/>
  <c r="AX202" i="50"/>
  <c r="S279" i="50"/>
  <c r="BE279" i="50" s="1"/>
  <c r="E98" i="62"/>
  <c r="AV98" i="62" s="1"/>
  <c r="AV49" i="62"/>
  <c r="E107" i="62"/>
  <c r="AV107" i="62" s="1"/>
  <c r="AV58" i="62"/>
  <c r="L70" i="62"/>
  <c r="BC70" i="62" s="1"/>
  <c r="BC21" i="62"/>
  <c r="L82" i="62"/>
  <c r="BC82" i="62" s="1"/>
  <c r="BC33" i="62"/>
  <c r="L91" i="62"/>
  <c r="BC91" i="62" s="1"/>
  <c r="BC42" i="62"/>
  <c r="L101" i="62"/>
  <c r="BC101" i="62" s="1"/>
  <c r="BC52" i="62"/>
  <c r="S62" i="62"/>
  <c r="BJ62" i="62" s="1"/>
  <c r="BJ13" i="62"/>
  <c r="S73" i="62"/>
  <c r="BJ73" i="62" s="1"/>
  <c r="BJ24" i="62"/>
  <c r="S87" i="62"/>
  <c r="BJ87" i="62" s="1"/>
  <c r="BJ38" i="62"/>
  <c r="S96" i="62"/>
  <c r="BJ96" i="62" s="1"/>
  <c r="BJ47" i="62"/>
  <c r="S105" i="62"/>
  <c r="BJ105" i="62" s="1"/>
  <c r="BJ56" i="62"/>
  <c r="AG83" i="62"/>
  <c r="BX83" i="62" s="1"/>
  <c r="X89" i="82"/>
  <c r="AS89" i="82" s="1"/>
  <c r="AG34" i="50"/>
  <c r="BS34" i="50" s="1"/>
  <c r="X30" i="82"/>
  <c r="E44" i="50"/>
  <c r="AQ44" i="50" s="1"/>
  <c r="T111" i="82"/>
  <c r="AO111" i="82" s="1"/>
  <c r="M131" i="82"/>
  <c r="AH131" i="82" s="1"/>
  <c r="L38" i="50"/>
  <c r="AX38" i="50" s="1"/>
  <c r="S38" i="50"/>
  <c r="BE38" i="50" s="1"/>
  <c r="Z131" i="50"/>
  <c r="BL131" i="50" s="1"/>
  <c r="B66" i="85" s="1"/>
  <c r="H36" i="82"/>
  <c r="N11" i="82"/>
  <c r="L36" i="82"/>
  <c r="P111" i="82"/>
  <c r="AK111" i="82" s="1"/>
  <c r="X111" i="82"/>
  <c r="AS111" i="82" s="1"/>
  <c r="E38" i="50"/>
  <c r="AQ38" i="50" s="1"/>
  <c r="S44" i="50"/>
  <c r="BE44" i="50" s="1"/>
  <c r="J11" i="82"/>
  <c r="K11" i="82"/>
  <c r="R11" i="82"/>
  <c r="L30" i="82"/>
  <c r="U197" i="82"/>
  <c r="AP197" i="82" s="1"/>
  <c r="V11" i="82"/>
  <c r="T82" i="82"/>
  <c r="AO82" i="82" s="1"/>
  <c r="M220" i="82"/>
  <c r="AH220" i="82" s="1"/>
  <c r="N220" i="82"/>
  <c r="AI220" i="82" s="1"/>
  <c r="M197" i="82"/>
  <c r="AH197" i="82" s="1"/>
  <c r="P14" i="82"/>
  <c r="AK14" i="82" s="1"/>
  <c r="O11" i="82"/>
  <c r="L214" i="50"/>
  <c r="AX214" i="50" s="1"/>
  <c r="B35" i="85" s="1"/>
  <c r="L111" i="82"/>
  <c r="AG111" i="82" s="1"/>
  <c r="I74" i="82"/>
  <c r="AD74" i="82" s="1"/>
  <c r="L14" i="82"/>
  <c r="AG14" i="82" s="1"/>
  <c r="H111" i="82"/>
  <c r="AC111" i="82" s="1"/>
  <c r="G11" i="82"/>
  <c r="F11" i="82"/>
  <c r="H14" i="82"/>
  <c r="AC14" i="82" s="1"/>
  <c r="X14" i="82"/>
  <c r="AS14" i="82" s="1"/>
  <c r="T14" i="82"/>
  <c r="AO14" i="82" s="1"/>
  <c r="S11" i="82"/>
  <c r="F220" i="82"/>
  <c r="AA220" i="82" s="1"/>
  <c r="K220" i="82"/>
  <c r="AF220" i="82" s="1"/>
  <c r="I197" i="82"/>
  <c r="AD197" i="82" s="1"/>
  <c r="E197" i="82"/>
  <c r="Z197" i="82" s="1"/>
  <c r="W11" i="82"/>
  <c r="Q74" i="82"/>
  <c r="AL74" i="82" s="1"/>
  <c r="I68" i="82"/>
  <c r="AD68" i="82" s="1"/>
  <c r="E131" i="50"/>
  <c r="AQ131" i="50" s="1"/>
  <c r="B12" i="85" s="1"/>
  <c r="E214" i="50"/>
  <c r="AQ214" i="50" s="1"/>
  <c r="B17" i="85" s="1"/>
  <c r="S131" i="50"/>
  <c r="BE131" i="50" s="1"/>
  <c r="B48" i="85" s="1"/>
  <c r="S214" i="50"/>
  <c r="BE214" i="50" s="1"/>
  <c r="B53" i="85" s="1"/>
  <c r="L66" i="82"/>
  <c r="AG66" i="82" s="1"/>
  <c r="L11" i="50"/>
  <c r="H67" i="82"/>
  <c r="AC67" i="82" s="1"/>
  <c r="E12" i="50"/>
  <c r="X67" i="82"/>
  <c r="AS67" i="82" s="1"/>
  <c r="AG12" i="50"/>
  <c r="T69" i="82"/>
  <c r="AO69" i="82" s="1"/>
  <c r="Z14" i="50"/>
  <c r="P70" i="82"/>
  <c r="AK70" i="82" s="1"/>
  <c r="S15" i="50"/>
  <c r="L71" i="82"/>
  <c r="AG71" i="82" s="1"/>
  <c r="L16" i="50"/>
  <c r="H72" i="82"/>
  <c r="AC72" i="82" s="1"/>
  <c r="E17" i="50"/>
  <c r="X72" i="82"/>
  <c r="AS72" i="82" s="1"/>
  <c r="AG17" i="50"/>
  <c r="T73" i="82"/>
  <c r="AO73" i="82" s="1"/>
  <c r="Z18" i="50"/>
  <c r="T75" i="82"/>
  <c r="AO75" i="82" s="1"/>
  <c r="Z20" i="50"/>
  <c r="P76" i="82"/>
  <c r="AK76" i="82" s="1"/>
  <c r="S21" i="50"/>
  <c r="L77" i="82"/>
  <c r="AG77" i="82" s="1"/>
  <c r="L22" i="50"/>
  <c r="H78" i="82"/>
  <c r="AC78" i="82" s="1"/>
  <c r="E23" i="50"/>
  <c r="X78" i="82"/>
  <c r="AS78" i="82" s="1"/>
  <c r="AG23" i="50"/>
  <c r="T79" i="82"/>
  <c r="AO79" i="82" s="1"/>
  <c r="Z24" i="50"/>
  <c r="P80" i="82"/>
  <c r="AK80" i="82" s="1"/>
  <c r="S25" i="50"/>
  <c r="L81" i="82"/>
  <c r="AG81" i="82" s="1"/>
  <c r="L26" i="50"/>
  <c r="H82" i="82"/>
  <c r="AC82" i="82" s="1"/>
  <c r="E27" i="50"/>
  <c r="X82" i="82"/>
  <c r="AS82" i="82" s="1"/>
  <c r="AG27" i="50"/>
  <c r="T83" i="82"/>
  <c r="AO83" i="82" s="1"/>
  <c r="Z28" i="50"/>
  <c r="P85" i="82"/>
  <c r="AK85" i="82" s="1"/>
  <c r="S30" i="50"/>
  <c r="L86" i="82"/>
  <c r="AG86" i="82" s="1"/>
  <c r="L31" i="50"/>
  <c r="H87" i="82"/>
  <c r="AC87" i="82" s="1"/>
  <c r="E32" i="50"/>
  <c r="AG32" i="50"/>
  <c r="X87" i="82"/>
  <c r="AS87" i="82" s="1"/>
  <c r="T36" i="82"/>
  <c r="AO36" i="82" s="1"/>
  <c r="H89" i="82"/>
  <c r="AC89" i="82" s="1"/>
  <c r="E34" i="50"/>
  <c r="P132" i="82"/>
  <c r="AK132" i="82" s="1"/>
  <c r="S112" i="50"/>
  <c r="L133" i="82"/>
  <c r="AG133" i="82" s="1"/>
  <c r="L113" i="50"/>
  <c r="H134" i="82"/>
  <c r="AC134" i="82" s="1"/>
  <c r="E114" i="50"/>
  <c r="X134" i="82"/>
  <c r="AS134" i="82" s="1"/>
  <c r="AG114" i="50"/>
  <c r="T135" i="82"/>
  <c r="AO135" i="82" s="1"/>
  <c r="Z115" i="50"/>
  <c r="P136" i="82"/>
  <c r="AK136" i="82" s="1"/>
  <c r="S116" i="50"/>
  <c r="L137" i="82"/>
  <c r="AG137" i="82" s="1"/>
  <c r="L117" i="50"/>
  <c r="H138" i="82"/>
  <c r="AC138" i="82" s="1"/>
  <c r="E118" i="50"/>
  <c r="X138" i="82"/>
  <c r="AS138" i="82" s="1"/>
  <c r="AG118" i="50"/>
  <c r="T139" i="82"/>
  <c r="AO139" i="82" s="1"/>
  <c r="Z119" i="50"/>
  <c r="P140" i="82"/>
  <c r="AK140" i="82" s="1"/>
  <c r="S120" i="50"/>
  <c r="L141" i="82"/>
  <c r="AG141" i="82" s="1"/>
  <c r="L121" i="50"/>
  <c r="H142" i="82"/>
  <c r="AC142" i="82" s="1"/>
  <c r="E122" i="50"/>
  <c r="X142" i="82"/>
  <c r="AS142" i="82" s="1"/>
  <c r="AG122" i="50"/>
  <c r="T143" i="82"/>
  <c r="AO143" i="82" s="1"/>
  <c r="Z123" i="50"/>
  <c r="P144" i="82"/>
  <c r="AK144" i="82" s="1"/>
  <c r="S124" i="50"/>
  <c r="L145" i="82"/>
  <c r="AG145" i="82" s="1"/>
  <c r="L125" i="50"/>
  <c r="H146" i="82"/>
  <c r="AC146" i="82" s="1"/>
  <c r="E126" i="50"/>
  <c r="X146" i="82"/>
  <c r="AS146" i="82" s="1"/>
  <c r="AG126" i="50"/>
  <c r="BS126" i="50" s="1"/>
  <c r="T147" i="82"/>
  <c r="AO147" i="82" s="1"/>
  <c r="Z127" i="50"/>
  <c r="P148" i="82"/>
  <c r="AK148" i="82" s="1"/>
  <c r="S128" i="50"/>
  <c r="L149" i="82"/>
  <c r="AG149" i="82" s="1"/>
  <c r="L129" i="50"/>
  <c r="H150" i="82"/>
  <c r="AC150" i="82" s="1"/>
  <c r="E130" i="50"/>
  <c r="X150" i="82"/>
  <c r="AS150" i="82" s="1"/>
  <c r="AG130" i="50"/>
  <c r="L67" i="82"/>
  <c r="AG67" i="82" s="1"/>
  <c r="L12" i="50"/>
  <c r="H69" i="82"/>
  <c r="AC69" i="82" s="1"/>
  <c r="E14" i="50"/>
  <c r="X69" i="82"/>
  <c r="AS69" i="82" s="1"/>
  <c r="AG14" i="50"/>
  <c r="T70" i="82"/>
  <c r="AO70" i="82" s="1"/>
  <c r="Z15" i="50"/>
  <c r="P71" i="82"/>
  <c r="AK71" i="82" s="1"/>
  <c r="S16" i="50"/>
  <c r="L72" i="82"/>
  <c r="AG72" i="82" s="1"/>
  <c r="L17" i="50"/>
  <c r="H73" i="82"/>
  <c r="AC73" i="82" s="1"/>
  <c r="E18" i="50"/>
  <c r="X73" i="82"/>
  <c r="AS73" i="82" s="1"/>
  <c r="AG18" i="50"/>
  <c r="H75" i="82"/>
  <c r="AC75" i="82" s="1"/>
  <c r="E20" i="50"/>
  <c r="X75" i="82"/>
  <c r="AS75" i="82" s="1"/>
  <c r="AG20" i="50"/>
  <c r="T76" i="82"/>
  <c r="AO76" i="82" s="1"/>
  <c r="Z21" i="50"/>
  <c r="P77" i="82"/>
  <c r="AK77" i="82" s="1"/>
  <c r="S22" i="50"/>
  <c r="L78" i="82"/>
  <c r="AG78" i="82" s="1"/>
  <c r="L23" i="50"/>
  <c r="H79" i="82"/>
  <c r="AC79" i="82" s="1"/>
  <c r="E24" i="50"/>
  <c r="X79" i="82"/>
  <c r="AS79" i="82" s="1"/>
  <c r="AG24" i="50"/>
  <c r="T80" i="82"/>
  <c r="AO80" i="82" s="1"/>
  <c r="Z25" i="50"/>
  <c r="P81" i="82"/>
  <c r="AK81" i="82" s="1"/>
  <c r="S26" i="50"/>
  <c r="L82" i="82"/>
  <c r="AG82" i="82" s="1"/>
  <c r="L27" i="50"/>
  <c r="H83" i="82"/>
  <c r="AC83" i="82" s="1"/>
  <c r="E28" i="50"/>
  <c r="X83" i="82"/>
  <c r="AS83" i="82" s="1"/>
  <c r="AG28" i="50"/>
  <c r="T85" i="82"/>
  <c r="AO85" i="82" s="1"/>
  <c r="Z30" i="50"/>
  <c r="P86" i="82"/>
  <c r="AK86" i="82" s="1"/>
  <c r="S31" i="50"/>
  <c r="L87" i="82"/>
  <c r="AG87" i="82" s="1"/>
  <c r="L32" i="50"/>
  <c r="L89" i="82"/>
  <c r="AG89" i="82" s="1"/>
  <c r="L34" i="50"/>
  <c r="H66" i="82"/>
  <c r="AC66" i="82" s="1"/>
  <c r="E61" i="50"/>
  <c r="X66" i="82"/>
  <c r="AS66" i="82" s="1"/>
  <c r="AG61" i="50"/>
  <c r="BS61" i="50" s="1"/>
  <c r="T67" i="82"/>
  <c r="AO67" i="82" s="1"/>
  <c r="Z62" i="50"/>
  <c r="H91" i="82"/>
  <c r="AC91" i="82" s="1"/>
  <c r="L91" i="82"/>
  <c r="AG91" i="82" s="1"/>
  <c r="P91" i="82"/>
  <c r="AK91" i="82" s="1"/>
  <c r="T91" i="82"/>
  <c r="AO91" i="82" s="1"/>
  <c r="X91" i="82"/>
  <c r="AS91" i="82" s="1"/>
  <c r="T132" i="82"/>
  <c r="AO132" i="82" s="1"/>
  <c r="Z112" i="50"/>
  <c r="P133" i="82"/>
  <c r="AK133" i="82" s="1"/>
  <c r="S113" i="50"/>
  <c r="L134" i="82"/>
  <c r="AG134" i="82" s="1"/>
  <c r="L114" i="50"/>
  <c r="H135" i="82"/>
  <c r="AC135" i="82" s="1"/>
  <c r="E115" i="50"/>
  <c r="X135" i="82"/>
  <c r="AS135" i="82" s="1"/>
  <c r="AG115" i="50"/>
  <c r="T136" i="82"/>
  <c r="AO136" i="82" s="1"/>
  <c r="Z116" i="50"/>
  <c r="P137" i="82"/>
  <c r="AK137" i="82" s="1"/>
  <c r="S117" i="50"/>
  <c r="L138" i="82"/>
  <c r="AG138" i="82" s="1"/>
  <c r="L118" i="50"/>
  <c r="H139" i="82"/>
  <c r="AC139" i="82" s="1"/>
  <c r="E119" i="50"/>
  <c r="X139" i="82"/>
  <c r="AS139" i="82" s="1"/>
  <c r="AG119" i="50"/>
  <c r="T140" i="82"/>
  <c r="AO140" i="82" s="1"/>
  <c r="Z120" i="50"/>
  <c r="P141" i="82"/>
  <c r="AK141" i="82" s="1"/>
  <c r="S121" i="50"/>
  <c r="L142" i="82"/>
  <c r="AG142" i="82" s="1"/>
  <c r="L122" i="50"/>
  <c r="H143" i="82"/>
  <c r="AC143" i="82" s="1"/>
  <c r="E123" i="50"/>
  <c r="X143" i="82"/>
  <c r="AS143" i="82" s="1"/>
  <c r="AG123" i="50"/>
  <c r="T144" i="82"/>
  <c r="AO144" i="82" s="1"/>
  <c r="Z124" i="50"/>
  <c r="P145" i="82"/>
  <c r="AK145" i="82" s="1"/>
  <c r="S125" i="50"/>
  <c r="L146" i="82"/>
  <c r="AG146" i="82" s="1"/>
  <c r="L126" i="50"/>
  <c r="H147" i="82"/>
  <c r="AC147" i="82" s="1"/>
  <c r="E127" i="50"/>
  <c r="X147" i="82"/>
  <c r="AS147" i="82" s="1"/>
  <c r="AG127" i="50"/>
  <c r="T148" i="82"/>
  <c r="AO148" i="82" s="1"/>
  <c r="Z128" i="50"/>
  <c r="P149" i="82"/>
  <c r="AK149" i="82" s="1"/>
  <c r="S129" i="50"/>
  <c r="L150" i="82"/>
  <c r="AG150" i="82" s="1"/>
  <c r="L130" i="50"/>
  <c r="L69" i="82"/>
  <c r="AG69" i="82" s="1"/>
  <c r="L14" i="50"/>
  <c r="AX14" i="50" s="1"/>
  <c r="X70" i="82"/>
  <c r="AS70" i="82" s="1"/>
  <c r="AG15" i="50"/>
  <c r="BS15" i="50" s="1"/>
  <c r="P72" i="82"/>
  <c r="AK72" i="82" s="1"/>
  <c r="S17" i="50"/>
  <c r="T30" i="82"/>
  <c r="AO30" i="82" s="1"/>
  <c r="H85" i="82"/>
  <c r="AC85" i="82" s="1"/>
  <c r="E30" i="50"/>
  <c r="X85" i="82"/>
  <c r="AS85" i="82" s="1"/>
  <c r="AG30" i="50"/>
  <c r="T86" i="82"/>
  <c r="AO86" i="82" s="1"/>
  <c r="Z31" i="50"/>
  <c r="P87" i="82"/>
  <c r="AK87" i="82" s="1"/>
  <c r="S32" i="50"/>
  <c r="P89" i="82"/>
  <c r="AK89" i="82" s="1"/>
  <c r="S34" i="50"/>
  <c r="P66" i="82"/>
  <c r="AK66" i="82" s="1"/>
  <c r="E74" i="82"/>
  <c r="Z74" i="82" s="1"/>
  <c r="U74" i="82"/>
  <c r="AP74" i="82" s="1"/>
  <c r="L85" i="82"/>
  <c r="AG85" i="82" s="1"/>
  <c r="T66" i="82"/>
  <c r="AO66" i="82" s="1"/>
  <c r="Z11" i="50"/>
  <c r="P67" i="82"/>
  <c r="AK67" i="82" s="1"/>
  <c r="S12" i="50"/>
  <c r="P69" i="82"/>
  <c r="AK69" i="82" s="1"/>
  <c r="S14" i="50"/>
  <c r="L70" i="82"/>
  <c r="AG70" i="82" s="1"/>
  <c r="L15" i="50"/>
  <c r="H71" i="82"/>
  <c r="AC71" i="82" s="1"/>
  <c r="E16" i="50"/>
  <c r="X71" i="82"/>
  <c r="AS71" i="82" s="1"/>
  <c r="AG16" i="50"/>
  <c r="T72" i="82"/>
  <c r="AO72" i="82" s="1"/>
  <c r="Z17" i="50"/>
  <c r="P73" i="82"/>
  <c r="AK73" i="82" s="1"/>
  <c r="S18" i="50"/>
  <c r="P75" i="82"/>
  <c r="AK75" i="82" s="1"/>
  <c r="S20" i="50"/>
  <c r="L76" i="82"/>
  <c r="AG76" i="82" s="1"/>
  <c r="L21" i="50"/>
  <c r="H77" i="82"/>
  <c r="AC77" i="82" s="1"/>
  <c r="E22" i="50"/>
  <c r="X77" i="82"/>
  <c r="AS77" i="82" s="1"/>
  <c r="AG22" i="50"/>
  <c r="T78" i="82"/>
  <c r="AO78" i="82" s="1"/>
  <c r="Z23" i="50"/>
  <c r="P79" i="82"/>
  <c r="AK79" i="82" s="1"/>
  <c r="S24" i="50"/>
  <c r="L80" i="82"/>
  <c r="AG80" i="82" s="1"/>
  <c r="L25" i="50"/>
  <c r="H81" i="82"/>
  <c r="AC81" i="82" s="1"/>
  <c r="E26" i="50"/>
  <c r="X81" i="82"/>
  <c r="AS81" i="82" s="1"/>
  <c r="AG26" i="50"/>
  <c r="P83" i="82"/>
  <c r="AK83" i="82" s="1"/>
  <c r="S28" i="50"/>
  <c r="H30" i="82"/>
  <c r="AC30" i="82" s="1"/>
  <c r="H86" i="82"/>
  <c r="AC86" i="82" s="1"/>
  <c r="E31" i="50"/>
  <c r="X86" i="82"/>
  <c r="AS86" i="82" s="1"/>
  <c r="AG31" i="50"/>
  <c r="T87" i="82"/>
  <c r="AO87" i="82" s="1"/>
  <c r="Z32" i="50"/>
  <c r="P36" i="82"/>
  <c r="AK36" i="82" s="1"/>
  <c r="L43" i="82"/>
  <c r="AG43" i="82" s="1"/>
  <c r="L64" i="50"/>
  <c r="H43" i="82"/>
  <c r="AC43" i="82" s="1"/>
  <c r="E65" i="50"/>
  <c r="X43" i="82"/>
  <c r="AS43" i="82" s="1"/>
  <c r="AG65" i="50"/>
  <c r="T43" i="82"/>
  <c r="AO43" i="82" s="1"/>
  <c r="Z66" i="50"/>
  <c r="L73" i="82"/>
  <c r="AG73" i="82" s="1"/>
  <c r="L68" i="50"/>
  <c r="E40" i="82"/>
  <c r="L49" i="82"/>
  <c r="AG49" i="82" s="1"/>
  <c r="L70" i="50"/>
  <c r="H76" i="82"/>
  <c r="AC76" i="82" s="1"/>
  <c r="E71" i="50"/>
  <c r="X76" i="82"/>
  <c r="AS76" i="82" s="1"/>
  <c r="AG71" i="50"/>
  <c r="T77" i="82"/>
  <c r="AO77" i="82" s="1"/>
  <c r="Z72" i="50"/>
  <c r="P78" i="82"/>
  <c r="AK78" i="82" s="1"/>
  <c r="S73" i="50"/>
  <c r="L79" i="82"/>
  <c r="AG79" i="82" s="1"/>
  <c r="L74" i="50"/>
  <c r="H80" i="82"/>
  <c r="AC80" i="82" s="1"/>
  <c r="E75" i="50"/>
  <c r="X80" i="82"/>
  <c r="AS80" i="82" s="1"/>
  <c r="AG75" i="50"/>
  <c r="T81" i="82"/>
  <c r="AO81" i="82" s="1"/>
  <c r="Z76" i="50"/>
  <c r="P82" i="82"/>
  <c r="AK82" i="82" s="1"/>
  <c r="S77" i="50"/>
  <c r="L83" i="82"/>
  <c r="AG83" i="82" s="1"/>
  <c r="L78" i="50"/>
  <c r="E68" i="82"/>
  <c r="Z68" i="82" s="1"/>
  <c r="U68" i="82"/>
  <c r="AP68" i="82" s="1"/>
  <c r="Q68" i="82"/>
  <c r="AL68" i="82" s="1"/>
  <c r="H132" i="82"/>
  <c r="AC132" i="82" s="1"/>
  <c r="X132" i="82"/>
  <c r="AS132" i="82" s="1"/>
  <c r="AG112" i="50"/>
  <c r="BS112" i="50" s="1"/>
  <c r="T133" i="82"/>
  <c r="AO133" i="82" s="1"/>
  <c r="Z113" i="50"/>
  <c r="P134" i="82"/>
  <c r="AK134" i="82" s="1"/>
  <c r="S114" i="50"/>
  <c r="L135" i="82"/>
  <c r="AG135" i="82" s="1"/>
  <c r="L115" i="50"/>
  <c r="H136" i="82"/>
  <c r="AC136" i="82" s="1"/>
  <c r="X136" i="82"/>
  <c r="AS136" i="82" s="1"/>
  <c r="AG116" i="50"/>
  <c r="T137" i="82"/>
  <c r="AO137" i="82" s="1"/>
  <c r="Z117" i="50"/>
  <c r="P138" i="82"/>
  <c r="AK138" i="82" s="1"/>
  <c r="S118" i="50"/>
  <c r="L139" i="82"/>
  <c r="AG139" i="82" s="1"/>
  <c r="L119" i="50"/>
  <c r="H140" i="82"/>
  <c r="AC140" i="82" s="1"/>
  <c r="X140" i="82"/>
  <c r="AS140" i="82" s="1"/>
  <c r="AG120" i="50"/>
  <c r="T141" i="82"/>
  <c r="AO141" i="82" s="1"/>
  <c r="Z121" i="50"/>
  <c r="P142" i="82"/>
  <c r="AK142" i="82" s="1"/>
  <c r="S122" i="50"/>
  <c r="L143" i="82"/>
  <c r="AG143" i="82" s="1"/>
  <c r="L123" i="50"/>
  <c r="H144" i="82"/>
  <c r="AC144" i="82" s="1"/>
  <c r="X144" i="82"/>
  <c r="AS144" i="82" s="1"/>
  <c r="AG124" i="50"/>
  <c r="T145" i="82"/>
  <c r="AO145" i="82" s="1"/>
  <c r="Z125" i="50"/>
  <c r="P146" i="82"/>
  <c r="AK146" i="82" s="1"/>
  <c r="S126" i="50"/>
  <c r="L147" i="82"/>
  <c r="AG147" i="82" s="1"/>
  <c r="L127" i="50"/>
  <c r="H148" i="82"/>
  <c r="AC148" i="82" s="1"/>
  <c r="X148" i="82"/>
  <c r="AS148" i="82" s="1"/>
  <c r="AG128" i="50"/>
  <c r="T149" i="82"/>
  <c r="AO149" i="82" s="1"/>
  <c r="Z129" i="50"/>
  <c r="P150" i="82"/>
  <c r="AK150" i="82" s="1"/>
  <c r="S130" i="50"/>
  <c r="H153" i="82"/>
  <c r="AC153" i="82" s="1"/>
  <c r="E193" i="50"/>
  <c r="AQ193" i="50" s="1"/>
  <c r="X153" i="82"/>
  <c r="AS153" i="82" s="1"/>
  <c r="AG193" i="50"/>
  <c r="T153" i="82"/>
  <c r="AO153" i="82" s="1"/>
  <c r="Z194" i="50"/>
  <c r="BL194" i="50" s="1"/>
  <c r="H175" i="82"/>
  <c r="AC175" i="82" s="1"/>
  <c r="E237" i="50"/>
  <c r="AQ237" i="50" s="1"/>
  <c r="T175" i="82"/>
  <c r="AO175" i="82" s="1"/>
  <c r="Z238" i="50"/>
  <c r="BL238" i="50" s="1"/>
  <c r="L201" i="82"/>
  <c r="AG201" i="82" s="1"/>
  <c r="L240" i="50"/>
  <c r="H202" i="82"/>
  <c r="AC202" i="82" s="1"/>
  <c r="E241" i="50"/>
  <c r="X202" i="82"/>
  <c r="AS202" i="82" s="1"/>
  <c r="AG241" i="50"/>
  <c r="T203" i="82"/>
  <c r="AO203" i="82" s="1"/>
  <c r="Z242" i="50"/>
  <c r="L205" i="82"/>
  <c r="AG205" i="82" s="1"/>
  <c r="L244" i="50"/>
  <c r="X206" i="82"/>
  <c r="AS206" i="82" s="1"/>
  <c r="AG245" i="50"/>
  <c r="T207" i="82"/>
  <c r="AO207" i="82" s="1"/>
  <c r="Z246" i="50"/>
  <c r="P208" i="82"/>
  <c r="AK208" i="82" s="1"/>
  <c r="S247" i="50"/>
  <c r="L209" i="82"/>
  <c r="AG209" i="82" s="1"/>
  <c r="L248" i="50"/>
  <c r="H210" i="82"/>
  <c r="AC210" i="82" s="1"/>
  <c r="E249" i="50"/>
  <c r="T211" i="82"/>
  <c r="AO211" i="82" s="1"/>
  <c r="Z250" i="50"/>
  <c r="L213" i="82"/>
  <c r="AG213" i="82" s="1"/>
  <c r="L252" i="50"/>
  <c r="H214" i="82"/>
  <c r="AC214" i="82" s="1"/>
  <c r="E253" i="50"/>
  <c r="X214" i="82"/>
  <c r="AS214" i="82" s="1"/>
  <c r="AG253" i="50"/>
  <c r="P216" i="82"/>
  <c r="AK216" i="82" s="1"/>
  <c r="S255" i="50"/>
  <c r="H218" i="82"/>
  <c r="AC218" i="82" s="1"/>
  <c r="E257" i="50"/>
  <c r="P198" i="82"/>
  <c r="AK198" i="82" s="1"/>
  <c r="T199" i="82"/>
  <c r="AO199" i="82" s="1"/>
  <c r="X200" i="82"/>
  <c r="AS200" i="82" s="1"/>
  <c r="H204" i="82"/>
  <c r="AC204" i="82" s="1"/>
  <c r="X208" i="82"/>
  <c r="AS208" i="82" s="1"/>
  <c r="L211" i="82"/>
  <c r="AG211" i="82" s="1"/>
  <c r="P212" i="82"/>
  <c r="AK212" i="82" s="1"/>
  <c r="T213" i="82"/>
  <c r="AO213" i="82" s="1"/>
  <c r="H216" i="82"/>
  <c r="AC216" i="82" s="1"/>
  <c r="L217" i="82"/>
  <c r="AG217" i="82" s="1"/>
  <c r="P218" i="82"/>
  <c r="AK218" i="82" s="1"/>
  <c r="E200" i="50"/>
  <c r="E212" i="50"/>
  <c r="L132" i="82"/>
  <c r="AG132" i="82" s="1"/>
  <c r="L112" i="50"/>
  <c r="H133" i="82"/>
  <c r="AC133" i="82" s="1"/>
  <c r="E113" i="50"/>
  <c r="X133" i="82"/>
  <c r="AS133" i="82" s="1"/>
  <c r="AG113" i="50"/>
  <c r="T134" i="82"/>
  <c r="AO134" i="82" s="1"/>
  <c r="Z114" i="50"/>
  <c r="P135" i="82"/>
  <c r="AK135" i="82" s="1"/>
  <c r="S115" i="50"/>
  <c r="L136" i="82"/>
  <c r="AG136" i="82" s="1"/>
  <c r="L116" i="50"/>
  <c r="H137" i="82"/>
  <c r="AC137" i="82" s="1"/>
  <c r="E117" i="50"/>
  <c r="X137" i="82"/>
  <c r="AS137" i="82" s="1"/>
  <c r="AG117" i="50"/>
  <c r="T138" i="82"/>
  <c r="AO138" i="82" s="1"/>
  <c r="Z118" i="50"/>
  <c r="P139" i="82"/>
  <c r="AK139" i="82" s="1"/>
  <c r="S119" i="50"/>
  <c r="L140" i="82"/>
  <c r="AG140" i="82" s="1"/>
  <c r="L120" i="50"/>
  <c r="H141" i="82"/>
  <c r="AC141" i="82" s="1"/>
  <c r="E121" i="50"/>
  <c r="X141" i="82"/>
  <c r="AS141" i="82" s="1"/>
  <c r="AG121" i="50"/>
  <c r="T142" i="82"/>
  <c r="AO142" i="82" s="1"/>
  <c r="Z122" i="50"/>
  <c r="P143" i="82"/>
  <c r="AK143" i="82" s="1"/>
  <c r="S123" i="50"/>
  <c r="L144" i="82"/>
  <c r="AG144" i="82" s="1"/>
  <c r="L124" i="50"/>
  <c r="H145" i="82"/>
  <c r="AC145" i="82" s="1"/>
  <c r="E125" i="50"/>
  <c r="X145" i="82"/>
  <c r="AS145" i="82" s="1"/>
  <c r="AG125" i="50"/>
  <c r="T146" i="82"/>
  <c r="AO146" i="82" s="1"/>
  <c r="Z126" i="50"/>
  <c r="P147" i="82"/>
  <c r="AK147" i="82" s="1"/>
  <c r="S127" i="50"/>
  <c r="L148" i="82"/>
  <c r="AG148" i="82" s="1"/>
  <c r="L128" i="50"/>
  <c r="H149" i="82"/>
  <c r="AC149" i="82" s="1"/>
  <c r="E129" i="50"/>
  <c r="X149" i="82"/>
  <c r="AS149" i="82" s="1"/>
  <c r="AG129" i="50"/>
  <c r="T150" i="82"/>
  <c r="AO150" i="82" s="1"/>
  <c r="Z130" i="50"/>
  <c r="E131" i="82"/>
  <c r="Z131" i="82" s="1"/>
  <c r="U131" i="82"/>
  <c r="AP131" i="82" s="1"/>
  <c r="H199" i="82"/>
  <c r="AC199" i="82" s="1"/>
  <c r="E194" i="50"/>
  <c r="X199" i="82"/>
  <c r="AS199" i="82" s="1"/>
  <c r="AG194" i="50"/>
  <c r="T200" i="82"/>
  <c r="AO200" i="82" s="1"/>
  <c r="Z195" i="50"/>
  <c r="P201" i="82"/>
  <c r="AK201" i="82" s="1"/>
  <c r="S196" i="50"/>
  <c r="L202" i="82"/>
  <c r="AG202" i="82" s="1"/>
  <c r="L197" i="50"/>
  <c r="H203" i="82"/>
  <c r="AC203" i="82" s="1"/>
  <c r="E198" i="50"/>
  <c r="X203" i="82"/>
  <c r="AS203" i="82" s="1"/>
  <c r="AG198" i="50"/>
  <c r="T204" i="82"/>
  <c r="AO204" i="82" s="1"/>
  <c r="Z199" i="50"/>
  <c r="P205" i="82"/>
  <c r="AK205" i="82" s="1"/>
  <c r="S200" i="50"/>
  <c r="L206" i="82"/>
  <c r="AG206" i="82" s="1"/>
  <c r="L201" i="50"/>
  <c r="H207" i="82"/>
  <c r="AC207" i="82" s="1"/>
  <c r="E202" i="50"/>
  <c r="X207" i="82"/>
  <c r="AS207" i="82" s="1"/>
  <c r="AG202" i="50"/>
  <c r="T208" i="82"/>
  <c r="AO208" i="82" s="1"/>
  <c r="Z203" i="50"/>
  <c r="P209" i="82"/>
  <c r="AK209" i="82" s="1"/>
  <c r="S204" i="50"/>
  <c r="L210" i="82"/>
  <c r="AG210" i="82" s="1"/>
  <c r="L205" i="50"/>
  <c r="H211" i="82"/>
  <c r="AC211" i="82" s="1"/>
  <c r="E206" i="50"/>
  <c r="X211" i="82"/>
  <c r="AS211" i="82" s="1"/>
  <c r="AG206" i="50"/>
  <c r="T212" i="82"/>
  <c r="AO212" i="82" s="1"/>
  <c r="Z207" i="50"/>
  <c r="P213" i="82"/>
  <c r="AK213" i="82" s="1"/>
  <c r="S208" i="50"/>
  <c r="L214" i="82"/>
  <c r="AG214" i="82" s="1"/>
  <c r="L209" i="50"/>
  <c r="H215" i="82"/>
  <c r="AC215" i="82" s="1"/>
  <c r="E210" i="50"/>
  <c r="X215" i="82"/>
  <c r="AS215" i="82" s="1"/>
  <c r="AG210" i="50"/>
  <c r="T216" i="82"/>
  <c r="AO216" i="82" s="1"/>
  <c r="Z211" i="50"/>
  <c r="P217" i="82"/>
  <c r="AK217" i="82" s="1"/>
  <c r="S212" i="50"/>
  <c r="L218" i="82"/>
  <c r="AG218" i="82" s="1"/>
  <c r="L213" i="50"/>
  <c r="H198" i="82"/>
  <c r="AC198" i="82" s="1"/>
  <c r="Q197" i="82"/>
  <c r="AL197" i="82" s="1"/>
  <c r="L199" i="82"/>
  <c r="AG199" i="82" s="1"/>
  <c r="T201" i="82"/>
  <c r="AO201" i="82" s="1"/>
  <c r="P206" i="82"/>
  <c r="AK206" i="82" s="1"/>
  <c r="T209" i="82"/>
  <c r="AO209" i="82" s="1"/>
  <c r="X210" i="82"/>
  <c r="AS210" i="82" s="1"/>
  <c r="H212" i="82"/>
  <c r="AC212" i="82" s="1"/>
  <c r="P214" i="82"/>
  <c r="AK214" i="82" s="1"/>
  <c r="T215" i="82"/>
  <c r="AO215" i="82" s="1"/>
  <c r="X216" i="82"/>
  <c r="AS216" i="82" s="1"/>
  <c r="E116" i="50"/>
  <c r="E124" i="50"/>
  <c r="E195" i="50"/>
  <c r="E203" i="50"/>
  <c r="Z266" i="50"/>
  <c r="BL266" i="50" s="1"/>
  <c r="P202" i="82"/>
  <c r="AK202" i="82" s="1"/>
  <c r="X204" i="82"/>
  <c r="AS204" i="82" s="1"/>
  <c r="H206" i="82"/>
  <c r="AC206" i="82" s="1"/>
  <c r="L207" i="82"/>
  <c r="AG207" i="82" s="1"/>
  <c r="P210" i="82"/>
  <c r="AK210" i="82" s="1"/>
  <c r="L215" i="82"/>
  <c r="AG215" i="82" s="1"/>
  <c r="E196" i="50"/>
  <c r="E204" i="50"/>
  <c r="I131" i="82"/>
  <c r="AD131" i="82" s="1"/>
  <c r="Q131" i="82"/>
  <c r="AL131" i="82" s="1"/>
  <c r="T198" i="82"/>
  <c r="AO198" i="82" s="1"/>
  <c r="Z193" i="50"/>
  <c r="BL193" i="50" s="1"/>
  <c r="P199" i="82"/>
  <c r="AK199" i="82" s="1"/>
  <c r="S194" i="50"/>
  <c r="L200" i="82"/>
  <c r="AG200" i="82" s="1"/>
  <c r="L195" i="50"/>
  <c r="X201" i="82"/>
  <c r="AS201" i="82" s="1"/>
  <c r="AG196" i="50"/>
  <c r="T202" i="82"/>
  <c r="AO202" i="82" s="1"/>
  <c r="Z197" i="50"/>
  <c r="P203" i="82"/>
  <c r="AK203" i="82" s="1"/>
  <c r="S198" i="50"/>
  <c r="L204" i="82"/>
  <c r="AG204" i="82" s="1"/>
  <c r="L199" i="50"/>
  <c r="X205" i="82"/>
  <c r="AS205" i="82" s="1"/>
  <c r="AG200" i="50"/>
  <c r="T206" i="82"/>
  <c r="AO206" i="82" s="1"/>
  <c r="Z201" i="50"/>
  <c r="P207" i="82"/>
  <c r="AK207" i="82" s="1"/>
  <c r="S202" i="50"/>
  <c r="L208" i="82"/>
  <c r="AG208" i="82" s="1"/>
  <c r="L203" i="50"/>
  <c r="X209" i="82"/>
  <c r="AS209" i="82" s="1"/>
  <c r="AG204" i="50"/>
  <c r="T210" i="82"/>
  <c r="AO210" i="82" s="1"/>
  <c r="Z205" i="50"/>
  <c r="P211" i="82"/>
  <c r="AK211" i="82" s="1"/>
  <c r="S206" i="50"/>
  <c r="L212" i="82"/>
  <c r="AG212" i="82" s="1"/>
  <c r="L207" i="50"/>
  <c r="X213" i="82"/>
  <c r="AS213" i="82" s="1"/>
  <c r="AG208" i="50"/>
  <c r="T214" i="82"/>
  <c r="AO214" i="82" s="1"/>
  <c r="Z209" i="50"/>
  <c r="P215" i="82"/>
  <c r="AK215" i="82" s="1"/>
  <c r="S210" i="50"/>
  <c r="L216" i="82"/>
  <c r="AG216" i="82" s="1"/>
  <c r="L211" i="50"/>
  <c r="X217" i="82"/>
  <c r="AS217" i="82" s="1"/>
  <c r="AG212" i="50"/>
  <c r="T218" i="82"/>
  <c r="AO218" i="82" s="1"/>
  <c r="Z213" i="50"/>
  <c r="L203" i="82"/>
  <c r="AG203" i="82" s="1"/>
  <c r="P204" i="82"/>
  <c r="AK204" i="82" s="1"/>
  <c r="T205" i="82"/>
  <c r="AO205" i="82" s="1"/>
  <c r="X212" i="82"/>
  <c r="AS212" i="82" s="1"/>
  <c r="T217" i="82"/>
  <c r="AO217" i="82" s="1"/>
  <c r="X218" i="82"/>
  <c r="AS218" i="82" s="1"/>
  <c r="E112" i="50"/>
  <c r="E120" i="50"/>
  <c r="E128" i="50"/>
  <c r="E208" i="50"/>
  <c r="K36" i="7"/>
  <c r="K58" i="7"/>
  <c r="Z38" i="50"/>
  <c r="BL38" i="50" s="1"/>
  <c r="Z44" i="50"/>
  <c r="BL44" i="50" s="1"/>
  <c r="Z214" i="50"/>
  <c r="BL214" i="50" s="1"/>
  <c r="B71" i="85" s="1"/>
  <c r="AG38" i="50"/>
  <c r="BS38" i="50" s="1"/>
  <c r="AG44" i="50"/>
  <c r="BS44" i="50" s="1"/>
  <c r="AG131" i="50"/>
  <c r="BS131" i="50" s="1"/>
  <c r="B90" i="85" s="1"/>
  <c r="AG214" i="50"/>
  <c r="BS214" i="50" s="1"/>
  <c r="B95" i="85" s="1"/>
  <c r="C69" i="7"/>
  <c r="C47" i="7"/>
  <c r="Z27" i="50"/>
  <c r="L44" i="50"/>
  <c r="AX44" i="50" s="1"/>
  <c r="L131" i="50"/>
  <c r="AX131" i="50" s="1"/>
  <c r="B30" i="85" s="1"/>
  <c r="L75" i="82"/>
  <c r="AG75" i="82" s="1"/>
  <c r="E11" i="82"/>
  <c r="I11" i="82"/>
  <c r="M11" i="82"/>
  <c r="Q11" i="82"/>
  <c r="U11" i="82"/>
  <c r="H20" i="82"/>
  <c r="AC20" i="82" s="1"/>
  <c r="L20" i="82"/>
  <c r="AG20" i="82" s="1"/>
  <c r="P20" i="82"/>
  <c r="AK20" i="82" s="1"/>
  <c r="T20" i="82"/>
  <c r="AO20" i="82" s="1"/>
  <c r="X20" i="82"/>
  <c r="AS20" i="82" s="1"/>
  <c r="P30" i="82"/>
  <c r="AK30" i="82" s="1"/>
  <c r="P43" i="82"/>
  <c r="AK43" i="82" s="1"/>
  <c r="P49" i="82"/>
  <c r="AK49" i="82" s="1"/>
  <c r="M74" i="82"/>
  <c r="AH74" i="82" s="1"/>
  <c r="T71" i="82"/>
  <c r="AO71" i="82" s="1"/>
  <c r="H70" i="82"/>
  <c r="AC70" i="82" s="1"/>
  <c r="X36" i="82"/>
  <c r="AS36" i="82" s="1"/>
  <c r="H49" i="82"/>
  <c r="AC49" i="82" s="1"/>
  <c r="X49" i="82"/>
  <c r="AS49" i="82" s="1"/>
  <c r="T49" i="82"/>
  <c r="AO49" i="82" s="1"/>
  <c r="M68" i="82"/>
  <c r="AH68" i="82" s="1"/>
  <c r="X175" i="82"/>
  <c r="AS175" i="82" s="1"/>
  <c r="X198" i="82"/>
  <c r="AS198" i="82" s="1"/>
  <c r="P175" i="82"/>
  <c r="AK175" i="82" s="1"/>
  <c r="P200" i="82"/>
  <c r="AK200" i="82" s="1"/>
  <c r="L198" i="82"/>
  <c r="AG198" i="82" s="1"/>
  <c r="L153" i="82"/>
  <c r="AG153" i="82" s="1"/>
  <c r="L175" i="82"/>
  <c r="AG175" i="82" s="1"/>
  <c r="A232" i="82"/>
  <c r="A231" i="82"/>
  <c r="A230" i="82"/>
  <c r="I8" i="82"/>
  <c r="M8" i="82" s="1"/>
  <c r="Q8" i="82" s="1"/>
  <c r="U8" i="82" s="1"/>
  <c r="T89" i="82"/>
  <c r="AO89" i="82" s="1"/>
  <c r="P153" i="82"/>
  <c r="AK153" i="82" s="1"/>
  <c r="AG67" i="62" l="1"/>
  <c r="BX67" i="62" s="1"/>
  <c r="S220" i="82"/>
  <c r="AN220" i="82" s="1"/>
  <c r="Z109" i="50"/>
  <c r="BL109" i="50" s="1"/>
  <c r="S263" i="50"/>
  <c r="BE263" i="50" s="1"/>
  <c r="S273" i="50"/>
  <c r="BE273" i="50" s="1"/>
  <c r="BX71" i="62"/>
  <c r="AG271" i="50"/>
  <c r="BS271" i="50" s="1"/>
  <c r="S265" i="50"/>
  <c r="BE265" i="50" s="1"/>
  <c r="AG277" i="50"/>
  <c r="BS277" i="50" s="1"/>
  <c r="S271" i="50"/>
  <c r="BE271" i="50" s="1"/>
  <c r="Z276" i="50"/>
  <c r="BL276" i="50" s="1"/>
  <c r="AG86" i="50"/>
  <c r="BS86" i="50" s="1"/>
  <c r="L151" i="50"/>
  <c r="AX151" i="50" s="1"/>
  <c r="B31" i="85" s="1"/>
  <c r="L272" i="50"/>
  <c r="AX272" i="50" s="1"/>
  <c r="AG279" i="50"/>
  <c r="BS279" i="50" s="1"/>
  <c r="AG186" i="50"/>
  <c r="BS186" i="50" s="1"/>
  <c r="BS211" i="50"/>
  <c r="I220" i="82"/>
  <c r="AD220" i="82" s="1"/>
  <c r="L105" i="50"/>
  <c r="AX105" i="50" s="1"/>
  <c r="J220" i="82"/>
  <c r="AE220" i="82" s="1"/>
  <c r="BS205" i="50"/>
  <c r="BE199" i="50"/>
  <c r="Z278" i="50"/>
  <c r="BL278" i="50" s="1"/>
  <c r="BE205" i="50"/>
  <c r="R220" i="82"/>
  <c r="AM220" i="82" s="1"/>
  <c r="S86" i="50"/>
  <c r="BE86" i="50" s="1"/>
  <c r="AG265" i="50"/>
  <c r="BS265" i="50" s="1"/>
  <c r="S151" i="50"/>
  <c r="BE151" i="50" s="1"/>
  <c r="B49" i="85" s="1"/>
  <c r="V220" i="82"/>
  <c r="AQ220" i="82" s="1"/>
  <c r="W220" i="82"/>
  <c r="AR220" i="82" s="1"/>
  <c r="Z262" i="50"/>
  <c r="BL262" i="50" s="1"/>
  <c r="Z270" i="50"/>
  <c r="BL270" i="50" s="1"/>
  <c r="L268" i="50"/>
  <c r="AX268" i="50" s="1"/>
  <c r="L264" i="50"/>
  <c r="AX264" i="50" s="1"/>
  <c r="E151" i="50"/>
  <c r="AQ151" i="50" s="1"/>
  <c r="B13" i="85" s="1"/>
  <c r="Z151" i="50"/>
  <c r="BL151" i="50" s="1"/>
  <c r="B67" i="85" s="1"/>
  <c r="AG269" i="50"/>
  <c r="BS269" i="50" s="1"/>
  <c r="G220" i="82"/>
  <c r="AB220" i="82" s="1"/>
  <c r="B113" i="85"/>
  <c r="O220" i="82"/>
  <c r="AJ220" i="82" s="1"/>
  <c r="L259" i="50"/>
  <c r="AX259" i="50" s="1"/>
  <c r="B108" i="85"/>
  <c r="Q220" i="82"/>
  <c r="AL220" i="82" s="1"/>
  <c r="L276" i="50"/>
  <c r="AX276" i="50" s="1"/>
  <c r="AG261" i="50"/>
  <c r="BS261" i="50" s="1"/>
  <c r="AG151" i="50"/>
  <c r="BS151" i="50" s="1"/>
  <c r="B91" i="85" s="1"/>
  <c r="S63" i="50"/>
  <c r="BE63" i="50" s="1"/>
  <c r="E277" i="50"/>
  <c r="AQ277" i="50" s="1"/>
  <c r="Z274" i="50"/>
  <c r="BL274" i="50" s="1"/>
  <c r="L278" i="50"/>
  <c r="AX278" i="50" s="1"/>
  <c r="S261" i="50"/>
  <c r="BE261" i="50" s="1"/>
  <c r="S275" i="50"/>
  <c r="BE275" i="50" s="1"/>
  <c r="S259" i="50"/>
  <c r="BE259" i="50" s="1"/>
  <c r="AG273" i="50"/>
  <c r="BS273" i="50" s="1"/>
  <c r="S267" i="50"/>
  <c r="BE267" i="50" s="1"/>
  <c r="AG185" i="50"/>
  <c r="BS185" i="50" s="1"/>
  <c r="BS125" i="50"/>
  <c r="S178" i="50"/>
  <c r="BE178" i="50" s="1"/>
  <c r="BE118" i="50"/>
  <c r="S93" i="50"/>
  <c r="BE93" i="50" s="1"/>
  <c r="BE18" i="50"/>
  <c r="S97" i="50"/>
  <c r="BE97" i="50" s="1"/>
  <c r="BE22" i="50"/>
  <c r="L181" i="50"/>
  <c r="AX181" i="50" s="1"/>
  <c r="AX121" i="50"/>
  <c r="E102" i="50"/>
  <c r="AQ102" i="50" s="1"/>
  <c r="AQ27" i="50"/>
  <c r="U219" i="82"/>
  <c r="AP219" i="82" s="1"/>
  <c r="AP11" i="82"/>
  <c r="E262" i="50"/>
  <c r="AQ262" i="50" s="1"/>
  <c r="AQ196" i="50"/>
  <c r="E184" i="50"/>
  <c r="AQ184" i="50" s="1"/>
  <c r="AQ124" i="50"/>
  <c r="L188" i="50"/>
  <c r="AX188" i="50" s="1"/>
  <c r="AX128" i="50"/>
  <c r="E185" i="50"/>
  <c r="AQ185" i="50" s="1"/>
  <c r="AQ125" i="50"/>
  <c r="AG181" i="50"/>
  <c r="BS181" i="50" s="1"/>
  <c r="BS121" i="50"/>
  <c r="Z178" i="50"/>
  <c r="BL178" i="50" s="1"/>
  <c r="BL118" i="50"/>
  <c r="S175" i="50"/>
  <c r="BE175" i="50" s="1"/>
  <c r="BE115" i="50"/>
  <c r="L172" i="50"/>
  <c r="AX172" i="50" s="1"/>
  <c r="AX112" i="50"/>
  <c r="L274" i="50"/>
  <c r="AX274" i="50" s="1"/>
  <c r="AX252" i="50"/>
  <c r="AG188" i="50"/>
  <c r="BS188" i="50" s="1"/>
  <c r="BS128" i="50"/>
  <c r="Z181" i="50"/>
  <c r="BL181" i="50" s="1"/>
  <c r="BL121" i="50"/>
  <c r="S174" i="50"/>
  <c r="BE174" i="50" s="1"/>
  <c r="BE114" i="50"/>
  <c r="AG100" i="50"/>
  <c r="BS100" i="50" s="1"/>
  <c r="BS75" i="50"/>
  <c r="Z97" i="50"/>
  <c r="BL97" i="50" s="1"/>
  <c r="BL72" i="50"/>
  <c r="E220" i="82"/>
  <c r="Z220" i="82" s="1"/>
  <c r="Z40" i="82"/>
  <c r="E106" i="50"/>
  <c r="AQ106" i="50" s="1"/>
  <c r="AQ31" i="50"/>
  <c r="Z106" i="50"/>
  <c r="BL106" i="50" s="1"/>
  <c r="BL31" i="50"/>
  <c r="S189" i="50"/>
  <c r="BE189" i="50" s="1"/>
  <c r="BE129" i="50"/>
  <c r="L186" i="50"/>
  <c r="AX186" i="50" s="1"/>
  <c r="AX126" i="50"/>
  <c r="E183" i="50"/>
  <c r="AQ183" i="50" s="1"/>
  <c r="AQ123" i="50"/>
  <c r="AG179" i="50"/>
  <c r="BS179" i="50" s="1"/>
  <c r="BS119" i="50"/>
  <c r="Z176" i="50"/>
  <c r="BL176" i="50" s="1"/>
  <c r="BL116" i="50"/>
  <c r="S173" i="50"/>
  <c r="BE173" i="50" s="1"/>
  <c r="BE113" i="50"/>
  <c r="E109" i="50"/>
  <c r="AQ109" i="50" s="1"/>
  <c r="AQ34" i="50"/>
  <c r="L84" i="82"/>
  <c r="AG84" i="82" s="1"/>
  <c r="AG30" i="82"/>
  <c r="X84" i="82"/>
  <c r="AS84" i="82" s="1"/>
  <c r="AS30" i="82"/>
  <c r="E265" i="50"/>
  <c r="AQ265" i="50" s="1"/>
  <c r="AQ199" i="50"/>
  <c r="E269" i="50"/>
  <c r="AQ269" i="50" s="1"/>
  <c r="AQ203" i="50"/>
  <c r="S179" i="50"/>
  <c r="BE179" i="50" s="1"/>
  <c r="BE119" i="50"/>
  <c r="S182" i="50"/>
  <c r="BE182" i="50" s="1"/>
  <c r="BE122" i="50"/>
  <c r="S69" i="50"/>
  <c r="BE69" i="50" s="1"/>
  <c r="BE73" i="50"/>
  <c r="S107" i="50"/>
  <c r="BE107" i="50" s="1"/>
  <c r="BE32" i="50"/>
  <c r="E87" i="50"/>
  <c r="AQ87" i="50" s="1"/>
  <c r="AQ12" i="50"/>
  <c r="E176" i="50"/>
  <c r="AQ176" i="50" s="1"/>
  <c r="AQ116" i="50"/>
  <c r="E268" i="50"/>
  <c r="AQ268" i="50" s="1"/>
  <c r="AQ202" i="50"/>
  <c r="S269" i="50"/>
  <c r="BE269" i="50" s="1"/>
  <c r="BE247" i="50"/>
  <c r="Z264" i="50"/>
  <c r="BL264" i="50" s="1"/>
  <c r="BL242" i="50"/>
  <c r="AG184" i="50"/>
  <c r="BS184" i="50" s="1"/>
  <c r="BS124" i="50"/>
  <c r="Z177" i="50"/>
  <c r="BL177" i="50" s="1"/>
  <c r="BL117" i="50"/>
  <c r="L93" i="50"/>
  <c r="AX93" i="50" s="1"/>
  <c r="AX68" i="50"/>
  <c r="L63" i="50"/>
  <c r="AX63" i="50" s="1"/>
  <c r="AX64" i="50"/>
  <c r="L100" i="50"/>
  <c r="AX100" i="50" s="1"/>
  <c r="AX25" i="50"/>
  <c r="E97" i="50"/>
  <c r="AQ97" i="50" s="1"/>
  <c r="AQ22" i="50"/>
  <c r="Z92" i="50"/>
  <c r="BL92" i="50" s="1"/>
  <c r="BL17" i="50"/>
  <c r="S89" i="50"/>
  <c r="BE89" i="50" s="1"/>
  <c r="BE14" i="50"/>
  <c r="Z87" i="50"/>
  <c r="BL87" i="50" s="1"/>
  <c r="BL62" i="50"/>
  <c r="L107" i="50"/>
  <c r="AX107" i="50" s="1"/>
  <c r="AX32" i="50"/>
  <c r="E103" i="50"/>
  <c r="AQ103" i="50" s="1"/>
  <c r="AQ28" i="50"/>
  <c r="AG99" i="50"/>
  <c r="BS99" i="50" s="1"/>
  <c r="BS24" i="50"/>
  <c r="Z96" i="50"/>
  <c r="BL96" i="50" s="1"/>
  <c r="BL21" i="50"/>
  <c r="E93" i="50"/>
  <c r="AQ93" i="50" s="1"/>
  <c r="AQ18" i="50"/>
  <c r="AG89" i="50"/>
  <c r="BS89" i="50" s="1"/>
  <c r="BS14" i="50"/>
  <c r="E190" i="50"/>
  <c r="AQ190" i="50" s="1"/>
  <c r="AQ130" i="50"/>
  <c r="Z183" i="50"/>
  <c r="BL183" i="50" s="1"/>
  <c r="BL123" i="50"/>
  <c r="S180" i="50"/>
  <c r="BE180" i="50" s="1"/>
  <c r="BE120" i="50"/>
  <c r="L177" i="50"/>
  <c r="AX177" i="50" s="1"/>
  <c r="AX117" i="50"/>
  <c r="E174" i="50"/>
  <c r="AQ174" i="50" s="1"/>
  <c r="AQ114" i="50"/>
  <c r="S105" i="50"/>
  <c r="BE105" i="50" s="1"/>
  <c r="BE30" i="50"/>
  <c r="L101" i="50"/>
  <c r="AX101" i="50" s="1"/>
  <c r="AX26" i="50"/>
  <c r="E98" i="50"/>
  <c r="AQ98" i="50" s="1"/>
  <c r="AQ23" i="50"/>
  <c r="Z93" i="50"/>
  <c r="BL93" i="50" s="1"/>
  <c r="BL18" i="50"/>
  <c r="S90" i="50"/>
  <c r="BE90" i="50" s="1"/>
  <c r="BE15" i="50"/>
  <c r="L86" i="50"/>
  <c r="AX86" i="50" s="1"/>
  <c r="AX11" i="50"/>
  <c r="R219" i="82"/>
  <c r="AM219" i="82" s="1"/>
  <c r="AM11" i="82"/>
  <c r="Z182" i="50"/>
  <c r="BL182" i="50" s="1"/>
  <c r="BL122" i="50"/>
  <c r="E275" i="50"/>
  <c r="AQ275" i="50" s="1"/>
  <c r="AQ253" i="50"/>
  <c r="L95" i="50"/>
  <c r="AX95" i="50" s="1"/>
  <c r="AX70" i="50"/>
  <c r="Z86" i="50"/>
  <c r="BL86" i="50" s="1"/>
  <c r="BL11" i="50"/>
  <c r="E187" i="50"/>
  <c r="AQ187" i="50" s="1"/>
  <c r="AQ127" i="50"/>
  <c r="L174" i="50"/>
  <c r="AX174" i="50" s="1"/>
  <c r="AX114" i="50"/>
  <c r="L262" i="50"/>
  <c r="AX262" i="50" s="1"/>
  <c r="AX240" i="50"/>
  <c r="AG97" i="50"/>
  <c r="BS97" i="50" s="1"/>
  <c r="BS22" i="50"/>
  <c r="AG93" i="50"/>
  <c r="BS93" i="50" s="1"/>
  <c r="BS18" i="50"/>
  <c r="L91" i="50"/>
  <c r="AX91" i="50" s="1"/>
  <c r="AX16" i="50"/>
  <c r="E274" i="50"/>
  <c r="AQ274" i="50" s="1"/>
  <c r="AQ208" i="50"/>
  <c r="Z190" i="50"/>
  <c r="BL190" i="50" s="1"/>
  <c r="BL130" i="50"/>
  <c r="S187" i="50"/>
  <c r="BE187" i="50" s="1"/>
  <c r="BE127" i="50"/>
  <c r="L184" i="50"/>
  <c r="AX184" i="50" s="1"/>
  <c r="AX124" i="50"/>
  <c r="E181" i="50"/>
  <c r="AQ181" i="50" s="1"/>
  <c r="AQ121" i="50"/>
  <c r="AG177" i="50"/>
  <c r="BS177" i="50" s="1"/>
  <c r="BS117" i="50"/>
  <c r="Z174" i="50"/>
  <c r="BL174" i="50" s="1"/>
  <c r="BL114" i="50"/>
  <c r="E278" i="50"/>
  <c r="AQ278" i="50" s="1"/>
  <c r="AQ212" i="50"/>
  <c r="S277" i="50"/>
  <c r="BE277" i="50" s="1"/>
  <c r="BE255" i="50"/>
  <c r="AG180" i="50"/>
  <c r="BS180" i="50" s="1"/>
  <c r="BS120" i="50"/>
  <c r="Z173" i="50"/>
  <c r="BL173" i="50" s="1"/>
  <c r="BL113" i="50"/>
  <c r="L103" i="50"/>
  <c r="AX103" i="50" s="1"/>
  <c r="AX78" i="50"/>
  <c r="E100" i="50"/>
  <c r="AQ100" i="50" s="1"/>
  <c r="AQ75" i="50"/>
  <c r="AG96" i="50"/>
  <c r="BS96" i="50" s="1"/>
  <c r="BS71" i="50"/>
  <c r="AG105" i="50"/>
  <c r="BS105" i="50" s="1"/>
  <c r="BS30" i="50"/>
  <c r="Z188" i="50"/>
  <c r="BL188" i="50" s="1"/>
  <c r="BL128" i="50"/>
  <c r="S185" i="50"/>
  <c r="BE185" i="50" s="1"/>
  <c r="BE125" i="50"/>
  <c r="L182" i="50"/>
  <c r="AX182" i="50" s="1"/>
  <c r="AX122" i="50"/>
  <c r="E179" i="50"/>
  <c r="AQ179" i="50" s="1"/>
  <c r="AQ119" i="50"/>
  <c r="AG175" i="50"/>
  <c r="BS175" i="50" s="1"/>
  <c r="BS115" i="50"/>
  <c r="Z172" i="50"/>
  <c r="BL172" i="50" s="1"/>
  <c r="BL112" i="50"/>
  <c r="W219" i="82"/>
  <c r="AR219" i="82" s="1"/>
  <c r="AR11" i="82"/>
  <c r="S219" i="82"/>
  <c r="AN219" i="82" s="1"/>
  <c r="AN11" i="82"/>
  <c r="BS207" i="50"/>
  <c r="L176" i="50"/>
  <c r="AX176" i="50" s="1"/>
  <c r="AX116" i="50"/>
  <c r="Z189" i="50"/>
  <c r="BL189" i="50" s="1"/>
  <c r="BL129" i="50"/>
  <c r="Z101" i="50"/>
  <c r="BL101" i="50" s="1"/>
  <c r="BL76" i="50"/>
  <c r="AG183" i="50"/>
  <c r="BS183" i="50" s="1"/>
  <c r="BS123" i="50"/>
  <c r="E279" i="50"/>
  <c r="AQ279" i="50" s="1"/>
  <c r="AQ257" i="50"/>
  <c r="E90" i="50"/>
  <c r="AQ90" i="50" s="1"/>
  <c r="AQ65" i="50"/>
  <c r="L109" i="50"/>
  <c r="AX109" i="50" s="1"/>
  <c r="AX34" i="50"/>
  <c r="Z90" i="50"/>
  <c r="BL90" i="50" s="1"/>
  <c r="BL15" i="50"/>
  <c r="S184" i="50"/>
  <c r="BE184" i="50" s="1"/>
  <c r="BE124" i="50"/>
  <c r="E178" i="50"/>
  <c r="AQ178" i="50" s="1"/>
  <c r="AQ118" i="50"/>
  <c r="AG98" i="50"/>
  <c r="BS98" i="50" s="1"/>
  <c r="BS23" i="50"/>
  <c r="G219" i="82"/>
  <c r="AB219" i="82" s="1"/>
  <c r="AB11" i="82"/>
  <c r="I219" i="82"/>
  <c r="AD219" i="82" s="1"/>
  <c r="AD11" i="82"/>
  <c r="E180" i="50"/>
  <c r="AQ180" i="50" s="1"/>
  <c r="AQ120" i="50"/>
  <c r="E264" i="50"/>
  <c r="AQ264" i="50" s="1"/>
  <c r="AQ198" i="50"/>
  <c r="E266" i="50"/>
  <c r="AQ266" i="50" s="1"/>
  <c r="AQ200" i="50"/>
  <c r="Z272" i="50"/>
  <c r="BL272" i="50" s="1"/>
  <c r="BL250" i="50"/>
  <c r="Z268" i="50"/>
  <c r="BL268" i="50" s="1"/>
  <c r="BL246" i="50"/>
  <c r="AG263" i="50"/>
  <c r="BS263" i="50" s="1"/>
  <c r="BS241" i="50"/>
  <c r="L187" i="50"/>
  <c r="AX187" i="50" s="1"/>
  <c r="AX127" i="50"/>
  <c r="AG176" i="50"/>
  <c r="BS176" i="50" s="1"/>
  <c r="BS116" i="50"/>
  <c r="Z63" i="50"/>
  <c r="BL63" i="50" s="1"/>
  <c r="BL66" i="50"/>
  <c r="S103" i="50"/>
  <c r="BE103" i="50" s="1"/>
  <c r="BE28" i="50"/>
  <c r="S99" i="50"/>
  <c r="BE99" i="50" s="1"/>
  <c r="BE24" i="50"/>
  <c r="L96" i="50"/>
  <c r="AX96" i="50" s="1"/>
  <c r="AX21" i="50"/>
  <c r="AG91" i="50"/>
  <c r="BS91" i="50" s="1"/>
  <c r="BS16" i="50"/>
  <c r="S106" i="50"/>
  <c r="BE106" i="50" s="1"/>
  <c r="BE31" i="50"/>
  <c r="L102" i="50"/>
  <c r="AX102" i="50" s="1"/>
  <c r="AX27" i="50"/>
  <c r="E99" i="50"/>
  <c r="AQ99" i="50" s="1"/>
  <c r="AQ24" i="50"/>
  <c r="AG95" i="50"/>
  <c r="BS95" i="50" s="1"/>
  <c r="BS20" i="50"/>
  <c r="L92" i="50"/>
  <c r="AX92" i="50" s="1"/>
  <c r="AX17" i="50"/>
  <c r="E89" i="50"/>
  <c r="AQ89" i="50" s="1"/>
  <c r="AQ14" i="50"/>
  <c r="L189" i="50"/>
  <c r="AX189" i="50" s="1"/>
  <c r="AX129" i="50"/>
  <c r="E186" i="50"/>
  <c r="AQ186" i="50" s="1"/>
  <c r="AQ126" i="50"/>
  <c r="AG182" i="50"/>
  <c r="BS182" i="50" s="1"/>
  <c r="BS122" i="50"/>
  <c r="Z179" i="50"/>
  <c r="BL179" i="50" s="1"/>
  <c r="BL119" i="50"/>
  <c r="S176" i="50"/>
  <c r="BE176" i="50" s="1"/>
  <c r="BE116" i="50"/>
  <c r="L173" i="50"/>
  <c r="AX173" i="50" s="1"/>
  <c r="AX113" i="50"/>
  <c r="Z103" i="50"/>
  <c r="BL103" i="50" s="1"/>
  <c r="BL28" i="50"/>
  <c r="S100" i="50"/>
  <c r="BE100" i="50" s="1"/>
  <c r="BE25" i="50"/>
  <c r="L97" i="50"/>
  <c r="AX97" i="50" s="1"/>
  <c r="AX22" i="50"/>
  <c r="AG92" i="50"/>
  <c r="BS92" i="50" s="1"/>
  <c r="BS17" i="50"/>
  <c r="Z89" i="50"/>
  <c r="BL89" i="50" s="1"/>
  <c r="BL14" i="50"/>
  <c r="L88" i="82"/>
  <c r="AG88" i="82" s="1"/>
  <c r="AG36" i="82"/>
  <c r="L175" i="50"/>
  <c r="AX175" i="50" s="1"/>
  <c r="AX115" i="50"/>
  <c r="AG106" i="50"/>
  <c r="BS106" i="50" s="1"/>
  <c r="BS31" i="50"/>
  <c r="S177" i="50"/>
  <c r="BE177" i="50" s="1"/>
  <c r="BE117" i="50"/>
  <c r="E270" i="50"/>
  <c r="AQ270" i="50" s="1"/>
  <c r="AQ204" i="50"/>
  <c r="E272" i="50"/>
  <c r="AQ272" i="50" s="1"/>
  <c r="AQ206" i="50"/>
  <c r="L266" i="50"/>
  <c r="AX266" i="50" s="1"/>
  <c r="AX244" i="50"/>
  <c r="L90" i="50"/>
  <c r="AX90" i="50" s="1"/>
  <c r="AX15" i="50"/>
  <c r="S92" i="50"/>
  <c r="BE92" i="50" s="1"/>
  <c r="BE17" i="50"/>
  <c r="Z100" i="50"/>
  <c r="BL100" i="50" s="1"/>
  <c r="BL25" i="50"/>
  <c r="Z187" i="50"/>
  <c r="BL187" i="50" s="1"/>
  <c r="BL127" i="50"/>
  <c r="L106" i="50"/>
  <c r="AX106" i="50" s="1"/>
  <c r="AX31" i="50"/>
  <c r="M219" i="82"/>
  <c r="AH219" i="82" s="1"/>
  <c r="AH11" i="82"/>
  <c r="E188" i="50"/>
  <c r="AQ188" i="50" s="1"/>
  <c r="AQ128" i="50"/>
  <c r="E172" i="50"/>
  <c r="AQ172" i="50" s="1"/>
  <c r="AQ112" i="50"/>
  <c r="AG189" i="50"/>
  <c r="BS189" i="50" s="1"/>
  <c r="BS129" i="50"/>
  <c r="Z186" i="50"/>
  <c r="BL186" i="50" s="1"/>
  <c r="BL126" i="50"/>
  <c r="S183" i="50"/>
  <c r="BE183" i="50" s="1"/>
  <c r="BE123" i="50"/>
  <c r="L180" i="50"/>
  <c r="AX180" i="50" s="1"/>
  <c r="AX120" i="50"/>
  <c r="E177" i="50"/>
  <c r="AQ177" i="50" s="1"/>
  <c r="AQ117" i="50"/>
  <c r="AG173" i="50"/>
  <c r="BS173" i="50" s="1"/>
  <c r="BS113" i="50"/>
  <c r="AG275" i="50"/>
  <c r="BS275" i="50" s="1"/>
  <c r="BS253" i="50"/>
  <c r="S190" i="50"/>
  <c r="BE190" i="50" s="1"/>
  <c r="BE130" i="50"/>
  <c r="L183" i="50"/>
  <c r="AX183" i="50" s="1"/>
  <c r="AX123" i="50"/>
  <c r="S102" i="50"/>
  <c r="BE102" i="50" s="1"/>
  <c r="BE77" i="50"/>
  <c r="L99" i="50"/>
  <c r="AX99" i="50" s="1"/>
  <c r="AX74" i="50"/>
  <c r="E69" i="50"/>
  <c r="AQ69" i="50" s="1"/>
  <c r="AQ71" i="50"/>
  <c r="Z107" i="50"/>
  <c r="BL107" i="50" s="1"/>
  <c r="BL32" i="50"/>
  <c r="S87" i="50"/>
  <c r="BE87" i="50" s="1"/>
  <c r="BE12" i="50"/>
  <c r="S109" i="50"/>
  <c r="BE109" i="50" s="1"/>
  <c r="BE34" i="50"/>
  <c r="E105" i="50"/>
  <c r="AQ105" i="50" s="1"/>
  <c r="AQ30" i="50"/>
  <c r="AG187" i="50"/>
  <c r="BS187" i="50" s="1"/>
  <c r="BS127" i="50"/>
  <c r="Z184" i="50"/>
  <c r="BL184" i="50" s="1"/>
  <c r="BL124" i="50"/>
  <c r="S181" i="50"/>
  <c r="BE181" i="50" s="1"/>
  <c r="BE121" i="50"/>
  <c r="L178" i="50"/>
  <c r="AX178" i="50" s="1"/>
  <c r="AX118" i="50"/>
  <c r="E175" i="50"/>
  <c r="AQ175" i="50" s="1"/>
  <c r="AQ115" i="50"/>
  <c r="AG107" i="50"/>
  <c r="BS107" i="50" s="1"/>
  <c r="BS32" i="50"/>
  <c r="V219" i="82"/>
  <c r="AQ219" i="82" s="1"/>
  <c r="AQ11" i="82"/>
  <c r="K219" i="82"/>
  <c r="AF219" i="82" s="1"/>
  <c r="AF11" i="82"/>
  <c r="E189" i="50"/>
  <c r="AQ189" i="50" s="1"/>
  <c r="AQ129" i="50"/>
  <c r="E173" i="50"/>
  <c r="AQ173" i="50" s="1"/>
  <c r="AQ113" i="50"/>
  <c r="L190" i="50"/>
  <c r="AX190" i="50" s="1"/>
  <c r="AX130" i="50"/>
  <c r="Z180" i="50"/>
  <c r="BL180" i="50" s="1"/>
  <c r="BL120" i="50"/>
  <c r="E261" i="50"/>
  <c r="AQ261" i="50" s="1"/>
  <c r="AQ195" i="50"/>
  <c r="L270" i="50"/>
  <c r="AX270" i="50" s="1"/>
  <c r="AX248" i="50"/>
  <c r="Z185" i="50"/>
  <c r="BL185" i="50" s="1"/>
  <c r="BL125" i="50"/>
  <c r="E101" i="50"/>
  <c r="AQ101" i="50" s="1"/>
  <c r="AQ26" i="50"/>
  <c r="AG103" i="50"/>
  <c r="BS103" i="50" s="1"/>
  <c r="BS28" i="50"/>
  <c r="AG190" i="50"/>
  <c r="BS190" i="50" s="1"/>
  <c r="BS130" i="50"/>
  <c r="AG174" i="50"/>
  <c r="BS174" i="50" s="1"/>
  <c r="BS114" i="50"/>
  <c r="Z95" i="50"/>
  <c r="BL95" i="50" s="1"/>
  <c r="BL20" i="50"/>
  <c r="Q219" i="82"/>
  <c r="AL219" i="82" s="1"/>
  <c r="AL11" i="82"/>
  <c r="E219" i="82"/>
  <c r="Z219" i="82" s="1"/>
  <c r="Z11" i="82"/>
  <c r="Z102" i="50"/>
  <c r="BL102" i="50" s="1"/>
  <c r="BL27" i="50"/>
  <c r="E276" i="50"/>
  <c r="AQ276" i="50" s="1"/>
  <c r="AQ210" i="50"/>
  <c r="E260" i="50"/>
  <c r="AQ260" i="50" s="1"/>
  <c r="AQ194" i="50"/>
  <c r="E271" i="50"/>
  <c r="AQ271" i="50" s="1"/>
  <c r="AQ249" i="50"/>
  <c r="AG267" i="50"/>
  <c r="BS267" i="50" s="1"/>
  <c r="BS245" i="50"/>
  <c r="E263" i="50"/>
  <c r="AQ263" i="50" s="1"/>
  <c r="AQ241" i="50"/>
  <c r="S186" i="50"/>
  <c r="BE186" i="50" s="1"/>
  <c r="BE126" i="50"/>
  <c r="L179" i="50"/>
  <c r="AX179" i="50" s="1"/>
  <c r="AX119" i="50"/>
  <c r="AG63" i="50"/>
  <c r="BS63" i="50" s="1"/>
  <c r="BS65" i="50"/>
  <c r="AG101" i="50"/>
  <c r="BS101" i="50" s="1"/>
  <c r="BS26" i="50"/>
  <c r="Z98" i="50"/>
  <c r="BL98" i="50" s="1"/>
  <c r="BL23" i="50"/>
  <c r="S95" i="50"/>
  <c r="BE95" i="50" s="1"/>
  <c r="BE20" i="50"/>
  <c r="E91" i="50"/>
  <c r="AQ91" i="50" s="1"/>
  <c r="AQ16" i="50"/>
  <c r="E86" i="50"/>
  <c r="AQ86" i="50" s="1"/>
  <c r="AQ61" i="50"/>
  <c r="Z105" i="50"/>
  <c r="BL105" i="50" s="1"/>
  <c r="BL30" i="50"/>
  <c r="S101" i="50"/>
  <c r="BE101" i="50" s="1"/>
  <c r="BE26" i="50"/>
  <c r="L98" i="50"/>
  <c r="AX98" i="50" s="1"/>
  <c r="AX23" i="50"/>
  <c r="E95" i="50"/>
  <c r="AQ95" i="50" s="1"/>
  <c r="AQ20" i="50"/>
  <c r="S91" i="50"/>
  <c r="BE91" i="50" s="1"/>
  <c r="BE16" i="50"/>
  <c r="L87" i="50"/>
  <c r="AX87" i="50" s="1"/>
  <c r="AX12" i="50"/>
  <c r="S188" i="50"/>
  <c r="BE188" i="50" s="1"/>
  <c r="BE128" i="50"/>
  <c r="L185" i="50"/>
  <c r="AX185" i="50" s="1"/>
  <c r="AX125" i="50"/>
  <c r="E182" i="50"/>
  <c r="AQ182" i="50" s="1"/>
  <c r="AQ122" i="50"/>
  <c r="AG178" i="50"/>
  <c r="BS178" i="50" s="1"/>
  <c r="BS118" i="50"/>
  <c r="Z175" i="50"/>
  <c r="BL175" i="50" s="1"/>
  <c r="BL115" i="50"/>
  <c r="S172" i="50"/>
  <c r="BE172" i="50" s="1"/>
  <c r="BE112" i="50"/>
  <c r="E107" i="50"/>
  <c r="AQ107" i="50" s="1"/>
  <c r="AQ32" i="50"/>
  <c r="AG102" i="50"/>
  <c r="BS102" i="50" s="1"/>
  <c r="BS27" i="50"/>
  <c r="Z99" i="50"/>
  <c r="BL99" i="50" s="1"/>
  <c r="BL24" i="50"/>
  <c r="S96" i="50"/>
  <c r="BE96" i="50" s="1"/>
  <c r="BE21" i="50"/>
  <c r="E92" i="50"/>
  <c r="AQ92" i="50" s="1"/>
  <c r="AQ17" i="50"/>
  <c r="AG87" i="50"/>
  <c r="BS87" i="50" s="1"/>
  <c r="BS12" i="50"/>
  <c r="AG109" i="50"/>
  <c r="BS109" i="50" s="1"/>
  <c r="O219" i="82"/>
  <c r="AJ219" i="82" s="1"/>
  <c r="AJ11" i="82"/>
  <c r="U220" i="82"/>
  <c r="AP220" i="82" s="1"/>
  <c r="N219" i="82"/>
  <c r="AI219" i="82" s="1"/>
  <c r="AI11" i="82"/>
  <c r="F219" i="82"/>
  <c r="AA219" i="82" s="1"/>
  <c r="AA11" i="82"/>
  <c r="J219" i="82"/>
  <c r="AE219" i="82" s="1"/>
  <c r="AE11" i="82"/>
  <c r="H88" i="82"/>
  <c r="AC88" i="82" s="1"/>
  <c r="AC36" i="82"/>
  <c r="E267" i="50"/>
  <c r="AQ267" i="50" s="1"/>
  <c r="AQ201" i="50"/>
  <c r="E273" i="50"/>
  <c r="AQ273" i="50" s="1"/>
  <c r="AQ207" i="50"/>
  <c r="S99" i="62"/>
  <c r="BJ99" i="62" s="1"/>
  <c r="S94" i="62"/>
  <c r="BJ94" i="62" s="1"/>
  <c r="L99" i="62"/>
  <c r="BC99" i="62" s="1"/>
  <c r="Z279" i="50"/>
  <c r="BL279" i="50" s="1"/>
  <c r="BL213" i="50"/>
  <c r="Z263" i="50"/>
  <c r="BL263" i="50" s="1"/>
  <c r="BL197" i="50"/>
  <c r="S270" i="50"/>
  <c r="BE270" i="50" s="1"/>
  <c r="BE204" i="50"/>
  <c r="AG260" i="50"/>
  <c r="BS260" i="50" s="1"/>
  <c r="BS194" i="50"/>
  <c r="BQ71" i="62"/>
  <c r="Z67" i="62"/>
  <c r="BQ67" i="62" s="1"/>
  <c r="S71" i="62"/>
  <c r="BJ71" i="62" s="1"/>
  <c r="AG274" i="50"/>
  <c r="BS274" i="50" s="1"/>
  <c r="BS208" i="50"/>
  <c r="AG262" i="50"/>
  <c r="BS262" i="50" s="1"/>
  <c r="BS196" i="50"/>
  <c r="S266" i="50"/>
  <c r="BE266" i="50" s="1"/>
  <c r="BE200" i="50"/>
  <c r="S83" i="62"/>
  <c r="BJ83" i="62" s="1"/>
  <c r="L74" i="62"/>
  <c r="BC74" i="62" s="1"/>
  <c r="L61" i="62"/>
  <c r="BC61" i="62" s="1"/>
  <c r="Z275" i="50"/>
  <c r="BL275" i="50" s="1"/>
  <c r="BL209" i="50"/>
  <c r="Z267" i="50"/>
  <c r="BL267" i="50" s="1"/>
  <c r="BL201" i="50"/>
  <c r="AG276" i="50"/>
  <c r="BS276" i="50" s="1"/>
  <c r="BS210" i="50"/>
  <c r="L267" i="50"/>
  <c r="AX267" i="50" s="1"/>
  <c r="AX201" i="50"/>
  <c r="AG278" i="50"/>
  <c r="BS278" i="50" s="1"/>
  <c r="BS212" i="50"/>
  <c r="AG266" i="50"/>
  <c r="BS266" i="50" s="1"/>
  <c r="BS200" i="50"/>
  <c r="L279" i="50"/>
  <c r="AX279" i="50" s="1"/>
  <c r="AX213" i="50"/>
  <c r="AG272" i="50"/>
  <c r="BS272" i="50" s="1"/>
  <c r="BS206" i="50"/>
  <c r="Z269" i="50"/>
  <c r="BL269" i="50" s="1"/>
  <c r="BL203" i="50"/>
  <c r="L263" i="50"/>
  <c r="AX263" i="50" s="1"/>
  <c r="AX197" i="50"/>
  <c r="L94" i="62"/>
  <c r="BC94" i="62" s="1"/>
  <c r="L277" i="50"/>
  <c r="AX277" i="50" s="1"/>
  <c r="AX211" i="50"/>
  <c r="L273" i="50"/>
  <c r="AX273" i="50" s="1"/>
  <c r="AX207" i="50"/>
  <c r="L269" i="50"/>
  <c r="AX269" i="50" s="1"/>
  <c r="AX203" i="50"/>
  <c r="L261" i="50"/>
  <c r="AX261" i="50" s="1"/>
  <c r="AX195" i="50"/>
  <c r="S278" i="50"/>
  <c r="BE278" i="50" s="1"/>
  <c r="BE212" i="50"/>
  <c r="L275" i="50"/>
  <c r="AX275" i="50" s="1"/>
  <c r="AX209" i="50"/>
  <c r="AG268" i="50"/>
  <c r="BS268" i="50" s="1"/>
  <c r="BS202" i="50"/>
  <c r="S262" i="50"/>
  <c r="BE262" i="50" s="1"/>
  <c r="BE196" i="50"/>
  <c r="S61" i="62"/>
  <c r="BJ61" i="62" s="1"/>
  <c r="AG259" i="50"/>
  <c r="BS259" i="50" s="1"/>
  <c r="BS193" i="50"/>
  <c r="L83" i="62"/>
  <c r="BC83" i="62" s="1"/>
  <c r="S64" i="62"/>
  <c r="BJ64" i="62" s="1"/>
  <c r="Z271" i="50"/>
  <c r="BL271" i="50" s="1"/>
  <c r="BL205" i="50"/>
  <c r="Z273" i="50"/>
  <c r="BL273" i="50" s="1"/>
  <c r="BL207" i="50"/>
  <c r="AG270" i="50"/>
  <c r="BS270" i="50" s="1"/>
  <c r="BS204" i="50"/>
  <c r="S74" i="62"/>
  <c r="BJ74" i="62" s="1"/>
  <c r="L265" i="50"/>
  <c r="AX265" i="50" s="1"/>
  <c r="AX199" i="50"/>
  <c r="Z265" i="50"/>
  <c r="BL265" i="50" s="1"/>
  <c r="BL199" i="50"/>
  <c r="S276" i="50"/>
  <c r="BE276" i="50" s="1"/>
  <c r="BE210" i="50"/>
  <c r="S272" i="50"/>
  <c r="BE272" i="50" s="1"/>
  <c r="BE206" i="50"/>
  <c r="S268" i="50"/>
  <c r="BE268" i="50" s="1"/>
  <c r="BE202" i="50"/>
  <c r="S264" i="50"/>
  <c r="BE264" i="50" s="1"/>
  <c r="BE198" i="50"/>
  <c r="S260" i="50"/>
  <c r="BE260" i="50" s="1"/>
  <c r="BE194" i="50"/>
  <c r="Z277" i="50"/>
  <c r="BL277" i="50" s="1"/>
  <c r="BL211" i="50"/>
  <c r="S274" i="50"/>
  <c r="BE274" i="50" s="1"/>
  <c r="BE208" i="50"/>
  <c r="L271" i="50"/>
  <c r="AX271" i="50" s="1"/>
  <c r="AX205" i="50"/>
  <c r="AG264" i="50"/>
  <c r="BS264" i="50" s="1"/>
  <c r="BS198" i="50"/>
  <c r="Z261" i="50"/>
  <c r="BL261" i="50" s="1"/>
  <c r="BL195" i="50"/>
  <c r="L71" i="62"/>
  <c r="BC71" i="62" s="1"/>
  <c r="L64" i="62"/>
  <c r="BC64" i="62" s="1"/>
  <c r="L29" i="50"/>
  <c r="E33" i="50"/>
  <c r="L35" i="50"/>
  <c r="L33" i="50"/>
  <c r="AG29" i="50"/>
  <c r="AG19" i="50"/>
  <c r="BS19" i="50" s="1"/>
  <c r="E35" i="50"/>
  <c r="T74" i="82"/>
  <c r="AO74" i="82" s="1"/>
  <c r="L13" i="50"/>
  <c r="AX13" i="50" s="1"/>
  <c r="S35" i="50"/>
  <c r="X40" i="82"/>
  <c r="T68" i="82"/>
  <c r="AO68" i="82" s="1"/>
  <c r="E19" i="50"/>
  <c r="AQ19" i="50" s="1"/>
  <c r="S13" i="50"/>
  <c r="BE13" i="50" s="1"/>
  <c r="Z19" i="50"/>
  <c r="BL19" i="50" s="1"/>
  <c r="L11" i="82"/>
  <c r="AG13" i="50"/>
  <c r="BS13" i="50" s="1"/>
  <c r="E65" i="82"/>
  <c r="T11" i="82"/>
  <c r="AG69" i="50"/>
  <c r="BS69" i="50" s="1"/>
  <c r="U65" i="82"/>
  <c r="T197" i="82"/>
  <c r="AO197" i="82" s="1"/>
  <c r="X74" i="82"/>
  <c r="AS74" i="82" s="1"/>
  <c r="S19" i="50"/>
  <c r="BE19" i="50" s="1"/>
  <c r="E13" i="50"/>
  <c r="AQ13" i="50" s="1"/>
  <c r="L131" i="82"/>
  <c r="AG131" i="82" s="1"/>
  <c r="L68" i="82"/>
  <c r="AG68" i="82" s="1"/>
  <c r="H74" i="82"/>
  <c r="AC74" i="82" s="1"/>
  <c r="H68" i="82"/>
  <c r="AC68" i="82" s="1"/>
  <c r="S111" i="50"/>
  <c r="BE111" i="50" s="1"/>
  <c r="B47" i="85" s="1"/>
  <c r="P131" i="82"/>
  <c r="AK131" i="82" s="1"/>
  <c r="P68" i="82"/>
  <c r="AK68" i="82" s="1"/>
  <c r="Z111" i="50"/>
  <c r="BL111" i="50" s="1"/>
  <c r="B65" i="85" s="1"/>
  <c r="T40" i="82"/>
  <c r="H40" i="82"/>
  <c r="L236" i="50"/>
  <c r="AX236" i="50" s="1"/>
  <c r="B36" i="85" s="1"/>
  <c r="Z236" i="50"/>
  <c r="BL236" i="50" s="1"/>
  <c r="B72" i="85" s="1"/>
  <c r="AG35" i="50"/>
  <c r="Z35" i="50"/>
  <c r="L192" i="50"/>
  <c r="AX192" i="50" s="1"/>
  <c r="B34" i="85" s="1"/>
  <c r="B121" i="85" s="1"/>
  <c r="X68" i="82"/>
  <c r="AS68" i="82" s="1"/>
  <c r="T131" i="82"/>
  <c r="AO131" i="82" s="1"/>
  <c r="Z13" i="50"/>
  <c r="BL13" i="50" s="1"/>
  <c r="S192" i="50"/>
  <c r="BE192" i="50" s="1"/>
  <c r="B52" i="85" s="1"/>
  <c r="B123" i="85" s="1"/>
  <c r="P197" i="82"/>
  <c r="AK197" i="82" s="1"/>
  <c r="L111" i="50"/>
  <c r="AX111" i="50" s="1"/>
  <c r="B29" i="85" s="1"/>
  <c r="L74" i="82"/>
  <c r="I65" i="82"/>
  <c r="L19" i="50"/>
  <c r="AX19" i="50" s="1"/>
  <c r="H197" i="82"/>
  <c r="AC197" i="82" s="1"/>
  <c r="H11" i="82"/>
  <c r="E236" i="50"/>
  <c r="AQ236" i="50" s="1"/>
  <c r="B18" i="85" s="1"/>
  <c r="L197" i="82"/>
  <c r="AG197" i="82" s="1"/>
  <c r="X197" i="82"/>
  <c r="AS197" i="82" s="1"/>
  <c r="X11" i="82"/>
  <c r="AG192" i="50"/>
  <c r="BS192" i="50" s="1"/>
  <c r="B94" i="85" s="1"/>
  <c r="B127" i="85" s="1"/>
  <c r="Q65" i="82"/>
  <c r="Z69" i="50"/>
  <c r="P40" i="82"/>
  <c r="P11" i="82"/>
  <c r="E192" i="50"/>
  <c r="AQ192" i="50" s="1"/>
  <c r="B16" i="85" s="1"/>
  <c r="S236" i="50"/>
  <c r="BE236" i="50" s="1"/>
  <c r="B54" i="85" s="1"/>
  <c r="Z192" i="50"/>
  <c r="BL192" i="50" s="1"/>
  <c r="B70" i="85" s="1"/>
  <c r="B125" i="85" s="1"/>
  <c r="AG236" i="50"/>
  <c r="BS236" i="50" s="1"/>
  <c r="B96" i="85" s="1"/>
  <c r="P84" i="82"/>
  <c r="AK84" i="82" s="1"/>
  <c r="S29" i="50"/>
  <c r="E111" i="50"/>
  <c r="AQ111" i="50" s="1"/>
  <c r="B11" i="85" s="1"/>
  <c r="K69" i="7"/>
  <c r="K47" i="7"/>
  <c r="Z259" i="50"/>
  <c r="BL259" i="50" s="1"/>
  <c r="L40" i="82"/>
  <c r="H84" i="82"/>
  <c r="AC84" i="82" s="1"/>
  <c r="E29" i="50"/>
  <c r="P74" i="82"/>
  <c r="AK74" i="82" s="1"/>
  <c r="E63" i="50"/>
  <c r="L69" i="50"/>
  <c r="T88" i="82"/>
  <c r="AO88" i="82" s="1"/>
  <c r="Z33" i="50"/>
  <c r="S58" i="7"/>
  <c r="S36" i="7"/>
  <c r="AG172" i="50"/>
  <c r="AG111" i="50"/>
  <c r="BS111" i="50" s="1"/>
  <c r="B89" i="85" s="1"/>
  <c r="P88" i="82"/>
  <c r="AK88" i="82" s="1"/>
  <c r="S33" i="50"/>
  <c r="E96" i="50"/>
  <c r="X131" i="82"/>
  <c r="AS131" i="82" s="1"/>
  <c r="S98" i="50"/>
  <c r="Z91" i="50"/>
  <c r="L89" i="50"/>
  <c r="X88" i="82"/>
  <c r="AS88" i="82" s="1"/>
  <c r="AG33" i="50"/>
  <c r="Z260" i="50"/>
  <c r="BL260" i="50" s="1"/>
  <c r="E259" i="50"/>
  <c r="H131" i="82"/>
  <c r="AC131" i="82" s="1"/>
  <c r="T84" i="82"/>
  <c r="AO84" i="82" s="1"/>
  <c r="Z29" i="50"/>
  <c r="AG90" i="50"/>
  <c r="M65" i="82"/>
  <c r="S60" i="50" l="1"/>
  <c r="BE60" i="50" s="1"/>
  <c r="B44" i="85" s="1"/>
  <c r="B109" i="85"/>
  <c r="AG94" i="50"/>
  <c r="BS94" i="50" s="1"/>
  <c r="Z94" i="50"/>
  <c r="BL94" i="50" s="1"/>
  <c r="B112" i="85"/>
  <c r="B119" i="85"/>
  <c r="B129" i="85" s="1"/>
  <c r="B114" i="85"/>
  <c r="L94" i="50"/>
  <c r="AX94" i="50" s="1"/>
  <c r="B107" i="85"/>
  <c r="S171" i="50"/>
  <c r="BE171" i="50" s="1"/>
  <c r="B50" i="85" s="1"/>
  <c r="AG60" i="50"/>
  <c r="E94" i="50"/>
  <c r="AQ94" i="50" s="1"/>
  <c r="AQ96" i="50"/>
  <c r="Z171" i="50"/>
  <c r="BL171" i="50" s="1"/>
  <c r="B68" i="85" s="1"/>
  <c r="H220" i="82"/>
  <c r="AC220" i="82" s="1"/>
  <c r="AC40" i="82"/>
  <c r="T219" i="82"/>
  <c r="AO219" i="82" s="1"/>
  <c r="AO11" i="82"/>
  <c r="L108" i="50"/>
  <c r="AX108" i="50" s="1"/>
  <c r="AX33" i="50"/>
  <c r="L171" i="50"/>
  <c r="AX171" i="50" s="1"/>
  <c r="B32" i="85" s="1"/>
  <c r="AG108" i="50"/>
  <c r="BS108" i="50" s="1"/>
  <c r="BS33" i="50"/>
  <c r="S108" i="50"/>
  <c r="BE108" i="50" s="1"/>
  <c r="BE33" i="50"/>
  <c r="L60" i="50"/>
  <c r="AX60" i="50" s="1"/>
  <c r="B26" i="85" s="1"/>
  <c r="AX69" i="50"/>
  <c r="E171" i="50"/>
  <c r="AQ171" i="50" s="1"/>
  <c r="B14" i="85" s="1"/>
  <c r="T220" i="82"/>
  <c r="AO220" i="82" s="1"/>
  <c r="AO40" i="82"/>
  <c r="E221" i="82"/>
  <c r="Z65" i="82"/>
  <c r="X220" i="82"/>
  <c r="AS220" i="82" s="1"/>
  <c r="AS40" i="82"/>
  <c r="E258" i="50"/>
  <c r="AQ258" i="50" s="1"/>
  <c r="B19" i="85" s="1"/>
  <c r="AQ259" i="50"/>
  <c r="U221" i="82"/>
  <c r="AP65" i="82"/>
  <c r="AG104" i="50"/>
  <c r="BS104" i="50" s="1"/>
  <c r="BS29" i="50"/>
  <c r="L220" i="82"/>
  <c r="AG220" i="82" s="1"/>
  <c r="AG40" i="82"/>
  <c r="M221" i="82"/>
  <c r="AH65" i="82"/>
  <c r="Q221" i="82"/>
  <c r="AL65" i="82"/>
  <c r="I221" i="82"/>
  <c r="AD65" i="82"/>
  <c r="S104" i="50"/>
  <c r="BE104" i="50" s="1"/>
  <c r="BE29" i="50"/>
  <c r="X219" i="82"/>
  <c r="AS219" i="82" s="1"/>
  <c r="AS11" i="82"/>
  <c r="L219" i="82"/>
  <c r="AG219" i="82" s="1"/>
  <c r="AG11" i="82"/>
  <c r="L104" i="50"/>
  <c r="AX104" i="50" s="1"/>
  <c r="AX29" i="50"/>
  <c r="H219" i="82"/>
  <c r="AC219" i="82" s="1"/>
  <c r="AC11" i="82"/>
  <c r="P219" i="82"/>
  <c r="AK219" i="82" s="1"/>
  <c r="AK11" i="82"/>
  <c r="Z104" i="50"/>
  <c r="BL104" i="50" s="1"/>
  <c r="BL29" i="50"/>
  <c r="L88" i="50"/>
  <c r="AX88" i="50" s="1"/>
  <c r="AX89" i="50"/>
  <c r="P220" i="82"/>
  <c r="AK220" i="82" s="1"/>
  <c r="AK40" i="82"/>
  <c r="L65" i="82"/>
  <c r="AG65" i="82" s="1"/>
  <c r="AG74" i="82"/>
  <c r="Z88" i="50"/>
  <c r="BL88" i="50" s="1"/>
  <c r="BL91" i="50"/>
  <c r="AG171" i="50"/>
  <c r="BS171" i="50" s="1"/>
  <c r="B92" i="85" s="1"/>
  <c r="BS172" i="50"/>
  <c r="E104" i="50"/>
  <c r="AQ104" i="50" s="1"/>
  <c r="AQ29" i="50"/>
  <c r="Z60" i="50"/>
  <c r="BL60" i="50" s="1"/>
  <c r="B62" i="85" s="1"/>
  <c r="BL69" i="50"/>
  <c r="S88" i="50"/>
  <c r="BE88" i="50" s="1"/>
  <c r="Z108" i="50"/>
  <c r="BL108" i="50" s="1"/>
  <c r="BL33" i="50"/>
  <c r="AG88" i="50"/>
  <c r="BS88" i="50" s="1"/>
  <c r="BS90" i="50"/>
  <c r="E60" i="50"/>
  <c r="AQ60" i="50" s="1"/>
  <c r="B8" i="85" s="1"/>
  <c r="AQ63" i="50"/>
  <c r="E108" i="50"/>
  <c r="AQ108" i="50" s="1"/>
  <c r="AQ33" i="50"/>
  <c r="S94" i="50"/>
  <c r="BE94" i="50" s="1"/>
  <c r="BE98" i="50"/>
  <c r="E88" i="50"/>
  <c r="AQ88" i="50" s="1"/>
  <c r="E281" i="50"/>
  <c r="AQ281" i="50" s="1"/>
  <c r="AQ35" i="50"/>
  <c r="B7" i="85" s="1"/>
  <c r="S258" i="50"/>
  <c r="BE258" i="50" s="1"/>
  <c r="B55" i="85" s="1"/>
  <c r="L281" i="50"/>
  <c r="AX281" i="50" s="1"/>
  <c r="AX35" i="50"/>
  <c r="B25" i="85" s="1"/>
  <c r="AG258" i="50"/>
  <c r="BS258" i="50" s="1"/>
  <c r="B97" i="85" s="1"/>
  <c r="S281" i="50"/>
  <c r="BE281" i="50" s="1"/>
  <c r="BE35" i="50"/>
  <c r="B43" i="85" s="1"/>
  <c r="Z281" i="50"/>
  <c r="BL281" i="50" s="1"/>
  <c r="BL35" i="50"/>
  <c r="B61" i="85" s="1"/>
  <c r="S67" i="62"/>
  <c r="BJ67" i="62" s="1"/>
  <c r="L258" i="50"/>
  <c r="AX258" i="50" s="1"/>
  <c r="B37" i="85" s="1"/>
  <c r="AG281" i="50"/>
  <c r="BS281" i="50" s="1"/>
  <c r="BS35" i="50"/>
  <c r="B85" i="85" s="1"/>
  <c r="L67" i="62"/>
  <c r="BC67" i="62" s="1"/>
  <c r="L10" i="50"/>
  <c r="S282" i="50"/>
  <c r="BE282" i="50" s="1"/>
  <c r="L282" i="50"/>
  <c r="AX282" i="50" s="1"/>
  <c r="E10" i="50"/>
  <c r="Z282" i="50"/>
  <c r="BL282" i="50" s="1"/>
  <c r="X65" i="82"/>
  <c r="H65" i="82"/>
  <c r="T65" i="82"/>
  <c r="L221" i="82"/>
  <c r="S10" i="50"/>
  <c r="AG10" i="50"/>
  <c r="P65" i="82"/>
  <c r="Z10" i="50"/>
  <c r="S69" i="7"/>
  <c r="S47" i="7"/>
  <c r="Z258" i="50"/>
  <c r="BL258" i="50" s="1"/>
  <c r="B73" i="85" s="1"/>
  <c r="AA58" i="7"/>
  <c r="AA36" i="7"/>
  <c r="E36" i="58"/>
  <c r="E27" i="58"/>
  <c r="O27" i="58" s="1"/>
  <c r="E19" i="58"/>
  <c r="E39" i="58" s="1"/>
  <c r="E42" i="58" s="1"/>
  <c r="O42" i="58" s="1"/>
  <c r="E14" i="58"/>
  <c r="E38" i="58" s="1"/>
  <c r="B103" i="85" l="1"/>
  <c r="S85" i="50"/>
  <c r="BE85" i="50" s="1"/>
  <c r="B45" i="85" s="1"/>
  <c r="L85" i="50"/>
  <c r="AX85" i="50" s="1"/>
  <c r="B27" i="85" s="1"/>
  <c r="B110" i="85"/>
  <c r="B115" i="85"/>
  <c r="Z280" i="50"/>
  <c r="BL280" i="50" s="1"/>
  <c r="BL10" i="50"/>
  <c r="B60" i="85" s="1"/>
  <c r="P221" i="82"/>
  <c r="AK65" i="82"/>
  <c r="Z85" i="50"/>
  <c r="BL85" i="50" s="1"/>
  <c r="B63" i="85" s="1"/>
  <c r="AG85" i="50"/>
  <c r="L280" i="50"/>
  <c r="AX280" i="50" s="1"/>
  <c r="AX10" i="50"/>
  <c r="B24" i="85" s="1"/>
  <c r="H221" i="82"/>
  <c r="AC65" i="82"/>
  <c r="I223" i="82"/>
  <c r="AD223" i="82" s="1"/>
  <c r="AD221" i="82"/>
  <c r="E223" i="82"/>
  <c r="Z223" i="82" s="1"/>
  <c r="Z221" i="82"/>
  <c r="E85" i="50"/>
  <c r="X221" i="82"/>
  <c r="AS65" i="82"/>
  <c r="Q223" i="82"/>
  <c r="AL223" i="82" s="1"/>
  <c r="AL221" i="82"/>
  <c r="U223" i="82"/>
  <c r="AP223" i="82" s="1"/>
  <c r="AP221" i="82"/>
  <c r="E282" i="50"/>
  <c r="AQ282" i="50" s="1"/>
  <c r="T221" i="82"/>
  <c r="AO65" i="82"/>
  <c r="S280" i="50"/>
  <c r="BE280" i="50" s="1"/>
  <c r="BE10" i="50"/>
  <c r="B42" i="85" s="1"/>
  <c r="L223" i="82"/>
  <c r="AG223" i="82" s="1"/>
  <c r="AG221" i="82"/>
  <c r="M223" i="82"/>
  <c r="AH223" i="82" s="1"/>
  <c r="AH221" i="82"/>
  <c r="AG282" i="50"/>
  <c r="BS282" i="50" s="1"/>
  <c r="BS60" i="50"/>
  <c r="B86" i="85" s="1"/>
  <c r="B104" i="85" s="1"/>
  <c r="S283" i="50"/>
  <c r="BE283" i="50" s="1"/>
  <c r="L283" i="50"/>
  <c r="AX283" i="50" s="1"/>
  <c r="AG280" i="50"/>
  <c r="BS280" i="50" s="1"/>
  <c r="BS10" i="50"/>
  <c r="B84" i="85" s="1"/>
  <c r="E280" i="50"/>
  <c r="AQ280" i="50" s="1"/>
  <c r="AQ10" i="50"/>
  <c r="B6" i="85" s="1"/>
  <c r="Z283" i="50"/>
  <c r="BL283" i="50" s="1"/>
  <c r="AI36" i="7"/>
  <c r="AI58" i="7"/>
  <c r="E32" i="58"/>
  <c r="O32" i="58" s="1"/>
  <c r="AA69" i="7"/>
  <c r="AA47" i="7"/>
  <c r="E37" i="58"/>
  <c r="E41" i="58"/>
  <c r="B102" i="85" l="1"/>
  <c r="AG283" i="50"/>
  <c r="BS283" i="50" s="1"/>
  <c r="BS85" i="50"/>
  <c r="B87" i="85" s="1"/>
  <c r="E283" i="50"/>
  <c r="AQ283" i="50" s="1"/>
  <c r="AQ85" i="50"/>
  <c r="B9" i="85" s="1"/>
  <c r="X223" i="82"/>
  <c r="AS223" i="82" s="1"/>
  <c r="AS221" i="82"/>
  <c r="T223" i="82"/>
  <c r="AO223" i="82" s="1"/>
  <c r="AO221" i="82"/>
  <c r="E40" i="58"/>
  <c r="O40" i="58" s="1"/>
  <c r="O41" i="58"/>
  <c r="P223" i="82"/>
  <c r="AK223" i="82" s="1"/>
  <c r="AK221" i="82"/>
  <c r="H223" i="82"/>
  <c r="AC223" i="82" s="1"/>
  <c r="AC221" i="82"/>
  <c r="AQ58" i="7"/>
  <c r="AQ36" i="7"/>
  <c r="AI69" i="7"/>
  <c r="AI47" i="7"/>
  <c r="S150" i="67"/>
  <c r="B105" i="85" l="1"/>
  <c r="AQ69" i="7"/>
  <c r="AQ47" i="7"/>
  <c r="C13" i="39"/>
  <c r="H76" i="39"/>
  <c r="G76" i="39"/>
  <c r="F76" i="39"/>
  <c r="E76" i="39"/>
  <c r="D76" i="39"/>
  <c r="C76" i="39"/>
  <c r="H60" i="39"/>
  <c r="G60" i="39"/>
  <c r="F60" i="39"/>
  <c r="E60" i="39"/>
  <c r="D60" i="39"/>
  <c r="C60" i="39"/>
  <c r="H44" i="39"/>
  <c r="G44" i="39"/>
  <c r="F44" i="39"/>
  <c r="E44" i="39"/>
  <c r="D44" i="39"/>
  <c r="C44" i="39"/>
  <c r="H29" i="39"/>
  <c r="G29" i="39"/>
  <c r="F29" i="39"/>
  <c r="E29" i="39"/>
  <c r="D29" i="39"/>
  <c r="C29" i="39"/>
  <c r="D13" i="39"/>
  <c r="E13" i="39"/>
  <c r="F13" i="39"/>
  <c r="G13" i="39"/>
  <c r="H13" i="39"/>
  <c r="AA133" i="77" l="1"/>
  <c r="Z133" i="77"/>
  <c r="Y133" i="77"/>
  <c r="X133" i="77"/>
  <c r="W133" i="77"/>
  <c r="V133" i="77"/>
  <c r="U133" i="77"/>
  <c r="T133" i="77"/>
  <c r="S133" i="77"/>
  <c r="R133" i="77"/>
  <c r="Q133" i="77"/>
  <c r="P133" i="77"/>
  <c r="O133" i="77"/>
  <c r="N133" i="77"/>
  <c r="M133" i="77"/>
  <c r="L133" i="77"/>
  <c r="K133" i="77"/>
  <c r="J133" i="77"/>
  <c r="I133" i="77"/>
  <c r="H133" i="77"/>
  <c r="G133" i="77"/>
  <c r="F133" i="77"/>
  <c r="E133" i="77"/>
  <c r="D133" i="77"/>
  <c r="C133" i="77"/>
  <c r="AA110" i="77"/>
  <c r="Z110" i="77"/>
  <c r="Y110" i="77"/>
  <c r="X110" i="77"/>
  <c r="W110" i="77"/>
  <c r="V110" i="77"/>
  <c r="U110" i="77"/>
  <c r="T110" i="77"/>
  <c r="S110" i="77"/>
  <c r="R110" i="77"/>
  <c r="Q110" i="77"/>
  <c r="P110" i="77"/>
  <c r="O110" i="77"/>
  <c r="N110" i="77"/>
  <c r="M110" i="77"/>
  <c r="L110" i="77"/>
  <c r="K110" i="77"/>
  <c r="J110" i="77"/>
  <c r="I110" i="77"/>
  <c r="H110" i="77"/>
  <c r="G110" i="77"/>
  <c r="F110" i="77"/>
  <c r="E110" i="77"/>
  <c r="D110" i="77"/>
  <c r="C110" i="77"/>
  <c r="AA86" i="77"/>
  <c r="Z86" i="77"/>
  <c r="Y86" i="77"/>
  <c r="X86" i="77"/>
  <c r="W86" i="77"/>
  <c r="V86" i="77"/>
  <c r="U86" i="77"/>
  <c r="T86" i="77"/>
  <c r="S86" i="77"/>
  <c r="R86" i="77"/>
  <c r="Q86" i="77"/>
  <c r="P86" i="77"/>
  <c r="O86" i="77"/>
  <c r="N86" i="77"/>
  <c r="M86" i="77"/>
  <c r="L86" i="77"/>
  <c r="K86" i="77"/>
  <c r="J86" i="77"/>
  <c r="I86" i="77"/>
  <c r="H86" i="77"/>
  <c r="G86" i="77"/>
  <c r="F86" i="77"/>
  <c r="E86" i="77"/>
  <c r="D86" i="77"/>
  <c r="C86" i="77"/>
  <c r="AA63" i="77"/>
  <c r="Z63" i="77"/>
  <c r="Y63" i="77"/>
  <c r="X63" i="77"/>
  <c r="W63" i="77"/>
  <c r="V63" i="77"/>
  <c r="U63" i="77"/>
  <c r="T63" i="77"/>
  <c r="S63" i="77"/>
  <c r="R63" i="77"/>
  <c r="Q63" i="77"/>
  <c r="P63" i="77"/>
  <c r="O63" i="77"/>
  <c r="N63" i="77"/>
  <c r="M63" i="77"/>
  <c r="L63" i="77"/>
  <c r="K63" i="77"/>
  <c r="J63" i="77"/>
  <c r="I63" i="77"/>
  <c r="H63" i="77"/>
  <c r="G63" i="77"/>
  <c r="F63" i="77"/>
  <c r="E63" i="77"/>
  <c r="D63" i="77"/>
  <c r="C63" i="77"/>
  <c r="AA39" i="77"/>
  <c r="Z39" i="77"/>
  <c r="Y39" i="77"/>
  <c r="X39" i="77"/>
  <c r="W39" i="77"/>
  <c r="V39" i="77"/>
  <c r="U39" i="77"/>
  <c r="T39" i="77"/>
  <c r="S39" i="77"/>
  <c r="R39" i="77"/>
  <c r="Q39" i="77"/>
  <c r="P39" i="77"/>
  <c r="O39" i="77"/>
  <c r="N39" i="77"/>
  <c r="M39" i="77"/>
  <c r="L39" i="77"/>
  <c r="K39" i="77"/>
  <c r="J39" i="77"/>
  <c r="I39" i="77"/>
  <c r="H39" i="77"/>
  <c r="G39" i="77"/>
  <c r="F39" i="77"/>
  <c r="E39" i="77"/>
  <c r="D39" i="77"/>
  <c r="C39" i="77"/>
  <c r="AA16" i="77"/>
  <c r="Z16" i="77"/>
  <c r="Y16" i="77"/>
  <c r="X16" i="77"/>
  <c r="W16" i="77"/>
  <c r="V16" i="77"/>
  <c r="U16" i="77"/>
  <c r="T16" i="77"/>
  <c r="S16" i="77"/>
  <c r="R16" i="77"/>
  <c r="Q16" i="77"/>
  <c r="P16" i="77"/>
  <c r="O16" i="77"/>
  <c r="N16" i="77"/>
  <c r="M16" i="77"/>
  <c r="L16" i="77"/>
  <c r="K16" i="77"/>
  <c r="J16" i="77"/>
  <c r="I16" i="77"/>
  <c r="H16" i="77"/>
  <c r="G16" i="77"/>
  <c r="F16" i="77"/>
  <c r="E16" i="77"/>
  <c r="D16" i="77"/>
  <c r="C16" i="77"/>
  <c r="T116" i="67"/>
  <c r="T114" i="67"/>
  <c r="U92" i="67"/>
  <c r="V92" i="67"/>
  <c r="W92" i="67"/>
  <c r="X92" i="67"/>
  <c r="Y92" i="67"/>
  <c r="T92" i="67"/>
  <c r="U90" i="67"/>
  <c r="V90" i="67"/>
  <c r="W90" i="67"/>
  <c r="X90" i="67"/>
  <c r="Y90" i="67"/>
  <c r="T90" i="67"/>
  <c r="Z92" i="67" l="1"/>
  <c r="AA92" i="67"/>
  <c r="AA90" i="67"/>
  <c r="Z90" i="67"/>
  <c r="S48" i="79" l="1"/>
  <c r="S49" i="79"/>
  <c r="S50" i="79"/>
  <c r="S51" i="79"/>
  <c r="S52" i="79"/>
  <c r="S53" i="79"/>
  <c r="S54" i="79"/>
  <c r="S47" i="79"/>
  <c r="S35" i="79"/>
  <c r="S36" i="79"/>
  <c r="S37" i="79"/>
  <c r="S38" i="79"/>
  <c r="S39" i="79"/>
  <c r="S40" i="79"/>
  <c r="S41" i="79"/>
  <c r="S42" i="79"/>
  <c r="S43" i="79"/>
  <c r="S44" i="79"/>
  <c r="S45" i="79"/>
  <c r="S34" i="79"/>
  <c r="E8" i="22" l="1"/>
  <c r="I8" i="46" l="1"/>
  <c r="H8" i="46"/>
  <c r="G8" i="46"/>
  <c r="F8" i="46"/>
  <c r="E8" i="46"/>
  <c r="A165" i="46" s="1"/>
  <c r="D8" i="46"/>
  <c r="N95" i="39"/>
  <c r="AA95" i="39" s="1"/>
  <c r="W21" i="83" s="1"/>
  <c r="M95" i="39"/>
  <c r="Z95" i="39" s="1"/>
  <c r="V21" i="83" s="1"/>
  <c r="L95" i="39"/>
  <c r="Y95" i="39" s="1"/>
  <c r="U21" i="83" s="1"/>
  <c r="K95" i="39"/>
  <c r="X95" i="39" s="1"/>
  <c r="T21" i="83" s="1"/>
  <c r="J95" i="39"/>
  <c r="W95" i="39" s="1"/>
  <c r="S21" i="83" s="1"/>
  <c r="I95" i="39"/>
  <c r="V95" i="39" s="1"/>
  <c r="R21" i="83" s="1"/>
  <c r="N94" i="39"/>
  <c r="AA94" i="39" s="1"/>
  <c r="W17" i="83" s="1"/>
  <c r="M94" i="39"/>
  <c r="Z94" i="39" s="1"/>
  <c r="V17" i="83" s="1"/>
  <c r="L94" i="39"/>
  <c r="Y94" i="39" s="1"/>
  <c r="U17" i="83" s="1"/>
  <c r="K94" i="39"/>
  <c r="X94" i="39" s="1"/>
  <c r="T17" i="83" s="1"/>
  <c r="J94" i="39"/>
  <c r="W94" i="39" s="1"/>
  <c r="S17" i="83" s="1"/>
  <c r="I94" i="39"/>
  <c r="V94" i="39" s="1"/>
  <c r="R17" i="83" s="1"/>
  <c r="N79" i="39"/>
  <c r="AA79" i="39" s="1"/>
  <c r="M79" i="39"/>
  <c r="Z79" i="39" s="1"/>
  <c r="L79" i="39"/>
  <c r="Y79" i="39" s="1"/>
  <c r="K79" i="39"/>
  <c r="X79" i="39" s="1"/>
  <c r="J79" i="39"/>
  <c r="W79" i="39" s="1"/>
  <c r="I79" i="39"/>
  <c r="V79" i="39" s="1"/>
  <c r="N78" i="39"/>
  <c r="AA78" i="39" s="1"/>
  <c r="M78" i="39"/>
  <c r="Z78" i="39" s="1"/>
  <c r="L78" i="39"/>
  <c r="Y78" i="39" s="1"/>
  <c r="K78" i="39"/>
  <c r="X78" i="39" s="1"/>
  <c r="J78" i="39"/>
  <c r="W78" i="39" s="1"/>
  <c r="I78" i="39"/>
  <c r="V78" i="39" s="1"/>
  <c r="N77" i="39"/>
  <c r="AA77" i="39" s="1"/>
  <c r="M77" i="39"/>
  <c r="L77" i="39"/>
  <c r="Y77" i="39" s="1"/>
  <c r="K77" i="39"/>
  <c r="X77" i="39" s="1"/>
  <c r="J77" i="39"/>
  <c r="W77" i="39" s="1"/>
  <c r="I77" i="39"/>
  <c r="V77" i="39" s="1"/>
  <c r="N75" i="39"/>
  <c r="AA75" i="39" s="1"/>
  <c r="M75" i="39"/>
  <c r="Z75" i="39" s="1"/>
  <c r="L75" i="39"/>
  <c r="Y75" i="39" s="1"/>
  <c r="K75" i="39"/>
  <c r="X75" i="39" s="1"/>
  <c r="J75" i="39"/>
  <c r="W75" i="39" s="1"/>
  <c r="I75" i="39"/>
  <c r="V75" i="39" s="1"/>
  <c r="N74" i="39"/>
  <c r="AA74" i="39" s="1"/>
  <c r="M74" i="39"/>
  <c r="Z74" i="39" s="1"/>
  <c r="L74" i="39"/>
  <c r="Y74" i="39" s="1"/>
  <c r="K74" i="39"/>
  <c r="X74" i="39" s="1"/>
  <c r="J74" i="39"/>
  <c r="W74" i="39" s="1"/>
  <c r="I74" i="39"/>
  <c r="V74" i="39" s="1"/>
  <c r="N73" i="39"/>
  <c r="AA73" i="39" s="1"/>
  <c r="M73" i="39"/>
  <c r="Z73" i="39" s="1"/>
  <c r="L73" i="39"/>
  <c r="Y73" i="39" s="1"/>
  <c r="K73" i="39"/>
  <c r="X73" i="39" s="1"/>
  <c r="J73" i="39"/>
  <c r="W73" i="39" s="1"/>
  <c r="I73" i="39"/>
  <c r="V73" i="39" s="1"/>
  <c r="N63" i="39"/>
  <c r="AA63" i="39" s="1"/>
  <c r="M63" i="39"/>
  <c r="Z63" i="39" s="1"/>
  <c r="L63" i="39"/>
  <c r="Y63" i="39" s="1"/>
  <c r="K63" i="39"/>
  <c r="X63" i="39" s="1"/>
  <c r="J63" i="39"/>
  <c r="W63" i="39" s="1"/>
  <c r="I63" i="39"/>
  <c r="V63" i="39" s="1"/>
  <c r="N62" i="39"/>
  <c r="AA62" i="39" s="1"/>
  <c r="M62" i="39"/>
  <c r="Z62" i="39" s="1"/>
  <c r="L62" i="39"/>
  <c r="Y62" i="39" s="1"/>
  <c r="K62" i="39"/>
  <c r="X62" i="39" s="1"/>
  <c r="J62" i="39"/>
  <c r="W62" i="39" s="1"/>
  <c r="I62" i="39"/>
  <c r="V62" i="39" s="1"/>
  <c r="N61" i="39"/>
  <c r="AA61" i="39" s="1"/>
  <c r="M61" i="39"/>
  <c r="Z61" i="39" s="1"/>
  <c r="L61" i="39"/>
  <c r="Y61" i="39" s="1"/>
  <c r="K61" i="39"/>
  <c r="X61" i="39" s="1"/>
  <c r="J61" i="39"/>
  <c r="W61" i="39" s="1"/>
  <c r="I61" i="39"/>
  <c r="V61" i="39" s="1"/>
  <c r="N59" i="39"/>
  <c r="AA59" i="39" s="1"/>
  <c r="M59" i="39"/>
  <c r="Z59" i="39" s="1"/>
  <c r="L59" i="39"/>
  <c r="Y59" i="39" s="1"/>
  <c r="K59" i="39"/>
  <c r="X59" i="39" s="1"/>
  <c r="J59" i="39"/>
  <c r="W59" i="39" s="1"/>
  <c r="I59" i="39"/>
  <c r="V59" i="39" s="1"/>
  <c r="N58" i="39"/>
  <c r="AA58" i="39" s="1"/>
  <c r="M58" i="39"/>
  <c r="Z58" i="39" s="1"/>
  <c r="L58" i="39"/>
  <c r="Y58" i="39" s="1"/>
  <c r="K58" i="39"/>
  <c r="X58" i="39" s="1"/>
  <c r="J58" i="39"/>
  <c r="W58" i="39" s="1"/>
  <c r="I58" i="39"/>
  <c r="V58" i="39" s="1"/>
  <c r="N57" i="39"/>
  <c r="AA57" i="39" s="1"/>
  <c r="M57" i="39"/>
  <c r="Z57" i="39" s="1"/>
  <c r="L57" i="39"/>
  <c r="Y57" i="39" s="1"/>
  <c r="K57" i="39"/>
  <c r="X57" i="39" s="1"/>
  <c r="J57" i="39"/>
  <c r="W57" i="39" s="1"/>
  <c r="I57" i="39"/>
  <c r="V57" i="39" s="1"/>
  <c r="N47" i="39"/>
  <c r="AA47" i="39" s="1"/>
  <c r="M47" i="39"/>
  <c r="Z47" i="39" s="1"/>
  <c r="L47" i="39"/>
  <c r="Y47" i="39" s="1"/>
  <c r="K47" i="39"/>
  <c r="X47" i="39" s="1"/>
  <c r="J47" i="39"/>
  <c r="W47" i="39" s="1"/>
  <c r="I47" i="39"/>
  <c r="V47" i="39" s="1"/>
  <c r="N46" i="39"/>
  <c r="AA46" i="39" s="1"/>
  <c r="M46" i="39"/>
  <c r="Z46" i="39" s="1"/>
  <c r="L46" i="39"/>
  <c r="Y46" i="39" s="1"/>
  <c r="K46" i="39"/>
  <c r="X46" i="39" s="1"/>
  <c r="J46" i="39"/>
  <c r="W46" i="39" s="1"/>
  <c r="I46" i="39"/>
  <c r="V46" i="39" s="1"/>
  <c r="N45" i="39"/>
  <c r="AA45" i="39" s="1"/>
  <c r="M45" i="39"/>
  <c r="Z45" i="39" s="1"/>
  <c r="L45" i="39"/>
  <c r="Y45" i="39" s="1"/>
  <c r="K45" i="39"/>
  <c r="X45" i="39" s="1"/>
  <c r="J45" i="39"/>
  <c r="W45" i="39" s="1"/>
  <c r="I45" i="39"/>
  <c r="V45" i="39" s="1"/>
  <c r="C49" i="39"/>
  <c r="L10" i="83" s="1"/>
  <c r="N43" i="39"/>
  <c r="AA43" i="39" s="1"/>
  <c r="M43" i="39"/>
  <c r="Z43" i="39" s="1"/>
  <c r="L43" i="39"/>
  <c r="Y43" i="39" s="1"/>
  <c r="K43" i="39"/>
  <c r="X43" i="39" s="1"/>
  <c r="J43" i="39"/>
  <c r="W43" i="39" s="1"/>
  <c r="I43" i="39"/>
  <c r="V43" i="39" s="1"/>
  <c r="N42" i="39"/>
  <c r="AA42" i="39" s="1"/>
  <c r="M42" i="39"/>
  <c r="Z42" i="39" s="1"/>
  <c r="L42" i="39"/>
  <c r="Y42" i="39" s="1"/>
  <c r="K42" i="39"/>
  <c r="X42" i="39" s="1"/>
  <c r="J42" i="39"/>
  <c r="W42" i="39" s="1"/>
  <c r="I42" i="39"/>
  <c r="V42" i="39" s="1"/>
  <c r="N41" i="39"/>
  <c r="AA41" i="39" s="1"/>
  <c r="M41" i="39"/>
  <c r="Z41" i="39" s="1"/>
  <c r="L41" i="39"/>
  <c r="Y41" i="39" s="1"/>
  <c r="K41" i="39"/>
  <c r="X41" i="39" s="1"/>
  <c r="J41" i="39"/>
  <c r="W41" i="39" s="1"/>
  <c r="I41" i="39"/>
  <c r="V41" i="39" s="1"/>
  <c r="N32" i="39"/>
  <c r="AA32" i="39" s="1"/>
  <c r="M32" i="39"/>
  <c r="Z32" i="39" s="1"/>
  <c r="L32" i="39"/>
  <c r="Y32" i="39" s="1"/>
  <c r="K32" i="39"/>
  <c r="X32" i="39" s="1"/>
  <c r="J32" i="39"/>
  <c r="W32" i="39" s="1"/>
  <c r="I32" i="39"/>
  <c r="V32" i="39" s="1"/>
  <c r="N31" i="39"/>
  <c r="AA31" i="39" s="1"/>
  <c r="M31" i="39"/>
  <c r="Z31" i="39" s="1"/>
  <c r="L31" i="39"/>
  <c r="Y31" i="39" s="1"/>
  <c r="K31" i="39"/>
  <c r="X31" i="39" s="1"/>
  <c r="J31" i="39"/>
  <c r="W31" i="39" s="1"/>
  <c r="I31" i="39"/>
  <c r="V31" i="39" s="1"/>
  <c r="N30" i="39"/>
  <c r="AA30" i="39" s="1"/>
  <c r="M30" i="39"/>
  <c r="Z30" i="39" s="1"/>
  <c r="L30" i="39"/>
  <c r="Y30" i="39" s="1"/>
  <c r="K30" i="39"/>
  <c r="X30" i="39" s="1"/>
  <c r="J30" i="39"/>
  <c r="W30" i="39" s="1"/>
  <c r="I30" i="39"/>
  <c r="V30" i="39" s="1"/>
  <c r="N28" i="39"/>
  <c r="AA28" i="39" s="1"/>
  <c r="M28" i="39"/>
  <c r="Z28" i="39" s="1"/>
  <c r="L28" i="39"/>
  <c r="Y28" i="39" s="1"/>
  <c r="K28" i="39"/>
  <c r="X28" i="39" s="1"/>
  <c r="J28" i="39"/>
  <c r="W28" i="39" s="1"/>
  <c r="I28" i="39"/>
  <c r="V28" i="39" s="1"/>
  <c r="N27" i="39"/>
  <c r="AA27" i="39" s="1"/>
  <c r="M27" i="39"/>
  <c r="Z27" i="39" s="1"/>
  <c r="L27" i="39"/>
  <c r="Y27" i="39" s="1"/>
  <c r="K27" i="39"/>
  <c r="X27" i="39" s="1"/>
  <c r="J27" i="39"/>
  <c r="W27" i="39" s="1"/>
  <c r="I27" i="39"/>
  <c r="V27" i="39" s="1"/>
  <c r="N26" i="39"/>
  <c r="AA26" i="39" s="1"/>
  <c r="M26" i="39"/>
  <c r="Z26" i="39" s="1"/>
  <c r="L26" i="39"/>
  <c r="Y26" i="39" s="1"/>
  <c r="K26" i="39"/>
  <c r="X26" i="39" s="1"/>
  <c r="J26" i="39"/>
  <c r="W26" i="39" s="1"/>
  <c r="I26" i="39"/>
  <c r="V26" i="39" s="1"/>
  <c r="N16" i="39"/>
  <c r="AA16" i="39" s="1"/>
  <c r="M16" i="39"/>
  <c r="Z16" i="39" s="1"/>
  <c r="L16" i="39"/>
  <c r="Y16" i="39" s="1"/>
  <c r="K16" i="39"/>
  <c r="X16" i="39" s="1"/>
  <c r="J16" i="39"/>
  <c r="W16" i="39" s="1"/>
  <c r="I16" i="39"/>
  <c r="V16" i="39" s="1"/>
  <c r="N15" i="39"/>
  <c r="AA15" i="39" s="1"/>
  <c r="M15" i="39"/>
  <c r="Z15" i="39" s="1"/>
  <c r="L15" i="39"/>
  <c r="Y15" i="39" s="1"/>
  <c r="K15" i="39"/>
  <c r="X15" i="39" s="1"/>
  <c r="J15" i="39"/>
  <c r="W15" i="39" s="1"/>
  <c r="I15" i="39"/>
  <c r="V15" i="39" s="1"/>
  <c r="N14" i="39"/>
  <c r="AA14" i="39" s="1"/>
  <c r="M14" i="39"/>
  <c r="Z14" i="39" s="1"/>
  <c r="L14" i="39"/>
  <c r="Y14" i="39" s="1"/>
  <c r="K14" i="39"/>
  <c r="X14" i="39" s="1"/>
  <c r="J14" i="39"/>
  <c r="W14" i="39" s="1"/>
  <c r="I14" i="39"/>
  <c r="V14" i="39" s="1"/>
  <c r="C18" i="39"/>
  <c r="L5" i="83" s="1"/>
  <c r="N12" i="39"/>
  <c r="AA12" i="39" s="1"/>
  <c r="M12" i="39"/>
  <c r="Z12" i="39" s="1"/>
  <c r="L12" i="39"/>
  <c r="Y12" i="39" s="1"/>
  <c r="K12" i="39"/>
  <c r="X12" i="39" s="1"/>
  <c r="J12" i="39"/>
  <c r="W12" i="39" s="1"/>
  <c r="I12" i="39"/>
  <c r="V12" i="39" s="1"/>
  <c r="N11" i="39"/>
  <c r="AA11" i="39" s="1"/>
  <c r="M11" i="39"/>
  <c r="Z11" i="39" s="1"/>
  <c r="L11" i="39"/>
  <c r="Y11" i="39" s="1"/>
  <c r="K11" i="39"/>
  <c r="X11" i="39" s="1"/>
  <c r="J11" i="39"/>
  <c r="W11" i="39" s="1"/>
  <c r="N10" i="39"/>
  <c r="AA10" i="39" s="1"/>
  <c r="M10" i="39"/>
  <c r="Z10" i="39" s="1"/>
  <c r="L10" i="39"/>
  <c r="Y10" i="39" s="1"/>
  <c r="K10" i="39"/>
  <c r="X10" i="39" s="1"/>
  <c r="J10" i="39"/>
  <c r="W10" i="39" s="1"/>
  <c r="I10" i="39"/>
  <c r="V10" i="39" s="1"/>
  <c r="I111" i="76"/>
  <c r="Q111" i="76" s="1"/>
  <c r="H111" i="76"/>
  <c r="P111" i="76" s="1"/>
  <c r="G111" i="76"/>
  <c r="O111" i="76" s="1"/>
  <c r="F111" i="76"/>
  <c r="N111" i="76" s="1"/>
  <c r="E111" i="76"/>
  <c r="M111" i="76" s="1"/>
  <c r="D111" i="76"/>
  <c r="L111" i="76" s="1"/>
  <c r="M76" i="39" l="1"/>
  <c r="Z76" i="39" s="1"/>
  <c r="Z77" i="39"/>
  <c r="I60" i="39"/>
  <c r="J60" i="39"/>
  <c r="W60" i="39" s="1"/>
  <c r="N76" i="39"/>
  <c r="AA76" i="39" s="1"/>
  <c r="M60" i="39"/>
  <c r="I76" i="39"/>
  <c r="J76" i="39"/>
  <c r="N29" i="39"/>
  <c r="I44" i="39"/>
  <c r="M44" i="39"/>
  <c r="J44" i="39"/>
  <c r="N44" i="39"/>
  <c r="N60" i="39"/>
  <c r="K44" i="39"/>
  <c r="K60" i="39"/>
  <c r="K76" i="39"/>
  <c r="X76" i="39" s="1"/>
  <c r="I13" i="39"/>
  <c r="M13" i="39"/>
  <c r="L44" i="39"/>
  <c r="L60" i="39"/>
  <c r="L76" i="39"/>
  <c r="J29" i="39"/>
  <c r="L13" i="39"/>
  <c r="K29" i="39"/>
  <c r="N13" i="39"/>
  <c r="L29" i="39"/>
  <c r="J13" i="39"/>
  <c r="K13" i="39"/>
  <c r="I29" i="39"/>
  <c r="M29" i="39"/>
  <c r="T76" i="39" l="1"/>
  <c r="AG76" i="39" s="1"/>
  <c r="P60" i="39"/>
  <c r="AC60" i="39" s="1"/>
  <c r="S76" i="39"/>
  <c r="AF76" i="39" s="1"/>
  <c r="Q76" i="39"/>
  <c r="AD76" i="39" s="1"/>
  <c r="P29" i="39"/>
  <c r="AC29" i="39" s="1"/>
  <c r="W29" i="39"/>
  <c r="S13" i="39"/>
  <c r="AF13" i="39" s="1"/>
  <c r="Z13" i="39"/>
  <c r="Q44" i="39"/>
  <c r="AD44" i="39" s="1"/>
  <c r="X44" i="39"/>
  <c r="S44" i="39"/>
  <c r="AF44" i="39" s="1"/>
  <c r="Z44" i="39"/>
  <c r="O76" i="39"/>
  <c r="AB76" i="39" s="1"/>
  <c r="V76" i="39"/>
  <c r="O60" i="39"/>
  <c r="AB60" i="39" s="1"/>
  <c r="V60" i="39"/>
  <c r="P13" i="39"/>
  <c r="AC13" i="39" s="1"/>
  <c r="W13" i="39"/>
  <c r="R13" i="39"/>
  <c r="AE13" i="39" s="1"/>
  <c r="Y13" i="39"/>
  <c r="Q60" i="39"/>
  <c r="AD60" i="39" s="1"/>
  <c r="X60" i="39"/>
  <c r="R29" i="39"/>
  <c r="AE29" i="39" s="1"/>
  <c r="Y29" i="39"/>
  <c r="O29" i="39"/>
  <c r="AB29" i="39" s="1"/>
  <c r="V29" i="39"/>
  <c r="T13" i="39"/>
  <c r="AG13" i="39" s="1"/>
  <c r="AA13" i="39"/>
  <c r="R76" i="39"/>
  <c r="AE76" i="39" s="1"/>
  <c r="Y76" i="39"/>
  <c r="O13" i="39"/>
  <c r="AB13" i="39" s="1"/>
  <c r="V13" i="39"/>
  <c r="T60" i="39"/>
  <c r="AG60" i="39" s="1"/>
  <c r="AA60" i="39"/>
  <c r="I49" i="39"/>
  <c r="V49" i="39" s="1"/>
  <c r="R10" i="83" s="1"/>
  <c r="V44" i="39"/>
  <c r="S60" i="39"/>
  <c r="AF60" i="39" s="1"/>
  <c r="Z60" i="39"/>
  <c r="R44" i="39"/>
  <c r="AE44" i="39" s="1"/>
  <c r="Y44" i="39"/>
  <c r="P44" i="39"/>
  <c r="AC44" i="39" s="1"/>
  <c r="W44" i="39"/>
  <c r="P76" i="39"/>
  <c r="AC76" i="39" s="1"/>
  <c r="W76" i="39"/>
  <c r="S29" i="39"/>
  <c r="AF29" i="39" s="1"/>
  <c r="Z29" i="39"/>
  <c r="Q13" i="39"/>
  <c r="AD13" i="39" s="1"/>
  <c r="X13" i="39"/>
  <c r="Q29" i="39"/>
  <c r="AD29" i="39" s="1"/>
  <c r="X29" i="39"/>
  <c r="R60" i="39"/>
  <c r="AE60" i="39" s="1"/>
  <c r="Y60" i="39"/>
  <c r="T44" i="39"/>
  <c r="AG44" i="39" s="1"/>
  <c r="AA44" i="39"/>
  <c r="T29" i="39"/>
  <c r="AG29" i="39" s="1"/>
  <c r="AA29" i="39"/>
  <c r="O44" i="39"/>
  <c r="AB44" i="39" s="1"/>
  <c r="I25" i="65"/>
  <c r="H25" i="65"/>
  <c r="G25" i="65"/>
  <c r="F25" i="65"/>
  <c r="E25" i="65"/>
  <c r="G12" i="74" l="1"/>
  <c r="J102" i="74" l="1"/>
  <c r="J98" i="74"/>
  <c r="J94" i="74"/>
  <c r="J85" i="74"/>
  <c r="J81" i="74"/>
  <c r="J69" i="74"/>
  <c r="J65" i="74"/>
  <c r="J61" i="74"/>
  <c r="J52" i="74"/>
  <c r="J48" i="74"/>
  <c r="J33" i="74"/>
  <c r="J29" i="74"/>
  <c r="J25" i="74"/>
  <c r="J16" i="74"/>
  <c r="J12" i="74"/>
  <c r="K102" i="74" l="1"/>
  <c r="K103" i="74" s="1"/>
  <c r="J103" i="74"/>
  <c r="I102" i="74"/>
  <c r="I103" i="74" s="1"/>
  <c r="H102" i="74"/>
  <c r="H103" i="74" s="1"/>
  <c r="G102" i="74"/>
  <c r="K98" i="74"/>
  <c r="K99" i="74" s="1"/>
  <c r="J106" i="74"/>
  <c r="I98" i="74"/>
  <c r="I99" i="74" s="1"/>
  <c r="H98" i="74"/>
  <c r="H99" i="74" s="1"/>
  <c r="G98" i="74"/>
  <c r="K94" i="74"/>
  <c r="I94" i="74"/>
  <c r="H94" i="74"/>
  <c r="G94" i="74"/>
  <c r="K85" i="74"/>
  <c r="K86" i="74" s="1"/>
  <c r="J86" i="74"/>
  <c r="I85" i="74"/>
  <c r="I86" i="74" s="1"/>
  <c r="H85" i="74"/>
  <c r="H86" i="74" s="1"/>
  <c r="G85" i="74"/>
  <c r="G86" i="74" s="1"/>
  <c r="K81" i="74"/>
  <c r="K82" i="74" s="1"/>
  <c r="J82" i="74"/>
  <c r="I81" i="74"/>
  <c r="I82" i="74" s="1"/>
  <c r="H81" i="74"/>
  <c r="H82" i="74" s="1"/>
  <c r="G12" i="1" s="1"/>
  <c r="E6" i="83" s="1"/>
  <c r="G81" i="74"/>
  <c r="G82" i="74" s="1"/>
  <c r="J70" i="74"/>
  <c r="K69" i="74"/>
  <c r="K70" i="74" s="1"/>
  <c r="I69" i="74"/>
  <c r="I70" i="74" s="1"/>
  <c r="H69" i="74"/>
  <c r="H70" i="74" s="1"/>
  <c r="G69" i="74"/>
  <c r="K65" i="74"/>
  <c r="K66" i="74" s="1"/>
  <c r="J66" i="74"/>
  <c r="I65" i="74"/>
  <c r="I66" i="74" s="1"/>
  <c r="H65" i="74"/>
  <c r="H66" i="74" s="1"/>
  <c r="G65" i="74"/>
  <c r="K61" i="74"/>
  <c r="I61" i="74"/>
  <c r="H61" i="74"/>
  <c r="G61" i="74"/>
  <c r="K52" i="74"/>
  <c r="K53" i="74" s="1"/>
  <c r="J53" i="74"/>
  <c r="I52" i="74"/>
  <c r="I53" i="74" s="1"/>
  <c r="H52" i="74"/>
  <c r="H53" i="74" s="1"/>
  <c r="G52" i="74"/>
  <c r="G53" i="74" s="1"/>
  <c r="K48" i="74"/>
  <c r="K49" i="74" s="1"/>
  <c r="J49" i="74"/>
  <c r="I48" i="74"/>
  <c r="I49" i="74" s="1"/>
  <c r="H48" i="74"/>
  <c r="H49" i="74" s="1"/>
  <c r="G48" i="74"/>
  <c r="G49" i="74" s="1"/>
  <c r="K33" i="74"/>
  <c r="K34" i="74" s="1"/>
  <c r="J34" i="74"/>
  <c r="I33" i="74"/>
  <c r="I34" i="74" s="1"/>
  <c r="H33" i="74"/>
  <c r="H34" i="74" s="1"/>
  <c r="G33" i="74"/>
  <c r="K29" i="74"/>
  <c r="K30" i="74" s="1"/>
  <c r="J30" i="74"/>
  <c r="I29" i="74"/>
  <c r="I30" i="74" s="1"/>
  <c r="H29" i="74"/>
  <c r="H30" i="74" s="1"/>
  <c r="G29" i="74"/>
  <c r="K25" i="74"/>
  <c r="I25" i="74"/>
  <c r="H25" i="74"/>
  <c r="G25" i="74"/>
  <c r="K16" i="74"/>
  <c r="K17" i="74" s="1"/>
  <c r="K21" i="74" s="1"/>
  <c r="J17" i="74"/>
  <c r="J21" i="74" s="1"/>
  <c r="I16" i="74"/>
  <c r="I17" i="74" s="1"/>
  <c r="I21" i="74" s="1"/>
  <c r="H16" i="74"/>
  <c r="H17" i="74" s="1"/>
  <c r="H21" i="74" s="1"/>
  <c r="G16" i="74"/>
  <c r="G17" i="74" s="1"/>
  <c r="G21" i="74" s="1"/>
  <c r="K12" i="74"/>
  <c r="K13" i="74" s="1"/>
  <c r="J13" i="74"/>
  <c r="I12" i="74"/>
  <c r="I13" i="74" s="1"/>
  <c r="H12" i="74"/>
  <c r="H13" i="74" s="1"/>
  <c r="G13" i="74"/>
  <c r="L88" i="74"/>
  <c r="H37" i="74" l="1"/>
  <c r="K73" i="74"/>
  <c r="I106" i="74"/>
  <c r="G106" i="74"/>
  <c r="K106" i="74"/>
  <c r="J99" i="74"/>
  <c r="H106" i="74"/>
  <c r="I73" i="74"/>
  <c r="G73" i="74"/>
  <c r="J73" i="74"/>
  <c r="H73" i="74"/>
  <c r="J37" i="74"/>
  <c r="G37" i="74"/>
  <c r="K37" i="74"/>
  <c r="I37" i="74"/>
  <c r="AL151" i="41" l="1"/>
  <c r="CF151" i="41" s="1"/>
  <c r="AK151" i="41"/>
  <c r="CE151" i="41" s="1"/>
  <c r="AJ151" i="41"/>
  <c r="CD151" i="41" s="1"/>
  <c r="AI151" i="41"/>
  <c r="CC151" i="41" s="1"/>
  <c r="AH151" i="41"/>
  <c r="CB151" i="41" s="1"/>
  <c r="AG151" i="41"/>
  <c r="CA151" i="41" s="1"/>
  <c r="AF151" i="41"/>
  <c r="BZ151" i="41" s="1"/>
  <c r="AD151" i="41"/>
  <c r="BX151" i="41" s="1"/>
  <c r="AC151" i="41"/>
  <c r="BW151" i="41" s="1"/>
  <c r="AB151" i="41"/>
  <c r="BV151" i="41" s="1"/>
  <c r="AA151" i="41"/>
  <c r="BU151" i="41" s="1"/>
  <c r="Z151" i="41"/>
  <c r="BT151" i="41" s="1"/>
  <c r="Y151" i="41"/>
  <c r="BS151" i="41" s="1"/>
  <c r="X151" i="41"/>
  <c r="BR151" i="41" s="1"/>
  <c r="V151" i="41"/>
  <c r="BP151" i="41" s="1"/>
  <c r="U151" i="41"/>
  <c r="BO151" i="41" s="1"/>
  <c r="T151" i="41"/>
  <c r="BN151" i="41" s="1"/>
  <c r="S151" i="41"/>
  <c r="BM151" i="41" s="1"/>
  <c r="R151" i="41"/>
  <c r="BL151" i="41" s="1"/>
  <c r="Q151" i="41"/>
  <c r="BK151" i="41" s="1"/>
  <c r="P151" i="41"/>
  <c r="BJ151" i="41" s="1"/>
  <c r="AL150" i="41"/>
  <c r="CF150" i="41" s="1"/>
  <c r="AK150" i="41"/>
  <c r="CE150" i="41" s="1"/>
  <c r="AJ150" i="41"/>
  <c r="CD150" i="41" s="1"/>
  <c r="AI150" i="41"/>
  <c r="CC150" i="41" s="1"/>
  <c r="AH150" i="41"/>
  <c r="CB150" i="41" s="1"/>
  <c r="AG150" i="41"/>
  <c r="CA150" i="41" s="1"/>
  <c r="AF150" i="41"/>
  <c r="BZ150" i="41" s="1"/>
  <c r="AD150" i="41"/>
  <c r="BX150" i="41" s="1"/>
  <c r="AC150" i="41"/>
  <c r="BW150" i="41" s="1"/>
  <c r="AB150" i="41"/>
  <c r="BV150" i="41" s="1"/>
  <c r="AA150" i="41"/>
  <c r="BU150" i="41" s="1"/>
  <c r="Z150" i="41"/>
  <c r="BT150" i="41" s="1"/>
  <c r="Y150" i="41"/>
  <c r="BS150" i="41" s="1"/>
  <c r="X150" i="41"/>
  <c r="BR150" i="41" s="1"/>
  <c r="V150" i="41"/>
  <c r="BP150" i="41" s="1"/>
  <c r="U150" i="41"/>
  <c r="BO150" i="41" s="1"/>
  <c r="T150" i="41"/>
  <c r="BN150" i="41" s="1"/>
  <c r="S150" i="41"/>
  <c r="BM150" i="41" s="1"/>
  <c r="R150" i="41"/>
  <c r="BL150" i="41" s="1"/>
  <c r="Q150" i="41"/>
  <c r="BK150" i="41" s="1"/>
  <c r="P150" i="41"/>
  <c r="BJ150" i="41" s="1"/>
  <c r="F60" i="1" l="1"/>
  <c r="G60" i="1"/>
  <c r="H60" i="1"/>
  <c r="I60" i="1"/>
  <c r="J60" i="1"/>
  <c r="F61" i="1"/>
  <c r="G61" i="1"/>
  <c r="H61" i="1"/>
  <c r="I61" i="1"/>
  <c r="J61" i="1"/>
  <c r="E61" i="1"/>
  <c r="E60" i="1"/>
  <c r="AF43" i="60" l="1"/>
  <c r="AF39" i="60"/>
  <c r="AE43" i="60"/>
  <c r="AD43" i="60"/>
  <c r="AC43" i="60"/>
  <c r="AB43" i="60"/>
  <c r="AE39" i="60"/>
  <c r="AD39" i="60"/>
  <c r="AC39" i="60"/>
  <c r="AB39" i="60"/>
  <c r="AA43" i="60"/>
  <c r="AA39" i="60"/>
  <c r="Z39" i="60"/>
  <c r="BW39" i="60" s="1"/>
  <c r="W43" i="60"/>
  <c r="BT43" i="60" s="1"/>
  <c r="Z43" i="60"/>
  <c r="BW43" i="60" s="1"/>
  <c r="Y43" i="60"/>
  <c r="BV43" i="60" s="1"/>
  <c r="X43" i="60"/>
  <c r="BU43" i="60" s="1"/>
  <c r="V43" i="60"/>
  <c r="BS43" i="60" s="1"/>
  <c r="Y39" i="60"/>
  <c r="BV39" i="60" s="1"/>
  <c r="X39" i="60"/>
  <c r="BU39" i="60" s="1"/>
  <c r="W39" i="60"/>
  <c r="BT39" i="60" s="1"/>
  <c r="V39" i="60"/>
  <c r="BS39" i="60" s="1"/>
  <c r="U43" i="60"/>
  <c r="BR43" i="60" s="1"/>
  <c r="U39" i="60"/>
  <c r="BR39" i="60" s="1"/>
  <c r="T43" i="60"/>
  <c r="S43" i="60"/>
  <c r="R43" i="60"/>
  <c r="Q43" i="60"/>
  <c r="P43" i="60"/>
  <c r="T39" i="60"/>
  <c r="S39" i="60"/>
  <c r="R39" i="60"/>
  <c r="Q39" i="60"/>
  <c r="P39" i="60"/>
  <c r="O43" i="60"/>
  <c r="O39" i="60"/>
  <c r="N43" i="60"/>
  <c r="M43" i="60"/>
  <c r="L43" i="60"/>
  <c r="K43" i="60"/>
  <c r="J43" i="60"/>
  <c r="N39" i="60"/>
  <c r="M39" i="60"/>
  <c r="L39" i="60"/>
  <c r="K39" i="60"/>
  <c r="J39" i="60"/>
  <c r="I43" i="60"/>
  <c r="I39" i="60"/>
  <c r="H39" i="60"/>
  <c r="G39" i="60"/>
  <c r="F39" i="60"/>
  <c r="E39" i="60"/>
  <c r="D39" i="60"/>
  <c r="H43" i="60"/>
  <c r="G43" i="60"/>
  <c r="F43" i="60"/>
  <c r="E43" i="60"/>
  <c r="D43" i="60"/>
  <c r="C43" i="60"/>
  <c r="C39" i="60"/>
  <c r="AJ94" i="73"/>
  <c r="BY94" i="73" s="1"/>
  <c r="AK94" i="73"/>
  <c r="BZ94" i="73" s="1"/>
  <c r="AL94" i="73"/>
  <c r="AM94" i="73"/>
  <c r="CA94" i="73" s="1"/>
  <c r="AN94" i="73"/>
  <c r="AO94" i="73"/>
  <c r="CB94" i="73" s="1"/>
  <c r="AP94" i="73"/>
  <c r="AQ94" i="73"/>
  <c r="CC94" i="73" s="1"/>
  <c r="AR94" i="73"/>
  <c r="AS94" i="73"/>
  <c r="CD94" i="73" s="1"/>
  <c r="AT94" i="73"/>
  <c r="AU94" i="73"/>
  <c r="CE94" i="73" s="1"/>
  <c r="AR69" i="53"/>
  <c r="CT69" i="53" s="1"/>
  <c r="AS69" i="53"/>
  <c r="CU69" i="53" s="1"/>
  <c r="AT69" i="53"/>
  <c r="CV69" i="53" s="1"/>
  <c r="AU69" i="53"/>
  <c r="CW69" i="53" s="1"/>
  <c r="AV69" i="53"/>
  <c r="CX69" i="53" s="1"/>
  <c r="AV66" i="53"/>
  <c r="CX66" i="53" s="1"/>
  <c r="AU66" i="53"/>
  <c r="CW66" i="53" s="1"/>
  <c r="AT66" i="53"/>
  <c r="CV66" i="53" s="1"/>
  <c r="AS66" i="53"/>
  <c r="CU66" i="53" s="1"/>
  <c r="AR66" i="53"/>
  <c r="CT66" i="53" s="1"/>
  <c r="AQ69" i="53"/>
  <c r="CS69" i="53" s="1"/>
  <c r="AQ66" i="53"/>
  <c r="CS66" i="53" s="1"/>
  <c r="AQ62" i="53"/>
  <c r="CS62" i="53" s="1"/>
  <c r="AN69" i="53"/>
  <c r="CQ69" i="53" s="1"/>
  <c r="AM69" i="53"/>
  <c r="CP69" i="53" s="1"/>
  <c r="AL69" i="53"/>
  <c r="CO69" i="53" s="1"/>
  <c r="AK69" i="53"/>
  <c r="CN69" i="53" s="1"/>
  <c r="AJ69" i="53"/>
  <c r="CM69" i="53" s="1"/>
  <c r="AN66" i="53"/>
  <c r="CQ66" i="53" s="1"/>
  <c r="AM66" i="53"/>
  <c r="CP66" i="53" s="1"/>
  <c r="AL66" i="53"/>
  <c r="CO66" i="53" s="1"/>
  <c r="AK66" i="53"/>
  <c r="CN66" i="53" s="1"/>
  <c r="AJ66" i="53"/>
  <c r="CM66" i="53" s="1"/>
  <c r="AI69" i="53"/>
  <c r="AI66" i="53"/>
  <c r="AF69" i="53"/>
  <c r="CJ69" i="53" s="1"/>
  <c r="AE69" i="53"/>
  <c r="CI69" i="53" s="1"/>
  <c r="AD69" i="53"/>
  <c r="CH69" i="53" s="1"/>
  <c r="AC69" i="53"/>
  <c r="CG69" i="53" s="1"/>
  <c r="AB69" i="53"/>
  <c r="CF69" i="53" s="1"/>
  <c r="AF66" i="53"/>
  <c r="CJ66" i="53" s="1"/>
  <c r="AE66" i="53"/>
  <c r="CI66" i="53" s="1"/>
  <c r="AD66" i="53"/>
  <c r="CH66" i="53" s="1"/>
  <c r="AC66" i="53"/>
  <c r="CG66" i="53" s="1"/>
  <c r="AB66" i="53"/>
  <c r="CF66" i="53" s="1"/>
  <c r="AA69" i="53"/>
  <c r="AA66" i="53"/>
  <c r="X69" i="53"/>
  <c r="CC69" i="53" s="1"/>
  <c r="W69" i="53"/>
  <c r="CB69" i="53" s="1"/>
  <c r="V69" i="53"/>
  <c r="CA69" i="53" s="1"/>
  <c r="U69" i="53"/>
  <c r="BZ69" i="53" s="1"/>
  <c r="T69" i="53"/>
  <c r="BY69" i="53" s="1"/>
  <c r="X66" i="53"/>
  <c r="CC66" i="53" s="1"/>
  <c r="W66" i="53"/>
  <c r="CB66" i="53" s="1"/>
  <c r="V66" i="53"/>
  <c r="CA66" i="53" s="1"/>
  <c r="U66" i="53"/>
  <c r="BZ66" i="53" s="1"/>
  <c r="T66" i="53"/>
  <c r="BY66" i="53" s="1"/>
  <c r="S69" i="53"/>
  <c r="S66" i="53"/>
  <c r="P69" i="53"/>
  <c r="BV69" i="53" s="1"/>
  <c r="O69" i="53"/>
  <c r="BU69" i="53" s="1"/>
  <c r="N69" i="53"/>
  <c r="BT69" i="53" s="1"/>
  <c r="M69" i="53"/>
  <c r="BS69" i="53" s="1"/>
  <c r="L69" i="53"/>
  <c r="BR69" i="53" s="1"/>
  <c r="P66" i="53"/>
  <c r="BV66" i="53" s="1"/>
  <c r="O66" i="53"/>
  <c r="BU66" i="53" s="1"/>
  <c r="N66" i="53"/>
  <c r="BT66" i="53" s="1"/>
  <c r="M66" i="53"/>
  <c r="BS66" i="53" s="1"/>
  <c r="L66" i="53"/>
  <c r="BR66" i="53" s="1"/>
  <c r="K69" i="53"/>
  <c r="K66" i="53"/>
  <c r="BQ66" i="53" s="1"/>
  <c r="H66" i="53"/>
  <c r="BO66" i="53" s="1"/>
  <c r="G66" i="53"/>
  <c r="BN66" i="53" s="1"/>
  <c r="F66" i="53"/>
  <c r="BM66" i="53" s="1"/>
  <c r="E66" i="53"/>
  <c r="BL66" i="53" s="1"/>
  <c r="D66" i="53"/>
  <c r="BK66" i="53" s="1"/>
  <c r="C66" i="53"/>
  <c r="BJ66" i="53" s="1"/>
  <c r="H69" i="53"/>
  <c r="BO69" i="53" s="1"/>
  <c r="G69" i="53"/>
  <c r="BN69" i="53" s="1"/>
  <c r="F69" i="53"/>
  <c r="BM69" i="53" s="1"/>
  <c r="E69" i="53"/>
  <c r="BL69" i="53" s="1"/>
  <c r="D69" i="53"/>
  <c r="BK69" i="53" s="1"/>
  <c r="C69" i="53"/>
  <c r="AZ39" i="60" l="1"/>
  <c r="BC43" i="60"/>
  <c r="BB39" i="60"/>
  <c r="BF39" i="60"/>
  <c r="BI39" i="60"/>
  <c r="BH43" i="60"/>
  <c r="BL39" i="60"/>
  <c r="BO39" i="60"/>
  <c r="BN43" i="60"/>
  <c r="BX39" i="60"/>
  <c r="CA39" i="60"/>
  <c r="CA43" i="60"/>
  <c r="AZ43" i="60"/>
  <c r="BD43" i="60"/>
  <c r="BC39" i="60"/>
  <c r="BF43" i="60"/>
  <c r="BJ39" i="60"/>
  <c r="BI43" i="60"/>
  <c r="BL43" i="60"/>
  <c r="BP39" i="60"/>
  <c r="BO43" i="60"/>
  <c r="BX43" i="60"/>
  <c r="CB39" i="60"/>
  <c r="CB43" i="60"/>
  <c r="BA43" i="60"/>
  <c r="BE43" i="60"/>
  <c r="BD39" i="60"/>
  <c r="BG39" i="60"/>
  <c r="BK39" i="60"/>
  <c r="BJ43" i="60"/>
  <c r="BM39" i="60"/>
  <c r="BQ39" i="60"/>
  <c r="BP43" i="60"/>
  <c r="BY39" i="60"/>
  <c r="BY43" i="60"/>
  <c r="CC39" i="60"/>
  <c r="BB43" i="60"/>
  <c r="BA39" i="60"/>
  <c r="BE39" i="60"/>
  <c r="BH39" i="60"/>
  <c r="BG43" i="60"/>
  <c r="BK43" i="60"/>
  <c r="BN39" i="60"/>
  <c r="BM43" i="60"/>
  <c r="BQ43" i="60"/>
  <c r="BZ39" i="60"/>
  <c r="BZ43" i="60"/>
  <c r="CC43" i="60"/>
  <c r="AJ66" i="73"/>
  <c r="BY66" i="73" s="1"/>
  <c r="CE66" i="53"/>
  <c r="N69" i="73"/>
  <c r="BM69" i="73" s="1"/>
  <c r="BQ69" i="53"/>
  <c r="AJ69" i="73"/>
  <c r="BY69" i="73" s="1"/>
  <c r="CE69" i="53"/>
  <c r="C69" i="73"/>
  <c r="BG69" i="73" s="1"/>
  <c r="BJ69" i="53"/>
  <c r="Y66" i="73"/>
  <c r="BS66" i="73" s="1"/>
  <c r="BX66" i="53"/>
  <c r="AU66" i="73"/>
  <c r="CE66" i="73" s="1"/>
  <c r="CL66" i="53"/>
  <c r="Y69" i="73"/>
  <c r="BS69" i="73" s="1"/>
  <c r="BX69" i="53"/>
  <c r="AU69" i="73"/>
  <c r="CE69" i="73" s="1"/>
  <c r="CL69" i="53"/>
  <c r="AW39" i="60"/>
  <c r="Q69" i="53"/>
  <c r="BW69" i="53" s="1"/>
  <c r="R69" i="53"/>
  <c r="AH69" i="53"/>
  <c r="AG69" i="53"/>
  <c r="CK69" i="53" s="1"/>
  <c r="AV39" i="60"/>
  <c r="J66" i="53"/>
  <c r="I66" i="53"/>
  <c r="BP66" i="53" s="1"/>
  <c r="Y69" i="53"/>
  <c r="CD69" i="53" s="1"/>
  <c r="Z69" i="53"/>
  <c r="AP69" i="53"/>
  <c r="AO69" i="53"/>
  <c r="CR69" i="53" s="1"/>
  <c r="AG66" i="53"/>
  <c r="CK66" i="53" s="1"/>
  <c r="AH66" i="53"/>
  <c r="J69" i="53"/>
  <c r="I69" i="53"/>
  <c r="BP69" i="53" s="1"/>
  <c r="AV43" i="60"/>
  <c r="R66" i="53"/>
  <c r="Q66" i="53"/>
  <c r="BW66" i="53" s="1"/>
  <c r="Z66" i="53"/>
  <c r="Y66" i="53"/>
  <c r="CD66" i="53" s="1"/>
  <c r="AP66" i="53"/>
  <c r="AO66" i="53"/>
  <c r="CR66" i="53" s="1"/>
  <c r="AW43" i="60"/>
  <c r="BB69" i="73"/>
  <c r="CI69" i="73" s="1"/>
  <c r="V69" i="73"/>
  <c r="O66" i="73"/>
  <c r="BN66" i="73" s="1"/>
  <c r="R69" i="73"/>
  <c r="AB69" i="73"/>
  <c r="BU69" i="73" s="1"/>
  <c r="AM69" i="73"/>
  <c r="CA69" i="73" s="1"/>
  <c r="AY69" i="73"/>
  <c r="AE69" i="73"/>
  <c r="AP69" i="73"/>
  <c r="AZ69" i="73"/>
  <c r="CH69" i="73" s="1"/>
  <c r="BE66" i="53"/>
  <c r="DG66" i="53" s="1"/>
  <c r="K69" i="73"/>
  <c r="D69" i="73"/>
  <c r="BH69" i="73" s="1"/>
  <c r="U66" i="73"/>
  <c r="BQ66" i="73" s="1"/>
  <c r="S69" i="73"/>
  <c r="BP69" i="73" s="1"/>
  <c r="AZ69" i="53"/>
  <c r="DB69" i="53" s="1"/>
  <c r="AX69" i="73"/>
  <c r="CG69" i="73" s="1"/>
  <c r="G69" i="73"/>
  <c r="AW66" i="53"/>
  <c r="CY66" i="53" s="1"/>
  <c r="BA66" i="53"/>
  <c r="DC66" i="53" s="1"/>
  <c r="U69" i="73"/>
  <c r="BQ69" i="73" s="1"/>
  <c r="Z66" i="73"/>
  <c r="BT66" i="73" s="1"/>
  <c r="AH66" i="73"/>
  <c r="BX66" i="73" s="1"/>
  <c r="AF69" i="73"/>
  <c r="BW69" i="73" s="1"/>
  <c r="AK66" i="73"/>
  <c r="BZ66" i="73" s="1"/>
  <c r="AS66" i="73"/>
  <c r="CD66" i="73" s="1"/>
  <c r="AQ69" i="73"/>
  <c r="CC69" i="73" s="1"/>
  <c r="AV66" i="73"/>
  <c r="CF66" i="73" s="1"/>
  <c r="BC69" i="73"/>
  <c r="J69" i="73"/>
  <c r="BK69" i="73" s="1"/>
  <c r="AO69" i="73"/>
  <c r="CB69" i="73" s="1"/>
  <c r="H69" i="73"/>
  <c r="BJ69" i="73" s="1"/>
  <c r="Q66" i="73"/>
  <c r="BO66" i="73" s="1"/>
  <c r="O69" i="73"/>
  <c r="BN69" i="73" s="1"/>
  <c r="W69" i="73"/>
  <c r="BR69" i="73" s="1"/>
  <c r="AA69" i="73"/>
  <c r="AI69" i="73"/>
  <c r="AK69" i="73"/>
  <c r="BZ69" i="73" s="1"/>
  <c r="AV69" i="73"/>
  <c r="CF69" i="73" s="1"/>
  <c r="BD69" i="73"/>
  <c r="CJ69" i="73" s="1"/>
  <c r="AD69" i="73"/>
  <c r="BV69" i="73" s="1"/>
  <c r="F69" i="73"/>
  <c r="BI69" i="73" s="1"/>
  <c r="AD66" i="73"/>
  <c r="BV66" i="73" s="1"/>
  <c r="AO66" i="73"/>
  <c r="CB66" i="73" s="1"/>
  <c r="AZ66" i="73"/>
  <c r="CH66" i="73" s="1"/>
  <c r="BC66" i="53"/>
  <c r="DE66" i="53" s="1"/>
  <c r="AA66" i="73"/>
  <c r="D66" i="73"/>
  <c r="BH66" i="73" s="1"/>
  <c r="P66" i="73"/>
  <c r="AF66" i="73"/>
  <c r="BW66" i="73" s="1"/>
  <c r="AR66" i="73"/>
  <c r="BB66" i="73"/>
  <c r="CI66" i="73" s="1"/>
  <c r="AQ66" i="73"/>
  <c r="CC66" i="73" s="1"/>
  <c r="K66" i="73"/>
  <c r="L66" i="73"/>
  <c r="BL66" i="73" s="1"/>
  <c r="BD66" i="73"/>
  <c r="CJ66" i="73" s="1"/>
  <c r="AI66" i="73"/>
  <c r="G66" i="73"/>
  <c r="H66" i="73"/>
  <c r="BJ66" i="73" s="1"/>
  <c r="T66" i="73"/>
  <c r="AB66" i="73"/>
  <c r="BU66" i="73" s="1"/>
  <c r="AN66" i="73"/>
  <c r="AY66" i="73"/>
  <c r="BG66" i="53"/>
  <c r="DI66" i="53" s="1"/>
  <c r="BC66" i="73"/>
  <c r="AE66" i="73"/>
  <c r="C66" i="73"/>
  <c r="BG66" i="73" s="1"/>
  <c r="BH69" i="53"/>
  <c r="DJ69" i="53" s="1"/>
  <c r="AY66" i="53"/>
  <c r="DA66" i="53" s="1"/>
  <c r="W66" i="73"/>
  <c r="BR66" i="73" s="1"/>
  <c r="AT69" i="73"/>
  <c r="AL69" i="73"/>
  <c r="BG69" i="53"/>
  <c r="DI69" i="53" s="1"/>
  <c r="BC69" i="53"/>
  <c r="DE69" i="53" s="1"/>
  <c r="AX69" i="53"/>
  <c r="CZ69" i="53" s="1"/>
  <c r="BF66" i="53"/>
  <c r="DH66" i="53" s="1"/>
  <c r="BB66" i="53"/>
  <c r="DD66" i="53" s="1"/>
  <c r="AX66" i="53"/>
  <c r="CZ66" i="53" s="1"/>
  <c r="AX66" i="73"/>
  <c r="CG66" i="73" s="1"/>
  <c r="AT66" i="73"/>
  <c r="AP66" i="73"/>
  <c r="AL66" i="73"/>
  <c r="V66" i="73"/>
  <c r="R66" i="73"/>
  <c r="N66" i="73"/>
  <c r="BM66" i="73" s="1"/>
  <c r="J66" i="73"/>
  <c r="BK66" i="73" s="1"/>
  <c r="F66" i="73"/>
  <c r="BI66" i="73" s="1"/>
  <c r="BE69" i="73"/>
  <c r="BA69" i="73"/>
  <c r="AW69" i="73"/>
  <c r="AS69" i="73"/>
  <c r="CD69" i="73" s="1"/>
  <c r="AG69" i="73"/>
  <c r="AC69" i="73"/>
  <c r="Q69" i="73"/>
  <c r="BO69" i="73" s="1"/>
  <c r="M69" i="73"/>
  <c r="I69" i="73"/>
  <c r="E69" i="73"/>
  <c r="BD69" i="53"/>
  <c r="DF69" i="53" s="1"/>
  <c r="BF69" i="53"/>
  <c r="DH69" i="53" s="1"/>
  <c r="BB69" i="53"/>
  <c r="DD69" i="53" s="1"/>
  <c r="AW69" i="53"/>
  <c r="CY69" i="53" s="1"/>
  <c r="BE66" i="73"/>
  <c r="BA66" i="73"/>
  <c r="AW66" i="73"/>
  <c r="AG66" i="73"/>
  <c r="AC66" i="73"/>
  <c r="M66" i="73"/>
  <c r="I66" i="73"/>
  <c r="E66" i="73"/>
  <c r="AR69" i="73"/>
  <c r="AN69" i="73"/>
  <c r="X69" i="73"/>
  <c r="T69" i="73"/>
  <c r="P69" i="73"/>
  <c r="L69" i="73"/>
  <c r="BL69" i="73" s="1"/>
  <c r="AM66" i="73"/>
  <c r="CA66" i="73" s="1"/>
  <c r="S66" i="73"/>
  <c r="BP66" i="73" s="1"/>
  <c r="AH69" i="73"/>
  <c r="BX69" i="73" s="1"/>
  <c r="Z69" i="73"/>
  <c r="BT69" i="73" s="1"/>
  <c r="BE69" i="53"/>
  <c r="DG69" i="53" s="1"/>
  <c r="BA69" i="53"/>
  <c r="DC69" i="53" s="1"/>
  <c r="BH66" i="53"/>
  <c r="DJ66" i="53" s="1"/>
  <c r="BD66" i="53"/>
  <c r="DF66" i="53" s="1"/>
  <c r="AZ66" i="53"/>
  <c r="DB66" i="53" s="1"/>
  <c r="AY69" i="53"/>
  <c r="DA69" i="53" s="1"/>
  <c r="X66" i="73"/>
  <c r="J42" i="2" l="1"/>
  <c r="AG39" i="83" s="1"/>
  <c r="I42" i="2"/>
  <c r="AF39" i="83" s="1"/>
  <c r="H42" i="2"/>
  <c r="AE39" i="83" s="1"/>
  <c r="G42" i="2"/>
  <c r="AD39" i="83" s="1"/>
  <c r="F42" i="2"/>
  <c r="AC39" i="83" s="1"/>
  <c r="E42" i="2"/>
  <c r="AB39" i="83" s="1"/>
  <c r="S42" i="2" l="1"/>
  <c r="U42" i="2"/>
  <c r="T42" i="2"/>
  <c r="R42" i="2"/>
  <c r="Q42" i="2"/>
  <c r="C92" i="39" l="1"/>
  <c r="C90" i="39"/>
  <c r="C89" i="39"/>
  <c r="AJ10" i="73" l="1"/>
  <c r="AU10" i="73" s="1"/>
  <c r="Y10" i="73"/>
  <c r="N10" i="73"/>
  <c r="C11" i="5" l="1"/>
  <c r="AO24" i="79" l="1"/>
  <c r="AP24" i="79"/>
  <c r="AN24" i="79"/>
  <c r="AM23" i="79"/>
  <c r="AN21" i="79"/>
  <c r="AO21" i="79"/>
  <c r="AP21" i="79"/>
  <c r="AQ21" i="79"/>
  <c r="AR21" i="79"/>
  <c r="AS21" i="79"/>
  <c r="AM21" i="79"/>
  <c r="D110" i="46" l="1"/>
  <c r="S7" i="84" s="1"/>
  <c r="D79" i="46"/>
  <c r="S6" i="84" s="1"/>
  <c r="D53" i="46"/>
  <c r="S5" i="84" s="1"/>
  <c r="V18" i="46"/>
  <c r="AI18" i="46" s="1"/>
  <c r="AW74" i="53" l="1"/>
  <c r="CY74" i="53" s="1"/>
  <c r="AW73" i="53"/>
  <c r="CY73" i="53" s="1"/>
  <c r="AW72" i="53"/>
  <c r="CY72" i="53" s="1"/>
  <c r="BC49" i="53"/>
  <c r="DE49" i="53" s="1"/>
  <c r="BD49" i="53"/>
  <c r="DF49" i="53" s="1"/>
  <c r="BE49" i="53"/>
  <c r="DG49" i="53" s="1"/>
  <c r="BF49" i="53"/>
  <c r="DH49" i="53" s="1"/>
  <c r="BG49" i="53"/>
  <c r="DI49" i="53" s="1"/>
  <c r="BH49" i="53"/>
  <c r="DJ49" i="53" s="1"/>
  <c r="BC50" i="53"/>
  <c r="DE50" i="53" s="1"/>
  <c r="BD50" i="53"/>
  <c r="DF50" i="53" s="1"/>
  <c r="BE50" i="53"/>
  <c r="DG50" i="53" s="1"/>
  <c r="BF50" i="53"/>
  <c r="DH50" i="53" s="1"/>
  <c r="BG50" i="53"/>
  <c r="DI50" i="53" s="1"/>
  <c r="BH50" i="53"/>
  <c r="DJ50" i="53" s="1"/>
  <c r="BD72" i="53"/>
  <c r="DF72" i="53" s="1"/>
  <c r="BD74" i="53"/>
  <c r="DF74" i="53" s="1"/>
  <c r="BH74" i="53"/>
  <c r="DJ74" i="53" s="1"/>
  <c r="BG74" i="53"/>
  <c r="DI74" i="53" s="1"/>
  <c r="BF74" i="53"/>
  <c r="DH74" i="53" s="1"/>
  <c r="BE74" i="53"/>
  <c r="DG74" i="53" s="1"/>
  <c r="BH72" i="53"/>
  <c r="DJ72" i="53" s="1"/>
  <c r="BG72" i="53"/>
  <c r="DI72" i="53" s="1"/>
  <c r="BF72" i="53"/>
  <c r="DH72" i="53" s="1"/>
  <c r="BE72" i="53"/>
  <c r="DG72" i="53" s="1"/>
  <c r="BC74" i="53"/>
  <c r="DE74" i="53" s="1"/>
  <c r="BB74" i="53"/>
  <c r="DD74" i="53" s="1"/>
  <c r="BA74" i="53"/>
  <c r="DC74" i="53" s="1"/>
  <c r="AZ74" i="53"/>
  <c r="DB74" i="53" s="1"/>
  <c r="AY74" i="53"/>
  <c r="DA74" i="53" s="1"/>
  <c r="AX74" i="53"/>
  <c r="CZ74" i="53" s="1"/>
  <c r="BC72" i="53"/>
  <c r="DE72" i="53" s="1"/>
  <c r="BB72" i="53"/>
  <c r="DD72" i="53" s="1"/>
  <c r="BA72" i="53"/>
  <c r="DC72" i="53" s="1"/>
  <c r="AZ72" i="53"/>
  <c r="DB72" i="53" s="1"/>
  <c r="AY72" i="53"/>
  <c r="DA72" i="53" s="1"/>
  <c r="AX72" i="53"/>
  <c r="CZ72" i="53" s="1"/>
  <c r="E142" i="46" l="1"/>
  <c r="I142" i="46"/>
  <c r="H142" i="46"/>
  <c r="G142" i="46"/>
  <c r="F142" i="46"/>
  <c r="AJ65" i="53"/>
  <c r="CM65" i="53" s="1"/>
  <c r="AK65" i="53"/>
  <c r="CN65" i="53" s="1"/>
  <c r="AL65" i="53"/>
  <c r="CO65" i="53" s="1"/>
  <c r="AM65" i="53"/>
  <c r="CP65" i="53" s="1"/>
  <c r="AN65" i="53"/>
  <c r="CQ65" i="53" s="1"/>
  <c r="AI65" i="53"/>
  <c r="CL65" i="53" s="1"/>
  <c r="AJ61" i="53"/>
  <c r="CM61" i="53" s="1"/>
  <c r="AK61" i="53"/>
  <c r="CN61" i="53" s="1"/>
  <c r="AL61" i="53"/>
  <c r="CO61" i="53" s="1"/>
  <c r="AM61" i="53"/>
  <c r="CP61" i="53" s="1"/>
  <c r="AN61" i="53"/>
  <c r="CQ61" i="53" s="1"/>
  <c r="AI61" i="53"/>
  <c r="CL61" i="53" s="1"/>
  <c r="AJ48" i="53"/>
  <c r="CM48" i="53" s="1"/>
  <c r="AK48" i="53"/>
  <c r="CN48" i="53" s="1"/>
  <c r="AL48" i="53"/>
  <c r="CO48" i="53" s="1"/>
  <c r="AM48" i="53"/>
  <c r="CP48" i="53" s="1"/>
  <c r="AN48" i="53"/>
  <c r="CQ48" i="53" s="1"/>
  <c r="AI48" i="53"/>
  <c r="CL48" i="53" s="1"/>
  <c r="AJ24" i="53"/>
  <c r="CM24" i="53" s="1"/>
  <c r="AK24" i="53"/>
  <c r="CN24" i="53" s="1"/>
  <c r="AL24" i="53"/>
  <c r="CO24" i="53" s="1"/>
  <c r="AM24" i="53"/>
  <c r="CP24" i="53" s="1"/>
  <c r="AN24" i="53"/>
  <c r="CQ24" i="53" s="1"/>
  <c r="AI24" i="53"/>
  <c r="CL24" i="53" s="1"/>
  <c r="AJ21" i="53"/>
  <c r="CM21" i="53" s="1"/>
  <c r="AK21" i="53"/>
  <c r="CN21" i="53" s="1"/>
  <c r="AL21" i="53"/>
  <c r="CO21" i="53" s="1"/>
  <c r="AM21" i="53"/>
  <c r="CP21" i="53" s="1"/>
  <c r="AN21" i="53"/>
  <c r="CQ21" i="53" s="1"/>
  <c r="AI21" i="53"/>
  <c r="CL21" i="53" s="1"/>
  <c r="AB65" i="53"/>
  <c r="CF65" i="53" s="1"/>
  <c r="AC65" i="53"/>
  <c r="CG65" i="53" s="1"/>
  <c r="AD65" i="53"/>
  <c r="CH65" i="53" s="1"/>
  <c r="AE65" i="53"/>
  <c r="CI65" i="53" s="1"/>
  <c r="AF65" i="53"/>
  <c r="CJ65" i="53" s="1"/>
  <c r="AA65" i="53"/>
  <c r="CE65" i="53" s="1"/>
  <c r="AB61" i="53"/>
  <c r="CF61" i="53" s="1"/>
  <c r="AC61" i="53"/>
  <c r="CG61" i="53" s="1"/>
  <c r="AD61" i="53"/>
  <c r="CH61" i="53" s="1"/>
  <c r="AE61" i="53"/>
  <c r="CI61" i="53" s="1"/>
  <c r="AF61" i="53"/>
  <c r="CJ61" i="53" s="1"/>
  <c r="AA61" i="53"/>
  <c r="CE61" i="53" s="1"/>
  <c r="AB48" i="53"/>
  <c r="CF48" i="53" s="1"/>
  <c r="AC48" i="53"/>
  <c r="CG48" i="53" s="1"/>
  <c r="AD48" i="53"/>
  <c r="CH48" i="53" s="1"/>
  <c r="AE48" i="53"/>
  <c r="CI48" i="53" s="1"/>
  <c r="AF48" i="53"/>
  <c r="CJ48" i="53" s="1"/>
  <c r="AA48" i="53"/>
  <c r="CE48" i="53" s="1"/>
  <c r="AB24" i="53"/>
  <c r="CF24" i="53" s="1"/>
  <c r="AC24" i="53"/>
  <c r="CG24" i="53" s="1"/>
  <c r="AD24" i="53"/>
  <c r="CH24" i="53" s="1"/>
  <c r="AE24" i="53"/>
  <c r="CI24" i="53" s="1"/>
  <c r="AF24" i="53"/>
  <c r="CJ24" i="53" s="1"/>
  <c r="AA24" i="53"/>
  <c r="CE24" i="53" s="1"/>
  <c r="AB21" i="53"/>
  <c r="CF21" i="53" s="1"/>
  <c r="AC21" i="53"/>
  <c r="CG21" i="53" s="1"/>
  <c r="AD21" i="53"/>
  <c r="CH21" i="53" s="1"/>
  <c r="AE21" i="53"/>
  <c r="CI21" i="53" s="1"/>
  <c r="AF21" i="53"/>
  <c r="CJ21" i="53" s="1"/>
  <c r="AA21" i="53"/>
  <c r="CE21" i="53" s="1"/>
  <c r="T65" i="53"/>
  <c r="BY65" i="53" s="1"/>
  <c r="U65" i="53"/>
  <c r="BZ65" i="53" s="1"/>
  <c r="V65" i="53"/>
  <c r="CA65" i="53" s="1"/>
  <c r="W65" i="53"/>
  <c r="CB65" i="53" s="1"/>
  <c r="X65" i="53"/>
  <c r="CC65" i="53" s="1"/>
  <c r="S65" i="53"/>
  <c r="BX65" i="53" s="1"/>
  <c r="T61" i="53"/>
  <c r="BY61" i="53" s="1"/>
  <c r="U61" i="53"/>
  <c r="BZ61" i="53" s="1"/>
  <c r="V61" i="53"/>
  <c r="CA61" i="53" s="1"/>
  <c r="W61" i="53"/>
  <c r="CB61" i="53" s="1"/>
  <c r="X61" i="53"/>
  <c r="CC61" i="53" s="1"/>
  <c r="S61" i="53"/>
  <c r="BX61" i="53" s="1"/>
  <c r="T48" i="53"/>
  <c r="BY48" i="53" s="1"/>
  <c r="U48" i="53"/>
  <c r="BZ48" i="53" s="1"/>
  <c r="V48" i="53"/>
  <c r="CA48" i="53" s="1"/>
  <c r="W48" i="53"/>
  <c r="CB48" i="53" s="1"/>
  <c r="X48" i="53"/>
  <c r="CC48" i="53" s="1"/>
  <c r="S48" i="53"/>
  <c r="BX48" i="53" s="1"/>
  <c r="T24" i="53"/>
  <c r="BY24" i="53" s="1"/>
  <c r="U24" i="53"/>
  <c r="BZ24" i="53" s="1"/>
  <c r="V24" i="53"/>
  <c r="CA24" i="53" s="1"/>
  <c r="W24" i="53"/>
  <c r="CB24" i="53" s="1"/>
  <c r="X24" i="53"/>
  <c r="CC24" i="53" s="1"/>
  <c r="S24" i="53"/>
  <c r="BX24" i="53" s="1"/>
  <c r="T21" i="53"/>
  <c r="BY21" i="53" s="1"/>
  <c r="U21" i="53"/>
  <c r="BZ21" i="53" s="1"/>
  <c r="V21" i="53"/>
  <c r="CA21" i="53" s="1"/>
  <c r="W21" i="53"/>
  <c r="CB21" i="53" s="1"/>
  <c r="X21" i="53"/>
  <c r="CC21" i="53" s="1"/>
  <c r="S21" i="53"/>
  <c r="BX21" i="53" s="1"/>
  <c r="L65" i="53"/>
  <c r="BR65" i="53" s="1"/>
  <c r="M65" i="53"/>
  <c r="BS65" i="53" s="1"/>
  <c r="N65" i="53"/>
  <c r="BT65" i="53" s="1"/>
  <c r="O65" i="53"/>
  <c r="BU65" i="53" s="1"/>
  <c r="P65" i="53"/>
  <c r="BV65" i="53" s="1"/>
  <c r="K65" i="53"/>
  <c r="BQ65" i="53" s="1"/>
  <c r="L61" i="53"/>
  <c r="BR61" i="53" s="1"/>
  <c r="M61" i="53"/>
  <c r="BS61" i="53" s="1"/>
  <c r="N61" i="53"/>
  <c r="BT61" i="53" s="1"/>
  <c r="O61" i="53"/>
  <c r="BU61" i="53" s="1"/>
  <c r="P61" i="53"/>
  <c r="BV61" i="53" s="1"/>
  <c r="K61" i="53"/>
  <c r="BQ61" i="53" s="1"/>
  <c r="L48" i="53"/>
  <c r="BR48" i="53" s="1"/>
  <c r="M48" i="53"/>
  <c r="BS48" i="53" s="1"/>
  <c r="N48" i="53"/>
  <c r="BT48" i="53" s="1"/>
  <c r="O48" i="53"/>
  <c r="BU48" i="53" s="1"/>
  <c r="P48" i="53"/>
  <c r="BV48" i="53" s="1"/>
  <c r="K48" i="53"/>
  <c r="BQ48" i="53" s="1"/>
  <c r="L24" i="53"/>
  <c r="BR24" i="53" s="1"/>
  <c r="M24" i="53"/>
  <c r="BS24" i="53" s="1"/>
  <c r="N24" i="53"/>
  <c r="BT24" i="53" s="1"/>
  <c r="O24" i="53"/>
  <c r="BU24" i="53" s="1"/>
  <c r="P24" i="53"/>
  <c r="BV24" i="53" s="1"/>
  <c r="K24" i="53"/>
  <c r="BQ24" i="53" s="1"/>
  <c r="L21" i="53"/>
  <c r="BR21" i="53" s="1"/>
  <c r="M21" i="53"/>
  <c r="BS21" i="53" s="1"/>
  <c r="N21" i="53"/>
  <c r="BT21" i="53" s="1"/>
  <c r="O21" i="53"/>
  <c r="BU21" i="53" s="1"/>
  <c r="P21" i="53"/>
  <c r="BV21" i="53" s="1"/>
  <c r="K21" i="53"/>
  <c r="BQ21" i="53" s="1"/>
  <c r="D65" i="53"/>
  <c r="BK65" i="53" s="1"/>
  <c r="E65" i="53"/>
  <c r="BL65" i="53" s="1"/>
  <c r="F65" i="53"/>
  <c r="BM65" i="53" s="1"/>
  <c r="G65" i="53"/>
  <c r="BN65" i="53" s="1"/>
  <c r="H65" i="53"/>
  <c r="BO65" i="53" s="1"/>
  <c r="C65" i="53"/>
  <c r="BJ65" i="53" s="1"/>
  <c r="D61" i="53"/>
  <c r="BK61" i="53" s="1"/>
  <c r="E61" i="53"/>
  <c r="BL61" i="53" s="1"/>
  <c r="F61" i="53"/>
  <c r="BM61" i="53" s="1"/>
  <c r="G61" i="53"/>
  <c r="BN61" i="53" s="1"/>
  <c r="H61" i="53"/>
  <c r="BO61" i="53" s="1"/>
  <c r="C61" i="53"/>
  <c r="BJ61" i="53" s="1"/>
  <c r="D24" i="53"/>
  <c r="BK24" i="53" s="1"/>
  <c r="E24" i="53"/>
  <c r="BL24" i="53" s="1"/>
  <c r="F24" i="53"/>
  <c r="BM24" i="53" s="1"/>
  <c r="G24" i="53"/>
  <c r="BN24" i="53" s="1"/>
  <c r="H24" i="53"/>
  <c r="BO24" i="53" s="1"/>
  <c r="C24" i="53"/>
  <c r="BJ24" i="53" s="1"/>
  <c r="D48" i="53"/>
  <c r="BK48" i="53" s="1"/>
  <c r="E48" i="53"/>
  <c r="BL48" i="53" s="1"/>
  <c r="F48" i="53"/>
  <c r="BM48" i="53" s="1"/>
  <c r="G48" i="53"/>
  <c r="BN48" i="53" s="1"/>
  <c r="H48" i="53"/>
  <c r="BO48" i="53" s="1"/>
  <c r="C48" i="53"/>
  <c r="BJ48" i="53" s="1"/>
  <c r="E21" i="53"/>
  <c r="BL21" i="53" s="1"/>
  <c r="F21" i="53"/>
  <c r="BM21" i="53" s="1"/>
  <c r="G21" i="53"/>
  <c r="BN21" i="53" s="1"/>
  <c r="H21" i="53"/>
  <c r="BO21" i="53" s="1"/>
  <c r="D21" i="53"/>
  <c r="BK21" i="53" s="1"/>
  <c r="C21" i="53"/>
  <c r="BJ21" i="53" s="1"/>
  <c r="O153" i="46"/>
  <c r="N153" i="46"/>
  <c r="M153" i="46"/>
  <c r="L153" i="46"/>
  <c r="K153" i="46"/>
  <c r="O151" i="46"/>
  <c r="N151" i="46"/>
  <c r="M151" i="46"/>
  <c r="L151" i="46"/>
  <c r="K151" i="46"/>
  <c r="O149" i="46"/>
  <c r="N149" i="46"/>
  <c r="M149" i="46"/>
  <c r="L149" i="46"/>
  <c r="K149" i="46"/>
  <c r="O147" i="46"/>
  <c r="N147" i="46"/>
  <c r="M147" i="46"/>
  <c r="L147" i="46"/>
  <c r="K147" i="46"/>
  <c r="O145" i="46"/>
  <c r="N145" i="46"/>
  <c r="M145" i="46"/>
  <c r="L145" i="46"/>
  <c r="K145" i="46"/>
  <c r="O141" i="46"/>
  <c r="AC141" i="46" s="1"/>
  <c r="X14" i="84" s="1"/>
  <c r="N141" i="46"/>
  <c r="M141" i="46"/>
  <c r="AA141" i="46" s="1"/>
  <c r="V14" i="84" s="1"/>
  <c r="L141" i="46"/>
  <c r="K141" i="46"/>
  <c r="Y141" i="46" s="1"/>
  <c r="T14" i="84" s="1"/>
  <c r="J141" i="46"/>
  <c r="O122" i="46"/>
  <c r="N122" i="46"/>
  <c r="M122" i="46"/>
  <c r="L122" i="46"/>
  <c r="K122" i="46"/>
  <c r="O120" i="46"/>
  <c r="N120" i="46"/>
  <c r="M120" i="46"/>
  <c r="L120" i="46"/>
  <c r="K120" i="46"/>
  <c r="O118" i="46"/>
  <c r="N118" i="46"/>
  <c r="M118" i="46"/>
  <c r="L118" i="46"/>
  <c r="K118" i="46"/>
  <c r="O116" i="46"/>
  <c r="N116" i="46"/>
  <c r="M116" i="46"/>
  <c r="L116" i="46"/>
  <c r="K116" i="46"/>
  <c r="O114" i="46"/>
  <c r="N114" i="46"/>
  <c r="M114" i="46"/>
  <c r="L114" i="46"/>
  <c r="K114" i="46"/>
  <c r="O110" i="46"/>
  <c r="AC110" i="46" s="1"/>
  <c r="X13" i="84" s="1"/>
  <c r="N110" i="46"/>
  <c r="M110" i="46"/>
  <c r="L110" i="46"/>
  <c r="K110" i="46"/>
  <c r="J110" i="46"/>
  <c r="I110" i="46"/>
  <c r="H110" i="46"/>
  <c r="G110" i="46"/>
  <c r="F110" i="46"/>
  <c r="E110" i="46"/>
  <c r="T7" i="84" s="1"/>
  <c r="Y7" i="84" s="1"/>
  <c r="S7" i="79"/>
  <c r="V108" i="46"/>
  <c r="AI108" i="46" s="1"/>
  <c r="U108" i="46"/>
  <c r="AH108" i="46" s="1"/>
  <c r="T108" i="46"/>
  <c r="AG108" i="46" s="1"/>
  <c r="S108" i="46"/>
  <c r="AF108" i="46" s="1"/>
  <c r="R108" i="46"/>
  <c r="AE108" i="46" s="1"/>
  <c r="Q108" i="46"/>
  <c r="AD108" i="46" s="1"/>
  <c r="V107" i="46"/>
  <c r="AI107" i="46" s="1"/>
  <c r="U107" i="46"/>
  <c r="AH107" i="46" s="1"/>
  <c r="T107" i="46"/>
  <c r="AG107" i="46" s="1"/>
  <c r="S107" i="46"/>
  <c r="AF107" i="46" s="1"/>
  <c r="R107" i="46"/>
  <c r="AE107" i="46" s="1"/>
  <c r="Q107" i="46"/>
  <c r="AD107" i="46" s="1"/>
  <c r="V106" i="46"/>
  <c r="AI106" i="46" s="1"/>
  <c r="U106" i="46"/>
  <c r="AH106" i="46" s="1"/>
  <c r="T106" i="46"/>
  <c r="AG106" i="46" s="1"/>
  <c r="S106" i="46"/>
  <c r="AF106" i="46" s="1"/>
  <c r="R106" i="46"/>
  <c r="AE106" i="46" s="1"/>
  <c r="Q106" i="46"/>
  <c r="AD106" i="46" s="1"/>
  <c r="V105" i="46"/>
  <c r="AI105" i="46" s="1"/>
  <c r="U105" i="46"/>
  <c r="AH105" i="46" s="1"/>
  <c r="T105" i="46"/>
  <c r="AG105" i="46" s="1"/>
  <c r="S105" i="46"/>
  <c r="AF105" i="46" s="1"/>
  <c r="R105" i="46"/>
  <c r="AE105" i="46" s="1"/>
  <c r="Q105" i="46"/>
  <c r="AD105" i="46" s="1"/>
  <c r="V104" i="46"/>
  <c r="AI104" i="46" s="1"/>
  <c r="U104" i="46"/>
  <c r="AH104" i="46" s="1"/>
  <c r="T104" i="46"/>
  <c r="AG104" i="46" s="1"/>
  <c r="S104" i="46"/>
  <c r="AF104" i="46" s="1"/>
  <c r="R104" i="46"/>
  <c r="AE104" i="46" s="1"/>
  <c r="Q104" i="46"/>
  <c r="AD104" i="46" s="1"/>
  <c r="V103" i="46"/>
  <c r="AI103" i="46" s="1"/>
  <c r="U103" i="46"/>
  <c r="AH103" i="46" s="1"/>
  <c r="T103" i="46"/>
  <c r="AG103" i="46" s="1"/>
  <c r="S103" i="46"/>
  <c r="AF103" i="46" s="1"/>
  <c r="R103" i="46"/>
  <c r="AE103" i="46" s="1"/>
  <c r="Q103" i="46"/>
  <c r="AD103" i="46" s="1"/>
  <c r="V102" i="46"/>
  <c r="AI102" i="46" s="1"/>
  <c r="U102" i="46"/>
  <c r="AH102" i="46" s="1"/>
  <c r="T102" i="46"/>
  <c r="AG102" i="46" s="1"/>
  <c r="S102" i="46"/>
  <c r="AF102" i="46" s="1"/>
  <c r="R102" i="46"/>
  <c r="AE102" i="46" s="1"/>
  <c r="Q102" i="46"/>
  <c r="AD102" i="46" s="1"/>
  <c r="V101" i="46"/>
  <c r="AI101" i="46" s="1"/>
  <c r="U101" i="46"/>
  <c r="AH101" i="46" s="1"/>
  <c r="T101" i="46"/>
  <c r="AG101" i="46" s="1"/>
  <c r="S101" i="46"/>
  <c r="AF101" i="46" s="1"/>
  <c r="R101" i="46"/>
  <c r="AE101" i="46" s="1"/>
  <c r="Q101" i="46"/>
  <c r="AD101" i="46" s="1"/>
  <c r="V100" i="46"/>
  <c r="AI100" i="46" s="1"/>
  <c r="U100" i="46"/>
  <c r="AH100" i="46" s="1"/>
  <c r="T100" i="46"/>
  <c r="AG100" i="46" s="1"/>
  <c r="S100" i="46"/>
  <c r="AF100" i="46" s="1"/>
  <c r="R100" i="46"/>
  <c r="AE100" i="46" s="1"/>
  <c r="Q100" i="46"/>
  <c r="AD100" i="46" s="1"/>
  <c r="V99" i="46"/>
  <c r="AI99" i="46" s="1"/>
  <c r="U99" i="46"/>
  <c r="AH99" i="46" s="1"/>
  <c r="T99" i="46"/>
  <c r="AG99" i="46" s="1"/>
  <c r="S99" i="46"/>
  <c r="AF99" i="46" s="1"/>
  <c r="R99" i="46"/>
  <c r="AE99" i="46" s="1"/>
  <c r="Q99" i="46"/>
  <c r="AD99" i="46" s="1"/>
  <c r="V98" i="46"/>
  <c r="AI98" i="46" s="1"/>
  <c r="U98" i="46"/>
  <c r="AH98" i="46" s="1"/>
  <c r="T98" i="46"/>
  <c r="AG98" i="46" s="1"/>
  <c r="S98" i="46"/>
  <c r="AF98" i="46" s="1"/>
  <c r="R98" i="46"/>
  <c r="AE98" i="46" s="1"/>
  <c r="Q98" i="46"/>
  <c r="AD98" i="46" s="1"/>
  <c r="V97" i="46"/>
  <c r="AI97" i="46" s="1"/>
  <c r="U97" i="46"/>
  <c r="AH97" i="46" s="1"/>
  <c r="T97" i="46"/>
  <c r="AG97" i="46" s="1"/>
  <c r="S97" i="46"/>
  <c r="AF97" i="46" s="1"/>
  <c r="R97" i="46"/>
  <c r="AE97" i="46" s="1"/>
  <c r="Q97" i="46"/>
  <c r="AD97" i="46" s="1"/>
  <c r="V96" i="46"/>
  <c r="AI96" i="46" s="1"/>
  <c r="U96" i="46"/>
  <c r="AH96" i="46" s="1"/>
  <c r="T96" i="46"/>
  <c r="AG96" i="46" s="1"/>
  <c r="S96" i="46"/>
  <c r="AF96" i="46" s="1"/>
  <c r="R96" i="46"/>
  <c r="AE96" i="46" s="1"/>
  <c r="Q96" i="46"/>
  <c r="AD96" i="46" s="1"/>
  <c r="O91" i="46"/>
  <c r="N91" i="46"/>
  <c r="M91" i="46"/>
  <c r="L91" i="46"/>
  <c r="K91" i="46"/>
  <c r="O89" i="46"/>
  <c r="N89" i="46"/>
  <c r="M89" i="46"/>
  <c r="L89" i="46"/>
  <c r="K89" i="46"/>
  <c r="O87" i="46"/>
  <c r="N87" i="46"/>
  <c r="M87" i="46"/>
  <c r="L87" i="46"/>
  <c r="K87" i="46"/>
  <c r="O85" i="46"/>
  <c r="N85" i="46"/>
  <c r="M85" i="46"/>
  <c r="L85" i="46"/>
  <c r="K85" i="46"/>
  <c r="O83" i="46"/>
  <c r="N83" i="46"/>
  <c r="M83" i="46"/>
  <c r="L83" i="46"/>
  <c r="K83" i="46"/>
  <c r="O79" i="46"/>
  <c r="N79" i="46"/>
  <c r="M79" i="46"/>
  <c r="L79" i="46"/>
  <c r="K79" i="46"/>
  <c r="J79" i="46"/>
  <c r="I79" i="46"/>
  <c r="H79" i="46"/>
  <c r="W6" i="84" s="1"/>
  <c r="G79" i="46"/>
  <c r="F79" i="46"/>
  <c r="E79" i="46"/>
  <c r="T6" i="84" s="1"/>
  <c r="Y6" i="84" s="1"/>
  <c r="S6" i="79"/>
  <c r="V77" i="46"/>
  <c r="AI77" i="46" s="1"/>
  <c r="U77" i="46"/>
  <c r="AH77" i="46" s="1"/>
  <c r="T77" i="46"/>
  <c r="AG77" i="46" s="1"/>
  <c r="S77" i="46"/>
  <c r="AF77" i="46" s="1"/>
  <c r="R77" i="46"/>
  <c r="AE77" i="46" s="1"/>
  <c r="Q77" i="46"/>
  <c r="AD77" i="46" s="1"/>
  <c r="V76" i="46"/>
  <c r="AI76" i="46" s="1"/>
  <c r="U76" i="46"/>
  <c r="AH76" i="46" s="1"/>
  <c r="T76" i="46"/>
  <c r="AG76" i="46" s="1"/>
  <c r="S76" i="46"/>
  <c r="AF76" i="46" s="1"/>
  <c r="R76" i="46"/>
  <c r="AE76" i="46" s="1"/>
  <c r="Q76" i="46"/>
  <c r="AD76" i="46" s="1"/>
  <c r="V75" i="46"/>
  <c r="AI75" i="46" s="1"/>
  <c r="U75" i="46"/>
  <c r="AH75" i="46" s="1"/>
  <c r="T75" i="46"/>
  <c r="AG75" i="46" s="1"/>
  <c r="S75" i="46"/>
  <c r="AF75" i="46" s="1"/>
  <c r="R75" i="46"/>
  <c r="AE75" i="46" s="1"/>
  <c r="Q75" i="46"/>
  <c r="AD75" i="46" s="1"/>
  <c r="V74" i="46"/>
  <c r="AI74" i="46" s="1"/>
  <c r="U74" i="46"/>
  <c r="AH74" i="46" s="1"/>
  <c r="T74" i="46"/>
  <c r="AG74" i="46" s="1"/>
  <c r="S74" i="46"/>
  <c r="AF74" i="46" s="1"/>
  <c r="R74" i="46"/>
  <c r="AE74" i="46" s="1"/>
  <c r="Q74" i="46"/>
  <c r="AD74" i="46" s="1"/>
  <c r="V73" i="46"/>
  <c r="AI73" i="46" s="1"/>
  <c r="U73" i="46"/>
  <c r="AH73" i="46" s="1"/>
  <c r="T73" i="46"/>
  <c r="AG73" i="46" s="1"/>
  <c r="S73" i="46"/>
  <c r="AF73" i="46" s="1"/>
  <c r="R73" i="46"/>
  <c r="AE73" i="46" s="1"/>
  <c r="Q73" i="46"/>
  <c r="AD73" i="46" s="1"/>
  <c r="V72" i="46"/>
  <c r="AI72" i="46" s="1"/>
  <c r="U72" i="46"/>
  <c r="AH72" i="46" s="1"/>
  <c r="T72" i="46"/>
  <c r="AG72" i="46" s="1"/>
  <c r="S72" i="46"/>
  <c r="AF72" i="46" s="1"/>
  <c r="R72" i="46"/>
  <c r="AE72" i="46" s="1"/>
  <c r="Q72" i="46"/>
  <c r="AD72" i="46" s="1"/>
  <c r="V71" i="46"/>
  <c r="AI71" i="46" s="1"/>
  <c r="U71" i="46"/>
  <c r="AH71" i="46" s="1"/>
  <c r="T71" i="46"/>
  <c r="AG71" i="46" s="1"/>
  <c r="S71" i="46"/>
  <c r="AF71" i="46" s="1"/>
  <c r="R71" i="46"/>
  <c r="AE71" i="46" s="1"/>
  <c r="Q71" i="46"/>
  <c r="AD71" i="46" s="1"/>
  <c r="V70" i="46"/>
  <c r="AI70" i="46" s="1"/>
  <c r="U70" i="46"/>
  <c r="AH70" i="46" s="1"/>
  <c r="T70" i="46"/>
  <c r="AG70" i="46" s="1"/>
  <c r="S70" i="46"/>
  <c r="AF70" i="46" s="1"/>
  <c r="R70" i="46"/>
  <c r="AE70" i="46" s="1"/>
  <c r="Q70" i="46"/>
  <c r="AD70" i="46" s="1"/>
  <c r="O65" i="46"/>
  <c r="N65" i="46"/>
  <c r="M65" i="46"/>
  <c r="L65" i="46"/>
  <c r="K65" i="46"/>
  <c r="O63" i="46"/>
  <c r="N63" i="46"/>
  <c r="M63" i="46"/>
  <c r="L63" i="46"/>
  <c r="K63" i="46"/>
  <c r="O61" i="46"/>
  <c r="N61" i="46"/>
  <c r="M61" i="46"/>
  <c r="L61" i="46"/>
  <c r="K61" i="46"/>
  <c r="O59" i="46"/>
  <c r="N59" i="46"/>
  <c r="M59" i="46"/>
  <c r="L59" i="46"/>
  <c r="K59" i="46"/>
  <c r="O57" i="46"/>
  <c r="N57" i="46"/>
  <c r="M57" i="46"/>
  <c r="L57" i="46"/>
  <c r="K57" i="46"/>
  <c r="O53" i="46"/>
  <c r="AC53" i="46" s="1"/>
  <c r="X11" i="84" s="1"/>
  <c r="N53" i="46"/>
  <c r="M53" i="46"/>
  <c r="L53" i="46"/>
  <c r="K53" i="46"/>
  <c r="Y53" i="46" s="1"/>
  <c r="T11" i="84" s="1"/>
  <c r="J53" i="46"/>
  <c r="I53" i="46"/>
  <c r="X5" i="84" s="1"/>
  <c r="H53" i="46"/>
  <c r="G53" i="46"/>
  <c r="F53" i="46"/>
  <c r="U5" i="84" s="1"/>
  <c r="E53" i="46"/>
  <c r="S5" i="79"/>
  <c r="V51" i="46"/>
  <c r="AI51" i="46" s="1"/>
  <c r="U51" i="46"/>
  <c r="AH51" i="46" s="1"/>
  <c r="T51" i="46"/>
  <c r="AG51" i="46" s="1"/>
  <c r="S51" i="46"/>
  <c r="AF51" i="46" s="1"/>
  <c r="R51" i="46"/>
  <c r="AE51" i="46" s="1"/>
  <c r="Q51" i="46"/>
  <c r="AD51" i="46" s="1"/>
  <c r="V50" i="46"/>
  <c r="AI50" i="46" s="1"/>
  <c r="U50" i="46"/>
  <c r="AH50" i="46" s="1"/>
  <c r="T50" i="46"/>
  <c r="AG50" i="46" s="1"/>
  <c r="S50" i="46"/>
  <c r="AF50" i="46" s="1"/>
  <c r="R50" i="46"/>
  <c r="AE50" i="46" s="1"/>
  <c r="Q50" i="46"/>
  <c r="AD50" i="46" s="1"/>
  <c r="V49" i="46"/>
  <c r="AI49" i="46" s="1"/>
  <c r="U49" i="46"/>
  <c r="AH49" i="46" s="1"/>
  <c r="T49" i="46"/>
  <c r="AG49" i="46" s="1"/>
  <c r="S49" i="46"/>
  <c r="AF49" i="46" s="1"/>
  <c r="R49" i="46"/>
  <c r="AE49" i="46" s="1"/>
  <c r="Q49" i="46"/>
  <c r="AD49" i="46" s="1"/>
  <c r="V48" i="46"/>
  <c r="AI48" i="46" s="1"/>
  <c r="U48" i="46"/>
  <c r="AH48" i="46" s="1"/>
  <c r="T48" i="46"/>
  <c r="AG48" i="46" s="1"/>
  <c r="S48" i="46"/>
  <c r="AF48" i="46" s="1"/>
  <c r="R48" i="46"/>
  <c r="AE48" i="46" s="1"/>
  <c r="Q48" i="46"/>
  <c r="AD48" i="46" s="1"/>
  <c r="V47" i="46"/>
  <c r="AI47" i="46" s="1"/>
  <c r="U47" i="46"/>
  <c r="AH47" i="46" s="1"/>
  <c r="T47" i="46"/>
  <c r="AG47" i="46" s="1"/>
  <c r="S47" i="46"/>
  <c r="AF47" i="46" s="1"/>
  <c r="R47" i="46"/>
  <c r="AE47" i="46" s="1"/>
  <c r="Q47" i="46"/>
  <c r="AD47" i="46" s="1"/>
  <c r="V46" i="46"/>
  <c r="AI46" i="46" s="1"/>
  <c r="U46" i="46"/>
  <c r="AH46" i="46" s="1"/>
  <c r="T46" i="46"/>
  <c r="AG46" i="46" s="1"/>
  <c r="S46" i="46"/>
  <c r="AF46" i="46" s="1"/>
  <c r="R46" i="46"/>
  <c r="AE46" i="46" s="1"/>
  <c r="Q46" i="46"/>
  <c r="AD46" i="46" s="1"/>
  <c r="V45" i="46"/>
  <c r="AI45" i="46" s="1"/>
  <c r="U45" i="46"/>
  <c r="AH45" i="46" s="1"/>
  <c r="T45" i="46"/>
  <c r="AG45" i="46" s="1"/>
  <c r="S45" i="46"/>
  <c r="AF45" i="46" s="1"/>
  <c r="R45" i="46"/>
  <c r="AE45" i="46" s="1"/>
  <c r="Q45" i="46"/>
  <c r="AD45" i="46" s="1"/>
  <c r="V44" i="46"/>
  <c r="AI44" i="46" s="1"/>
  <c r="U44" i="46"/>
  <c r="AH44" i="46" s="1"/>
  <c r="T44" i="46"/>
  <c r="AG44" i="46" s="1"/>
  <c r="S44" i="46"/>
  <c r="AF44" i="46" s="1"/>
  <c r="R44" i="46"/>
  <c r="AE44" i="46" s="1"/>
  <c r="Q44" i="46"/>
  <c r="AD44" i="46" s="1"/>
  <c r="V43" i="46"/>
  <c r="AI43" i="46" s="1"/>
  <c r="U43" i="46"/>
  <c r="AH43" i="46" s="1"/>
  <c r="T43" i="46"/>
  <c r="AG43" i="46" s="1"/>
  <c r="S43" i="46"/>
  <c r="AF43" i="46" s="1"/>
  <c r="R43" i="46"/>
  <c r="AE43" i="46" s="1"/>
  <c r="Q43" i="46"/>
  <c r="AD43" i="46" s="1"/>
  <c r="V42" i="46"/>
  <c r="AI42" i="46" s="1"/>
  <c r="U42" i="46"/>
  <c r="AH42" i="46" s="1"/>
  <c r="T42" i="46"/>
  <c r="AG42" i="46" s="1"/>
  <c r="S42" i="46"/>
  <c r="AF42" i="46" s="1"/>
  <c r="R42" i="46"/>
  <c r="AE42" i="46" s="1"/>
  <c r="Q42" i="46"/>
  <c r="AD42" i="46" s="1"/>
  <c r="V41" i="46"/>
  <c r="AI41" i="46" s="1"/>
  <c r="U41" i="46"/>
  <c r="AH41" i="46" s="1"/>
  <c r="T41" i="46"/>
  <c r="AG41" i="46" s="1"/>
  <c r="S41" i="46"/>
  <c r="AF41" i="46" s="1"/>
  <c r="R41" i="46"/>
  <c r="AE41" i="46" s="1"/>
  <c r="Q41" i="46"/>
  <c r="AD41" i="46" s="1"/>
  <c r="O36" i="46"/>
  <c r="N36" i="46"/>
  <c r="M36" i="46"/>
  <c r="L36" i="46"/>
  <c r="K36" i="46"/>
  <c r="O34" i="46"/>
  <c r="N34" i="46"/>
  <c r="M34" i="46"/>
  <c r="L34" i="46"/>
  <c r="K34" i="46"/>
  <c r="O32" i="46"/>
  <c r="N32" i="46"/>
  <c r="M32" i="46"/>
  <c r="L32" i="46"/>
  <c r="K32" i="46"/>
  <c r="O30" i="46"/>
  <c r="N30" i="46"/>
  <c r="M30" i="46"/>
  <c r="L30" i="46"/>
  <c r="K30" i="46"/>
  <c r="O28" i="46"/>
  <c r="N28" i="46"/>
  <c r="M28" i="46"/>
  <c r="L28" i="46"/>
  <c r="K28" i="46"/>
  <c r="O24" i="46"/>
  <c r="N24" i="46"/>
  <c r="M24" i="46"/>
  <c r="L24" i="46"/>
  <c r="K24" i="46"/>
  <c r="J24" i="46"/>
  <c r="I24" i="46"/>
  <c r="X4" i="84" s="1"/>
  <c r="H24" i="46"/>
  <c r="W4" i="84" s="1"/>
  <c r="G24" i="46"/>
  <c r="V4" i="84" s="1"/>
  <c r="F24" i="46"/>
  <c r="U4" i="84" s="1"/>
  <c r="E24" i="46"/>
  <c r="T4" i="84" s="1"/>
  <c r="D24" i="46"/>
  <c r="S4" i="84" s="1"/>
  <c r="V22" i="46"/>
  <c r="AI22" i="46" s="1"/>
  <c r="U22" i="46"/>
  <c r="AH22" i="46" s="1"/>
  <c r="T22" i="46"/>
  <c r="AG22" i="46" s="1"/>
  <c r="S22" i="46"/>
  <c r="AF22" i="46" s="1"/>
  <c r="R22" i="46"/>
  <c r="AE22" i="46" s="1"/>
  <c r="Q22" i="46"/>
  <c r="AD22" i="46" s="1"/>
  <c r="V21" i="46"/>
  <c r="AI21" i="46" s="1"/>
  <c r="U21" i="46"/>
  <c r="AH21" i="46" s="1"/>
  <c r="T21" i="46"/>
  <c r="AG21" i="46" s="1"/>
  <c r="S21" i="46"/>
  <c r="AF21" i="46" s="1"/>
  <c r="R21" i="46"/>
  <c r="AE21" i="46" s="1"/>
  <c r="Q21" i="46"/>
  <c r="AD21" i="46" s="1"/>
  <c r="V20" i="46"/>
  <c r="AI20" i="46" s="1"/>
  <c r="U20" i="46"/>
  <c r="AH20" i="46" s="1"/>
  <c r="T20" i="46"/>
  <c r="AG20" i="46" s="1"/>
  <c r="S20" i="46"/>
  <c r="AF20" i="46" s="1"/>
  <c r="R20" i="46"/>
  <c r="AE20" i="46" s="1"/>
  <c r="Q20" i="46"/>
  <c r="AD20" i="46" s="1"/>
  <c r="V19" i="46"/>
  <c r="AI19" i="46" s="1"/>
  <c r="U19" i="46"/>
  <c r="AH19" i="46" s="1"/>
  <c r="T19" i="46"/>
  <c r="AG19" i="46" s="1"/>
  <c r="S19" i="46"/>
  <c r="AF19" i="46" s="1"/>
  <c r="R19" i="46"/>
  <c r="AE19" i="46" s="1"/>
  <c r="Q19" i="46"/>
  <c r="AD19" i="46" s="1"/>
  <c r="U18" i="46"/>
  <c r="AH18" i="46" s="1"/>
  <c r="T18" i="46"/>
  <c r="AG18" i="46" s="1"/>
  <c r="S18" i="46"/>
  <c r="AF18" i="46" s="1"/>
  <c r="R18" i="46"/>
  <c r="AE18" i="46" s="1"/>
  <c r="Q18" i="46"/>
  <c r="AD18" i="46" s="1"/>
  <c r="V17" i="46"/>
  <c r="AI17" i="46" s="1"/>
  <c r="U17" i="46"/>
  <c r="AH17" i="46" s="1"/>
  <c r="T17" i="46"/>
  <c r="AG17" i="46" s="1"/>
  <c r="S17" i="46"/>
  <c r="AF17" i="46" s="1"/>
  <c r="R17" i="46"/>
  <c r="AE17" i="46" s="1"/>
  <c r="Q17" i="46"/>
  <c r="AD17" i="46" s="1"/>
  <c r="V16" i="46"/>
  <c r="AI16" i="46" s="1"/>
  <c r="U16" i="46"/>
  <c r="AH16" i="46" s="1"/>
  <c r="T16" i="46"/>
  <c r="AG16" i="46" s="1"/>
  <c r="S16" i="46"/>
  <c r="AF16" i="46" s="1"/>
  <c r="R16" i="46"/>
  <c r="AE16" i="46" s="1"/>
  <c r="Q16" i="46"/>
  <c r="AD16" i="46" s="1"/>
  <c r="V15" i="46"/>
  <c r="AI15" i="46" s="1"/>
  <c r="U15" i="46"/>
  <c r="AH15" i="46" s="1"/>
  <c r="T15" i="46"/>
  <c r="AG15" i="46" s="1"/>
  <c r="S15" i="46"/>
  <c r="AF15" i="46" s="1"/>
  <c r="R15" i="46"/>
  <c r="AE15" i="46" s="1"/>
  <c r="Q15" i="46"/>
  <c r="AD15" i="46" s="1"/>
  <c r="V14" i="46"/>
  <c r="AI14" i="46" s="1"/>
  <c r="U14" i="46"/>
  <c r="AH14" i="46" s="1"/>
  <c r="T14" i="46"/>
  <c r="AG14" i="46" s="1"/>
  <c r="S14" i="46"/>
  <c r="AF14" i="46" s="1"/>
  <c r="R14" i="46"/>
  <c r="AE14" i="46" s="1"/>
  <c r="Q14" i="46"/>
  <c r="AD14" i="46" s="1"/>
  <c r="V13" i="46"/>
  <c r="AI13" i="46" s="1"/>
  <c r="U13" i="46"/>
  <c r="AH13" i="46" s="1"/>
  <c r="T13" i="46"/>
  <c r="AG13" i="46" s="1"/>
  <c r="S13" i="46"/>
  <c r="AF13" i="46" s="1"/>
  <c r="R13" i="46"/>
  <c r="AE13" i="46" s="1"/>
  <c r="Q13" i="46"/>
  <c r="AD13" i="46" s="1"/>
  <c r="V12" i="46"/>
  <c r="AI12" i="46" s="1"/>
  <c r="U12" i="46"/>
  <c r="AH12" i="46" s="1"/>
  <c r="T12" i="46"/>
  <c r="AG12" i="46" s="1"/>
  <c r="S12" i="46"/>
  <c r="AF12" i="46" s="1"/>
  <c r="R12" i="46"/>
  <c r="AE12" i="46" s="1"/>
  <c r="Q12" i="46"/>
  <c r="AD12" i="46" s="1"/>
  <c r="V11" i="46"/>
  <c r="AI11" i="46" s="1"/>
  <c r="U11" i="46"/>
  <c r="AH11" i="46" s="1"/>
  <c r="T11" i="46"/>
  <c r="AG11" i="46" s="1"/>
  <c r="S11" i="46"/>
  <c r="AF11" i="46" s="1"/>
  <c r="R11" i="46"/>
  <c r="AE11" i="46" s="1"/>
  <c r="Q11" i="46"/>
  <c r="AD11" i="46" s="1"/>
  <c r="V10" i="46"/>
  <c r="AI10" i="46" s="1"/>
  <c r="U10" i="46"/>
  <c r="AH10" i="46" s="1"/>
  <c r="T10" i="46"/>
  <c r="AG10" i="46" s="1"/>
  <c r="S10" i="46"/>
  <c r="AF10" i="46" s="1"/>
  <c r="R10" i="46"/>
  <c r="AE10" i="46" s="1"/>
  <c r="O8" i="46"/>
  <c r="AC8" i="46" s="1"/>
  <c r="AI8" i="46" s="1"/>
  <c r="N8" i="46"/>
  <c r="M8" i="46"/>
  <c r="L8" i="46"/>
  <c r="K8" i="46"/>
  <c r="Y8" i="46" s="1"/>
  <c r="AE8" i="46" s="1"/>
  <c r="J8" i="46"/>
  <c r="Z11" i="84" l="1"/>
  <c r="Z4" i="84"/>
  <c r="Z14" i="84"/>
  <c r="S29" i="84"/>
  <c r="S21" i="84"/>
  <c r="S26" i="84"/>
  <c r="S20" i="84"/>
  <c r="S30" i="84"/>
  <c r="S27" i="84"/>
  <c r="S17" i="84"/>
  <c r="S25" i="84"/>
  <c r="S24" i="84"/>
  <c r="S18" i="84"/>
  <c r="S23" i="84"/>
  <c r="S22" i="84"/>
  <c r="S19" i="84"/>
  <c r="S28" i="84"/>
  <c r="U6" i="79"/>
  <c r="U6" i="84"/>
  <c r="AB79" i="46"/>
  <c r="W12" i="84" s="1"/>
  <c r="T5" i="79"/>
  <c r="T5" i="84"/>
  <c r="Y5" i="84" s="1"/>
  <c r="Y24" i="46"/>
  <c r="T10" i="84" s="1"/>
  <c r="T26" i="84"/>
  <c r="T20" i="84"/>
  <c r="T30" i="84"/>
  <c r="T27" i="84"/>
  <c r="T17" i="84"/>
  <c r="T25" i="84"/>
  <c r="T24" i="84"/>
  <c r="T28" i="84"/>
  <c r="T22" i="84"/>
  <c r="T21" i="84"/>
  <c r="Y21" i="84" s="1"/>
  <c r="T29" i="84"/>
  <c r="T23" i="84"/>
  <c r="T19" i="84"/>
  <c r="T18" i="84"/>
  <c r="Y18" i="84" s="1"/>
  <c r="V6" i="79"/>
  <c r="V6" i="84"/>
  <c r="AC79" i="46"/>
  <c r="X12" i="84" s="1"/>
  <c r="Y4" i="84"/>
  <c r="AA24" i="46"/>
  <c r="V10" i="84" s="1"/>
  <c r="V30" i="84"/>
  <c r="V27" i="84"/>
  <c r="V17" i="84"/>
  <c r="V25" i="84"/>
  <c r="V24" i="84"/>
  <c r="V28" i="84"/>
  <c r="V22" i="84"/>
  <c r="V23" i="84"/>
  <c r="V19" i="84"/>
  <c r="V18" i="84"/>
  <c r="V26" i="84"/>
  <c r="V21" i="84"/>
  <c r="V29" i="84"/>
  <c r="V20" i="84"/>
  <c r="X6" i="79"/>
  <c r="X6" i="84"/>
  <c r="Z6" i="84" s="1"/>
  <c r="U7" i="79"/>
  <c r="U7" i="84"/>
  <c r="AB24" i="46"/>
  <c r="W10" i="84" s="1"/>
  <c r="W25" i="84"/>
  <c r="W24" i="84"/>
  <c r="W28" i="84"/>
  <c r="W22" i="84"/>
  <c r="W23" i="84"/>
  <c r="W19" i="84"/>
  <c r="W18" i="84"/>
  <c r="W29" i="84"/>
  <c r="W21" i="84"/>
  <c r="W17" i="84"/>
  <c r="W30" i="84"/>
  <c r="W27" i="84"/>
  <c r="W26" i="84"/>
  <c r="W20" i="84"/>
  <c r="V5" i="79"/>
  <c r="V5" i="84"/>
  <c r="X79" i="46"/>
  <c r="S12" i="84" s="1"/>
  <c r="S55" i="84"/>
  <c r="V7" i="79"/>
  <c r="V7" i="84"/>
  <c r="AC24" i="46"/>
  <c r="X10" i="84" s="1"/>
  <c r="X28" i="84"/>
  <c r="X22" i="84"/>
  <c r="X23" i="84"/>
  <c r="X19" i="84"/>
  <c r="X18" i="84"/>
  <c r="X29" i="84"/>
  <c r="X21" i="84"/>
  <c r="Z21" i="84" s="1"/>
  <c r="X27" i="84"/>
  <c r="X26" i="84"/>
  <c r="X25" i="84"/>
  <c r="X30" i="84"/>
  <c r="X20" i="84"/>
  <c r="X17" i="84"/>
  <c r="X24" i="84"/>
  <c r="W5" i="79"/>
  <c r="W5" i="84"/>
  <c r="Y79" i="46"/>
  <c r="T12" i="84" s="1"/>
  <c r="W7" i="79"/>
  <c r="W7" i="84"/>
  <c r="Z24" i="46"/>
  <c r="U10" i="84" s="1"/>
  <c r="U26" i="84"/>
  <c r="U20" i="84"/>
  <c r="U30" i="84"/>
  <c r="U27" i="84"/>
  <c r="U17" i="84"/>
  <c r="U25" i="84"/>
  <c r="U24" i="84"/>
  <c r="U28" i="84"/>
  <c r="U22" i="84"/>
  <c r="U29" i="84"/>
  <c r="U23" i="84"/>
  <c r="U21" i="84"/>
  <c r="U19" i="84"/>
  <c r="U18" i="84"/>
  <c r="Z79" i="46"/>
  <c r="U12" i="84" s="1"/>
  <c r="X7" i="79"/>
  <c r="X7" i="84"/>
  <c r="Z7" i="84" s="1"/>
  <c r="AA79" i="46"/>
  <c r="V12" i="84" s="1"/>
  <c r="W14" i="79"/>
  <c r="AB141" i="46"/>
  <c r="W14" i="84" s="1"/>
  <c r="P110" i="46"/>
  <c r="Y110" i="46"/>
  <c r="T13" i="84" s="1"/>
  <c r="U14" i="79"/>
  <c r="Z141" i="46"/>
  <c r="U14" i="84" s="1"/>
  <c r="U13" i="79"/>
  <c r="Z110" i="46"/>
  <c r="U13" i="84" s="1"/>
  <c r="V13" i="79"/>
  <c r="AA110" i="46"/>
  <c r="V13" i="84" s="1"/>
  <c r="W13" i="79"/>
  <c r="AB110" i="46"/>
  <c r="W13" i="84" s="1"/>
  <c r="S14" i="79"/>
  <c r="X141" i="46"/>
  <c r="S14" i="84" s="1"/>
  <c r="Y14" i="84" s="1"/>
  <c r="S13" i="79"/>
  <c r="X110" i="46"/>
  <c r="S13" i="84" s="1"/>
  <c r="W11" i="79"/>
  <c r="AB53" i="46"/>
  <c r="W11" i="84" s="1"/>
  <c r="U11" i="79"/>
  <c r="Z53" i="46"/>
  <c r="U11" i="84" s="1"/>
  <c r="J37" i="46"/>
  <c r="X24" i="46"/>
  <c r="S10" i="84" s="1"/>
  <c r="V11" i="79"/>
  <c r="AA53" i="46"/>
  <c r="V11" i="84" s="1"/>
  <c r="S11" i="79"/>
  <c r="X53" i="46"/>
  <c r="S11" i="84" s="1"/>
  <c r="Y11" i="84" s="1"/>
  <c r="S8" i="46"/>
  <c r="Z8" i="46"/>
  <c r="AF8" i="46" s="1"/>
  <c r="T8" i="46"/>
  <c r="AA8" i="46"/>
  <c r="AG8" i="46" s="1"/>
  <c r="Q8" i="46"/>
  <c r="X8" i="46"/>
  <c r="AD8" i="46" s="1"/>
  <c r="U8" i="46"/>
  <c r="AB8" i="46"/>
  <c r="AH8" i="46" s="1"/>
  <c r="P79" i="46"/>
  <c r="P141" i="46"/>
  <c r="T11" i="79"/>
  <c r="P53" i="46"/>
  <c r="J48" i="53"/>
  <c r="I48" i="53"/>
  <c r="BP48" i="53" s="1"/>
  <c r="R21" i="53"/>
  <c r="Q21" i="53"/>
  <c r="BW21" i="53" s="1"/>
  <c r="Q65" i="53"/>
  <c r="BW65" i="53" s="1"/>
  <c r="R65" i="53"/>
  <c r="Y61" i="53"/>
  <c r="CD61" i="53" s="1"/>
  <c r="Z61" i="53"/>
  <c r="AG48" i="53"/>
  <c r="CK48" i="53" s="1"/>
  <c r="AH48" i="53"/>
  <c r="AP24" i="53"/>
  <c r="AO24" i="53"/>
  <c r="CR24" i="53" s="1"/>
  <c r="P24" i="46"/>
  <c r="Q61" i="53"/>
  <c r="BW61" i="53" s="1"/>
  <c r="R61" i="53"/>
  <c r="AG24" i="53"/>
  <c r="CK24" i="53" s="1"/>
  <c r="AH24" i="53"/>
  <c r="AP21" i="53"/>
  <c r="AO21" i="53"/>
  <c r="CR21" i="53" s="1"/>
  <c r="R8" i="46"/>
  <c r="P7" i="46"/>
  <c r="J61" i="53"/>
  <c r="I61" i="53"/>
  <c r="BP61" i="53" s="1"/>
  <c r="R48" i="53"/>
  <c r="Q48" i="53"/>
  <c r="BW48" i="53" s="1"/>
  <c r="Y24" i="53"/>
  <c r="CD24" i="53" s="1"/>
  <c r="Z24" i="53"/>
  <c r="AH21" i="53"/>
  <c r="AG21" i="53"/>
  <c r="CK21" i="53" s="1"/>
  <c r="AH65" i="53"/>
  <c r="AG65" i="53"/>
  <c r="CK65" i="53" s="1"/>
  <c r="AP61" i="53"/>
  <c r="AO61" i="53"/>
  <c r="CR61" i="53" s="1"/>
  <c r="J65" i="53"/>
  <c r="I65" i="53"/>
  <c r="BP65" i="53" s="1"/>
  <c r="Z48" i="53"/>
  <c r="Y48" i="53"/>
  <c r="CD48" i="53" s="1"/>
  <c r="AP65" i="53"/>
  <c r="AO65" i="53"/>
  <c r="CR65" i="53" s="1"/>
  <c r="I21" i="53"/>
  <c r="BP21" i="53" s="1"/>
  <c r="J21" i="53"/>
  <c r="J24" i="53"/>
  <c r="I24" i="53"/>
  <c r="BP24" i="53" s="1"/>
  <c r="R24" i="53"/>
  <c r="Q24" i="53"/>
  <c r="BW24" i="53" s="1"/>
  <c r="Z21" i="53"/>
  <c r="Y21" i="53"/>
  <c r="CD21" i="53" s="1"/>
  <c r="Y65" i="53"/>
  <c r="CD65" i="53" s="1"/>
  <c r="Z65" i="53"/>
  <c r="AH61" i="53"/>
  <c r="AG61" i="53"/>
  <c r="CK61" i="53" s="1"/>
  <c r="AP48" i="53"/>
  <c r="AO48" i="53"/>
  <c r="CR48" i="53" s="1"/>
  <c r="T13" i="79"/>
  <c r="K123" i="46"/>
  <c r="Y123" i="46" s="1"/>
  <c r="V10" i="79"/>
  <c r="V18" i="79"/>
  <c r="V20" i="79"/>
  <c r="V22" i="79"/>
  <c r="V24" i="79"/>
  <c r="V17" i="79"/>
  <c r="V21" i="79"/>
  <c r="V30" i="79"/>
  <c r="V25" i="79"/>
  <c r="V19" i="79"/>
  <c r="V26" i="79"/>
  <c r="V28" i="79"/>
  <c r="V23" i="79"/>
  <c r="V27" i="79"/>
  <c r="V29" i="79"/>
  <c r="V12" i="79"/>
  <c r="V8" i="46"/>
  <c r="S18" i="79"/>
  <c r="S20" i="79"/>
  <c r="S22" i="79"/>
  <c r="S24" i="79"/>
  <c r="S26" i="79"/>
  <c r="S28" i="79"/>
  <c r="S30" i="79"/>
  <c r="S27" i="79"/>
  <c r="S19" i="79"/>
  <c r="S23" i="79"/>
  <c r="S29" i="79"/>
  <c r="S17" i="79"/>
  <c r="S25" i="79"/>
  <c r="S21" i="79"/>
  <c r="W10" i="79"/>
  <c r="W18" i="79"/>
  <c r="W20" i="79"/>
  <c r="W22" i="79"/>
  <c r="W24" i="79"/>
  <c r="W26" i="79"/>
  <c r="W28" i="79"/>
  <c r="W30" i="79"/>
  <c r="W29" i="79"/>
  <c r="W17" i="79"/>
  <c r="W21" i="79"/>
  <c r="W19" i="79"/>
  <c r="W25" i="79"/>
  <c r="W23" i="79"/>
  <c r="W27" i="79"/>
  <c r="S12" i="79"/>
  <c r="S55" i="79"/>
  <c r="T10" i="79"/>
  <c r="T19" i="79"/>
  <c r="T21" i="79"/>
  <c r="T23" i="79"/>
  <c r="T20" i="79"/>
  <c r="T24" i="79"/>
  <c r="T25" i="79"/>
  <c r="T26" i="79"/>
  <c r="T27" i="79"/>
  <c r="T28" i="79"/>
  <c r="T22" i="79"/>
  <c r="T30" i="79"/>
  <c r="T18" i="79"/>
  <c r="T29" i="79"/>
  <c r="T17" i="79"/>
  <c r="X19" i="79"/>
  <c r="X21" i="79"/>
  <c r="X23" i="79"/>
  <c r="X18" i="79"/>
  <c r="X22" i="79"/>
  <c r="X27" i="79"/>
  <c r="X28" i="79"/>
  <c r="X29" i="79"/>
  <c r="X30" i="79"/>
  <c r="X17" i="79"/>
  <c r="X24" i="79"/>
  <c r="X26" i="79"/>
  <c r="X20" i="79"/>
  <c r="X25" i="79"/>
  <c r="T12" i="79"/>
  <c r="U10" i="79"/>
  <c r="U19" i="79"/>
  <c r="U21" i="79"/>
  <c r="U23" i="79"/>
  <c r="U25" i="79"/>
  <c r="U27" i="79"/>
  <c r="U29" i="79"/>
  <c r="U20" i="79"/>
  <c r="U24" i="79"/>
  <c r="U26" i="79"/>
  <c r="U28" i="79"/>
  <c r="U22" i="79"/>
  <c r="U30" i="79"/>
  <c r="U17" i="79"/>
  <c r="U18" i="79"/>
  <c r="U12" i="79"/>
  <c r="X10" i="79"/>
  <c r="X12" i="79"/>
  <c r="X11" i="79"/>
  <c r="X13" i="79"/>
  <c r="X14" i="79"/>
  <c r="AX65" i="53"/>
  <c r="CZ65" i="53" s="1"/>
  <c r="AW65" i="53"/>
  <c r="CY65" i="53" s="1"/>
  <c r="G111" i="46"/>
  <c r="S10" i="79"/>
  <c r="N142" i="46"/>
  <c r="V14" i="79"/>
  <c r="K154" i="46"/>
  <c r="T14" i="79"/>
  <c r="L111" i="46"/>
  <c r="F111" i="46"/>
  <c r="T7" i="79"/>
  <c r="Z7" i="79" s="1"/>
  <c r="O80" i="46"/>
  <c r="W12" i="79"/>
  <c r="F80" i="46"/>
  <c r="T6" i="79"/>
  <c r="H80" i="46"/>
  <c r="I80" i="46"/>
  <c r="W6" i="79"/>
  <c r="G80" i="46"/>
  <c r="I54" i="46"/>
  <c r="X5" i="79"/>
  <c r="Z5" i="79" s="1"/>
  <c r="H54" i="46"/>
  <c r="G54" i="46"/>
  <c r="U5" i="79"/>
  <c r="F25" i="46"/>
  <c r="O154" i="46"/>
  <c r="O142" i="46"/>
  <c r="N154" i="46"/>
  <c r="M142" i="46"/>
  <c r="M154" i="46"/>
  <c r="L154" i="46"/>
  <c r="O123" i="46"/>
  <c r="AC123" i="46" s="1"/>
  <c r="N123" i="46"/>
  <c r="AB123" i="46" s="1"/>
  <c r="O111" i="46"/>
  <c r="M123" i="46"/>
  <c r="AA123" i="46" s="1"/>
  <c r="N111" i="46"/>
  <c r="M111" i="46"/>
  <c r="L123" i="46"/>
  <c r="Z123" i="46" s="1"/>
  <c r="I111" i="46"/>
  <c r="H111" i="46"/>
  <c r="E111" i="46"/>
  <c r="O92" i="46"/>
  <c r="N80" i="46"/>
  <c r="N92" i="46"/>
  <c r="M92" i="46"/>
  <c r="L92" i="46"/>
  <c r="M80" i="46"/>
  <c r="V55" i="84" s="1"/>
  <c r="K92" i="46"/>
  <c r="L80" i="46"/>
  <c r="U55" i="84" s="1"/>
  <c r="E80" i="46"/>
  <c r="F54" i="46"/>
  <c r="E54" i="46"/>
  <c r="O37" i="46"/>
  <c r="N37" i="46"/>
  <c r="M37" i="46"/>
  <c r="L37" i="46"/>
  <c r="I25" i="46"/>
  <c r="J154" i="46"/>
  <c r="J123" i="46"/>
  <c r="X123" i="46" s="1"/>
  <c r="J92" i="46"/>
  <c r="J66" i="46"/>
  <c r="K142" i="46"/>
  <c r="L142" i="46"/>
  <c r="K111" i="46"/>
  <c r="M66" i="46"/>
  <c r="N66" i="46"/>
  <c r="K66" i="46"/>
  <c r="O66" i="46"/>
  <c r="L66" i="46"/>
  <c r="K37" i="46"/>
  <c r="K80" i="46"/>
  <c r="T55" i="84" s="1"/>
  <c r="O54" i="46"/>
  <c r="N54" i="46"/>
  <c r="M54" i="46"/>
  <c r="L54" i="46"/>
  <c r="K54" i="46"/>
  <c r="K25" i="46"/>
  <c r="L25" i="46"/>
  <c r="O25" i="46"/>
  <c r="G25" i="46"/>
  <c r="H25" i="46"/>
  <c r="M25" i="46"/>
  <c r="E25" i="46"/>
  <c r="N25" i="46"/>
  <c r="Z24" i="84" l="1"/>
  <c r="Z29" i="84"/>
  <c r="Y17" i="84"/>
  <c r="Y26" i="84"/>
  <c r="AC66" i="46"/>
  <c r="X92" i="46"/>
  <c r="Z37" i="46"/>
  <c r="Y92" i="46"/>
  <c r="AB154" i="46"/>
  <c r="AA66" i="46"/>
  <c r="Y66" i="46"/>
  <c r="AA37" i="46"/>
  <c r="Z154" i="46"/>
  <c r="Y154" i="46"/>
  <c r="AB66" i="46"/>
  <c r="X154" i="46"/>
  <c r="AB37" i="46"/>
  <c r="AC92" i="46"/>
  <c r="AA154" i="46"/>
  <c r="AC154" i="46"/>
  <c r="X66" i="46"/>
  <c r="AC37" i="46"/>
  <c r="X37" i="46"/>
  <c r="Y22" i="84"/>
  <c r="Z27" i="84"/>
  <c r="Z19" i="84"/>
  <c r="Y24" i="84"/>
  <c r="Y25" i="84"/>
  <c r="Y20" i="84"/>
  <c r="Z25" i="84"/>
  <c r="Z18" i="84"/>
  <c r="Z26" i="84"/>
  <c r="Y29" i="84"/>
  <c r="Z17" i="84"/>
  <c r="Z10" i="84"/>
  <c r="Z20" i="84"/>
  <c r="Z5" i="84"/>
  <c r="Z6" i="79"/>
  <c r="Z22" i="84"/>
  <c r="Y19" i="84"/>
  <c r="T44" i="84"/>
  <c r="Y44" i="84" s="1"/>
  <c r="T42" i="84"/>
  <c r="Y42" i="84" s="1"/>
  <c r="T38" i="84"/>
  <c r="Y38" i="84" s="1"/>
  <c r="T34" i="84"/>
  <c r="Y34" i="84" s="1"/>
  <c r="T43" i="84"/>
  <c r="Y43" i="84" s="1"/>
  <c r="T39" i="84"/>
  <c r="Y39" i="84" s="1"/>
  <c r="T40" i="84"/>
  <c r="Y40" i="84" s="1"/>
  <c r="T41" i="84"/>
  <c r="Y41" i="84" s="1"/>
  <c r="T36" i="84"/>
  <c r="Y36" i="84" s="1"/>
  <c r="T35" i="84"/>
  <c r="Y35" i="84" s="1"/>
  <c r="T37" i="84"/>
  <c r="Y37" i="84" s="1"/>
  <c r="T45" i="84"/>
  <c r="Y45" i="84" s="1"/>
  <c r="X48" i="84"/>
  <c r="X53" i="84"/>
  <c r="X49" i="84"/>
  <c r="X54" i="84"/>
  <c r="X50" i="84"/>
  <c r="X51" i="84"/>
  <c r="X52" i="84"/>
  <c r="X47" i="84"/>
  <c r="Z13" i="84"/>
  <c r="Y13" i="84"/>
  <c r="X55" i="84"/>
  <c r="Z55" i="84" s="1"/>
  <c r="Y55" i="84"/>
  <c r="Z12" i="84"/>
  <c r="W52" i="84"/>
  <c r="W48" i="84"/>
  <c r="W53" i="84"/>
  <c r="W49" i="84"/>
  <c r="W54" i="84"/>
  <c r="W47" i="84"/>
  <c r="W51" i="84"/>
  <c r="W50" i="84"/>
  <c r="W40" i="84"/>
  <c r="W35" i="84"/>
  <c r="W45" i="84"/>
  <c r="W41" i="84"/>
  <c r="W36" i="84"/>
  <c r="W37" i="84"/>
  <c r="W34" i="84"/>
  <c r="W38" i="84"/>
  <c r="W44" i="84"/>
  <c r="W43" i="84"/>
  <c r="W39" i="84"/>
  <c r="W42" i="84"/>
  <c r="U55" i="79"/>
  <c r="U51" i="84"/>
  <c r="U47" i="84"/>
  <c r="U52" i="84"/>
  <c r="U48" i="84"/>
  <c r="U53" i="84"/>
  <c r="U49" i="84"/>
  <c r="U50" i="84"/>
  <c r="U54" i="84"/>
  <c r="X40" i="84"/>
  <c r="Z40" i="84" s="1"/>
  <c r="X35" i="84"/>
  <c r="X45" i="84"/>
  <c r="X41" i="84"/>
  <c r="X36" i="84"/>
  <c r="X37" i="84"/>
  <c r="X44" i="84"/>
  <c r="Z44" i="84" s="1"/>
  <c r="X42" i="84"/>
  <c r="Z42" i="84" s="1"/>
  <c r="X38" i="84"/>
  <c r="Z38" i="84" s="1"/>
  <c r="X34" i="84"/>
  <c r="Z34" i="84" s="1"/>
  <c r="X43" i="84"/>
  <c r="X39" i="84"/>
  <c r="Z39" i="84" s="1"/>
  <c r="V43" i="84"/>
  <c r="V39" i="84"/>
  <c r="V40" i="84"/>
  <c r="V35" i="84"/>
  <c r="V45" i="84"/>
  <c r="V41" i="84"/>
  <c r="V36" i="84"/>
  <c r="V38" i="84"/>
  <c r="V44" i="84"/>
  <c r="V34" i="84"/>
  <c r="V37" i="84"/>
  <c r="V42" i="84"/>
  <c r="T50" i="84"/>
  <c r="Y50" i="84" s="1"/>
  <c r="T51" i="84"/>
  <c r="Y51" i="84" s="1"/>
  <c r="T47" i="84"/>
  <c r="Y47" i="84" s="1"/>
  <c r="T52" i="84"/>
  <c r="Y52" i="84" s="1"/>
  <c r="T48" i="84"/>
  <c r="Y48" i="84" s="1"/>
  <c r="T49" i="84"/>
  <c r="Y49" i="84" s="1"/>
  <c r="T54" i="84"/>
  <c r="Y54" i="84" s="1"/>
  <c r="T53" i="84"/>
  <c r="Y53" i="84" s="1"/>
  <c r="V47" i="84"/>
  <c r="V52" i="84"/>
  <c r="V48" i="84"/>
  <c r="V53" i="84"/>
  <c r="V49" i="84"/>
  <c r="V50" i="84"/>
  <c r="V54" i="84"/>
  <c r="V51" i="84"/>
  <c r="Y12" i="84"/>
  <c r="Z28" i="84"/>
  <c r="W55" i="84"/>
  <c r="U43" i="84"/>
  <c r="U39" i="84"/>
  <c r="U40" i="84"/>
  <c r="U35" i="84"/>
  <c r="U42" i="84"/>
  <c r="U38" i="84"/>
  <c r="U36" i="84"/>
  <c r="U41" i="84"/>
  <c r="U45" i="84"/>
  <c r="U44" i="84"/>
  <c r="U34" i="84"/>
  <c r="U37" i="84"/>
  <c r="Y28" i="84"/>
  <c r="Y10" i="84"/>
  <c r="Z23" i="84"/>
  <c r="Y23" i="84"/>
  <c r="Y27" i="84"/>
  <c r="Z30" i="84"/>
  <c r="Y30" i="84"/>
  <c r="U68" i="53"/>
  <c r="BZ68" i="53" s="1"/>
  <c r="Z92" i="46"/>
  <c r="R47" i="60"/>
  <c r="AA92" i="46"/>
  <c r="S47" i="60"/>
  <c r="AB92" i="46"/>
  <c r="M68" i="53"/>
  <c r="BS68" i="53" s="1"/>
  <c r="Z66" i="46"/>
  <c r="Z27" i="79"/>
  <c r="P37" i="46"/>
  <c r="Y37" i="46"/>
  <c r="Z24" i="79"/>
  <c r="Z12" i="79"/>
  <c r="Z29" i="79"/>
  <c r="P92" i="46"/>
  <c r="Z26" i="79"/>
  <c r="Z13" i="79"/>
  <c r="Z14" i="79"/>
  <c r="Z11" i="79"/>
  <c r="Z25" i="79"/>
  <c r="Z17" i="79"/>
  <c r="Z20" i="79"/>
  <c r="Z22" i="79"/>
  <c r="P154" i="46"/>
  <c r="Z23" i="79"/>
  <c r="Z21" i="79"/>
  <c r="Z30" i="79"/>
  <c r="Z19" i="79"/>
  <c r="P123" i="46"/>
  <c r="Z18" i="79"/>
  <c r="Z10" i="79"/>
  <c r="P66" i="46"/>
  <c r="Z28" i="79"/>
  <c r="Y17" i="79"/>
  <c r="U34" i="79"/>
  <c r="U36" i="79"/>
  <c r="U38" i="79"/>
  <c r="U40" i="79"/>
  <c r="U42" i="79"/>
  <c r="U44" i="79"/>
  <c r="U37" i="79"/>
  <c r="U45" i="79"/>
  <c r="U35" i="79"/>
  <c r="U43" i="79"/>
  <c r="U39" i="79"/>
  <c r="U41" i="79"/>
  <c r="T49" i="79"/>
  <c r="T51" i="79"/>
  <c r="T53" i="79"/>
  <c r="T47" i="79"/>
  <c r="T48" i="79"/>
  <c r="T54" i="79"/>
  <c r="T50" i="79"/>
  <c r="T52" i="79"/>
  <c r="V48" i="79"/>
  <c r="V50" i="79"/>
  <c r="V52" i="79"/>
  <c r="V54" i="79"/>
  <c r="V49" i="79"/>
  <c r="V47" i="79"/>
  <c r="V51" i="79"/>
  <c r="V53" i="79"/>
  <c r="W47" i="79"/>
  <c r="W48" i="79"/>
  <c r="W50" i="79"/>
  <c r="W52" i="79"/>
  <c r="W54" i="79"/>
  <c r="W51" i="79"/>
  <c r="W49" i="79"/>
  <c r="W53" i="79"/>
  <c r="X49" i="79"/>
  <c r="X51" i="79"/>
  <c r="Z51" i="79" s="1"/>
  <c r="X53" i="79"/>
  <c r="Z53" i="79" s="1"/>
  <c r="X47" i="79"/>
  <c r="Z47" i="79" s="1"/>
  <c r="X52" i="79"/>
  <c r="X50" i="79"/>
  <c r="X48" i="79"/>
  <c r="X54" i="79"/>
  <c r="X55" i="79"/>
  <c r="W55" i="79"/>
  <c r="T36" i="79"/>
  <c r="T38" i="79"/>
  <c r="T40" i="79"/>
  <c r="T42" i="79"/>
  <c r="T44" i="79"/>
  <c r="T35" i="79"/>
  <c r="T43" i="79"/>
  <c r="T41" i="79"/>
  <c r="T37" i="79"/>
  <c r="T39" i="79"/>
  <c r="T45" i="79"/>
  <c r="T34" i="79"/>
  <c r="V35" i="79"/>
  <c r="V37" i="79"/>
  <c r="V39" i="79"/>
  <c r="V41" i="79"/>
  <c r="V43" i="79"/>
  <c r="V45" i="79"/>
  <c r="V34" i="79"/>
  <c r="V36" i="79"/>
  <c r="V44" i="79"/>
  <c r="V42" i="79"/>
  <c r="V38" i="79"/>
  <c r="V40" i="79"/>
  <c r="T55" i="79"/>
  <c r="P54" i="46"/>
  <c r="X36" i="79"/>
  <c r="X38" i="79"/>
  <c r="X40" i="79"/>
  <c r="X42" i="79"/>
  <c r="X44" i="79"/>
  <c r="X39" i="79"/>
  <c r="X34" i="79"/>
  <c r="X37" i="79"/>
  <c r="X45" i="79"/>
  <c r="Z45" i="79" s="1"/>
  <c r="X35" i="79"/>
  <c r="X43" i="79"/>
  <c r="X41" i="79"/>
  <c r="W35" i="79"/>
  <c r="W37" i="79"/>
  <c r="W39" i="79"/>
  <c r="W41" i="79"/>
  <c r="W43" i="79"/>
  <c r="W45" i="79"/>
  <c r="W38" i="79"/>
  <c r="W36" i="79"/>
  <c r="W44" i="79"/>
  <c r="W40" i="79"/>
  <c r="W34" i="79"/>
  <c r="W42" i="79"/>
  <c r="U49" i="79"/>
  <c r="U51" i="79"/>
  <c r="U53" i="79"/>
  <c r="U50" i="79"/>
  <c r="U48" i="79"/>
  <c r="U52" i="79"/>
  <c r="U47" i="79"/>
  <c r="U54" i="79"/>
  <c r="V55" i="79"/>
  <c r="AN68" i="53"/>
  <c r="CQ68" i="53" s="1"/>
  <c r="AF47" i="60"/>
  <c r="AA47" i="60"/>
  <c r="AE47" i="60"/>
  <c r="AC47" i="60"/>
  <c r="AD47" i="60"/>
  <c r="AB47" i="60"/>
  <c r="V47" i="60"/>
  <c r="BS47" i="60" s="1"/>
  <c r="W47" i="60"/>
  <c r="BT47" i="60" s="1"/>
  <c r="Z47" i="60"/>
  <c r="BW47" i="60" s="1"/>
  <c r="X47" i="60"/>
  <c r="BU47" i="60" s="1"/>
  <c r="AA68" i="53"/>
  <c r="U47" i="60"/>
  <c r="BR47" i="60" s="1"/>
  <c r="AE68" i="53"/>
  <c r="CI68" i="53" s="1"/>
  <c r="Y47" i="60"/>
  <c r="BV47" i="60" s="1"/>
  <c r="O47" i="60"/>
  <c r="P47" i="60"/>
  <c r="X68" i="53"/>
  <c r="CC68" i="53" s="1"/>
  <c r="T47" i="60"/>
  <c r="Q47" i="60"/>
  <c r="K47" i="60"/>
  <c r="O68" i="53"/>
  <c r="BU68" i="53" s="1"/>
  <c r="M47" i="60"/>
  <c r="N47" i="60"/>
  <c r="L47" i="60"/>
  <c r="I47" i="60"/>
  <c r="J47" i="60"/>
  <c r="H47" i="60"/>
  <c r="F47" i="60"/>
  <c r="G47" i="60"/>
  <c r="E47" i="60"/>
  <c r="D47" i="60"/>
  <c r="C68" i="53"/>
  <c r="BJ68" i="53" s="1"/>
  <c r="C47" i="60"/>
  <c r="AM68" i="53"/>
  <c r="CP68" i="53" s="1"/>
  <c r="F68" i="53"/>
  <c r="BM68" i="53" s="1"/>
  <c r="AK68" i="53"/>
  <c r="CN68" i="53" s="1"/>
  <c r="K68" i="53"/>
  <c r="AD68" i="53"/>
  <c r="CH68" i="53" s="1"/>
  <c r="H68" i="53"/>
  <c r="BO68" i="53" s="1"/>
  <c r="G68" i="53"/>
  <c r="BN68" i="53" s="1"/>
  <c r="AI68" i="53"/>
  <c r="S68" i="53"/>
  <c r="N124" i="46"/>
  <c r="L155" i="46"/>
  <c r="AL68" i="53"/>
  <c r="CO68" i="53" s="1"/>
  <c r="K155" i="46"/>
  <c r="AJ68" i="53"/>
  <c r="CM68" i="53" s="1"/>
  <c r="AF68" i="53"/>
  <c r="CJ68" i="53" s="1"/>
  <c r="O124" i="46"/>
  <c r="L124" i="46"/>
  <c r="AC68" i="53"/>
  <c r="CG68" i="53" s="1"/>
  <c r="K124" i="46"/>
  <c r="AB68" i="53"/>
  <c r="CF68" i="53" s="1"/>
  <c r="K93" i="46"/>
  <c r="T68" i="53"/>
  <c r="BY68" i="53" s="1"/>
  <c r="V68" i="53"/>
  <c r="CA68" i="53" s="1"/>
  <c r="W68" i="53"/>
  <c r="CB68" i="53" s="1"/>
  <c r="P68" i="53"/>
  <c r="BV68" i="53" s="1"/>
  <c r="N68" i="53"/>
  <c r="BT68" i="53" s="1"/>
  <c r="K67" i="46"/>
  <c r="L68" i="53"/>
  <c r="BR68" i="53" s="1"/>
  <c r="O38" i="46"/>
  <c r="N38" i="46"/>
  <c r="M38" i="46"/>
  <c r="E68" i="53"/>
  <c r="BL68" i="53" s="1"/>
  <c r="K38" i="46"/>
  <c r="D68" i="53"/>
  <c r="BK68" i="53" s="1"/>
  <c r="L38" i="46"/>
  <c r="N155" i="46"/>
  <c r="M155" i="46"/>
  <c r="O93" i="46"/>
  <c r="L93" i="46"/>
  <c r="N93" i="46"/>
  <c r="N67" i="46"/>
  <c r="M67" i="46"/>
  <c r="L67" i="46"/>
  <c r="M93" i="46"/>
  <c r="O155" i="46"/>
  <c r="O67" i="46"/>
  <c r="M124" i="46"/>
  <c r="BA47" i="60" l="1"/>
  <c r="BE47" i="60"/>
  <c r="BK47" i="60"/>
  <c r="BN47" i="60"/>
  <c r="BL47" i="60"/>
  <c r="CB47" i="60"/>
  <c r="BO47" i="60"/>
  <c r="BB47" i="60"/>
  <c r="BG47" i="60"/>
  <c r="BJ47" i="60"/>
  <c r="BQ47" i="60"/>
  <c r="BY47" i="60"/>
  <c r="BX47" i="60"/>
  <c r="AZ47" i="60"/>
  <c r="BD47" i="60"/>
  <c r="BF47" i="60"/>
  <c r="CA47" i="60"/>
  <c r="CC47" i="60"/>
  <c r="BP47" i="60"/>
  <c r="BC47" i="60"/>
  <c r="BI47" i="60"/>
  <c r="BH47" i="60"/>
  <c r="BM47" i="60"/>
  <c r="BZ47" i="60"/>
  <c r="Z37" i="84"/>
  <c r="Z35" i="84"/>
  <c r="Z45" i="84"/>
  <c r="Z36" i="84"/>
  <c r="Z43" i="84"/>
  <c r="Z54" i="84"/>
  <c r="Z49" i="84"/>
  <c r="Z53" i="84"/>
  <c r="Z48" i="84"/>
  <c r="Z47" i="84"/>
  <c r="Z52" i="84"/>
  <c r="Z41" i="84"/>
  <c r="Z51" i="84"/>
  <c r="Z50" i="84"/>
  <c r="AJ68" i="73"/>
  <c r="BY68" i="73" s="1"/>
  <c r="CE68" i="53"/>
  <c r="Y68" i="73"/>
  <c r="BS68" i="73" s="1"/>
  <c r="BX68" i="53"/>
  <c r="AU68" i="73"/>
  <c r="CE68" i="73" s="1"/>
  <c r="CL68" i="53"/>
  <c r="N68" i="73"/>
  <c r="BM68" i="73" s="1"/>
  <c r="BQ68" i="53"/>
  <c r="Z49" i="79"/>
  <c r="AW47" i="60"/>
  <c r="Z40" i="79"/>
  <c r="Z43" i="79"/>
  <c r="Z48" i="79"/>
  <c r="AV47" i="60"/>
  <c r="Z35" i="79"/>
  <c r="Z38" i="79"/>
  <c r="Z36" i="79"/>
  <c r="Z52" i="79"/>
  <c r="Z50" i="79"/>
  <c r="J68" i="53"/>
  <c r="I68" i="53"/>
  <c r="BP68" i="53" s="1"/>
  <c r="Z37" i="79"/>
  <c r="Z34" i="79"/>
  <c r="Z39" i="79"/>
  <c r="Z44" i="79"/>
  <c r="Z55" i="79"/>
  <c r="Z68" i="53"/>
  <c r="Y68" i="53"/>
  <c r="CD68" i="53" s="1"/>
  <c r="AO68" i="53"/>
  <c r="CR68" i="53" s="1"/>
  <c r="AP68" i="53"/>
  <c r="R68" i="53"/>
  <c r="Q68" i="53"/>
  <c r="BW68" i="53" s="1"/>
  <c r="AH68" i="53"/>
  <c r="AG68" i="53"/>
  <c r="CK68" i="53" s="1"/>
  <c r="Z41" i="79"/>
  <c r="Z42" i="79"/>
  <c r="Z54" i="79"/>
  <c r="AX68" i="73"/>
  <c r="CG68" i="73" s="1"/>
  <c r="AY68" i="73"/>
  <c r="AW68" i="73"/>
  <c r="AV68" i="73"/>
  <c r="CF68" i="73" s="1"/>
  <c r="BC68" i="73"/>
  <c r="BB68" i="73"/>
  <c r="CI68" i="73" s="1"/>
  <c r="BA68" i="73"/>
  <c r="AZ68" i="73"/>
  <c r="CH68" i="73" s="1"/>
  <c r="BE68" i="73"/>
  <c r="BD68" i="73"/>
  <c r="CJ68" i="73" s="1"/>
  <c r="AR68" i="73"/>
  <c r="AQ68" i="73"/>
  <c r="CC68" i="73" s="1"/>
  <c r="AT68" i="73"/>
  <c r="AS68" i="73"/>
  <c r="CD68" i="73" s="1"/>
  <c r="AN68" i="73"/>
  <c r="AM68" i="73"/>
  <c r="CA68" i="73" s="1"/>
  <c r="AO68" i="73"/>
  <c r="CB68" i="73" s="1"/>
  <c r="AP68" i="73"/>
  <c r="AL68" i="73"/>
  <c r="AK68" i="73"/>
  <c r="BZ68" i="73" s="1"/>
  <c r="AF68" i="73"/>
  <c r="BW68" i="73" s="1"/>
  <c r="AG68" i="73"/>
  <c r="AE68" i="73"/>
  <c r="AD68" i="73"/>
  <c r="BV68" i="73" s="1"/>
  <c r="AI68" i="73"/>
  <c r="AH68" i="73"/>
  <c r="BX68" i="73" s="1"/>
  <c r="AB68" i="73"/>
  <c r="BU68" i="73" s="1"/>
  <c r="AA68" i="73"/>
  <c r="Z68" i="73"/>
  <c r="BT68" i="73" s="1"/>
  <c r="AC68" i="73"/>
  <c r="O68" i="73"/>
  <c r="BN68" i="73" s="1"/>
  <c r="P68" i="73"/>
  <c r="Q68" i="73"/>
  <c r="BO68" i="73" s="1"/>
  <c r="V68" i="73"/>
  <c r="U68" i="73"/>
  <c r="BQ68" i="73" s="1"/>
  <c r="R68" i="73"/>
  <c r="S68" i="73"/>
  <c r="BP68" i="73" s="1"/>
  <c r="T68" i="73"/>
  <c r="W68" i="73"/>
  <c r="BR68" i="73" s="1"/>
  <c r="X68" i="73"/>
  <c r="BB68" i="53"/>
  <c r="DD68" i="53" s="1"/>
  <c r="BH68" i="53"/>
  <c r="DJ68" i="53" s="1"/>
  <c r="AY68" i="53"/>
  <c r="DA68" i="53" s="1"/>
  <c r="BE68" i="53"/>
  <c r="DG68" i="53" s="1"/>
  <c r="BD68" i="53"/>
  <c r="DF68" i="53" s="1"/>
  <c r="AX68" i="53"/>
  <c r="CZ68" i="53" s="1"/>
  <c r="BF68" i="53"/>
  <c r="DH68" i="53" s="1"/>
  <c r="AZ68" i="53"/>
  <c r="DB68" i="53" s="1"/>
  <c r="BA68" i="53"/>
  <c r="DC68" i="53" s="1"/>
  <c r="BG68" i="53"/>
  <c r="DI68" i="53" s="1"/>
  <c r="E68" i="73"/>
  <c r="F68" i="73"/>
  <c r="BI68" i="73" s="1"/>
  <c r="J68" i="73"/>
  <c r="BK68" i="73" s="1"/>
  <c r="G68" i="73"/>
  <c r="K68" i="73"/>
  <c r="AW68" i="53"/>
  <c r="CY68" i="53" s="1"/>
  <c r="C68" i="73"/>
  <c r="BG68" i="73" s="1"/>
  <c r="D68" i="73"/>
  <c r="BH68" i="73" s="1"/>
  <c r="H68" i="73"/>
  <c r="BJ68" i="73" s="1"/>
  <c r="L68" i="73"/>
  <c r="BL68" i="73" s="1"/>
  <c r="I68" i="73"/>
  <c r="M68" i="73"/>
  <c r="BC68" i="53"/>
  <c r="DE68" i="53" s="1"/>
  <c r="AH33" i="50"/>
  <c r="AH32" i="50"/>
  <c r="AH29" i="50"/>
  <c r="AA33" i="50"/>
  <c r="AA32" i="50"/>
  <c r="AA29" i="50"/>
  <c r="AI29" i="50" l="1"/>
  <c r="BT29" i="50"/>
  <c r="AI32" i="50"/>
  <c r="BT32" i="50"/>
  <c r="AB33" i="50"/>
  <c r="BM33" i="50"/>
  <c r="AI33" i="50"/>
  <c r="BT33" i="50"/>
  <c r="AB29" i="50"/>
  <c r="BM29" i="50"/>
  <c r="AB32" i="50"/>
  <c r="BM32" i="50"/>
  <c r="AE33" i="79"/>
  <c r="AF33" i="79"/>
  <c r="AG33" i="79"/>
  <c r="AE34" i="79"/>
  <c r="AF34" i="79"/>
  <c r="AG34" i="79"/>
  <c r="AE35" i="79"/>
  <c r="AF35" i="79"/>
  <c r="AG35" i="79"/>
  <c r="AD34" i="79"/>
  <c r="AD35" i="79"/>
  <c r="AD33" i="79"/>
  <c r="AC29" i="50" l="1"/>
  <c r="BN29" i="50"/>
  <c r="AJ33" i="50"/>
  <c r="BU33" i="50"/>
  <c r="AJ29" i="50"/>
  <c r="BU29" i="50"/>
  <c r="AC33" i="50"/>
  <c r="BN33" i="50"/>
  <c r="AJ32" i="50"/>
  <c r="BU32" i="50"/>
  <c r="AC32" i="50"/>
  <c r="BN32" i="50"/>
  <c r="AD36" i="79"/>
  <c r="AE36" i="79"/>
  <c r="AF36" i="79"/>
  <c r="AD33" i="50" l="1"/>
  <c r="BO33" i="50"/>
  <c r="AK32" i="50"/>
  <c r="BV32" i="50"/>
  <c r="AK29" i="50"/>
  <c r="BV29" i="50"/>
  <c r="AK33" i="50"/>
  <c r="BV33" i="50"/>
  <c r="AD32" i="50"/>
  <c r="BO32" i="50"/>
  <c r="AD29" i="50"/>
  <c r="BO29" i="50"/>
  <c r="E67" i="17"/>
  <c r="G50" i="17" s="1"/>
  <c r="AF28" i="84" s="1"/>
  <c r="E68" i="17"/>
  <c r="H51" i="17" s="1"/>
  <c r="AG29" i="84" s="1"/>
  <c r="E66" i="17"/>
  <c r="F49" i="17" s="1"/>
  <c r="AE27" i="84" s="1"/>
  <c r="AL33" i="50" l="1"/>
  <c r="BW33" i="50"/>
  <c r="AL29" i="50"/>
  <c r="BW29" i="50"/>
  <c r="AL32" i="50"/>
  <c r="BW32" i="50"/>
  <c r="AE32" i="50"/>
  <c r="BP32" i="50"/>
  <c r="AE29" i="50"/>
  <c r="BP29" i="50"/>
  <c r="AE33" i="50"/>
  <c r="BP33" i="50"/>
  <c r="E50" i="17"/>
  <c r="AD28" i="84" s="1"/>
  <c r="D50" i="17"/>
  <c r="AC28" i="84" s="1"/>
  <c r="E51" i="17"/>
  <c r="AD29" i="84" s="1"/>
  <c r="D49" i="17"/>
  <c r="AC27" i="84" s="1"/>
  <c r="F51" i="17"/>
  <c r="AE29" i="84" s="1"/>
  <c r="H49" i="17"/>
  <c r="AG27" i="84" s="1"/>
  <c r="E49" i="17"/>
  <c r="AD27" i="84" s="1"/>
  <c r="F50" i="17"/>
  <c r="AE28" i="84" s="1"/>
  <c r="G51" i="17"/>
  <c r="AF29" i="84" s="1"/>
  <c r="G49" i="17"/>
  <c r="AF27" i="84" s="1"/>
  <c r="H50" i="17"/>
  <c r="AG28" i="84" s="1"/>
  <c r="D51" i="17"/>
  <c r="AC29" i="84" s="1"/>
  <c r="AC35" i="79"/>
  <c r="AC34" i="79"/>
  <c r="AC33" i="79"/>
  <c r="AG36" i="79"/>
  <c r="AF32" i="50" l="1"/>
  <c r="BR32" i="50" s="1"/>
  <c r="BQ32" i="50"/>
  <c r="AM32" i="50"/>
  <c r="BY32" i="50" s="1"/>
  <c r="BX32" i="50"/>
  <c r="AF29" i="50"/>
  <c r="BR29" i="50" s="1"/>
  <c r="BQ29" i="50"/>
  <c r="AM29" i="50"/>
  <c r="BY29" i="50" s="1"/>
  <c r="BX29" i="50"/>
  <c r="AF33" i="50"/>
  <c r="BR33" i="50" s="1"/>
  <c r="BQ33" i="50"/>
  <c r="AM33" i="50"/>
  <c r="BY33" i="50" s="1"/>
  <c r="BX33" i="50"/>
  <c r="AC36" i="79"/>
  <c r="AD27" i="79" l="1"/>
  <c r="AE27" i="79"/>
  <c r="AF27" i="79"/>
  <c r="AG27" i="79"/>
  <c r="AD28" i="79"/>
  <c r="AE28" i="79"/>
  <c r="AF28" i="79"/>
  <c r="AG28" i="79"/>
  <c r="AD29" i="79"/>
  <c r="AE29" i="79"/>
  <c r="AF29" i="79"/>
  <c r="AG29" i="79"/>
  <c r="AC28" i="79"/>
  <c r="AC29" i="79"/>
  <c r="AC27" i="79"/>
  <c r="AD20" i="79"/>
  <c r="AE20" i="79"/>
  <c r="AF20" i="79"/>
  <c r="AG20" i="79"/>
  <c r="AC20" i="79"/>
  <c r="AD15" i="79"/>
  <c r="AE15" i="79"/>
  <c r="AF15" i="79"/>
  <c r="AG15" i="79"/>
  <c r="AD16" i="79"/>
  <c r="AE16" i="79"/>
  <c r="AF16" i="79"/>
  <c r="AG16" i="79"/>
  <c r="AD17" i="79"/>
  <c r="AE17" i="79"/>
  <c r="AF17" i="79"/>
  <c r="AG17" i="79"/>
  <c r="AC17" i="79"/>
  <c r="AC16" i="79"/>
  <c r="AC15" i="79"/>
  <c r="AC21" i="79"/>
  <c r="AC18" i="79"/>
  <c r="AK14" i="79" s="1"/>
  <c r="AN47" i="67"/>
  <c r="AO47" i="67"/>
  <c r="AP47" i="67"/>
  <c r="AQ47" i="67"/>
  <c r="AM51" i="67"/>
  <c r="AM50" i="67"/>
  <c r="AM47" i="67"/>
  <c r="T100" i="67"/>
  <c r="AL35" i="67" s="1"/>
  <c r="AS27" i="67" s="1"/>
  <c r="AL27" i="67"/>
  <c r="AS21" i="67" s="1"/>
  <c r="AL19" i="67"/>
  <c r="AL11" i="67"/>
  <c r="AL3" i="67"/>
  <c r="AE17" i="67"/>
  <c r="AD17" i="67"/>
  <c r="S165" i="67"/>
  <c r="S164" i="67"/>
  <c r="S163" i="67"/>
  <c r="S162" i="67"/>
  <c r="S161" i="67"/>
  <c r="S160" i="67"/>
  <c r="S159" i="67"/>
  <c r="S158" i="67"/>
  <c r="S157" i="67"/>
  <c r="S156" i="67"/>
  <c r="S178" i="67"/>
  <c r="S177" i="67"/>
  <c r="S176" i="67"/>
  <c r="S175" i="67"/>
  <c r="S174" i="67"/>
  <c r="S173" i="67"/>
  <c r="S172" i="67"/>
  <c r="S171" i="67"/>
  <c r="S170" i="67"/>
  <c r="S169" i="67"/>
  <c r="S152" i="67"/>
  <c r="S151" i="67"/>
  <c r="S149" i="67"/>
  <c r="S148" i="67"/>
  <c r="S147" i="67"/>
  <c r="S146" i="67"/>
  <c r="S145" i="67"/>
  <c r="S144" i="67"/>
  <c r="S143" i="67"/>
  <c r="T61" i="67"/>
  <c r="T59" i="67"/>
  <c r="T40" i="67"/>
  <c r="T38" i="67"/>
  <c r="T19" i="67"/>
  <c r="T17" i="67"/>
  <c r="T134" i="67" l="1"/>
  <c r="T136" i="67"/>
  <c r="AK16" i="79"/>
  <c r="AE14" i="79"/>
  <c r="AD14" i="79"/>
  <c r="AG14" i="79"/>
  <c r="AF14" i="79"/>
  <c r="AC14" i="79"/>
  <c r="J7" i="67" l="1"/>
  <c r="O5" i="67"/>
  <c r="O4" i="67"/>
  <c r="O6" i="67"/>
  <c r="O7" i="67" l="1"/>
  <c r="N7" i="67"/>
  <c r="M7" i="67"/>
  <c r="L7" i="67"/>
  <c r="K7" i="67"/>
  <c r="AH5" i="78" l="1"/>
  <c r="AH6" i="78"/>
  <c r="AH7" i="78"/>
  <c r="AH8" i="78"/>
  <c r="AH9" i="78"/>
  <c r="AH10" i="78"/>
  <c r="AH11" i="78"/>
  <c r="AH12" i="78"/>
  <c r="AH13" i="78"/>
  <c r="AH14" i="78"/>
  <c r="AH15" i="78"/>
  <c r="AH16" i="78"/>
  <c r="AH17" i="78"/>
  <c r="AH18" i="78"/>
  <c r="AH19" i="78"/>
  <c r="AH20" i="78"/>
  <c r="AH21" i="78"/>
  <c r="AH22" i="78"/>
  <c r="AH23" i="78"/>
  <c r="AH24" i="78"/>
  <c r="AH25" i="78"/>
  <c r="AH26" i="78"/>
  <c r="AH27" i="78"/>
  <c r="AH28" i="78"/>
  <c r="AH29" i="78"/>
  <c r="AH30" i="78"/>
  <c r="AH31" i="78"/>
  <c r="AH32" i="78"/>
  <c r="AH33" i="78"/>
  <c r="AH4" i="78"/>
  <c r="Y50" i="79"/>
  <c r="Y51" i="79"/>
  <c r="Y54" i="79"/>
  <c r="V4" i="79"/>
  <c r="W4" i="79"/>
  <c r="X4" i="79"/>
  <c r="L17" i="78"/>
  <c r="M17" i="78"/>
  <c r="N17" i="78"/>
  <c r="O17" i="78"/>
  <c r="P17" i="78"/>
  <c r="Q17" i="78"/>
  <c r="R17" i="78"/>
  <c r="L21" i="78"/>
  <c r="M21" i="78"/>
  <c r="N21" i="78"/>
  <c r="O21" i="78"/>
  <c r="P21" i="78"/>
  <c r="Q21" i="78"/>
  <c r="R21" i="78"/>
  <c r="D64" i="78"/>
  <c r="E64" i="78"/>
  <c r="F64" i="78"/>
  <c r="G64" i="78"/>
  <c r="H64" i="78"/>
  <c r="C64" i="78"/>
  <c r="D59" i="78"/>
  <c r="E59" i="78"/>
  <c r="F59" i="78"/>
  <c r="G59" i="78"/>
  <c r="H59" i="78"/>
  <c r="D60" i="78"/>
  <c r="E60" i="78"/>
  <c r="F60" i="78"/>
  <c r="G60" i="78"/>
  <c r="H60" i="78"/>
  <c r="D61" i="78"/>
  <c r="E61" i="78"/>
  <c r="F61" i="78"/>
  <c r="G61" i="78"/>
  <c r="H61" i="78"/>
  <c r="C61" i="78"/>
  <c r="C60" i="78"/>
  <c r="C59" i="78"/>
  <c r="D21" i="78"/>
  <c r="E21" i="78"/>
  <c r="F21" i="78"/>
  <c r="G21" i="78"/>
  <c r="H21" i="78"/>
  <c r="D22" i="78"/>
  <c r="E22" i="78"/>
  <c r="F22" i="78"/>
  <c r="G22" i="78"/>
  <c r="H22" i="78"/>
  <c r="D23" i="78"/>
  <c r="E23" i="78"/>
  <c r="F23" i="78"/>
  <c r="G23" i="78"/>
  <c r="H23" i="78"/>
  <c r="D24" i="78"/>
  <c r="E24" i="78"/>
  <c r="F24" i="78"/>
  <c r="G24" i="78"/>
  <c r="H24" i="78"/>
  <c r="D25" i="78"/>
  <c r="E25" i="78"/>
  <c r="F25" i="78"/>
  <c r="G25" i="78"/>
  <c r="H25" i="78"/>
  <c r="D26" i="78"/>
  <c r="E26" i="78"/>
  <c r="F26" i="78"/>
  <c r="G26" i="78"/>
  <c r="H26" i="78"/>
  <c r="C22" i="78"/>
  <c r="C23" i="78"/>
  <c r="C24" i="78"/>
  <c r="C25" i="78"/>
  <c r="C26" i="78"/>
  <c r="C21" i="78"/>
  <c r="D20" i="78"/>
  <c r="E20" i="78"/>
  <c r="F20" i="78"/>
  <c r="G20" i="78"/>
  <c r="H20" i="78"/>
  <c r="C20" i="78"/>
  <c r="C19" i="78"/>
  <c r="D19" i="78"/>
  <c r="E19" i="78"/>
  <c r="F19" i="78"/>
  <c r="G19" i="78"/>
  <c r="H19" i="78"/>
  <c r="D15" i="78"/>
  <c r="E15" i="78"/>
  <c r="F15" i="78"/>
  <c r="G15" i="78"/>
  <c r="H15" i="78"/>
  <c r="D16" i="78"/>
  <c r="E16" i="78"/>
  <c r="F16" i="78"/>
  <c r="G16" i="78"/>
  <c r="H16" i="78"/>
  <c r="D17" i="78"/>
  <c r="E17" i="78"/>
  <c r="F17" i="78"/>
  <c r="G17" i="78"/>
  <c r="H17" i="78"/>
  <c r="D18" i="78"/>
  <c r="E18" i="78"/>
  <c r="F18" i="78"/>
  <c r="G18" i="78"/>
  <c r="H18" i="78"/>
  <c r="C16" i="78"/>
  <c r="C17" i="78"/>
  <c r="C18" i="78"/>
  <c r="C15" i="78"/>
  <c r="D8" i="78"/>
  <c r="E8" i="78"/>
  <c r="F8" i="78"/>
  <c r="G8" i="78"/>
  <c r="H8" i="78"/>
  <c r="D9" i="78"/>
  <c r="E9" i="78"/>
  <c r="F9" i="78"/>
  <c r="G9" i="78"/>
  <c r="H9" i="78"/>
  <c r="D10" i="78"/>
  <c r="E10" i="78"/>
  <c r="F10" i="78"/>
  <c r="G10" i="78"/>
  <c r="H10" i="78"/>
  <c r="D11" i="78"/>
  <c r="E11" i="78"/>
  <c r="F11" i="78"/>
  <c r="G11" i="78"/>
  <c r="H11" i="78"/>
  <c r="C9" i="78"/>
  <c r="C10" i="78"/>
  <c r="C11" i="78"/>
  <c r="C8" i="78"/>
  <c r="D7" i="78"/>
  <c r="E7" i="78"/>
  <c r="F7" i="78"/>
  <c r="G7" i="78"/>
  <c r="H7" i="78"/>
  <c r="C7" i="78"/>
  <c r="Y49" i="79" l="1"/>
  <c r="Y55" i="79"/>
  <c r="Y34" i="79"/>
  <c r="Y47" i="79"/>
  <c r="Y44" i="79"/>
  <c r="Y38" i="79"/>
  <c r="Y40" i="79"/>
  <c r="Y36" i="79"/>
  <c r="Y45" i="79"/>
  <c r="Y41" i="79"/>
  <c r="Y37" i="79"/>
  <c r="Y43" i="79"/>
  <c r="Y39" i="79"/>
  <c r="Y35" i="79"/>
  <c r="Y42" i="79"/>
  <c r="Y53" i="79"/>
  <c r="Y48" i="79"/>
  <c r="Y52" i="79"/>
  <c r="Y14" i="79"/>
  <c r="Y7" i="79"/>
  <c r="Y6" i="79"/>
  <c r="Y12" i="79"/>
  <c r="Y11" i="79"/>
  <c r="Y5" i="79"/>
  <c r="Y13" i="79"/>
  <c r="AW94" i="53" l="1"/>
  <c r="CY94" i="53" s="1"/>
  <c r="Y94" i="73"/>
  <c r="BS94" i="73" s="1"/>
  <c r="N94" i="73"/>
  <c r="BM94" i="73" s="1"/>
  <c r="C94" i="73"/>
  <c r="BG94" i="73" s="1"/>
  <c r="C27" i="60"/>
  <c r="L44" i="2" l="1"/>
  <c r="K44" i="2"/>
  <c r="L43" i="2"/>
  <c r="K43" i="2"/>
  <c r="L42" i="2"/>
  <c r="K42" i="2"/>
  <c r="L41" i="2"/>
  <c r="K41" i="2"/>
  <c r="L40" i="2"/>
  <c r="K40" i="2"/>
  <c r="L38" i="2"/>
  <c r="K38" i="2"/>
  <c r="L37" i="2"/>
  <c r="K37" i="2"/>
  <c r="L36" i="2"/>
  <c r="K36" i="2"/>
  <c r="L35" i="2"/>
  <c r="K35" i="2"/>
  <c r="L34" i="2"/>
  <c r="K34" i="2"/>
  <c r="L33" i="2"/>
  <c r="K33" i="2"/>
  <c r="L32" i="2"/>
  <c r="K32" i="2"/>
  <c r="L31" i="2"/>
  <c r="K31" i="2"/>
  <c r="L30" i="2"/>
  <c r="K30" i="2"/>
  <c r="L29" i="2"/>
  <c r="K29" i="2"/>
  <c r="L28" i="2"/>
  <c r="K28" i="2"/>
  <c r="L27" i="2"/>
  <c r="K27" i="2"/>
  <c r="L26" i="2"/>
  <c r="K26" i="2"/>
  <c r="L25" i="2"/>
  <c r="K25" i="2"/>
  <c r="L24" i="2"/>
  <c r="K24" i="2"/>
  <c r="L23" i="2"/>
  <c r="K23" i="2"/>
  <c r="L22" i="2"/>
  <c r="K22" i="2"/>
  <c r="L21" i="2"/>
  <c r="K21" i="2"/>
  <c r="L20" i="2"/>
  <c r="K20" i="2"/>
  <c r="L17" i="2"/>
  <c r="K17" i="2"/>
  <c r="L16" i="2"/>
  <c r="K16" i="2"/>
  <c r="L15" i="2"/>
  <c r="K15" i="2"/>
  <c r="L14" i="2"/>
  <c r="K14" i="2"/>
  <c r="L13" i="2"/>
  <c r="K13" i="2"/>
  <c r="L12" i="2"/>
  <c r="K12" i="2"/>
  <c r="P49" i="1"/>
  <c r="O49" i="1"/>
  <c r="N49" i="1"/>
  <c r="M49" i="1"/>
  <c r="L49" i="1"/>
  <c r="K49" i="1"/>
  <c r="P44" i="1"/>
  <c r="O44" i="1"/>
  <c r="N44" i="1"/>
  <c r="M44" i="1"/>
  <c r="L44" i="1"/>
  <c r="K44" i="1"/>
  <c r="P39" i="1"/>
  <c r="O39" i="1"/>
  <c r="N39" i="1"/>
  <c r="M39" i="1"/>
  <c r="L39" i="1"/>
  <c r="K39" i="1"/>
  <c r="P34" i="1"/>
  <c r="O34" i="1"/>
  <c r="N34" i="1"/>
  <c r="M34" i="1"/>
  <c r="L34" i="1"/>
  <c r="K34" i="1"/>
  <c r="AM58" i="50"/>
  <c r="BY58" i="50" s="1"/>
  <c r="AL58" i="50"/>
  <c r="BX58" i="50" s="1"/>
  <c r="AK58" i="50"/>
  <c r="BW58" i="50" s="1"/>
  <c r="AJ58" i="50"/>
  <c r="BV58" i="50" s="1"/>
  <c r="AI58" i="50"/>
  <c r="BU58" i="50" s="1"/>
  <c r="AH58" i="50"/>
  <c r="BT58" i="50" s="1"/>
  <c r="AM57" i="50"/>
  <c r="BY57" i="50" s="1"/>
  <c r="AL57" i="50"/>
  <c r="BX57" i="50" s="1"/>
  <c r="AK57" i="50"/>
  <c r="BW57" i="50" s="1"/>
  <c r="AJ57" i="50"/>
  <c r="BV57" i="50" s="1"/>
  <c r="AI57" i="50"/>
  <c r="BU57" i="50" s="1"/>
  <c r="AH57" i="50"/>
  <c r="BT57" i="50" s="1"/>
  <c r="AM54" i="50"/>
  <c r="BY54" i="50" s="1"/>
  <c r="AL54" i="50"/>
  <c r="BX54" i="50" s="1"/>
  <c r="AK54" i="50"/>
  <c r="BW54" i="50" s="1"/>
  <c r="AJ54" i="50"/>
  <c r="BV54" i="50" s="1"/>
  <c r="AI54" i="50"/>
  <c r="BU54" i="50" s="1"/>
  <c r="AH54" i="50"/>
  <c r="BT54" i="50" s="1"/>
  <c r="E25" i="2" l="1"/>
  <c r="H82" i="1"/>
  <c r="G82" i="1"/>
  <c r="G83" i="1"/>
  <c r="H83" i="1"/>
  <c r="K79" i="74"/>
  <c r="J79" i="74"/>
  <c r="I79" i="74"/>
  <c r="H79" i="74"/>
  <c r="K46" i="74"/>
  <c r="J46" i="74"/>
  <c r="I46" i="74"/>
  <c r="H46" i="74"/>
  <c r="K10" i="74"/>
  <c r="J10" i="74"/>
  <c r="I10" i="74"/>
  <c r="H10" i="74"/>
  <c r="AB20" i="78" l="1"/>
  <c r="AB20" i="83"/>
  <c r="H25" i="2"/>
  <c r="G25" i="2"/>
  <c r="AD20" i="83" s="1"/>
  <c r="AR12" i="60"/>
  <c r="AS12" i="60"/>
  <c r="AT12" i="60"/>
  <c r="AQ12" i="60"/>
  <c r="AP12" i="60"/>
  <c r="AM12" i="60"/>
  <c r="AM13" i="60"/>
  <c r="AT26" i="60"/>
  <c r="AS26" i="60"/>
  <c r="AR26" i="60"/>
  <c r="AQ26" i="60"/>
  <c r="AP26" i="60"/>
  <c r="AM26" i="60"/>
  <c r="AE20" i="78" l="1"/>
  <c r="AE20" i="83"/>
  <c r="AU12" i="60"/>
  <c r="AU26" i="60"/>
  <c r="S25" i="2"/>
  <c r="AD20" i="78"/>
  <c r="E90" i="1" l="1"/>
  <c r="U90" i="1" s="1"/>
  <c r="F93" i="1"/>
  <c r="F98" i="1"/>
  <c r="F103" i="1"/>
  <c r="E93" i="1"/>
  <c r="E98" i="1"/>
  <c r="E103" i="1"/>
  <c r="J43" i="2" l="1"/>
  <c r="AG40" i="83" s="1"/>
  <c r="I43" i="2"/>
  <c r="AF40" i="83" s="1"/>
  <c r="H43" i="2"/>
  <c r="AE40" i="83" s="1"/>
  <c r="G43" i="2"/>
  <c r="AD40" i="83" s="1"/>
  <c r="F43" i="2"/>
  <c r="AC40" i="83" s="1"/>
  <c r="E43" i="2"/>
  <c r="AG39" i="78"/>
  <c r="AF39" i="78"/>
  <c r="AE39" i="78"/>
  <c r="AD39" i="78"/>
  <c r="AC39" i="78"/>
  <c r="AB39" i="78"/>
  <c r="J36" i="2"/>
  <c r="AG31" i="83" s="1"/>
  <c r="I36" i="2"/>
  <c r="AF31" i="83" s="1"/>
  <c r="H36" i="2"/>
  <c r="AE31" i="83" s="1"/>
  <c r="G36" i="2"/>
  <c r="AD31" i="83" s="1"/>
  <c r="F36" i="2"/>
  <c r="AC31" i="83" s="1"/>
  <c r="E36" i="2"/>
  <c r="J35" i="2"/>
  <c r="I35" i="2"/>
  <c r="H35" i="2"/>
  <c r="G35" i="2"/>
  <c r="F35" i="2"/>
  <c r="E35" i="2"/>
  <c r="J33" i="2"/>
  <c r="I33" i="2"/>
  <c r="H33" i="2"/>
  <c r="G33" i="2"/>
  <c r="F33" i="2"/>
  <c r="E33" i="2"/>
  <c r="J32" i="2"/>
  <c r="I32" i="2"/>
  <c r="H32" i="2"/>
  <c r="G32" i="2"/>
  <c r="F32" i="2"/>
  <c r="E32" i="2"/>
  <c r="E31" i="2"/>
  <c r="J27" i="2"/>
  <c r="AG22" i="83" s="1"/>
  <c r="I27" i="2"/>
  <c r="AF22" i="83" s="1"/>
  <c r="H27" i="2"/>
  <c r="AE22" i="83" s="1"/>
  <c r="G27" i="2"/>
  <c r="AD22" i="83" s="1"/>
  <c r="F27" i="2"/>
  <c r="AC22" i="83" s="1"/>
  <c r="E27" i="2"/>
  <c r="J26" i="2"/>
  <c r="AG21" i="83" s="1"/>
  <c r="I26" i="2"/>
  <c r="AF21" i="83" s="1"/>
  <c r="H26" i="2"/>
  <c r="AE21" i="83" s="1"/>
  <c r="G26" i="2"/>
  <c r="AD21" i="83" s="1"/>
  <c r="F26" i="2"/>
  <c r="AC21" i="83" s="1"/>
  <c r="E26" i="2"/>
  <c r="J20" i="2"/>
  <c r="AG15" i="83" s="1"/>
  <c r="I20" i="2"/>
  <c r="AF15" i="83" s="1"/>
  <c r="H20" i="2"/>
  <c r="AE15" i="83" s="1"/>
  <c r="G20" i="2"/>
  <c r="AD15" i="83" s="1"/>
  <c r="F20" i="2"/>
  <c r="AC15" i="83" s="1"/>
  <c r="E20" i="2"/>
  <c r="J17" i="2"/>
  <c r="I17" i="2"/>
  <c r="H17" i="2"/>
  <c r="G17" i="2"/>
  <c r="F17" i="2"/>
  <c r="E17" i="2"/>
  <c r="J16" i="2"/>
  <c r="I16" i="2"/>
  <c r="H16" i="2"/>
  <c r="G16" i="2"/>
  <c r="F16" i="2"/>
  <c r="E16" i="2"/>
  <c r="J12" i="2"/>
  <c r="I12" i="2"/>
  <c r="H12" i="2"/>
  <c r="G12" i="2"/>
  <c r="F12" i="2"/>
  <c r="E12" i="2"/>
  <c r="D33" i="65"/>
  <c r="D112" i="74"/>
  <c r="K122" i="74"/>
  <c r="J122" i="74"/>
  <c r="I122" i="74"/>
  <c r="H122" i="74"/>
  <c r="G122" i="74"/>
  <c r="F125" i="74"/>
  <c r="E125" i="74"/>
  <c r="D125" i="74"/>
  <c r="F124" i="74"/>
  <c r="E124" i="74"/>
  <c r="D124" i="74"/>
  <c r="F121" i="74"/>
  <c r="E121" i="74"/>
  <c r="D121" i="74"/>
  <c r="D120" i="74"/>
  <c r="F120" i="74"/>
  <c r="E120" i="74"/>
  <c r="F119" i="74"/>
  <c r="E119" i="74"/>
  <c r="D119" i="74"/>
  <c r="F118" i="74"/>
  <c r="E118" i="74"/>
  <c r="D118" i="74"/>
  <c r="F117" i="74"/>
  <c r="E117" i="74"/>
  <c r="D117" i="74"/>
  <c r="F116" i="74"/>
  <c r="E116" i="74"/>
  <c r="F112" i="74"/>
  <c r="E112" i="74"/>
  <c r="D110" i="74"/>
  <c r="D116" i="74"/>
  <c r="F115" i="74"/>
  <c r="E115" i="74"/>
  <c r="D115" i="74"/>
  <c r="F114" i="74"/>
  <c r="E114" i="74"/>
  <c r="D114" i="74"/>
  <c r="F113" i="74"/>
  <c r="E113" i="74"/>
  <c r="D113" i="74"/>
  <c r="F111" i="74"/>
  <c r="E111" i="74"/>
  <c r="D111" i="74"/>
  <c r="F110" i="74"/>
  <c r="E110" i="74"/>
  <c r="AG12" i="78" l="1"/>
  <c r="AG12" i="83"/>
  <c r="AB30" i="78"/>
  <c r="AB30" i="83"/>
  <c r="AD7" i="78"/>
  <c r="AD7" i="83"/>
  <c r="AF11" i="78"/>
  <c r="AF11" i="83"/>
  <c r="AB15" i="78"/>
  <c r="AB15" i="83"/>
  <c r="AG27" i="78"/>
  <c r="AG27" i="83"/>
  <c r="AC30" i="78"/>
  <c r="AC30" i="83"/>
  <c r="AE11" i="78"/>
  <c r="AE11" i="83"/>
  <c r="AF7" i="78"/>
  <c r="AF7" i="83"/>
  <c r="AB12" i="78"/>
  <c r="AB12" i="83"/>
  <c r="AB26" i="78"/>
  <c r="AB26" i="83"/>
  <c r="AC28" i="78"/>
  <c r="AC28" i="83"/>
  <c r="AE30" i="78"/>
  <c r="AE30" i="83"/>
  <c r="AF27" i="78"/>
  <c r="AF27" i="83"/>
  <c r="AE7" i="78"/>
  <c r="AE7" i="83"/>
  <c r="AB40" i="78"/>
  <c r="AB40" i="83"/>
  <c r="AG7" i="78"/>
  <c r="AG7" i="83"/>
  <c r="AC12" i="78"/>
  <c r="AC12" i="83"/>
  <c r="AB27" i="78"/>
  <c r="AB27" i="83"/>
  <c r="AD28" i="78"/>
  <c r="AD28" i="83"/>
  <c r="AF30" i="78"/>
  <c r="AF30" i="83"/>
  <c r="AC7" i="78"/>
  <c r="AC7" i="83"/>
  <c r="AD30" i="78"/>
  <c r="AD30" i="83"/>
  <c r="AB11" i="78"/>
  <c r="AB11" i="83"/>
  <c r="AD12" i="78"/>
  <c r="AD12" i="83"/>
  <c r="AB22" i="78"/>
  <c r="AB22" i="83"/>
  <c r="AC27" i="78"/>
  <c r="AC27" i="83"/>
  <c r="AE28" i="78"/>
  <c r="AE28" i="83"/>
  <c r="AG30" i="78"/>
  <c r="AG30" i="83"/>
  <c r="AG11" i="78"/>
  <c r="AG11" i="83"/>
  <c r="AB28" i="78"/>
  <c r="AB28" i="83"/>
  <c r="C42" i="78"/>
  <c r="C42" i="83"/>
  <c r="AC11" i="78"/>
  <c r="AC11" i="83"/>
  <c r="AE12" i="78"/>
  <c r="AE12" i="83"/>
  <c r="AD27" i="78"/>
  <c r="AD27" i="83"/>
  <c r="AF28" i="78"/>
  <c r="AF28" i="83"/>
  <c r="AB31" i="78"/>
  <c r="AB31" i="83"/>
  <c r="AB7" i="78"/>
  <c r="AB7" i="83"/>
  <c r="AD11" i="78"/>
  <c r="AD11" i="83"/>
  <c r="AF12" i="78"/>
  <c r="AF12" i="83"/>
  <c r="AB21" i="78"/>
  <c r="AB21" i="83"/>
  <c r="AE27" i="78"/>
  <c r="AE27" i="83"/>
  <c r="AG28" i="78"/>
  <c r="AG28" i="83"/>
  <c r="AD40" i="78"/>
  <c r="R43" i="2"/>
  <c r="AE40" i="78"/>
  <c r="S43" i="2"/>
  <c r="AF40" i="78"/>
  <c r="T43" i="2"/>
  <c r="AC40" i="78"/>
  <c r="Q43" i="2"/>
  <c r="AG40" i="78"/>
  <c r="U43" i="2"/>
  <c r="AF15" i="78"/>
  <c r="T20" i="2"/>
  <c r="AD21" i="78"/>
  <c r="R26" i="2"/>
  <c r="AF22" i="78"/>
  <c r="T27" i="2"/>
  <c r="AE31" i="78"/>
  <c r="S36" i="2"/>
  <c r="J21" i="2"/>
  <c r="F21" i="2"/>
  <c r="AC15" i="78"/>
  <c r="Q20" i="2"/>
  <c r="AG15" i="78"/>
  <c r="V20" i="2"/>
  <c r="U20" i="2"/>
  <c r="AE21" i="78"/>
  <c r="S26" i="2"/>
  <c r="AC22" i="78"/>
  <c r="Q27" i="2"/>
  <c r="AG22" i="78"/>
  <c r="U27" i="2"/>
  <c r="V27" i="2"/>
  <c r="AF31" i="78"/>
  <c r="T36" i="2"/>
  <c r="AD15" i="78"/>
  <c r="R20" i="2"/>
  <c r="AF21" i="78"/>
  <c r="T26" i="2"/>
  <c r="AD22" i="78"/>
  <c r="R27" i="2"/>
  <c r="AC31" i="78"/>
  <c r="Q36" i="2"/>
  <c r="AG31" i="78"/>
  <c r="V36" i="2"/>
  <c r="U36" i="2"/>
  <c r="AE15" i="78"/>
  <c r="S20" i="2"/>
  <c r="AC21" i="78"/>
  <c r="Q26" i="2"/>
  <c r="AG21" i="78"/>
  <c r="V26" i="2"/>
  <c r="U26" i="2"/>
  <c r="AE22" i="78"/>
  <c r="S27" i="2"/>
  <c r="AD31" i="78"/>
  <c r="R36" i="2"/>
  <c r="E21" i="2"/>
  <c r="G21" i="2"/>
  <c r="I21" i="2"/>
  <c r="H21" i="2"/>
  <c r="AE16" i="83" s="1"/>
  <c r="V1" i="2"/>
  <c r="AB16" i="78" l="1"/>
  <c r="AB16" i="83"/>
  <c r="AC16" i="78"/>
  <c r="AC16" i="83"/>
  <c r="AD16" i="78"/>
  <c r="AD16" i="83"/>
  <c r="AF16" i="78"/>
  <c r="AF16" i="83"/>
  <c r="V21" i="2"/>
  <c r="AG16" i="83"/>
  <c r="AG16" i="78"/>
  <c r="U21" i="2"/>
  <c r="Q21" i="2"/>
  <c r="R21" i="2"/>
  <c r="AE16" i="78"/>
  <c r="S21" i="2"/>
  <c r="T21" i="2"/>
  <c r="I100" i="65"/>
  <c r="I16" i="65" s="1"/>
  <c r="H100" i="65"/>
  <c r="H16" i="65" s="1"/>
  <c r="G100" i="65"/>
  <c r="G16" i="65" s="1"/>
  <c r="F100" i="65"/>
  <c r="F16" i="65" s="1"/>
  <c r="E100" i="65"/>
  <c r="E16" i="65" s="1"/>
  <c r="D100" i="65"/>
  <c r="D16" i="65" s="1"/>
  <c r="C58" i="78"/>
  <c r="C57" i="78"/>
  <c r="C53" i="78"/>
  <c r="C52" i="78"/>
  <c r="F74" i="74"/>
  <c r="E74" i="74"/>
  <c r="D74" i="74"/>
  <c r="C71" i="78" l="1"/>
  <c r="C71" i="83"/>
  <c r="AC23" i="84"/>
  <c r="D71" i="83"/>
  <c r="AF23" i="84"/>
  <c r="G71" i="83"/>
  <c r="AD23" i="84"/>
  <c r="E71" i="83"/>
  <c r="H71" i="83"/>
  <c r="AG23" i="84"/>
  <c r="F71" i="83"/>
  <c r="AE23" i="84"/>
  <c r="AE23" i="79"/>
  <c r="F71" i="78"/>
  <c r="AF23" i="79"/>
  <c r="G71" i="78"/>
  <c r="AG23" i="79"/>
  <c r="H71" i="78"/>
  <c r="AC23" i="79"/>
  <c r="D71" i="78"/>
  <c r="AD23" i="79"/>
  <c r="E71" i="78"/>
  <c r="E14" i="21"/>
  <c r="AN50" i="85" s="1"/>
  <c r="E15" i="21"/>
  <c r="D12" i="21"/>
  <c r="AM48" i="85" s="1"/>
  <c r="G7" i="47"/>
  <c r="F7" i="47"/>
  <c r="E7" i="47"/>
  <c r="D7" i="47"/>
  <c r="C7" i="47"/>
  <c r="B7" i="47"/>
  <c r="G16" i="47"/>
  <c r="F16" i="47"/>
  <c r="E16" i="47"/>
  <c r="D16" i="47"/>
  <c r="C16" i="47"/>
  <c r="B16" i="47"/>
  <c r="B9" i="47"/>
  <c r="I9" i="47" s="1"/>
  <c r="AD4" i="85" s="1"/>
  <c r="H9" i="60"/>
  <c r="BE9" i="60" s="1"/>
  <c r="BK9" i="60" s="1"/>
  <c r="BQ9" i="60" s="1"/>
  <c r="CI9" i="60" s="1"/>
  <c r="BW9" i="60" s="1"/>
  <c r="CC9" i="60" s="1"/>
  <c r="G9" i="60"/>
  <c r="BD9" i="60" s="1"/>
  <c r="BJ9" i="60" s="1"/>
  <c r="BP9" i="60" s="1"/>
  <c r="CH9" i="60" s="1"/>
  <c r="BV9" i="60" s="1"/>
  <c r="CB9" i="60" s="1"/>
  <c r="F9" i="60"/>
  <c r="BC9" i="60" s="1"/>
  <c r="BI9" i="60" s="1"/>
  <c r="BO9" i="60" s="1"/>
  <c r="CG9" i="60" s="1"/>
  <c r="BU9" i="60" s="1"/>
  <c r="CA9" i="60" s="1"/>
  <c r="E9" i="60"/>
  <c r="BB9" i="60" s="1"/>
  <c r="BH9" i="60" s="1"/>
  <c r="BN9" i="60" s="1"/>
  <c r="CF9" i="60" s="1"/>
  <c r="BT9" i="60" s="1"/>
  <c r="BZ9" i="60" s="1"/>
  <c r="D9" i="60"/>
  <c r="BA9" i="60" s="1"/>
  <c r="BG9" i="60" s="1"/>
  <c r="BM9" i="60" s="1"/>
  <c r="CE9" i="60" s="1"/>
  <c r="BS9" i="60" s="1"/>
  <c r="BY9" i="60" s="1"/>
  <c r="C9" i="60"/>
  <c r="K7" i="74"/>
  <c r="J7" i="74"/>
  <c r="I7" i="74"/>
  <c r="F7" i="74" s="1"/>
  <c r="H7" i="74"/>
  <c r="E7" i="74" s="1"/>
  <c r="G7" i="74"/>
  <c r="D7" i="74" s="1"/>
  <c r="H72" i="39"/>
  <c r="G72" i="39"/>
  <c r="F72" i="39"/>
  <c r="E72" i="39"/>
  <c r="D72" i="39"/>
  <c r="C72" i="39"/>
  <c r="H56" i="39"/>
  <c r="G56" i="39"/>
  <c r="F56" i="39"/>
  <c r="E56" i="39"/>
  <c r="D56" i="39"/>
  <c r="C56" i="39"/>
  <c r="H25" i="39"/>
  <c r="G25" i="39"/>
  <c r="F25" i="39"/>
  <c r="E25" i="39"/>
  <c r="D25" i="39"/>
  <c r="C25" i="39"/>
  <c r="H9" i="39"/>
  <c r="G9" i="39"/>
  <c r="F9" i="39"/>
  <c r="E9" i="39"/>
  <c r="D9" i="39"/>
  <c r="C9" i="39"/>
  <c r="AW132" i="41"/>
  <c r="AV132" i="41"/>
  <c r="AU132" i="41"/>
  <c r="AT132" i="41"/>
  <c r="AS132" i="41"/>
  <c r="AW131" i="41"/>
  <c r="AV131" i="41"/>
  <c r="AU131" i="41"/>
  <c r="AT131" i="41"/>
  <c r="AW130" i="41"/>
  <c r="AV130" i="41"/>
  <c r="AU130" i="41"/>
  <c r="AT130" i="41"/>
  <c r="AS130" i="41"/>
  <c r="M9" i="41"/>
  <c r="L9" i="41"/>
  <c r="K9" i="41"/>
  <c r="J9" i="41"/>
  <c r="I9" i="41"/>
  <c r="AO20" i="84" s="1"/>
  <c r="H9" i="41"/>
  <c r="AR48" i="7"/>
  <c r="AR52" i="7" s="1"/>
  <c r="AR37" i="7"/>
  <c r="AR38" i="7"/>
  <c r="CO38" i="7" s="1"/>
  <c r="AX75" i="7"/>
  <c r="CU75" i="7" s="1"/>
  <c r="AW75" i="7"/>
  <c r="CT75" i="7" s="1"/>
  <c r="AV75" i="7"/>
  <c r="CS75" i="7" s="1"/>
  <c r="AU75" i="7"/>
  <c r="CR75" i="7" s="1"/>
  <c r="AT75" i="7"/>
  <c r="CQ75" i="7" s="1"/>
  <c r="AS75" i="7"/>
  <c r="CP75" i="7" s="1"/>
  <c r="AS70" i="7"/>
  <c r="CP70" i="7" s="1"/>
  <c r="AK70" i="7"/>
  <c r="CH70" i="7" s="1"/>
  <c r="AC70" i="7"/>
  <c r="BZ70" i="7" s="1"/>
  <c r="U70" i="7"/>
  <c r="BR70" i="7" s="1"/>
  <c r="M70" i="7"/>
  <c r="BJ70" i="7" s="1"/>
  <c r="E70" i="7"/>
  <c r="BB70" i="7" s="1"/>
  <c r="AX64" i="7"/>
  <c r="CU64" i="7" s="1"/>
  <c r="AW64" i="7"/>
  <c r="CT64" i="7" s="1"/>
  <c r="AV64" i="7"/>
  <c r="CS64" i="7" s="1"/>
  <c r="AU64" i="7"/>
  <c r="CR64" i="7" s="1"/>
  <c r="AT64" i="7"/>
  <c r="CQ64" i="7" s="1"/>
  <c r="AS64" i="7"/>
  <c r="CP64" i="7" s="1"/>
  <c r="AS59" i="7"/>
  <c r="CP59" i="7" s="1"/>
  <c r="AK59" i="7"/>
  <c r="CH59" i="7" s="1"/>
  <c r="AC59" i="7"/>
  <c r="BZ59" i="7" s="1"/>
  <c r="U59" i="7"/>
  <c r="BR59" i="7" s="1"/>
  <c r="M59" i="7"/>
  <c r="BJ59" i="7" s="1"/>
  <c r="E59" i="7"/>
  <c r="BB59" i="7" s="1"/>
  <c r="AJ54" i="7"/>
  <c r="AK48" i="7" s="1"/>
  <c r="AB54" i="7"/>
  <c r="AC48" i="7" s="1"/>
  <c r="AC54" i="7" s="1"/>
  <c r="AD48" i="7" s="1"/>
  <c r="AD54" i="7" s="1"/>
  <c r="AE48" i="7" s="1"/>
  <c r="AE54" i="7" s="1"/>
  <c r="AF48" i="7" s="1"/>
  <c r="T54" i="7"/>
  <c r="U48" i="7" s="1"/>
  <c r="L54" i="7"/>
  <c r="M48" i="7" s="1"/>
  <c r="M54" i="7" s="1"/>
  <c r="N48" i="7" s="1"/>
  <c r="D54" i="7"/>
  <c r="E48" i="7" s="1"/>
  <c r="AP53" i="7"/>
  <c r="AO53" i="7"/>
  <c r="AN53" i="7"/>
  <c r="AM53" i="7"/>
  <c r="AL53" i="7"/>
  <c r="AK53" i="7"/>
  <c r="AJ53" i="7"/>
  <c r="AH53" i="7"/>
  <c r="AG53" i="7"/>
  <c r="AF53" i="7"/>
  <c r="AE53" i="7"/>
  <c r="AD53" i="7"/>
  <c r="AC53" i="7"/>
  <c r="AB53" i="7"/>
  <c r="Z53" i="7"/>
  <c r="Y53" i="7"/>
  <c r="X53" i="7"/>
  <c r="W53" i="7"/>
  <c r="V53" i="7"/>
  <c r="U53" i="7"/>
  <c r="T53" i="7"/>
  <c r="R53" i="7"/>
  <c r="Q53" i="7"/>
  <c r="P53" i="7"/>
  <c r="O53" i="7"/>
  <c r="N53" i="7"/>
  <c r="M53" i="7"/>
  <c r="L53" i="7"/>
  <c r="J53" i="7"/>
  <c r="I53" i="7"/>
  <c r="H53" i="7"/>
  <c r="G53" i="7"/>
  <c r="F53" i="7"/>
  <c r="E53" i="7"/>
  <c r="D53" i="7"/>
  <c r="AJ52" i="7"/>
  <c r="AB52" i="7"/>
  <c r="T52" i="7"/>
  <c r="L52" i="7"/>
  <c r="D52" i="7"/>
  <c r="AX51" i="7"/>
  <c r="AW51" i="7"/>
  <c r="AV51" i="7"/>
  <c r="AU51" i="7"/>
  <c r="AT51" i="7"/>
  <c r="AS51" i="7"/>
  <c r="AR51" i="7"/>
  <c r="AX50" i="7"/>
  <c r="AW50" i="7"/>
  <c r="AV50" i="7"/>
  <c r="AU50" i="7"/>
  <c r="AT50" i="7"/>
  <c r="AS50" i="7"/>
  <c r="AR50" i="7"/>
  <c r="AX49" i="7"/>
  <c r="AW49" i="7"/>
  <c r="AV49" i="7"/>
  <c r="AU49" i="7"/>
  <c r="AT49" i="7"/>
  <c r="AS49" i="7"/>
  <c r="AR49" i="7"/>
  <c r="AJ43" i="7"/>
  <c r="AB43" i="7"/>
  <c r="T43" i="7"/>
  <c r="L43" i="7"/>
  <c r="D43" i="7"/>
  <c r="AP42" i="7"/>
  <c r="CM42" i="7" s="1"/>
  <c r="AO42" i="7"/>
  <c r="CL42" i="7" s="1"/>
  <c r="AN42" i="7"/>
  <c r="CK42" i="7" s="1"/>
  <c r="AM42" i="7"/>
  <c r="CJ42" i="7" s="1"/>
  <c r="AL42" i="7"/>
  <c r="CI42" i="7" s="1"/>
  <c r="AK42" i="7"/>
  <c r="CH42" i="7" s="1"/>
  <c r="AJ42" i="7"/>
  <c r="CG42" i="7" s="1"/>
  <c r="AH42" i="7"/>
  <c r="CE42" i="7" s="1"/>
  <c r="AG42" i="7"/>
  <c r="CD42" i="7" s="1"/>
  <c r="AF42" i="7"/>
  <c r="CC42" i="7" s="1"/>
  <c r="AE42" i="7"/>
  <c r="CB42" i="7" s="1"/>
  <c r="AD42" i="7"/>
  <c r="CA42" i="7" s="1"/>
  <c r="AC42" i="7"/>
  <c r="BZ42" i="7" s="1"/>
  <c r="AB42" i="7"/>
  <c r="BY42" i="7" s="1"/>
  <c r="Z42" i="7"/>
  <c r="BW42" i="7" s="1"/>
  <c r="Y42" i="7"/>
  <c r="BV42" i="7" s="1"/>
  <c r="X42" i="7"/>
  <c r="BU42" i="7" s="1"/>
  <c r="W42" i="7"/>
  <c r="BT42" i="7" s="1"/>
  <c r="V42" i="7"/>
  <c r="BS42" i="7" s="1"/>
  <c r="U42" i="7"/>
  <c r="BR42" i="7" s="1"/>
  <c r="T42" i="7"/>
  <c r="BQ42" i="7" s="1"/>
  <c r="R42" i="7"/>
  <c r="BO42" i="7" s="1"/>
  <c r="Q42" i="7"/>
  <c r="BN42" i="7" s="1"/>
  <c r="P42" i="7"/>
  <c r="BM42" i="7" s="1"/>
  <c r="O42" i="7"/>
  <c r="BL42" i="7" s="1"/>
  <c r="N42" i="7"/>
  <c r="BK42" i="7" s="1"/>
  <c r="M42" i="7"/>
  <c r="BJ42" i="7" s="1"/>
  <c r="L42" i="7"/>
  <c r="BI42" i="7" s="1"/>
  <c r="J42" i="7"/>
  <c r="BG42" i="7" s="1"/>
  <c r="I42" i="7"/>
  <c r="BF42" i="7" s="1"/>
  <c r="H42" i="7"/>
  <c r="BE42" i="7" s="1"/>
  <c r="G42" i="7"/>
  <c r="BD42" i="7" s="1"/>
  <c r="F42" i="7"/>
  <c r="BC42" i="7" s="1"/>
  <c r="E42" i="7"/>
  <c r="BB42" i="7" s="1"/>
  <c r="D42" i="7"/>
  <c r="BA42" i="7" s="1"/>
  <c r="AJ41" i="7"/>
  <c r="AB41" i="7"/>
  <c r="T41" i="7"/>
  <c r="L41" i="7"/>
  <c r="D41" i="7"/>
  <c r="AX40" i="7"/>
  <c r="CU40" i="7" s="1"/>
  <c r="AW40" i="7"/>
  <c r="CT40" i="7" s="1"/>
  <c r="AV40" i="7"/>
  <c r="CS40" i="7" s="1"/>
  <c r="AU40" i="7"/>
  <c r="CR40" i="7" s="1"/>
  <c r="AT40" i="7"/>
  <c r="CQ40" i="7" s="1"/>
  <c r="AS40" i="7"/>
  <c r="CP40" i="7" s="1"/>
  <c r="AR40" i="7"/>
  <c r="CO40" i="7" s="1"/>
  <c r="AX39" i="7"/>
  <c r="CU39" i="7" s="1"/>
  <c r="AW39" i="7"/>
  <c r="CT39" i="7" s="1"/>
  <c r="AV39" i="7"/>
  <c r="CS39" i="7" s="1"/>
  <c r="AU39" i="7"/>
  <c r="CR39" i="7" s="1"/>
  <c r="AT39" i="7"/>
  <c r="CQ39" i="7" s="1"/>
  <c r="AS39" i="7"/>
  <c r="CP39" i="7" s="1"/>
  <c r="AR39" i="7"/>
  <c r="CO39" i="7" s="1"/>
  <c r="AX38" i="7"/>
  <c r="CU38" i="7" s="1"/>
  <c r="AW38" i="7"/>
  <c r="CT38" i="7" s="1"/>
  <c r="AV38" i="7"/>
  <c r="CS38" i="7" s="1"/>
  <c r="AU38" i="7"/>
  <c r="CR38" i="7" s="1"/>
  <c r="AT38" i="7"/>
  <c r="CQ38" i="7" s="1"/>
  <c r="AS38" i="7"/>
  <c r="CP38" i="7" s="1"/>
  <c r="BG9" i="41" l="1"/>
  <c r="BP9" i="41" s="1"/>
  <c r="BX9" i="41" s="1"/>
  <c r="CF9" i="41" s="1"/>
  <c r="AS20" i="84"/>
  <c r="BB9" i="41"/>
  <c r="BK9" i="41" s="1"/>
  <c r="CA9" i="41" s="1"/>
  <c r="AN20" i="84"/>
  <c r="AN51" i="67"/>
  <c r="AN51" i="85"/>
  <c r="BD9" i="41"/>
  <c r="BM9" i="41" s="1"/>
  <c r="BU9" i="41" s="1"/>
  <c r="AP20" i="84"/>
  <c r="BE9" i="41"/>
  <c r="BN9" i="41" s="1"/>
  <c r="BV9" i="41" s="1"/>
  <c r="AQ20" i="84"/>
  <c r="BF9" i="41"/>
  <c r="BO9" i="41" s="1"/>
  <c r="BW9" i="41" s="1"/>
  <c r="AR20" i="84"/>
  <c r="AF5" i="67"/>
  <c r="K16" i="47"/>
  <c r="AF5" i="85" s="1"/>
  <c r="AG5" i="67"/>
  <c r="L16" i="47"/>
  <c r="AG5" i="85" s="1"/>
  <c r="AH5" i="67"/>
  <c r="M16" i="47"/>
  <c r="AH5" i="85" s="1"/>
  <c r="AE5" i="67"/>
  <c r="J16" i="47"/>
  <c r="AE5" i="85" s="1"/>
  <c r="AI5" i="67"/>
  <c r="N16" i="47"/>
  <c r="AI5" i="85" s="1"/>
  <c r="F8" i="7"/>
  <c r="F58" i="7" s="1"/>
  <c r="BC9" i="41"/>
  <c r="AK37" i="7"/>
  <c r="AK41" i="7" s="1"/>
  <c r="CG43" i="7"/>
  <c r="E37" i="7"/>
  <c r="BA43" i="7"/>
  <c r="CO37" i="7"/>
  <c r="M37" i="7"/>
  <c r="BJ37" i="7" s="1"/>
  <c r="BI43" i="7"/>
  <c r="AC37" i="7"/>
  <c r="BZ37" i="7" s="1"/>
  <c r="BY43" i="7"/>
  <c r="U37" i="7"/>
  <c r="BQ43" i="7"/>
  <c r="AD5" i="67"/>
  <c r="I16" i="47"/>
  <c r="AD5" i="85" s="1"/>
  <c r="AD6" i="85" s="1"/>
  <c r="B52" i="60"/>
  <c r="AZ9" i="60"/>
  <c r="BF9" i="60" s="1"/>
  <c r="BL9" i="60" s="1"/>
  <c r="CD9" i="60" s="1"/>
  <c r="BR9" i="60" s="1"/>
  <c r="BX9" i="60" s="1"/>
  <c r="AO9" i="60"/>
  <c r="CL9" i="60" s="1"/>
  <c r="E8" i="7"/>
  <c r="AP20" i="79"/>
  <c r="G8" i="7"/>
  <c r="AQ20" i="79"/>
  <c r="H8" i="7"/>
  <c r="AN20" i="79"/>
  <c r="AR20" i="79"/>
  <c r="I8" i="7"/>
  <c r="I58" i="7" s="1"/>
  <c r="AS20" i="79"/>
  <c r="J8" i="7"/>
  <c r="L7" i="74"/>
  <c r="AO20" i="79"/>
  <c r="N8" i="41"/>
  <c r="E8" i="20"/>
  <c r="D9" i="20"/>
  <c r="AR43" i="7"/>
  <c r="AR41" i="7" s="1"/>
  <c r="F35" i="47"/>
  <c r="F14" i="21"/>
  <c r="AO50" i="85" s="1"/>
  <c r="AN50" i="67"/>
  <c r="B8" i="47"/>
  <c r="I8" i="47" s="1"/>
  <c r="AD4" i="67"/>
  <c r="AU53" i="7"/>
  <c r="D35" i="47"/>
  <c r="F15" i="21"/>
  <c r="AO51" i="85" s="1"/>
  <c r="E12" i="21"/>
  <c r="AN48" i="85" s="1"/>
  <c r="AM48" i="67"/>
  <c r="AS42" i="7"/>
  <c r="CP42" i="7" s="1"/>
  <c r="AW42" i="7"/>
  <c r="CT42" i="7" s="1"/>
  <c r="AT42" i="7"/>
  <c r="CQ42" i="7" s="1"/>
  <c r="AX42" i="7"/>
  <c r="CU42" i="7" s="1"/>
  <c r="AR53" i="7"/>
  <c r="AV53" i="7"/>
  <c r="AS53" i="7"/>
  <c r="AW53" i="7"/>
  <c r="AR42" i="7"/>
  <c r="CO42" i="7" s="1"/>
  <c r="AV42" i="7"/>
  <c r="CS42" i="7" s="1"/>
  <c r="AT53" i="7"/>
  <c r="AX53" i="7"/>
  <c r="AR54" i="7"/>
  <c r="AS48" i="7" s="1"/>
  <c r="AS52" i="7" s="1"/>
  <c r="B35" i="47"/>
  <c r="C35" i="47"/>
  <c r="G35" i="47"/>
  <c r="AC52" i="7"/>
  <c r="M52" i="7"/>
  <c r="E35" i="47"/>
  <c r="D13" i="21"/>
  <c r="AM49" i="85" s="1"/>
  <c r="AU42" i="7"/>
  <c r="CR42" i="7" s="1"/>
  <c r="I36" i="7"/>
  <c r="AF54" i="7"/>
  <c r="AG48" i="7" s="1"/>
  <c r="AF52" i="7"/>
  <c r="N54" i="7"/>
  <c r="O48" i="7" s="1"/>
  <c r="N52" i="7"/>
  <c r="AK54" i="7"/>
  <c r="AL48" i="7" s="1"/>
  <c r="AK52" i="7"/>
  <c r="E54" i="7"/>
  <c r="F48" i="7" s="1"/>
  <c r="E52" i="7"/>
  <c r="U54" i="7"/>
  <c r="V48" i="7" s="1"/>
  <c r="U52" i="7"/>
  <c r="AE52" i="7"/>
  <c r="AD52" i="7"/>
  <c r="AC43" i="7" l="1"/>
  <c r="AD37" i="7" s="1"/>
  <c r="AD41" i="7" s="1"/>
  <c r="AD6" i="67"/>
  <c r="AC41" i="7"/>
  <c r="M43" i="7"/>
  <c r="M41" i="7" s="1"/>
  <c r="N8" i="7"/>
  <c r="N36" i="7" s="1"/>
  <c r="CE9" i="41"/>
  <c r="CD9" i="41"/>
  <c r="CC9" i="41"/>
  <c r="BS9" i="41"/>
  <c r="G34" i="47"/>
  <c r="N35" i="47"/>
  <c r="C34" i="47"/>
  <c r="J35" i="47"/>
  <c r="J36" i="7"/>
  <c r="BG8" i="7"/>
  <c r="BO8" i="7" s="1"/>
  <c r="BW8" i="7" s="1"/>
  <c r="CE8" i="7" s="1"/>
  <c r="CM8" i="7" s="1"/>
  <c r="CU8" i="7" s="1"/>
  <c r="F36" i="7"/>
  <c r="BC8" i="7"/>
  <c r="BK8" i="7" s="1"/>
  <c r="BS8" i="7" s="1"/>
  <c r="CA8" i="7" s="1"/>
  <c r="CI8" i="7" s="1"/>
  <c r="CQ8" i="7" s="1"/>
  <c r="BL9" i="41"/>
  <c r="BH8" i="41"/>
  <c r="F34" i="47"/>
  <c r="M35" i="47"/>
  <c r="M8" i="7"/>
  <c r="U8" i="7" s="1"/>
  <c r="AC8" i="7" s="1"/>
  <c r="AK8" i="7" s="1"/>
  <c r="BB8" i="7"/>
  <c r="BJ8" i="7" s="1"/>
  <c r="BR8" i="7" s="1"/>
  <c r="BZ8" i="7" s="1"/>
  <c r="CH8" i="7" s="1"/>
  <c r="CP8" i="7" s="1"/>
  <c r="BZ43" i="7"/>
  <c r="B34" i="47"/>
  <c r="I35" i="47"/>
  <c r="AS37" i="7"/>
  <c r="CO43" i="7"/>
  <c r="Q8" i="7"/>
  <c r="Q58" i="7" s="1"/>
  <c r="BF8" i="7"/>
  <c r="BN8" i="7" s="1"/>
  <c r="BV8" i="7" s="1"/>
  <c r="CD8" i="7" s="1"/>
  <c r="CL8" i="7" s="1"/>
  <c r="CT8" i="7" s="1"/>
  <c r="U43" i="7"/>
  <c r="U41" i="7" s="1"/>
  <c r="BR37" i="7"/>
  <c r="E43" i="7"/>
  <c r="E41" i="7" s="1"/>
  <c r="BB37" i="7"/>
  <c r="D34" i="47"/>
  <c r="K35" i="47"/>
  <c r="E34" i="47"/>
  <c r="L35" i="47"/>
  <c r="G36" i="7"/>
  <c r="G47" i="7" s="1"/>
  <c r="BD8" i="7"/>
  <c r="BL8" i="7" s="1"/>
  <c r="BT8" i="7" s="1"/>
  <c r="CB8" i="7" s="1"/>
  <c r="CJ8" i="7" s="1"/>
  <c r="CR8" i="7" s="1"/>
  <c r="H36" i="7"/>
  <c r="H69" i="7" s="1"/>
  <c r="BE8" i="7"/>
  <c r="BM8" i="7" s="1"/>
  <c r="BU8" i="7" s="1"/>
  <c r="CC8" i="7" s="1"/>
  <c r="CK8" i="7" s="1"/>
  <c r="CS8" i="7" s="1"/>
  <c r="AK43" i="7"/>
  <c r="CH37" i="7"/>
  <c r="E36" i="7"/>
  <c r="E69" i="7" s="1"/>
  <c r="E58" i="7"/>
  <c r="J58" i="7"/>
  <c r="R8" i="7"/>
  <c r="Z8" i="7" s="1"/>
  <c r="Z36" i="7" s="1"/>
  <c r="O8" i="7"/>
  <c r="W8" i="7" s="1"/>
  <c r="G58" i="7"/>
  <c r="H58" i="7"/>
  <c r="P8" i="7"/>
  <c r="F8" i="20"/>
  <c r="E9" i="20"/>
  <c r="G15" i="21"/>
  <c r="AP51" i="85" s="1"/>
  <c r="AO51" i="67"/>
  <c r="G14" i="21"/>
  <c r="AP50" i="85" s="1"/>
  <c r="AO50" i="67"/>
  <c r="D16" i="21"/>
  <c r="AM49" i="67"/>
  <c r="F12" i="21"/>
  <c r="AO48" i="85" s="1"/>
  <c r="AN48" i="67"/>
  <c r="AS54" i="7"/>
  <c r="AT48" i="7" s="1"/>
  <c r="AT54" i="7" s="1"/>
  <c r="AU48" i="7" s="1"/>
  <c r="E13" i="21"/>
  <c r="AN49" i="85" s="1"/>
  <c r="V8" i="7"/>
  <c r="AD8" i="7" s="1"/>
  <c r="V54" i="7"/>
  <c r="W48" i="7" s="1"/>
  <c r="V52" i="7"/>
  <c r="N69" i="7"/>
  <c r="N47" i="7"/>
  <c r="AL54" i="7"/>
  <c r="AM48" i="7" s="1"/>
  <c r="AL52" i="7"/>
  <c r="AG54" i="7"/>
  <c r="AH48" i="7" s="1"/>
  <c r="AG52" i="7"/>
  <c r="F54" i="7"/>
  <c r="G48" i="7" s="1"/>
  <c r="F52" i="7"/>
  <c r="O54" i="7"/>
  <c r="P48" i="7" s="1"/>
  <c r="O52" i="7"/>
  <c r="I69" i="7"/>
  <c r="I47" i="7"/>
  <c r="N58" i="7" l="1"/>
  <c r="G69" i="7"/>
  <c r="M58" i="7"/>
  <c r="BJ43" i="7"/>
  <c r="N37" i="7"/>
  <c r="BK37" i="7" s="1"/>
  <c r="H47" i="7"/>
  <c r="AD43" i="7"/>
  <c r="CA43" i="7" s="1"/>
  <c r="E47" i="7"/>
  <c r="Y8" i="7"/>
  <c r="Y36" i="7" s="1"/>
  <c r="Q36" i="7"/>
  <c r="Q69" i="7" s="1"/>
  <c r="R58" i="7"/>
  <c r="M36" i="7"/>
  <c r="M69" i="7" s="1"/>
  <c r="AM52" i="67"/>
  <c r="AM52" i="85"/>
  <c r="C59" i="49"/>
  <c r="I59" i="49" s="1"/>
  <c r="CA37" i="7"/>
  <c r="AL37" i="7"/>
  <c r="CH43" i="7"/>
  <c r="J47" i="7"/>
  <c r="J69" i="7"/>
  <c r="AG8" i="67"/>
  <c r="L34" i="47"/>
  <c r="AG8" i="85" s="1"/>
  <c r="V37" i="7"/>
  <c r="BR43" i="7"/>
  <c r="AF8" i="67"/>
  <c r="K34" i="47"/>
  <c r="AF8" i="85" s="1"/>
  <c r="CP37" i="7"/>
  <c r="AS43" i="7"/>
  <c r="AS41" i="7" s="1"/>
  <c r="AH8" i="67"/>
  <c r="M34" i="47"/>
  <c r="AH8" i="85" s="1"/>
  <c r="AE8" i="67"/>
  <c r="J34" i="47"/>
  <c r="AE8" i="85" s="1"/>
  <c r="F47" i="7"/>
  <c r="F69" i="7"/>
  <c r="F37" i="7"/>
  <c r="BB43" i="7"/>
  <c r="AD8" i="67"/>
  <c r="I34" i="47"/>
  <c r="AD8" i="85" s="1"/>
  <c r="CB9" i="41"/>
  <c r="BT9" i="41"/>
  <c r="AI8" i="67"/>
  <c r="N34" i="47"/>
  <c r="AI8" i="85" s="1"/>
  <c r="AH8" i="7"/>
  <c r="AP8" i="7" s="1"/>
  <c r="Z58" i="7"/>
  <c r="O36" i="7"/>
  <c r="O69" i="7" s="1"/>
  <c r="O58" i="7"/>
  <c r="R36" i="7"/>
  <c r="R69" i="7" s="1"/>
  <c r="P36" i="7"/>
  <c r="P58" i="7"/>
  <c r="X8" i="7"/>
  <c r="AT52" i="7"/>
  <c r="G8" i="20"/>
  <c r="F9" i="20"/>
  <c r="AE37" i="7"/>
  <c r="C60" i="49"/>
  <c r="I60" i="49" s="1"/>
  <c r="H15" i="21"/>
  <c r="AP51" i="67"/>
  <c r="H14" i="21"/>
  <c r="AP50" i="67"/>
  <c r="F13" i="21"/>
  <c r="AN49" i="67"/>
  <c r="G12" i="21"/>
  <c r="AP48" i="85" s="1"/>
  <c r="AO48" i="67"/>
  <c r="E16" i="21"/>
  <c r="V36" i="7"/>
  <c r="V69" i="7" s="1"/>
  <c r="V58" i="7"/>
  <c r="W58" i="7"/>
  <c r="W36" i="7"/>
  <c r="AE8" i="7"/>
  <c r="G54" i="7"/>
  <c r="H48" i="7" s="1"/>
  <c r="G52" i="7"/>
  <c r="AH54" i="7"/>
  <c r="AH52" i="7"/>
  <c r="Z69" i="7"/>
  <c r="Z47" i="7"/>
  <c r="P54" i="7"/>
  <c r="Q48" i="7" s="1"/>
  <c r="P52" i="7"/>
  <c r="AD36" i="7"/>
  <c r="AD58" i="7"/>
  <c r="AL8" i="7"/>
  <c r="AU54" i="7"/>
  <c r="AV48" i="7" s="1"/>
  <c r="AU52" i="7"/>
  <c r="U36" i="7"/>
  <c r="U58" i="7"/>
  <c r="AM54" i="7"/>
  <c r="AN48" i="7" s="1"/>
  <c r="AM52" i="7"/>
  <c r="W54" i="7"/>
  <c r="X48" i="7" s="1"/>
  <c r="W52" i="7"/>
  <c r="C31" i="49" l="1"/>
  <c r="I31" i="49" s="1"/>
  <c r="N43" i="7"/>
  <c r="O37" i="7" s="1"/>
  <c r="AG8" i="7"/>
  <c r="Y58" i="7"/>
  <c r="Q47" i="7"/>
  <c r="M47" i="7"/>
  <c r="AQ50" i="67"/>
  <c r="AQ50" i="85"/>
  <c r="AN52" i="67"/>
  <c r="AN52" i="85"/>
  <c r="O47" i="7"/>
  <c r="AQ51" i="67"/>
  <c r="AQ51" i="85"/>
  <c r="AO49" i="67"/>
  <c r="AO49" i="85"/>
  <c r="AH58" i="7"/>
  <c r="AH36" i="7"/>
  <c r="AH69" i="7" s="1"/>
  <c r="AT37" i="7"/>
  <c r="CP43" i="7"/>
  <c r="D59" i="49"/>
  <c r="J59" i="49" s="1"/>
  <c r="CB37" i="7"/>
  <c r="C45" i="49"/>
  <c r="I45" i="49" s="1"/>
  <c r="BS37" i="7"/>
  <c r="V43" i="7"/>
  <c r="V41" i="7" s="1"/>
  <c r="C73" i="49"/>
  <c r="I73" i="49" s="1"/>
  <c r="CI37" i="7"/>
  <c r="AL41" i="7"/>
  <c r="AL43" i="7"/>
  <c r="C17" i="49"/>
  <c r="I17" i="49" s="1"/>
  <c r="BC37" i="7"/>
  <c r="F43" i="7"/>
  <c r="F41" i="7" s="1"/>
  <c r="R47" i="7"/>
  <c r="AF8" i="7"/>
  <c r="X58" i="7"/>
  <c r="X36" i="7"/>
  <c r="P47" i="7"/>
  <c r="P69" i="7"/>
  <c r="AE41" i="7"/>
  <c r="AE43" i="7"/>
  <c r="H8" i="20"/>
  <c r="H9" i="20" s="1"/>
  <c r="G9" i="20"/>
  <c r="V47" i="7"/>
  <c r="F16" i="21"/>
  <c r="G13" i="21"/>
  <c r="H12" i="21"/>
  <c r="AP48" i="67"/>
  <c r="U69" i="7"/>
  <c r="U47" i="7"/>
  <c r="AD69" i="7"/>
  <c r="AD47" i="7"/>
  <c r="AP58" i="7"/>
  <c r="AX8" i="7"/>
  <c r="AP36" i="7"/>
  <c r="AV54" i="7"/>
  <c r="AW48" i="7" s="1"/>
  <c r="AV52" i="7"/>
  <c r="X54" i="7"/>
  <c r="Y48" i="7" s="1"/>
  <c r="X52" i="7"/>
  <c r="H54" i="7"/>
  <c r="I48" i="7" s="1"/>
  <c r="H52" i="7"/>
  <c r="AE58" i="7"/>
  <c r="AE36" i="7"/>
  <c r="AM8" i="7"/>
  <c r="Y69" i="7"/>
  <c r="Y47" i="7"/>
  <c r="AC36" i="7"/>
  <c r="AC58" i="7"/>
  <c r="AG58" i="7"/>
  <c r="AG36" i="7"/>
  <c r="AO8" i="7"/>
  <c r="AN54" i="7"/>
  <c r="AO48" i="7" s="1"/>
  <c r="AN52" i="7"/>
  <c r="AL58" i="7"/>
  <c r="AL36" i="7"/>
  <c r="AT8" i="7"/>
  <c r="Q54" i="7"/>
  <c r="R48" i="7" s="1"/>
  <c r="Q52" i="7"/>
  <c r="W69" i="7"/>
  <c r="W47" i="7"/>
  <c r="O43" i="7" l="1"/>
  <c r="D31" i="49"/>
  <c r="J31" i="49" s="1"/>
  <c r="BK43" i="7"/>
  <c r="C32" i="49"/>
  <c r="O41" i="7"/>
  <c r="D32" i="49"/>
  <c r="D30" i="49" s="1"/>
  <c r="J30" i="49" s="1"/>
  <c r="AM15" i="85" s="1"/>
  <c r="BL37" i="7"/>
  <c r="N41" i="7"/>
  <c r="AH47" i="7"/>
  <c r="AO52" i="67"/>
  <c r="AO52" i="85"/>
  <c r="AQ48" i="67"/>
  <c r="AQ48" i="85"/>
  <c r="AP49" i="67"/>
  <c r="AP49" i="85"/>
  <c r="CI43" i="7"/>
  <c r="AM37" i="7"/>
  <c r="C74" i="49"/>
  <c r="I74" i="49" s="1"/>
  <c r="BC43" i="7"/>
  <c r="C18" i="49"/>
  <c r="G37" i="7"/>
  <c r="BS43" i="7"/>
  <c r="W37" i="7"/>
  <c r="C46" i="49"/>
  <c r="I46" i="49" s="1"/>
  <c r="D60" i="49"/>
  <c r="J60" i="49" s="1"/>
  <c r="CB43" i="7"/>
  <c r="CQ37" i="7"/>
  <c r="AT43" i="7"/>
  <c r="AT41" i="7" s="1"/>
  <c r="X69" i="7"/>
  <c r="X47" i="7"/>
  <c r="AF58" i="7"/>
  <c r="AN8" i="7"/>
  <c r="AF36" i="7"/>
  <c r="AF37" i="7"/>
  <c r="G16" i="21"/>
  <c r="H13" i="21"/>
  <c r="AO58" i="7"/>
  <c r="AO36" i="7"/>
  <c r="AW8" i="7"/>
  <c r="AC47" i="7"/>
  <c r="AC69" i="7"/>
  <c r="AM36" i="7"/>
  <c r="AM58" i="7"/>
  <c r="AU8" i="7"/>
  <c r="AP69" i="7"/>
  <c r="AP47" i="7"/>
  <c r="AO54" i="7"/>
  <c r="AP48" i="7" s="1"/>
  <c r="AO52" i="7"/>
  <c r="AG69" i="7"/>
  <c r="AG47" i="7"/>
  <c r="AE69" i="7"/>
  <c r="AE47" i="7"/>
  <c r="Y54" i="7"/>
  <c r="Z48" i="7" s="1"/>
  <c r="Y52" i="7"/>
  <c r="AX58" i="7"/>
  <c r="AX36" i="7"/>
  <c r="R54" i="7"/>
  <c r="R52" i="7"/>
  <c r="AK58" i="7"/>
  <c r="AK36" i="7"/>
  <c r="AS8" i="7"/>
  <c r="I54" i="7"/>
  <c r="J48" i="7" s="1"/>
  <c r="I52" i="7"/>
  <c r="AL69" i="7"/>
  <c r="AL47" i="7"/>
  <c r="AT36" i="7"/>
  <c r="AT58" i="7"/>
  <c r="AW54" i="7"/>
  <c r="AX48" i="7" s="1"/>
  <c r="AW52" i="7"/>
  <c r="BL43" i="7" l="1"/>
  <c r="P37" i="7"/>
  <c r="J32" i="49"/>
  <c r="C30" i="49"/>
  <c r="I30" i="49" s="1"/>
  <c r="AL15" i="85" s="1"/>
  <c r="I32" i="49"/>
  <c r="AQ49" i="67"/>
  <c r="AQ49" i="85"/>
  <c r="AP52" i="67"/>
  <c r="AP52" i="85"/>
  <c r="D45" i="49"/>
  <c r="J45" i="49" s="1"/>
  <c r="BT37" i="7"/>
  <c r="W43" i="7"/>
  <c r="W41" i="7" s="1"/>
  <c r="D17" i="49"/>
  <c r="J17" i="49" s="1"/>
  <c r="BD37" i="7"/>
  <c r="G43" i="7"/>
  <c r="G41" i="7" s="1"/>
  <c r="C16" i="49"/>
  <c r="I16" i="49" s="1"/>
  <c r="AL7" i="85" s="1"/>
  <c r="I18" i="49"/>
  <c r="E59" i="49"/>
  <c r="K59" i="49" s="1"/>
  <c r="CC37" i="7"/>
  <c r="D73" i="49"/>
  <c r="J73" i="49" s="1"/>
  <c r="CJ37" i="7"/>
  <c r="AM43" i="7"/>
  <c r="AM41" i="7"/>
  <c r="AU37" i="7"/>
  <c r="CQ43" i="7"/>
  <c r="AF43" i="7"/>
  <c r="E60" i="49" s="1"/>
  <c r="K60" i="49" s="1"/>
  <c r="AF69" i="7"/>
  <c r="AF47" i="7"/>
  <c r="AV8" i="7"/>
  <c r="AN58" i="7"/>
  <c r="AN36" i="7"/>
  <c r="AF41" i="7"/>
  <c r="H16" i="21"/>
  <c r="AT69" i="7"/>
  <c r="AT47" i="7"/>
  <c r="AW58" i="7"/>
  <c r="AW36" i="7"/>
  <c r="AK69" i="7"/>
  <c r="AK47" i="7"/>
  <c r="AX69" i="7"/>
  <c r="AX47" i="7"/>
  <c r="AM69" i="7"/>
  <c r="AM47" i="7"/>
  <c r="AO69" i="7"/>
  <c r="AO47" i="7"/>
  <c r="AS58" i="7"/>
  <c r="AS36" i="7"/>
  <c r="AX54" i="7"/>
  <c r="AX52" i="7"/>
  <c r="J54" i="7"/>
  <c r="J52" i="7"/>
  <c r="Z54" i="7"/>
  <c r="Z52" i="7"/>
  <c r="AP54" i="7"/>
  <c r="AP52" i="7"/>
  <c r="AU58" i="7"/>
  <c r="AU36" i="7"/>
  <c r="E31" i="49" l="1"/>
  <c r="K31" i="49" s="1"/>
  <c r="P43" i="7"/>
  <c r="BM37" i="7"/>
  <c r="AQ52" i="67"/>
  <c r="AQ52" i="85"/>
  <c r="AG37" i="7"/>
  <c r="CD37" i="7" s="1"/>
  <c r="CC43" i="7"/>
  <c r="CR37" i="7"/>
  <c r="AU43" i="7"/>
  <c r="AU41" i="7" s="1"/>
  <c r="D46" i="49"/>
  <c r="J46" i="49" s="1"/>
  <c r="BT43" i="7"/>
  <c r="X37" i="7"/>
  <c r="H37" i="7"/>
  <c r="BD43" i="7"/>
  <c r="D18" i="49"/>
  <c r="J18" i="49" s="1"/>
  <c r="AN37" i="7"/>
  <c r="CJ43" i="7"/>
  <c r="D74" i="49"/>
  <c r="J74" i="49" s="1"/>
  <c r="AN47" i="7"/>
  <c r="AN69" i="7"/>
  <c r="AV36" i="7"/>
  <c r="AV58" i="7"/>
  <c r="AG41" i="7"/>
  <c r="AW69" i="7"/>
  <c r="AW47" i="7"/>
  <c r="AS69" i="7"/>
  <c r="AS47" i="7"/>
  <c r="AU47" i="7"/>
  <c r="AU69" i="7"/>
  <c r="P41" i="7" l="1"/>
  <c r="Q37" i="7"/>
  <c r="BM43" i="7"/>
  <c r="E32" i="49"/>
  <c r="K32" i="49" s="1"/>
  <c r="AG43" i="7"/>
  <c r="CD43" i="7" s="1"/>
  <c r="F59" i="49"/>
  <c r="L59" i="49" s="1"/>
  <c r="BE37" i="7"/>
  <c r="E17" i="49"/>
  <c r="K17" i="49" s="1"/>
  <c r="H43" i="7"/>
  <c r="H41" i="7" s="1"/>
  <c r="AV37" i="7"/>
  <c r="CR43" i="7"/>
  <c r="E45" i="49"/>
  <c r="K45" i="49" s="1"/>
  <c r="BU37" i="7"/>
  <c r="X43" i="7"/>
  <c r="X41" i="7" s="1"/>
  <c r="E73" i="49"/>
  <c r="K73" i="49" s="1"/>
  <c r="CK37" i="7"/>
  <c r="AN43" i="7"/>
  <c r="AN41" i="7"/>
  <c r="AV47" i="7"/>
  <c r="AV69" i="7"/>
  <c r="AH37" i="7"/>
  <c r="CE37" i="7" s="1"/>
  <c r="F60" i="49"/>
  <c r="L60" i="49" s="1"/>
  <c r="H114" i="41"/>
  <c r="BB114" i="41" s="1"/>
  <c r="AP15" i="7"/>
  <c r="CM15" i="7" s="1"/>
  <c r="AO15" i="7"/>
  <c r="CL15" i="7" s="1"/>
  <c r="AN15" i="7"/>
  <c r="CK15" i="7" s="1"/>
  <c r="AM15" i="7"/>
  <c r="CJ15" i="7" s="1"/>
  <c r="AL15" i="7"/>
  <c r="CI15" i="7" s="1"/>
  <c r="AH15" i="7"/>
  <c r="CE15" i="7" s="1"/>
  <c r="AG15" i="7"/>
  <c r="CD15" i="7" s="1"/>
  <c r="AF15" i="7"/>
  <c r="CC15" i="7" s="1"/>
  <c r="AE15" i="7"/>
  <c r="CB15" i="7" s="1"/>
  <c r="AD15" i="7"/>
  <c r="CA15" i="7" s="1"/>
  <c r="E144" i="41"/>
  <c r="E143" i="41"/>
  <c r="E142" i="41"/>
  <c r="E141" i="41"/>
  <c r="E140" i="41"/>
  <c r="M123" i="41"/>
  <c r="BG123" i="41" s="1"/>
  <c r="L123" i="41"/>
  <c r="BF123" i="41" s="1"/>
  <c r="K123" i="41"/>
  <c r="BE123" i="41" s="1"/>
  <c r="J123" i="41"/>
  <c r="BD123" i="41" s="1"/>
  <c r="I123" i="41"/>
  <c r="BC123" i="41" s="1"/>
  <c r="H123" i="41"/>
  <c r="BB123" i="41" s="1"/>
  <c r="G123" i="41"/>
  <c r="BA123" i="41" s="1"/>
  <c r="M122" i="41"/>
  <c r="BG122" i="41" s="1"/>
  <c r="L122" i="41"/>
  <c r="BF122" i="41" s="1"/>
  <c r="K122" i="41"/>
  <c r="BE122" i="41" s="1"/>
  <c r="J122" i="41"/>
  <c r="BD122" i="41" s="1"/>
  <c r="I122" i="41"/>
  <c r="BC122" i="41" s="1"/>
  <c r="H122" i="41"/>
  <c r="BB122" i="41" s="1"/>
  <c r="G122" i="41"/>
  <c r="BA122" i="41" s="1"/>
  <c r="M121" i="41"/>
  <c r="BG121" i="41" s="1"/>
  <c r="L121" i="41"/>
  <c r="BF121" i="41" s="1"/>
  <c r="K121" i="41"/>
  <c r="BE121" i="41" s="1"/>
  <c r="J121" i="41"/>
  <c r="BD121" i="41" s="1"/>
  <c r="I121" i="41"/>
  <c r="BC121" i="41" s="1"/>
  <c r="H121" i="41"/>
  <c r="BB121" i="41" s="1"/>
  <c r="G121" i="41"/>
  <c r="BA121" i="41" s="1"/>
  <c r="M120" i="41"/>
  <c r="BG120" i="41" s="1"/>
  <c r="L120" i="41"/>
  <c r="BF120" i="41" s="1"/>
  <c r="K120" i="41"/>
  <c r="BE120" i="41" s="1"/>
  <c r="J120" i="41"/>
  <c r="BD120" i="41" s="1"/>
  <c r="I120" i="41"/>
  <c r="BC120" i="41" s="1"/>
  <c r="H120" i="41"/>
  <c r="BB120" i="41" s="1"/>
  <c r="G120" i="41"/>
  <c r="BA120" i="41" s="1"/>
  <c r="M119" i="41"/>
  <c r="BG119" i="41" s="1"/>
  <c r="L119" i="41"/>
  <c r="BF119" i="41" s="1"/>
  <c r="K119" i="41"/>
  <c r="BE119" i="41" s="1"/>
  <c r="J119" i="41"/>
  <c r="BD119" i="41" s="1"/>
  <c r="I119" i="41"/>
  <c r="BC119" i="41" s="1"/>
  <c r="H119" i="41"/>
  <c r="BB119" i="41" s="1"/>
  <c r="G119" i="41"/>
  <c r="BA119" i="41" s="1"/>
  <c r="M118" i="41"/>
  <c r="BG118" i="41" s="1"/>
  <c r="L118" i="41"/>
  <c r="BF118" i="41" s="1"/>
  <c r="K118" i="41"/>
  <c r="BE118" i="41" s="1"/>
  <c r="J118" i="41"/>
  <c r="BD118" i="41" s="1"/>
  <c r="I118" i="41"/>
  <c r="BC118" i="41" s="1"/>
  <c r="H118" i="41"/>
  <c r="BB118" i="41" s="1"/>
  <c r="G118" i="41"/>
  <c r="BA118" i="41" s="1"/>
  <c r="M117" i="41"/>
  <c r="BG117" i="41" s="1"/>
  <c r="L117" i="41"/>
  <c r="BF117" i="41" s="1"/>
  <c r="K117" i="41"/>
  <c r="BE117" i="41" s="1"/>
  <c r="J117" i="41"/>
  <c r="BD117" i="41" s="1"/>
  <c r="I117" i="41"/>
  <c r="BC117" i="41" s="1"/>
  <c r="H117" i="41"/>
  <c r="BB117" i="41" s="1"/>
  <c r="G117" i="41"/>
  <c r="BA117" i="41" s="1"/>
  <c r="M116" i="41"/>
  <c r="BG116" i="41" s="1"/>
  <c r="L116" i="41"/>
  <c r="BF116" i="41" s="1"/>
  <c r="K116" i="41"/>
  <c r="BE116" i="41" s="1"/>
  <c r="J116" i="41"/>
  <c r="BD116" i="41" s="1"/>
  <c r="I116" i="41"/>
  <c r="BC116" i="41" s="1"/>
  <c r="H116" i="41"/>
  <c r="BB116" i="41" s="1"/>
  <c r="G116" i="41"/>
  <c r="BA116" i="41" s="1"/>
  <c r="M115" i="41"/>
  <c r="BG115" i="41" s="1"/>
  <c r="L115" i="41"/>
  <c r="BF115" i="41" s="1"/>
  <c r="K115" i="41"/>
  <c r="BE115" i="41" s="1"/>
  <c r="J115" i="41"/>
  <c r="BD115" i="41" s="1"/>
  <c r="I115" i="41"/>
  <c r="BC115" i="41" s="1"/>
  <c r="H115" i="41"/>
  <c r="BB115" i="41" s="1"/>
  <c r="G115" i="41"/>
  <c r="BA115" i="41" s="1"/>
  <c r="M114" i="41"/>
  <c r="BG114" i="41" s="1"/>
  <c r="L114" i="41"/>
  <c r="BF114" i="41" s="1"/>
  <c r="K114" i="41"/>
  <c r="BE114" i="41" s="1"/>
  <c r="J114" i="41"/>
  <c r="BD114" i="41" s="1"/>
  <c r="I114" i="41"/>
  <c r="BC114" i="41" s="1"/>
  <c r="G114" i="41"/>
  <c r="BA114" i="41" s="1"/>
  <c r="M113" i="41"/>
  <c r="BG113" i="41" s="1"/>
  <c r="L113" i="41"/>
  <c r="BF113" i="41" s="1"/>
  <c r="K113" i="41"/>
  <c r="BE113" i="41" s="1"/>
  <c r="J113" i="41"/>
  <c r="BD113" i="41" s="1"/>
  <c r="I113" i="41"/>
  <c r="BC113" i="41" s="1"/>
  <c r="H113" i="41"/>
  <c r="BB113" i="41" s="1"/>
  <c r="G113" i="41"/>
  <c r="BA113" i="41" s="1"/>
  <c r="M112" i="41"/>
  <c r="BG112" i="41" s="1"/>
  <c r="L112" i="41"/>
  <c r="BF112" i="41" s="1"/>
  <c r="K112" i="41"/>
  <c r="BE112" i="41" s="1"/>
  <c r="J112" i="41"/>
  <c r="BD112" i="41" s="1"/>
  <c r="I112" i="41"/>
  <c r="BC112" i="41" s="1"/>
  <c r="H112" i="41"/>
  <c r="BB112" i="41" s="1"/>
  <c r="G112" i="41"/>
  <c r="BA112" i="41" s="1"/>
  <c r="M111" i="41"/>
  <c r="BG111" i="41" s="1"/>
  <c r="L111" i="41"/>
  <c r="BF111" i="41" s="1"/>
  <c r="K111" i="41"/>
  <c r="BE111" i="41" s="1"/>
  <c r="J111" i="41"/>
  <c r="BD111" i="41" s="1"/>
  <c r="I111" i="41"/>
  <c r="BC111" i="41" s="1"/>
  <c r="H111" i="41"/>
  <c r="BB111" i="41" s="1"/>
  <c r="G111" i="41"/>
  <c r="BA111" i="41" s="1"/>
  <c r="M110" i="41"/>
  <c r="BG110" i="41" s="1"/>
  <c r="L110" i="41"/>
  <c r="BF110" i="41" s="1"/>
  <c r="K110" i="41"/>
  <c r="BE110" i="41" s="1"/>
  <c r="J110" i="41"/>
  <c r="BD110" i="41" s="1"/>
  <c r="I110" i="41"/>
  <c r="BC110" i="41" s="1"/>
  <c r="H110" i="41"/>
  <c r="BB110" i="41" s="1"/>
  <c r="G110" i="41"/>
  <c r="BA110" i="41" s="1"/>
  <c r="M109" i="41"/>
  <c r="BG109" i="41" s="1"/>
  <c r="L109" i="41"/>
  <c r="BF109" i="41" s="1"/>
  <c r="K109" i="41"/>
  <c r="BE109" i="41" s="1"/>
  <c r="J109" i="41"/>
  <c r="BD109" i="41" s="1"/>
  <c r="I109" i="41"/>
  <c r="BC109" i="41" s="1"/>
  <c r="H109" i="41"/>
  <c r="BB109" i="41" s="1"/>
  <c r="G109" i="41"/>
  <c r="BA109" i="41" s="1"/>
  <c r="M108" i="41"/>
  <c r="BG108" i="41" s="1"/>
  <c r="L108" i="41"/>
  <c r="BF108" i="41" s="1"/>
  <c r="K108" i="41"/>
  <c r="BE108" i="41" s="1"/>
  <c r="J108" i="41"/>
  <c r="BD108" i="41" s="1"/>
  <c r="I108" i="41"/>
  <c r="BC108" i="41" s="1"/>
  <c r="H108" i="41"/>
  <c r="BB108" i="41" s="1"/>
  <c r="G108" i="41"/>
  <c r="BA108" i="41" s="1"/>
  <c r="M107" i="41"/>
  <c r="BG107" i="41" s="1"/>
  <c r="L107" i="41"/>
  <c r="BF107" i="41" s="1"/>
  <c r="K107" i="41"/>
  <c r="BE107" i="41" s="1"/>
  <c r="J107" i="41"/>
  <c r="BD107" i="41" s="1"/>
  <c r="I107" i="41"/>
  <c r="BC107" i="41" s="1"/>
  <c r="H107" i="41"/>
  <c r="BB107" i="41" s="1"/>
  <c r="G107" i="41"/>
  <c r="BA107" i="41" s="1"/>
  <c r="M106" i="41"/>
  <c r="BG106" i="41" s="1"/>
  <c r="L106" i="41"/>
  <c r="BF106" i="41" s="1"/>
  <c r="K106" i="41"/>
  <c r="BE106" i="41" s="1"/>
  <c r="J106" i="41"/>
  <c r="BD106" i="41" s="1"/>
  <c r="I106" i="41"/>
  <c r="BC106" i="41" s="1"/>
  <c r="H106" i="41"/>
  <c r="BB106" i="41" s="1"/>
  <c r="G106" i="41"/>
  <c r="BA106" i="41" s="1"/>
  <c r="M105" i="41"/>
  <c r="BG105" i="41" s="1"/>
  <c r="L105" i="41"/>
  <c r="BF105" i="41" s="1"/>
  <c r="K105" i="41"/>
  <c r="BE105" i="41" s="1"/>
  <c r="J105" i="41"/>
  <c r="BD105" i="41" s="1"/>
  <c r="I105" i="41"/>
  <c r="BC105" i="41" s="1"/>
  <c r="H105" i="41"/>
  <c r="BB105" i="41" s="1"/>
  <c r="G105" i="41"/>
  <c r="BA105" i="41" s="1"/>
  <c r="M104" i="41"/>
  <c r="BG104" i="41" s="1"/>
  <c r="L104" i="41"/>
  <c r="BF104" i="41" s="1"/>
  <c r="K104" i="41"/>
  <c r="BE104" i="41" s="1"/>
  <c r="J104" i="41"/>
  <c r="BD104" i="41" s="1"/>
  <c r="I104" i="41"/>
  <c r="BC104" i="41" s="1"/>
  <c r="H104" i="41"/>
  <c r="BB104" i="41" s="1"/>
  <c r="G104" i="41"/>
  <c r="BA104" i="41" s="1"/>
  <c r="M103" i="41"/>
  <c r="BG103" i="41" s="1"/>
  <c r="L103" i="41"/>
  <c r="BF103" i="41" s="1"/>
  <c r="K103" i="41"/>
  <c r="BE103" i="41" s="1"/>
  <c r="J103" i="41"/>
  <c r="BD103" i="41" s="1"/>
  <c r="I103" i="41"/>
  <c r="BC103" i="41" s="1"/>
  <c r="H103" i="41"/>
  <c r="BB103" i="41" s="1"/>
  <c r="G103" i="41"/>
  <c r="BA103" i="41" s="1"/>
  <c r="M102" i="41"/>
  <c r="BG102" i="41" s="1"/>
  <c r="L102" i="41"/>
  <c r="BF102" i="41" s="1"/>
  <c r="K102" i="41"/>
  <c r="BE102" i="41" s="1"/>
  <c r="J102" i="41"/>
  <c r="BD102" i="41" s="1"/>
  <c r="I102" i="41"/>
  <c r="BC102" i="41" s="1"/>
  <c r="H102" i="41"/>
  <c r="BB102" i="41" s="1"/>
  <c r="G102" i="41"/>
  <c r="BA102" i="41" s="1"/>
  <c r="M101" i="41"/>
  <c r="BG101" i="41" s="1"/>
  <c r="L101" i="41"/>
  <c r="BF101" i="41" s="1"/>
  <c r="K101" i="41"/>
  <c r="BE101" i="41" s="1"/>
  <c r="J101" i="41"/>
  <c r="BD101" i="41" s="1"/>
  <c r="I101" i="41"/>
  <c r="BC101" i="41" s="1"/>
  <c r="H101" i="41"/>
  <c r="BB101" i="41" s="1"/>
  <c r="G101" i="41"/>
  <c r="BA101" i="41" s="1"/>
  <c r="M100" i="41"/>
  <c r="BG100" i="41" s="1"/>
  <c r="L100" i="41"/>
  <c r="BF100" i="41" s="1"/>
  <c r="K100" i="41"/>
  <c r="BE100" i="41" s="1"/>
  <c r="J100" i="41"/>
  <c r="BD100" i="41" s="1"/>
  <c r="I100" i="41"/>
  <c r="BC100" i="41" s="1"/>
  <c r="H100" i="41"/>
  <c r="BB100" i="41" s="1"/>
  <c r="G100" i="41"/>
  <c r="BA100" i="41" s="1"/>
  <c r="AL99" i="41"/>
  <c r="AK99" i="41"/>
  <c r="AJ99" i="41"/>
  <c r="AI99" i="41"/>
  <c r="AH99" i="41"/>
  <c r="AG99" i="41"/>
  <c r="AF99" i="41"/>
  <c r="AD99" i="41"/>
  <c r="AC99" i="41"/>
  <c r="AB99" i="41"/>
  <c r="AA99" i="41"/>
  <c r="Z99" i="41"/>
  <c r="Y99" i="41"/>
  <c r="X99" i="41"/>
  <c r="V99" i="41"/>
  <c r="U99" i="41"/>
  <c r="T99" i="41"/>
  <c r="S99" i="41"/>
  <c r="R99" i="41"/>
  <c r="Q99" i="41"/>
  <c r="P99" i="41"/>
  <c r="M97" i="41"/>
  <c r="BG97" i="41" s="1"/>
  <c r="L97" i="41"/>
  <c r="BF97" i="41" s="1"/>
  <c r="K97" i="41"/>
  <c r="BE97" i="41" s="1"/>
  <c r="J97" i="41"/>
  <c r="BD97" i="41" s="1"/>
  <c r="I97" i="41"/>
  <c r="BC97" i="41" s="1"/>
  <c r="H97" i="41"/>
  <c r="BB97" i="41" s="1"/>
  <c r="G97" i="41"/>
  <c r="BA97" i="41" s="1"/>
  <c r="M96" i="41"/>
  <c r="BG96" i="41" s="1"/>
  <c r="L96" i="41"/>
  <c r="BF96" i="41" s="1"/>
  <c r="K96" i="41"/>
  <c r="BE96" i="41" s="1"/>
  <c r="J96" i="41"/>
  <c r="BD96" i="41" s="1"/>
  <c r="I96" i="41"/>
  <c r="BC96" i="41" s="1"/>
  <c r="H96" i="41"/>
  <c r="BB96" i="41" s="1"/>
  <c r="G96" i="41"/>
  <c r="BA96" i="41" s="1"/>
  <c r="M95" i="41"/>
  <c r="BG95" i="41" s="1"/>
  <c r="L95" i="41"/>
  <c r="BF95" i="41" s="1"/>
  <c r="K95" i="41"/>
  <c r="BE95" i="41" s="1"/>
  <c r="J95" i="41"/>
  <c r="BD95" i="41" s="1"/>
  <c r="I95" i="41"/>
  <c r="BC95" i="41" s="1"/>
  <c r="H95" i="41"/>
  <c r="BB95" i="41" s="1"/>
  <c r="G95" i="41"/>
  <c r="BA95" i="41" s="1"/>
  <c r="M94" i="41"/>
  <c r="BG94" i="41" s="1"/>
  <c r="L94" i="41"/>
  <c r="BF94" i="41" s="1"/>
  <c r="K94" i="41"/>
  <c r="BE94" i="41" s="1"/>
  <c r="J94" i="41"/>
  <c r="BD94" i="41" s="1"/>
  <c r="I94" i="41"/>
  <c r="BC94" i="41" s="1"/>
  <c r="H94" i="41"/>
  <c r="BB94" i="41" s="1"/>
  <c r="G94" i="41"/>
  <c r="BA94" i="41" s="1"/>
  <c r="M93" i="41"/>
  <c r="BG93" i="41" s="1"/>
  <c r="L93" i="41"/>
  <c r="BF93" i="41" s="1"/>
  <c r="K93" i="41"/>
  <c r="BE93" i="41" s="1"/>
  <c r="J93" i="41"/>
  <c r="BD93" i="41" s="1"/>
  <c r="I93" i="41"/>
  <c r="BC93" i="41" s="1"/>
  <c r="H93" i="41"/>
  <c r="BB93" i="41" s="1"/>
  <c r="G93" i="41"/>
  <c r="BA93" i="41" s="1"/>
  <c r="M92" i="41"/>
  <c r="BG92" i="41" s="1"/>
  <c r="L92" i="41"/>
  <c r="BF92" i="41" s="1"/>
  <c r="K92" i="41"/>
  <c r="BE92" i="41" s="1"/>
  <c r="J92" i="41"/>
  <c r="BD92" i="41" s="1"/>
  <c r="I92" i="41"/>
  <c r="BC92" i="41" s="1"/>
  <c r="H92" i="41"/>
  <c r="BB92" i="41" s="1"/>
  <c r="G92" i="41"/>
  <c r="BA92" i="41" s="1"/>
  <c r="M91" i="41"/>
  <c r="BG91" i="41" s="1"/>
  <c r="L91" i="41"/>
  <c r="BF91" i="41" s="1"/>
  <c r="K91" i="41"/>
  <c r="BE91" i="41" s="1"/>
  <c r="J91" i="41"/>
  <c r="BD91" i="41" s="1"/>
  <c r="I91" i="41"/>
  <c r="BC91" i="41" s="1"/>
  <c r="H91" i="41"/>
  <c r="BB91" i="41" s="1"/>
  <c r="G91" i="41"/>
  <c r="BA91" i="41" s="1"/>
  <c r="M90" i="41"/>
  <c r="BG90" i="41" s="1"/>
  <c r="L90" i="41"/>
  <c r="BF90" i="41" s="1"/>
  <c r="K90" i="41"/>
  <c r="BE90" i="41" s="1"/>
  <c r="J90" i="41"/>
  <c r="BD90" i="41" s="1"/>
  <c r="I90" i="41"/>
  <c r="BC90" i="41" s="1"/>
  <c r="H90" i="41"/>
  <c r="BB90" i="41" s="1"/>
  <c r="G90" i="41"/>
  <c r="BA90" i="41" s="1"/>
  <c r="M89" i="41"/>
  <c r="BG89" i="41" s="1"/>
  <c r="L89" i="41"/>
  <c r="BF89" i="41" s="1"/>
  <c r="K89" i="41"/>
  <c r="BE89" i="41" s="1"/>
  <c r="J89" i="41"/>
  <c r="BD89" i="41" s="1"/>
  <c r="I89" i="41"/>
  <c r="BC89" i="41" s="1"/>
  <c r="H89" i="41"/>
  <c r="BB89" i="41" s="1"/>
  <c r="G89" i="41"/>
  <c r="BA89" i="41" s="1"/>
  <c r="M88" i="41"/>
  <c r="BG88" i="41" s="1"/>
  <c r="L88" i="41"/>
  <c r="BF88" i="41" s="1"/>
  <c r="K88" i="41"/>
  <c r="BE88" i="41" s="1"/>
  <c r="J88" i="41"/>
  <c r="BD88" i="41" s="1"/>
  <c r="I88" i="41"/>
  <c r="BC88" i="41" s="1"/>
  <c r="H88" i="41"/>
  <c r="BB88" i="41" s="1"/>
  <c r="G88" i="41"/>
  <c r="BA88" i="41" s="1"/>
  <c r="M87" i="41"/>
  <c r="BG87" i="41" s="1"/>
  <c r="L87" i="41"/>
  <c r="BF87" i="41" s="1"/>
  <c r="K87" i="41"/>
  <c r="BE87" i="41" s="1"/>
  <c r="J87" i="41"/>
  <c r="BD87" i="41" s="1"/>
  <c r="I87" i="41"/>
  <c r="BC87" i="41" s="1"/>
  <c r="H87" i="41"/>
  <c r="BB87" i="41" s="1"/>
  <c r="G87" i="41"/>
  <c r="BA87" i="41" s="1"/>
  <c r="M86" i="41"/>
  <c r="BG86" i="41" s="1"/>
  <c r="L86" i="41"/>
  <c r="BF86" i="41" s="1"/>
  <c r="K86" i="41"/>
  <c r="BE86" i="41" s="1"/>
  <c r="J86" i="41"/>
  <c r="BD86" i="41" s="1"/>
  <c r="I86" i="41"/>
  <c r="BC86" i="41" s="1"/>
  <c r="H86" i="41"/>
  <c r="BB86" i="41" s="1"/>
  <c r="G86" i="41"/>
  <c r="BA86" i="41" s="1"/>
  <c r="M85" i="41"/>
  <c r="BG85" i="41" s="1"/>
  <c r="L85" i="41"/>
  <c r="BF85" i="41" s="1"/>
  <c r="K85" i="41"/>
  <c r="BE85" i="41" s="1"/>
  <c r="J85" i="41"/>
  <c r="BD85" i="41" s="1"/>
  <c r="I85" i="41"/>
  <c r="BC85" i="41" s="1"/>
  <c r="H85" i="41"/>
  <c r="BB85" i="41" s="1"/>
  <c r="G85" i="41"/>
  <c r="BA85" i="41" s="1"/>
  <c r="M84" i="41"/>
  <c r="BG84" i="41" s="1"/>
  <c r="L84" i="41"/>
  <c r="BF84" i="41" s="1"/>
  <c r="K84" i="41"/>
  <c r="BE84" i="41" s="1"/>
  <c r="J84" i="41"/>
  <c r="BD84" i="41" s="1"/>
  <c r="I84" i="41"/>
  <c r="BC84" i="41" s="1"/>
  <c r="H84" i="41"/>
  <c r="BB84" i="41" s="1"/>
  <c r="G84" i="41"/>
  <c r="BA84" i="41" s="1"/>
  <c r="M83" i="41"/>
  <c r="BG83" i="41" s="1"/>
  <c r="L83" i="41"/>
  <c r="BF83" i="41" s="1"/>
  <c r="K83" i="41"/>
  <c r="BE83" i="41" s="1"/>
  <c r="J83" i="41"/>
  <c r="BD83" i="41" s="1"/>
  <c r="I83" i="41"/>
  <c r="BC83" i="41" s="1"/>
  <c r="H83" i="41"/>
  <c r="BB83" i="41" s="1"/>
  <c r="G83" i="41"/>
  <c r="BA83" i="41" s="1"/>
  <c r="M82" i="41"/>
  <c r="BG82" i="41" s="1"/>
  <c r="L82" i="41"/>
  <c r="BF82" i="41" s="1"/>
  <c r="K82" i="41"/>
  <c r="BE82" i="41" s="1"/>
  <c r="J82" i="41"/>
  <c r="BD82" i="41" s="1"/>
  <c r="I82" i="41"/>
  <c r="BC82" i="41" s="1"/>
  <c r="H82" i="41"/>
  <c r="BB82" i="41" s="1"/>
  <c r="G82" i="41"/>
  <c r="BA82" i="41" s="1"/>
  <c r="M81" i="41"/>
  <c r="BG81" i="41" s="1"/>
  <c r="L81" i="41"/>
  <c r="BF81" i="41" s="1"/>
  <c r="K81" i="41"/>
  <c r="BE81" i="41" s="1"/>
  <c r="J81" i="41"/>
  <c r="BD81" i="41" s="1"/>
  <c r="I81" i="41"/>
  <c r="BC81" i="41" s="1"/>
  <c r="H81" i="41"/>
  <c r="BB81" i="41" s="1"/>
  <c r="G81" i="41"/>
  <c r="BA81" i="41" s="1"/>
  <c r="M80" i="41"/>
  <c r="BG80" i="41" s="1"/>
  <c r="L80" i="41"/>
  <c r="BF80" i="41" s="1"/>
  <c r="K80" i="41"/>
  <c r="BE80" i="41" s="1"/>
  <c r="J80" i="41"/>
  <c r="BD80" i="41" s="1"/>
  <c r="I80" i="41"/>
  <c r="BC80" i="41" s="1"/>
  <c r="H80" i="41"/>
  <c r="BB80" i="41" s="1"/>
  <c r="G80" i="41"/>
  <c r="BA80" i="41" s="1"/>
  <c r="M79" i="41"/>
  <c r="BG79" i="41" s="1"/>
  <c r="L79" i="41"/>
  <c r="BF79" i="41" s="1"/>
  <c r="K79" i="41"/>
  <c r="BE79" i="41" s="1"/>
  <c r="J79" i="41"/>
  <c r="BD79" i="41" s="1"/>
  <c r="I79" i="41"/>
  <c r="BC79" i="41" s="1"/>
  <c r="H79" i="41"/>
  <c r="BB79" i="41" s="1"/>
  <c r="G79" i="41"/>
  <c r="BA79" i="41" s="1"/>
  <c r="M78" i="41"/>
  <c r="BG78" i="41" s="1"/>
  <c r="L78" i="41"/>
  <c r="BF78" i="41" s="1"/>
  <c r="K78" i="41"/>
  <c r="BE78" i="41" s="1"/>
  <c r="J78" i="41"/>
  <c r="BD78" i="41" s="1"/>
  <c r="I78" i="41"/>
  <c r="BC78" i="41" s="1"/>
  <c r="H78" i="41"/>
  <c r="BB78" i="41" s="1"/>
  <c r="G78" i="41"/>
  <c r="BA78" i="41" s="1"/>
  <c r="M77" i="41"/>
  <c r="BG77" i="41" s="1"/>
  <c r="L77" i="41"/>
  <c r="BF77" i="41" s="1"/>
  <c r="K77" i="41"/>
  <c r="BE77" i="41" s="1"/>
  <c r="J77" i="41"/>
  <c r="BD77" i="41" s="1"/>
  <c r="I77" i="41"/>
  <c r="BC77" i="41" s="1"/>
  <c r="H77" i="41"/>
  <c r="BB77" i="41" s="1"/>
  <c r="G77" i="41"/>
  <c r="BA77" i="41" s="1"/>
  <c r="M76" i="41"/>
  <c r="BG76" i="41" s="1"/>
  <c r="L76" i="41"/>
  <c r="BF76" i="41" s="1"/>
  <c r="K76" i="41"/>
  <c r="BE76" i="41" s="1"/>
  <c r="J76" i="41"/>
  <c r="BD76" i="41" s="1"/>
  <c r="I76" i="41"/>
  <c r="BC76" i="41" s="1"/>
  <c r="H76" i="41"/>
  <c r="BB76" i="41" s="1"/>
  <c r="G76" i="41"/>
  <c r="BA76" i="41" s="1"/>
  <c r="M75" i="41"/>
  <c r="BG75" i="41" s="1"/>
  <c r="L75" i="41"/>
  <c r="BF75" i="41" s="1"/>
  <c r="K75" i="41"/>
  <c r="BE75" i="41" s="1"/>
  <c r="J75" i="41"/>
  <c r="BD75" i="41" s="1"/>
  <c r="I75" i="41"/>
  <c r="BC75" i="41" s="1"/>
  <c r="H75" i="41"/>
  <c r="BB75" i="41" s="1"/>
  <c r="G75" i="41"/>
  <c r="BA75" i="41" s="1"/>
  <c r="M74" i="41"/>
  <c r="BG74" i="41" s="1"/>
  <c r="L74" i="41"/>
  <c r="BF74" i="41" s="1"/>
  <c r="K74" i="41"/>
  <c r="BE74" i="41" s="1"/>
  <c r="J74" i="41"/>
  <c r="BD74" i="41" s="1"/>
  <c r="I74" i="41"/>
  <c r="BC74" i="41" s="1"/>
  <c r="H74" i="41"/>
  <c r="BB74" i="41" s="1"/>
  <c r="G74" i="41"/>
  <c r="BA74" i="41" s="1"/>
  <c r="AL73" i="41"/>
  <c r="AK73" i="41"/>
  <c r="AJ73" i="41"/>
  <c r="AI73" i="41"/>
  <c r="AH73" i="41"/>
  <c r="AG73" i="41"/>
  <c r="AF73" i="41"/>
  <c r="AD73" i="41"/>
  <c r="AC73" i="41"/>
  <c r="AB73" i="41"/>
  <c r="AA73" i="41"/>
  <c r="Z73" i="41"/>
  <c r="Y73" i="41"/>
  <c r="X73" i="41"/>
  <c r="V73" i="41"/>
  <c r="U73" i="41"/>
  <c r="T73" i="41"/>
  <c r="S73" i="41"/>
  <c r="R73" i="41"/>
  <c r="Q73" i="41"/>
  <c r="P73" i="41"/>
  <c r="M71" i="41"/>
  <c r="BG71" i="41" s="1"/>
  <c r="L71" i="41"/>
  <c r="BF71" i="41" s="1"/>
  <c r="K71" i="41"/>
  <c r="BE71" i="41" s="1"/>
  <c r="J71" i="41"/>
  <c r="BD71" i="41" s="1"/>
  <c r="I71" i="41"/>
  <c r="BC71" i="41" s="1"/>
  <c r="H71" i="41"/>
  <c r="BB71" i="41" s="1"/>
  <c r="G71" i="41"/>
  <c r="BA71" i="41" s="1"/>
  <c r="M70" i="41"/>
  <c r="L70" i="41"/>
  <c r="K70" i="41"/>
  <c r="J70" i="41"/>
  <c r="I70" i="41"/>
  <c r="H70" i="41"/>
  <c r="BB70" i="41" s="1"/>
  <c r="G70" i="41"/>
  <c r="BA70" i="41" s="1"/>
  <c r="M69" i="41"/>
  <c r="L69" i="41"/>
  <c r="K69" i="41"/>
  <c r="J69" i="41"/>
  <c r="I69" i="41"/>
  <c r="H69" i="41"/>
  <c r="BB69" i="41" s="1"/>
  <c r="G69" i="41"/>
  <c r="BA69" i="41" s="1"/>
  <c r="M68" i="41"/>
  <c r="BG68" i="41" s="1"/>
  <c r="L68" i="41"/>
  <c r="BF68" i="41" s="1"/>
  <c r="K68" i="41"/>
  <c r="BE68" i="41" s="1"/>
  <c r="J68" i="41"/>
  <c r="BD68" i="41" s="1"/>
  <c r="I68" i="41"/>
  <c r="BC68" i="41" s="1"/>
  <c r="H68" i="41"/>
  <c r="BB68" i="41" s="1"/>
  <c r="G68" i="41"/>
  <c r="BA68" i="41" s="1"/>
  <c r="M67" i="41"/>
  <c r="BG67" i="41" s="1"/>
  <c r="L67" i="41"/>
  <c r="BF67" i="41" s="1"/>
  <c r="K67" i="41"/>
  <c r="BE67" i="41" s="1"/>
  <c r="J67" i="41"/>
  <c r="BD67" i="41" s="1"/>
  <c r="I67" i="41"/>
  <c r="BC67" i="41" s="1"/>
  <c r="H67" i="41"/>
  <c r="BB67" i="41" s="1"/>
  <c r="G67" i="41"/>
  <c r="BA67" i="41" s="1"/>
  <c r="M66" i="41"/>
  <c r="BG66" i="41" s="1"/>
  <c r="L66" i="41"/>
  <c r="BF66" i="41" s="1"/>
  <c r="K66" i="41"/>
  <c r="BE66" i="41" s="1"/>
  <c r="J66" i="41"/>
  <c r="BD66" i="41" s="1"/>
  <c r="I66" i="41"/>
  <c r="BC66" i="41" s="1"/>
  <c r="H66" i="41"/>
  <c r="BB66" i="41" s="1"/>
  <c r="G66" i="41"/>
  <c r="BA66" i="41" s="1"/>
  <c r="M65" i="41"/>
  <c r="BG65" i="41" s="1"/>
  <c r="L65" i="41"/>
  <c r="BF65" i="41" s="1"/>
  <c r="K65" i="41"/>
  <c r="BE65" i="41" s="1"/>
  <c r="J65" i="41"/>
  <c r="BD65" i="41" s="1"/>
  <c r="I65" i="41"/>
  <c r="BC65" i="41" s="1"/>
  <c r="H65" i="41"/>
  <c r="BB65" i="41" s="1"/>
  <c r="G65" i="41"/>
  <c r="BA65" i="41" s="1"/>
  <c r="M64" i="41"/>
  <c r="BG64" i="41" s="1"/>
  <c r="L64" i="41"/>
  <c r="BF64" i="41" s="1"/>
  <c r="K64" i="41"/>
  <c r="BE64" i="41" s="1"/>
  <c r="J64" i="41"/>
  <c r="BD64" i="41" s="1"/>
  <c r="I64" i="41"/>
  <c r="BC64" i="41" s="1"/>
  <c r="H64" i="41"/>
  <c r="BB64" i="41" s="1"/>
  <c r="G64" i="41"/>
  <c r="BA64" i="41" s="1"/>
  <c r="M63" i="41"/>
  <c r="BG63" i="41" s="1"/>
  <c r="L63" i="41"/>
  <c r="BF63" i="41" s="1"/>
  <c r="K63" i="41"/>
  <c r="BE63" i="41" s="1"/>
  <c r="J63" i="41"/>
  <c r="BD63" i="41" s="1"/>
  <c r="I63" i="41"/>
  <c r="BC63" i="41" s="1"/>
  <c r="H63" i="41"/>
  <c r="BB63" i="41" s="1"/>
  <c r="G63" i="41"/>
  <c r="BA63" i="41" s="1"/>
  <c r="M62" i="41"/>
  <c r="BG62" i="41" s="1"/>
  <c r="L62" i="41"/>
  <c r="BF62" i="41" s="1"/>
  <c r="K62" i="41"/>
  <c r="BE62" i="41" s="1"/>
  <c r="J62" i="41"/>
  <c r="BD62" i="41" s="1"/>
  <c r="I62" i="41"/>
  <c r="BC62" i="41" s="1"/>
  <c r="H62" i="41"/>
  <c r="BB62" i="41" s="1"/>
  <c r="G62" i="41"/>
  <c r="BA62" i="41" s="1"/>
  <c r="M61" i="41"/>
  <c r="BG61" i="41" s="1"/>
  <c r="L61" i="41"/>
  <c r="BF61" i="41" s="1"/>
  <c r="K61" i="41"/>
  <c r="BE61" i="41" s="1"/>
  <c r="J61" i="41"/>
  <c r="BD61" i="41" s="1"/>
  <c r="I61" i="41"/>
  <c r="BC61" i="41" s="1"/>
  <c r="H61" i="41"/>
  <c r="BB61" i="41" s="1"/>
  <c r="G61" i="41"/>
  <c r="BA61" i="41" s="1"/>
  <c r="AL60" i="41"/>
  <c r="CF60" i="41" s="1"/>
  <c r="AK60" i="41"/>
  <c r="CE60" i="41" s="1"/>
  <c r="AJ60" i="41"/>
  <c r="CD60" i="41" s="1"/>
  <c r="AI60" i="41"/>
  <c r="CC60" i="41" s="1"/>
  <c r="AH60" i="41"/>
  <c r="CB60" i="41" s="1"/>
  <c r="AG60" i="41"/>
  <c r="CA60" i="41" s="1"/>
  <c r="AF60" i="41"/>
  <c r="BZ60" i="41" s="1"/>
  <c r="AD60" i="41"/>
  <c r="BX60" i="41" s="1"/>
  <c r="AC60" i="41"/>
  <c r="BW60" i="41" s="1"/>
  <c r="AB60" i="41"/>
  <c r="BV60" i="41" s="1"/>
  <c r="AA60" i="41"/>
  <c r="BU60" i="41" s="1"/>
  <c r="Z60" i="41"/>
  <c r="BT60" i="41" s="1"/>
  <c r="Y60" i="41"/>
  <c r="BS60" i="41" s="1"/>
  <c r="X60" i="41"/>
  <c r="BR60" i="41" s="1"/>
  <c r="V60" i="41"/>
  <c r="BP60" i="41" s="1"/>
  <c r="U60" i="41"/>
  <c r="BO60" i="41" s="1"/>
  <c r="T60" i="41"/>
  <c r="BN60" i="41" s="1"/>
  <c r="S60" i="41"/>
  <c r="BM60" i="41" s="1"/>
  <c r="R60" i="41"/>
  <c r="BL60" i="41" s="1"/>
  <c r="Q60" i="41"/>
  <c r="BK60" i="41" s="1"/>
  <c r="P60" i="41"/>
  <c r="BJ60" i="41" s="1"/>
  <c r="M59" i="41"/>
  <c r="BG59" i="41" s="1"/>
  <c r="L59" i="41"/>
  <c r="BF59" i="41" s="1"/>
  <c r="K59" i="41"/>
  <c r="BE59" i="41" s="1"/>
  <c r="J59" i="41"/>
  <c r="BD59" i="41" s="1"/>
  <c r="I59" i="41"/>
  <c r="BC59" i="41" s="1"/>
  <c r="H59" i="41"/>
  <c r="BB59" i="41" s="1"/>
  <c r="G59" i="41"/>
  <c r="BA59" i="41" s="1"/>
  <c r="M58" i="41"/>
  <c r="BG58" i="41" s="1"/>
  <c r="L58" i="41"/>
  <c r="BF58" i="41" s="1"/>
  <c r="K58" i="41"/>
  <c r="BE58" i="41" s="1"/>
  <c r="J58" i="41"/>
  <c r="BD58" i="41" s="1"/>
  <c r="I58" i="41"/>
  <c r="BC58" i="41" s="1"/>
  <c r="H58" i="41"/>
  <c r="BB58" i="41" s="1"/>
  <c r="G58" i="41"/>
  <c r="BA58" i="41" s="1"/>
  <c r="AL57" i="41"/>
  <c r="CF57" i="41" s="1"/>
  <c r="AK57" i="41"/>
  <c r="CE57" i="41" s="1"/>
  <c r="AJ57" i="41"/>
  <c r="CD57" i="41" s="1"/>
  <c r="AI57" i="41"/>
  <c r="CC57" i="41" s="1"/>
  <c r="AH57" i="41"/>
  <c r="CB57" i="41" s="1"/>
  <c r="AG57" i="41"/>
  <c r="CA57" i="41" s="1"/>
  <c r="AF57" i="41"/>
  <c r="BZ57" i="41" s="1"/>
  <c r="AD57" i="41"/>
  <c r="BX57" i="41" s="1"/>
  <c r="AC57" i="41"/>
  <c r="BW57" i="41" s="1"/>
  <c r="AB57" i="41"/>
  <c r="BV57" i="41" s="1"/>
  <c r="AA57" i="41"/>
  <c r="BU57" i="41" s="1"/>
  <c r="Z57" i="41"/>
  <c r="BT57" i="41" s="1"/>
  <c r="Y57" i="41"/>
  <c r="BS57" i="41" s="1"/>
  <c r="X57" i="41"/>
  <c r="BR57" i="41" s="1"/>
  <c r="V57" i="41"/>
  <c r="BP57" i="41" s="1"/>
  <c r="U57" i="41"/>
  <c r="BO57" i="41" s="1"/>
  <c r="T57" i="41"/>
  <c r="BN57" i="41" s="1"/>
  <c r="S57" i="41"/>
  <c r="BM57" i="41" s="1"/>
  <c r="R57" i="41"/>
  <c r="BL57" i="41" s="1"/>
  <c r="Q57" i="41"/>
  <c r="BK57" i="41" s="1"/>
  <c r="P57" i="41"/>
  <c r="BJ57" i="41" s="1"/>
  <c r="M56" i="41"/>
  <c r="BG56" i="41" s="1"/>
  <c r="L56" i="41"/>
  <c r="BF56" i="41" s="1"/>
  <c r="K56" i="41"/>
  <c r="BE56" i="41" s="1"/>
  <c r="J56" i="41"/>
  <c r="BD56" i="41" s="1"/>
  <c r="I56" i="41"/>
  <c r="BC56" i="41" s="1"/>
  <c r="H56" i="41"/>
  <c r="BB56" i="41" s="1"/>
  <c r="G56" i="41"/>
  <c r="BA56" i="41" s="1"/>
  <c r="M55" i="41"/>
  <c r="BG55" i="41" s="1"/>
  <c r="L55" i="41"/>
  <c r="BF55" i="41" s="1"/>
  <c r="K55" i="41"/>
  <c r="BE55" i="41" s="1"/>
  <c r="J55" i="41"/>
  <c r="BD55" i="41" s="1"/>
  <c r="I55" i="41"/>
  <c r="BC55" i="41" s="1"/>
  <c r="H55" i="41"/>
  <c r="BB55" i="41" s="1"/>
  <c r="G55" i="41"/>
  <c r="BA55" i="41" s="1"/>
  <c r="M54" i="41"/>
  <c r="BG54" i="41" s="1"/>
  <c r="L54" i="41"/>
  <c r="BF54" i="41" s="1"/>
  <c r="K54" i="41"/>
  <c r="BE54" i="41" s="1"/>
  <c r="J54" i="41"/>
  <c r="BD54" i="41" s="1"/>
  <c r="I54" i="41"/>
  <c r="BC54" i="41" s="1"/>
  <c r="H54" i="41"/>
  <c r="BB54" i="41" s="1"/>
  <c r="G54" i="41"/>
  <c r="BA54" i="41" s="1"/>
  <c r="M53" i="41"/>
  <c r="BG53" i="41" s="1"/>
  <c r="L53" i="41"/>
  <c r="BF53" i="41" s="1"/>
  <c r="K53" i="41"/>
  <c r="BE53" i="41" s="1"/>
  <c r="J53" i="41"/>
  <c r="BD53" i="41" s="1"/>
  <c r="I53" i="41"/>
  <c r="BC53" i="41" s="1"/>
  <c r="H53" i="41"/>
  <c r="BB53" i="41" s="1"/>
  <c r="G53" i="41"/>
  <c r="BA53" i="41" s="1"/>
  <c r="M52" i="41"/>
  <c r="BG52" i="41" s="1"/>
  <c r="L52" i="41"/>
  <c r="BF52" i="41" s="1"/>
  <c r="K52" i="41"/>
  <c r="BE52" i="41" s="1"/>
  <c r="J52" i="41"/>
  <c r="BD52" i="41" s="1"/>
  <c r="I52" i="41"/>
  <c r="BC52" i="41" s="1"/>
  <c r="H52" i="41"/>
  <c r="BB52" i="41" s="1"/>
  <c r="G52" i="41"/>
  <c r="BA52" i="41" s="1"/>
  <c r="M51" i="41"/>
  <c r="L51" i="41"/>
  <c r="K51" i="41"/>
  <c r="J51" i="41"/>
  <c r="BD51" i="41" s="1"/>
  <c r="K70" i="85" s="1"/>
  <c r="I51" i="41"/>
  <c r="H51" i="41"/>
  <c r="BB51" i="41" s="1"/>
  <c r="G51" i="41"/>
  <c r="BA51" i="41" s="1"/>
  <c r="M50" i="41"/>
  <c r="BG50" i="41" s="1"/>
  <c r="L50" i="41"/>
  <c r="BF50" i="41" s="1"/>
  <c r="K50" i="41"/>
  <c r="BE50" i="41" s="1"/>
  <c r="J50" i="41"/>
  <c r="BD50" i="41" s="1"/>
  <c r="I50" i="41"/>
  <c r="BC50" i="41" s="1"/>
  <c r="H50" i="41"/>
  <c r="BB50" i="41" s="1"/>
  <c r="G50" i="41"/>
  <c r="BA50" i="41" s="1"/>
  <c r="M49" i="41"/>
  <c r="L49" i="41"/>
  <c r="K49" i="41"/>
  <c r="J49" i="41"/>
  <c r="I49" i="41"/>
  <c r="H49" i="41"/>
  <c r="BB49" i="41" s="1"/>
  <c r="G49" i="41"/>
  <c r="BA49" i="41" s="1"/>
  <c r="AL48" i="41"/>
  <c r="CF48" i="41" s="1"/>
  <c r="AK48" i="41"/>
  <c r="CE48" i="41" s="1"/>
  <c r="AJ48" i="41"/>
  <c r="CD48" i="41" s="1"/>
  <c r="AI48" i="41"/>
  <c r="CC48" i="41" s="1"/>
  <c r="AH48" i="41"/>
  <c r="CB48" i="41" s="1"/>
  <c r="AG48" i="41"/>
  <c r="CA48" i="41" s="1"/>
  <c r="AF48" i="41"/>
  <c r="BZ48" i="41" s="1"/>
  <c r="AD48" i="41"/>
  <c r="BX48" i="41" s="1"/>
  <c r="AC48" i="41"/>
  <c r="BW48" i="41" s="1"/>
  <c r="AB48" i="41"/>
  <c r="BV48" i="41" s="1"/>
  <c r="AA48" i="41"/>
  <c r="BU48" i="41" s="1"/>
  <c r="Z48" i="41"/>
  <c r="BT48" i="41" s="1"/>
  <c r="Y48" i="41"/>
  <c r="BS48" i="41" s="1"/>
  <c r="X48" i="41"/>
  <c r="BR48" i="41" s="1"/>
  <c r="V48" i="41"/>
  <c r="BP48" i="41" s="1"/>
  <c r="U48" i="41"/>
  <c r="BO48" i="41" s="1"/>
  <c r="T48" i="41"/>
  <c r="BN48" i="41" s="1"/>
  <c r="S48" i="41"/>
  <c r="BM48" i="41" s="1"/>
  <c r="R48" i="41"/>
  <c r="BL48" i="41" s="1"/>
  <c r="Q48" i="41"/>
  <c r="BK48" i="41" s="1"/>
  <c r="P48" i="41"/>
  <c r="BJ48" i="41" s="1"/>
  <c r="M47" i="41"/>
  <c r="BG47" i="41" s="1"/>
  <c r="L47" i="41"/>
  <c r="BF47" i="41" s="1"/>
  <c r="K47" i="41"/>
  <c r="BE47" i="41" s="1"/>
  <c r="J47" i="41"/>
  <c r="BD47" i="41" s="1"/>
  <c r="I47" i="41"/>
  <c r="BC47" i="41" s="1"/>
  <c r="H47" i="41"/>
  <c r="BB47" i="41" s="1"/>
  <c r="G47" i="41"/>
  <c r="BA47" i="41" s="1"/>
  <c r="M46" i="41"/>
  <c r="BG46" i="41" s="1"/>
  <c r="L46" i="41"/>
  <c r="BF46" i="41" s="1"/>
  <c r="K46" i="41"/>
  <c r="BE46" i="41" s="1"/>
  <c r="J46" i="41"/>
  <c r="BD46" i="41" s="1"/>
  <c r="I46" i="41"/>
  <c r="BC46" i="41" s="1"/>
  <c r="H46" i="41"/>
  <c r="BB46" i="41" s="1"/>
  <c r="G46" i="41"/>
  <c r="BA46" i="41" s="1"/>
  <c r="M45" i="41"/>
  <c r="BG45" i="41" s="1"/>
  <c r="L45" i="41"/>
  <c r="BF45" i="41" s="1"/>
  <c r="K45" i="41"/>
  <c r="BE45" i="41" s="1"/>
  <c r="J45" i="41"/>
  <c r="BD45" i="41" s="1"/>
  <c r="I45" i="41"/>
  <c r="BC45" i="41" s="1"/>
  <c r="H45" i="41"/>
  <c r="BB45" i="41" s="1"/>
  <c r="G45" i="41"/>
  <c r="BA45" i="41" s="1"/>
  <c r="M44" i="41"/>
  <c r="BG44" i="41" s="1"/>
  <c r="L44" i="41"/>
  <c r="BF44" i="41" s="1"/>
  <c r="K44" i="41"/>
  <c r="BE44" i="41" s="1"/>
  <c r="J44" i="41"/>
  <c r="BD44" i="41" s="1"/>
  <c r="I44" i="41"/>
  <c r="BC44" i="41" s="1"/>
  <c r="H44" i="41"/>
  <c r="BB44" i="41" s="1"/>
  <c r="G44" i="41"/>
  <c r="BA44" i="41" s="1"/>
  <c r="M43" i="41"/>
  <c r="BG43" i="41" s="1"/>
  <c r="L43" i="41"/>
  <c r="BF43" i="41" s="1"/>
  <c r="K43" i="41"/>
  <c r="BE43" i="41" s="1"/>
  <c r="J43" i="41"/>
  <c r="BD43" i="41" s="1"/>
  <c r="I43" i="41"/>
  <c r="BC43" i="41" s="1"/>
  <c r="H43" i="41"/>
  <c r="BB43" i="41" s="1"/>
  <c r="G43" i="41"/>
  <c r="BA43" i="41" s="1"/>
  <c r="M42" i="41"/>
  <c r="L42" i="41"/>
  <c r="K42" i="41"/>
  <c r="J42" i="41"/>
  <c r="I42" i="41"/>
  <c r="H42" i="41"/>
  <c r="BB42" i="41" s="1"/>
  <c r="G42" i="41"/>
  <c r="BA42" i="41" s="1"/>
  <c r="M41" i="41"/>
  <c r="L41" i="41"/>
  <c r="K41" i="41"/>
  <c r="J41" i="41"/>
  <c r="I41" i="41"/>
  <c r="H41" i="41"/>
  <c r="BB41" i="41" s="1"/>
  <c r="G41" i="41"/>
  <c r="BA41" i="41" s="1"/>
  <c r="M40" i="41"/>
  <c r="L40" i="41"/>
  <c r="K40" i="41"/>
  <c r="J40" i="41"/>
  <c r="BD40" i="41" s="1"/>
  <c r="K63" i="85" s="1"/>
  <c r="I40" i="41"/>
  <c r="H40" i="41"/>
  <c r="BB40" i="41" s="1"/>
  <c r="G40" i="41"/>
  <c r="BA40" i="41" s="1"/>
  <c r="M39" i="41"/>
  <c r="BG39" i="41" s="1"/>
  <c r="N62" i="85" s="1"/>
  <c r="L39" i="41"/>
  <c r="K39" i="41"/>
  <c r="J39" i="41"/>
  <c r="I39" i="41"/>
  <c r="BC39" i="41" s="1"/>
  <c r="J62" i="85" s="1"/>
  <c r="H39" i="41"/>
  <c r="BB39" i="41" s="1"/>
  <c r="G39" i="41"/>
  <c r="BA39" i="41" s="1"/>
  <c r="M38" i="41"/>
  <c r="L38" i="41"/>
  <c r="BF38" i="41" s="1"/>
  <c r="M61" i="85" s="1"/>
  <c r="K38" i="41"/>
  <c r="J38" i="41"/>
  <c r="I38" i="41"/>
  <c r="H38" i="41"/>
  <c r="BB38" i="41" s="1"/>
  <c r="G38" i="41"/>
  <c r="BA38" i="41" s="1"/>
  <c r="M37" i="41"/>
  <c r="L37" i="41"/>
  <c r="K37" i="41"/>
  <c r="BE37" i="41" s="1"/>
  <c r="L60" i="85" s="1"/>
  <c r="J37" i="41"/>
  <c r="I37" i="41"/>
  <c r="H37" i="41"/>
  <c r="BB37" i="41" s="1"/>
  <c r="G37" i="41"/>
  <c r="BA37" i="41" s="1"/>
  <c r="AL36" i="41"/>
  <c r="CF36" i="41" s="1"/>
  <c r="AK36" i="41"/>
  <c r="CE36" i="41" s="1"/>
  <c r="AJ36" i="41"/>
  <c r="CD36" i="41" s="1"/>
  <c r="AI36" i="41"/>
  <c r="CC36" i="41" s="1"/>
  <c r="AH36" i="41"/>
  <c r="CB36" i="41" s="1"/>
  <c r="AG36" i="41"/>
  <c r="CA36" i="41" s="1"/>
  <c r="AF36" i="41"/>
  <c r="BZ36" i="41" s="1"/>
  <c r="AD36" i="41"/>
  <c r="BX36" i="41" s="1"/>
  <c r="AC36" i="41"/>
  <c r="BW36" i="41" s="1"/>
  <c r="AB36" i="41"/>
  <c r="BV36" i="41" s="1"/>
  <c r="AA36" i="41"/>
  <c r="BU36" i="41" s="1"/>
  <c r="Z36" i="41"/>
  <c r="BT36" i="41" s="1"/>
  <c r="Y36" i="41"/>
  <c r="BS36" i="41" s="1"/>
  <c r="X36" i="41"/>
  <c r="BR36" i="41" s="1"/>
  <c r="V36" i="41"/>
  <c r="BP36" i="41" s="1"/>
  <c r="U36" i="41"/>
  <c r="BO36" i="41" s="1"/>
  <c r="T36" i="41"/>
  <c r="BN36" i="41" s="1"/>
  <c r="S36" i="41"/>
  <c r="BM36" i="41" s="1"/>
  <c r="R36" i="41"/>
  <c r="BL36" i="41" s="1"/>
  <c r="Q36" i="41"/>
  <c r="BK36" i="41" s="1"/>
  <c r="P36" i="41"/>
  <c r="BJ36" i="41" s="1"/>
  <c r="M35" i="41"/>
  <c r="BG35" i="41" s="1"/>
  <c r="L35" i="41"/>
  <c r="BF35" i="41" s="1"/>
  <c r="K35" i="41"/>
  <c r="BE35" i="41" s="1"/>
  <c r="J35" i="41"/>
  <c r="BD35" i="41" s="1"/>
  <c r="I35" i="41"/>
  <c r="BC35" i="41" s="1"/>
  <c r="H35" i="41"/>
  <c r="BB35" i="41" s="1"/>
  <c r="G35" i="41"/>
  <c r="BA35" i="41" s="1"/>
  <c r="M34" i="41"/>
  <c r="BG34" i="41" s="1"/>
  <c r="L34" i="41"/>
  <c r="BF34" i="41" s="1"/>
  <c r="K34" i="41"/>
  <c r="BE34" i="41" s="1"/>
  <c r="J34" i="41"/>
  <c r="BD34" i="41" s="1"/>
  <c r="I34" i="41"/>
  <c r="BC34" i="41" s="1"/>
  <c r="H34" i="41"/>
  <c r="BB34" i="41" s="1"/>
  <c r="G34" i="41"/>
  <c r="BA34" i="41" s="1"/>
  <c r="M33" i="41"/>
  <c r="BG33" i="41" s="1"/>
  <c r="L33" i="41"/>
  <c r="BF33" i="41" s="1"/>
  <c r="K33" i="41"/>
  <c r="BE33" i="41" s="1"/>
  <c r="J33" i="41"/>
  <c r="BD33" i="41" s="1"/>
  <c r="I33" i="41"/>
  <c r="BC33" i="41" s="1"/>
  <c r="H33" i="41"/>
  <c r="BB33" i="41" s="1"/>
  <c r="G33" i="41"/>
  <c r="BA33" i="41" s="1"/>
  <c r="M32" i="41"/>
  <c r="BG32" i="41" s="1"/>
  <c r="L32" i="41"/>
  <c r="BF32" i="41" s="1"/>
  <c r="K32" i="41"/>
  <c r="BE32" i="41" s="1"/>
  <c r="J32" i="41"/>
  <c r="BD32" i="41" s="1"/>
  <c r="I32" i="41"/>
  <c r="BC32" i="41" s="1"/>
  <c r="H32" i="41"/>
  <c r="BB32" i="41" s="1"/>
  <c r="G32" i="41"/>
  <c r="BA32" i="41" s="1"/>
  <c r="M31" i="41"/>
  <c r="BG31" i="41" s="1"/>
  <c r="L31" i="41"/>
  <c r="BF31" i="41" s="1"/>
  <c r="K31" i="41"/>
  <c r="BE31" i="41" s="1"/>
  <c r="J31" i="41"/>
  <c r="BD31" i="41" s="1"/>
  <c r="I31" i="41"/>
  <c r="BC31" i="41" s="1"/>
  <c r="H31" i="41"/>
  <c r="BB31" i="41" s="1"/>
  <c r="G31" i="41"/>
  <c r="BA31" i="41" s="1"/>
  <c r="M30" i="41"/>
  <c r="BG30" i="41" s="1"/>
  <c r="L30" i="41"/>
  <c r="BF30" i="41" s="1"/>
  <c r="K30" i="41"/>
  <c r="BE30" i="41" s="1"/>
  <c r="J30" i="41"/>
  <c r="BD30" i="41" s="1"/>
  <c r="I30" i="41"/>
  <c r="BC30" i="41" s="1"/>
  <c r="H30" i="41"/>
  <c r="BB30" i="41" s="1"/>
  <c r="G30" i="41"/>
  <c r="BA30" i="41" s="1"/>
  <c r="M29" i="41"/>
  <c r="L29" i="41"/>
  <c r="K29" i="41"/>
  <c r="J29" i="41"/>
  <c r="I29" i="41"/>
  <c r="H29" i="41"/>
  <c r="BB29" i="41" s="1"/>
  <c r="G29" i="41"/>
  <c r="BA29" i="41" s="1"/>
  <c r="M28" i="41"/>
  <c r="BG28" i="41" s="1"/>
  <c r="L28" i="41"/>
  <c r="BF28" i="41" s="1"/>
  <c r="K28" i="41"/>
  <c r="BE28" i="41" s="1"/>
  <c r="J28" i="41"/>
  <c r="BD28" i="41" s="1"/>
  <c r="I28" i="41"/>
  <c r="BC28" i="41" s="1"/>
  <c r="H28" i="41"/>
  <c r="BB28" i="41" s="1"/>
  <c r="G28" i="41"/>
  <c r="BA28" i="41" s="1"/>
  <c r="M27" i="41"/>
  <c r="BG27" i="41" s="1"/>
  <c r="L27" i="41"/>
  <c r="BF27" i="41" s="1"/>
  <c r="K27" i="41"/>
  <c r="BE27" i="41" s="1"/>
  <c r="J27" i="41"/>
  <c r="BD27" i="41" s="1"/>
  <c r="I27" i="41"/>
  <c r="BC27" i="41" s="1"/>
  <c r="H27" i="41"/>
  <c r="BB27" i="41" s="1"/>
  <c r="G27" i="41"/>
  <c r="BA27" i="41" s="1"/>
  <c r="M26" i="41"/>
  <c r="BG26" i="41" s="1"/>
  <c r="L26" i="41"/>
  <c r="BF26" i="41" s="1"/>
  <c r="K26" i="41"/>
  <c r="BE26" i="41" s="1"/>
  <c r="J26" i="41"/>
  <c r="BD26" i="41" s="1"/>
  <c r="I26" i="41"/>
  <c r="BC26" i="41" s="1"/>
  <c r="H26" i="41"/>
  <c r="BB26" i="41" s="1"/>
  <c r="G26" i="41"/>
  <c r="BA26" i="41" s="1"/>
  <c r="M25" i="41"/>
  <c r="BG25" i="41" s="1"/>
  <c r="L25" i="41"/>
  <c r="BF25" i="41" s="1"/>
  <c r="K25" i="41"/>
  <c r="BE25" i="41" s="1"/>
  <c r="J25" i="41"/>
  <c r="BD25" i="41" s="1"/>
  <c r="I25" i="41"/>
  <c r="BC25" i="41" s="1"/>
  <c r="H25" i="41"/>
  <c r="BB25" i="41" s="1"/>
  <c r="G25" i="41"/>
  <c r="BA25" i="41" s="1"/>
  <c r="M24" i="41"/>
  <c r="BG24" i="41" s="1"/>
  <c r="L24" i="41"/>
  <c r="BF24" i="41" s="1"/>
  <c r="K24" i="41"/>
  <c r="BE24" i="41" s="1"/>
  <c r="J24" i="41"/>
  <c r="BD24" i="41" s="1"/>
  <c r="I24" i="41"/>
  <c r="BC24" i="41" s="1"/>
  <c r="H24" i="41"/>
  <c r="BB24" i="41" s="1"/>
  <c r="G24" i="41"/>
  <c r="BA24" i="41" s="1"/>
  <c r="M23" i="41"/>
  <c r="BG23" i="41" s="1"/>
  <c r="L23" i="41"/>
  <c r="BF23" i="41" s="1"/>
  <c r="K23" i="41"/>
  <c r="BE23" i="41" s="1"/>
  <c r="J23" i="41"/>
  <c r="BD23" i="41" s="1"/>
  <c r="I23" i="41"/>
  <c r="BC23" i="41" s="1"/>
  <c r="H23" i="41"/>
  <c r="BB23" i="41" s="1"/>
  <c r="G23" i="41"/>
  <c r="BA23" i="41" s="1"/>
  <c r="M22" i="41"/>
  <c r="L22" i="41"/>
  <c r="K22" i="41"/>
  <c r="J22" i="41"/>
  <c r="I22" i="41"/>
  <c r="H22" i="41"/>
  <c r="BB22" i="41" s="1"/>
  <c r="G22" i="41"/>
  <c r="BA22" i="41" s="1"/>
  <c r="M21" i="41"/>
  <c r="BG21" i="41" s="1"/>
  <c r="L21" i="41"/>
  <c r="BF21" i="41" s="1"/>
  <c r="K21" i="41"/>
  <c r="BE21" i="41" s="1"/>
  <c r="J21" i="41"/>
  <c r="BD21" i="41" s="1"/>
  <c r="I21" i="41"/>
  <c r="BC21" i="41" s="1"/>
  <c r="H21" i="41"/>
  <c r="BB21" i="41" s="1"/>
  <c r="G21" i="41"/>
  <c r="BA21" i="41" s="1"/>
  <c r="M20" i="41"/>
  <c r="BG20" i="41" s="1"/>
  <c r="L20" i="41"/>
  <c r="BF20" i="41" s="1"/>
  <c r="K20" i="41"/>
  <c r="BE20" i="41" s="1"/>
  <c r="J20" i="41"/>
  <c r="BD20" i="41" s="1"/>
  <c r="I20" i="41"/>
  <c r="BC20" i="41" s="1"/>
  <c r="H20" i="41"/>
  <c r="BB20" i="41" s="1"/>
  <c r="G20" i="41"/>
  <c r="BA20" i="41" s="1"/>
  <c r="M19" i="41"/>
  <c r="BG19" i="41" s="1"/>
  <c r="L19" i="41"/>
  <c r="BF19" i="41" s="1"/>
  <c r="K19" i="41"/>
  <c r="BE19" i="41" s="1"/>
  <c r="J19" i="41"/>
  <c r="BD19" i="41" s="1"/>
  <c r="I19" i="41"/>
  <c r="BC19" i="41" s="1"/>
  <c r="H19" i="41"/>
  <c r="BB19" i="41" s="1"/>
  <c r="G19" i="41"/>
  <c r="BA19" i="41" s="1"/>
  <c r="M18" i="41"/>
  <c r="BG18" i="41" s="1"/>
  <c r="L18" i="41"/>
  <c r="BF18" i="41" s="1"/>
  <c r="K18" i="41"/>
  <c r="BE18" i="41" s="1"/>
  <c r="J18" i="41"/>
  <c r="BD18" i="41" s="1"/>
  <c r="I18" i="41"/>
  <c r="BC18" i="41" s="1"/>
  <c r="H18" i="41"/>
  <c r="BB18" i="41" s="1"/>
  <c r="G18" i="41"/>
  <c r="BA18" i="41" s="1"/>
  <c r="M17" i="41"/>
  <c r="L17" i="41"/>
  <c r="K17" i="41"/>
  <c r="J17" i="41"/>
  <c r="I17" i="41"/>
  <c r="H17" i="41"/>
  <c r="BB17" i="41" s="1"/>
  <c r="G17" i="41"/>
  <c r="BA17" i="41" s="1"/>
  <c r="M16" i="41"/>
  <c r="L16" i="41"/>
  <c r="K16" i="41"/>
  <c r="J16" i="41"/>
  <c r="I16" i="41"/>
  <c r="H16" i="41"/>
  <c r="BB16" i="41" s="1"/>
  <c r="G16" i="41"/>
  <c r="BA16" i="41" s="1"/>
  <c r="M15" i="41"/>
  <c r="BG15" i="41" s="1"/>
  <c r="L15" i="41"/>
  <c r="BF15" i="41" s="1"/>
  <c r="K15" i="41"/>
  <c r="BE15" i="41" s="1"/>
  <c r="J15" i="41"/>
  <c r="BD15" i="41" s="1"/>
  <c r="I15" i="41"/>
  <c r="BC15" i="41" s="1"/>
  <c r="H15" i="41"/>
  <c r="BB15" i="41" s="1"/>
  <c r="G15" i="41"/>
  <c r="BA15" i="41" s="1"/>
  <c r="M14" i="41"/>
  <c r="BG14" i="41" s="1"/>
  <c r="L14" i="41"/>
  <c r="BF14" i="41" s="1"/>
  <c r="K14" i="41"/>
  <c r="BE14" i="41" s="1"/>
  <c r="J14" i="41"/>
  <c r="BD14" i="41" s="1"/>
  <c r="I14" i="41"/>
  <c r="BC14" i="41" s="1"/>
  <c r="H14" i="41"/>
  <c r="BB14" i="41" s="1"/>
  <c r="G14" i="41"/>
  <c r="BA14" i="41" s="1"/>
  <c r="M13" i="41"/>
  <c r="BG13" i="41" s="1"/>
  <c r="L13" i="41"/>
  <c r="BF13" i="41" s="1"/>
  <c r="K13" i="41"/>
  <c r="BE13" i="41" s="1"/>
  <c r="J13" i="41"/>
  <c r="BD13" i="41" s="1"/>
  <c r="I13" i="41"/>
  <c r="BC13" i="41" s="1"/>
  <c r="H13" i="41"/>
  <c r="BB13" i="41" s="1"/>
  <c r="M12" i="41"/>
  <c r="BG12" i="41" s="1"/>
  <c r="L12" i="41"/>
  <c r="BF12" i="41" s="1"/>
  <c r="K12" i="41"/>
  <c r="BE12" i="41" s="1"/>
  <c r="J12" i="41"/>
  <c r="BD12" i="41" s="1"/>
  <c r="I12" i="41"/>
  <c r="BC12" i="41" s="1"/>
  <c r="H12" i="41"/>
  <c r="BB12" i="41" s="1"/>
  <c r="G12" i="41"/>
  <c r="BA12" i="41" s="1"/>
  <c r="AL11" i="41"/>
  <c r="CF11" i="41" s="1"/>
  <c r="AK11" i="41"/>
  <c r="CE11" i="41" s="1"/>
  <c r="AJ11" i="41"/>
  <c r="CD11" i="41" s="1"/>
  <c r="AI11" i="41"/>
  <c r="CC11" i="41" s="1"/>
  <c r="AH11" i="41"/>
  <c r="CB11" i="41" s="1"/>
  <c r="AG11" i="41"/>
  <c r="CA11" i="41" s="1"/>
  <c r="AF11" i="41"/>
  <c r="BZ11" i="41" s="1"/>
  <c r="AD11" i="41"/>
  <c r="BX11" i="41" s="1"/>
  <c r="AC11" i="41"/>
  <c r="BW11" i="41" s="1"/>
  <c r="AB11" i="41"/>
  <c r="BV11" i="41" s="1"/>
  <c r="AA11" i="41"/>
  <c r="BU11" i="41" s="1"/>
  <c r="Z11" i="41"/>
  <c r="BT11" i="41" s="1"/>
  <c r="Y11" i="41"/>
  <c r="BS11" i="41" s="1"/>
  <c r="X11" i="41"/>
  <c r="BR11" i="41" s="1"/>
  <c r="V11" i="41"/>
  <c r="BP11" i="41" s="1"/>
  <c r="U11" i="41"/>
  <c r="BO11" i="41" s="1"/>
  <c r="T11" i="41"/>
  <c r="BN11" i="41" s="1"/>
  <c r="S11" i="41"/>
  <c r="BM11" i="41" s="1"/>
  <c r="R11" i="41"/>
  <c r="BL11" i="41" s="1"/>
  <c r="Q11" i="41"/>
  <c r="BK11" i="41" s="1"/>
  <c r="P11" i="41"/>
  <c r="BJ11" i="41" s="1"/>
  <c r="AW9" i="41"/>
  <c r="AV9" i="41"/>
  <c r="AU9" i="41"/>
  <c r="AT9" i="41"/>
  <c r="AS9" i="41"/>
  <c r="AR9" i="41"/>
  <c r="Q43" i="7" l="1"/>
  <c r="BN37" i="7"/>
  <c r="F31" i="49"/>
  <c r="L31" i="49" s="1"/>
  <c r="N53" i="85"/>
  <c r="J55" i="85"/>
  <c r="M77" i="85"/>
  <c r="J48" i="85"/>
  <c r="M58" i="85"/>
  <c r="L67" i="85"/>
  <c r="L78" i="85"/>
  <c r="K77" i="85"/>
  <c r="J80" i="85"/>
  <c r="L81" i="85"/>
  <c r="M83" i="85"/>
  <c r="L53" i="85"/>
  <c r="J54" i="85"/>
  <c r="N54" i="85"/>
  <c r="L55" i="85"/>
  <c r="J67" i="85"/>
  <c r="J81" i="85"/>
  <c r="N84" i="85"/>
  <c r="J77" i="85"/>
  <c r="J53" i="85"/>
  <c r="L54" i="85"/>
  <c r="N55" i="85"/>
  <c r="K53" i="85"/>
  <c r="M54" i="85"/>
  <c r="K58" i="85"/>
  <c r="K48" i="85"/>
  <c r="J51" i="85"/>
  <c r="K55" i="85"/>
  <c r="N58" i="85"/>
  <c r="M67" i="85"/>
  <c r="M78" i="85"/>
  <c r="L77" i="85"/>
  <c r="K80" i="85"/>
  <c r="M81" i="85"/>
  <c r="N83" i="85"/>
  <c r="N67" i="85"/>
  <c r="N78" i="85"/>
  <c r="L80" i="85"/>
  <c r="L82" i="85" s="1"/>
  <c r="N81" i="85"/>
  <c r="J84" i="85"/>
  <c r="I27" i="67"/>
  <c r="I4" i="67" s="1"/>
  <c r="I27" i="85"/>
  <c r="I4" i="85" s="1"/>
  <c r="M48" i="85"/>
  <c r="L51" i="85"/>
  <c r="K54" i="85"/>
  <c r="M55" i="85"/>
  <c r="J72" i="85"/>
  <c r="N77" i="85"/>
  <c r="M80" i="85"/>
  <c r="K84" i="85"/>
  <c r="I30" i="67"/>
  <c r="I5" i="67" s="1"/>
  <c r="I30" i="85"/>
  <c r="I5" i="85" s="1"/>
  <c r="J82" i="85"/>
  <c r="N48" i="85"/>
  <c r="M51" i="85"/>
  <c r="K72" i="85"/>
  <c r="N80" i="85"/>
  <c r="L84" i="85"/>
  <c r="I33" i="67"/>
  <c r="I6" i="67" s="1"/>
  <c r="I33" i="85"/>
  <c r="I6" i="85" s="1"/>
  <c r="L48" i="85"/>
  <c r="K51" i="85"/>
  <c r="N51" i="85"/>
  <c r="J58" i="85"/>
  <c r="L72" i="85"/>
  <c r="J83" i="85"/>
  <c r="M84" i="85"/>
  <c r="M85" i="85" s="1"/>
  <c r="I36" i="67"/>
  <c r="I36" i="85"/>
  <c r="K83" i="85"/>
  <c r="I39" i="67"/>
  <c r="I39" i="85"/>
  <c r="M72" i="85"/>
  <c r="J78" i="85"/>
  <c r="M53" i="85"/>
  <c r="L58" i="85"/>
  <c r="K67" i="85"/>
  <c r="N72" i="85"/>
  <c r="K78" i="85"/>
  <c r="K81" i="85"/>
  <c r="L83" i="85"/>
  <c r="N60" i="67"/>
  <c r="BG37" i="41"/>
  <c r="N60" i="85" s="1"/>
  <c r="K64" i="67"/>
  <c r="BD42" i="41"/>
  <c r="K64" i="85" s="1"/>
  <c r="L76" i="67"/>
  <c r="BE69" i="41"/>
  <c r="L76" i="85" s="1"/>
  <c r="R144" i="41"/>
  <c r="BL144" i="41" s="1"/>
  <c r="BL99" i="41"/>
  <c r="J63" i="67"/>
  <c r="BC40" i="41"/>
  <c r="J63" i="85" s="1"/>
  <c r="Y143" i="41"/>
  <c r="BS143" i="41" s="1"/>
  <c r="BS73" i="41"/>
  <c r="J50" i="67"/>
  <c r="BC17" i="41"/>
  <c r="J50" i="85" s="1"/>
  <c r="N56" i="67"/>
  <c r="BG29" i="41"/>
  <c r="N56" i="85" s="1"/>
  <c r="L65" i="67"/>
  <c r="BE41" i="41"/>
  <c r="L65" i="85" s="1"/>
  <c r="M64" i="67"/>
  <c r="BF42" i="41"/>
  <c r="M64" i="85" s="1"/>
  <c r="N69" i="67"/>
  <c r="BG49" i="41"/>
  <c r="N69" i="85" s="1"/>
  <c r="N76" i="67"/>
  <c r="BG69" i="41"/>
  <c r="N76" i="85" s="1"/>
  <c r="Q143" i="41"/>
  <c r="BK143" i="41" s="1"/>
  <c r="BK73" i="41"/>
  <c r="Z143" i="41"/>
  <c r="BT143" i="41" s="1"/>
  <c r="BT73" i="41"/>
  <c r="AI143" i="41"/>
  <c r="CC143" i="41" s="1"/>
  <c r="CC73" i="41"/>
  <c r="T144" i="41"/>
  <c r="BN144" i="41" s="1"/>
  <c r="BN99" i="41"/>
  <c r="AC144" i="41"/>
  <c r="BW144" i="41" s="1"/>
  <c r="BW99" i="41"/>
  <c r="AL144" i="41"/>
  <c r="CF144" i="41" s="1"/>
  <c r="CF99" i="41"/>
  <c r="M60" i="67"/>
  <c r="BF37" i="41"/>
  <c r="M60" i="85" s="1"/>
  <c r="J64" i="67"/>
  <c r="BC42" i="41"/>
  <c r="J64" i="85" s="1"/>
  <c r="J65" i="67"/>
  <c r="BC41" i="41"/>
  <c r="J65" i="85" s="1"/>
  <c r="L69" i="67"/>
  <c r="BE49" i="41"/>
  <c r="L69" i="85" s="1"/>
  <c r="AG143" i="41"/>
  <c r="CA143" i="41" s="1"/>
  <c r="CA73" i="41"/>
  <c r="K65" i="67"/>
  <c r="BD41" i="41"/>
  <c r="K65" i="85" s="1"/>
  <c r="P143" i="41"/>
  <c r="BJ73" i="41"/>
  <c r="AK144" i="41"/>
  <c r="CE144" i="41" s="1"/>
  <c r="CE99" i="41"/>
  <c r="J49" i="67"/>
  <c r="BC16" i="41"/>
  <c r="J49" i="85" s="1"/>
  <c r="K50" i="67"/>
  <c r="BD17" i="41"/>
  <c r="K50" i="85" s="1"/>
  <c r="J61" i="67"/>
  <c r="BC38" i="41"/>
  <c r="J61" i="85" s="1"/>
  <c r="K62" i="67"/>
  <c r="BD39" i="41"/>
  <c r="K62" i="85" s="1"/>
  <c r="L63" i="67"/>
  <c r="BE40" i="41"/>
  <c r="L63" i="85" s="1"/>
  <c r="M65" i="67"/>
  <c r="BF41" i="41"/>
  <c r="M65" i="85" s="1"/>
  <c r="N64" i="67"/>
  <c r="BG42" i="41"/>
  <c r="N64" i="85" s="1"/>
  <c r="R143" i="41"/>
  <c r="BL143" i="41" s="1"/>
  <c r="BL73" i="41"/>
  <c r="AA143" i="41"/>
  <c r="AA156" i="41" s="1"/>
  <c r="BU156" i="41" s="1"/>
  <c r="BU73" i="41"/>
  <c r="AJ143" i="41"/>
  <c r="CD73" i="41"/>
  <c r="U144" i="41"/>
  <c r="BO99" i="41"/>
  <c r="AD144" i="41"/>
  <c r="BX144" i="41" s="1"/>
  <c r="BX99" i="41"/>
  <c r="E74" i="49"/>
  <c r="K74" i="49" s="1"/>
  <c r="CK43" i="7"/>
  <c r="AO37" i="7"/>
  <c r="CS37" i="7"/>
  <c r="AV43" i="7"/>
  <c r="AV41" i="7" s="1"/>
  <c r="N49" i="67"/>
  <c r="BG16" i="41"/>
  <c r="N49" i="85" s="1"/>
  <c r="M52" i="67"/>
  <c r="BF22" i="41"/>
  <c r="M52" i="85" s="1"/>
  <c r="N70" i="67"/>
  <c r="BG51" i="41"/>
  <c r="N70" i="85" s="1"/>
  <c r="AA144" i="41"/>
  <c r="BU144" i="41" s="1"/>
  <c r="BU99" i="41"/>
  <c r="M56" i="67"/>
  <c r="BF29" i="41"/>
  <c r="M56" i="85" s="1"/>
  <c r="M76" i="67"/>
  <c r="BF69" i="41"/>
  <c r="M76" i="85" s="1"/>
  <c r="S144" i="41"/>
  <c r="BM144" i="41" s="1"/>
  <c r="BM99" i="41"/>
  <c r="K49" i="67"/>
  <c r="BD16" i="41"/>
  <c r="K49" i="85" s="1"/>
  <c r="L50" i="67"/>
  <c r="BE17" i="41"/>
  <c r="L50" i="85" s="1"/>
  <c r="J60" i="67"/>
  <c r="BC37" i="41"/>
  <c r="J60" i="85" s="1"/>
  <c r="K61" i="67"/>
  <c r="BD38" i="41"/>
  <c r="K61" i="85" s="1"/>
  <c r="L62" i="67"/>
  <c r="BE39" i="41"/>
  <c r="L62" i="85" s="1"/>
  <c r="M63" i="67"/>
  <c r="BF40" i="41"/>
  <c r="M63" i="85" s="1"/>
  <c r="N65" i="67"/>
  <c r="BG41" i="41"/>
  <c r="N65" i="85" s="1"/>
  <c r="J70" i="67"/>
  <c r="BC51" i="41"/>
  <c r="J70" i="85" s="1"/>
  <c r="S143" i="41"/>
  <c r="BM73" i="41"/>
  <c r="AB143" i="41"/>
  <c r="BV143" i="41" s="1"/>
  <c r="BV73" i="41"/>
  <c r="AK143" i="41"/>
  <c r="CE143" i="41" s="1"/>
  <c r="CE73" i="41"/>
  <c r="V144" i="41"/>
  <c r="BP144" i="41" s="1"/>
  <c r="BP99" i="41"/>
  <c r="AF144" i="41"/>
  <c r="BZ144" i="41" s="1"/>
  <c r="BZ99" i="41"/>
  <c r="E18" i="49"/>
  <c r="K18" i="49" s="1"/>
  <c r="BE43" i="7"/>
  <c r="I37" i="7"/>
  <c r="L56" i="67"/>
  <c r="BE29" i="41"/>
  <c r="L56" i="85" s="1"/>
  <c r="X143" i="41"/>
  <c r="BR73" i="41"/>
  <c r="N52" i="67"/>
  <c r="BG22" i="41"/>
  <c r="N52" i="85" s="1"/>
  <c r="L64" i="67"/>
  <c r="BE42" i="41"/>
  <c r="L64" i="85" s="1"/>
  <c r="M69" i="67"/>
  <c r="BF49" i="41"/>
  <c r="M69" i="85" s="1"/>
  <c r="N75" i="67"/>
  <c r="BG70" i="41"/>
  <c r="N75" i="85" s="1"/>
  <c r="AB144" i="41"/>
  <c r="BV144" i="41" s="1"/>
  <c r="BV99" i="41"/>
  <c r="L49" i="67"/>
  <c r="BE16" i="41"/>
  <c r="L49" i="85" s="1"/>
  <c r="M50" i="67"/>
  <c r="BF17" i="41"/>
  <c r="M50" i="85" s="1"/>
  <c r="J52" i="67"/>
  <c r="BC22" i="41"/>
  <c r="J52" i="85" s="1"/>
  <c r="K60" i="67"/>
  <c r="BD37" i="41"/>
  <c r="K60" i="85" s="1"/>
  <c r="L61" i="67"/>
  <c r="BE38" i="41"/>
  <c r="L61" i="85" s="1"/>
  <c r="M62" i="67"/>
  <c r="BF39" i="41"/>
  <c r="M62" i="85" s="1"/>
  <c r="N63" i="67"/>
  <c r="BG40" i="41"/>
  <c r="N63" i="85" s="1"/>
  <c r="J75" i="67"/>
  <c r="BC70" i="41"/>
  <c r="J75" i="85" s="1"/>
  <c r="T143" i="41"/>
  <c r="BN73" i="41"/>
  <c r="AC143" i="41"/>
  <c r="BW143" i="41" s="1"/>
  <c r="BW73" i="41"/>
  <c r="AL143" i="41"/>
  <c r="CF143" i="41" s="1"/>
  <c r="CF73" i="41"/>
  <c r="X144" i="41"/>
  <c r="BR144" i="41" s="1"/>
  <c r="BR99" i="41"/>
  <c r="AG144" i="41"/>
  <c r="CA144" i="41" s="1"/>
  <c r="CA99" i="41"/>
  <c r="L52" i="67"/>
  <c r="BE22" i="41"/>
  <c r="L52" i="85" s="1"/>
  <c r="K56" i="67"/>
  <c r="BD29" i="41"/>
  <c r="K56" i="85" s="1"/>
  <c r="N61" i="67"/>
  <c r="BG38" i="41"/>
  <c r="N61" i="85" s="1"/>
  <c r="M75" i="67"/>
  <c r="BF70" i="41"/>
  <c r="M75" i="85" s="1"/>
  <c r="AJ144" i="41"/>
  <c r="CD144" i="41" s="1"/>
  <c r="CD99" i="41"/>
  <c r="AH143" i="41"/>
  <c r="CB143" i="41" s="1"/>
  <c r="CB73" i="41"/>
  <c r="M49" i="67"/>
  <c r="BF16" i="41"/>
  <c r="M49" i="85" s="1"/>
  <c r="N50" i="67"/>
  <c r="BG17" i="41"/>
  <c r="N50" i="85" s="1"/>
  <c r="K52" i="67"/>
  <c r="BD22" i="41"/>
  <c r="K52" i="85" s="1"/>
  <c r="J56" i="67"/>
  <c r="BC29" i="41"/>
  <c r="J56" i="85" s="1"/>
  <c r="J69" i="67"/>
  <c r="BC49" i="41"/>
  <c r="J69" i="85" s="1"/>
  <c r="L70" i="67"/>
  <c r="BE51" i="41"/>
  <c r="L70" i="85" s="1"/>
  <c r="J76" i="67"/>
  <c r="BC69" i="41"/>
  <c r="J76" i="85" s="1"/>
  <c r="K75" i="67"/>
  <c r="BD70" i="41"/>
  <c r="K75" i="85" s="1"/>
  <c r="U143" i="41"/>
  <c r="BO143" i="41" s="1"/>
  <c r="BO73" i="41"/>
  <c r="AD143" i="41"/>
  <c r="BX143" i="41" s="1"/>
  <c r="BX73" i="41"/>
  <c r="P144" i="41"/>
  <c r="BJ144" i="41" s="1"/>
  <c r="BJ99" i="41"/>
  <c r="Y144" i="41"/>
  <c r="BS144" i="41" s="1"/>
  <c r="BS99" i="41"/>
  <c r="AH144" i="41"/>
  <c r="CB144" i="41" s="1"/>
  <c r="CB99" i="41"/>
  <c r="Y37" i="7"/>
  <c r="BU43" i="7"/>
  <c r="E46" i="49"/>
  <c r="K46" i="49" s="1"/>
  <c r="K69" i="67"/>
  <c r="BD49" i="41"/>
  <c r="K69" i="85" s="1"/>
  <c r="M70" i="67"/>
  <c r="BF51" i="41"/>
  <c r="M70" i="85" s="1"/>
  <c r="K76" i="67"/>
  <c r="BD69" i="41"/>
  <c r="K76" i="85" s="1"/>
  <c r="L75" i="67"/>
  <c r="BE70" i="41"/>
  <c r="L75" i="85" s="1"/>
  <c r="V143" i="41"/>
  <c r="BP143" i="41" s="1"/>
  <c r="BP73" i="41"/>
  <c r="AF143" i="41"/>
  <c r="BZ143" i="41" s="1"/>
  <c r="BZ73" i="41"/>
  <c r="Q144" i="41"/>
  <c r="BK99" i="41"/>
  <c r="Z144" i="41"/>
  <c r="BT144" i="41" s="1"/>
  <c r="BT99" i="41"/>
  <c r="AI144" i="41"/>
  <c r="CC144" i="41" s="1"/>
  <c r="CC99" i="41"/>
  <c r="L77" i="67"/>
  <c r="N53" i="67"/>
  <c r="L54" i="67"/>
  <c r="J55" i="67"/>
  <c r="H151" i="41"/>
  <c r="BB151" i="41" s="1"/>
  <c r="L151" i="41"/>
  <c r="BF151" i="41" s="1"/>
  <c r="M41" i="85" s="1"/>
  <c r="J53" i="67"/>
  <c r="N55" i="67"/>
  <c r="I151" i="41"/>
  <c r="BC151" i="41" s="1"/>
  <c r="J41" i="85" s="1"/>
  <c r="M151" i="41"/>
  <c r="BG151" i="41" s="1"/>
  <c r="N41" i="85" s="1"/>
  <c r="J150" i="41"/>
  <c r="BD150" i="41" s="1"/>
  <c r="K38" i="85" s="1"/>
  <c r="J151" i="41"/>
  <c r="BD151" i="41" s="1"/>
  <c r="K41" i="85" s="1"/>
  <c r="G151" i="41"/>
  <c r="BA151" i="41" s="1"/>
  <c r="M83" i="67"/>
  <c r="K73" i="41"/>
  <c r="H150" i="41"/>
  <c r="BB150" i="41" s="1"/>
  <c r="L150" i="41"/>
  <c r="BF150" i="41" s="1"/>
  <c r="M38" i="85" s="1"/>
  <c r="I150" i="41"/>
  <c r="BC150" i="41" s="1"/>
  <c r="J38" i="85" s="1"/>
  <c r="M150" i="41"/>
  <c r="BG150" i="41" s="1"/>
  <c r="N38" i="85" s="1"/>
  <c r="N80" i="67"/>
  <c r="G150" i="41"/>
  <c r="BA150" i="41" s="1"/>
  <c r="L84" i="67"/>
  <c r="K151" i="41"/>
  <c r="BE151" i="41" s="1"/>
  <c r="L41" i="85" s="1"/>
  <c r="L81" i="67"/>
  <c r="K150" i="41"/>
  <c r="J80" i="67"/>
  <c r="AG134" i="41"/>
  <c r="CA134" i="41" s="1"/>
  <c r="I57" i="41"/>
  <c r="M78" i="67"/>
  <c r="J77" i="67"/>
  <c r="N77" i="67"/>
  <c r="M53" i="67"/>
  <c r="K54" i="67"/>
  <c r="M55" i="67"/>
  <c r="M57" i="41"/>
  <c r="M77" i="67"/>
  <c r="M58" i="67"/>
  <c r="L67" i="67"/>
  <c r="K72" i="67"/>
  <c r="M51" i="67"/>
  <c r="P134" i="41"/>
  <c r="BJ134" i="41" s="1"/>
  <c r="T134" i="41"/>
  <c r="BN134" i="41" s="1"/>
  <c r="Y134" i="41"/>
  <c r="BS134" i="41" s="1"/>
  <c r="AC134" i="41"/>
  <c r="BW134" i="41" s="1"/>
  <c r="AH134" i="41"/>
  <c r="CB134" i="41" s="1"/>
  <c r="AL134" i="41"/>
  <c r="CF134" i="41" s="1"/>
  <c r="J51" i="67"/>
  <c r="N51" i="67"/>
  <c r="K53" i="67"/>
  <c r="M54" i="67"/>
  <c r="K55" i="67"/>
  <c r="J58" i="67"/>
  <c r="N58" i="67"/>
  <c r="M67" i="67"/>
  <c r="L72" i="67"/>
  <c r="L60" i="41"/>
  <c r="BF60" i="41" s="1"/>
  <c r="J78" i="67"/>
  <c r="N78" i="67"/>
  <c r="K80" i="67"/>
  <c r="G73" i="41"/>
  <c r="M81" i="67"/>
  <c r="J83" i="67"/>
  <c r="N83" i="67"/>
  <c r="M84" i="67"/>
  <c r="M48" i="67"/>
  <c r="K51" i="67"/>
  <c r="L53" i="67"/>
  <c r="J54" i="67"/>
  <c r="N54" i="67"/>
  <c r="L55" i="67"/>
  <c r="K58" i="67"/>
  <c r="G36" i="41"/>
  <c r="BA36" i="41" s="1"/>
  <c r="K36" i="41"/>
  <c r="BE36" i="41" s="1"/>
  <c r="L60" i="67"/>
  <c r="H36" i="41"/>
  <c r="BB36" i="41" s="1"/>
  <c r="L36" i="41"/>
  <c r="BF36" i="41" s="1"/>
  <c r="M61" i="67"/>
  <c r="N39" i="41"/>
  <c r="BH39" i="41" s="1"/>
  <c r="J62" i="67"/>
  <c r="M36" i="41"/>
  <c r="BG36" i="41" s="1"/>
  <c r="N62" i="67"/>
  <c r="J36" i="41"/>
  <c r="BD36" i="41" s="1"/>
  <c r="K63" i="67"/>
  <c r="N43" i="41"/>
  <c r="BH43" i="41" s="1"/>
  <c r="J67" i="67"/>
  <c r="N67" i="67"/>
  <c r="N47" i="41"/>
  <c r="BH47" i="41" s="1"/>
  <c r="M72" i="67"/>
  <c r="J57" i="41"/>
  <c r="G57" i="41"/>
  <c r="K57" i="41"/>
  <c r="K78" i="67"/>
  <c r="H60" i="41"/>
  <c r="BB60" i="41" s="1"/>
  <c r="U156" i="41"/>
  <c r="L80" i="67"/>
  <c r="J81" i="67"/>
  <c r="N81" i="67"/>
  <c r="K83" i="67"/>
  <c r="J84" i="67"/>
  <c r="N84" i="67"/>
  <c r="K11" i="41"/>
  <c r="BE11" i="41" s="1"/>
  <c r="L48" i="67"/>
  <c r="J48" i="67"/>
  <c r="N48" i="67"/>
  <c r="L51" i="67"/>
  <c r="L58" i="67"/>
  <c r="K67" i="67"/>
  <c r="J72" i="67"/>
  <c r="N72" i="67"/>
  <c r="H57" i="41"/>
  <c r="BB57" i="41" s="1"/>
  <c r="L57" i="41"/>
  <c r="L78" i="67"/>
  <c r="K77" i="67"/>
  <c r="M80" i="67"/>
  <c r="K81" i="67"/>
  <c r="G99" i="41"/>
  <c r="K99" i="41"/>
  <c r="L83" i="67"/>
  <c r="K84" i="67"/>
  <c r="G59" i="49"/>
  <c r="M59" i="49" s="1"/>
  <c r="AH43" i="7"/>
  <c r="AH41" i="7"/>
  <c r="J48" i="41"/>
  <c r="BD48" i="41" s="1"/>
  <c r="K70" i="67"/>
  <c r="K48" i="67"/>
  <c r="L99" i="41"/>
  <c r="M99" i="41"/>
  <c r="N121" i="41"/>
  <c r="BH121" i="41" s="1"/>
  <c r="AN16" i="7"/>
  <c r="AO16" i="7"/>
  <c r="CL16" i="7" s="1"/>
  <c r="AH157" i="41"/>
  <c r="CB157" i="41" s="1"/>
  <c r="AL71" i="7"/>
  <c r="CI71" i="7" s="1"/>
  <c r="AM16" i="7"/>
  <c r="H99" i="41"/>
  <c r="N102" i="41"/>
  <c r="BH102" i="41" s="1"/>
  <c r="J99" i="41"/>
  <c r="N106" i="41"/>
  <c r="BH106" i="41" s="1"/>
  <c r="N110" i="41"/>
  <c r="BH110" i="41" s="1"/>
  <c r="N117" i="41"/>
  <c r="BH117" i="41" s="1"/>
  <c r="X157" i="41"/>
  <c r="BR157" i="41" s="1"/>
  <c r="AL16" i="7"/>
  <c r="CI16" i="7" s="1"/>
  <c r="AP16" i="7"/>
  <c r="CM16" i="7" s="1"/>
  <c r="AF16" i="7"/>
  <c r="AH71" i="7"/>
  <c r="CE71" i="7" s="1"/>
  <c r="AD60" i="7"/>
  <c r="CA60" i="7" s="1"/>
  <c r="H73" i="41"/>
  <c r="L73" i="41"/>
  <c r="N76" i="41"/>
  <c r="BH76" i="41" s="1"/>
  <c r="M73" i="41"/>
  <c r="J73" i="41"/>
  <c r="N80" i="41"/>
  <c r="BH80" i="41" s="1"/>
  <c r="N84" i="41"/>
  <c r="BH84" i="41" s="1"/>
  <c r="N88" i="41"/>
  <c r="BH88" i="41" s="1"/>
  <c r="N92" i="41"/>
  <c r="BH92" i="41" s="1"/>
  <c r="N96" i="41"/>
  <c r="BH96" i="41" s="1"/>
  <c r="AD16" i="7"/>
  <c r="AH16" i="7"/>
  <c r="AG16" i="7"/>
  <c r="CD16" i="7" s="1"/>
  <c r="AE16" i="7"/>
  <c r="CB16" i="7" s="1"/>
  <c r="S134" i="41"/>
  <c r="BM134" i="41" s="1"/>
  <c r="X134" i="41"/>
  <c r="BR134" i="41" s="1"/>
  <c r="AB134" i="41"/>
  <c r="BV134" i="41" s="1"/>
  <c r="AK134" i="41"/>
  <c r="CE134" i="41" s="1"/>
  <c r="I60" i="41"/>
  <c r="M60" i="41"/>
  <c r="BG60" i="41" s="1"/>
  <c r="N63" i="41"/>
  <c r="BH63" i="41" s="1"/>
  <c r="G60" i="41"/>
  <c r="K60" i="41"/>
  <c r="BE60" i="41" s="1"/>
  <c r="N67" i="41"/>
  <c r="BH67" i="41" s="1"/>
  <c r="N71" i="41"/>
  <c r="BH71" i="41" s="1"/>
  <c r="G48" i="41"/>
  <c r="BA48" i="41" s="1"/>
  <c r="K48" i="41"/>
  <c r="BE48" i="41" s="1"/>
  <c r="H48" i="41"/>
  <c r="BB48" i="41" s="1"/>
  <c r="L48" i="41"/>
  <c r="BF48" i="41" s="1"/>
  <c r="N52" i="41"/>
  <c r="BH52" i="41" s="1"/>
  <c r="M48" i="41"/>
  <c r="BG48" i="41" s="1"/>
  <c r="N56" i="41"/>
  <c r="BH56" i="41" s="1"/>
  <c r="G11" i="41"/>
  <c r="BA11" i="41" s="1"/>
  <c r="H11" i="41"/>
  <c r="BB11" i="41" s="1"/>
  <c r="I11" i="41"/>
  <c r="BC11" i="41" s="1"/>
  <c r="N15" i="41"/>
  <c r="BH15" i="41" s="1"/>
  <c r="N19" i="41"/>
  <c r="BH19" i="41" s="1"/>
  <c r="N23" i="41"/>
  <c r="BH23" i="41" s="1"/>
  <c r="N27" i="41"/>
  <c r="BH27" i="41" s="1"/>
  <c r="N31" i="41"/>
  <c r="BH31" i="41" s="1"/>
  <c r="N35" i="41"/>
  <c r="BH35" i="41" s="1"/>
  <c r="L11" i="41"/>
  <c r="BF11" i="41" s="1"/>
  <c r="M11" i="41"/>
  <c r="BG11" i="41" s="1"/>
  <c r="N14" i="41"/>
  <c r="BH14" i="41" s="1"/>
  <c r="N18" i="41"/>
  <c r="BH18" i="41" s="1"/>
  <c r="N22" i="41"/>
  <c r="BH22" i="41" s="1"/>
  <c r="N26" i="41"/>
  <c r="BH26" i="41" s="1"/>
  <c r="N30" i="41"/>
  <c r="BH30" i="41" s="1"/>
  <c r="N34" i="41"/>
  <c r="BH34" i="41" s="1"/>
  <c r="N38" i="41"/>
  <c r="BH38" i="41" s="1"/>
  <c r="N42" i="41"/>
  <c r="BH42" i="41" s="1"/>
  <c r="N46" i="41"/>
  <c r="BH46" i="41" s="1"/>
  <c r="N51" i="41"/>
  <c r="BH51" i="41" s="1"/>
  <c r="N55" i="41"/>
  <c r="BH55" i="41" s="1"/>
  <c r="Q134" i="41"/>
  <c r="BK134" i="41" s="1"/>
  <c r="U134" i="41"/>
  <c r="BO134" i="41" s="1"/>
  <c r="Z134" i="41"/>
  <c r="BT134" i="41" s="1"/>
  <c r="AD134" i="41"/>
  <c r="BX134" i="41" s="1"/>
  <c r="AI134" i="41"/>
  <c r="CC134" i="41" s="1"/>
  <c r="X124" i="41"/>
  <c r="BR124" i="41" s="1"/>
  <c r="AB124" i="41"/>
  <c r="BV124" i="41" s="1"/>
  <c r="AG124" i="41"/>
  <c r="CA124" i="41" s="1"/>
  <c r="AK124" i="41"/>
  <c r="CE124" i="41" s="1"/>
  <c r="N62" i="41"/>
  <c r="BH62" i="41" s="1"/>
  <c r="N66" i="41"/>
  <c r="BH66" i="41" s="1"/>
  <c r="N70" i="41"/>
  <c r="BH70" i="41" s="1"/>
  <c r="N75" i="41"/>
  <c r="BH75" i="41" s="1"/>
  <c r="N79" i="41"/>
  <c r="BH79" i="41" s="1"/>
  <c r="N83" i="41"/>
  <c r="BH83" i="41" s="1"/>
  <c r="N87" i="41"/>
  <c r="BH87" i="41" s="1"/>
  <c r="N91" i="41"/>
  <c r="BH91" i="41" s="1"/>
  <c r="N95" i="41"/>
  <c r="BH95" i="41" s="1"/>
  <c r="N101" i="41"/>
  <c r="BH101" i="41" s="1"/>
  <c r="N105" i="41"/>
  <c r="BH105" i="41" s="1"/>
  <c r="N109" i="41"/>
  <c r="BH109" i="41" s="1"/>
  <c r="N113" i="41"/>
  <c r="BH113" i="41" s="1"/>
  <c r="N116" i="41"/>
  <c r="BH116" i="41" s="1"/>
  <c r="N120" i="41"/>
  <c r="BH120" i="41" s="1"/>
  <c r="N13" i="41"/>
  <c r="BH13" i="41" s="1"/>
  <c r="N17" i="41"/>
  <c r="BH17" i="41" s="1"/>
  <c r="N21" i="41"/>
  <c r="BH21" i="41" s="1"/>
  <c r="N25" i="41"/>
  <c r="BH25" i="41" s="1"/>
  <c r="N29" i="41"/>
  <c r="BH29" i="41" s="1"/>
  <c r="N33" i="41"/>
  <c r="BH33" i="41" s="1"/>
  <c r="I36" i="41"/>
  <c r="BC36" i="41" s="1"/>
  <c r="N37" i="41"/>
  <c r="BH37" i="41" s="1"/>
  <c r="N41" i="41"/>
  <c r="BH41" i="41" s="1"/>
  <c r="N45" i="41"/>
  <c r="BH45" i="41" s="1"/>
  <c r="N54" i="41"/>
  <c r="BH54" i="41" s="1"/>
  <c r="R134" i="41"/>
  <c r="BL134" i="41" s="1"/>
  <c r="V134" i="41"/>
  <c r="BP134" i="41" s="1"/>
  <c r="AA134" i="41"/>
  <c r="BU134" i="41" s="1"/>
  <c r="AF134" i="41"/>
  <c r="BZ134" i="41" s="1"/>
  <c r="AJ134" i="41"/>
  <c r="CD134" i="41" s="1"/>
  <c r="N59" i="41"/>
  <c r="BH59" i="41" s="1"/>
  <c r="J60" i="41"/>
  <c r="BD60" i="41" s="1"/>
  <c r="N61" i="41"/>
  <c r="BH61" i="41" s="1"/>
  <c r="N65" i="41"/>
  <c r="BH65" i="41" s="1"/>
  <c r="N69" i="41"/>
  <c r="BH69" i="41" s="1"/>
  <c r="I73" i="41"/>
  <c r="N74" i="41"/>
  <c r="BH74" i="41" s="1"/>
  <c r="N78" i="41"/>
  <c r="BH78" i="41" s="1"/>
  <c r="N82" i="41"/>
  <c r="BH82" i="41" s="1"/>
  <c r="N86" i="41"/>
  <c r="BH86" i="41" s="1"/>
  <c r="N90" i="41"/>
  <c r="BH90" i="41" s="1"/>
  <c r="N94" i="41"/>
  <c r="BH94" i="41" s="1"/>
  <c r="I99" i="41"/>
  <c r="N100" i="41"/>
  <c r="BH100" i="41" s="1"/>
  <c r="N104" i="41"/>
  <c r="BH104" i="41" s="1"/>
  <c r="N108" i="41"/>
  <c r="BH108" i="41" s="1"/>
  <c r="N112" i="41"/>
  <c r="BH112" i="41" s="1"/>
  <c r="N115" i="41"/>
  <c r="BH115" i="41" s="1"/>
  <c r="N123" i="41"/>
  <c r="BH123" i="41" s="1"/>
  <c r="N12" i="41"/>
  <c r="BH12" i="41" s="1"/>
  <c r="N16" i="41"/>
  <c r="BH16" i="41" s="1"/>
  <c r="N20" i="41"/>
  <c r="BH20" i="41" s="1"/>
  <c r="N24" i="41"/>
  <c r="BH24" i="41" s="1"/>
  <c r="N28" i="41"/>
  <c r="BH28" i="41" s="1"/>
  <c r="N32" i="41"/>
  <c r="BH32" i="41" s="1"/>
  <c r="N40" i="41"/>
  <c r="BH40" i="41" s="1"/>
  <c r="N44" i="41"/>
  <c r="BH44" i="41" s="1"/>
  <c r="I48" i="41"/>
  <c r="BC48" i="41" s="1"/>
  <c r="N53" i="41"/>
  <c r="BH53" i="41" s="1"/>
  <c r="N58" i="41"/>
  <c r="BH58" i="41" s="1"/>
  <c r="N64" i="41"/>
  <c r="BH64" i="41" s="1"/>
  <c r="N68" i="41"/>
  <c r="BH68" i="41" s="1"/>
  <c r="N77" i="41"/>
  <c r="BH77" i="41" s="1"/>
  <c r="N81" i="41"/>
  <c r="BH81" i="41" s="1"/>
  <c r="N85" i="41"/>
  <c r="BH85" i="41" s="1"/>
  <c r="N89" i="41"/>
  <c r="BH89" i="41" s="1"/>
  <c r="N97" i="41"/>
  <c r="BH97" i="41" s="1"/>
  <c r="N103" i="41"/>
  <c r="BH103" i="41" s="1"/>
  <c r="N107" i="41"/>
  <c r="BH107" i="41" s="1"/>
  <c r="N111" i="41"/>
  <c r="BH111" i="41" s="1"/>
  <c r="N114" i="41"/>
  <c r="BH114" i="41" s="1"/>
  <c r="N118" i="41"/>
  <c r="BH118" i="41" s="1"/>
  <c r="N122" i="41"/>
  <c r="BH122" i="41" s="1"/>
  <c r="R9" i="41"/>
  <c r="T9" i="41"/>
  <c r="AB9" i="41" s="1"/>
  <c r="V9" i="41"/>
  <c r="AD9" i="41" s="1"/>
  <c r="AL9" i="41" s="1"/>
  <c r="S9" i="41"/>
  <c r="J11" i="41"/>
  <c r="BD11" i="41" s="1"/>
  <c r="S124" i="41"/>
  <c r="BM124" i="41" s="1"/>
  <c r="P124" i="41"/>
  <c r="BJ124" i="41" s="1"/>
  <c r="T124" i="41"/>
  <c r="BN124" i="41" s="1"/>
  <c r="Y124" i="41"/>
  <c r="BS124" i="41" s="1"/>
  <c r="AC124" i="41"/>
  <c r="BW124" i="41" s="1"/>
  <c r="AH124" i="41"/>
  <c r="CB124" i="41" s="1"/>
  <c r="AL124" i="41"/>
  <c r="CF124" i="41" s="1"/>
  <c r="Q9" i="41"/>
  <c r="U9" i="41"/>
  <c r="Q124" i="41"/>
  <c r="BK124" i="41" s="1"/>
  <c r="U124" i="41"/>
  <c r="BO124" i="41" s="1"/>
  <c r="Z124" i="41"/>
  <c r="BT124" i="41" s="1"/>
  <c r="AD124" i="41"/>
  <c r="BX124" i="41" s="1"/>
  <c r="AI124" i="41"/>
  <c r="CC124" i="41" s="1"/>
  <c r="N49" i="41"/>
  <c r="BH49" i="41" s="1"/>
  <c r="N50" i="41"/>
  <c r="BH50" i="41" s="1"/>
  <c r="N119" i="41"/>
  <c r="BH119" i="41" s="1"/>
  <c r="R125" i="41"/>
  <c r="BL125" i="41" s="1"/>
  <c r="V125" i="41"/>
  <c r="BP125" i="41" s="1"/>
  <c r="AA125" i="41"/>
  <c r="BU125" i="41" s="1"/>
  <c r="AF125" i="41"/>
  <c r="BZ125" i="41" s="1"/>
  <c r="AJ125" i="41"/>
  <c r="CD125" i="41" s="1"/>
  <c r="Q126" i="41"/>
  <c r="BK126" i="41" s="1"/>
  <c r="U126" i="41"/>
  <c r="BO126" i="41" s="1"/>
  <c r="Z126" i="41"/>
  <c r="BT126" i="41" s="1"/>
  <c r="AD126" i="41"/>
  <c r="BX126" i="41" s="1"/>
  <c r="AI126" i="41"/>
  <c r="CC126" i="41" s="1"/>
  <c r="S125" i="41"/>
  <c r="BM125" i="41" s="1"/>
  <c r="X125" i="41"/>
  <c r="BR125" i="41" s="1"/>
  <c r="AB125" i="41"/>
  <c r="BV125" i="41" s="1"/>
  <c r="AG125" i="41"/>
  <c r="CA125" i="41" s="1"/>
  <c r="AK125" i="41"/>
  <c r="CE125" i="41" s="1"/>
  <c r="R126" i="41"/>
  <c r="BL126" i="41" s="1"/>
  <c r="V126" i="41"/>
  <c r="BP126" i="41" s="1"/>
  <c r="AA126" i="41"/>
  <c r="BU126" i="41" s="1"/>
  <c r="AF126" i="41"/>
  <c r="BZ126" i="41" s="1"/>
  <c r="AJ126" i="41"/>
  <c r="CD126" i="41" s="1"/>
  <c r="P125" i="41"/>
  <c r="BJ125" i="41" s="1"/>
  <c r="T125" i="41"/>
  <c r="BN125" i="41" s="1"/>
  <c r="Y125" i="41"/>
  <c r="BS125" i="41" s="1"/>
  <c r="AC125" i="41"/>
  <c r="BW125" i="41" s="1"/>
  <c r="AH125" i="41"/>
  <c r="CB125" i="41" s="1"/>
  <c r="AL125" i="41"/>
  <c r="CF125" i="41" s="1"/>
  <c r="S126" i="41"/>
  <c r="BM126" i="41" s="1"/>
  <c r="X126" i="41"/>
  <c r="BR126" i="41" s="1"/>
  <c r="AB126" i="41"/>
  <c r="BV126" i="41" s="1"/>
  <c r="AG126" i="41"/>
  <c r="CA126" i="41" s="1"/>
  <c r="AK126" i="41"/>
  <c r="CE126" i="41" s="1"/>
  <c r="N93" i="41"/>
  <c r="BH93" i="41" s="1"/>
  <c r="R124" i="41"/>
  <c r="BL124" i="41" s="1"/>
  <c r="V124" i="41"/>
  <c r="BP124" i="41" s="1"/>
  <c r="AA124" i="41"/>
  <c r="BU124" i="41" s="1"/>
  <c r="AF124" i="41"/>
  <c r="BZ124" i="41" s="1"/>
  <c r="AJ124" i="41"/>
  <c r="CD124" i="41" s="1"/>
  <c r="Q125" i="41"/>
  <c r="BK125" i="41" s="1"/>
  <c r="U125" i="41"/>
  <c r="BO125" i="41" s="1"/>
  <c r="Z125" i="41"/>
  <c r="BT125" i="41" s="1"/>
  <c r="AD125" i="41"/>
  <c r="BX125" i="41" s="1"/>
  <c r="AI125" i="41"/>
  <c r="CC125" i="41" s="1"/>
  <c r="P126" i="41"/>
  <c r="BJ126" i="41" s="1"/>
  <c r="T126" i="41"/>
  <c r="BN126" i="41" s="1"/>
  <c r="Y126" i="41"/>
  <c r="BS126" i="41" s="1"/>
  <c r="AC126" i="41"/>
  <c r="BW126" i="41" s="1"/>
  <c r="AH126" i="41"/>
  <c r="CB126" i="41" s="1"/>
  <c r="AL126" i="41"/>
  <c r="CF126" i="41" s="1"/>
  <c r="E154" i="41"/>
  <c r="E148" i="41"/>
  <c r="E153" i="41"/>
  <c r="E147" i="41"/>
  <c r="E155" i="41"/>
  <c r="E149" i="41"/>
  <c r="Q41" i="7" l="1"/>
  <c r="F32" i="49"/>
  <c r="L32" i="49" s="1"/>
  <c r="BN43" i="7"/>
  <c r="R37" i="7"/>
  <c r="AO71" i="7"/>
  <c r="CL71" i="7" s="1"/>
  <c r="AK157" i="41"/>
  <c r="CE157" i="41" s="1"/>
  <c r="AP71" i="7"/>
  <c r="CM71" i="7" s="1"/>
  <c r="Y156" i="41"/>
  <c r="BS156" i="41" s="1"/>
  <c r="T157" i="41"/>
  <c r="AK156" i="41"/>
  <c r="CE156" i="41" s="1"/>
  <c r="AN60" i="7"/>
  <c r="CK60" i="7" s="1"/>
  <c r="N41" i="67"/>
  <c r="AB157" i="41"/>
  <c r="BV157" i="41" s="1"/>
  <c r="AA157" i="41"/>
  <c r="BU157" i="41" s="1"/>
  <c r="O48" i="85"/>
  <c r="N85" i="85"/>
  <c r="AG157" i="41"/>
  <c r="CA157" i="41" s="1"/>
  <c r="L85" i="85"/>
  <c r="O67" i="85"/>
  <c r="M82" i="85"/>
  <c r="O54" i="85"/>
  <c r="AL156" i="41"/>
  <c r="CF156" i="41" s="1"/>
  <c r="O78" i="85"/>
  <c r="AD71" i="7"/>
  <c r="CA71" i="7" s="1"/>
  <c r="AH60" i="7"/>
  <c r="CE60" i="7" s="1"/>
  <c r="AK60" i="7"/>
  <c r="CH60" i="7" s="1"/>
  <c r="AH156" i="41"/>
  <c r="CB156" i="41" s="1"/>
  <c r="AD156" i="41"/>
  <c r="BX156" i="41" s="1"/>
  <c r="Y157" i="41"/>
  <c r="BS157" i="41" s="1"/>
  <c r="L79" i="85"/>
  <c r="AK71" i="7"/>
  <c r="CH71" i="7" s="1"/>
  <c r="V156" i="41"/>
  <c r="BP156" i="41" s="1"/>
  <c r="AE71" i="7"/>
  <c r="CB71" i="7" s="1"/>
  <c r="AC71" i="7"/>
  <c r="BZ71" i="7" s="1"/>
  <c r="Q156" i="41"/>
  <c r="BK156" i="41" s="1"/>
  <c r="L66" i="67"/>
  <c r="L68" i="67" s="1"/>
  <c r="M87" i="85"/>
  <c r="O55" i="85"/>
  <c r="N38" i="67"/>
  <c r="AI156" i="41"/>
  <c r="CC156" i="41" s="1"/>
  <c r="AG156" i="41"/>
  <c r="CA156" i="41" s="1"/>
  <c r="AM71" i="7"/>
  <c r="CJ71" i="7" s="1"/>
  <c r="AF157" i="41"/>
  <c r="BZ157" i="41" s="1"/>
  <c r="AO60" i="7"/>
  <c r="CL60" i="7" s="1"/>
  <c r="O75" i="67"/>
  <c r="K79" i="85"/>
  <c r="M79" i="85"/>
  <c r="N71" i="67"/>
  <c r="N73" i="67" s="1"/>
  <c r="O65" i="67"/>
  <c r="O81" i="85"/>
  <c r="N82" i="85"/>
  <c r="AG71" i="7"/>
  <c r="CD71" i="7" s="1"/>
  <c r="AI157" i="41"/>
  <c r="CC157" i="41" s="1"/>
  <c r="AM60" i="7"/>
  <c r="CJ60" i="7" s="1"/>
  <c r="AC157" i="41"/>
  <c r="BW157" i="41" s="1"/>
  <c r="O53" i="85"/>
  <c r="M71" i="85"/>
  <c r="M73" i="85" s="1"/>
  <c r="O76" i="67"/>
  <c r="M71" i="67"/>
  <c r="M73" i="67" s="1"/>
  <c r="O70" i="85"/>
  <c r="K87" i="85"/>
  <c r="O77" i="85"/>
  <c r="O72" i="85"/>
  <c r="O62" i="85"/>
  <c r="K85" i="85"/>
  <c r="L87" i="85"/>
  <c r="J66" i="67"/>
  <c r="J68" i="67" s="1"/>
  <c r="O65" i="85"/>
  <c r="O63" i="85"/>
  <c r="O83" i="85"/>
  <c r="K82" i="85"/>
  <c r="O52" i="67"/>
  <c r="O56" i="67"/>
  <c r="O64" i="85"/>
  <c r="O76" i="85"/>
  <c r="J87" i="85"/>
  <c r="O58" i="85"/>
  <c r="O84" i="85"/>
  <c r="O80" i="85"/>
  <c r="AL60" i="7"/>
  <c r="CI60" i="7" s="1"/>
  <c r="O60" i="85"/>
  <c r="J66" i="85"/>
  <c r="O49" i="85"/>
  <c r="M66" i="85"/>
  <c r="M68" i="85" s="1"/>
  <c r="N71" i="85"/>
  <c r="N73" i="85" s="1"/>
  <c r="O50" i="85"/>
  <c r="Z157" i="41"/>
  <c r="BT157" i="41" s="1"/>
  <c r="J71" i="85"/>
  <c r="O75" i="85"/>
  <c r="J79" i="85"/>
  <c r="K66" i="85"/>
  <c r="K68" i="85" s="1"/>
  <c r="N79" i="85"/>
  <c r="N87" i="85"/>
  <c r="N66" i="67"/>
  <c r="L71" i="85"/>
  <c r="L73" i="85" s="1"/>
  <c r="L57" i="85"/>
  <c r="N57" i="85"/>
  <c r="M57" i="85"/>
  <c r="V157" i="41"/>
  <c r="AP18" i="7" s="1"/>
  <c r="CM18" i="7" s="1"/>
  <c r="O41" i="85"/>
  <c r="O56" i="85"/>
  <c r="O52" i="85"/>
  <c r="J57" i="85"/>
  <c r="J85" i="85"/>
  <c r="O51" i="85"/>
  <c r="O69" i="85"/>
  <c r="K71" i="85"/>
  <c r="K73" i="85" s="1"/>
  <c r="L66" i="85"/>
  <c r="L68" i="85" s="1"/>
  <c r="O61" i="85"/>
  <c r="N66" i="85"/>
  <c r="N68" i="85" s="1"/>
  <c r="K57" i="85"/>
  <c r="AN71" i="7"/>
  <c r="CK71" i="7" s="1"/>
  <c r="J71" i="67"/>
  <c r="J73" i="67" s="1"/>
  <c r="O50" i="67"/>
  <c r="O64" i="67"/>
  <c r="O49" i="67"/>
  <c r="L71" i="67"/>
  <c r="L73" i="67" s="1"/>
  <c r="H143" i="41"/>
  <c r="BB143" i="41" s="1"/>
  <c r="BB73" i="41"/>
  <c r="AG60" i="7"/>
  <c r="CD60" i="7" s="1"/>
  <c r="P157" i="41"/>
  <c r="BJ157" i="41" s="1"/>
  <c r="F17" i="49"/>
  <c r="L17" i="49" s="1"/>
  <c r="BF37" i="7"/>
  <c r="I41" i="7"/>
  <c r="I43" i="7"/>
  <c r="AF71" i="7"/>
  <c r="CC71" i="7" s="1"/>
  <c r="CD143" i="41"/>
  <c r="AJ156" i="41"/>
  <c r="CD156" i="41" s="1"/>
  <c r="AC156" i="41"/>
  <c r="BW156" i="41" s="1"/>
  <c r="AM14" i="7"/>
  <c r="CJ14" i="7" s="1"/>
  <c r="CJ16" i="7"/>
  <c r="L144" i="41"/>
  <c r="BF99" i="41"/>
  <c r="G144" i="41"/>
  <c r="BA99" i="41"/>
  <c r="G126" i="41"/>
  <c r="BA126" i="41" s="1"/>
  <c r="BA57" i="41"/>
  <c r="O61" i="67"/>
  <c r="N74" i="67"/>
  <c r="BG57" i="41"/>
  <c r="N74" i="85" s="1"/>
  <c r="J74" i="67"/>
  <c r="BC57" i="41"/>
  <c r="J74" i="85" s="1"/>
  <c r="F45" i="49"/>
  <c r="L45" i="49" s="1"/>
  <c r="BV37" i="7"/>
  <c r="Y43" i="7"/>
  <c r="Y41" i="7" s="1"/>
  <c r="T156" i="41"/>
  <c r="BN143" i="41"/>
  <c r="I144" i="41"/>
  <c r="BC99" i="41"/>
  <c r="AJ157" i="41"/>
  <c r="CD157" i="41" s="1"/>
  <c r="AF156" i="41"/>
  <c r="BZ156" i="41" s="1"/>
  <c r="G125" i="41"/>
  <c r="BA125" i="41" s="1"/>
  <c r="BA60" i="41"/>
  <c r="AF60" i="7"/>
  <c r="CC60" i="7" s="1"/>
  <c r="AF14" i="7"/>
  <c r="CC14" i="7" s="1"/>
  <c r="CC16" i="7"/>
  <c r="J144" i="41"/>
  <c r="BD99" i="41"/>
  <c r="AP60" i="7"/>
  <c r="CM60" i="7" s="1"/>
  <c r="K74" i="67"/>
  <c r="BD57" i="41"/>
  <c r="K74" i="85" s="1"/>
  <c r="Q157" i="41"/>
  <c r="BK157" i="41" s="1"/>
  <c r="BK144" i="41"/>
  <c r="AE60" i="7"/>
  <c r="CB60" i="7" s="1"/>
  <c r="BU143" i="41"/>
  <c r="M144" i="41"/>
  <c r="BG99" i="41"/>
  <c r="K144" i="41"/>
  <c r="BE99" i="41"/>
  <c r="L74" i="67"/>
  <c r="BE57" i="41"/>
  <c r="L74" i="85" s="1"/>
  <c r="F73" i="49"/>
  <c r="L73" i="49" s="1"/>
  <c r="CL37" i="7"/>
  <c r="AO43" i="7"/>
  <c r="AO41" i="7"/>
  <c r="AB156" i="41"/>
  <c r="BV156" i="41" s="1"/>
  <c r="J143" i="41"/>
  <c r="BD143" i="41" s="1"/>
  <c r="BD73" i="41"/>
  <c r="AD157" i="41"/>
  <c r="BX157" i="41" s="1"/>
  <c r="O63" i="67"/>
  <c r="AN18" i="7"/>
  <c r="CK18" i="7" s="1"/>
  <c r="BN157" i="41"/>
  <c r="M143" i="41"/>
  <c r="M156" i="41" s="1"/>
  <c r="BG156" i="41" s="1"/>
  <c r="N37" i="85" s="1"/>
  <c r="BG73" i="41"/>
  <c r="I143" i="41"/>
  <c r="BC143" i="41" s="1"/>
  <c r="BC73" i="41"/>
  <c r="AH14" i="7"/>
  <c r="CE14" i="7" s="1"/>
  <c r="CE16" i="7"/>
  <c r="G60" i="49"/>
  <c r="M60" i="49" s="1"/>
  <c r="CE43" i="7"/>
  <c r="G143" i="41"/>
  <c r="BA143" i="41" s="1"/>
  <c r="BA73" i="41"/>
  <c r="R156" i="41"/>
  <c r="I125" i="41"/>
  <c r="BC125" i="41" s="1"/>
  <c r="BC60" i="41"/>
  <c r="AD14" i="7"/>
  <c r="CA14" i="7" s="1"/>
  <c r="CA16" i="7"/>
  <c r="Z156" i="41"/>
  <c r="BT156" i="41" s="1"/>
  <c r="R157" i="41"/>
  <c r="AL157" i="41"/>
  <c r="CF157" i="41" s="1"/>
  <c r="L79" i="67"/>
  <c r="O69" i="67"/>
  <c r="X156" i="41"/>
  <c r="BR156" i="41" s="1"/>
  <c r="BR143" i="41"/>
  <c r="H144" i="41"/>
  <c r="BB99" i="41"/>
  <c r="AG18" i="7"/>
  <c r="CD18" i="7" s="1"/>
  <c r="BO156" i="41"/>
  <c r="L38" i="67"/>
  <c r="BE150" i="41"/>
  <c r="L38" i="85" s="1"/>
  <c r="O38" i="85" s="1"/>
  <c r="AC60" i="7"/>
  <c r="BZ60" i="7" s="1"/>
  <c r="L143" i="41"/>
  <c r="BF73" i="41"/>
  <c r="S157" i="41"/>
  <c r="AN14" i="7"/>
  <c r="CK14" i="7" s="1"/>
  <c r="CK16" i="7"/>
  <c r="M74" i="67"/>
  <c r="BF57" i="41"/>
  <c r="M74" i="85" s="1"/>
  <c r="K143" i="41"/>
  <c r="K156" i="41" s="1"/>
  <c r="BE156" i="41" s="1"/>
  <c r="L37" i="85" s="1"/>
  <c r="L13" i="85" s="1"/>
  <c r="BE73" i="41"/>
  <c r="S156" i="41"/>
  <c r="BM143" i="41"/>
  <c r="AW37" i="7"/>
  <c r="CS43" i="7"/>
  <c r="U157" i="41"/>
  <c r="BO144" i="41"/>
  <c r="P156" i="41"/>
  <c r="BJ156" i="41" s="1"/>
  <c r="BJ143" i="41"/>
  <c r="I126" i="41"/>
  <c r="BC126" i="41" s="1"/>
  <c r="L87" i="67"/>
  <c r="N87" i="67"/>
  <c r="K87" i="67"/>
  <c r="M87" i="67"/>
  <c r="M85" i="67"/>
  <c r="O53" i="67"/>
  <c r="L82" i="67"/>
  <c r="N82" i="67"/>
  <c r="O55" i="67"/>
  <c r="L85" i="67"/>
  <c r="J82" i="67"/>
  <c r="K126" i="41"/>
  <c r="O77" i="67"/>
  <c r="I134" i="41"/>
  <c r="BC134" i="41" s="1"/>
  <c r="J126" i="41"/>
  <c r="N57" i="41"/>
  <c r="BH57" i="41" s="1"/>
  <c r="L126" i="41"/>
  <c r="M79" i="67"/>
  <c r="L125" i="41"/>
  <c r="BF125" i="41" s="1"/>
  <c r="M125" i="41"/>
  <c r="BG125" i="41" s="1"/>
  <c r="H125" i="41"/>
  <c r="BB125" i="41" s="1"/>
  <c r="K134" i="41"/>
  <c r="BE134" i="41" s="1"/>
  <c r="M57" i="67"/>
  <c r="N79" i="67"/>
  <c r="O60" i="67"/>
  <c r="N68" i="67"/>
  <c r="G124" i="41"/>
  <c r="M126" i="41"/>
  <c r="L134" i="41"/>
  <c r="BF134" i="41" s="1"/>
  <c r="G134" i="41"/>
  <c r="BA134" i="41" s="1"/>
  <c r="K57" i="67"/>
  <c r="H134" i="41"/>
  <c r="BB134" i="41" s="1"/>
  <c r="O62" i="67"/>
  <c r="J57" i="67"/>
  <c r="J59" i="67" s="1"/>
  <c r="M134" i="41"/>
  <c r="BG134" i="41" s="1"/>
  <c r="M66" i="67"/>
  <c r="M68" i="67" s="1"/>
  <c r="O72" i="67"/>
  <c r="O78" i="67"/>
  <c r="M82" i="67"/>
  <c r="L57" i="67"/>
  <c r="K82" i="67"/>
  <c r="K66" i="67"/>
  <c r="K68" i="67" s="1"/>
  <c r="AG10" i="7"/>
  <c r="CD10" i="7" s="1"/>
  <c r="M38" i="67"/>
  <c r="AN10" i="7"/>
  <c r="CK10" i="7" s="1"/>
  <c r="L41" i="67"/>
  <c r="J87" i="67"/>
  <c r="O58" i="67"/>
  <c r="K125" i="41"/>
  <c r="BE125" i="41" s="1"/>
  <c r="O84" i="67"/>
  <c r="O54" i="67"/>
  <c r="J85" i="67"/>
  <c r="O83" i="67"/>
  <c r="K79" i="67"/>
  <c r="O80" i="67"/>
  <c r="AL10" i="7"/>
  <c r="CI10" i="7" s="1"/>
  <c r="J41" i="67"/>
  <c r="K124" i="41"/>
  <c r="H126" i="41"/>
  <c r="BB126" i="41" s="1"/>
  <c r="L124" i="41"/>
  <c r="N57" i="67"/>
  <c r="J79" i="67"/>
  <c r="K85" i="67"/>
  <c r="O81" i="67"/>
  <c r="O51" i="67"/>
  <c r="N85" i="67"/>
  <c r="AM10" i="7"/>
  <c r="CJ10" i="7" s="1"/>
  <c r="K41" i="67"/>
  <c r="AD10" i="7"/>
  <c r="CA10" i="7" s="1"/>
  <c r="J38" i="67"/>
  <c r="J134" i="41"/>
  <c r="BD134" i="41" s="1"/>
  <c r="AO10" i="7"/>
  <c r="CL10" i="7" s="1"/>
  <c r="M41" i="67"/>
  <c r="AE10" i="7"/>
  <c r="CB10" i="7" s="1"/>
  <c r="K38" i="67"/>
  <c r="O67" i="67"/>
  <c r="O48" i="67"/>
  <c r="O70" i="67"/>
  <c r="K71" i="67"/>
  <c r="AP10" i="7"/>
  <c r="CM10" i="7" s="1"/>
  <c r="AL14" i="7"/>
  <c r="CI14" i="7" s="1"/>
  <c r="AM19" i="7"/>
  <c r="AP14" i="7"/>
  <c r="CM14" i="7" s="1"/>
  <c r="AO14" i="7"/>
  <c r="CL14" i="7" s="1"/>
  <c r="AH10" i="7"/>
  <c r="CE10" i="7" s="1"/>
  <c r="AE14" i="7"/>
  <c r="CB14" i="7" s="1"/>
  <c r="H124" i="41"/>
  <c r="AD9" i="7"/>
  <c r="CA9" i="7" s="1"/>
  <c r="AF10" i="7"/>
  <c r="CC10" i="7" s="1"/>
  <c r="AG14" i="7"/>
  <c r="CD14" i="7" s="1"/>
  <c r="AE9" i="7"/>
  <c r="CB9" i="7" s="1"/>
  <c r="I124" i="41"/>
  <c r="M124" i="41"/>
  <c r="J125" i="41"/>
  <c r="BD125" i="41" s="1"/>
  <c r="AJ9" i="41"/>
  <c r="N60" i="41"/>
  <c r="BH60" i="41" s="1"/>
  <c r="N73" i="41"/>
  <c r="BH73" i="41" s="1"/>
  <c r="N36" i="41"/>
  <c r="BH36" i="41" s="1"/>
  <c r="N99" i="41"/>
  <c r="BH99" i="41" s="1"/>
  <c r="N11" i="41"/>
  <c r="BH11" i="41" s="1"/>
  <c r="J124" i="41"/>
  <c r="N150" i="41"/>
  <c r="BH150" i="41" s="1"/>
  <c r="N151" i="41"/>
  <c r="BH151" i="41" s="1"/>
  <c r="Z9" i="41"/>
  <c r="AH9" i="41"/>
  <c r="AI9" i="41"/>
  <c r="AA9" i="41"/>
  <c r="N48" i="41"/>
  <c r="BH48" i="41" s="1"/>
  <c r="AC9" i="41"/>
  <c r="AK9" i="41"/>
  <c r="Y9" i="41"/>
  <c r="AG9" i="41"/>
  <c r="BD124" i="41" l="1"/>
  <c r="BC144" i="41"/>
  <c r="L157" i="41"/>
  <c r="BF157" i="41" s="1"/>
  <c r="M40" i="85" s="1"/>
  <c r="BG124" i="41"/>
  <c r="G156" i="41"/>
  <c r="BA156" i="41" s="1"/>
  <c r="BE124" i="41"/>
  <c r="BB144" i="41"/>
  <c r="M157" i="41"/>
  <c r="BG157" i="41" s="1"/>
  <c r="N40" i="85" s="1"/>
  <c r="N14" i="85" s="1"/>
  <c r="BA144" i="41"/>
  <c r="BB124" i="41"/>
  <c r="BF124" i="41"/>
  <c r="BE144" i="41"/>
  <c r="BA124" i="41"/>
  <c r="AD66" i="7"/>
  <c r="AD67" i="7" s="1"/>
  <c r="AH18" i="7"/>
  <c r="CE18" i="7" s="1"/>
  <c r="BC124" i="41"/>
  <c r="AL19" i="7"/>
  <c r="AM77" i="7"/>
  <c r="AM78" i="7" s="1"/>
  <c r="J157" i="41"/>
  <c r="BD157" i="41" s="1"/>
  <c r="K40" i="85" s="1"/>
  <c r="K14" i="85" s="1"/>
  <c r="AK77" i="7"/>
  <c r="BO37" i="7"/>
  <c r="G31" i="49"/>
  <c r="M31" i="49" s="1"/>
  <c r="R43" i="7"/>
  <c r="AL77" i="7"/>
  <c r="AL78" i="7" s="1"/>
  <c r="C13" i="47"/>
  <c r="J13" i="47" s="1"/>
  <c r="C29" i="47"/>
  <c r="J29" i="47" s="1"/>
  <c r="AH19" i="7"/>
  <c r="AP66" i="7"/>
  <c r="AP67" i="7" s="1"/>
  <c r="I156" i="41"/>
  <c r="BC156" i="41" s="1"/>
  <c r="J37" i="85" s="1"/>
  <c r="J156" i="41"/>
  <c r="BD156" i="41" s="1"/>
  <c r="K37" i="85" s="1"/>
  <c r="K13" i="85" s="1"/>
  <c r="AK66" i="7"/>
  <c r="AK67" i="7" s="1"/>
  <c r="AN77" i="7"/>
  <c r="AN78" i="7" s="1"/>
  <c r="BP157" i="41"/>
  <c r="AO19" i="7"/>
  <c r="AO22" i="7" s="1"/>
  <c r="CL22" i="7" s="1"/>
  <c r="AC77" i="7"/>
  <c r="H157" i="41"/>
  <c r="BB157" i="41" s="1"/>
  <c r="AP19" i="7"/>
  <c r="AC78" i="7"/>
  <c r="AK78" i="7"/>
  <c r="AN66" i="7"/>
  <c r="AN67" i="7" s="1"/>
  <c r="AM66" i="7"/>
  <c r="AM67" i="7" s="1"/>
  <c r="AO77" i="7"/>
  <c r="AO78" i="7" s="1"/>
  <c r="O82" i="85"/>
  <c r="AC66" i="7"/>
  <c r="AC67" i="7" s="1"/>
  <c r="N86" i="67"/>
  <c r="AE19" i="7"/>
  <c r="CB19" i="7" s="1"/>
  <c r="AL66" i="7"/>
  <c r="AL67" i="7" s="1"/>
  <c r="AP77" i="7"/>
  <c r="AP78" i="7" s="1"/>
  <c r="AF19" i="7"/>
  <c r="AO66" i="7"/>
  <c r="AO67" i="7" s="1"/>
  <c r="AD77" i="7"/>
  <c r="AD78" i="7" s="1"/>
  <c r="N143" i="41"/>
  <c r="BH143" i="41" s="1"/>
  <c r="AG19" i="7"/>
  <c r="K157" i="41"/>
  <c r="AN11" i="7" s="1"/>
  <c r="CK11" i="7" s="1"/>
  <c r="O85" i="85"/>
  <c r="L156" i="41"/>
  <c r="BF156" i="41" s="1"/>
  <c r="M37" i="85" s="1"/>
  <c r="M13" i="85" s="1"/>
  <c r="AD19" i="7"/>
  <c r="AE77" i="7"/>
  <c r="AE78" i="7" s="1"/>
  <c r="AN9" i="7"/>
  <c r="CK9" i="7" s="1"/>
  <c r="AF77" i="7"/>
  <c r="AF78" i="7" s="1"/>
  <c r="Q22" i="85"/>
  <c r="N36" i="85"/>
  <c r="N22" i="85" s="1"/>
  <c r="N13" i="85"/>
  <c r="J73" i="85"/>
  <c r="O73" i="85" s="1"/>
  <c r="O71" i="85"/>
  <c r="O57" i="85"/>
  <c r="J59" i="85"/>
  <c r="J86" i="85"/>
  <c r="J88" i="85" s="1"/>
  <c r="J36" i="85"/>
  <c r="J13" i="85"/>
  <c r="Q23" i="85"/>
  <c r="M59" i="85"/>
  <c r="M92" i="85" s="1"/>
  <c r="M86" i="85"/>
  <c r="M88" i="85" s="1"/>
  <c r="K36" i="85"/>
  <c r="K22" i="85" s="1"/>
  <c r="AE66" i="7"/>
  <c r="AE67" i="7" s="1"/>
  <c r="L36" i="85"/>
  <c r="L22" i="85" s="1"/>
  <c r="K86" i="85"/>
  <c r="K88" i="85" s="1"/>
  <c r="K59" i="85"/>
  <c r="K92" i="85" s="1"/>
  <c r="N86" i="85"/>
  <c r="N88" i="85" s="1"/>
  <c r="N59" i="85"/>
  <c r="N92" i="85" s="1"/>
  <c r="O87" i="85"/>
  <c r="O74" i="67"/>
  <c r="O74" i="85"/>
  <c r="L59" i="85"/>
  <c r="L92" i="85" s="1"/>
  <c r="L86" i="85"/>
  <c r="L88" i="85" s="1"/>
  <c r="O79" i="85"/>
  <c r="O66" i="85"/>
  <c r="J68" i="85"/>
  <c r="O68" i="85" s="1"/>
  <c r="AH78" i="7"/>
  <c r="H156" i="41"/>
  <c r="BB156" i="41" s="1"/>
  <c r="AG77" i="7"/>
  <c r="AG78" i="7" s="1"/>
  <c r="G157" i="41"/>
  <c r="BA157" i="41" s="1"/>
  <c r="AN19" i="7"/>
  <c r="CK19" i="7" s="1"/>
  <c r="AH77" i="7"/>
  <c r="AF66" i="7"/>
  <c r="AF67" i="7" s="1"/>
  <c r="CT37" i="7"/>
  <c r="AW43" i="7"/>
  <c r="AW41" i="7" s="1"/>
  <c r="AD18" i="7"/>
  <c r="CA18" i="7" s="1"/>
  <c r="BL156" i="41"/>
  <c r="AO9" i="7"/>
  <c r="CL9" i="7" s="1"/>
  <c r="BF144" i="41"/>
  <c r="AG17" i="7"/>
  <c r="CD17" i="7" s="1"/>
  <c r="CD19" i="7"/>
  <c r="AL9" i="7"/>
  <c r="CI9" i="7" s="1"/>
  <c r="G13" i="47"/>
  <c r="N13" i="47" s="1"/>
  <c r="BG126" i="41"/>
  <c r="AG66" i="7"/>
  <c r="AG67" i="7" s="1"/>
  <c r="AM18" i="7"/>
  <c r="CJ18" i="7" s="1"/>
  <c r="BM157" i="41"/>
  <c r="AF18" i="7"/>
  <c r="CC18" i="7" s="1"/>
  <c r="BN156" i="41"/>
  <c r="CJ19" i="7"/>
  <c r="N144" i="41"/>
  <c r="BH144" i="41" s="1"/>
  <c r="AE18" i="7"/>
  <c r="CB18" i="7" s="1"/>
  <c r="BM156" i="41"/>
  <c r="AL18" i="7"/>
  <c r="CI18" i="7" s="1"/>
  <c r="BL157" i="41"/>
  <c r="BV43" i="7"/>
  <c r="Z37" i="7"/>
  <c r="F46" i="49"/>
  <c r="L46" i="49" s="1"/>
  <c r="J37" i="7"/>
  <c r="BF43" i="7"/>
  <c r="F18" i="49"/>
  <c r="L18" i="49" s="1"/>
  <c r="AD22" i="7"/>
  <c r="CA22" i="7" s="1"/>
  <c r="CA19" i="7"/>
  <c r="AO11" i="7"/>
  <c r="CL11" i="7" s="1"/>
  <c r="D29" i="47"/>
  <c r="K29" i="47" s="1"/>
  <c r="BD126" i="41"/>
  <c r="AH66" i="7"/>
  <c r="AH67" i="7" s="1"/>
  <c r="AG9" i="7"/>
  <c r="CD9" i="7" s="1"/>
  <c r="BF143" i="41"/>
  <c r="AF9" i="7"/>
  <c r="CC9" i="7" s="1"/>
  <c r="BE143" i="41"/>
  <c r="AH9" i="7"/>
  <c r="CE9" i="7" s="1"/>
  <c r="BG143" i="41"/>
  <c r="AH17" i="7"/>
  <c r="CE19" i="7"/>
  <c r="CI19" i="7"/>
  <c r="CC19" i="7"/>
  <c r="AP22" i="7"/>
  <c r="CM22" i="7" s="1"/>
  <c r="CM19" i="7"/>
  <c r="AP37" i="7"/>
  <c r="CL43" i="7"/>
  <c r="F74" i="49"/>
  <c r="L74" i="49" s="1"/>
  <c r="AP9" i="7"/>
  <c r="CM9" i="7" s="1"/>
  <c r="BG144" i="41"/>
  <c r="I157" i="41"/>
  <c r="BC157" i="41" s="1"/>
  <c r="J40" i="85" s="1"/>
  <c r="E13" i="47"/>
  <c r="L13" i="47" s="1"/>
  <c r="BE126" i="41"/>
  <c r="AO18" i="7"/>
  <c r="CL18" i="7" s="1"/>
  <c r="BO157" i="41"/>
  <c r="AM9" i="7"/>
  <c r="CJ9" i="7" s="1"/>
  <c r="BD144" i="41"/>
  <c r="F29" i="47"/>
  <c r="M29" i="47" s="1"/>
  <c r="BF126" i="41"/>
  <c r="L59" i="67"/>
  <c r="L92" i="67" s="1"/>
  <c r="L86" i="67"/>
  <c r="L88" i="67" s="1"/>
  <c r="K59" i="67"/>
  <c r="K86" i="67"/>
  <c r="K88" i="67" s="1"/>
  <c r="O79" i="67"/>
  <c r="M59" i="67"/>
  <c r="M92" i="67" s="1"/>
  <c r="M86" i="67"/>
  <c r="M88" i="67" s="1"/>
  <c r="O87" i="67"/>
  <c r="O82" i="67"/>
  <c r="E29" i="47"/>
  <c r="L29" i="47" s="1"/>
  <c r="AH22" i="7"/>
  <c r="CE22" i="7" s="1"/>
  <c r="D13" i="47"/>
  <c r="K13" i="47" s="1"/>
  <c r="N134" i="41"/>
  <c r="BH134" i="41" s="1"/>
  <c r="J86" i="67"/>
  <c r="J88" i="67" s="1"/>
  <c r="N126" i="41"/>
  <c r="BH126" i="41" s="1"/>
  <c r="F13" i="47"/>
  <c r="M13" i="47" s="1"/>
  <c r="N125" i="41"/>
  <c r="BH125" i="41" s="1"/>
  <c r="O57" i="67"/>
  <c r="O68" i="67"/>
  <c r="G29" i="47"/>
  <c r="N29" i="47" s="1"/>
  <c r="AF22" i="7"/>
  <c r="CC22" i="7" s="1"/>
  <c r="AP17" i="7"/>
  <c r="O66" i="67"/>
  <c r="AD11" i="7"/>
  <c r="CA11" i="7" s="1"/>
  <c r="J37" i="67"/>
  <c r="O38" i="67"/>
  <c r="Q22" i="67" s="1"/>
  <c r="N59" i="67"/>
  <c r="N92" i="67" s="1"/>
  <c r="N88" i="67"/>
  <c r="O41" i="67"/>
  <c r="Q23" i="67" s="1"/>
  <c r="AF11" i="7"/>
  <c r="CC11" i="7" s="1"/>
  <c r="L37" i="67"/>
  <c r="AH11" i="7"/>
  <c r="CE11" i="7" s="1"/>
  <c r="N37" i="67"/>
  <c r="O85" i="67"/>
  <c r="AG22" i="7"/>
  <c r="CD22" i="7" s="1"/>
  <c r="O71" i="67"/>
  <c r="K73" i="67"/>
  <c r="N124" i="41"/>
  <c r="BH124" i="41" s="1"/>
  <c r="J92" i="67"/>
  <c r="AM22" i="7"/>
  <c r="CJ22" i="7" s="1"/>
  <c r="AL22" i="7"/>
  <c r="CI22" i="7" s="1"/>
  <c r="AW28" i="53"/>
  <c r="CY28" i="53" s="1"/>
  <c r="AX28" i="53"/>
  <c r="CZ28" i="53" s="1"/>
  <c r="AY28" i="53"/>
  <c r="DA28" i="53" s="1"/>
  <c r="AZ28" i="53"/>
  <c r="DB28" i="53" s="1"/>
  <c r="BA28" i="53"/>
  <c r="DC28" i="53" s="1"/>
  <c r="BB28" i="53"/>
  <c r="DD28" i="53" s="1"/>
  <c r="BC28" i="53"/>
  <c r="DE28" i="53" s="1"/>
  <c r="BD28" i="53"/>
  <c r="DF28" i="53" s="1"/>
  <c r="BE28" i="53"/>
  <c r="DG28" i="53" s="1"/>
  <c r="BF28" i="53"/>
  <c r="DH28" i="53" s="1"/>
  <c r="BG28" i="53"/>
  <c r="DI28" i="53" s="1"/>
  <c r="BH28" i="53"/>
  <c r="DJ28" i="53" s="1"/>
  <c r="M36" i="85" l="1"/>
  <c r="M22" i="85" s="1"/>
  <c r="N39" i="85"/>
  <c r="N23" i="85" s="1"/>
  <c r="AP11" i="7"/>
  <c r="CM11" i="7" s="1"/>
  <c r="AD17" i="7"/>
  <c r="AD13" i="7" s="1"/>
  <c r="AF17" i="7"/>
  <c r="N40" i="67"/>
  <c r="M40" i="67"/>
  <c r="M39" i="67" s="1"/>
  <c r="M23" i="67" s="1"/>
  <c r="K40" i="67"/>
  <c r="K39" i="67" s="1"/>
  <c r="K23" i="67" s="1"/>
  <c r="K39" i="85"/>
  <c r="K23" i="85" s="1"/>
  <c r="AM11" i="7"/>
  <c r="CJ11" i="7" s="1"/>
  <c r="R41" i="7"/>
  <c r="BO43" i="7"/>
  <c r="G32" i="49"/>
  <c r="M32" i="49" s="1"/>
  <c r="L40" i="67"/>
  <c r="L39" i="67" s="1"/>
  <c r="L23" i="67" s="1"/>
  <c r="AN22" i="7"/>
  <c r="CK22" i="7" s="1"/>
  <c r="AN17" i="7"/>
  <c r="AN13" i="7" s="1"/>
  <c r="AE11" i="7"/>
  <c r="CB11" i="7" s="1"/>
  <c r="AE22" i="7"/>
  <c r="CB22" i="7" s="1"/>
  <c r="CL19" i="7"/>
  <c r="BE157" i="41"/>
  <c r="L40" i="85" s="1"/>
  <c r="L14" i="85" s="1"/>
  <c r="N156" i="41"/>
  <c r="BH156" i="41" s="1"/>
  <c r="K37" i="67"/>
  <c r="K36" i="67" s="1"/>
  <c r="K22" i="67" s="1"/>
  <c r="AL11" i="7"/>
  <c r="CI11" i="7" s="1"/>
  <c r="M37" i="67"/>
  <c r="M36" i="67" s="1"/>
  <c r="M22" i="67" s="1"/>
  <c r="O37" i="85"/>
  <c r="P22" i="85" s="1"/>
  <c r="AG11" i="7"/>
  <c r="CD11" i="7" s="1"/>
  <c r="O13" i="85"/>
  <c r="J40" i="67"/>
  <c r="J39" i="67" s="1"/>
  <c r="N157" i="41"/>
  <c r="BH157" i="41" s="1"/>
  <c r="M39" i="85"/>
  <c r="M23" i="85" s="1"/>
  <c r="M14" i="85"/>
  <c r="AE17" i="7"/>
  <c r="CB17" i="7" s="1"/>
  <c r="O36" i="85"/>
  <c r="J22" i="85"/>
  <c r="O22" i="85" s="1"/>
  <c r="O88" i="85"/>
  <c r="P73" i="85" s="1"/>
  <c r="J39" i="85"/>
  <c r="J14" i="85"/>
  <c r="J92" i="85"/>
  <c r="O59" i="85"/>
  <c r="AL17" i="7"/>
  <c r="O86" i="85"/>
  <c r="AM17" i="7"/>
  <c r="CJ17" i="7" s="1"/>
  <c r="AG13" i="7"/>
  <c r="AG21" i="7" s="1"/>
  <c r="CD21" i="7" s="1"/>
  <c r="AF13" i="7"/>
  <c r="CC17" i="7"/>
  <c r="BW37" i="7"/>
  <c r="Z43" i="7"/>
  <c r="Z41" i="7" s="1"/>
  <c r="G45" i="49"/>
  <c r="M45" i="49" s="1"/>
  <c r="AP13" i="7"/>
  <c r="CM17" i="7"/>
  <c r="AX37" i="7"/>
  <c r="CT43" i="7"/>
  <c r="AP41" i="7"/>
  <c r="CM37" i="7"/>
  <c r="AP43" i="7"/>
  <c r="G73" i="49"/>
  <c r="M73" i="49" s="1"/>
  <c r="AH13" i="7"/>
  <c r="CE17" i="7"/>
  <c r="CA17" i="7"/>
  <c r="G17" i="49"/>
  <c r="M17" i="49" s="1"/>
  <c r="BG37" i="7"/>
  <c r="J43" i="7"/>
  <c r="J41" i="7"/>
  <c r="AO17" i="7"/>
  <c r="O86" i="67"/>
  <c r="M14" i="67"/>
  <c r="N13" i="67"/>
  <c r="N36" i="67"/>
  <c r="N22" i="67" s="1"/>
  <c r="K13" i="67"/>
  <c r="O59" i="67"/>
  <c r="J13" i="67"/>
  <c r="J36" i="67"/>
  <c r="N14" i="67"/>
  <c r="N39" i="67"/>
  <c r="N23" i="67" s="1"/>
  <c r="L36" i="67"/>
  <c r="L22" i="67" s="1"/>
  <c r="L13" i="67"/>
  <c r="O88" i="67"/>
  <c r="P57" i="67" s="1"/>
  <c r="O73" i="67"/>
  <c r="K92" i="67"/>
  <c r="Q53" i="60"/>
  <c r="BN53" i="60" s="1"/>
  <c r="K14" i="67" l="1"/>
  <c r="CD13" i="7"/>
  <c r="L14" i="67"/>
  <c r="AM13" i="7"/>
  <c r="AM21" i="7" s="1"/>
  <c r="CJ21" i="7" s="1"/>
  <c r="J14" i="67"/>
  <c r="P57" i="85"/>
  <c r="M13" i="67"/>
  <c r="O37" i="67"/>
  <c r="P22" i="67" s="1"/>
  <c r="O40" i="67"/>
  <c r="P23" i="67" s="1"/>
  <c r="CK17" i="7"/>
  <c r="L39" i="85"/>
  <c r="L23" i="85" s="1"/>
  <c r="O40" i="85"/>
  <c r="P23" i="85" s="1"/>
  <c r="P86" i="85"/>
  <c r="AE13" i="7"/>
  <c r="AE21" i="7" s="1"/>
  <c r="CB21" i="7" s="1"/>
  <c r="J23" i="85"/>
  <c r="O23" i="85" s="1"/>
  <c r="CI17" i="7"/>
  <c r="AL13" i="7"/>
  <c r="P87" i="85"/>
  <c r="P88" i="85"/>
  <c r="P81" i="85"/>
  <c r="P78" i="85"/>
  <c r="P77" i="85"/>
  <c r="P48" i="85"/>
  <c r="P62" i="85"/>
  <c r="P67" i="85"/>
  <c r="P72" i="85"/>
  <c r="P55" i="85"/>
  <c r="P63" i="85"/>
  <c r="P54" i="85"/>
  <c r="P53" i="85"/>
  <c r="P65" i="85"/>
  <c r="P70" i="85"/>
  <c r="P80" i="85"/>
  <c r="P82" i="85"/>
  <c r="P83" i="85"/>
  <c r="P64" i="85"/>
  <c r="P50" i="85"/>
  <c r="P84" i="85"/>
  <c r="P49" i="85"/>
  <c r="P85" i="85"/>
  <c r="P75" i="85"/>
  <c r="P52" i="85"/>
  <c r="P60" i="85"/>
  <c r="P58" i="85"/>
  <c r="P69" i="85"/>
  <c r="P61" i="85"/>
  <c r="P76" i="85"/>
  <c r="P56" i="85"/>
  <c r="P51" i="85"/>
  <c r="P71" i="85"/>
  <c r="P59" i="85"/>
  <c r="O92" i="85"/>
  <c r="P79" i="85"/>
  <c r="P66" i="85"/>
  <c r="P74" i="85"/>
  <c r="O14" i="85"/>
  <c r="P68" i="85"/>
  <c r="AH21" i="7"/>
  <c r="CE21" i="7" s="1"/>
  <c r="CE13" i="7"/>
  <c r="CK13" i="7"/>
  <c r="AN21" i="7"/>
  <c r="CK21" i="7" s="1"/>
  <c r="G18" i="49"/>
  <c r="M18" i="49" s="1"/>
  <c r="BG43" i="7"/>
  <c r="G46" i="49"/>
  <c r="M46" i="49" s="1"/>
  <c r="BW43" i="7"/>
  <c r="G74" i="49"/>
  <c r="M74" i="49" s="1"/>
  <c r="CM43" i="7"/>
  <c r="CU37" i="7"/>
  <c r="AX43" i="7"/>
  <c r="CU43" i="7" s="1"/>
  <c r="CB13" i="7"/>
  <c r="AP21" i="7"/>
  <c r="CM21" i="7" s="1"/>
  <c r="CM13" i="7"/>
  <c r="AF21" i="7"/>
  <c r="CC21" i="7" s="1"/>
  <c r="CC13" i="7"/>
  <c r="CL17" i="7"/>
  <c r="AO13" i="7"/>
  <c r="AD21" i="7"/>
  <c r="CA21" i="7" s="1"/>
  <c r="CA13" i="7"/>
  <c r="P65" i="67"/>
  <c r="P51" i="67"/>
  <c r="P84" i="67"/>
  <c r="P85" i="67"/>
  <c r="P68" i="67"/>
  <c r="P71" i="67"/>
  <c r="P78" i="67"/>
  <c r="P81" i="67"/>
  <c r="P58" i="67"/>
  <c r="P50" i="67"/>
  <c r="P61" i="67"/>
  <c r="P79" i="67"/>
  <c r="P64" i="67"/>
  <c r="P80" i="67"/>
  <c r="P63" i="67"/>
  <c r="P72" i="67"/>
  <c r="P67" i="67"/>
  <c r="P75" i="67"/>
  <c r="P52" i="67"/>
  <c r="J23" i="67"/>
  <c r="O23" i="67" s="1"/>
  <c r="O39" i="67"/>
  <c r="O13" i="67"/>
  <c r="J22" i="67"/>
  <c r="O22" i="67" s="1"/>
  <c r="O36" i="67"/>
  <c r="P73" i="67"/>
  <c r="P59" i="67"/>
  <c r="P60" i="67"/>
  <c r="P82" i="67"/>
  <c r="P53" i="67"/>
  <c r="P88" i="67"/>
  <c r="P69" i="67"/>
  <c r="P70" i="67"/>
  <c r="P74" i="67"/>
  <c r="P77" i="67"/>
  <c r="P54" i="67"/>
  <c r="P86" i="67"/>
  <c r="P48" i="67"/>
  <c r="P56" i="67"/>
  <c r="P55" i="67"/>
  <c r="P83" i="67"/>
  <c r="P66" i="67"/>
  <c r="P49" i="67"/>
  <c r="P62" i="67"/>
  <c r="P76" i="67"/>
  <c r="P87" i="67"/>
  <c r="O92" i="67"/>
  <c r="D101" i="73"/>
  <c r="BH101" i="73" s="1"/>
  <c r="D100" i="73"/>
  <c r="BH100" i="73" s="1"/>
  <c r="CJ13" i="7" l="1"/>
  <c r="O14" i="67"/>
  <c r="O39" i="85"/>
  <c r="AX41" i="7"/>
  <c r="AL21" i="7"/>
  <c r="CI21" i="7" s="1"/>
  <c r="CI13" i="7"/>
  <c r="AO21" i="7"/>
  <c r="CL21" i="7" s="1"/>
  <c r="CL13" i="7"/>
  <c r="AH105" i="73"/>
  <c r="BX105" i="73" s="1"/>
  <c r="AH104" i="73"/>
  <c r="BX104" i="73" s="1"/>
  <c r="AH103" i="73"/>
  <c r="BX103" i="73" s="1"/>
  <c r="AH102" i="73"/>
  <c r="BX102" i="73" s="1"/>
  <c r="AF105" i="73"/>
  <c r="BW105" i="73" s="1"/>
  <c r="AF104" i="73"/>
  <c r="BW104" i="73" s="1"/>
  <c r="AF103" i="73"/>
  <c r="BW103" i="73" s="1"/>
  <c r="AF102" i="73"/>
  <c r="BW102" i="73" s="1"/>
  <c r="AD105" i="73"/>
  <c r="BV105" i="73" s="1"/>
  <c r="AD104" i="73"/>
  <c r="BV104" i="73" s="1"/>
  <c r="AD103" i="73"/>
  <c r="BV103" i="73" s="1"/>
  <c r="AD102" i="73"/>
  <c r="BV102" i="73" s="1"/>
  <c r="AB105" i="73"/>
  <c r="BU105" i="73" s="1"/>
  <c r="AB104" i="73"/>
  <c r="BU104" i="73" s="1"/>
  <c r="AB103" i="73"/>
  <c r="BU103" i="73" s="1"/>
  <c r="AB102" i="73"/>
  <c r="BU102" i="73" s="1"/>
  <c r="Z105" i="73"/>
  <c r="BT105" i="73" s="1"/>
  <c r="Z104" i="73"/>
  <c r="BT104" i="73" s="1"/>
  <c r="Z103" i="73"/>
  <c r="BT103" i="73" s="1"/>
  <c r="Z102" i="73"/>
  <c r="BT102" i="73" s="1"/>
  <c r="AH101" i="73"/>
  <c r="BX101" i="73" s="1"/>
  <c r="AF101" i="73"/>
  <c r="BW101" i="73" s="1"/>
  <c r="AD101" i="73"/>
  <c r="BV101" i="73" s="1"/>
  <c r="AB101" i="73"/>
  <c r="BU101" i="73" s="1"/>
  <c r="Z101" i="73"/>
  <c r="BT101" i="73" s="1"/>
  <c r="AH100" i="73"/>
  <c r="AF100" i="73"/>
  <c r="AD100" i="73"/>
  <c r="BV100" i="73" s="1"/>
  <c r="AB100" i="73"/>
  <c r="BU100" i="73" s="1"/>
  <c r="Z100" i="73"/>
  <c r="BT100" i="73" s="1"/>
  <c r="W105" i="73"/>
  <c r="BR105" i="73" s="1"/>
  <c r="U105" i="73"/>
  <c r="BQ105" i="73" s="1"/>
  <c r="S105" i="73"/>
  <c r="BP105" i="73" s="1"/>
  <c r="Q105" i="73"/>
  <c r="BO105" i="73" s="1"/>
  <c r="O105" i="73"/>
  <c r="BN105" i="73" s="1"/>
  <c r="W104" i="73"/>
  <c r="BR104" i="73" s="1"/>
  <c r="U104" i="73"/>
  <c r="BQ104" i="73" s="1"/>
  <c r="S104" i="73"/>
  <c r="BP104" i="73" s="1"/>
  <c r="Q104" i="73"/>
  <c r="BO104" i="73" s="1"/>
  <c r="O104" i="73"/>
  <c r="BN104" i="73" s="1"/>
  <c r="W103" i="73"/>
  <c r="BR103" i="73" s="1"/>
  <c r="U103" i="73"/>
  <c r="BQ103" i="73" s="1"/>
  <c r="S103" i="73"/>
  <c r="BP103" i="73" s="1"/>
  <c r="Q103" i="73"/>
  <c r="BO103" i="73" s="1"/>
  <c r="O103" i="73"/>
  <c r="BN103" i="73" s="1"/>
  <c r="W102" i="73"/>
  <c r="BR102" i="73" s="1"/>
  <c r="U102" i="73"/>
  <c r="BQ102" i="73" s="1"/>
  <c r="S102" i="73"/>
  <c r="BP102" i="73" s="1"/>
  <c r="Q102" i="73"/>
  <c r="BO102" i="73" s="1"/>
  <c r="O102" i="73"/>
  <c r="BN102" i="73" s="1"/>
  <c r="W101" i="73"/>
  <c r="BR101" i="73" s="1"/>
  <c r="U101" i="73"/>
  <c r="BQ101" i="73" s="1"/>
  <c r="S101" i="73"/>
  <c r="BP101" i="73" s="1"/>
  <c r="Q101" i="73"/>
  <c r="BO101" i="73" s="1"/>
  <c r="O101" i="73"/>
  <c r="BN101" i="73" s="1"/>
  <c r="W100" i="73"/>
  <c r="U100" i="73"/>
  <c r="BQ100" i="73" s="1"/>
  <c r="S100" i="73"/>
  <c r="BP100" i="73" s="1"/>
  <c r="Q100" i="73"/>
  <c r="BO100" i="73" s="1"/>
  <c r="O100" i="73"/>
  <c r="BN100" i="73" s="1"/>
  <c r="L106" i="73"/>
  <c r="BL106" i="73" s="1"/>
  <c r="J106" i="73"/>
  <c r="BK106" i="73" s="1"/>
  <c r="H106" i="73"/>
  <c r="BJ106" i="73" s="1"/>
  <c r="F106" i="73"/>
  <c r="BI106" i="73" s="1"/>
  <c r="L105" i="73"/>
  <c r="BL105" i="73" s="1"/>
  <c r="J105" i="73"/>
  <c r="BK105" i="73" s="1"/>
  <c r="H105" i="73"/>
  <c r="BJ105" i="73" s="1"/>
  <c r="F105" i="73"/>
  <c r="BI105" i="73" s="1"/>
  <c r="L104" i="73"/>
  <c r="BL104" i="73" s="1"/>
  <c r="J104" i="73"/>
  <c r="BK104" i="73" s="1"/>
  <c r="H104" i="73"/>
  <c r="BJ104" i="73" s="1"/>
  <c r="F104" i="73"/>
  <c r="BI104" i="73" s="1"/>
  <c r="L103" i="73"/>
  <c r="BL103" i="73" s="1"/>
  <c r="J103" i="73"/>
  <c r="BK103" i="73" s="1"/>
  <c r="H103" i="73"/>
  <c r="BJ103" i="73" s="1"/>
  <c r="F103" i="73"/>
  <c r="BI103" i="73" s="1"/>
  <c r="L102" i="73"/>
  <c r="BL102" i="73" s="1"/>
  <c r="J102" i="73"/>
  <c r="BK102" i="73" s="1"/>
  <c r="H102" i="73"/>
  <c r="BJ102" i="73" s="1"/>
  <c r="F102" i="73"/>
  <c r="BI102" i="73" s="1"/>
  <c r="L101" i="73"/>
  <c r="BL101" i="73" s="1"/>
  <c r="J101" i="73"/>
  <c r="BK101" i="73" s="1"/>
  <c r="H101" i="73"/>
  <c r="BJ101" i="73" s="1"/>
  <c r="F101" i="73"/>
  <c r="BI101" i="73" s="1"/>
  <c r="D105" i="73"/>
  <c r="BH105" i="73" s="1"/>
  <c r="D104" i="73"/>
  <c r="BH104" i="73" s="1"/>
  <c r="D103" i="73"/>
  <c r="BH103" i="73" s="1"/>
  <c r="D102" i="73"/>
  <c r="BH102" i="73" s="1"/>
  <c r="BE87" i="73"/>
  <c r="BD87" i="73"/>
  <c r="CJ87" i="73" s="1"/>
  <c r="BC87" i="73"/>
  <c r="BB87" i="73"/>
  <c r="CI87" i="73" s="1"/>
  <c r="BA87" i="73"/>
  <c r="AZ87" i="73"/>
  <c r="CH87" i="73" s="1"/>
  <c r="AY87" i="73"/>
  <c r="AX87" i="73"/>
  <c r="CG87" i="73" s="1"/>
  <c r="AW87" i="73"/>
  <c r="AV87" i="73"/>
  <c r="CF87" i="73" s="1"/>
  <c r="BE86" i="73"/>
  <c r="BD86" i="73"/>
  <c r="CJ86" i="73" s="1"/>
  <c r="BC86" i="73"/>
  <c r="BB86" i="73"/>
  <c r="CI86" i="73" s="1"/>
  <c r="BA86" i="73"/>
  <c r="AZ86" i="73"/>
  <c r="CH86" i="73" s="1"/>
  <c r="AY86" i="73"/>
  <c r="AX86" i="73"/>
  <c r="CG86" i="73" s="1"/>
  <c r="AW86" i="73"/>
  <c r="AV86" i="73"/>
  <c r="CF86" i="73" s="1"/>
  <c r="BE85" i="73"/>
  <c r="BD85" i="73"/>
  <c r="CJ85" i="73" s="1"/>
  <c r="BC85" i="73"/>
  <c r="BB85" i="73"/>
  <c r="CI85" i="73" s="1"/>
  <c r="BA85" i="73"/>
  <c r="AZ85" i="73"/>
  <c r="CH85" i="73" s="1"/>
  <c r="AY85" i="73"/>
  <c r="AX85" i="73"/>
  <c r="CG85" i="73" s="1"/>
  <c r="AW85" i="73"/>
  <c r="AV85" i="73"/>
  <c r="CF85" i="73" s="1"/>
  <c r="BE84" i="73"/>
  <c r="BD84" i="73"/>
  <c r="CJ84" i="73" s="1"/>
  <c r="BC84" i="73"/>
  <c r="BB84" i="73"/>
  <c r="CI84" i="73" s="1"/>
  <c r="BA84" i="73"/>
  <c r="AZ84" i="73"/>
  <c r="CH84" i="73" s="1"/>
  <c r="AY84" i="73"/>
  <c r="AX84" i="73"/>
  <c r="CG84" i="73" s="1"/>
  <c r="AW84" i="73"/>
  <c r="AV84" i="73"/>
  <c r="CF84" i="73" s="1"/>
  <c r="BE82" i="73"/>
  <c r="BD82" i="73"/>
  <c r="CJ82" i="73" s="1"/>
  <c r="BC82" i="73"/>
  <c r="BB82" i="73"/>
  <c r="CI82" i="73" s="1"/>
  <c r="BA82" i="73"/>
  <c r="AZ82" i="73"/>
  <c r="CH82" i="73" s="1"/>
  <c r="AY82" i="73"/>
  <c r="AX82" i="73"/>
  <c r="CG82" i="73" s="1"/>
  <c r="AW82" i="73"/>
  <c r="AV82" i="73"/>
  <c r="CF82" i="73" s="1"/>
  <c r="BE81" i="73"/>
  <c r="BD81" i="73"/>
  <c r="CJ81" i="73" s="1"/>
  <c r="BC81" i="73"/>
  <c r="BB81" i="73"/>
  <c r="CI81" i="73" s="1"/>
  <c r="BA81" i="73"/>
  <c r="AZ81" i="73"/>
  <c r="CH81" i="73" s="1"/>
  <c r="AY81" i="73"/>
  <c r="AX81" i="73"/>
  <c r="CG81" i="73" s="1"/>
  <c r="AW81" i="73"/>
  <c r="AV81" i="73"/>
  <c r="CF81" i="73" s="1"/>
  <c r="BE80" i="73"/>
  <c r="BD80" i="73"/>
  <c r="CJ80" i="73" s="1"/>
  <c r="BC80" i="73"/>
  <c r="BB80" i="73"/>
  <c r="CI80" i="73" s="1"/>
  <c r="BA80" i="73"/>
  <c r="AZ80" i="73"/>
  <c r="CH80" i="73" s="1"/>
  <c r="AY80" i="73"/>
  <c r="AX80" i="73"/>
  <c r="CG80" i="73" s="1"/>
  <c r="AW80" i="73"/>
  <c r="AV80" i="73"/>
  <c r="CF80" i="73" s="1"/>
  <c r="BE79" i="73"/>
  <c r="BD79" i="73"/>
  <c r="CJ79" i="73" s="1"/>
  <c r="BC79" i="73"/>
  <c r="BB79" i="73"/>
  <c r="CI79" i="73" s="1"/>
  <c r="BA79" i="73"/>
  <c r="AZ79" i="73"/>
  <c r="CH79" i="73" s="1"/>
  <c r="AY79" i="73"/>
  <c r="AX79" i="73"/>
  <c r="CG79" i="73" s="1"/>
  <c r="AW79" i="73"/>
  <c r="AV79" i="73"/>
  <c r="CF79" i="73" s="1"/>
  <c r="BE78" i="73"/>
  <c r="BD78" i="73"/>
  <c r="CJ78" i="73" s="1"/>
  <c r="BC78" i="73"/>
  <c r="BB78" i="73"/>
  <c r="CI78" i="73" s="1"/>
  <c r="BA78" i="73"/>
  <c r="AZ78" i="73"/>
  <c r="CH78" i="73" s="1"/>
  <c r="AY78" i="73"/>
  <c r="AX78" i="73"/>
  <c r="CG78" i="73" s="1"/>
  <c r="AW78" i="73"/>
  <c r="AV78" i="73"/>
  <c r="CF78" i="73" s="1"/>
  <c r="BE77" i="73"/>
  <c r="BD77" i="73"/>
  <c r="CJ77" i="73" s="1"/>
  <c r="BC77" i="73"/>
  <c r="BB77" i="73"/>
  <c r="CI77" i="73" s="1"/>
  <c r="BA77" i="73"/>
  <c r="AZ77" i="73"/>
  <c r="CH77" i="73" s="1"/>
  <c r="AY77" i="73"/>
  <c r="AX77" i="73"/>
  <c r="CG77" i="73" s="1"/>
  <c r="AW77" i="73"/>
  <c r="AV77" i="73"/>
  <c r="CF77" i="73" s="1"/>
  <c r="BE75" i="73"/>
  <c r="BD75" i="73"/>
  <c r="CJ75" i="73" s="1"/>
  <c r="BC75" i="73"/>
  <c r="BB75" i="73"/>
  <c r="CI75" i="73" s="1"/>
  <c r="BA75" i="73"/>
  <c r="AZ75" i="73"/>
  <c r="CH75" i="73" s="1"/>
  <c r="AY75" i="73"/>
  <c r="AX75" i="73"/>
  <c r="CG75" i="73" s="1"/>
  <c r="AW75" i="73"/>
  <c r="AV75" i="73"/>
  <c r="CF75" i="73" s="1"/>
  <c r="BE73" i="73"/>
  <c r="BD73" i="73"/>
  <c r="CJ73" i="73" s="1"/>
  <c r="BC73" i="73"/>
  <c r="BB73" i="73"/>
  <c r="CI73" i="73" s="1"/>
  <c r="BA73" i="73"/>
  <c r="AZ73" i="73"/>
  <c r="CH73" i="73" s="1"/>
  <c r="AY73" i="73"/>
  <c r="AX73" i="73"/>
  <c r="CG73" i="73" s="1"/>
  <c r="AW73" i="73"/>
  <c r="AV73" i="73"/>
  <c r="CF73" i="73" s="1"/>
  <c r="BE71" i="73"/>
  <c r="BD71" i="73"/>
  <c r="CJ71" i="73" s="1"/>
  <c r="BC71" i="73"/>
  <c r="BB71" i="73"/>
  <c r="CI71" i="73" s="1"/>
  <c r="BA71" i="73"/>
  <c r="AZ71" i="73"/>
  <c r="CH71" i="73" s="1"/>
  <c r="AY71" i="73"/>
  <c r="AX71" i="73"/>
  <c r="CG71" i="73" s="1"/>
  <c r="AW71" i="73"/>
  <c r="AV71" i="73"/>
  <c r="CF71" i="73" s="1"/>
  <c r="BE54" i="73"/>
  <c r="BD54" i="73"/>
  <c r="CJ54" i="73" s="1"/>
  <c r="BC54" i="73"/>
  <c r="BB54" i="73"/>
  <c r="CI54" i="73" s="1"/>
  <c r="BA54" i="73"/>
  <c r="AZ54" i="73"/>
  <c r="CH54" i="73" s="1"/>
  <c r="AY54" i="73"/>
  <c r="AX54" i="73"/>
  <c r="CG54" i="73" s="1"/>
  <c r="AW54" i="73"/>
  <c r="AV54" i="73"/>
  <c r="CF54" i="73" s="1"/>
  <c r="BE53" i="73"/>
  <c r="BD53" i="73"/>
  <c r="CJ53" i="73" s="1"/>
  <c r="BC53" i="73"/>
  <c r="BB53" i="73"/>
  <c r="CI53" i="73" s="1"/>
  <c r="BA53" i="73"/>
  <c r="AZ53" i="73"/>
  <c r="CH53" i="73" s="1"/>
  <c r="AY53" i="73"/>
  <c r="AX53" i="73"/>
  <c r="CG53" i="73" s="1"/>
  <c r="AW53" i="73"/>
  <c r="AV53" i="73"/>
  <c r="CF53" i="73" s="1"/>
  <c r="BE52" i="73"/>
  <c r="BD52" i="73"/>
  <c r="CJ52" i="73" s="1"/>
  <c r="BC52" i="73"/>
  <c r="BB52" i="73"/>
  <c r="CI52" i="73" s="1"/>
  <c r="BA52" i="73"/>
  <c r="AZ52" i="73"/>
  <c r="CH52" i="73" s="1"/>
  <c r="AY52" i="73"/>
  <c r="AX52" i="73"/>
  <c r="CG52" i="73" s="1"/>
  <c r="AW52" i="73"/>
  <c r="AV52" i="73"/>
  <c r="CF52" i="73" s="1"/>
  <c r="BE47" i="73"/>
  <c r="BD47" i="73"/>
  <c r="CJ47" i="73" s="1"/>
  <c r="BC47" i="73"/>
  <c r="BB47" i="73"/>
  <c r="CI47" i="73" s="1"/>
  <c r="BA47" i="73"/>
  <c r="AZ47" i="73"/>
  <c r="CH47" i="73" s="1"/>
  <c r="AY47" i="73"/>
  <c r="AX47" i="73"/>
  <c r="CG47" i="73" s="1"/>
  <c r="AW47" i="73"/>
  <c r="AV47" i="73"/>
  <c r="CF47" i="73" s="1"/>
  <c r="BE46" i="73"/>
  <c r="BD46" i="73"/>
  <c r="CJ46" i="73" s="1"/>
  <c r="BC46" i="73"/>
  <c r="BB46" i="73"/>
  <c r="CI46" i="73" s="1"/>
  <c r="BA46" i="73"/>
  <c r="AZ46" i="73"/>
  <c r="CH46" i="73" s="1"/>
  <c r="AY46" i="73"/>
  <c r="AX46" i="73"/>
  <c r="CG46" i="73" s="1"/>
  <c r="AW46" i="73"/>
  <c r="AV46" i="73"/>
  <c r="CF46" i="73" s="1"/>
  <c r="BE45" i="73"/>
  <c r="BD45" i="73"/>
  <c r="CJ45" i="73" s="1"/>
  <c r="BC45" i="73"/>
  <c r="BB45" i="73"/>
  <c r="CI45" i="73" s="1"/>
  <c r="BA45" i="73"/>
  <c r="AZ45" i="73"/>
  <c r="CH45" i="73" s="1"/>
  <c r="AY45" i="73"/>
  <c r="AX45" i="73"/>
  <c r="CG45" i="73" s="1"/>
  <c r="AW45" i="73"/>
  <c r="AV45" i="73"/>
  <c r="CF45" i="73" s="1"/>
  <c r="BE44" i="73"/>
  <c r="BD44" i="73"/>
  <c r="CJ44" i="73" s="1"/>
  <c r="BC44" i="73"/>
  <c r="BB44" i="73"/>
  <c r="CI44" i="73" s="1"/>
  <c r="BA44" i="73"/>
  <c r="AZ44" i="73"/>
  <c r="CH44" i="73" s="1"/>
  <c r="AY44" i="73"/>
  <c r="AX44" i="73"/>
  <c r="CG44" i="73" s="1"/>
  <c r="AW44" i="73"/>
  <c r="AV44" i="73"/>
  <c r="CF44" i="73" s="1"/>
  <c r="BE43" i="73"/>
  <c r="BD43" i="73"/>
  <c r="CJ43" i="73" s="1"/>
  <c r="BC43" i="73"/>
  <c r="BB43" i="73"/>
  <c r="CI43" i="73" s="1"/>
  <c r="BA43" i="73"/>
  <c r="AZ43" i="73"/>
  <c r="CH43" i="73" s="1"/>
  <c r="AY43" i="73"/>
  <c r="AX43" i="73"/>
  <c r="CG43" i="73" s="1"/>
  <c r="AW43" i="73"/>
  <c r="AV43" i="73"/>
  <c r="CF43" i="73" s="1"/>
  <c r="BE42" i="73"/>
  <c r="BD42" i="73"/>
  <c r="CJ42" i="73" s="1"/>
  <c r="BC42" i="73"/>
  <c r="BB42" i="73"/>
  <c r="CI42" i="73" s="1"/>
  <c r="BA42" i="73"/>
  <c r="AZ42" i="73"/>
  <c r="CH42" i="73" s="1"/>
  <c r="AY42" i="73"/>
  <c r="AX42" i="73"/>
  <c r="CG42" i="73" s="1"/>
  <c r="AW42" i="73"/>
  <c r="AV42" i="73"/>
  <c r="CF42" i="73" s="1"/>
  <c r="BE41" i="73"/>
  <c r="BD41" i="73"/>
  <c r="CJ41" i="73" s="1"/>
  <c r="BC41" i="73"/>
  <c r="BB41" i="73"/>
  <c r="CI41" i="73" s="1"/>
  <c r="BA41" i="73"/>
  <c r="AZ41" i="73"/>
  <c r="CH41" i="73" s="1"/>
  <c r="AY41" i="73"/>
  <c r="AX41" i="73"/>
  <c r="CG41" i="73" s="1"/>
  <c r="AW41" i="73"/>
  <c r="AV41" i="73"/>
  <c r="CF41" i="73" s="1"/>
  <c r="BE40" i="73"/>
  <c r="BD40" i="73"/>
  <c r="CJ40" i="73" s="1"/>
  <c r="BC40" i="73"/>
  <c r="BB40" i="73"/>
  <c r="CI40" i="73" s="1"/>
  <c r="BA40" i="73"/>
  <c r="AZ40" i="73"/>
  <c r="CH40" i="73" s="1"/>
  <c r="AY40" i="73"/>
  <c r="AX40" i="73"/>
  <c r="CG40" i="73" s="1"/>
  <c r="AW40" i="73"/>
  <c r="AV40" i="73"/>
  <c r="CF40" i="73" s="1"/>
  <c r="BE39" i="73"/>
  <c r="BD39" i="73"/>
  <c r="CJ39" i="73" s="1"/>
  <c r="BC39" i="73"/>
  <c r="BB39" i="73"/>
  <c r="CI39" i="73" s="1"/>
  <c r="BA39" i="73"/>
  <c r="AZ39" i="73"/>
  <c r="CH39" i="73" s="1"/>
  <c r="AY39" i="73"/>
  <c r="AX39" i="73"/>
  <c r="CG39" i="73" s="1"/>
  <c r="AW39" i="73"/>
  <c r="AV39" i="73"/>
  <c r="CF39" i="73" s="1"/>
  <c r="BE37" i="73"/>
  <c r="BD37" i="73"/>
  <c r="CJ37" i="73" s="1"/>
  <c r="BC37" i="73"/>
  <c r="BB37" i="73"/>
  <c r="CI37" i="73" s="1"/>
  <c r="BA37" i="73"/>
  <c r="AZ37" i="73"/>
  <c r="CH37" i="73" s="1"/>
  <c r="AY37" i="73"/>
  <c r="AX37" i="73"/>
  <c r="CG37" i="73" s="1"/>
  <c r="AW37" i="73"/>
  <c r="AV37" i="73"/>
  <c r="CF37" i="73" s="1"/>
  <c r="BE36" i="73"/>
  <c r="BD36" i="73"/>
  <c r="CJ36" i="73" s="1"/>
  <c r="BC36" i="73"/>
  <c r="BB36" i="73"/>
  <c r="CI36" i="73" s="1"/>
  <c r="BA36" i="73"/>
  <c r="AZ36" i="73"/>
  <c r="CH36" i="73" s="1"/>
  <c r="AY36" i="73"/>
  <c r="AX36" i="73"/>
  <c r="CG36" i="73" s="1"/>
  <c r="AW36" i="73"/>
  <c r="AV36" i="73"/>
  <c r="CF36" i="73" s="1"/>
  <c r="BE35" i="73"/>
  <c r="BD35" i="73"/>
  <c r="CJ35" i="73" s="1"/>
  <c r="BC35" i="73"/>
  <c r="BB35" i="73"/>
  <c r="CI35" i="73" s="1"/>
  <c r="BA35" i="73"/>
  <c r="AZ35" i="73"/>
  <c r="CH35" i="73" s="1"/>
  <c r="AY35" i="73"/>
  <c r="AX35" i="73"/>
  <c r="CG35" i="73" s="1"/>
  <c r="AW35" i="73"/>
  <c r="AV35" i="73"/>
  <c r="CF35" i="73" s="1"/>
  <c r="BE34" i="73"/>
  <c r="BD34" i="73"/>
  <c r="CJ34" i="73" s="1"/>
  <c r="BC34" i="73"/>
  <c r="BB34" i="73"/>
  <c r="CI34" i="73" s="1"/>
  <c r="BA34" i="73"/>
  <c r="AZ34" i="73"/>
  <c r="CH34" i="73" s="1"/>
  <c r="AY34" i="73"/>
  <c r="AX34" i="73"/>
  <c r="CG34" i="73" s="1"/>
  <c r="AW34" i="73"/>
  <c r="AV34" i="73"/>
  <c r="CF34" i="73" s="1"/>
  <c r="BE33" i="73"/>
  <c r="BD33" i="73"/>
  <c r="CJ33" i="73" s="1"/>
  <c r="BC33" i="73"/>
  <c r="BB33" i="73"/>
  <c r="CI33" i="73" s="1"/>
  <c r="BA33" i="73"/>
  <c r="AZ33" i="73"/>
  <c r="CH33" i="73" s="1"/>
  <c r="AY33" i="73"/>
  <c r="AX33" i="73"/>
  <c r="CG33" i="73" s="1"/>
  <c r="AW33" i="73"/>
  <c r="AV33" i="73"/>
  <c r="CF33" i="73" s="1"/>
  <c r="BE32" i="73"/>
  <c r="BD32" i="73"/>
  <c r="CJ32" i="73" s="1"/>
  <c r="BC32" i="73"/>
  <c r="BB32" i="73"/>
  <c r="CI32" i="73" s="1"/>
  <c r="BA32" i="73"/>
  <c r="AZ32" i="73"/>
  <c r="CH32" i="73" s="1"/>
  <c r="AY32" i="73"/>
  <c r="AX32" i="73"/>
  <c r="CG32" i="73" s="1"/>
  <c r="AW32" i="73"/>
  <c r="AV32" i="73"/>
  <c r="CF32" i="73" s="1"/>
  <c r="BE31" i="73"/>
  <c r="BD31" i="73"/>
  <c r="CJ31" i="73" s="1"/>
  <c r="BC31" i="73"/>
  <c r="BB31" i="73"/>
  <c r="CI31" i="73" s="1"/>
  <c r="BA31" i="73"/>
  <c r="AZ31" i="73"/>
  <c r="CH31" i="73" s="1"/>
  <c r="AY31" i="73"/>
  <c r="AX31" i="73"/>
  <c r="CG31" i="73" s="1"/>
  <c r="AW31" i="73"/>
  <c r="AV31" i="73"/>
  <c r="CF31" i="73" s="1"/>
  <c r="BE30" i="73"/>
  <c r="BD30" i="73"/>
  <c r="CJ30" i="73" s="1"/>
  <c r="BC30" i="73"/>
  <c r="BB30" i="73"/>
  <c r="CI30" i="73" s="1"/>
  <c r="BA30" i="73"/>
  <c r="AZ30" i="73"/>
  <c r="CH30" i="73" s="1"/>
  <c r="AY30" i="73"/>
  <c r="AX30" i="73"/>
  <c r="CG30" i="73" s="1"/>
  <c r="AW30" i="73"/>
  <c r="AV30" i="73"/>
  <c r="CF30" i="73" s="1"/>
  <c r="BE28" i="73"/>
  <c r="BD28" i="73"/>
  <c r="CJ28" i="73" s="1"/>
  <c r="BC28" i="73"/>
  <c r="BB28" i="73"/>
  <c r="CI28" i="73" s="1"/>
  <c r="BA28" i="73"/>
  <c r="AZ28" i="73"/>
  <c r="CH28" i="73" s="1"/>
  <c r="AY28" i="73"/>
  <c r="AX28" i="73"/>
  <c r="CG28" i="73" s="1"/>
  <c r="AW28" i="73"/>
  <c r="AV28" i="73"/>
  <c r="CF28" i="73" s="1"/>
  <c r="BE27" i="73"/>
  <c r="BD27" i="73"/>
  <c r="CJ27" i="73" s="1"/>
  <c r="BC27" i="73"/>
  <c r="BB27" i="73"/>
  <c r="CI27" i="73" s="1"/>
  <c r="BA27" i="73"/>
  <c r="AZ27" i="73"/>
  <c r="CH27" i="73" s="1"/>
  <c r="AY27" i="73"/>
  <c r="AX27" i="73"/>
  <c r="CG27" i="73" s="1"/>
  <c r="AW27" i="73"/>
  <c r="AV27" i="73"/>
  <c r="CF27" i="73" s="1"/>
  <c r="BE26" i="73"/>
  <c r="BD26" i="73"/>
  <c r="CJ26" i="73" s="1"/>
  <c r="BC26" i="73"/>
  <c r="BB26" i="73"/>
  <c r="CI26" i="73" s="1"/>
  <c r="BA26" i="73"/>
  <c r="AZ26" i="73"/>
  <c r="CH26" i="73" s="1"/>
  <c r="AY26" i="73"/>
  <c r="AX26" i="73"/>
  <c r="CG26" i="73" s="1"/>
  <c r="AW26" i="73"/>
  <c r="AV26" i="73"/>
  <c r="CF26" i="73" s="1"/>
  <c r="BE23" i="73"/>
  <c r="BD23" i="73"/>
  <c r="CJ23" i="73" s="1"/>
  <c r="BC23" i="73"/>
  <c r="BB23" i="73"/>
  <c r="CI23" i="73" s="1"/>
  <c r="BA23" i="73"/>
  <c r="AZ23" i="73"/>
  <c r="CH23" i="73" s="1"/>
  <c r="AY23" i="73"/>
  <c r="AX23" i="73"/>
  <c r="CG23" i="73" s="1"/>
  <c r="AW23" i="73"/>
  <c r="AV23" i="73"/>
  <c r="CF23" i="73" s="1"/>
  <c r="BE22" i="73"/>
  <c r="BD22" i="73"/>
  <c r="CJ22" i="73" s="1"/>
  <c r="BC22" i="73"/>
  <c r="BB22" i="73"/>
  <c r="CI22" i="73" s="1"/>
  <c r="BA22" i="73"/>
  <c r="AZ22" i="73"/>
  <c r="CH22" i="73" s="1"/>
  <c r="AY22" i="73"/>
  <c r="AX22" i="73"/>
  <c r="CG22" i="73" s="1"/>
  <c r="AW22" i="73"/>
  <c r="AV22" i="73"/>
  <c r="CF22" i="73" s="1"/>
  <c r="BE20" i="73"/>
  <c r="BD20" i="73"/>
  <c r="CJ20" i="73" s="1"/>
  <c r="BC20" i="73"/>
  <c r="BB20" i="73"/>
  <c r="CI20" i="73" s="1"/>
  <c r="BA20" i="73"/>
  <c r="AZ20" i="73"/>
  <c r="CH20" i="73" s="1"/>
  <c r="AY20" i="73"/>
  <c r="AX20" i="73"/>
  <c r="CG20" i="73" s="1"/>
  <c r="AW20" i="73"/>
  <c r="AV20" i="73"/>
  <c r="CF20" i="73" s="1"/>
  <c r="BE19" i="73"/>
  <c r="BD19" i="73"/>
  <c r="CJ19" i="73" s="1"/>
  <c r="BC19" i="73"/>
  <c r="BB19" i="73"/>
  <c r="CI19" i="73" s="1"/>
  <c r="BA19" i="73"/>
  <c r="AZ19" i="73"/>
  <c r="CH19" i="73" s="1"/>
  <c r="AY19" i="73"/>
  <c r="AX19" i="73"/>
  <c r="CG19" i="73" s="1"/>
  <c r="AW19" i="73"/>
  <c r="AV19" i="73"/>
  <c r="CF19" i="73" s="1"/>
  <c r="BE16" i="73"/>
  <c r="BD16" i="73"/>
  <c r="CJ16" i="73" s="1"/>
  <c r="BC16" i="73"/>
  <c r="BB16" i="73"/>
  <c r="CI16" i="73" s="1"/>
  <c r="BA16" i="73"/>
  <c r="AZ16" i="73"/>
  <c r="CH16" i="73" s="1"/>
  <c r="AY16" i="73"/>
  <c r="AX16" i="73"/>
  <c r="CG16" i="73" s="1"/>
  <c r="AW16" i="73"/>
  <c r="AV16" i="73"/>
  <c r="CF16" i="73" s="1"/>
  <c r="BE15" i="73"/>
  <c r="BD15" i="73"/>
  <c r="CJ15" i="73" s="1"/>
  <c r="BC15" i="73"/>
  <c r="BB15" i="73"/>
  <c r="CI15" i="73" s="1"/>
  <c r="BA15" i="73"/>
  <c r="AZ15" i="73"/>
  <c r="CH15" i="73" s="1"/>
  <c r="AY15" i="73"/>
  <c r="AX15" i="73"/>
  <c r="CG15" i="73" s="1"/>
  <c r="AW15" i="73"/>
  <c r="AV15" i="73"/>
  <c r="CF15" i="73" s="1"/>
  <c r="BE14" i="73"/>
  <c r="BD14" i="73"/>
  <c r="CJ14" i="73" s="1"/>
  <c r="BC14" i="73"/>
  <c r="BB14" i="73"/>
  <c r="CI14" i="73" s="1"/>
  <c r="BA14" i="73"/>
  <c r="AZ14" i="73"/>
  <c r="CH14" i="73" s="1"/>
  <c r="AY14" i="73"/>
  <c r="AX14" i="73"/>
  <c r="CG14" i="73" s="1"/>
  <c r="AW14" i="73"/>
  <c r="AV14" i="73"/>
  <c r="CF14" i="73" s="1"/>
  <c r="AT87" i="73"/>
  <c r="AS87" i="73"/>
  <c r="CD87" i="73" s="1"/>
  <c r="AR87" i="73"/>
  <c r="AQ87" i="73"/>
  <c r="CC87" i="73" s="1"/>
  <c r="AP87" i="73"/>
  <c r="AO87" i="73"/>
  <c r="CB87" i="73" s="1"/>
  <c r="AN87" i="73"/>
  <c r="AM87" i="73"/>
  <c r="CA87" i="73" s="1"/>
  <c r="AL87" i="73"/>
  <c r="AK87" i="73"/>
  <c r="BZ87" i="73" s="1"/>
  <c r="AT86" i="73"/>
  <c r="AS86" i="73"/>
  <c r="CD86" i="73" s="1"/>
  <c r="AR86" i="73"/>
  <c r="AQ86" i="73"/>
  <c r="CC86" i="73" s="1"/>
  <c r="AP86" i="73"/>
  <c r="AO86" i="73"/>
  <c r="CB86" i="73" s="1"/>
  <c r="AN86" i="73"/>
  <c r="AM86" i="73"/>
  <c r="CA86" i="73" s="1"/>
  <c r="AL86" i="73"/>
  <c r="AK86" i="73"/>
  <c r="BZ86" i="73" s="1"/>
  <c r="AT85" i="73"/>
  <c r="AS85" i="73"/>
  <c r="CD85" i="73" s="1"/>
  <c r="AR85" i="73"/>
  <c r="AQ85" i="73"/>
  <c r="CC85" i="73" s="1"/>
  <c r="AP85" i="73"/>
  <c r="AO85" i="73"/>
  <c r="CB85" i="73" s="1"/>
  <c r="AN85" i="73"/>
  <c r="AM85" i="73"/>
  <c r="CA85" i="73" s="1"/>
  <c r="AL85" i="73"/>
  <c r="AK85" i="73"/>
  <c r="BZ85" i="73" s="1"/>
  <c r="AT84" i="73"/>
  <c r="AS84" i="73"/>
  <c r="CD84" i="73" s="1"/>
  <c r="AR84" i="73"/>
  <c r="AQ84" i="73"/>
  <c r="CC84" i="73" s="1"/>
  <c r="AP84" i="73"/>
  <c r="AO84" i="73"/>
  <c r="CB84" i="73" s="1"/>
  <c r="AN84" i="73"/>
  <c r="AM84" i="73"/>
  <c r="CA84" i="73" s="1"/>
  <c r="AL84" i="73"/>
  <c r="AK84" i="73"/>
  <c r="BZ84" i="73" s="1"/>
  <c r="AT82" i="73"/>
  <c r="AS82" i="73"/>
  <c r="CD82" i="73" s="1"/>
  <c r="AR82" i="73"/>
  <c r="AQ82" i="73"/>
  <c r="CC82" i="73" s="1"/>
  <c r="AP82" i="73"/>
  <c r="AO82" i="73"/>
  <c r="CB82" i="73" s="1"/>
  <c r="AN82" i="73"/>
  <c r="AM82" i="73"/>
  <c r="CA82" i="73" s="1"/>
  <c r="AL82" i="73"/>
  <c r="AK82" i="73"/>
  <c r="BZ82" i="73" s="1"/>
  <c r="AT81" i="73"/>
  <c r="AS81" i="73"/>
  <c r="CD81" i="73" s="1"/>
  <c r="AR81" i="73"/>
  <c r="AQ81" i="73"/>
  <c r="CC81" i="73" s="1"/>
  <c r="AP81" i="73"/>
  <c r="AO81" i="73"/>
  <c r="CB81" i="73" s="1"/>
  <c r="AN81" i="73"/>
  <c r="AM81" i="73"/>
  <c r="CA81" i="73" s="1"/>
  <c r="AL81" i="73"/>
  <c r="AK81" i="73"/>
  <c r="BZ81" i="73" s="1"/>
  <c r="AT80" i="73"/>
  <c r="AS80" i="73"/>
  <c r="CD80" i="73" s="1"/>
  <c r="AR80" i="73"/>
  <c r="AQ80" i="73"/>
  <c r="CC80" i="73" s="1"/>
  <c r="AP80" i="73"/>
  <c r="AO80" i="73"/>
  <c r="CB80" i="73" s="1"/>
  <c r="AN80" i="73"/>
  <c r="AM80" i="73"/>
  <c r="CA80" i="73" s="1"/>
  <c r="AL80" i="73"/>
  <c r="AK80" i="73"/>
  <c r="BZ80" i="73" s="1"/>
  <c r="AT79" i="73"/>
  <c r="AS79" i="73"/>
  <c r="CD79" i="73" s="1"/>
  <c r="AR79" i="73"/>
  <c r="AQ79" i="73"/>
  <c r="CC79" i="73" s="1"/>
  <c r="AP79" i="73"/>
  <c r="AO79" i="73"/>
  <c r="CB79" i="73" s="1"/>
  <c r="AN79" i="73"/>
  <c r="AM79" i="73"/>
  <c r="CA79" i="73" s="1"/>
  <c r="AL79" i="73"/>
  <c r="AK79" i="73"/>
  <c r="BZ79" i="73" s="1"/>
  <c r="AT78" i="73"/>
  <c r="AS78" i="73"/>
  <c r="CD78" i="73" s="1"/>
  <c r="AR78" i="73"/>
  <c r="AQ78" i="73"/>
  <c r="CC78" i="73" s="1"/>
  <c r="AP78" i="73"/>
  <c r="AO78" i="73"/>
  <c r="CB78" i="73" s="1"/>
  <c r="AN78" i="73"/>
  <c r="AM78" i="73"/>
  <c r="CA78" i="73" s="1"/>
  <c r="AL78" i="73"/>
  <c r="AK78" i="73"/>
  <c r="BZ78" i="73" s="1"/>
  <c r="AT77" i="73"/>
  <c r="AS77" i="73"/>
  <c r="CD77" i="73" s="1"/>
  <c r="AR77" i="73"/>
  <c r="AQ77" i="73"/>
  <c r="CC77" i="73" s="1"/>
  <c r="AP77" i="73"/>
  <c r="AO77" i="73"/>
  <c r="CB77" i="73" s="1"/>
  <c r="AN77" i="73"/>
  <c r="AM77" i="73"/>
  <c r="CA77" i="73" s="1"/>
  <c r="AL77" i="73"/>
  <c r="AK77" i="73"/>
  <c r="BZ77" i="73" s="1"/>
  <c r="AT75" i="73"/>
  <c r="AS75" i="73"/>
  <c r="CD75" i="73" s="1"/>
  <c r="AR75" i="73"/>
  <c r="AQ75" i="73"/>
  <c r="CC75" i="73" s="1"/>
  <c r="AP75" i="73"/>
  <c r="AO75" i="73"/>
  <c r="CB75" i="73" s="1"/>
  <c r="AN75" i="73"/>
  <c r="AM75" i="73"/>
  <c r="CA75" i="73" s="1"/>
  <c r="AL75" i="73"/>
  <c r="AK75" i="73"/>
  <c r="BZ75" i="73" s="1"/>
  <c r="AT73" i="73"/>
  <c r="AS73" i="73"/>
  <c r="CD73" i="73" s="1"/>
  <c r="AR73" i="73"/>
  <c r="AQ73" i="73"/>
  <c r="CC73" i="73" s="1"/>
  <c r="AP73" i="73"/>
  <c r="AO73" i="73"/>
  <c r="CB73" i="73" s="1"/>
  <c r="AN73" i="73"/>
  <c r="AM73" i="73"/>
  <c r="CA73" i="73" s="1"/>
  <c r="AL73" i="73"/>
  <c r="AK73" i="73"/>
  <c r="BZ73" i="73" s="1"/>
  <c r="AT71" i="73"/>
  <c r="AS71" i="73"/>
  <c r="CD71" i="73" s="1"/>
  <c r="AR71" i="73"/>
  <c r="AQ71" i="73"/>
  <c r="CC71" i="73" s="1"/>
  <c r="AP71" i="73"/>
  <c r="AO71" i="73"/>
  <c r="CB71" i="73" s="1"/>
  <c r="AN71" i="73"/>
  <c r="AM71" i="73"/>
  <c r="CA71" i="73" s="1"/>
  <c r="AL71" i="73"/>
  <c r="AK71" i="73"/>
  <c r="BZ71" i="73" s="1"/>
  <c r="AT54" i="73"/>
  <c r="AS54" i="73"/>
  <c r="CD54" i="73" s="1"/>
  <c r="AR54" i="73"/>
  <c r="AQ54" i="73"/>
  <c r="CC54" i="73" s="1"/>
  <c r="AP54" i="73"/>
  <c r="AO54" i="73"/>
  <c r="CB54" i="73" s="1"/>
  <c r="AN54" i="73"/>
  <c r="AM54" i="73"/>
  <c r="CA54" i="73" s="1"/>
  <c r="AL54" i="73"/>
  <c r="AK54" i="73"/>
  <c r="BZ54" i="73" s="1"/>
  <c r="AT53" i="73"/>
  <c r="AS53" i="73"/>
  <c r="CD53" i="73" s="1"/>
  <c r="AR53" i="73"/>
  <c r="AQ53" i="73"/>
  <c r="CC53" i="73" s="1"/>
  <c r="AP53" i="73"/>
  <c r="AO53" i="73"/>
  <c r="CB53" i="73" s="1"/>
  <c r="AN53" i="73"/>
  <c r="AM53" i="73"/>
  <c r="CA53" i="73" s="1"/>
  <c r="AL53" i="73"/>
  <c r="AK53" i="73"/>
  <c r="BZ53" i="73" s="1"/>
  <c r="AT52" i="73"/>
  <c r="AS52" i="73"/>
  <c r="CD52" i="73" s="1"/>
  <c r="AR52" i="73"/>
  <c r="AQ52" i="73"/>
  <c r="CC52" i="73" s="1"/>
  <c r="AP52" i="73"/>
  <c r="AO52" i="73"/>
  <c r="CB52" i="73" s="1"/>
  <c r="AN52" i="73"/>
  <c r="AM52" i="73"/>
  <c r="CA52" i="73" s="1"/>
  <c r="AL52" i="73"/>
  <c r="AK52" i="73"/>
  <c r="BZ52" i="73" s="1"/>
  <c r="AT47" i="73"/>
  <c r="AS47" i="73"/>
  <c r="CD47" i="73" s="1"/>
  <c r="AR47" i="73"/>
  <c r="AQ47" i="73"/>
  <c r="CC47" i="73" s="1"/>
  <c r="AP47" i="73"/>
  <c r="AO47" i="73"/>
  <c r="CB47" i="73" s="1"/>
  <c r="AN47" i="73"/>
  <c r="AM47" i="73"/>
  <c r="CA47" i="73" s="1"/>
  <c r="AL47" i="73"/>
  <c r="AK47" i="73"/>
  <c r="BZ47" i="73" s="1"/>
  <c r="AT46" i="73"/>
  <c r="AS46" i="73"/>
  <c r="CD46" i="73" s="1"/>
  <c r="AR46" i="73"/>
  <c r="AQ46" i="73"/>
  <c r="CC46" i="73" s="1"/>
  <c r="AP46" i="73"/>
  <c r="AO46" i="73"/>
  <c r="CB46" i="73" s="1"/>
  <c r="AN46" i="73"/>
  <c r="AM46" i="73"/>
  <c r="CA46" i="73" s="1"/>
  <c r="AL46" i="73"/>
  <c r="AK46" i="73"/>
  <c r="BZ46" i="73" s="1"/>
  <c r="AT45" i="73"/>
  <c r="AS45" i="73"/>
  <c r="CD45" i="73" s="1"/>
  <c r="AR45" i="73"/>
  <c r="AQ45" i="73"/>
  <c r="CC45" i="73" s="1"/>
  <c r="AP45" i="73"/>
  <c r="AO45" i="73"/>
  <c r="CB45" i="73" s="1"/>
  <c r="AN45" i="73"/>
  <c r="AM45" i="73"/>
  <c r="CA45" i="73" s="1"/>
  <c r="AL45" i="73"/>
  <c r="AK45" i="73"/>
  <c r="BZ45" i="73" s="1"/>
  <c r="AT44" i="73"/>
  <c r="AS44" i="73"/>
  <c r="CD44" i="73" s="1"/>
  <c r="AR44" i="73"/>
  <c r="AQ44" i="73"/>
  <c r="CC44" i="73" s="1"/>
  <c r="AP44" i="73"/>
  <c r="AO44" i="73"/>
  <c r="CB44" i="73" s="1"/>
  <c r="AN44" i="73"/>
  <c r="AM44" i="73"/>
  <c r="CA44" i="73" s="1"/>
  <c r="AL44" i="73"/>
  <c r="AK44" i="73"/>
  <c r="BZ44" i="73" s="1"/>
  <c r="AT43" i="73"/>
  <c r="AS43" i="73"/>
  <c r="CD43" i="73" s="1"/>
  <c r="AR43" i="73"/>
  <c r="AQ43" i="73"/>
  <c r="CC43" i="73" s="1"/>
  <c r="AP43" i="73"/>
  <c r="AO43" i="73"/>
  <c r="CB43" i="73" s="1"/>
  <c r="AN43" i="73"/>
  <c r="AM43" i="73"/>
  <c r="CA43" i="73" s="1"/>
  <c r="AL43" i="73"/>
  <c r="AK43" i="73"/>
  <c r="BZ43" i="73" s="1"/>
  <c r="AT42" i="73"/>
  <c r="AS42" i="73"/>
  <c r="CD42" i="73" s="1"/>
  <c r="AR42" i="73"/>
  <c r="AQ42" i="73"/>
  <c r="CC42" i="73" s="1"/>
  <c r="AP42" i="73"/>
  <c r="AO42" i="73"/>
  <c r="CB42" i="73" s="1"/>
  <c r="AN42" i="73"/>
  <c r="AM42" i="73"/>
  <c r="CA42" i="73" s="1"/>
  <c r="AL42" i="73"/>
  <c r="AK42" i="73"/>
  <c r="BZ42" i="73" s="1"/>
  <c r="AT41" i="73"/>
  <c r="AS41" i="73"/>
  <c r="CD41" i="73" s="1"/>
  <c r="AR41" i="73"/>
  <c r="AQ41" i="73"/>
  <c r="CC41" i="73" s="1"/>
  <c r="AP41" i="73"/>
  <c r="AO41" i="73"/>
  <c r="CB41" i="73" s="1"/>
  <c r="AN41" i="73"/>
  <c r="AM41" i="73"/>
  <c r="CA41" i="73" s="1"/>
  <c r="AL41" i="73"/>
  <c r="AK41" i="73"/>
  <c r="BZ41" i="73" s="1"/>
  <c r="AT40" i="73"/>
  <c r="AS40" i="73"/>
  <c r="CD40" i="73" s="1"/>
  <c r="AR40" i="73"/>
  <c r="AQ40" i="73"/>
  <c r="CC40" i="73" s="1"/>
  <c r="AP40" i="73"/>
  <c r="AO40" i="73"/>
  <c r="CB40" i="73" s="1"/>
  <c r="AN40" i="73"/>
  <c r="AM40" i="73"/>
  <c r="CA40" i="73" s="1"/>
  <c r="AL40" i="73"/>
  <c r="AK40" i="73"/>
  <c r="BZ40" i="73" s="1"/>
  <c r="AT39" i="73"/>
  <c r="AS39" i="73"/>
  <c r="CD39" i="73" s="1"/>
  <c r="AR39" i="73"/>
  <c r="AQ39" i="73"/>
  <c r="CC39" i="73" s="1"/>
  <c r="AP39" i="73"/>
  <c r="AO39" i="73"/>
  <c r="CB39" i="73" s="1"/>
  <c r="AN39" i="73"/>
  <c r="AM39" i="73"/>
  <c r="CA39" i="73" s="1"/>
  <c r="AL39" i="73"/>
  <c r="AK39" i="73"/>
  <c r="BZ39" i="73" s="1"/>
  <c r="AT37" i="73"/>
  <c r="AS37" i="73"/>
  <c r="CD37" i="73" s="1"/>
  <c r="AR37" i="73"/>
  <c r="AQ37" i="73"/>
  <c r="CC37" i="73" s="1"/>
  <c r="AP37" i="73"/>
  <c r="AO37" i="73"/>
  <c r="CB37" i="73" s="1"/>
  <c r="AN37" i="73"/>
  <c r="AM37" i="73"/>
  <c r="CA37" i="73" s="1"/>
  <c r="AL37" i="73"/>
  <c r="AK37" i="73"/>
  <c r="BZ37" i="73" s="1"/>
  <c r="AT36" i="73"/>
  <c r="AS36" i="73"/>
  <c r="CD36" i="73" s="1"/>
  <c r="AR36" i="73"/>
  <c r="AQ36" i="73"/>
  <c r="CC36" i="73" s="1"/>
  <c r="AP36" i="73"/>
  <c r="AO36" i="73"/>
  <c r="CB36" i="73" s="1"/>
  <c r="AN36" i="73"/>
  <c r="AM36" i="73"/>
  <c r="CA36" i="73" s="1"/>
  <c r="AL36" i="73"/>
  <c r="AK36" i="73"/>
  <c r="BZ36" i="73" s="1"/>
  <c r="AT35" i="73"/>
  <c r="AS35" i="73"/>
  <c r="CD35" i="73" s="1"/>
  <c r="AR35" i="73"/>
  <c r="AQ35" i="73"/>
  <c r="CC35" i="73" s="1"/>
  <c r="AP35" i="73"/>
  <c r="AO35" i="73"/>
  <c r="CB35" i="73" s="1"/>
  <c r="AN35" i="73"/>
  <c r="AM35" i="73"/>
  <c r="CA35" i="73" s="1"/>
  <c r="AL35" i="73"/>
  <c r="AK35" i="73"/>
  <c r="BZ35" i="73" s="1"/>
  <c r="AT34" i="73"/>
  <c r="AS34" i="73"/>
  <c r="CD34" i="73" s="1"/>
  <c r="AR34" i="73"/>
  <c r="AQ34" i="73"/>
  <c r="CC34" i="73" s="1"/>
  <c r="AP34" i="73"/>
  <c r="AO34" i="73"/>
  <c r="CB34" i="73" s="1"/>
  <c r="AN34" i="73"/>
  <c r="AM34" i="73"/>
  <c r="CA34" i="73" s="1"/>
  <c r="AL34" i="73"/>
  <c r="AK34" i="73"/>
  <c r="BZ34" i="73" s="1"/>
  <c r="AT33" i="73"/>
  <c r="AS33" i="73"/>
  <c r="CD33" i="73" s="1"/>
  <c r="AR33" i="73"/>
  <c r="AQ33" i="73"/>
  <c r="CC33" i="73" s="1"/>
  <c r="AP33" i="73"/>
  <c r="AO33" i="73"/>
  <c r="CB33" i="73" s="1"/>
  <c r="AN33" i="73"/>
  <c r="AM33" i="73"/>
  <c r="CA33" i="73" s="1"/>
  <c r="AL33" i="73"/>
  <c r="AK33" i="73"/>
  <c r="BZ33" i="73" s="1"/>
  <c r="AT32" i="73"/>
  <c r="AS32" i="73"/>
  <c r="CD32" i="73" s="1"/>
  <c r="AR32" i="73"/>
  <c r="AQ32" i="73"/>
  <c r="CC32" i="73" s="1"/>
  <c r="AP32" i="73"/>
  <c r="AO32" i="73"/>
  <c r="CB32" i="73" s="1"/>
  <c r="AN32" i="73"/>
  <c r="AM32" i="73"/>
  <c r="CA32" i="73" s="1"/>
  <c r="AL32" i="73"/>
  <c r="AK32" i="73"/>
  <c r="BZ32" i="73" s="1"/>
  <c r="AT31" i="73"/>
  <c r="AS31" i="73"/>
  <c r="CD31" i="73" s="1"/>
  <c r="AR31" i="73"/>
  <c r="AQ31" i="73"/>
  <c r="CC31" i="73" s="1"/>
  <c r="AP31" i="73"/>
  <c r="AO31" i="73"/>
  <c r="CB31" i="73" s="1"/>
  <c r="AN31" i="73"/>
  <c r="AM31" i="73"/>
  <c r="CA31" i="73" s="1"/>
  <c r="AL31" i="73"/>
  <c r="AK31" i="73"/>
  <c r="BZ31" i="73" s="1"/>
  <c r="AT30" i="73"/>
  <c r="AS30" i="73"/>
  <c r="CD30" i="73" s="1"/>
  <c r="AR30" i="73"/>
  <c r="AQ30" i="73"/>
  <c r="CC30" i="73" s="1"/>
  <c r="AP30" i="73"/>
  <c r="AO30" i="73"/>
  <c r="CB30" i="73" s="1"/>
  <c r="AN30" i="73"/>
  <c r="AM30" i="73"/>
  <c r="CA30" i="73" s="1"/>
  <c r="AL30" i="73"/>
  <c r="AK30" i="73"/>
  <c r="BZ30" i="73" s="1"/>
  <c r="AT28" i="73"/>
  <c r="AS28" i="73"/>
  <c r="CD28" i="73" s="1"/>
  <c r="AR28" i="73"/>
  <c r="AQ28" i="73"/>
  <c r="CC28" i="73" s="1"/>
  <c r="AP28" i="73"/>
  <c r="AO28" i="73"/>
  <c r="CB28" i="73" s="1"/>
  <c r="AN28" i="73"/>
  <c r="AM28" i="73"/>
  <c r="CA28" i="73" s="1"/>
  <c r="AL28" i="73"/>
  <c r="AK28" i="73"/>
  <c r="BZ28" i="73" s="1"/>
  <c r="AT27" i="73"/>
  <c r="AS27" i="73"/>
  <c r="CD27" i="73" s="1"/>
  <c r="AR27" i="73"/>
  <c r="AQ27" i="73"/>
  <c r="CC27" i="73" s="1"/>
  <c r="AP27" i="73"/>
  <c r="AO27" i="73"/>
  <c r="CB27" i="73" s="1"/>
  <c r="AN27" i="73"/>
  <c r="AM27" i="73"/>
  <c r="CA27" i="73" s="1"/>
  <c r="AL27" i="73"/>
  <c r="AK27" i="73"/>
  <c r="BZ27" i="73" s="1"/>
  <c r="AT26" i="73"/>
  <c r="AS26" i="73"/>
  <c r="CD26" i="73" s="1"/>
  <c r="AR26" i="73"/>
  <c r="AQ26" i="73"/>
  <c r="CC26" i="73" s="1"/>
  <c r="AP26" i="73"/>
  <c r="AO26" i="73"/>
  <c r="CB26" i="73" s="1"/>
  <c r="AN26" i="73"/>
  <c r="AM26" i="73"/>
  <c r="CA26" i="73" s="1"/>
  <c r="AL26" i="73"/>
  <c r="AK26" i="73"/>
  <c r="BZ26" i="73" s="1"/>
  <c r="AT23" i="73"/>
  <c r="AS23" i="73"/>
  <c r="CD23" i="73" s="1"/>
  <c r="AR23" i="73"/>
  <c r="AQ23" i="73"/>
  <c r="CC23" i="73" s="1"/>
  <c r="AP23" i="73"/>
  <c r="AO23" i="73"/>
  <c r="CB23" i="73" s="1"/>
  <c r="AN23" i="73"/>
  <c r="AM23" i="73"/>
  <c r="CA23" i="73" s="1"/>
  <c r="AL23" i="73"/>
  <c r="AK23" i="73"/>
  <c r="BZ23" i="73" s="1"/>
  <c r="AT22" i="73"/>
  <c r="AS22" i="73"/>
  <c r="CD22" i="73" s="1"/>
  <c r="AR22" i="73"/>
  <c r="AQ22" i="73"/>
  <c r="CC22" i="73" s="1"/>
  <c r="AP22" i="73"/>
  <c r="AO22" i="73"/>
  <c r="CB22" i="73" s="1"/>
  <c r="AN22" i="73"/>
  <c r="AM22" i="73"/>
  <c r="CA22" i="73" s="1"/>
  <c r="AL22" i="73"/>
  <c r="AK22" i="73"/>
  <c r="BZ22" i="73" s="1"/>
  <c r="AT20" i="73"/>
  <c r="AS20" i="73"/>
  <c r="CD20" i="73" s="1"/>
  <c r="AR20" i="73"/>
  <c r="AQ20" i="73"/>
  <c r="CC20" i="73" s="1"/>
  <c r="AP20" i="73"/>
  <c r="AO20" i="73"/>
  <c r="CB20" i="73" s="1"/>
  <c r="AN20" i="73"/>
  <c r="AM20" i="73"/>
  <c r="CA20" i="73" s="1"/>
  <c r="AL20" i="73"/>
  <c r="AK20" i="73"/>
  <c r="BZ20" i="73" s="1"/>
  <c r="AT19" i="73"/>
  <c r="AS19" i="73"/>
  <c r="CD19" i="73" s="1"/>
  <c r="AR19" i="73"/>
  <c r="AQ19" i="73"/>
  <c r="CC19" i="73" s="1"/>
  <c r="AP19" i="73"/>
  <c r="AO19" i="73"/>
  <c r="CB19" i="73" s="1"/>
  <c r="AN19" i="73"/>
  <c r="AM19" i="73"/>
  <c r="CA19" i="73" s="1"/>
  <c r="AL19" i="73"/>
  <c r="AK19" i="73"/>
  <c r="BZ19" i="73" s="1"/>
  <c r="AT16" i="73"/>
  <c r="AS16" i="73"/>
  <c r="CD16" i="73" s="1"/>
  <c r="AR16" i="73"/>
  <c r="AQ16" i="73"/>
  <c r="CC16" i="73" s="1"/>
  <c r="AP16" i="73"/>
  <c r="AO16" i="73"/>
  <c r="CB16" i="73" s="1"/>
  <c r="AN16" i="73"/>
  <c r="AM16" i="73"/>
  <c r="CA16" i="73" s="1"/>
  <c r="AL16" i="73"/>
  <c r="AK16" i="73"/>
  <c r="BZ16" i="73" s="1"/>
  <c r="AT15" i="73"/>
  <c r="AS15" i="73"/>
  <c r="CD15" i="73" s="1"/>
  <c r="AR15" i="73"/>
  <c r="AQ15" i="73"/>
  <c r="CC15" i="73" s="1"/>
  <c r="AP15" i="73"/>
  <c r="AO15" i="73"/>
  <c r="CB15" i="73" s="1"/>
  <c r="AN15" i="73"/>
  <c r="AM15" i="73"/>
  <c r="CA15" i="73" s="1"/>
  <c r="AL15" i="73"/>
  <c r="AK15" i="73"/>
  <c r="BZ15" i="73" s="1"/>
  <c r="AT14" i="73"/>
  <c r="AS14" i="73"/>
  <c r="CD14" i="73" s="1"/>
  <c r="AR14" i="73"/>
  <c r="AQ14" i="73"/>
  <c r="CC14" i="73" s="1"/>
  <c r="AP14" i="73"/>
  <c r="AO14" i="73"/>
  <c r="CB14" i="73" s="1"/>
  <c r="AN14" i="73"/>
  <c r="AM14" i="73"/>
  <c r="CA14" i="73" s="1"/>
  <c r="AL14" i="73"/>
  <c r="AK14" i="73"/>
  <c r="BZ14" i="73" s="1"/>
  <c r="AT13" i="73"/>
  <c r="AS13" i="73"/>
  <c r="CD13" i="73" s="1"/>
  <c r="AR13" i="73"/>
  <c r="AQ13" i="73"/>
  <c r="CC13" i="73" s="1"/>
  <c r="AP13" i="73"/>
  <c r="AO13" i="73"/>
  <c r="CB13" i="73" s="1"/>
  <c r="AN13" i="73"/>
  <c r="AM13" i="73"/>
  <c r="CA13" i="73" s="1"/>
  <c r="AL13" i="73"/>
  <c r="AK13" i="73"/>
  <c r="BZ13" i="73" s="1"/>
  <c r="AU87" i="73"/>
  <c r="CE87" i="73" s="1"/>
  <c r="AU86" i="73"/>
  <c r="CE86" i="73" s="1"/>
  <c r="AU85" i="73"/>
  <c r="CE85" i="73" s="1"/>
  <c r="AU84" i="73"/>
  <c r="CE84" i="73" s="1"/>
  <c r="AU82" i="73"/>
  <c r="CE82" i="73" s="1"/>
  <c r="AU81" i="73"/>
  <c r="CE81" i="73" s="1"/>
  <c r="AU80" i="73"/>
  <c r="CE80" i="73" s="1"/>
  <c r="AU79" i="73"/>
  <c r="CE79" i="73" s="1"/>
  <c r="AU78" i="73"/>
  <c r="CE78" i="73" s="1"/>
  <c r="AU77" i="73"/>
  <c r="CE77" i="73" s="1"/>
  <c r="AU75" i="73"/>
  <c r="CE75" i="73" s="1"/>
  <c r="AU73" i="73"/>
  <c r="CE73" i="73" s="1"/>
  <c r="AU71" i="73"/>
  <c r="CE71" i="73" s="1"/>
  <c r="AU54" i="73"/>
  <c r="CE54" i="73" s="1"/>
  <c r="AU53" i="73"/>
  <c r="CE53" i="73" s="1"/>
  <c r="AU52" i="73"/>
  <c r="CE52" i="73" s="1"/>
  <c r="AU47" i="73"/>
  <c r="CE47" i="73" s="1"/>
  <c r="AU46" i="73"/>
  <c r="CE46" i="73" s="1"/>
  <c r="AU45" i="73"/>
  <c r="CE45" i="73" s="1"/>
  <c r="AU44" i="73"/>
  <c r="CE44" i="73" s="1"/>
  <c r="AU43" i="73"/>
  <c r="CE43" i="73" s="1"/>
  <c r="AU42" i="73"/>
  <c r="CE42" i="73" s="1"/>
  <c r="AU41" i="73"/>
  <c r="CE41" i="73" s="1"/>
  <c r="AU40" i="73"/>
  <c r="CE40" i="73" s="1"/>
  <c r="AU39" i="73"/>
  <c r="CE39" i="73" s="1"/>
  <c r="AU37" i="73"/>
  <c r="CE37" i="73" s="1"/>
  <c r="AU36" i="73"/>
  <c r="CE36" i="73" s="1"/>
  <c r="AU35" i="73"/>
  <c r="CE35" i="73" s="1"/>
  <c r="AU34" i="73"/>
  <c r="CE34" i="73" s="1"/>
  <c r="AU33" i="73"/>
  <c r="CE33" i="73" s="1"/>
  <c r="AU32" i="73"/>
  <c r="CE32" i="73" s="1"/>
  <c r="AU31" i="73"/>
  <c r="CE31" i="73" s="1"/>
  <c r="AU30" i="73"/>
  <c r="CE30" i="73" s="1"/>
  <c r="AU28" i="73"/>
  <c r="CE28" i="73" s="1"/>
  <c r="AU27" i="73"/>
  <c r="CE27" i="73" s="1"/>
  <c r="AU26" i="73"/>
  <c r="CE26" i="73" s="1"/>
  <c r="AU23" i="73"/>
  <c r="CE23" i="73" s="1"/>
  <c r="AU22" i="73"/>
  <c r="CE22" i="73" s="1"/>
  <c r="AU20" i="73"/>
  <c r="CE20" i="73" s="1"/>
  <c r="AU19" i="73"/>
  <c r="CE19" i="73" s="1"/>
  <c r="AU16" i="73"/>
  <c r="CE16" i="73" s="1"/>
  <c r="AU15" i="73"/>
  <c r="CE15" i="73" s="1"/>
  <c r="AU14" i="73"/>
  <c r="CE14" i="73" s="1"/>
  <c r="AU13" i="73"/>
  <c r="CE13" i="73" s="1"/>
  <c r="AJ87" i="73"/>
  <c r="BY87" i="73" s="1"/>
  <c r="AJ86" i="73"/>
  <c r="BY86" i="73" s="1"/>
  <c r="AJ85" i="73"/>
  <c r="BY85" i="73" s="1"/>
  <c r="AJ84" i="73"/>
  <c r="BY84" i="73" s="1"/>
  <c r="AJ82" i="73"/>
  <c r="BY82" i="73" s="1"/>
  <c r="AJ81" i="73"/>
  <c r="BY81" i="73" s="1"/>
  <c r="AJ80" i="73"/>
  <c r="BY80" i="73" s="1"/>
  <c r="AJ79" i="73"/>
  <c r="BY79" i="73" s="1"/>
  <c r="AJ78" i="73"/>
  <c r="BY78" i="73" s="1"/>
  <c r="AJ77" i="73"/>
  <c r="BY77" i="73" s="1"/>
  <c r="AJ75" i="73"/>
  <c r="BY75" i="73" s="1"/>
  <c r="AJ73" i="73"/>
  <c r="BY73" i="73" s="1"/>
  <c r="AJ71" i="73"/>
  <c r="BY71" i="73" s="1"/>
  <c r="AJ54" i="73"/>
  <c r="BY54" i="73" s="1"/>
  <c r="AJ53" i="73"/>
  <c r="BY53" i="73" s="1"/>
  <c r="AJ52" i="73"/>
  <c r="BY52" i="73" s="1"/>
  <c r="AJ47" i="73"/>
  <c r="BY47" i="73" s="1"/>
  <c r="AJ46" i="73"/>
  <c r="BY46" i="73" s="1"/>
  <c r="AJ45" i="73"/>
  <c r="BY45" i="73" s="1"/>
  <c r="AJ44" i="73"/>
  <c r="BY44" i="73" s="1"/>
  <c r="AJ43" i="73"/>
  <c r="BY43" i="73" s="1"/>
  <c r="AJ42" i="73"/>
  <c r="BY42" i="73" s="1"/>
  <c r="AJ41" i="73"/>
  <c r="BY41" i="73" s="1"/>
  <c r="AJ40" i="73"/>
  <c r="BY40" i="73" s="1"/>
  <c r="AJ39" i="73"/>
  <c r="BY39" i="73" s="1"/>
  <c r="AJ37" i="73"/>
  <c r="BY37" i="73" s="1"/>
  <c r="AJ36" i="73"/>
  <c r="BY36" i="73" s="1"/>
  <c r="AJ35" i="73"/>
  <c r="BY35" i="73" s="1"/>
  <c r="AJ34" i="73"/>
  <c r="BY34" i="73" s="1"/>
  <c r="AJ33" i="73"/>
  <c r="BY33" i="73" s="1"/>
  <c r="AJ32" i="73"/>
  <c r="BY32" i="73" s="1"/>
  <c r="AJ31" i="73"/>
  <c r="BY31" i="73" s="1"/>
  <c r="AJ30" i="73"/>
  <c r="BY30" i="73" s="1"/>
  <c r="AJ28" i="73"/>
  <c r="BY28" i="73" s="1"/>
  <c r="AJ27" i="73"/>
  <c r="BY27" i="73" s="1"/>
  <c r="AJ26" i="73"/>
  <c r="BY26" i="73" s="1"/>
  <c r="AJ23" i="73"/>
  <c r="BY23" i="73" s="1"/>
  <c r="AJ22" i="73"/>
  <c r="BY22" i="73" s="1"/>
  <c r="AJ20" i="73"/>
  <c r="BY20" i="73" s="1"/>
  <c r="AJ19" i="73"/>
  <c r="BY19" i="73" s="1"/>
  <c r="AJ16" i="73"/>
  <c r="BY16" i="73" s="1"/>
  <c r="AJ15" i="73"/>
  <c r="BY15" i="73" s="1"/>
  <c r="AJ14" i="73"/>
  <c r="BY14" i="73" s="1"/>
  <c r="AJ13" i="73"/>
  <c r="BY13" i="73" s="1"/>
  <c r="AI87" i="73"/>
  <c r="AH87" i="73"/>
  <c r="BX87" i="73" s="1"/>
  <c r="AG87" i="73"/>
  <c r="AF87" i="73"/>
  <c r="BW87" i="73" s="1"/>
  <c r="AE87" i="73"/>
  <c r="AD87" i="73"/>
  <c r="BV87" i="73" s="1"/>
  <c r="AC87" i="73"/>
  <c r="AB87" i="73"/>
  <c r="BU87" i="73" s="1"/>
  <c r="AA87" i="73"/>
  <c r="Z87" i="73"/>
  <c r="BT87" i="73" s="1"/>
  <c r="AI86" i="73"/>
  <c r="AH86" i="73"/>
  <c r="BX86" i="73" s="1"/>
  <c r="AG86" i="73"/>
  <c r="AF86" i="73"/>
  <c r="BW86" i="73" s="1"/>
  <c r="AE86" i="73"/>
  <c r="AD86" i="73"/>
  <c r="BV86" i="73" s="1"/>
  <c r="AC86" i="73"/>
  <c r="AB86" i="73"/>
  <c r="BU86" i="73" s="1"/>
  <c r="AA86" i="73"/>
  <c r="Z86" i="73"/>
  <c r="BT86" i="73" s="1"/>
  <c r="AI85" i="73"/>
  <c r="AH85" i="73"/>
  <c r="BX85" i="73" s="1"/>
  <c r="AG85" i="73"/>
  <c r="AF85" i="73"/>
  <c r="BW85" i="73" s="1"/>
  <c r="AE85" i="73"/>
  <c r="AD85" i="73"/>
  <c r="BV85" i="73" s="1"/>
  <c r="AC85" i="73"/>
  <c r="AB85" i="73"/>
  <c r="BU85" i="73" s="1"/>
  <c r="AA85" i="73"/>
  <c r="Z85" i="73"/>
  <c r="BT85" i="73" s="1"/>
  <c r="AI84" i="73"/>
  <c r="AH84" i="73"/>
  <c r="BX84" i="73" s="1"/>
  <c r="AG84" i="73"/>
  <c r="AF84" i="73"/>
  <c r="BW84" i="73" s="1"/>
  <c r="AE84" i="73"/>
  <c r="AD84" i="73"/>
  <c r="BV84" i="73" s="1"/>
  <c r="AC84" i="73"/>
  <c r="AB84" i="73"/>
  <c r="BU84" i="73" s="1"/>
  <c r="AA84" i="73"/>
  <c r="Z84" i="73"/>
  <c r="BT84" i="73" s="1"/>
  <c r="AI82" i="73"/>
  <c r="AH82" i="73"/>
  <c r="BX82" i="73" s="1"/>
  <c r="AG82" i="73"/>
  <c r="AF82" i="73"/>
  <c r="BW82" i="73" s="1"/>
  <c r="AE82" i="73"/>
  <c r="AD82" i="73"/>
  <c r="BV82" i="73" s="1"/>
  <c r="AC82" i="73"/>
  <c r="AB82" i="73"/>
  <c r="BU82" i="73" s="1"/>
  <c r="AA82" i="73"/>
  <c r="Z82" i="73"/>
  <c r="BT82" i="73" s="1"/>
  <c r="AI81" i="73"/>
  <c r="AH81" i="73"/>
  <c r="BX81" i="73" s="1"/>
  <c r="AG81" i="73"/>
  <c r="AF81" i="73"/>
  <c r="BW81" i="73" s="1"/>
  <c r="AE81" i="73"/>
  <c r="AD81" i="73"/>
  <c r="BV81" i="73" s="1"/>
  <c r="AC81" i="73"/>
  <c r="AB81" i="73"/>
  <c r="BU81" i="73" s="1"/>
  <c r="AA81" i="73"/>
  <c r="Z81" i="73"/>
  <c r="BT81" i="73" s="1"/>
  <c r="AI80" i="73"/>
  <c r="AH80" i="73"/>
  <c r="BX80" i="73" s="1"/>
  <c r="AG80" i="73"/>
  <c r="AF80" i="73"/>
  <c r="BW80" i="73" s="1"/>
  <c r="AE80" i="73"/>
  <c r="AD80" i="73"/>
  <c r="BV80" i="73" s="1"/>
  <c r="AC80" i="73"/>
  <c r="AB80" i="73"/>
  <c r="BU80" i="73" s="1"/>
  <c r="AA80" i="73"/>
  <c r="Z80" i="73"/>
  <c r="BT80" i="73" s="1"/>
  <c r="AI79" i="73"/>
  <c r="AH79" i="73"/>
  <c r="BX79" i="73" s="1"/>
  <c r="AG79" i="73"/>
  <c r="AF79" i="73"/>
  <c r="BW79" i="73" s="1"/>
  <c r="AE79" i="73"/>
  <c r="AD79" i="73"/>
  <c r="BV79" i="73" s="1"/>
  <c r="AC79" i="73"/>
  <c r="AB79" i="73"/>
  <c r="BU79" i="73" s="1"/>
  <c r="AA79" i="73"/>
  <c r="Z79" i="73"/>
  <c r="BT79" i="73" s="1"/>
  <c r="AI78" i="73"/>
  <c r="AH78" i="73"/>
  <c r="BX78" i="73" s="1"/>
  <c r="AG78" i="73"/>
  <c r="AF78" i="73"/>
  <c r="BW78" i="73" s="1"/>
  <c r="AE78" i="73"/>
  <c r="AD78" i="73"/>
  <c r="BV78" i="73" s="1"/>
  <c r="AC78" i="73"/>
  <c r="AB78" i="73"/>
  <c r="BU78" i="73" s="1"/>
  <c r="AA78" i="73"/>
  <c r="Z78" i="73"/>
  <c r="BT78" i="73" s="1"/>
  <c r="AI77" i="73"/>
  <c r="AH77" i="73"/>
  <c r="BX77" i="73" s="1"/>
  <c r="AG77" i="73"/>
  <c r="AF77" i="73"/>
  <c r="BW77" i="73" s="1"/>
  <c r="AE77" i="73"/>
  <c r="AD77" i="73"/>
  <c r="BV77" i="73" s="1"/>
  <c r="AC77" i="73"/>
  <c r="AB77" i="73"/>
  <c r="BU77" i="73" s="1"/>
  <c r="AA77" i="73"/>
  <c r="Z77" i="73"/>
  <c r="BT77" i="73" s="1"/>
  <c r="AI75" i="73"/>
  <c r="AH75" i="73"/>
  <c r="BX75" i="73" s="1"/>
  <c r="AG75" i="73"/>
  <c r="AF75" i="73"/>
  <c r="BW75" i="73" s="1"/>
  <c r="AE75" i="73"/>
  <c r="AD75" i="73"/>
  <c r="BV75" i="73" s="1"/>
  <c r="AC75" i="73"/>
  <c r="AB75" i="73"/>
  <c r="BU75" i="73" s="1"/>
  <c r="AA75" i="73"/>
  <c r="Z75" i="73"/>
  <c r="BT75" i="73" s="1"/>
  <c r="AI74" i="73"/>
  <c r="AH74" i="73"/>
  <c r="BX74" i="73" s="1"/>
  <c r="AG74" i="73"/>
  <c r="AF74" i="73"/>
  <c r="BW74" i="73" s="1"/>
  <c r="AE74" i="73"/>
  <c r="AD74" i="73"/>
  <c r="BV74" i="73" s="1"/>
  <c r="AC74" i="73"/>
  <c r="AB74" i="73"/>
  <c r="BU74" i="73" s="1"/>
  <c r="AA74" i="73"/>
  <c r="Z74" i="73"/>
  <c r="BT74" i="73" s="1"/>
  <c r="AI72" i="73"/>
  <c r="AH72" i="73"/>
  <c r="BX72" i="73" s="1"/>
  <c r="AG72" i="73"/>
  <c r="AF72" i="73"/>
  <c r="BW72" i="73" s="1"/>
  <c r="AE72" i="73"/>
  <c r="AD72" i="73"/>
  <c r="BV72" i="73" s="1"/>
  <c r="AC72" i="73"/>
  <c r="AB72" i="73"/>
  <c r="BU72" i="73" s="1"/>
  <c r="AA72" i="73"/>
  <c r="Z72" i="73"/>
  <c r="BT72" i="73" s="1"/>
  <c r="AI71" i="73"/>
  <c r="AH71" i="73"/>
  <c r="BX71" i="73" s="1"/>
  <c r="AG71" i="73"/>
  <c r="AF71" i="73"/>
  <c r="BW71" i="73" s="1"/>
  <c r="AE71" i="73"/>
  <c r="AD71" i="73"/>
  <c r="BV71" i="73" s="1"/>
  <c r="AC71" i="73"/>
  <c r="AB71" i="73"/>
  <c r="BU71" i="73" s="1"/>
  <c r="AA71" i="73"/>
  <c r="Z71" i="73"/>
  <c r="BT71" i="73" s="1"/>
  <c r="AI54" i="73"/>
  <c r="AH54" i="73"/>
  <c r="BX54" i="73" s="1"/>
  <c r="AG54" i="73"/>
  <c r="AF54" i="73"/>
  <c r="BW54" i="73" s="1"/>
  <c r="AE54" i="73"/>
  <c r="AD54" i="73"/>
  <c r="BV54" i="73" s="1"/>
  <c r="AC54" i="73"/>
  <c r="AB54" i="73"/>
  <c r="BU54" i="73" s="1"/>
  <c r="AA54" i="73"/>
  <c r="Z54" i="73"/>
  <c r="BT54" i="73" s="1"/>
  <c r="AI53" i="73"/>
  <c r="AH53" i="73"/>
  <c r="BX53" i="73" s="1"/>
  <c r="AG53" i="73"/>
  <c r="AF53" i="73"/>
  <c r="BW53" i="73" s="1"/>
  <c r="AE53" i="73"/>
  <c r="AD53" i="73"/>
  <c r="BV53" i="73" s="1"/>
  <c r="AC53" i="73"/>
  <c r="AB53" i="73"/>
  <c r="BU53" i="73" s="1"/>
  <c r="AA53" i="73"/>
  <c r="Z53" i="73"/>
  <c r="BT53" i="73" s="1"/>
  <c r="AI52" i="73"/>
  <c r="AH52" i="73"/>
  <c r="BX52" i="73" s="1"/>
  <c r="AG52" i="73"/>
  <c r="AF52" i="73"/>
  <c r="BW52" i="73" s="1"/>
  <c r="AE52" i="73"/>
  <c r="AD52" i="73"/>
  <c r="BV52" i="73" s="1"/>
  <c r="AC52" i="73"/>
  <c r="AB52" i="73"/>
  <c r="BU52" i="73" s="1"/>
  <c r="AA52" i="73"/>
  <c r="Z52" i="73"/>
  <c r="BT52" i="73" s="1"/>
  <c r="AI47" i="73"/>
  <c r="AH47" i="73"/>
  <c r="BX47" i="73" s="1"/>
  <c r="AG47" i="73"/>
  <c r="AF47" i="73"/>
  <c r="BW47" i="73" s="1"/>
  <c r="AE47" i="73"/>
  <c r="AD47" i="73"/>
  <c r="BV47" i="73" s="1"/>
  <c r="AC47" i="73"/>
  <c r="AB47" i="73"/>
  <c r="BU47" i="73" s="1"/>
  <c r="AA47" i="73"/>
  <c r="Z47" i="73"/>
  <c r="BT47" i="73" s="1"/>
  <c r="AI46" i="73"/>
  <c r="AH46" i="73"/>
  <c r="BX46" i="73" s="1"/>
  <c r="AG46" i="73"/>
  <c r="AF46" i="73"/>
  <c r="BW46" i="73" s="1"/>
  <c r="AE46" i="73"/>
  <c r="AD46" i="73"/>
  <c r="BV46" i="73" s="1"/>
  <c r="AC46" i="73"/>
  <c r="AB46" i="73"/>
  <c r="BU46" i="73" s="1"/>
  <c r="AA46" i="73"/>
  <c r="Z46" i="73"/>
  <c r="BT46" i="73" s="1"/>
  <c r="AI45" i="73"/>
  <c r="AH45" i="73"/>
  <c r="BX45" i="73" s="1"/>
  <c r="AG45" i="73"/>
  <c r="AF45" i="73"/>
  <c r="BW45" i="73" s="1"/>
  <c r="AE45" i="73"/>
  <c r="AD45" i="73"/>
  <c r="BV45" i="73" s="1"/>
  <c r="AC45" i="73"/>
  <c r="AB45" i="73"/>
  <c r="BU45" i="73" s="1"/>
  <c r="AA45" i="73"/>
  <c r="Z45" i="73"/>
  <c r="BT45" i="73" s="1"/>
  <c r="AI44" i="73"/>
  <c r="AH44" i="73"/>
  <c r="BX44" i="73" s="1"/>
  <c r="AG44" i="73"/>
  <c r="AF44" i="73"/>
  <c r="BW44" i="73" s="1"/>
  <c r="AE44" i="73"/>
  <c r="AD44" i="73"/>
  <c r="BV44" i="73" s="1"/>
  <c r="AC44" i="73"/>
  <c r="AB44" i="73"/>
  <c r="BU44" i="73" s="1"/>
  <c r="AA44" i="73"/>
  <c r="Z44" i="73"/>
  <c r="BT44" i="73" s="1"/>
  <c r="AI43" i="73"/>
  <c r="AH43" i="73"/>
  <c r="BX43" i="73" s="1"/>
  <c r="AG43" i="73"/>
  <c r="AF43" i="73"/>
  <c r="BW43" i="73" s="1"/>
  <c r="AE43" i="73"/>
  <c r="AD43" i="73"/>
  <c r="BV43" i="73" s="1"/>
  <c r="AC43" i="73"/>
  <c r="AB43" i="73"/>
  <c r="BU43" i="73" s="1"/>
  <c r="AA43" i="73"/>
  <c r="Z43" i="73"/>
  <c r="BT43" i="73" s="1"/>
  <c r="AI42" i="73"/>
  <c r="AH42" i="73"/>
  <c r="BX42" i="73" s="1"/>
  <c r="AG42" i="73"/>
  <c r="AF42" i="73"/>
  <c r="BW42" i="73" s="1"/>
  <c r="AE42" i="73"/>
  <c r="AD42" i="73"/>
  <c r="BV42" i="73" s="1"/>
  <c r="AC42" i="73"/>
  <c r="AB42" i="73"/>
  <c r="BU42" i="73" s="1"/>
  <c r="AA42" i="73"/>
  <c r="Z42" i="73"/>
  <c r="BT42" i="73" s="1"/>
  <c r="AI41" i="73"/>
  <c r="AH41" i="73"/>
  <c r="BX41" i="73" s="1"/>
  <c r="AG41" i="73"/>
  <c r="AF41" i="73"/>
  <c r="BW41" i="73" s="1"/>
  <c r="AE41" i="73"/>
  <c r="AD41" i="73"/>
  <c r="BV41" i="73" s="1"/>
  <c r="AC41" i="73"/>
  <c r="AB41" i="73"/>
  <c r="BU41" i="73" s="1"/>
  <c r="AA41" i="73"/>
  <c r="Z41" i="73"/>
  <c r="BT41" i="73" s="1"/>
  <c r="AI40" i="73"/>
  <c r="AH40" i="73"/>
  <c r="BX40" i="73" s="1"/>
  <c r="AG40" i="73"/>
  <c r="AF40" i="73"/>
  <c r="BW40" i="73" s="1"/>
  <c r="AE40" i="73"/>
  <c r="AD40" i="73"/>
  <c r="BV40" i="73" s="1"/>
  <c r="AC40" i="73"/>
  <c r="AB40" i="73"/>
  <c r="BU40" i="73" s="1"/>
  <c r="AA40" i="73"/>
  <c r="Z40" i="73"/>
  <c r="BT40" i="73" s="1"/>
  <c r="AI39" i="73"/>
  <c r="AH39" i="73"/>
  <c r="BX39" i="73" s="1"/>
  <c r="AG39" i="73"/>
  <c r="AF39" i="73"/>
  <c r="BW39" i="73" s="1"/>
  <c r="AE39" i="73"/>
  <c r="AD39" i="73"/>
  <c r="BV39" i="73" s="1"/>
  <c r="AC39" i="73"/>
  <c r="AB39" i="73"/>
  <c r="BU39" i="73" s="1"/>
  <c r="AA39" i="73"/>
  <c r="Z39" i="73"/>
  <c r="BT39" i="73" s="1"/>
  <c r="AI37" i="73"/>
  <c r="AH37" i="73"/>
  <c r="BX37" i="73" s="1"/>
  <c r="AG37" i="73"/>
  <c r="AF37" i="73"/>
  <c r="BW37" i="73" s="1"/>
  <c r="AE37" i="73"/>
  <c r="AD37" i="73"/>
  <c r="BV37" i="73" s="1"/>
  <c r="AC37" i="73"/>
  <c r="AB37" i="73"/>
  <c r="BU37" i="73" s="1"/>
  <c r="AA37" i="73"/>
  <c r="Z37" i="73"/>
  <c r="BT37" i="73" s="1"/>
  <c r="AI36" i="73"/>
  <c r="AH36" i="73"/>
  <c r="BX36" i="73" s="1"/>
  <c r="AG36" i="73"/>
  <c r="AF36" i="73"/>
  <c r="BW36" i="73" s="1"/>
  <c r="AE36" i="73"/>
  <c r="AD36" i="73"/>
  <c r="BV36" i="73" s="1"/>
  <c r="AC36" i="73"/>
  <c r="AB36" i="73"/>
  <c r="BU36" i="73" s="1"/>
  <c r="AA36" i="73"/>
  <c r="Z36" i="73"/>
  <c r="BT36" i="73" s="1"/>
  <c r="AI35" i="73"/>
  <c r="AH35" i="73"/>
  <c r="BX35" i="73" s="1"/>
  <c r="AG35" i="73"/>
  <c r="AF35" i="73"/>
  <c r="BW35" i="73" s="1"/>
  <c r="AE35" i="73"/>
  <c r="AD35" i="73"/>
  <c r="BV35" i="73" s="1"/>
  <c r="AC35" i="73"/>
  <c r="AB35" i="73"/>
  <c r="BU35" i="73" s="1"/>
  <c r="AA35" i="73"/>
  <c r="Z35" i="73"/>
  <c r="BT35" i="73" s="1"/>
  <c r="AI34" i="73"/>
  <c r="AH34" i="73"/>
  <c r="BX34" i="73" s="1"/>
  <c r="AG34" i="73"/>
  <c r="AF34" i="73"/>
  <c r="BW34" i="73" s="1"/>
  <c r="AE34" i="73"/>
  <c r="AD34" i="73"/>
  <c r="BV34" i="73" s="1"/>
  <c r="AC34" i="73"/>
  <c r="AB34" i="73"/>
  <c r="BU34" i="73" s="1"/>
  <c r="AA34" i="73"/>
  <c r="Z34" i="73"/>
  <c r="BT34" i="73" s="1"/>
  <c r="AI33" i="73"/>
  <c r="AH33" i="73"/>
  <c r="BX33" i="73" s="1"/>
  <c r="AG33" i="73"/>
  <c r="AF33" i="73"/>
  <c r="BW33" i="73" s="1"/>
  <c r="AE33" i="73"/>
  <c r="AD33" i="73"/>
  <c r="BV33" i="73" s="1"/>
  <c r="AC33" i="73"/>
  <c r="AB33" i="73"/>
  <c r="BU33" i="73" s="1"/>
  <c r="AA33" i="73"/>
  <c r="Z33" i="73"/>
  <c r="BT33" i="73" s="1"/>
  <c r="AI32" i="73"/>
  <c r="AH32" i="73"/>
  <c r="BX32" i="73" s="1"/>
  <c r="AG32" i="73"/>
  <c r="AF32" i="73"/>
  <c r="BW32" i="73" s="1"/>
  <c r="AE32" i="73"/>
  <c r="AD32" i="73"/>
  <c r="BV32" i="73" s="1"/>
  <c r="AC32" i="73"/>
  <c r="AB32" i="73"/>
  <c r="BU32" i="73" s="1"/>
  <c r="AA32" i="73"/>
  <c r="Z32" i="73"/>
  <c r="BT32" i="73" s="1"/>
  <c r="AI31" i="73"/>
  <c r="AH31" i="73"/>
  <c r="BX31" i="73" s="1"/>
  <c r="AG31" i="73"/>
  <c r="AF31" i="73"/>
  <c r="BW31" i="73" s="1"/>
  <c r="AE31" i="73"/>
  <c r="AD31" i="73"/>
  <c r="BV31" i="73" s="1"/>
  <c r="AC31" i="73"/>
  <c r="AB31" i="73"/>
  <c r="BU31" i="73" s="1"/>
  <c r="AA31" i="73"/>
  <c r="Z31" i="73"/>
  <c r="BT31" i="73" s="1"/>
  <c r="AI30" i="73"/>
  <c r="AH30" i="73"/>
  <c r="BX30" i="73" s="1"/>
  <c r="AG30" i="73"/>
  <c r="AF30" i="73"/>
  <c r="BW30" i="73" s="1"/>
  <c r="AE30" i="73"/>
  <c r="AD30" i="73"/>
  <c r="BV30" i="73" s="1"/>
  <c r="AC30" i="73"/>
  <c r="AB30" i="73"/>
  <c r="BU30" i="73" s="1"/>
  <c r="AA30" i="73"/>
  <c r="Z30" i="73"/>
  <c r="BT30" i="73" s="1"/>
  <c r="AI28" i="73"/>
  <c r="AH28" i="73"/>
  <c r="BX28" i="73" s="1"/>
  <c r="AG28" i="73"/>
  <c r="AF28" i="73"/>
  <c r="BW28" i="73" s="1"/>
  <c r="AE28" i="73"/>
  <c r="AD28" i="73"/>
  <c r="BV28" i="73" s="1"/>
  <c r="AC28" i="73"/>
  <c r="AB28" i="73"/>
  <c r="BU28" i="73" s="1"/>
  <c r="AA28" i="73"/>
  <c r="Z28" i="73"/>
  <c r="BT28" i="73" s="1"/>
  <c r="AI27" i="73"/>
  <c r="AH27" i="73"/>
  <c r="BX27" i="73" s="1"/>
  <c r="AG27" i="73"/>
  <c r="AF27" i="73"/>
  <c r="BW27" i="73" s="1"/>
  <c r="AE27" i="73"/>
  <c r="AD27" i="73"/>
  <c r="BV27" i="73" s="1"/>
  <c r="AC27" i="73"/>
  <c r="AB27" i="73"/>
  <c r="BU27" i="73" s="1"/>
  <c r="AA27" i="73"/>
  <c r="Z27" i="73"/>
  <c r="BT27" i="73" s="1"/>
  <c r="AI26" i="73"/>
  <c r="AH26" i="73"/>
  <c r="BX26" i="73" s="1"/>
  <c r="AG26" i="73"/>
  <c r="AF26" i="73"/>
  <c r="BW26" i="73" s="1"/>
  <c r="AE26" i="73"/>
  <c r="AD26" i="73"/>
  <c r="BV26" i="73" s="1"/>
  <c r="AC26" i="73"/>
  <c r="AB26" i="73"/>
  <c r="BU26" i="73" s="1"/>
  <c r="AA26" i="73"/>
  <c r="Z26" i="73"/>
  <c r="BT26" i="73" s="1"/>
  <c r="AI23" i="73"/>
  <c r="AH23" i="73"/>
  <c r="BX23" i="73" s="1"/>
  <c r="AG23" i="73"/>
  <c r="AF23" i="73"/>
  <c r="BW23" i="73" s="1"/>
  <c r="AE23" i="73"/>
  <c r="AD23" i="73"/>
  <c r="BV23" i="73" s="1"/>
  <c r="AC23" i="73"/>
  <c r="AB23" i="73"/>
  <c r="BU23" i="73" s="1"/>
  <c r="AA23" i="73"/>
  <c r="Z23" i="73"/>
  <c r="BT23" i="73" s="1"/>
  <c r="AI22" i="73"/>
  <c r="AH22" i="73"/>
  <c r="BX22" i="73" s="1"/>
  <c r="AG22" i="73"/>
  <c r="AF22" i="73"/>
  <c r="BW22" i="73" s="1"/>
  <c r="AE22" i="73"/>
  <c r="AD22" i="73"/>
  <c r="BV22" i="73" s="1"/>
  <c r="AC22" i="73"/>
  <c r="AB22" i="73"/>
  <c r="BU22" i="73" s="1"/>
  <c r="AA22" i="73"/>
  <c r="Z22" i="73"/>
  <c r="BT22" i="73" s="1"/>
  <c r="AI20" i="73"/>
  <c r="AH20" i="73"/>
  <c r="BX20" i="73" s="1"/>
  <c r="AG20" i="73"/>
  <c r="AF20" i="73"/>
  <c r="BW20" i="73" s="1"/>
  <c r="AE20" i="73"/>
  <c r="AD20" i="73"/>
  <c r="BV20" i="73" s="1"/>
  <c r="AC20" i="73"/>
  <c r="AB20" i="73"/>
  <c r="BU20" i="73" s="1"/>
  <c r="AA20" i="73"/>
  <c r="Z20" i="73"/>
  <c r="BT20" i="73" s="1"/>
  <c r="AI19" i="73"/>
  <c r="AH19" i="73"/>
  <c r="BX19" i="73" s="1"/>
  <c r="AG19" i="73"/>
  <c r="AF19" i="73"/>
  <c r="BW19" i="73" s="1"/>
  <c r="AE19" i="73"/>
  <c r="AD19" i="73"/>
  <c r="BV19" i="73" s="1"/>
  <c r="AC19" i="73"/>
  <c r="AB19" i="73"/>
  <c r="BU19" i="73" s="1"/>
  <c r="AA19" i="73"/>
  <c r="Z19" i="73"/>
  <c r="BT19" i="73" s="1"/>
  <c r="AI16" i="73"/>
  <c r="AH16" i="73"/>
  <c r="BX16" i="73" s="1"/>
  <c r="AG16" i="73"/>
  <c r="AF16" i="73"/>
  <c r="BW16" i="73" s="1"/>
  <c r="AE16" i="73"/>
  <c r="AD16" i="73"/>
  <c r="BV16" i="73" s="1"/>
  <c r="AC16" i="73"/>
  <c r="AB16" i="73"/>
  <c r="BU16" i="73" s="1"/>
  <c r="AA16" i="73"/>
  <c r="Z16" i="73"/>
  <c r="BT16" i="73" s="1"/>
  <c r="AI15" i="73"/>
  <c r="AH15" i="73"/>
  <c r="BX15" i="73" s="1"/>
  <c r="AG15" i="73"/>
  <c r="AF15" i="73"/>
  <c r="BW15" i="73" s="1"/>
  <c r="AE15" i="73"/>
  <c r="AD15" i="73"/>
  <c r="BV15" i="73" s="1"/>
  <c r="AC15" i="73"/>
  <c r="AB15" i="73"/>
  <c r="BU15" i="73" s="1"/>
  <c r="AA15" i="73"/>
  <c r="Z15" i="73"/>
  <c r="BT15" i="73" s="1"/>
  <c r="AI14" i="73"/>
  <c r="AH14" i="73"/>
  <c r="BX14" i="73" s="1"/>
  <c r="AG14" i="73"/>
  <c r="AF14" i="73"/>
  <c r="BW14" i="73" s="1"/>
  <c r="AE14" i="73"/>
  <c r="AD14" i="73"/>
  <c r="BV14" i="73" s="1"/>
  <c r="AC14" i="73"/>
  <c r="AB14" i="73"/>
  <c r="BU14" i="73" s="1"/>
  <c r="AA14" i="73"/>
  <c r="Z14" i="73"/>
  <c r="BT14" i="73" s="1"/>
  <c r="AI13" i="73"/>
  <c r="AH13" i="73"/>
  <c r="BX13" i="73" s="1"/>
  <c r="AG13" i="73"/>
  <c r="AF13" i="73"/>
  <c r="BW13" i="73" s="1"/>
  <c r="AE13" i="73"/>
  <c r="AD13" i="73"/>
  <c r="BV13" i="73" s="1"/>
  <c r="AC13" i="73"/>
  <c r="AB13" i="73"/>
  <c r="BU13" i="73" s="1"/>
  <c r="AA13" i="73"/>
  <c r="Z13" i="73"/>
  <c r="BT13" i="73" s="1"/>
  <c r="Y92" i="73"/>
  <c r="BS92" i="73" s="1"/>
  <c r="Y87" i="73"/>
  <c r="BS87" i="73" s="1"/>
  <c r="Y86" i="73"/>
  <c r="BS86" i="73" s="1"/>
  <c r="Y85" i="73"/>
  <c r="BS85" i="73" s="1"/>
  <c r="Y84" i="73"/>
  <c r="BS84" i="73" s="1"/>
  <c r="Y82" i="73"/>
  <c r="BS82" i="73" s="1"/>
  <c r="Y81" i="73"/>
  <c r="BS81" i="73" s="1"/>
  <c r="Y80" i="73"/>
  <c r="BS80" i="73" s="1"/>
  <c r="Y79" i="73"/>
  <c r="BS79" i="73" s="1"/>
  <c r="Y78" i="73"/>
  <c r="BS78" i="73" s="1"/>
  <c r="Y77" i="73"/>
  <c r="BS77" i="73" s="1"/>
  <c r="Y75" i="73"/>
  <c r="BS75" i="73" s="1"/>
  <c r="Y74" i="73"/>
  <c r="BS74" i="73" s="1"/>
  <c r="Y72" i="73"/>
  <c r="BS72" i="73" s="1"/>
  <c r="Y71" i="73"/>
  <c r="BS71" i="73" s="1"/>
  <c r="Y54" i="73"/>
  <c r="BS54" i="73" s="1"/>
  <c r="Y53" i="73"/>
  <c r="BS53" i="73" s="1"/>
  <c r="Y52" i="73"/>
  <c r="BS52" i="73" s="1"/>
  <c r="Y47" i="73"/>
  <c r="BS47" i="73" s="1"/>
  <c r="Y46" i="73"/>
  <c r="BS46" i="73" s="1"/>
  <c r="Y45" i="73"/>
  <c r="BS45" i="73" s="1"/>
  <c r="Y44" i="73"/>
  <c r="BS44" i="73" s="1"/>
  <c r="Y43" i="73"/>
  <c r="BS43" i="73" s="1"/>
  <c r="Y42" i="73"/>
  <c r="BS42" i="73" s="1"/>
  <c r="Y41" i="73"/>
  <c r="BS41" i="73" s="1"/>
  <c r="Y40" i="73"/>
  <c r="BS40" i="73" s="1"/>
  <c r="Y39" i="73"/>
  <c r="BS39" i="73" s="1"/>
  <c r="Y37" i="73"/>
  <c r="BS37" i="73" s="1"/>
  <c r="Y36" i="73"/>
  <c r="BS36" i="73" s="1"/>
  <c r="Y35" i="73"/>
  <c r="BS35" i="73" s="1"/>
  <c r="Y34" i="73"/>
  <c r="BS34" i="73" s="1"/>
  <c r="Y33" i="73"/>
  <c r="BS33" i="73" s="1"/>
  <c r="Y32" i="73"/>
  <c r="BS32" i="73" s="1"/>
  <c r="Y31" i="73"/>
  <c r="BS31" i="73" s="1"/>
  <c r="Y30" i="73"/>
  <c r="BS30" i="73" s="1"/>
  <c r="Y28" i="73"/>
  <c r="BS28" i="73" s="1"/>
  <c r="Y27" i="73"/>
  <c r="BS27" i="73" s="1"/>
  <c r="Y26" i="73"/>
  <c r="BS26" i="73" s="1"/>
  <c r="Y23" i="73"/>
  <c r="BS23" i="73" s="1"/>
  <c r="Y22" i="73"/>
  <c r="BS22" i="73" s="1"/>
  <c r="Y20" i="73"/>
  <c r="BS20" i="73" s="1"/>
  <c r="Y19" i="73"/>
  <c r="BS19" i="73" s="1"/>
  <c r="Y16" i="73"/>
  <c r="BS16" i="73" s="1"/>
  <c r="Y15" i="73"/>
  <c r="BS15" i="73" s="1"/>
  <c r="Y14" i="73"/>
  <c r="BS14" i="73" s="1"/>
  <c r="Y13" i="73"/>
  <c r="BS13" i="73" s="1"/>
  <c r="X87" i="73"/>
  <c r="X86" i="73"/>
  <c r="X85" i="73"/>
  <c r="X84" i="73"/>
  <c r="X82" i="73"/>
  <c r="X81" i="73"/>
  <c r="X80" i="73"/>
  <c r="X79" i="73"/>
  <c r="X78" i="73"/>
  <c r="X77" i="73"/>
  <c r="X75" i="73"/>
  <c r="X74" i="73"/>
  <c r="X72" i="73"/>
  <c r="X71" i="73"/>
  <c r="X54" i="73"/>
  <c r="X53" i="73"/>
  <c r="X52" i="73"/>
  <c r="X47" i="73"/>
  <c r="X46" i="73"/>
  <c r="X45" i="73"/>
  <c r="X44" i="73"/>
  <c r="X43" i="73"/>
  <c r="X42" i="73"/>
  <c r="X41" i="73"/>
  <c r="X40" i="73"/>
  <c r="X39" i="73"/>
  <c r="X37" i="73"/>
  <c r="X36" i="73"/>
  <c r="X35" i="73"/>
  <c r="X34" i="73"/>
  <c r="X33" i="73"/>
  <c r="X32" i="73"/>
  <c r="X31" i="73"/>
  <c r="X30" i="73"/>
  <c r="X28" i="73"/>
  <c r="X27" i="73"/>
  <c r="X26" i="73"/>
  <c r="X23" i="73"/>
  <c r="X22" i="73"/>
  <c r="X20" i="73"/>
  <c r="X19" i="73"/>
  <c r="X16" i="73"/>
  <c r="X15" i="73"/>
  <c r="X14" i="73"/>
  <c r="X13" i="73"/>
  <c r="V87" i="73"/>
  <c r="V86" i="73"/>
  <c r="V85" i="73"/>
  <c r="V84" i="73"/>
  <c r="V82" i="73"/>
  <c r="V81" i="73"/>
  <c r="V80" i="73"/>
  <c r="V79" i="73"/>
  <c r="V78" i="73"/>
  <c r="V77" i="73"/>
  <c r="V75" i="73"/>
  <c r="V74" i="73"/>
  <c r="V72" i="73"/>
  <c r="V71" i="73"/>
  <c r="V54" i="73"/>
  <c r="V53" i="73"/>
  <c r="V52" i="73"/>
  <c r="V47" i="73"/>
  <c r="V46" i="73"/>
  <c r="V45" i="73"/>
  <c r="V44" i="73"/>
  <c r="V43" i="73"/>
  <c r="V42" i="73"/>
  <c r="V41" i="73"/>
  <c r="V40" i="73"/>
  <c r="V39" i="73"/>
  <c r="V37" i="73"/>
  <c r="V36" i="73"/>
  <c r="V35" i="73"/>
  <c r="V34" i="73"/>
  <c r="V33" i="73"/>
  <c r="V32" i="73"/>
  <c r="V31" i="73"/>
  <c r="V30" i="73"/>
  <c r="V28" i="73"/>
  <c r="V27" i="73"/>
  <c r="V26" i="73"/>
  <c r="V23" i="73"/>
  <c r="V22" i="73"/>
  <c r="V20" i="73"/>
  <c r="V19" i="73"/>
  <c r="V16" i="73"/>
  <c r="V15" i="73"/>
  <c r="V14" i="73"/>
  <c r="V13" i="73"/>
  <c r="T87" i="73"/>
  <c r="T86" i="73"/>
  <c r="T85" i="73"/>
  <c r="T84" i="73"/>
  <c r="T82" i="73"/>
  <c r="T81" i="73"/>
  <c r="T80" i="73"/>
  <c r="T79" i="73"/>
  <c r="T78" i="73"/>
  <c r="T77" i="73"/>
  <c r="T75" i="73"/>
  <c r="T74" i="73"/>
  <c r="T72" i="73"/>
  <c r="T71" i="73"/>
  <c r="T54" i="73"/>
  <c r="T53" i="73"/>
  <c r="T52" i="73"/>
  <c r="T47" i="73"/>
  <c r="T46" i="73"/>
  <c r="T45" i="73"/>
  <c r="T44" i="73"/>
  <c r="T43" i="73"/>
  <c r="T42" i="73"/>
  <c r="T41" i="73"/>
  <c r="T40" i="73"/>
  <c r="T39" i="73"/>
  <c r="T37" i="73"/>
  <c r="T36" i="73"/>
  <c r="T35" i="73"/>
  <c r="T34" i="73"/>
  <c r="T33" i="73"/>
  <c r="T32" i="73"/>
  <c r="T31" i="73"/>
  <c r="T30" i="73"/>
  <c r="T28" i="73"/>
  <c r="T27" i="73"/>
  <c r="T26" i="73"/>
  <c r="T23" i="73"/>
  <c r="T22" i="73"/>
  <c r="T20" i="73"/>
  <c r="T19" i="73"/>
  <c r="T16" i="73"/>
  <c r="T15" i="73"/>
  <c r="T14" i="73"/>
  <c r="T13" i="73"/>
  <c r="R87" i="73"/>
  <c r="R86" i="73"/>
  <c r="R85" i="73"/>
  <c r="R84" i="73"/>
  <c r="R82" i="73"/>
  <c r="R81" i="73"/>
  <c r="R80" i="73"/>
  <c r="R79" i="73"/>
  <c r="R78" i="73"/>
  <c r="R77" i="73"/>
  <c r="R75" i="73"/>
  <c r="R74" i="73"/>
  <c r="R72" i="73"/>
  <c r="R71" i="73"/>
  <c r="R54" i="73"/>
  <c r="R53" i="73"/>
  <c r="R52" i="73"/>
  <c r="R47" i="73"/>
  <c r="R46" i="73"/>
  <c r="R45" i="73"/>
  <c r="R44" i="73"/>
  <c r="R43" i="73"/>
  <c r="R42" i="73"/>
  <c r="R41" i="73"/>
  <c r="R40" i="73"/>
  <c r="R39" i="73"/>
  <c r="R37" i="73"/>
  <c r="R36" i="73"/>
  <c r="R35" i="73"/>
  <c r="R34" i="73"/>
  <c r="R33" i="73"/>
  <c r="R32" i="73"/>
  <c r="R31" i="73"/>
  <c r="R30" i="73"/>
  <c r="R28" i="73"/>
  <c r="R27" i="73"/>
  <c r="R26" i="73"/>
  <c r="R23" i="73"/>
  <c r="R22" i="73"/>
  <c r="R20" i="73"/>
  <c r="R19" i="73"/>
  <c r="R16" i="73"/>
  <c r="R15" i="73"/>
  <c r="R14" i="73"/>
  <c r="R13" i="73"/>
  <c r="P87" i="73"/>
  <c r="P86" i="73"/>
  <c r="P85" i="73"/>
  <c r="P84" i="73"/>
  <c r="P82" i="73"/>
  <c r="P81" i="73"/>
  <c r="P80" i="73"/>
  <c r="P79" i="73"/>
  <c r="P78" i="73"/>
  <c r="P77" i="73"/>
  <c r="P75" i="73"/>
  <c r="P74" i="73"/>
  <c r="P72" i="73"/>
  <c r="P71" i="73"/>
  <c r="P54" i="73"/>
  <c r="P53" i="73"/>
  <c r="P52" i="73"/>
  <c r="P47" i="73"/>
  <c r="P46" i="73"/>
  <c r="P45" i="73"/>
  <c r="P44" i="73"/>
  <c r="P43" i="73"/>
  <c r="P42" i="73"/>
  <c r="P41" i="73"/>
  <c r="P40" i="73"/>
  <c r="P39" i="73"/>
  <c r="P37" i="73"/>
  <c r="P36" i="73"/>
  <c r="P35" i="73"/>
  <c r="P34" i="73"/>
  <c r="P33" i="73"/>
  <c r="P32" i="73"/>
  <c r="P31" i="73"/>
  <c r="P30" i="73"/>
  <c r="P28" i="73"/>
  <c r="P27" i="73"/>
  <c r="P26" i="73"/>
  <c r="P23" i="73"/>
  <c r="P22" i="73"/>
  <c r="P20" i="73"/>
  <c r="P19" i="73"/>
  <c r="P16" i="73"/>
  <c r="P15" i="73"/>
  <c r="P14" i="73"/>
  <c r="P13" i="73"/>
  <c r="W87" i="73"/>
  <c r="BR87" i="73" s="1"/>
  <c r="W86" i="73"/>
  <c r="BR86" i="73" s="1"/>
  <c r="W85" i="73"/>
  <c r="BR85" i="73" s="1"/>
  <c r="W84" i="73"/>
  <c r="BR84" i="73" s="1"/>
  <c r="W82" i="73"/>
  <c r="BR82" i="73" s="1"/>
  <c r="W81" i="73"/>
  <c r="BR81" i="73" s="1"/>
  <c r="W80" i="73"/>
  <c r="BR80" i="73" s="1"/>
  <c r="W79" i="73"/>
  <c r="BR79" i="73" s="1"/>
  <c r="W78" i="73"/>
  <c r="BR78" i="73" s="1"/>
  <c r="W77" i="73"/>
  <c r="BR77" i="73" s="1"/>
  <c r="W75" i="73"/>
  <c r="BR75" i="73" s="1"/>
  <c r="W74" i="73"/>
  <c r="BR74" i="73" s="1"/>
  <c r="W72" i="73"/>
  <c r="BR72" i="73" s="1"/>
  <c r="W71" i="73"/>
  <c r="BR71" i="73" s="1"/>
  <c r="W54" i="73"/>
  <c r="BR54" i="73" s="1"/>
  <c r="W53" i="73"/>
  <c r="BR53" i="73" s="1"/>
  <c r="W52" i="73"/>
  <c r="BR52" i="73" s="1"/>
  <c r="W47" i="73"/>
  <c r="BR47" i="73" s="1"/>
  <c r="W46" i="73"/>
  <c r="BR46" i="73" s="1"/>
  <c r="W45" i="73"/>
  <c r="BR45" i="73" s="1"/>
  <c r="W44" i="73"/>
  <c r="BR44" i="73" s="1"/>
  <c r="W43" i="73"/>
  <c r="BR43" i="73" s="1"/>
  <c r="W42" i="73"/>
  <c r="BR42" i="73" s="1"/>
  <c r="W41" i="73"/>
  <c r="BR41" i="73" s="1"/>
  <c r="W40" i="73"/>
  <c r="BR40" i="73" s="1"/>
  <c r="W39" i="73"/>
  <c r="BR39" i="73" s="1"/>
  <c r="W37" i="73"/>
  <c r="BR37" i="73" s="1"/>
  <c r="W36" i="73"/>
  <c r="BR36" i="73" s="1"/>
  <c r="W35" i="73"/>
  <c r="BR35" i="73" s="1"/>
  <c r="W34" i="73"/>
  <c r="BR34" i="73" s="1"/>
  <c r="W33" i="73"/>
  <c r="BR33" i="73" s="1"/>
  <c r="W32" i="73"/>
  <c r="BR32" i="73" s="1"/>
  <c r="W31" i="73"/>
  <c r="BR31" i="73" s="1"/>
  <c r="W30" i="73"/>
  <c r="BR30" i="73" s="1"/>
  <c r="W28" i="73"/>
  <c r="BR28" i="73" s="1"/>
  <c r="W27" i="73"/>
  <c r="BR27" i="73" s="1"/>
  <c r="W26" i="73"/>
  <c r="BR26" i="73" s="1"/>
  <c r="W23" i="73"/>
  <c r="BR23" i="73" s="1"/>
  <c r="W22" i="73"/>
  <c r="BR22" i="73" s="1"/>
  <c r="W20" i="73"/>
  <c r="BR20" i="73" s="1"/>
  <c r="W19" i="73"/>
  <c r="BR19" i="73" s="1"/>
  <c r="W16" i="73"/>
  <c r="BR16" i="73" s="1"/>
  <c r="W15" i="73"/>
  <c r="BR15" i="73" s="1"/>
  <c r="W14" i="73"/>
  <c r="BR14" i="73" s="1"/>
  <c r="W13" i="73"/>
  <c r="BR13" i="73" s="1"/>
  <c r="U87" i="73"/>
  <c r="BQ87" i="73" s="1"/>
  <c r="U86" i="73"/>
  <c r="BQ86" i="73" s="1"/>
  <c r="U85" i="73"/>
  <c r="BQ85" i="73" s="1"/>
  <c r="U84" i="73"/>
  <c r="BQ84" i="73" s="1"/>
  <c r="U82" i="73"/>
  <c r="BQ82" i="73" s="1"/>
  <c r="U81" i="73"/>
  <c r="BQ81" i="73" s="1"/>
  <c r="U80" i="73"/>
  <c r="BQ80" i="73" s="1"/>
  <c r="U79" i="73"/>
  <c r="BQ79" i="73" s="1"/>
  <c r="U78" i="73"/>
  <c r="BQ78" i="73" s="1"/>
  <c r="U77" i="73"/>
  <c r="BQ77" i="73" s="1"/>
  <c r="U75" i="73"/>
  <c r="BQ75" i="73" s="1"/>
  <c r="U74" i="73"/>
  <c r="BQ74" i="73" s="1"/>
  <c r="U72" i="73"/>
  <c r="BQ72" i="73" s="1"/>
  <c r="U71" i="73"/>
  <c r="BQ71" i="73" s="1"/>
  <c r="U54" i="73"/>
  <c r="BQ54" i="73" s="1"/>
  <c r="U53" i="73"/>
  <c r="BQ53" i="73" s="1"/>
  <c r="U52" i="73"/>
  <c r="BQ52" i="73" s="1"/>
  <c r="U47" i="73"/>
  <c r="BQ47" i="73" s="1"/>
  <c r="U46" i="73"/>
  <c r="BQ46" i="73" s="1"/>
  <c r="U45" i="73"/>
  <c r="BQ45" i="73" s="1"/>
  <c r="U44" i="73"/>
  <c r="BQ44" i="73" s="1"/>
  <c r="U43" i="73"/>
  <c r="BQ43" i="73" s="1"/>
  <c r="U42" i="73"/>
  <c r="BQ42" i="73" s="1"/>
  <c r="U41" i="73"/>
  <c r="BQ41" i="73" s="1"/>
  <c r="U40" i="73"/>
  <c r="BQ40" i="73" s="1"/>
  <c r="U39" i="73"/>
  <c r="BQ39" i="73" s="1"/>
  <c r="U37" i="73"/>
  <c r="BQ37" i="73" s="1"/>
  <c r="U36" i="73"/>
  <c r="BQ36" i="73" s="1"/>
  <c r="U35" i="73"/>
  <c r="BQ35" i="73" s="1"/>
  <c r="U34" i="73"/>
  <c r="BQ34" i="73" s="1"/>
  <c r="U33" i="73"/>
  <c r="BQ33" i="73" s="1"/>
  <c r="U32" i="73"/>
  <c r="BQ32" i="73" s="1"/>
  <c r="U31" i="73"/>
  <c r="BQ31" i="73" s="1"/>
  <c r="U30" i="73"/>
  <c r="BQ30" i="73" s="1"/>
  <c r="U28" i="73"/>
  <c r="BQ28" i="73" s="1"/>
  <c r="U27" i="73"/>
  <c r="BQ27" i="73" s="1"/>
  <c r="U26" i="73"/>
  <c r="BQ26" i="73" s="1"/>
  <c r="U23" i="73"/>
  <c r="BQ23" i="73" s="1"/>
  <c r="U22" i="73"/>
  <c r="BQ22" i="73" s="1"/>
  <c r="U20" i="73"/>
  <c r="BQ20" i="73" s="1"/>
  <c r="U19" i="73"/>
  <c r="BQ19" i="73" s="1"/>
  <c r="U16" i="73"/>
  <c r="BQ16" i="73" s="1"/>
  <c r="U15" i="73"/>
  <c r="BQ15" i="73" s="1"/>
  <c r="U14" i="73"/>
  <c r="BQ14" i="73" s="1"/>
  <c r="U13" i="73"/>
  <c r="BQ13" i="73" s="1"/>
  <c r="S87" i="73"/>
  <c r="BP87" i="73" s="1"/>
  <c r="S86" i="73"/>
  <c r="BP86" i="73" s="1"/>
  <c r="S85" i="73"/>
  <c r="BP85" i="73" s="1"/>
  <c r="S84" i="73"/>
  <c r="BP84" i="73" s="1"/>
  <c r="S82" i="73"/>
  <c r="BP82" i="73" s="1"/>
  <c r="S81" i="73"/>
  <c r="BP81" i="73" s="1"/>
  <c r="S80" i="73"/>
  <c r="BP80" i="73" s="1"/>
  <c r="S79" i="73"/>
  <c r="BP79" i="73" s="1"/>
  <c r="S78" i="73"/>
  <c r="BP78" i="73" s="1"/>
  <c r="S77" i="73"/>
  <c r="BP77" i="73" s="1"/>
  <c r="S75" i="73"/>
  <c r="BP75" i="73" s="1"/>
  <c r="S74" i="73"/>
  <c r="BP74" i="73" s="1"/>
  <c r="S72" i="73"/>
  <c r="BP72" i="73" s="1"/>
  <c r="S71" i="73"/>
  <c r="BP71" i="73" s="1"/>
  <c r="S54" i="73"/>
  <c r="BP54" i="73" s="1"/>
  <c r="S53" i="73"/>
  <c r="BP53" i="73" s="1"/>
  <c r="S52" i="73"/>
  <c r="BP52" i="73" s="1"/>
  <c r="S47" i="73"/>
  <c r="BP47" i="73" s="1"/>
  <c r="S46" i="73"/>
  <c r="BP46" i="73" s="1"/>
  <c r="S45" i="73"/>
  <c r="BP45" i="73" s="1"/>
  <c r="S44" i="73"/>
  <c r="BP44" i="73" s="1"/>
  <c r="S43" i="73"/>
  <c r="BP43" i="73" s="1"/>
  <c r="S42" i="73"/>
  <c r="BP42" i="73" s="1"/>
  <c r="S41" i="73"/>
  <c r="BP41" i="73" s="1"/>
  <c r="S40" i="73"/>
  <c r="BP40" i="73" s="1"/>
  <c r="S39" i="73"/>
  <c r="BP39" i="73" s="1"/>
  <c r="S37" i="73"/>
  <c r="BP37" i="73" s="1"/>
  <c r="S36" i="73"/>
  <c r="BP36" i="73" s="1"/>
  <c r="S35" i="73"/>
  <c r="BP35" i="73" s="1"/>
  <c r="S34" i="73"/>
  <c r="BP34" i="73" s="1"/>
  <c r="S33" i="73"/>
  <c r="BP33" i="73" s="1"/>
  <c r="S32" i="73"/>
  <c r="BP32" i="73" s="1"/>
  <c r="S31" i="73"/>
  <c r="BP31" i="73" s="1"/>
  <c r="S30" i="73"/>
  <c r="BP30" i="73" s="1"/>
  <c r="S28" i="73"/>
  <c r="BP28" i="73" s="1"/>
  <c r="S27" i="73"/>
  <c r="BP27" i="73" s="1"/>
  <c r="S26" i="73"/>
  <c r="BP26" i="73" s="1"/>
  <c r="S23" i="73"/>
  <c r="BP23" i="73" s="1"/>
  <c r="S22" i="73"/>
  <c r="BP22" i="73" s="1"/>
  <c r="S20" i="73"/>
  <c r="BP20" i="73" s="1"/>
  <c r="S19" i="73"/>
  <c r="BP19" i="73" s="1"/>
  <c r="S16" i="73"/>
  <c r="BP16" i="73" s="1"/>
  <c r="S15" i="73"/>
  <c r="BP15" i="73" s="1"/>
  <c r="S14" i="73"/>
  <c r="BP14" i="73" s="1"/>
  <c r="S13" i="73"/>
  <c r="BP13" i="73" s="1"/>
  <c r="Q87" i="73"/>
  <c r="BO87" i="73" s="1"/>
  <c r="Q86" i="73"/>
  <c r="BO86" i="73" s="1"/>
  <c r="Q85" i="73"/>
  <c r="BO85" i="73" s="1"/>
  <c r="Q84" i="73"/>
  <c r="BO84" i="73" s="1"/>
  <c r="Q82" i="73"/>
  <c r="BO82" i="73" s="1"/>
  <c r="Q81" i="73"/>
  <c r="BO81" i="73" s="1"/>
  <c r="Q80" i="73"/>
  <c r="BO80" i="73" s="1"/>
  <c r="Q79" i="73"/>
  <c r="BO79" i="73" s="1"/>
  <c r="Q78" i="73"/>
  <c r="BO78" i="73" s="1"/>
  <c r="Q77" i="73"/>
  <c r="BO77" i="73" s="1"/>
  <c r="Q75" i="73"/>
  <c r="BO75" i="73" s="1"/>
  <c r="Q74" i="73"/>
  <c r="BO74" i="73" s="1"/>
  <c r="Q72" i="73"/>
  <c r="BO72" i="73" s="1"/>
  <c r="Q71" i="73"/>
  <c r="BO71" i="73" s="1"/>
  <c r="Q54" i="73"/>
  <c r="BO54" i="73" s="1"/>
  <c r="Q53" i="73"/>
  <c r="BO53" i="73" s="1"/>
  <c r="Q52" i="73"/>
  <c r="BO52" i="73" s="1"/>
  <c r="Q47" i="73"/>
  <c r="BO47" i="73" s="1"/>
  <c r="Q46" i="73"/>
  <c r="BO46" i="73" s="1"/>
  <c r="Q45" i="73"/>
  <c r="BO45" i="73" s="1"/>
  <c r="Q44" i="73"/>
  <c r="BO44" i="73" s="1"/>
  <c r="Q43" i="73"/>
  <c r="BO43" i="73" s="1"/>
  <c r="Q42" i="73"/>
  <c r="BO42" i="73" s="1"/>
  <c r="Q41" i="73"/>
  <c r="BO41" i="73" s="1"/>
  <c r="Q40" i="73"/>
  <c r="BO40" i="73" s="1"/>
  <c r="Q39" i="73"/>
  <c r="BO39" i="73" s="1"/>
  <c r="Q37" i="73"/>
  <c r="BO37" i="73" s="1"/>
  <c r="Q36" i="73"/>
  <c r="BO36" i="73" s="1"/>
  <c r="Q35" i="73"/>
  <c r="BO35" i="73" s="1"/>
  <c r="Q34" i="73"/>
  <c r="BO34" i="73" s="1"/>
  <c r="Q33" i="73"/>
  <c r="BO33" i="73" s="1"/>
  <c r="Q32" i="73"/>
  <c r="BO32" i="73" s="1"/>
  <c r="Q31" i="73"/>
  <c r="BO31" i="73" s="1"/>
  <c r="Q30" i="73"/>
  <c r="BO30" i="73" s="1"/>
  <c r="Q28" i="73"/>
  <c r="BO28" i="73" s="1"/>
  <c r="Q27" i="73"/>
  <c r="BO27" i="73" s="1"/>
  <c r="Q26" i="73"/>
  <c r="BO26" i="73" s="1"/>
  <c r="Q23" i="73"/>
  <c r="BO23" i="73" s="1"/>
  <c r="Q22" i="73"/>
  <c r="BO22" i="73" s="1"/>
  <c r="Q20" i="73"/>
  <c r="BO20" i="73" s="1"/>
  <c r="Q19" i="73"/>
  <c r="BO19" i="73" s="1"/>
  <c r="Q16" i="73"/>
  <c r="BO16" i="73" s="1"/>
  <c r="Q15" i="73"/>
  <c r="BO15" i="73" s="1"/>
  <c r="Q14" i="73"/>
  <c r="BO14" i="73" s="1"/>
  <c r="Q13" i="73"/>
  <c r="BO13" i="73" s="1"/>
  <c r="O87" i="73"/>
  <c r="BN87" i="73" s="1"/>
  <c r="O86" i="73"/>
  <c r="BN86" i="73" s="1"/>
  <c r="O85" i="73"/>
  <c r="BN85" i="73" s="1"/>
  <c r="O84" i="73"/>
  <c r="BN84" i="73" s="1"/>
  <c r="O82" i="73"/>
  <c r="BN82" i="73" s="1"/>
  <c r="O81" i="73"/>
  <c r="BN81" i="73" s="1"/>
  <c r="O80" i="73"/>
  <c r="BN80" i="73" s="1"/>
  <c r="O79" i="73"/>
  <c r="BN79" i="73" s="1"/>
  <c r="O78" i="73"/>
  <c r="BN78" i="73" s="1"/>
  <c r="O77" i="73"/>
  <c r="BN77" i="73" s="1"/>
  <c r="O75" i="73"/>
  <c r="BN75" i="73" s="1"/>
  <c r="O74" i="73"/>
  <c r="BN74" i="73" s="1"/>
  <c r="O72" i="73"/>
  <c r="BN72" i="73" s="1"/>
  <c r="O71" i="73"/>
  <c r="BN71" i="73" s="1"/>
  <c r="O54" i="73"/>
  <c r="BN54" i="73" s="1"/>
  <c r="O53" i="73"/>
  <c r="BN53" i="73" s="1"/>
  <c r="O52" i="73"/>
  <c r="BN52" i="73" s="1"/>
  <c r="O47" i="73"/>
  <c r="BN47" i="73" s="1"/>
  <c r="O46" i="73"/>
  <c r="BN46" i="73" s="1"/>
  <c r="O45" i="73"/>
  <c r="BN45" i="73" s="1"/>
  <c r="O44" i="73"/>
  <c r="BN44" i="73" s="1"/>
  <c r="O43" i="73"/>
  <c r="BN43" i="73" s="1"/>
  <c r="O42" i="73"/>
  <c r="BN42" i="73" s="1"/>
  <c r="O41" i="73"/>
  <c r="BN41" i="73" s="1"/>
  <c r="O40" i="73"/>
  <c r="BN40" i="73" s="1"/>
  <c r="O39" i="73"/>
  <c r="BN39" i="73" s="1"/>
  <c r="O37" i="73"/>
  <c r="BN37" i="73" s="1"/>
  <c r="O36" i="73"/>
  <c r="BN36" i="73" s="1"/>
  <c r="O35" i="73"/>
  <c r="BN35" i="73" s="1"/>
  <c r="O34" i="73"/>
  <c r="BN34" i="73" s="1"/>
  <c r="O33" i="73"/>
  <c r="BN33" i="73" s="1"/>
  <c r="O32" i="73"/>
  <c r="BN32" i="73" s="1"/>
  <c r="O31" i="73"/>
  <c r="BN31" i="73" s="1"/>
  <c r="O30" i="73"/>
  <c r="BN30" i="73" s="1"/>
  <c r="O28" i="73"/>
  <c r="BN28" i="73" s="1"/>
  <c r="O27" i="73"/>
  <c r="BN27" i="73" s="1"/>
  <c r="O26" i="73"/>
  <c r="BN26" i="73" s="1"/>
  <c r="O23" i="73"/>
  <c r="BN23" i="73" s="1"/>
  <c r="O22" i="73"/>
  <c r="BN22" i="73" s="1"/>
  <c r="O20" i="73"/>
  <c r="BN20" i="73" s="1"/>
  <c r="O19" i="73"/>
  <c r="BN19" i="73" s="1"/>
  <c r="O16" i="73"/>
  <c r="BN16" i="73" s="1"/>
  <c r="O15" i="73"/>
  <c r="BN15" i="73" s="1"/>
  <c r="O14" i="73"/>
  <c r="BN14" i="73" s="1"/>
  <c r="O13" i="73"/>
  <c r="BN13" i="73" s="1"/>
  <c r="N92" i="73"/>
  <c r="BM92" i="73" s="1"/>
  <c r="N87" i="73"/>
  <c r="BM87" i="73" s="1"/>
  <c r="N86" i="73"/>
  <c r="BM86" i="73" s="1"/>
  <c r="N85" i="73"/>
  <c r="BM85" i="73" s="1"/>
  <c r="N84" i="73"/>
  <c r="BM84" i="73" s="1"/>
  <c r="N82" i="73"/>
  <c r="BM82" i="73" s="1"/>
  <c r="N81" i="73"/>
  <c r="BM81" i="73" s="1"/>
  <c r="N80" i="73"/>
  <c r="BM80" i="73" s="1"/>
  <c r="N79" i="73"/>
  <c r="BM79" i="73" s="1"/>
  <c r="N78" i="73"/>
  <c r="BM78" i="73" s="1"/>
  <c r="N77" i="73"/>
  <c r="BM77" i="73" s="1"/>
  <c r="N75" i="73"/>
  <c r="BM75" i="73" s="1"/>
  <c r="N74" i="73"/>
  <c r="BM74" i="73" s="1"/>
  <c r="N72" i="73"/>
  <c r="BM72" i="73" s="1"/>
  <c r="N71" i="73"/>
  <c r="BM71" i="73" s="1"/>
  <c r="N54" i="73"/>
  <c r="BM54" i="73" s="1"/>
  <c r="N53" i="73"/>
  <c r="BM53" i="73" s="1"/>
  <c r="N52" i="73"/>
  <c r="BM52" i="73" s="1"/>
  <c r="N47" i="73"/>
  <c r="BM47" i="73" s="1"/>
  <c r="N46" i="73"/>
  <c r="BM46" i="73" s="1"/>
  <c r="N45" i="73"/>
  <c r="BM45" i="73" s="1"/>
  <c r="N44" i="73"/>
  <c r="BM44" i="73" s="1"/>
  <c r="N43" i="73"/>
  <c r="BM43" i="73" s="1"/>
  <c r="N42" i="73"/>
  <c r="BM42" i="73" s="1"/>
  <c r="N41" i="73"/>
  <c r="BM41" i="73" s="1"/>
  <c r="N40" i="73"/>
  <c r="BM40" i="73" s="1"/>
  <c r="N39" i="73"/>
  <c r="BM39" i="73" s="1"/>
  <c r="N37" i="73"/>
  <c r="BM37" i="73" s="1"/>
  <c r="N36" i="73"/>
  <c r="BM36" i="73" s="1"/>
  <c r="N35" i="73"/>
  <c r="BM35" i="73" s="1"/>
  <c r="N34" i="73"/>
  <c r="BM34" i="73" s="1"/>
  <c r="N33" i="73"/>
  <c r="BM33" i="73" s="1"/>
  <c r="N32" i="73"/>
  <c r="BM32" i="73" s="1"/>
  <c r="N31" i="73"/>
  <c r="BM31" i="73" s="1"/>
  <c r="N30" i="73"/>
  <c r="BM30" i="73" s="1"/>
  <c r="N28" i="73"/>
  <c r="BM28" i="73" s="1"/>
  <c r="N27" i="73"/>
  <c r="BM27" i="73" s="1"/>
  <c r="N26" i="73"/>
  <c r="BM26" i="73" s="1"/>
  <c r="N23" i="73"/>
  <c r="BM23" i="73" s="1"/>
  <c r="N22" i="73"/>
  <c r="BM22" i="73" s="1"/>
  <c r="N20" i="73"/>
  <c r="BM20" i="73" s="1"/>
  <c r="N19" i="73"/>
  <c r="BM19" i="73" s="1"/>
  <c r="N16" i="73"/>
  <c r="BM16" i="73" s="1"/>
  <c r="N15" i="73"/>
  <c r="BM15" i="73" s="1"/>
  <c r="N14" i="73"/>
  <c r="BM14" i="73" s="1"/>
  <c r="N13" i="73"/>
  <c r="BM13" i="73" s="1"/>
  <c r="M87" i="73"/>
  <c r="L87" i="73"/>
  <c r="BL87" i="73" s="1"/>
  <c r="K87" i="73"/>
  <c r="J87" i="73"/>
  <c r="BK87" i="73" s="1"/>
  <c r="I87" i="73"/>
  <c r="H87" i="73"/>
  <c r="BJ87" i="73" s="1"/>
  <c r="G87" i="73"/>
  <c r="F87" i="73"/>
  <c r="BI87" i="73" s="1"/>
  <c r="E87" i="73"/>
  <c r="D87" i="73"/>
  <c r="BH87" i="73" s="1"/>
  <c r="M86" i="73"/>
  <c r="L86" i="73"/>
  <c r="BL86" i="73" s="1"/>
  <c r="K86" i="73"/>
  <c r="J86" i="73"/>
  <c r="BK86" i="73" s="1"/>
  <c r="I86" i="73"/>
  <c r="H86" i="73"/>
  <c r="BJ86" i="73" s="1"/>
  <c r="G86" i="73"/>
  <c r="F86" i="73"/>
  <c r="BI86" i="73" s="1"/>
  <c r="E86" i="73"/>
  <c r="D86" i="73"/>
  <c r="BH86" i="73" s="1"/>
  <c r="M85" i="73"/>
  <c r="L85" i="73"/>
  <c r="BL85" i="73" s="1"/>
  <c r="K85" i="73"/>
  <c r="J85" i="73"/>
  <c r="BK85" i="73" s="1"/>
  <c r="I85" i="73"/>
  <c r="H85" i="73"/>
  <c r="BJ85" i="73" s="1"/>
  <c r="G85" i="73"/>
  <c r="F85" i="73"/>
  <c r="BI85" i="73" s="1"/>
  <c r="E85" i="73"/>
  <c r="D85" i="73"/>
  <c r="BH85" i="73" s="1"/>
  <c r="M84" i="73"/>
  <c r="L84" i="73"/>
  <c r="BL84" i="73" s="1"/>
  <c r="K84" i="73"/>
  <c r="J84" i="73"/>
  <c r="BK84" i="73" s="1"/>
  <c r="I84" i="73"/>
  <c r="H84" i="73"/>
  <c r="BJ84" i="73" s="1"/>
  <c r="G84" i="73"/>
  <c r="F84" i="73"/>
  <c r="BI84" i="73" s="1"/>
  <c r="E84" i="73"/>
  <c r="D84" i="73"/>
  <c r="BH84" i="73" s="1"/>
  <c r="M82" i="73"/>
  <c r="L82" i="73"/>
  <c r="BL82" i="73" s="1"/>
  <c r="K82" i="73"/>
  <c r="J82" i="73"/>
  <c r="BK82" i="73" s="1"/>
  <c r="I82" i="73"/>
  <c r="H82" i="73"/>
  <c r="BJ82" i="73" s="1"/>
  <c r="G82" i="73"/>
  <c r="F82" i="73"/>
  <c r="BI82" i="73" s="1"/>
  <c r="E82" i="73"/>
  <c r="D82" i="73"/>
  <c r="BH82" i="73" s="1"/>
  <c r="M81" i="73"/>
  <c r="L81" i="73"/>
  <c r="BL81" i="73" s="1"/>
  <c r="K81" i="73"/>
  <c r="J81" i="73"/>
  <c r="BK81" i="73" s="1"/>
  <c r="I81" i="73"/>
  <c r="H81" i="73"/>
  <c r="BJ81" i="73" s="1"/>
  <c r="G81" i="73"/>
  <c r="F81" i="73"/>
  <c r="BI81" i="73" s="1"/>
  <c r="E81" i="73"/>
  <c r="D81" i="73"/>
  <c r="BH81" i="73" s="1"/>
  <c r="M80" i="73"/>
  <c r="L80" i="73"/>
  <c r="BL80" i="73" s="1"/>
  <c r="K80" i="73"/>
  <c r="J80" i="73"/>
  <c r="BK80" i="73" s="1"/>
  <c r="I80" i="73"/>
  <c r="H80" i="73"/>
  <c r="BJ80" i="73" s="1"/>
  <c r="G80" i="73"/>
  <c r="F80" i="73"/>
  <c r="BI80" i="73" s="1"/>
  <c r="E80" i="73"/>
  <c r="D80" i="73"/>
  <c r="BH80" i="73" s="1"/>
  <c r="M79" i="73"/>
  <c r="L79" i="73"/>
  <c r="BL79" i="73" s="1"/>
  <c r="K79" i="73"/>
  <c r="J79" i="73"/>
  <c r="BK79" i="73" s="1"/>
  <c r="I79" i="73"/>
  <c r="H79" i="73"/>
  <c r="BJ79" i="73" s="1"/>
  <c r="G79" i="73"/>
  <c r="F79" i="73"/>
  <c r="BI79" i="73" s="1"/>
  <c r="E79" i="73"/>
  <c r="D79" i="73"/>
  <c r="BH79" i="73" s="1"/>
  <c r="M78" i="73"/>
  <c r="L78" i="73"/>
  <c r="BL78" i="73" s="1"/>
  <c r="K78" i="73"/>
  <c r="J78" i="73"/>
  <c r="BK78" i="73" s="1"/>
  <c r="I78" i="73"/>
  <c r="H78" i="73"/>
  <c r="BJ78" i="73" s="1"/>
  <c r="G78" i="73"/>
  <c r="F78" i="73"/>
  <c r="BI78" i="73" s="1"/>
  <c r="E78" i="73"/>
  <c r="D78" i="73"/>
  <c r="BH78" i="73" s="1"/>
  <c r="M77" i="73"/>
  <c r="L77" i="73"/>
  <c r="BL77" i="73" s="1"/>
  <c r="K77" i="73"/>
  <c r="J77" i="73"/>
  <c r="BK77" i="73" s="1"/>
  <c r="I77" i="73"/>
  <c r="H77" i="73"/>
  <c r="BJ77" i="73" s="1"/>
  <c r="G77" i="73"/>
  <c r="F77" i="73"/>
  <c r="BI77" i="73" s="1"/>
  <c r="E77" i="73"/>
  <c r="D77" i="73"/>
  <c r="BH77" i="73" s="1"/>
  <c r="M75" i="73"/>
  <c r="L75" i="73"/>
  <c r="BL75" i="73" s="1"/>
  <c r="K75" i="73"/>
  <c r="J75" i="73"/>
  <c r="BK75" i="73" s="1"/>
  <c r="I75" i="73"/>
  <c r="H75" i="73"/>
  <c r="BJ75" i="73" s="1"/>
  <c r="G75" i="73"/>
  <c r="F75" i="73"/>
  <c r="BI75" i="73" s="1"/>
  <c r="E75" i="73"/>
  <c r="D75" i="73"/>
  <c r="BH75" i="73" s="1"/>
  <c r="M73" i="73"/>
  <c r="L73" i="73"/>
  <c r="BL73" i="73" s="1"/>
  <c r="K73" i="73"/>
  <c r="J73" i="73"/>
  <c r="BK73" i="73" s="1"/>
  <c r="I73" i="73"/>
  <c r="H73" i="73"/>
  <c r="BJ73" i="73" s="1"/>
  <c r="G73" i="73"/>
  <c r="F73" i="73"/>
  <c r="BI73" i="73" s="1"/>
  <c r="E73" i="73"/>
  <c r="D73" i="73"/>
  <c r="BH73" i="73" s="1"/>
  <c r="M72" i="73"/>
  <c r="L72" i="73"/>
  <c r="BL72" i="73" s="1"/>
  <c r="K72" i="73"/>
  <c r="J72" i="73"/>
  <c r="BK72" i="73" s="1"/>
  <c r="I72" i="73"/>
  <c r="H72" i="73"/>
  <c r="BJ72" i="73" s="1"/>
  <c r="G72" i="73"/>
  <c r="F72" i="73"/>
  <c r="BI72" i="73" s="1"/>
  <c r="E72" i="73"/>
  <c r="D72" i="73"/>
  <c r="BH72" i="73" s="1"/>
  <c r="M71" i="73"/>
  <c r="L71" i="73"/>
  <c r="BL71" i="73" s="1"/>
  <c r="K71" i="73"/>
  <c r="J71" i="73"/>
  <c r="BK71" i="73" s="1"/>
  <c r="I71" i="73"/>
  <c r="H71" i="73"/>
  <c r="BJ71" i="73" s="1"/>
  <c r="G71" i="73"/>
  <c r="F71" i="73"/>
  <c r="BI71" i="73" s="1"/>
  <c r="E71" i="73"/>
  <c r="D71" i="73"/>
  <c r="BH71" i="73" s="1"/>
  <c r="M54" i="73"/>
  <c r="L54" i="73"/>
  <c r="BL54" i="73" s="1"/>
  <c r="K54" i="73"/>
  <c r="J54" i="73"/>
  <c r="BK54" i="73" s="1"/>
  <c r="I54" i="73"/>
  <c r="H54" i="73"/>
  <c r="BJ54" i="73" s="1"/>
  <c r="G54" i="73"/>
  <c r="F54" i="73"/>
  <c r="BI54" i="73" s="1"/>
  <c r="E54" i="73"/>
  <c r="D54" i="73"/>
  <c r="BH54" i="73" s="1"/>
  <c r="M53" i="73"/>
  <c r="L53" i="73"/>
  <c r="BL53" i="73" s="1"/>
  <c r="K53" i="73"/>
  <c r="J53" i="73"/>
  <c r="BK53" i="73" s="1"/>
  <c r="I53" i="73"/>
  <c r="H53" i="73"/>
  <c r="BJ53" i="73" s="1"/>
  <c r="G53" i="73"/>
  <c r="F53" i="73"/>
  <c r="BI53" i="73" s="1"/>
  <c r="E53" i="73"/>
  <c r="D53" i="73"/>
  <c r="BH53" i="73" s="1"/>
  <c r="M52" i="73"/>
  <c r="L52" i="73"/>
  <c r="BL52" i="73" s="1"/>
  <c r="K52" i="73"/>
  <c r="J52" i="73"/>
  <c r="BK52" i="73" s="1"/>
  <c r="I52" i="73"/>
  <c r="H52" i="73"/>
  <c r="BJ52" i="73" s="1"/>
  <c r="G52" i="73"/>
  <c r="F52" i="73"/>
  <c r="BI52" i="73" s="1"/>
  <c r="E52" i="73"/>
  <c r="D52" i="73"/>
  <c r="BH52" i="73" s="1"/>
  <c r="M47" i="73"/>
  <c r="L47" i="73"/>
  <c r="BL47" i="73" s="1"/>
  <c r="K47" i="73"/>
  <c r="J47" i="73"/>
  <c r="BK47" i="73" s="1"/>
  <c r="I47" i="73"/>
  <c r="H47" i="73"/>
  <c r="BJ47" i="73" s="1"/>
  <c r="G47" i="73"/>
  <c r="F47" i="73"/>
  <c r="BI47" i="73" s="1"/>
  <c r="E47" i="73"/>
  <c r="D47" i="73"/>
  <c r="BH47" i="73" s="1"/>
  <c r="M46" i="73"/>
  <c r="L46" i="73"/>
  <c r="BL46" i="73" s="1"/>
  <c r="K46" i="73"/>
  <c r="J46" i="73"/>
  <c r="BK46" i="73" s="1"/>
  <c r="I46" i="73"/>
  <c r="H46" i="73"/>
  <c r="BJ46" i="73" s="1"/>
  <c r="G46" i="73"/>
  <c r="F46" i="73"/>
  <c r="BI46" i="73" s="1"/>
  <c r="E46" i="73"/>
  <c r="D46" i="73"/>
  <c r="BH46" i="73" s="1"/>
  <c r="M45" i="73"/>
  <c r="L45" i="73"/>
  <c r="BL45" i="73" s="1"/>
  <c r="K45" i="73"/>
  <c r="J45" i="73"/>
  <c r="BK45" i="73" s="1"/>
  <c r="I45" i="73"/>
  <c r="H45" i="73"/>
  <c r="BJ45" i="73" s="1"/>
  <c r="G45" i="73"/>
  <c r="F45" i="73"/>
  <c r="BI45" i="73" s="1"/>
  <c r="E45" i="73"/>
  <c r="D45" i="73"/>
  <c r="BH45" i="73" s="1"/>
  <c r="M44" i="73"/>
  <c r="L44" i="73"/>
  <c r="BL44" i="73" s="1"/>
  <c r="K44" i="73"/>
  <c r="J44" i="73"/>
  <c r="BK44" i="73" s="1"/>
  <c r="I44" i="73"/>
  <c r="H44" i="73"/>
  <c r="BJ44" i="73" s="1"/>
  <c r="G44" i="73"/>
  <c r="F44" i="73"/>
  <c r="BI44" i="73" s="1"/>
  <c r="E44" i="73"/>
  <c r="D44" i="73"/>
  <c r="BH44" i="73" s="1"/>
  <c r="M43" i="73"/>
  <c r="L43" i="73"/>
  <c r="BL43" i="73" s="1"/>
  <c r="K43" i="73"/>
  <c r="J43" i="73"/>
  <c r="BK43" i="73" s="1"/>
  <c r="I43" i="73"/>
  <c r="H43" i="73"/>
  <c r="BJ43" i="73" s="1"/>
  <c r="G43" i="73"/>
  <c r="F43" i="73"/>
  <c r="BI43" i="73" s="1"/>
  <c r="E43" i="73"/>
  <c r="D43" i="73"/>
  <c r="BH43" i="73" s="1"/>
  <c r="M42" i="73"/>
  <c r="L42" i="73"/>
  <c r="BL42" i="73" s="1"/>
  <c r="K42" i="73"/>
  <c r="J42" i="73"/>
  <c r="BK42" i="73" s="1"/>
  <c r="I42" i="73"/>
  <c r="H42" i="73"/>
  <c r="BJ42" i="73" s="1"/>
  <c r="G42" i="73"/>
  <c r="F42" i="73"/>
  <c r="BI42" i="73" s="1"/>
  <c r="E42" i="73"/>
  <c r="D42" i="73"/>
  <c r="BH42" i="73" s="1"/>
  <c r="M41" i="73"/>
  <c r="L41" i="73"/>
  <c r="BL41" i="73" s="1"/>
  <c r="K41" i="73"/>
  <c r="J41" i="73"/>
  <c r="BK41" i="73" s="1"/>
  <c r="I41" i="73"/>
  <c r="H41" i="73"/>
  <c r="BJ41" i="73" s="1"/>
  <c r="G41" i="73"/>
  <c r="F41" i="73"/>
  <c r="BI41" i="73" s="1"/>
  <c r="E41" i="73"/>
  <c r="D41" i="73"/>
  <c r="BH41" i="73" s="1"/>
  <c r="M40" i="73"/>
  <c r="L40" i="73"/>
  <c r="BL40" i="73" s="1"/>
  <c r="K40" i="73"/>
  <c r="J40" i="73"/>
  <c r="BK40" i="73" s="1"/>
  <c r="I40" i="73"/>
  <c r="H40" i="73"/>
  <c r="BJ40" i="73" s="1"/>
  <c r="G40" i="73"/>
  <c r="F40" i="73"/>
  <c r="BI40" i="73" s="1"/>
  <c r="E40" i="73"/>
  <c r="D40" i="73"/>
  <c r="BH40" i="73" s="1"/>
  <c r="M39" i="73"/>
  <c r="L39" i="73"/>
  <c r="BL39" i="73" s="1"/>
  <c r="K39" i="73"/>
  <c r="J39" i="73"/>
  <c r="BK39" i="73" s="1"/>
  <c r="I39" i="73"/>
  <c r="H39" i="73"/>
  <c r="BJ39" i="73" s="1"/>
  <c r="G39" i="73"/>
  <c r="F39" i="73"/>
  <c r="BI39" i="73" s="1"/>
  <c r="E39" i="73"/>
  <c r="D39" i="73"/>
  <c r="BH39" i="73" s="1"/>
  <c r="M37" i="73"/>
  <c r="L37" i="73"/>
  <c r="BL37" i="73" s="1"/>
  <c r="K37" i="73"/>
  <c r="J37" i="73"/>
  <c r="BK37" i="73" s="1"/>
  <c r="I37" i="73"/>
  <c r="H37" i="73"/>
  <c r="BJ37" i="73" s="1"/>
  <c r="G37" i="73"/>
  <c r="F37" i="73"/>
  <c r="BI37" i="73" s="1"/>
  <c r="E37" i="73"/>
  <c r="D37" i="73"/>
  <c r="BH37" i="73" s="1"/>
  <c r="M36" i="73"/>
  <c r="L36" i="73"/>
  <c r="BL36" i="73" s="1"/>
  <c r="K36" i="73"/>
  <c r="J36" i="73"/>
  <c r="BK36" i="73" s="1"/>
  <c r="I36" i="73"/>
  <c r="H36" i="73"/>
  <c r="BJ36" i="73" s="1"/>
  <c r="G36" i="73"/>
  <c r="F36" i="73"/>
  <c r="BI36" i="73" s="1"/>
  <c r="E36" i="73"/>
  <c r="D36" i="73"/>
  <c r="BH36" i="73" s="1"/>
  <c r="M35" i="73"/>
  <c r="L35" i="73"/>
  <c r="BL35" i="73" s="1"/>
  <c r="K35" i="73"/>
  <c r="J35" i="73"/>
  <c r="BK35" i="73" s="1"/>
  <c r="I35" i="73"/>
  <c r="H35" i="73"/>
  <c r="BJ35" i="73" s="1"/>
  <c r="G35" i="73"/>
  <c r="F35" i="73"/>
  <c r="BI35" i="73" s="1"/>
  <c r="E35" i="73"/>
  <c r="D35" i="73"/>
  <c r="BH35" i="73" s="1"/>
  <c r="M34" i="73"/>
  <c r="L34" i="73"/>
  <c r="BL34" i="73" s="1"/>
  <c r="K34" i="73"/>
  <c r="J34" i="73"/>
  <c r="BK34" i="73" s="1"/>
  <c r="I34" i="73"/>
  <c r="H34" i="73"/>
  <c r="BJ34" i="73" s="1"/>
  <c r="G34" i="73"/>
  <c r="F34" i="73"/>
  <c r="BI34" i="73" s="1"/>
  <c r="E34" i="73"/>
  <c r="D34" i="73"/>
  <c r="BH34" i="73" s="1"/>
  <c r="M33" i="73"/>
  <c r="L33" i="73"/>
  <c r="BL33" i="73" s="1"/>
  <c r="K33" i="73"/>
  <c r="J33" i="73"/>
  <c r="BK33" i="73" s="1"/>
  <c r="I33" i="73"/>
  <c r="H33" i="73"/>
  <c r="BJ33" i="73" s="1"/>
  <c r="G33" i="73"/>
  <c r="F33" i="73"/>
  <c r="BI33" i="73" s="1"/>
  <c r="E33" i="73"/>
  <c r="D33" i="73"/>
  <c r="BH33" i="73" s="1"/>
  <c r="M32" i="73"/>
  <c r="L32" i="73"/>
  <c r="BL32" i="73" s="1"/>
  <c r="K32" i="73"/>
  <c r="J32" i="73"/>
  <c r="BK32" i="73" s="1"/>
  <c r="I32" i="73"/>
  <c r="H32" i="73"/>
  <c r="BJ32" i="73" s="1"/>
  <c r="G32" i="73"/>
  <c r="F32" i="73"/>
  <c r="BI32" i="73" s="1"/>
  <c r="E32" i="73"/>
  <c r="D32" i="73"/>
  <c r="BH32" i="73" s="1"/>
  <c r="M31" i="73"/>
  <c r="L31" i="73"/>
  <c r="BL31" i="73" s="1"/>
  <c r="K31" i="73"/>
  <c r="J31" i="73"/>
  <c r="BK31" i="73" s="1"/>
  <c r="I31" i="73"/>
  <c r="H31" i="73"/>
  <c r="BJ31" i="73" s="1"/>
  <c r="G31" i="73"/>
  <c r="F31" i="73"/>
  <c r="BI31" i="73" s="1"/>
  <c r="E31" i="73"/>
  <c r="D31" i="73"/>
  <c r="BH31" i="73" s="1"/>
  <c r="M30" i="73"/>
  <c r="L30" i="73"/>
  <c r="BL30" i="73" s="1"/>
  <c r="K30" i="73"/>
  <c r="J30" i="73"/>
  <c r="BK30" i="73" s="1"/>
  <c r="I30" i="73"/>
  <c r="H30" i="73"/>
  <c r="BJ30" i="73" s="1"/>
  <c r="G30" i="73"/>
  <c r="F30" i="73"/>
  <c r="BI30" i="73" s="1"/>
  <c r="E30" i="73"/>
  <c r="D30" i="73"/>
  <c r="BH30" i="73" s="1"/>
  <c r="BW100" i="73" l="1"/>
  <c r="BX100" i="73"/>
  <c r="X100" i="73"/>
  <c r="BR100" i="73"/>
  <c r="T4" i="79"/>
  <c r="Z4" i="79" s="1"/>
  <c r="U4" i="79"/>
  <c r="S4" i="79"/>
  <c r="Y4" i="79" l="1"/>
  <c r="AQ24" i="79" l="1"/>
  <c r="D109" i="74"/>
  <c r="E109" i="74"/>
  <c r="I108" i="65"/>
  <c r="H108" i="65"/>
  <c r="G108" i="65"/>
  <c r="F108" i="65"/>
  <c r="E108" i="65"/>
  <c r="D108" i="65"/>
  <c r="I106" i="65"/>
  <c r="H106" i="65"/>
  <c r="G106" i="65"/>
  <c r="F106" i="65"/>
  <c r="E106" i="65"/>
  <c r="D106" i="65"/>
  <c r="I102" i="65"/>
  <c r="H102" i="65"/>
  <c r="G102" i="65"/>
  <c r="F102" i="65"/>
  <c r="E102" i="65"/>
  <c r="D102" i="65"/>
  <c r="I57" i="76"/>
  <c r="H57" i="76"/>
  <c r="H63" i="76" s="1"/>
  <c r="G57" i="76"/>
  <c r="G63" i="76" s="1"/>
  <c r="F57" i="76"/>
  <c r="F63" i="76" s="1"/>
  <c r="E57" i="76"/>
  <c r="E63" i="76" s="1"/>
  <c r="D57" i="76"/>
  <c r="I38" i="76"/>
  <c r="I44" i="76" s="1"/>
  <c r="H38" i="76"/>
  <c r="H44" i="76" s="1"/>
  <c r="G38" i="76"/>
  <c r="G44" i="76" s="1"/>
  <c r="F38" i="76"/>
  <c r="F44" i="76" s="1"/>
  <c r="E38" i="76"/>
  <c r="E44" i="76" s="1"/>
  <c r="D38" i="76"/>
  <c r="I19" i="76"/>
  <c r="H19" i="76"/>
  <c r="G19" i="76"/>
  <c r="F19" i="76"/>
  <c r="E19" i="76"/>
  <c r="D19" i="76"/>
  <c r="F109" i="74"/>
  <c r="G109" i="74"/>
  <c r="H109" i="74"/>
  <c r="I109" i="74"/>
  <c r="J109" i="74"/>
  <c r="K109" i="74"/>
  <c r="AS24" i="79" l="1"/>
  <c r="AR24" i="79"/>
  <c r="D63" i="76"/>
  <c r="I63" i="76"/>
  <c r="D25" i="76"/>
  <c r="D44" i="76"/>
  <c r="C92" i="73" l="1"/>
  <c r="BG92" i="73" s="1"/>
  <c r="C87" i="73"/>
  <c r="BG87" i="73" s="1"/>
  <c r="C86" i="73"/>
  <c r="BG86" i="73" s="1"/>
  <c r="C85" i="73"/>
  <c r="BG85" i="73" s="1"/>
  <c r="C84" i="73"/>
  <c r="BG84" i="73" s="1"/>
  <c r="C82" i="73"/>
  <c r="BG82" i="73" s="1"/>
  <c r="C81" i="73"/>
  <c r="BG81" i="73" s="1"/>
  <c r="C80" i="73"/>
  <c r="BG80" i="73" s="1"/>
  <c r="C79" i="73"/>
  <c r="BG79" i="73" s="1"/>
  <c r="C78" i="73"/>
  <c r="BG78" i="73" s="1"/>
  <c r="C77" i="73"/>
  <c r="BG77" i="73" s="1"/>
  <c r="C75" i="73"/>
  <c r="BG75" i="73" s="1"/>
  <c r="C73" i="73"/>
  <c r="BG73" i="73" s="1"/>
  <c r="C72" i="73"/>
  <c r="BG72" i="73" s="1"/>
  <c r="C71" i="73"/>
  <c r="BG71" i="73" s="1"/>
  <c r="C54" i="73"/>
  <c r="BG54" i="73" s="1"/>
  <c r="C53" i="73"/>
  <c r="BG53" i="73" s="1"/>
  <c r="C52" i="73"/>
  <c r="BG52" i="73" s="1"/>
  <c r="C47" i="73"/>
  <c r="BG47" i="73" s="1"/>
  <c r="C46" i="73"/>
  <c r="BG46" i="73" s="1"/>
  <c r="C45" i="73"/>
  <c r="BG45" i="73" s="1"/>
  <c r="C44" i="73"/>
  <c r="BG44" i="73" s="1"/>
  <c r="C43" i="73"/>
  <c r="BG43" i="73" s="1"/>
  <c r="C42" i="73"/>
  <c r="BG42" i="73" s="1"/>
  <c r="C41" i="73"/>
  <c r="BG41" i="73" s="1"/>
  <c r="C40" i="73"/>
  <c r="BG40" i="73" s="1"/>
  <c r="C39" i="73"/>
  <c r="BG39" i="73" s="1"/>
  <c r="C37" i="73"/>
  <c r="BG37" i="73" s="1"/>
  <c r="C36" i="73"/>
  <c r="BG36" i="73" s="1"/>
  <c r="C35" i="73"/>
  <c r="BG35" i="73" s="1"/>
  <c r="C34" i="73"/>
  <c r="BG34" i="73" s="1"/>
  <c r="C33" i="73"/>
  <c r="BG33" i="73" s="1"/>
  <c r="C32" i="73"/>
  <c r="BG32" i="73" s="1"/>
  <c r="C31" i="73"/>
  <c r="BG31" i="73" s="1"/>
  <c r="C30" i="73"/>
  <c r="BG30" i="73" s="1"/>
  <c r="C28" i="73"/>
  <c r="BG28" i="73" s="1"/>
  <c r="C27" i="73"/>
  <c r="BG27" i="73" s="1"/>
  <c r="C26" i="73"/>
  <c r="BG26" i="73" s="1"/>
  <c r="C23" i="73"/>
  <c r="BG23" i="73" s="1"/>
  <c r="C22" i="73"/>
  <c r="BG22" i="73" s="1"/>
  <c r="C20" i="73"/>
  <c r="BG20" i="73" s="1"/>
  <c r="C19" i="73"/>
  <c r="BG19" i="73" s="1"/>
  <c r="C16" i="73"/>
  <c r="BG16" i="73" s="1"/>
  <c r="C15" i="73"/>
  <c r="BG15" i="73" s="1"/>
  <c r="C14" i="73"/>
  <c r="BG14" i="73" s="1"/>
  <c r="C13" i="73"/>
  <c r="BG13" i="73" s="1"/>
  <c r="AU9" i="73"/>
  <c r="AJ9" i="73"/>
  <c r="Y9" i="73"/>
  <c r="N9" i="73"/>
  <c r="C9" i="73"/>
  <c r="L100" i="73"/>
  <c r="BL100" i="73" s="1"/>
  <c r="J100" i="73"/>
  <c r="BK100" i="73" s="1"/>
  <c r="H100" i="73"/>
  <c r="BJ100" i="73" s="1"/>
  <c r="F100" i="73"/>
  <c r="BI100" i="73" s="1"/>
  <c r="AA138" i="77"/>
  <c r="Z138" i="77"/>
  <c r="Y138" i="77"/>
  <c r="X138" i="77"/>
  <c r="W138" i="77"/>
  <c r="V138" i="77"/>
  <c r="U138" i="77"/>
  <c r="T138" i="77"/>
  <c r="S138" i="77"/>
  <c r="R138" i="77"/>
  <c r="Q138" i="77"/>
  <c r="P138" i="77"/>
  <c r="O138" i="77"/>
  <c r="N138" i="77"/>
  <c r="M138" i="77"/>
  <c r="L138" i="77"/>
  <c r="K138" i="77"/>
  <c r="J138" i="77"/>
  <c r="I138" i="77"/>
  <c r="H138" i="77"/>
  <c r="G138" i="77"/>
  <c r="F138" i="77"/>
  <c r="E138" i="77"/>
  <c r="D138" i="77"/>
  <c r="C138" i="77"/>
  <c r="AA115" i="77"/>
  <c r="Z115" i="77"/>
  <c r="Y115" i="77"/>
  <c r="X115" i="77"/>
  <c r="W115" i="77"/>
  <c r="V115" i="77"/>
  <c r="U115" i="77"/>
  <c r="T115" i="77"/>
  <c r="S115" i="77"/>
  <c r="R115" i="77"/>
  <c r="Q115" i="77"/>
  <c r="P115" i="77"/>
  <c r="O115" i="77"/>
  <c r="N115" i="77"/>
  <c r="M115" i="77"/>
  <c r="L115" i="77"/>
  <c r="K115" i="77"/>
  <c r="J115" i="77"/>
  <c r="I115" i="77"/>
  <c r="H115" i="77"/>
  <c r="G115" i="77"/>
  <c r="F115" i="77"/>
  <c r="E115" i="77"/>
  <c r="D115" i="77"/>
  <c r="C115" i="77"/>
  <c r="AA91" i="77"/>
  <c r="Z91" i="77"/>
  <c r="Y91" i="77"/>
  <c r="X91" i="77"/>
  <c r="W91" i="77"/>
  <c r="V91" i="77"/>
  <c r="U91" i="77"/>
  <c r="T91" i="77"/>
  <c r="S91" i="77"/>
  <c r="R91" i="77"/>
  <c r="Q91" i="77"/>
  <c r="P91" i="77"/>
  <c r="O91" i="77"/>
  <c r="N91" i="77"/>
  <c r="M91" i="77"/>
  <c r="L91" i="77"/>
  <c r="K91" i="77"/>
  <c r="J91" i="77"/>
  <c r="I91" i="77"/>
  <c r="H91" i="77"/>
  <c r="G91" i="77"/>
  <c r="F91" i="77"/>
  <c r="E91" i="77"/>
  <c r="D91" i="77"/>
  <c r="C91" i="77"/>
  <c r="AA68" i="77"/>
  <c r="Z68" i="77"/>
  <c r="Y68" i="77"/>
  <c r="X68" i="77"/>
  <c r="W68" i="77"/>
  <c r="V68" i="77"/>
  <c r="U68" i="77"/>
  <c r="T68" i="77"/>
  <c r="S68" i="77"/>
  <c r="R68" i="77"/>
  <c r="Q68" i="77"/>
  <c r="P68" i="77"/>
  <c r="O68" i="77"/>
  <c r="N68" i="77"/>
  <c r="M68" i="77"/>
  <c r="L68" i="77"/>
  <c r="K68" i="77"/>
  <c r="J68" i="77"/>
  <c r="I68" i="77"/>
  <c r="H68" i="77"/>
  <c r="G68" i="77"/>
  <c r="F68" i="77"/>
  <c r="E68" i="77"/>
  <c r="D68" i="77"/>
  <c r="C68" i="77"/>
  <c r="AA44" i="77"/>
  <c r="Z44" i="77"/>
  <c r="Y44" i="77"/>
  <c r="X44" i="77"/>
  <c r="W44" i="77"/>
  <c r="V44" i="77"/>
  <c r="U44" i="77"/>
  <c r="T44" i="77"/>
  <c r="S44" i="77"/>
  <c r="R44" i="77"/>
  <c r="Q44" i="77"/>
  <c r="P44" i="77"/>
  <c r="O44" i="77"/>
  <c r="N44" i="77"/>
  <c r="M44" i="77"/>
  <c r="L44" i="77"/>
  <c r="K44" i="77"/>
  <c r="J44" i="77"/>
  <c r="I44" i="77"/>
  <c r="H44" i="77"/>
  <c r="G44" i="77"/>
  <c r="F44" i="77"/>
  <c r="E44" i="77"/>
  <c r="D44" i="77"/>
  <c r="C44" i="77"/>
  <c r="C21" i="77"/>
  <c r="AG61" i="60"/>
  <c r="CD61" i="60" s="1"/>
  <c r="AG60" i="60"/>
  <c r="CD60" i="60" s="1"/>
  <c r="AG59" i="60"/>
  <c r="CD59" i="60" s="1"/>
  <c r="AG58" i="60"/>
  <c r="CD58" i="60" s="1"/>
  <c r="AG57" i="60"/>
  <c r="CD57" i="60" s="1"/>
  <c r="AG56" i="60"/>
  <c r="CD56" i="60" s="1"/>
  <c r="AG55" i="60"/>
  <c r="CD55" i="60" s="1"/>
  <c r="AG54" i="60"/>
  <c r="CD54" i="60" s="1"/>
  <c r="AG53" i="60"/>
  <c r="CD53" i="60" s="1"/>
  <c r="AA61" i="60"/>
  <c r="BX61" i="60" s="1"/>
  <c r="AA60" i="60"/>
  <c r="BX60" i="60" s="1"/>
  <c r="AA59" i="60"/>
  <c r="BX59" i="60" s="1"/>
  <c r="AA58" i="60"/>
  <c r="BX58" i="60" s="1"/>
  <c r="AA57" i="60"/>
  <c r="BX57" i="60" s="1"/>
  <c r="AA56" i="60"/>
  <c r="BX56" i="60" s="1"/>
  <c r="AA55" i="60"/>
  <c r="BX55" i="60" s="1"/>
  <c r="AA54" i="60"/>
  <c r="BX54" i="60" s="1"/>
  <c r="AA53" i="60"/>
  <c r="BX53" i="60" s="1"/>
  <c r="U61" i="60"/>
  <c r="BR61" i="60" s="1"/>
  <c r="U60" i="60"/>
  <c r="BR60" i="60" s="1"/>
  <c r="U59" i="60"/>
  <c r="BR59" i="60" s="1"/>
  <c r="U58" i="60"/>
  <c r="BR58" i="60" s="1"/>
  <c r="U57" i="60"/>
  <c r="BR57" i="60" s="1"/>
  <c r="U56" i="60"/>
  <c r="BR56" i="60" s="1"/>
  <c r="U55" i="60"/>
  <c r="BR55" i="60" s="1"/>
  <c r="U54" i="60"/>
  <c r="BR54" i="60" s="1"/>
  <c r="U53" i="60"/>
  <c r="BR53" i="60" s="1"/>
  <c r="O61" i="60"/>
  <c r="BL61" i="60" s="1"/>
  <c r="O60" i="60"/>
  <c r="BL60" i="60" s="1"/>
  <c r="O59" i="60"/>
  <c r="BL59" i="60" s="1"/>
  <c r="O58" i="60"/>
  <c r="BL58" i="60" s="1"/>
  <c r="O57" i="60"/>
  <c r="BL57" i="60" s="1"/>
  <c r="O56" i="60"/>
  <c r="BL56" i="60" s="1"/>
  <c r="O55" i="60"/>
  <c r="BL55" i="60" s="1"/>
  <c r="O54" i="60"/>
  <c r="BL54" i="60" s="1"/>
  <c r="O53" i="60"/>
  <c r="BL53" i="60" s="1"/>
  <c r="I61" i="60"/>
  <c r="BF61" i="60" s="1"/>
  <c r="I60" i="60"/>
  <c r="BF60" i="60" s="1"/>
  <c r="I59" i="60"/>
  <c r="BF59" i="60" s="1"/>
  <c r="I58" i="60"/>
  <c r="BF58" i="60" s="1"/>
  <c r="I57" i="60"/>
  <c r="BF57" i="60" s="1"/>
  <c r="I56" i="60"/>
  <c r="BF56" i="60" s="1"/>
  <c r="I55" i="60"/>
  <c r="BF55" i="60" s="1"/>
  <c r="I54" i="60"/>
  <c r="BF54" i="60" s="1"/>
  <c r="I53" i="60"/>
  <c r="BF53" i="60" s="1"/>
  <c r="C57" i="60"/>
  <c r="AZ57" i="60" s="1"/>
  <c r="C53" i="60"/>
  <c r="AZ53" i="60" s="1"/>
  <c r="C61" i="60"/>
  <c r="AZ61" i="60" s="1"/>
  <c r="C60" i="60"/>
  <c r="AZ60" i="60" s="1"/>
  <c r="C59" i="60"/>
  <c r="AZ59" i="60" s="1"/>
  <c r="C58" i="60"/>
  <c r="AZ58" i="60" s="1"/>
  <c r="C56" i="60"/>
  <c r="AZ56" i="60" s="1"/>
  <c r="C55" i="60"/>
  <c r="AZ55" i="60" s="1"/>
  <c r="C54" i="60"/>
  <c r="AZ54" i="60" s="1"/>
  <c r="D53" i="60"/>
  <c r="BA53" i="60" s="1"/>
  <c r="T152" i="67" l="1"/>
  <c r="AW44" i="77"/>
  <c r="T152" i="85" s="1"/>
  <c r="V172" i="67"/>
  <c r="AT115" i="77"/>
  <c r="V172" i="85" s="1"/>
  <c r="T149" i="67"/>
  <c r="AH44" i="77"/>
  <c r="T149" i="85" s="1"/>
  <c r="W150" i="67"/>
  <c r="AP44" i="77"/>
  <c r="W150" i="85" s="1"/>
  <c r="U152" i="67"/>
  <c r="AX44" i="77"/>
  <c r="U152" i="85" s="1"/>
  <c r="X156" i="67"/>
  <c r="AG68" i="77"/>
  <c r="X156" i="85" s="1"/>
  <c r="V158" i="67"/>
  <c r="AO68" i="77"/>
  <c r="V158" i="85" s="1"/>
  <c r="T160" i="67"/>
  <c r="AW68" i="77"/>
  <c r="T160" i="85" s="1"/>
  <c r="W161" i="67"/>
  <c r="AF91" i="77"/>
  <c r="W161" i="85" s="1"/>
  <c r="U163" i="67"/>
  <c r="AN91" i="77"/>
  <c r="U163" i="85" s="1"/>
  <c r="X164" i="67"/>
  <c r="AV91" i="77"/>
  <c r="X164" i="85" s="1"/>
  <c r="V169" i="67"/>
  <c r="AE115" i="77"/>
  <c r="V169" i="85" s="1"/>
  <c r="T171" i="67"/>
  <c r="AM115" i="77"/>
  <c r="T171" i="85" s="1"/>
  <c r="W172" i="67"/>
  <c r="AU115" i="77"/>
  <c r="W172" i="85" s="1"/>
  <c r="U174" i="67"/>
  <c r="AD138" i="77"/>
  <c r="U174" i="85" s="1"/>
  <c r="X175" i="67"/>
  <c r="AL138" i="77"/>
  <c r="X175" i="85" s="1"/>
  <c r="V177" i="67"/>
  <c r="AT138" i="77"/>
  <c r="V177" i="85" s="1"/>
  <c r="V150" i="67"/>
  <c r="AO44" i="77"/>
  <c r="V150" i="85" s="1"/>
  <c r="T163" i="67"/>
  <c r="AM91" i="77"/>
  <c r="T163" i="85" s="1"/>
  <c r="W175" i="67"/>
  <c r="AK138" i="77"/>
  <c r="W175" i="85" s="1"/>
  <c r="U149" i="67"/>
  <c r="AI44" i="77"/>
  <c r="U149" i="85" s="1"/>
  <c r="X150" i="67"/>
  <c r="AQ44" i="77"/>
  <c r="X150" i="85" s="1"/>
  <c r="V152" i="67"/>
  <c r="AY44" i="77"/>
  <c r="V152" i="85" s="1"/>
  <c r="T157" i="67"/>
  <c r="AH68" i="77"/>
  <c r="T157" i="85" s="1"/>
  <c r="W158" i="67"/>
  <c r="AP68" i="77"/>
  <c r="W158" i="85" s="1"/>
  <c r="U160" i="67"/>
  <c r="AX68" i="77"/>
  <c r="U160" i="85" s="1"/>
  <c r="X161" i="67"/>
  <c r="AG91" i="77"/>
  <c r="X161" i="85" s="1"/>
  <c r="V163" i="67"/>
  <c r="AO91" i="77"/>
  <c r="V163" i="85" s="1"/>
  <c r="T165" i="67"/>
  <c r="AW91" i="77"/>
  <c r="T165" i="85" s="1"/>
  <c r="W169" i="67"/>
  <c r="AF115" i="77"/>
  <c r="W169" i="85" s="1"/>
  <c r="U171" i="67"/>
  <c r="AN115" i="77"/>
  <c r="U171" i="85" s="1"/>
  <c r="X172" i="67"/>
  <c r="AV115" i="77"/>
  <c r="X172" i="85" s="1"/>
  <c r="V174" i="67"/>
  <c r="AE138" i="77"/>
  <c r="V174" i="85" s="1"/>
  <c r="T176" i="67"/>
  <c r="AM138" i="77"/>
  <c r="T176" i="85" s="1"/>
  <c r="W177" i="67"/>
  <c r="AU138" i="77"/>
  <c r="W177" i="85" s="1"/>
  <c r="U158" i="67"/>
  <c r="AN68" i="77"/>
  <c r="U158" i="85" s="1"/>
  <c r="X170" i="67"/>
  <c r="AL115" i="77"/>
  <c r="X170" i="85" s="1"/>
  <c r="U177" i="67"/>
  <c r="AS138" i="77"/>
  <c r="U177" i="85" s="1"/>
  <c r="V149" i="67"/>
  <c r="AJ44" i="77"/>
  <c r="V149" i="85" s="1"/>
  <c r="T151" i="67"/>
  <c r="AR44" i="77"/>
  <c r="T151" i="85" s="1"/>
  <c r="W152" i="67"/>
  <c r="AZ44" i="77"/>
  <c r="W152" i="85" s="1"/>
  <c r="U157" i="67"/>
  <c r="AI68" i="77"/>
  <c r="U157" i="85" s="1"/>
  <c r="X158" i="67"/>
  <c r="AQ68" i="77"/>
  <c r="X158" i="85" s="1"/>
  <c r="V160" i="67"/>
  <c r="AY68" i="77"/>
  <c r="V160" i="85" s="1"/>
  <c r="T162" i="67"/>
  <c r="AH91" i="77"/>
  <c r="T162" i="85" s="1"/>
  <c r="W163" i="67"/>
  <c r="AP91" i="77"/>
  <c r="W163" i="85" s="1"/>
  <c r="U165" i="67"/>
  <c r="AX91" i="77"/>
  <c r="U165" i="85" s="1"/>
  <c r="X169" i="67"/>
  <c r="AG115" i="77"/>
  <c r="X169" i="85" s="1"/>
  <c r="V171" i="67"/>
  <c r="AO115" i="77"/>
  <c r="V171" i="85" s="1"/>
  <c r="T173" i="67"/>
  <c r="AW115" i="77"/>
  <c r="T173" i="85" s="1"/>
  <c r="W174" i="67"/>
  <c r="AF138" i="77"/>
  <c r="W174" i="85" s="1"/>
  <c r="U176" i="67"/>
  <c r="AN138" i="77"/>
  <c r="U176" i="85" s="1"/>
  <c r="X177" i="67"/>
  <c r="AV138" i="77"/>
  <c r="X177" i="85" s="1"/>
  <c r="V161" i="67"/>
  <c r="AE91" i="77"/>
  <c r="V161" i="85" s="1"/>
  <c r="T148" i="67"/>
  <c r="AC44" i="77"/>
  <c r="T148" i="85" s="1"/>
  <c r="W149" i="67"/>
  <c r="AK44" i="77"/>
  <c r="W149" i="85" s="1"/>
  <c r="U151" i="67"/>
  <c r="AS44" i="77"/>
  <c r="U151" i="85" s="1"/>
  <c r="X152" i="67"/>
  <c r="BA44" i="77"/>
  <c r="X152" i="85" s="1"/>
  <c r="V157" i="67"/>
  <c r="AJ68" i="77"/>
  <c r="V157" i="85" s="1"/>
  <c r="T159" i="67"/>
  <c r="AR68" i="77"/>
  <c r="T159" i="85" s="1"/>
  <c r="W160" i="67"/>
  <c r="AZ68" i="77"/>
  <c r="W160" i="85" s="1"/>
  <c r="U162" i="67"/>
  <c r="AI91" i="77"/>
  <c r="U162" i="85" s="1"/>
  <c r="X163" i="67"/>
  <c r="AQ91" i="77"/>
  <c r="X163" i="85" s="1"/>
  <c r="V165" i="67"/>
  <c r="AY91" i="77"/>
  <c r="V165" i="85" s="1"/>
  <c r="T170" i="67"/>
  <c r="AH115" i="77"/>
  <c r="T170" i="85" s="1"/>
  <c r="W171" i="67"/>
  <c r="AP115" i="77"/>
  <c r="W171" i="85" s="1"/>
  <c r="U173" i="67"/>
  <c r="AX115" i="77"/>
  <c r="U173" i="85" s="1"/>
  <c r="X174" i="67"/>
  <c r="AG138" i="77"/>
  <c r="X174" i="85" s="1"/>
  <c r="V176" i="67"/>
  <c r="AO138" i="77"/>
  <c r="V176" i="85" s="1"/>
  <c r="T178" i="67"/>
  <c r="AW138" i="77"/>
  <c r="T178" i="85" s="1"/>
  <c r="X148" i="67"/>
  <c r="AG44" i="77"/>
  <c r="X148" i="85" s="1"/>
  <c r="W164" i="67"/>
  <c r="AU91" i="77"/>
  <c r="W164" i="85" s="1"/>
  <c r="U148" i="67"/>
  <c r="AD44" i="77"/>
  <c r="U148" i="85" s="1"/>
  <c r="X149" i="67"/>
  <c r="AL44" i="77"/>
  <c r="X149" i="85" s="1"/>
  <c r="V151" i="67"/>
  <c r="AT44" i="77"/>
  <c r="V151" i="85" s="1"/>
  <c r="T156" i="67"/>
  <c r="AC68" i="77"/>
  <c r="T156" i="85" s="1"/>
  <c r="W157" i="67"/>
  <c r="AK68" i="77"/>
  <c r="W157" i="85" s="1"/>
  <c r="U159" i="67"/>
  <c r="AS68" i="77"/>
  <c r="U159" i="85" s="1"/>
  <c r="X160" i="67"/>
  <c r="BA68" i="77"/>
  <c r="X160" i="85" s="1"/>
  <c r="V162" i="67"/>
  <c r="AJ91" i="77"/>
  <c r="V162" i="85" s="1"/>
  <c r="T164" i="67"/>
  <c r="AR91" i="77"/>
  <c r="T164" i="85" s="1"/>
  <c r="W165" i="67"/>
  <c r="AZ91" i="77"/>
  <c r="W165" i="85" s="1"/>
  <c r="U170" i="67"/>
  <c r="AI115" i="77"/>
  <c r="U170" i="85" s="1"/>
  <c r="X171" i="67"/>
  <c r="AQ115" i="77"/>
  <c r="X171" i="85" s="1"/>
  <c r="V173" i="67"/>
  <c r="AY115" i="77"/>
  <c r="V173" i="85" s="1"/>
  <c r="T175" i="67"/>
  <c r="AH138" i="77"/>
  <c r="T175" i="85" s="1"/>
  <c r="W176" i="67"/>
  <c r="AP138" i="77"/>
  <c r="W176" i="85" s="1"/>
  <c r="U178" i="67"/>
  <c r="AX138" i="77"/>
  <c r="U178" i="85" s="1"/>
  <c r="X159" i="67"/>
  <c r="AV68" i="77"/>
  <c r="X159" i="85" s="1"/>
  <c r="V148" i="67"/>
  <c r="AE44" i="77"/>
  <c r="V148" i="85" s="1"/>
  <c r="T150" i="67"/>
  <c r="AM44" i="77"/>
  <c r="T150" i="85" s="1"/>
  <c r="W151" i="67"/>
  <c r="AU44" i="77"/>
  <c r="W151" i="85" s="1"/>
  <c r="U156" i="67"/>
  <c r="AD68" i="77"/>
  <c r="U156" i="85" s="1"/>
  <c r="X157" i="67"/>
  <c r="AL68" i="77"/>
  <c r="X157" i="85" s="1"/>
  <c r="V159" i="67"/>
  <c r="AT68" i="77"/>
  <c r="V159" i="85" s="1"/>
  <c r="T161" i="67"/>
  <c r="AC91" i="77"/>
  <c r="T161" i="85" s="1"/>
  <c r="W162" i="67"/>
  <c r="AK91" i="77"/>
  <c r="W162" i="85" s="1"/>
  <c r="U164" i="67"/>
  <c r="AS91" i="77"/>
  <c r="U164" i="85" s="1"/>
  <c r="X165" i="67"/>
  <c r="BA91" i="77"/>
  <c r="X165" i="85" s="1"/>
  <c r="V170" i="67"/>
  <c r="AJ115" i="77"/>
  <c r="V170" i="85" s="1"/>
  <c r="T172" i="67"/>
  <c r="AR115" i="77"/>
  <c r="T172" i="85" s="1"/>
  <c r="W173" i="67"/>
  <c r="AZ115" i="77"/>
  <c r="W173" i="85" s="1"/>
  <c r="U175" i="67"/>
  <c r="AI138" i="77"/>
  <c r="U175" i="85" s="1"/>
  <c r="X176" i="67"/>
  <c r="AQ138" i="77"/>
  <c r="X176" i="85" s="1"/>
  <c r="V178" i="67"/>
  <c r="AY138" i="77"/>
  <c r="V178" i="85" s="1"/>
  <c r="W156" i="67"/>
  <c r="AF68" i="77"/>
  <c r="W156" i="85" s="1"/>
  <c r="U169" i="67"/>
  <c r="AD115" i="77"/>
  <c r="U169" i="85" s="1"/>
  <c r="T174" i="67"/>
  <c r="AC138" i="77"/>
  <c r="T174" i="85" s="1"/>
  <c r="W148" i="67"/>
  <c r="AF44" i="77"/>
  <c r="W148" i="85" s="1"/>
  <c r="U150" i="67"/>
  <c r="AN44" i="77"/>
  <c r="U150" i="85" s="1"/>
  <c r="X151" i="67"/>
  <c r="AV44" i="77"/>
  <c r="X151" i="85" s="1"/>
  <c r="V156" i="67"/>
  <c r="AE68" i="77"/>
  <c r="V156" i="85" s="1"/>
  <c r="T158" i="67"/>
  <c r="AM68" i="77"/>
  <c r="T158" i="85" s="1"/>
  <c r="W159" i="67"/>
  <c r="AU68" i="77"/>
  <c r="W159" i="85" s="1"/>
  <c r="U161" i="67"/>
  <c r="AD91" i="77"/>
  <c r="U161" i="85" s="1"/>
  <c r="X162" i="67"/>
  <c r="X166" i="67" s="1"/>
  <c r="AL91" i="77"/>
  <c r="X162" i="85" s="1"/>
  <c r="V164" i="67"/>
  <c r="AT91" i="77"/>
  <c r="V164" i="85" s="1"/>
  <c r="T169" i="67"/>
  <c r="AC115" i="77"/>
  <c r="T169" i="85" s="1"/>
  <c r="W170" i="67"/>
  <c r="AK115" i="77"/>
  <c r="W170" i="85" s="1"/>
  <c r="U172" i="67"/>
  <c r="U179" i="67" s="1"/>
  <c r="AS115" i="77"/>
  <c r="U172" i="85" s="1"/>
  <c r="X173" i="67"/>
  <c r="BA115" i="77"/>
  <c r="X173" i="85" s="1"/>
  <c r="V175" i="67"/>
  <c r="AJ138" i="77"/>
  <c r="V175" i="85" s="1"/>
  <c r="T177" i="67"/>
  <c r="AR138" i="77"/>
  <c r="T177" i="85" s="1"/>
  <c r="W178" i="67"/>
  <c r="AZ138" i="77"/>
  <c r="W178" i="85" s="1"/>
  <c r="X178" i="67"/>
  <c r="BA138" i="77"/>
  <c r="X178" i="85" s="1"/>
  <c r="T143" i="67"/>
  <c r="AC21" i="77"/>
  <c r="T143" i="85" s="1"/>
  <c r="CH10" i="73"/>
  <c r="CC10" i="73"/>
  <c r="BP10" i="73"/>
  <c r="CJ10" i="73"/>
  <c r="BZ10" i="73"/>
  <c r="BU10" i="73"/>
  <c r="BT10" i="73"/>
  <c r="BO10" i="73"/>
  <c r="BJ10" i="73"/>
  <c r="BI10" i="73"/>
  <c r="CB10" i="73"/>
  <c r="BR10" i="73"/>
  <c r="BH10" i="73"/>
  <c r="CD10" i="73"/>
  <c r="CI10" i="73"/>
  <c r="BX10" i="73"/>
  <c r="BN10" i="73"/>
  <c r="BW10" i="73"/>
  <c r="CA10" i="73"/>
  <c r="BQ10" i="73"/>
  <c r="BG9" i="73"/>
  <c r="CG10" i="73"/>
  <c r="BV10" i="73"/>
  <c r="BL10" i="73"/>
  <c r="BK10" i="73"/>
  <c r="CF10" i="73"/>
  <c r="BE10" i="73"/>
  <c r="BA10" i="73"/>
  <c r="AW10" i="73"/>
  <c r="AR10" i="73"/>
  <c r="AN10" i="73"/>
  <c r="AI10" i="73"/>
  <c r="AE10" i="73"/>
  <c r="AA10" i="73"/>
  <c r="V10" i="73"/>
  <c r="R10" i="73"/>
  <c r="M10" i="73"/>
  <c r="I10" i="73"/>
  <c r="E10" i="73"/>
  <c r="BD10" i="73"/>
  <c r="AZ10" i="73"/>
  <c r="AV10" i="73"/>
  <c r="AQ10" i="73"/>
  <c r="AM10" i="73"/>
  <c r="AH10" i="73"/>
  <c r="AD10" i="73"/>
  <c r="Z10" i="73"/>
  <c r="U10" i="73"/>
  <c r="Q10" i="73"/>
  <c r="L10" i="73"/>
  <c r="H10" i="73"/>
  <c r="D10" i="73"/>
  <c r="BC10" i="73"/>
  <c r="AY10" i="73"/>
  <c r="AT10" i="73"/>
  <c r="AP10" i="73"/>
  <c r="AL10" i="73"/>
  <c r="AG10" i="73"/>
  <c r="AC10" i="73"/>
  <c r="X10" i="73"/>
  <c r="T10" i="73"/>
  <c r="P10" i="73"/>
  <c r="K10" i="73"/>
  <c r="G10" i="73"/>
  <c r="BB10" i="73"/>
  <c r="AX10" i="73"/>
  <c r="AS10" i="73"/>
  <c r="AO10" i="73"/>
  <c r="AK10" i="73"/>
  <c r="AF10" i="73"/>
  <c r="AB10" i="73"/>
  <c r="W10" i="73"/>
  <c r="S10" i="73"/>
  <c r="O10" i="73"/>
  <c r="J10" i="73"/>
  <c r="F10" i="73"/>
  <c r="Q106" i="73"/>
  <c r="BO106" i="73" s="1"/>
  <c r="AF106" i="73"/>
  <c r="BW106" i="73" s="1"/>
  <c r="U106" i="73"/>
  <c r="BQ106" i="73" s="1"/>
  <c r="AB106" i="73"/>
  <c r="BU106" i="73" s="1"/>
  <c r="O106" i="73"/>
  <c r="BN106" i="73" s="1"/>
  <c r="W106" i="73"/>
  <c r="BR106" i="73" s="1"/>
  <c r="AD106" i="73"/>
  <c r="BV106" i="73" s="1"/>
  <c r="S106" i="73"/>
  <c r="BP106" i="73" s="1"/>
  <c r="Z106" i="73"/>
  <c r="BT106" i="73" s="1"/>
  <c r="AH106" i="73"/>
  <c r="BX106" i="73" s="1"/>
  <c r="G27" i="48"/>
  <c r="N27" i="48" s="1"/>
  <c r="F27" i="48"/>
  <c r="M27" i="48" s="1"/>
  <c r="E27" i="48"/>
  <c r="L27" i="48" s="1"/>
  <c r="D27" i="48"/>
  <c r="K27" i="48" s="1"/>
  <c r="C27" i="48"/>
  <c r="J27" i="48" s="1"/>
  <c r="B27" i="48"/>
  <c r="I27" i="48" s="1"/>
  <c r="G26" i="48"/>
  <c r="N26" i="48" s="1"/>
  <c r="F26" i="48"/>
  <c r="M26" i="48" s="1"/>
  <c r="E26" i="48"/>
  <c r="L26" i="48" s="1"/>
  <c r="D26" i="48"/>
  <c r="K26" i="48" s="1"/>
  <c r="C26" i="48"/>
  <c r="J26" i="48" s="1"/>
  <c r="B26" i="48"/>
  <c r="I26" i="48" s="1"/>
  <c r="G25" i="48"/>
  <c r="N25" i="48" s="1"/>
  <c r="F25" i="48"/>
  <c r="M25" i="48" s="1"/>
  <c r="E25" i="48"/>
  <c r="L25" i="48" s="1"/>
  <c r="D25" i="48"/>
  <c r="K25" i="48" s="1"/>
  <c r="C25" i="48"/>
  <c r="J25" i="48" s="1"/>
  <c r="B25" i="48"/>
  <c r="I25" i="48" s="1"/>
  <c r="G7" i="48"/>
  <c r="F7" i="48"/>
  <c r="E7" i="48"/>
  <c r="D7" i="48"/>
  <c r="C7" i="48"/>
  <c r="B7" i="48"/>
  <c r="G1" i="48"/>
  <c r="B31" i="48"/>
  <c r="I31" i="48" s="1"/>
  <c r="V166" i="85" l="1"/>
  <c r="V166" i="67"/>
  <c r="T179" i="67"/>
  <c r="AN30" i="84"/>
  <c r="AN30" i="79"/>
  <c r="AN31" i="84"/>
  <c r="AN31" i="79"/>
  <c r="AT30" i="79"/>
  <c r="AT31" i="79"/>
  <c r="W166" i="67"/>
  <c r="U166" i="67"/>
  <c r="W179" i="67"/>
  <c r="AM30" i="84"/>
  <c r="AM31" i="84"/>
  <c r="AM30" i="79"/>
  <c r="AM31" i="79"/>
  <c r="AS30" i="79"/>
  <c r="AS31" i="79"/>
  <c r="AO30" i="84"/>
  <c r="AO30" i="79"/>
  <c r="AO31" i="79"/>
  <c r="AO31" i="84"/>
  <c r="AU31" i="79"/>
  <c r="AU30" i="79"/>
  <c r="AP30" i="84"/>
  <c r="AP30" i="79"/>
  <c r="AP31" i="84"/>
  <c r="AP31" i="79"/>
  <c r="AV30" i="79"/>
  <c r="AV31" i="79"/>
  <c r="AL31" i="79"/>
  <c r="AL30" i="84"/>
  <c r="AL31" i="84"/>
  <c r="AL30" i="79"/>
  <c r="AR31" i="79"/>
  <c r="AR30" i="79"/>
  <c r="AU30" i="84"/>
  <c r="AU31" i="84"/>
  <c r="M97" i="85"/>
  <c r="M18" i="85"/>
  <c r="M26" i="85"/>
  <c r="M90" i="85"/>
  <c r="F22" i="85"/>
  <c r="F82" i="85" s="1"/>
  <c r="M126" i="85"/>
  <c r="M121" i="85"/>
  <c r="M104" i="85"/>
  <c r="M9" i="85"/>
  <c r="M137" i="85"/>
  <c r="M112" i="85"/>
  <c r="F40" i="85"/>
  <c r="F100" i="85" s="1"/>
  <c r="F118" i="85" s="1"/>
  <c r="F58" i="85"/>
  <c r="X4" i="85"/>
  <c r="F4" i="85"/>
  <c r="M3" i="85"/>
  <c r="M47" i="85"/>
  <c r="W3" i="84"/>
  <c r="M36" i="84"/>
  <c r="AF26" i="84"/>
  <c r="AO2" i="84"/>
  <c r="W16" i="84"/>
  <c r="AF11" i="84"/>
  <c r="W9" i="84"/>
  <c r="AF3" i="84"/>
  <c r="W33" i="84"/>
  <c r="G25" i="84"/>
  <c r="G14" i="84"/>
  <c r="G3" i="84"/>
  <c r="G83" i="83"/>
  <c r="AF22" i="84"/>
  <c r="AF19" i="84"/>
  <c r="AF6" i="84"/>
  <c r="V4" i="83"/>
  <c r="G3" i="83"/>
  <c r="G14" i="83"/>
  <c r="AF36" i="83"/>
  <c r="G30" i="83"/>
  <c r="M25" i="84"/>
  <c r="G77" i="83"/>
  <c r="AF3" i="83"/>
  <c r="W46" i="84"/>
  <c r="M3" i="84"/>
  <c r="AO3" i="84"/>
  <c r="M14" i="84"/>
  <c r="P4" i="83"/>
  <c r="AF32" i="84"/>
  <c r="G36" i="84"/>
  <c r="T166" i="67"/>
  <c r="U179" i="85"/>
  <c r="X179" i="85"/>
  <c r="X179" i="67"/>
  <c r="V179" i="67"/>
  <c r="V179" i="85"/>
  <c r="B58" i="85"/>
  <c r="B40" i="85"/>
  <c r="B100" i="85" s="1"/>
  <c r="B118" i="85" s="1"/>
  <c r="B4" i="85"/>
  <c r="T4" i="85"/>
  <c r="B22" i="85"/>
  <c r="B82" i="85" s="1"/>
  <c r="S33" i="84"/>
  <c r="C25" i="84"/>
  <c r="C14" i="84"/>
  <c r="C3" i="84"/>
  <c r="S46" i="84"/>
  <c r="I25" i="84"/>
  <c r="I14" i="84"/>
  <c r="I3" i="84"/>
  <c r="C36" i="84"/>
  <c r="C77" i="83"/>
  <c r="S3" i="84"/>
  <c r="S16" i="84"/>
  <c r="C30" i="83"/>
  <c r="L4" i="83"/>
  <c r="J20" i="83" s="1"/>
  <c r="I36" i="84"/>
  <c r="S9" i="84"/>
  <c r="C83" i="83"/>
  <c r="R4" i="83"/>
  <c r="AB36" i="83"/>
  <c r="AB3" i="83"/>
  <c r="C3" i="83"/>
  <c r="C14" i="83"/>
  <c r="T179" i="85"/>
  <c r="W166" i="85"/>
  <c r="W179" i="85"/>
  <c r="X166" i="85"/>
  <c r="T166" i="85"/>
  <c r="AV30" i="84"/>
  <c r="AV31" i="84"/>
  <c r="N26" i="85"/>
  <c r="N137" i="85"/>
  <c r="G40" i="85"/>
  <c r="G100" i="85" s="1"/>
  <c r="G118" i="85" s="1"/>
  <c r="N112" i="85"/>
  <c r="N47" i="85"/>
  <c r="N97" i="85"/>
  <c r="N90" i="85"/>
  <c r="N121" i="85"/>
  <c r="N104" i="85"/>
  <c r="G58" i="85"/>
  <c r="Y4" i="85"/>
  <c r="G4" i="85"/>
  <c r="N3" i="85"/>
  <c r="G22" i="85"/>
  <c r="G82" i="85" s="1"/>
  <c r="N18" i="85"/>
  <c r="N126" i="85"/>
  <c r="N9" i="85"/>
  <c r="N36" i="84"/>
  <c r="AG26" i="84"/>
  <c r="AP2" i="84"/>
  <c r="X16" i="84"/>
  <c r="AG11" i="84"/>
  <c r="X9" i="84"/>
  <c r="AG3" i="84"/>
  <c r="X33" i="84"/>
  <c r="H25" i="84"/>
  <c r="H14" i="84"/>
  <c r="H3" i="84"/>
  <c r="H83" i="83"/>
  <c r="X46" i="84"/>
  <c r="AG22" i="84"/>
  <c r="AG6" i="84"/>
  <c r="AG36" i="83"/>
  <c r="AH36" i="83" s="1"/>
  <c r="H30" i="83"/>
  <c r="H3" i="83"/>
  <c r="N3" i="84"/>
  <c r="N25" i="84"/>
  <c r="X3" i="84"/>
  <c r="H77" i="83"/>
  <c r="H14" i="83"/>
  <c r="AG3" i="83"/>
  <c r="AH3" i="83" s="1"/>
  <c r="H36" i="84"/>
  <c r="N14" i="84"/>
  <c r="AP3" i="84"/>
  <c r="AG19" i="84"/>
  <c r="AG32" i="84"/>
  <c r="W4" i="83"/>
  <c r="Q4" i="83"/>
  <c r="AS30" i="84"/>
  <c r="AS31" i="84"/>
  <c r="K126" i="85"/>
  <c r="K121" i="85"/>
  <c r="K104" i="85"/>
  <c r="K9" i="85"/>
  <c r="K47" i="85"/>
  <c r="K26" i="85"/>
  <c r="K112" i="85"/>
  <c r="K137" i="85"/>
  <c r="K97" i="85"/>
  <c r="K18" i="85"/>
  <c r="K90" i="85"/>
  <c r="D40" i="85"/>
  <c r="D100" i="85" s="1"/>
  <c r="D118" i="85" s="1"/>
  <c r="D58" i="85"/>
  <c r="D4" i="85"/>
  <c r="D22" i="85"/>
  <c r="D82" i="85" s="1"/>
  <c r="V4" i="85"/>
  <c r="K3" i="85"/>
  <c r="AD32" i="84"/>
  <c r="K25" i="84"/>
  <c r="AD19" i="84"/>
  <c r="K14" i="84"/>
  <c r="AM3" i="84"/>
  <c r="K3" i="84"/>
  <c r="E36" i="84"/>
  <c r="E77" i="83"/>
  <c r="U3" i="84"/>
  <c r="K36" i="84"/>
  <c r="AD26" i="84"/>
  <c r="AM2" i="84"/>
  <c r="AD3" i="84"/>
  <c r="N4" i="83"/>
  <c r="E30" i="83"/>
  <c r="U33" i="84"/>
  <c r="E14" i="84"/>
  <c r="AD11" i="84"/>
  <c r="AD36" i="83"/>
  <c r="AD22" i="84"/>
  <c r="U9" i="84"/>
  <c r="AD6" i="84"/>
  <c r="E83" i="83"/>
  <c r="T4" i="83"/>
  <c r="E3" i="83"/>
  <c r="U46" i="84"/>
  <c r="E3" i="84"/>
  <c r="E14" i="83"/>
  <c r="U16" i="84"/>
  <c r="E25" i="84"/>
  <c r="AD3" i="83"/>
  <c r="U166" i="85"/>
  <c r="AR31" i="84"/>
  <c r="AR30" i="84"/>
  <c r="C58" i="85"/>
  <c r="C82" i="85" s="1"/>
  <c r="C100" i="85" s="1"/>
  <c r="C118" i="85" s="1"/>
  <c r="J126" i="85"/>
  <c r="J121" i="85"/>
  <c r="J104" i="85"/>
  <c r="J9" i="85"/>
  <c r="J97" i="85"/>
  <c r="J18" i="85"/>
  <c r="J90" i="85"/>
  <c r="C22" i="85"/>
  <c r="J26" i="85"/>
  <c r="J137" i="85"/>
  <c r="J112" i="85"/>
  <c r="C40" i="85"/>
  <c r="J47" i="85"/>
  <c r="U4" i="85"/>
  <c r="J3" i="85"/>
  <c r="C4" i="85"/>
  <c r="T46" i="84"/>
  <c r="AC22" i="84"/>
  <c r="AC6" i="84"/>
  <c r="AC32" i="84"/>
  <c r="J25" i="84"/>
  <c r="AC19" i="84"/>
  <c r="J14" i="84"/>
  <c r="AL3" i="84"/>
  <c r="J3" i="84"/>
  <c r="D36" i="84"/>
  <c r="D77" i="83"/>
  <c r="T3" i="84"/>
  <c r="J36" i="84"/>
  <c r="AC26" i="84"/>
  <c r="T16" i="84"/>
  <c r="D3" i="84"/>
  <c r="M4" i="83"/>
  <c r="AC3" i="84"/>
  <c r="AL2" i="84"/>
  <c r="T9" i="84"/>
  <c r="S4" i="83"/>
  <c r="T33" i="84"/>
  <c r="D14" i="84"/>
  <c r="AC11" i="84"/>
  <c r="D83" i="83"/>
  <c r="AC36" i="83"/>
  <c r="D30" i="83"/>
  <c r="D3" i="83"/>
  <c r="D14" i="83"/>
  <c r="D25" i="84"/>
  <c r="AC3" i="83"/>
  <c r="AT30" i="84"/>
  <c r="AT31" i="84"/>
  <c r="L47" i="85"/>
  <c r="L97" i="85"/>
  <c r="L18" i="85"/>
  <c r="L137" i="85"/>
  <c r="E40" i="85"/>
  <c r="E100" i="85" s="1"/>
  <c r="E118" i="85" s="1"/>
  <c r="E58" i="85"/>
  <c r="L9" i="85"/>
  <c r="E4" i="85"/>
  <c r="L112" i="85"/>
  <c r="L90" i="85"/>
  <c r="L121" i="85"/>
  <c r="L104" i="85"/>
  <c r="E22" i="85"/>
  <c r="E82" i="85" s="1"/>
  <c r="W4" i="85"/>
  <c r="L3" i="85"/>
  <c r="L26" i="85"/>
  <c r="L126" i="85"/>
  <c r="F36" i="84"/>
  <c r="V3" i="84"/>
  <c r="L36" i="84"/>
  <c r="AE26" i="84"/>
  <c r="AN2" i="84"/>
  <c r="V16" i="84"/>
  <c r="AE11" i="84"/>
  <c r="V9" i="84"/>
  <c r="AE3" i="84"/>
  <c r="V33" i="84"/>
  <c r="AE32" i="84"/>
  <c r="F14" i="84"/>
  <c r="V46" i="84"/>
  <c r="AE22" i="84"/>
  <c r="AE19" i="84"/>
  <c r="AE6" i="84"/>
  <c r="F83" i="83"/>
  <c r="U4" i="83"/>
  <c r="AE36" i="83"/>
  <c r="F30" i="83"/>
  <c r="F3" i="83"/>
  <c r="L25" i="84"/>
  <c r="F77" i="83"/>
  <c r="F14" i="83"/>
  <c r="AE3" i="83"/>
  <c r="F25" i="84"/>
  <c r="L3" i="84"/>
  <c r="L14" i="84"/>
  <c r="AN3" i="84"/>
  <c r="O4" i="83"/>
  <c r="F3" i="84"/>
  <c r="T4" i="67"/>
  <c r="B40" i="67"/>
  <c r="B100" i="67" s="1"/>
  <c r="B118" i="67" s="1"/>
  <c r="B4" i="67"/>
  <c r="C36" i="79"/>
  <c r="C25" i="79"/>
  <c r="B70" i="17"/>
  <c r="B58" i="67"/>
  <c r="B22" i="67"/>
  <c r="B82" i="67" s="1"/>
  <c r="I36" i="79"/>
  <c r="I25" i="79"/>
  <c r="I14" i="79"/>
  <c r="I3" i="79"/>
  <c r="C3" i="79"/>
  <c r="C14" i="79"/>
  <c r="K137" i="67"/>
  <c r="K104" i="67"/>
  <c r="K26" i="67"/>
  <c r="D58" i="67"/>
  <c r="D22" i="67"/>
  <c r="D82" i="67" s="1"/>
  <c r="AM2" i="79"/>
  <c r="AD19" i="79"/>
  <c r="K36" i="79"/>
  <c r="K25" i="79"/>
  <c r="V4" i="67"/>
  <c r="V25" i="67" s="1"/>
  <c r="V46" i="67" s="1"/>
  <c r="K121" i="67"/>
  <c r="K90" i="67"/>
  <c r="K9" i="67"/>
  <c r="D40" i="67"/>
  <c r="D100" i="67" s="1"/>
  <c r="D118" i="67" s="1"/>
  <c r="D4" i="67"/>
  <c r="AD26" i="79"/>
  <c r="AD6" i="79"/>
  <c r="E36" i="79"/>
  <c r="E25" i="79"/>
  <c r="E14" i="79"/>
  <c r="E3" i="79"/>
  <c r="K112" i="67"/>
  <c r="K47" i="67"/>
  <c r="K3" i="67"/>
  <c r="AM3" i="79"/>
  <c r="AD22" i="79"/>
  <c r="AD3" i="79"/>
  <c r="K97" i="67"/>
  <c r="AD11" i="79"/>
  <c r="K18" i="67"/>
  <c r="K14" i="79"/>
  <c r="K3" i="79"/>
  <c r="K126" i="67"/>
  <c r="AD32" i="79"/>
  <c r="X4" i="67"/>
  <c r="X25" i="67" s="1"/>
  <c r="X46" i="67" s="1"/>
  <c r="M121" i="67"/>
  <c r="M90" i="67"/>
  <c r="M9" i="67"/>
  <c r="F40" i="67"/>
  <c r="F100" i="67" s="1"/>
  <c r="F118" i="67" s="1"/>
  <c r="F4" i="67"/>
  <c r="AF26" i="79"/>
  <c r="AF6" i="79"/>
  <c r="G36" i="79"/>
  <c r="G25" i="79"/>
  <c r="M137" i="67"/>
  <c r="M104" i="67"/>
  <c r="M26" i="67"/>
  <c r="F58" i="67"/>
  <c r="F22" i="67"/>
  <c r="F82" i="67" s="1"/>
  <c r="AO2" i="79"/>
  <c r="AF19" i="79"/>
  <c r="M36" i="79"/>
  <c r="M25" i="79"/>
  <c r="M14" i="79"/>
  <c r="M3" i="79"/>
  <c r="M126" i="67"/>
  <c r="M97" i="67"/>
  <c r="M18" i="67"/>
  <c r="AF32" i="79"/>
  <c r="AF11" i="79"/>
  <c r="AO3" i="79"/>
  <c r="G14" i="79"/>
  <c r="M112" i="67"/>
  <c r="AF22" i="79"/>
  <c r="G3" i="79"/>
  <c r="M47" i="67"/>
  <c r="AF3" i="79"/>
  <c r="M3" i="67"/>
  <c r="L126" i="67"/>
  <c r="L97" i="67"/>
  <c r="L18" i="67"/>
  <c r="AE32" i="79"/>
  <c r="AE11" i="79"/>
  <c r="L112" i="67"/>
  <c r="L47" i="67"/>
  <c r="L3" i="67"/>
  <c r="AN3" i="79"/>
  <c r="AE22" i="79"/>
  <c r="AE3" i="79"/>
  <c r="L25" i="79"/>
  <c r="L14" i="79"/>
  <c r="L137" i="67"/>
  <c r="L104" i="67"/>
  <c r="L26" i="67"/>
  <c r="E58" i="67"/>
  <c r="E22" i="67"/>
  <c r="E82" i="67" s="1"/>
  <c r="AN2" i="79"/>
  <c r="AE19" i="79"/>
  <c r="L36" i="79"/>
  <c r="W4" i="67"/>
  <c r="W25" i="67" s="1"/>
  <c r="W46" i="67" s="1"/>
  <c r="L121" i="67"/>
  <c r="AE26" i="79"/>
  <c r="F25" i="79"/>
  <c r="L90" i="67"/>
  <c r="E4" i="67"/>
  <c r="F36" i="79"/>
  <c r="F14" i="79"/>
  <c r="L3" i="79"/>
  <c r="F3" i="79"/>
  <c r="AE6" i="79"/>
  <c r="L9" i="67"/>
  <c r="E40" i="67"/>
  <c r="E100" i="67" s="1"/>
  <c r="E118" i="67" s="1"/>
  <c r="J112" i="67"/>
  <c r="J47" i="67"/>
  <c r="J3" i="67"/>
  <c r="AL3" i="79"/>
  <c r="AC22" i="79"/>
  <c r="AC3" i="79"/>
  <c r="J126" i="67"/>
  <c r="J97" i="67"/>
  <c r="J18" i="67"/>
  <c r="AC32" i="79"/>
  <c r="AC11" i="79"/>
  <c r="D25" i="79"/>
  <c r="U4" i="67"/>
  <c r="J121" i="67"/>
  <c r="J90" i="67"/>
  <c r="J9" i="67"/>
  <c r="C40" i="67"/>
  <c r="C4" i="67"/>
  <c r="AC26" i="79"/>
  <c r="AC6" i="79"/>
  <c r="D36" i="79"/>
  <c r="J26" i="67"/>
  <c r="C22" i="67"/>
  <c r="J36" i="79"/>
  <c r="C58" i="67"/>
  <c r="C82" i="67" s="1"/>
  <c r="C100" i="67" s="1"/>
  <c r="C118" i="67" s="1"/>
  <c r="D14" i="79"/>
  <c r="J104" i="67"/>
  <c r="AC19" i="79"/>
  <c r="D3" i="79"/>
  <c r="J14" i="79"/>
  <c r="J137" i="67"/>
  <c r="AL2" i="79"/>
  <c r="J25" i="79"/>
  <c r="J3" i="79"/>
  <c r="N112" i="67"/>
  <c r="N47" i="67"/>
  <c r="N3" i="67"/>
  <c r="AP3" i="79"/>
  <c r="AG22" i="79"/>
  <c r="AG3" i="79"/>
  <c r="N126" i="67"/>
  <c r="N97" i="67"/>
  <c r="N18" i="67"/>
  <c r="AG32" i="79"/>
  <c r="AG11" i="79"/>
  <c r="H36" i="79"/>
  <c r="Y4" i="67"/>
  <c r="N121" i="67"/>
  <c r="N90" i="67"/>
  <c r="N9" i="67"/>
  <c r="G40" i="67"/>
  <c r="G100" i="67" s="1"/>
  <c r="G118" i="67" s="1"/>
  <c r="G4" i="67"/>
  <c r="AG26" i="79"/>
  <c r="AG6" i="79"/>
  <c r="H25" i="79"/>
  <c r="H14" i="79"/>
  <c r="G58" i="67"/>
  <c r="N3" i="79"/>
  <c r="P2" i="79" s="1"/>
  <c r="H3" i="79"/>
  <c r="AP2" i="79"/>
  <c r="N14" i="79"/>
  <c r="N25" i="79"/>
  <c r="G22" i="67"/>
  <c r="G82" i="67" s="1"/>
  <c r="N36" i="79"/>
  <c r="P35" i="79" s="1"/>
  <c r="N137" i="67"/>
  <c r="N26" i="67"/>
  <c r="N104" i="67"/>
  <c r="AG19" i="79"/>
  <c r="X46" i="79"/>
  <c r="X9" i="79"/>
  <c r="AG3" i="78"/>
  <c r="AH3" i="78" s="1"/>
  <c r="Q4" i="78"/>
  <c r="H77" i="78"/>
  <c r="H14" i="78"/>
  <c r="X3" i="79"/>
  <c r="H83" i="78"/>
  <c r="X33" i="79"/>
  <c r="H30" i="78"/>
  <c r="X16" i="79"/>
  <c r="W4" i="78"/>
  <c r="H3" i="78"/>
  <c r="AG36" i="78"/>
  <c r="AH36" i="78" s="1"/>
  <c r="V33" i="79"/>
  <c r="V16" i="79"/>
  <c r="V3" i="79"/>
  <c r="U4" i="78"/>
  <c r="F83" i="78"/>
  <c r="F30" i="78"/>
  <c r="F3" i="78"/>
  <c r="V46" i="79"/>
  <c r="AE3" i="78"/>
  <c r="V9" i="79"/>
  <c r="AE36" i="78"/>
  <c r="F14" i="78"/>
  <c r="F77" i="78"/>
  <c r="O4" i="78"/>
  <c r="T46" i="79"/>
  <c r="T9" i="79"/>
  <c r="AC3" i="78"/>
  <c r="M4" i="78"/>
  <c r="D77" i="78"/>
  <c r="D14" i="78"/>
  <c r="AC36" i="78"/>
  <c r="D30" i="78"/>
  <c r="T16" i="79"/>
  <c r="D83" i="78"/>
  <c r="S4" i="78"/>
  <c r="D3" i="78"/>
  <c r="T3" i="79"/>
  <c r="T33" i="79"/>
  <c r="U46" i="79"/>
  <c r="AD36" i="78"/>
  <c r="U33" i="79"/>
  <c r="E14" i="78"/>
  <c r="E3" i="78"/>
  <c r="U16" i="79"/>
  <c r="T4" i="78"/>
  <c r="N4" i="78"/>
  <c r="U3" i="79"/>
  <c r="AD3" i="78"/>
  <c r="U9" i="79"/>
  <c r="E30" i="78"/>
  <c r="E77" i="78"/>
  <c r="E83" i="78"/>
  <c r="S33" i="79"/>
  <c r="S46" i="79"/>
  <c r="S3" i="79"/>
  <c r="C83" i="78"/>
  <c r="C77" i="78"/>
  <c r="S16" i="79"/>
  <c r="L4" i="78"/>
  <c r="J20" i="78" s="1"/>
  <c r="AB36" i="78"/>
  <c r="AB3" i="78"/>
  <c r="R4" i="78"/>
  <c r="C14" i="78"/>
  <c r="C3" i="78"/>
  <c r="C30" i="78"/>
  <c r="S9" i="79"/>
  <c r="W33" i="79"/>
  <c r="W46" i="79"/>
  <c r="W16" i="79"/>
  <c r="W9" i="79"/>
  <c r="V4" i="78"/>
  <c r="P4" i="78"/>
  <c r="W3" i="79"/>
  <c r="AF36" i="78"/>
  <c r="AF3" i="78"/>
  <c r="G14" i="78"/>
  <c r="G3" i="78"/>
  <c r="G77" i="78"/>
  <c r="G30" i="78"/>
  <c r="G83" i="78"/>
  <c r="H126" i="77"/>
  <c r="H79" i="77"/>
  <c r="H32" i="77"/>
  <c r="O2" i="79" l="1"/>
  <c r="AA3" i="67"/>
  <c r="AA24" i="67" s="1"/>
  <c r="AA45" i="67" s="1"/>
  <c r="O35" i="84"/>
  <c r="P35" i="84"/>
  <c r="O2" i="84"/>
  <c r="AE3" i="85"/>
  <c r="AE16" i="85"/>
  <c r="AE13" i="85"/>
  <c r="U25" i="85"/>
  <c r="U46" i="85" s="1"/>
  <c r="Z3" i="85"/>
  <c r="Z24" i="85" s="1"/>
  <c r="Z45" i="85" s="1"/>
  <c r="P2" i="84"/>
  <c r="P24" i="84"/>
  <c r="P13" i="84"/>
  <c r="O13" i="84"/>
  <c r="Y25" i="85"/>
  <c r="Y46" i="85" s="1"/>
  <c r="AI13" i="85"/>
  <c r="AI16" i="85"/>
  <c r="AI3" i="85"/>
  <c r="AA3" i="85"/>
  <c r="AA24" i="85" s="1"/>
  <c r="AA45" i="85" s="1"/>
  <c r="Y2" i="84"/>
  <c r="Y8" i="84" s="1"/>
  <c r="Y16" i="84" s="1"/>
  <c r="Y33" i="84" s="1"/>
  <c r="Y46" i="84" s="1"/>
  <c r="V25" i="85"/>
  <c r="V46" i="85" s="1"/>
  <c r="AF3" i="85"/>
  <c r="AF16" i="85"/>
  <c r="AF13" i="85"/>
  <c r="O24" i="84"/>
  <c r="AH16" i="85"/>
  <c r="AH13" i="85"/>
  <c r="AH3" i="85"/>
  <c r="X25" i="85"/>
  <c r="X46" i="85" s="1"/>
  <c r="T25" i="85"/>
  <c r="AD13" i="85"/>
  <c r="AD16" i="85"/>
  <c r="AD3" i="85"/>
  <c r="S16" i="85"/>
  <c r="W25" i="85"/>
  <c r="W46" i="85" s="1"/>
  <c r="AG16" i="85"/>
  <c r="AG13" i="85"/>
  <c r="AG3" i="85"/>
  <c r="Z2" i="84"/>
  <c r="Z8" i="84" s="1"/>
  <c r="Z16" i="84" s="1"/>
  <c r="Z33" i="84" s="1"/>
  <c r="Z46" i="84" s="1"/>
  <c r="M32" i="77"/>
  <c r="AH32" i="77"/>
  <c r="M79" i="77"/>
  <c r="AH79" i="77"/>
  <c r="M126" i="77"/>
  <c r="AH126" i="77"/>
  <c r="P13" i="79"/>
  <c r="Z2" i="79"/>
  <c r="Z8" i="79" s="1"/>
  <c r="Z16" i="79" s="1"/>
  <c r="Z33" i="79" s="1"/>
  <c r="Z46" i="79" s="1"/>
  <c r="O13" i="79"/>
  <c r="O24" i="79"/>
  <c r="P24" i="79"/>
  <c r="O35" i="79"/>
  <c r="W77" i="67"/>
  <c r="W101" i="67" s="1"/>
  <c r="W121" i="67"/>
  <c r="V142" i="67" s="1"/>
  <c r="V155" i="67" s="1"/>
  <c r="V168" i="67" s="1"/>
  <c r="V77" i="67"/>
  <c r="V101" i="67" s="1"/>
  <c r="V121" i="67"/>
  <c r="U142" i="67" s="1"/>
  <c r="U155" i="67" s="1"/>
  <c r="U168" i="67" s="1"/>
  <c r="Y25" i="67"/>
  <c r="Z3" i="67"/>
  <c r="Z24" i="67" s="1"/>
  <c r="Z45" i="67" s="1"/>
  <c r="U25" i="67"/>
  <c r="X77" i="67"/>
  <c r="X101" i="67" s="1"/>
  <c r="X121" i="67"/>
  <c r="W142" i="67" s="1"/>
  <c r="W155" i="67" s="1"/>
  <c r="W168" i="67" s="1"/>
  <c r="S16" i="67"/>
  <c r="T25" i="67"/>
  <c r="Y2" i="79"/>
  <c r="Y8" i="79" s="1"/>
  <c r="Y16" i="79" s="1"/>
  <c r="Y33" i="79" s="1"/>
  <c r="Y46" i="79" s="1"/>
  <c r="C11" i="60"/>
  <c r="X77" i="85" l="1"/>
  <c r="X101" i="85" s="1"/>
  <c r="X121" i="85"/>
  <c r="W142" i="85" s="1"/>
  <c r="W155" i="85" s="1"/>
  <c r="W168" i="85" s="1"/>
  <c r="U121" i="85"/>
  <c r="U77" i="85"/>
  <c r="W121" i="85"/>
  <c r="V142" i="85" s="1"/>
  <c r="V155" i="85" s="1"/>
  <c r="V168" i="85" s="1"/>
  <c r="W77" i="85"/>
  <c r="W101" i="85" s="1"/>
  <c r="C4" i="79"/>
  <c r="C4" i="84"/>
  <c r="V77" i="85"/>
  <c r="V101" i="85" s="1"/>
  <c r="V121" i="85"/>
  <c r="U142" i="85" s="1"/>
  <c r="U155" i="85" s="1"/>
  <c r="U168" i="85" s="1"/>
  <c r="Y77" i="85"/>
  <c r="Y121" i="85"/>
  <c r="S37" i="85"/>
  <c r="T46" i="85"/>
  <c r="R126" i="77"/>
  <c r="AM126" i="77"/>
  <c r="R79" i="77"/>
  <c r="AM79" i="77"/>
  <c r="R32" i="77"/>
  <c r="AM32" i="77"/>
  <c r="T46" i="67"/>
  <c r="S37" i="67"/>
  <c r="U46" i="67"/>
  <c r="Y46" i="67"/>
  <c r="AJ11" i="60"/>
  <c r="AL11" i="60"/>
  <c r="AK11" i="60"/>
  <c r="AI11" i="60"/>
  <c r="AH11" i="60"/>
  <c r="AG11" i="60"/>
  <c r="AF11" i="60"/>
  <c r="AE11" i="60"/>
  <c r="AD11" i="60"/>
  <c r="AC11" i="60"/>
  <c r="AB11" i="60"/>
  <c r="AA11" i="60"/>
  <c r="Z11" i="60"/>
  <c r="Y11" i="60"/>
  <c r="X11" i="60"/>
  <c r="W11" i="60"/>
  <c r="V11" i="60"/>
  <c r="U11" i="60"/>
  <c r="T11" i="60"/>
  <c r="S11" i="60"/>
  <c r="R11" i="60"/>
  <c r="Q11" i="60"/>
  <c r="P11" i="60"/>
  <c r="O11" i="60"/>
  <c r="N11" i="60"/>
  <c r="M11" i="60"/>
  <c r="L11" i="60"/>
  <c r="K11" i="60"/>
  <c r="J11" i="60"/>
  <c r="J4" i="84" s="1"/>
  <c r="I11" i="60"/>
  <c r="H11" i="60"/>
  <c r="G11" i="60"/>
  <c r="F11" i="60"/>
  <c r="E11" i="60"/>
  <c r="D11" i="60"/>
  <c r="D4" i="84" s="1"/>
  <c r="C15" i="79" l="1"/>
  <c r="C15" i="84"/>
  <c r="T121" i="85"/>
  <c r="S133" i="85" s="1"/>
  <c r="T77" i="85"/>
  <c r="AA76" i="85" s="1"/>
  <c r="S58" i="85"/>
  <c r="F26" i="79"/>
  <c r="F26" i="84"/>
  <c r="E15" i="79"/>
  <c r="E15" i="84"/>
  <c r="M26" i="79"/>
  <c r="M26" i="84"/>
  <c r="H4" i="79"/>
  <c r="H4" i="84"/>
  <c r="K4" i="79"/>
  <c r="K4" i="84"/>
  <c r="G15" i="79"/>
  <c r="G15" i="84"/>
  <c r="I26" i="79"/>
  <c r="I26" i="84"/>
  <c r="X142" i="85"/>
  <c r="X155" i="85" s="1"/>
  <c r="X168" i="85" s="1"/>
  <c r="U101" i="85"/>
  <c r="G4" i="79"/>
  <c r="G4" i="84"/>
  <c r="G26" i="79"/>
  <c r="G26" i="84"/>
  <c r="F15" i="79"/>
  <c r="F15" i="84"/>
  <c r="H26" i="79"/>
  <c r="H26" i="84"/>
  <c r="L4" i="79"/>
  <c r="L37" i="79" s="1"/>
  <c r="L4" i="84"/>
  <c r="H15" i="79"/>
  <c r="H15" i="84"/>
  <c r="J26" i="79"/>
  <c r="J26" i="84"/>
  <c r="Y101" i="85"/>
  <c r="T142" i="85"/>
  <c r="T155" i="85" s="1"/>
  <c r="T168" i="85" s="1"/>
  <c r="E26" i="79"/>
  <c r="E26" i="84"/>
  <c r="E4" i="79"/>
  <c r="E4" i="84"/>
  <c r="C26" i="79"/>
  <c r="C37" i="79" s="1"/>
  <c r="C26" i="84"/>
  <c r="D15" i="79"/>
  <c r="D15" i="84"/>
  <c r="J15" i="84" s="1"/>
  <c r="N26" i="79"/>
  <c r="N26" i="84"/>
  <c r="I4" i="79"/>
  <c r="I4" i="84"/>
  <c r="M4" i="79"/>
  <c r="M4" i="84"/>
  <c r="K26" i="79"/>
  <c r="K26" i="84"/>
  <c r="F4" i="79"/>
  <c r="L15" i="79" s="1"/>
  <c r="F4" i="84"/>
  <c r="N4" i="79"/>
  <c r="N4" i="84"/>
  <c r="D26" i="79"/>
  <c r="D26" i="84"/>
  <c r="L26" i="79"/>
  <c r="L26" i="84"/>
  <c r="W32" i="77"/>
  <c r="AW32" i="77" s="1"/>
  <c r="AR32" i="77"/>
  <c r="W126" i="77"/>
  <c r="AW126" i="77" s="1"/>
  <c r="AR126" i="77"/>
  <c r="W79" i="77"/>
  <c r="AW79" i="77" s="1"/>
  <c r="AR79" i="77"/>
  <c r="D4" i="79"/>
  <c r="AV11" i="60"/>
  <c r="P26" i="79"/>
  <c r="J4" i="79"/>
  <c r="AW11" i="60"/>
  <c r="U77" i="67"/>
  <c r="U121" i="67"/>
  <c r="Y121" i="67"/>
  <c r="Y77" i="67"/>
  <c r="S58" i="67"/>
  <c r="T77" i="67"/>
  <c r="T121" i="67"/>
  <c r="S133" i="67" s="1"/>
  <c r="D96" i="65"/>
  <c r="E96" i="65"/>
  <c r="F96" i="65"/>
  <c r="G96" i="65"/>
  <c r="H96" i="65"/>
  <c r="I96" i="65"/>
  <c r="D97" i="65"/>
  <c r="E97" i="65"/>
  <c r="F97" i="65"/>
  <c r="G97" i="65"/>
  <c r="H97" i="65"/>
  <c r="I97" i="65"/>
  <c r="I37" i="79" l="1"/>
  <c r="I15" i="79"/>
  <c r="G37" i="79"/>
  <c r="P4" i="79"/>
  <c r="M37" i="84"/>
  <c r="Z120" i="85"/>
  <c r="O15" i="79"/>
  <c r="M37" i="79"/>
  <c r="N15" i="79"/>
  <c r="E37" i="79"/>
  <c r="N37" i="79"/>
  <c r="D37" i="84"/>
  <c r="P26" i="84"/>
  <c r="C37" i="84"/>
  <c r="J37" i="84"/>
  <c r="M15" i="79"/>
  <c r="I37" i="84"/>
  <c r="AA120" i="85"/>
  <c r="O15" i="84"/>
  <c r="K15" i="79"/>
  <c r="F37" i="79"/>
  <c r="O26" i="79"/>
  <c r="F37" i="84"/>
  <c r="L15" i="84"/>
  <c r="O4" i="84"/>
  <c r="H37" i="84"/>
  <c r="N15" i="84"/>
  <c r="P15" i="84" s="1"/>
  <c r="I15" i="84"/>
  <c r="H37" i="79"/>
  <c r="D37" i="79"/>
  <c r="L37" i="84"/>
  <c r="K37" i="79"/>
  <c r="T101" i="85"/>
  <c r="S113" i="85" s="1"/>
  <c r="S89" i="85"/>
  <c r="G37" i="84"/>
  <c r="M15" i="84"/>
  <c r="K15" i="84"/>
  <c r="E37" i="84"/>
  <c r="P4" i="84"/>
  <c r="N37" i="84"/>
  <c r="O26" i="84"/>
  <c r="Z76" i="85"/>
  <c r="K37" i="84"/>
  <c r="O4" i="79"/>
  <c r="J15" i="79"/>
  <c r="P15" i="79" s="1"/>
  <c r="J37" i="79"/>
  <c r="T101" i="67"/>
  <c r="S113" i="67" s="1"/>
  <c r="S89" i="67"/>
  <c r="T142" i="67"/>
  <c r="T155" i="67" s="1"/>
  <c r="T168" i="67" s="1"/>
  <c r="Z120" i="67"/>
  <c r="AA76" i="67"/>
  <c r="Y101" i="67"/>
  <c r="X142" i="67"/>
  <c r="X155" i="67" s="1"/>
  <c r="X168" i="67" s="1"/>
  <c r="AA120" i="67"/>
  <c r="U101" i="67"/>
  <c r="Z76" i="67"/>
  <c r="F7" i="58"/>
  <c r="F14" i="58"/>
  <c r="F19" i="58"/>
  <c r="F27" i="58"/>
  <c r="P27" i="58" s="1"/>
  <c r="F36" i="58"/>
  <c r="O37" i="84" l="1"/>
  <c r="P37" i="79"/>
  <c r="O37" i="79"/>
  <c r="P37" i="84"/>
  <c r="Z100" i="85"/>
  <c r="AA100" i="85"/>
  <c r="E7" i="58"/>
  <c r="O7" i="58" s="1"/>
  <c r="P7" i="58"/>
  <c r="Z100" i="67"/>
  <c r="AA100" i="67"/>
  <c r="F38" i="58"/>
  <c r="F41" i="58" s="1"/>
  <c r="P41" i="58" s="1"/>
  <c r="F39" i="58"/>
  <c r="F42" i="58" s="1"/>
  <c r="P42" i="58" s="1"/>
  <c r="F32" i="58"/>
  <c r="P32" i="58" s="1"/>
  <c r="F40" i="58" l="1"/>
  <c r="P40" i="58" s="1"/>
  <c r="F37" i="58"/>
  <c r="U16" i="2"/>
  <c r="T16" i="2"/>
  <c r="Q16" i="2"/>
  <c r="R16" i="2" l="1"/>
  <c r="S16" i="2"/>
  <c r="H90" i="74"/>
  <c r="G90" i="74"/>
  <c r="G127" i="74" l="1"/>
  <c r="AV68" i="53"/>
  <c r="CX68" i="53" s="1"/>
  <c r="AU68" i="53"/>
  <c r="CW68" i="53" s="1"/>
  <c r="AT68" i="53"/>
  <c r="CV68" i="53" s="1"/>
  <c r="AS68" i="53"/>
  <c r="CU68" i="53" s="1"/>
  <c r="AR68" i="53"/>
  <c r="CT68" i="53" s="1"/>
  <c r="AQ68" i="53"/>
  <c r="CS68" i="53" s="1"/>
  <c r="AV67" i="53"/>
  <c r="CX67" i="53" s="1"/>
  <c r="AU67" i="53"/>
  <c r="CW67" i="53" s="1"/>
  <c r="AT67" i="53"/>
  <c r="CV67" i="53" s="1"/>
  <c r="AS67" i="53"/>
  <c r="CU67" i="53" s="1"/>
  <c r="AR67" i="53"/>
  <c r="CT67" i="53" s="1"/>
  <c r="AQ67" i="53"/>
  <c r="CS67" i="53" s="1"/>
  <c r="AV65" i="53"/>
  <c r="CX65" i="53" s="1"/>
  <c r="AU65" i="53"/>
  <c r="CW65" i="53" s="1"/>
  <c r="AT65" i="53"/>
  <c r="CV65" i="53" s="1"/>
  <c r="AS65" i="53"/>
  <c r="CU65" i="53" s="1"/>
  <c r="AR65" i="53"/>
  <c r="CT65" i="53" s="1"/>
  <c r="AQ65" i="53"/>
  <c r="CS65" i="53" s="1"/>
  <c r="AV64" i="53"/>
  <c r="CX64" i="53" s="1"/>
  <c r="AU64" i="53"/>
  <c r="CW64" i="53" s="1"/>
  <c r="AT64" i="53"/>
  <c r="CV64" i="53" s="1"/>
  <c r="AS64" i="53"/>
  <c r="CU64" i="53" s="1"/>
  <c r="AR64" i="53"/>
  <c r="CT64" i="53" s="1"/>
  <c r="AQ64" i="53"/>
  <c r="CS64" i="53" s="1"/>
  <c r="AV62" i="53"/>
  <c r="CX62" i="53" s="1"/>
  <c r="AU62" i="53"/>
  <c r="CW62" i="53" s="1"/>
  <c r="AT62" i="53"/>
  <c r="CV62" i="53" s="1"/>
  <c r="AS62" i="53"/>
  <c r="CU62" i="53" s="1"/>
  <c r="AR62" i="53"/>
  <c r="CT62" i="53" s="1"/>
  <c r="AV61" i="53"/>
  <c r="CX61" i="53" s="1"/>
  <c r="AU61" i="53"/>
  <c r="CW61" i="53" s="1"/>
  <c r="AT61" i="53"/>
  <c r="CV61" i="53" s="1"/>
  <c r="AS61" i="53"/>
  <c r="CU61" i="53" s="1"/>
  <c r="AR61" i="53"/>
  <c r="CT61" i="53" s="1"/>
  <c r="AQ61" i="53"/>
  <c r="CS61" i="53" s="1"/>
  <c r="AN62" i="53"/>
  <c r="CQ62" i="53" s="1"/>
  <c r="AM62" i="53"/>
  <c r="CP62" i="53" s="1"/>
  <c r="AL62" i="53"/>
  <c r="CO62" i="53" s="1"/>
  <c r="AK62" i="53"/>
  <c r="CN62" i="53" s="1"/>
  <c r="AJ62" i="53"/>
  <c r="CM62" i="53" s="1"/>
  <c r="AI62" i="53"/>
  <c r="AF62" i="53"/>
  <c r="CJ62" i="53" s="1"/>
  <c r="AE62" i="53"/>
  <c r="CI62" i="53" s="1"/>
  <c r="AD62" i="53"/>
  <c r="CH62" i="53" s="1"/>
  <c r="AC62" i="53"/>
  <c r="CG62" i="53" s="1"/>
  <c r="AB62" i="53"/>
  <c r="CF62" i="53" s="1"/>
  <c r="AA62" i="53"/>
  <c r="X62" i="53"/>
  <c r="CC62" i="53" s="1"/>
  <c r="W62" i="53"/>
  <c r="CB62" i="53" s="1"/>
  <c r="V62" i="53"/>
  <c r="CA62" i="53" s="1"/>
  <c r="U62" i="53"/>
  <c r="BZ62" i="53" s="1"/>
  <c r="T62" i="53"/>
  <c r="BY62" i="53" s="1"/>
  <c r="S62" i="53"/>
  <c r="P62" i="53"/>
  <c r="BV62" i="53" s="1"/>
  <c r="O62" i="53"/>
  <c r="BU62" i="53" s="1"/>
  <c r="N62" i="53"/>
  <c r="BT62" i="53" s="1"/>
  <c r="M62" i="53"/>
  <c r="BS62" i="53" s="1"/>
  <c r="L62" i="53"/>
  <c r="BR62" i="53" s="1"/>
  <c r="K62" i="53"/>
  <c r="H62" i="53"/>
  <c r="BO62" i="53" s="1"/>
  <c r="G62" i="53"/>
  <c r="BN62" i="53" s="1"/>
  <c r="F62" i="53"/>
  <c r="BM62" i="53" s="1"/>
  <c r="E62" i="53"/>
  <c r="BL62" i="53" s="1"/>
  <c r="D62" i="53"/>
  <c r="BK62" i="53" s="1"/>
  <c r="C62" i="53"/>
  <c r="C69" i="60"/>
  <c r="AZ69" i="60" s="1"/>
  <c r="H103" i="77"/>
  <c r="H56" i="77"/>
  <c r="Y21" i="77"/>
  <c r="V21" i="77"/>
  <c r="U21" i="77"/>
  <c r="T21" i="77"/>
  <c r="R21" i="77"/>
  <c r="Q21" i="77"/>
  <c r="P21" i="77"/>
  <c r="O21" i="77"/>
  <c r="L21" i="77"/>
  <c r="H21" i="77"/>
  <c r="E21" i="77"/>
  <c r="AA21" i="77"/>
  <c r="Z21" i="77"/>
  <c r="X21" i="77"/>
  <c r="W21" i="77"/>
  <c r="S21" i="77"/>
  <c r="N21" i="77"/>
  <c r="M21" i="77"/>
  <c r="K21" i="77"/>
  <c r="J21" i="77"/>
  <c r="I21" i="77"/>
  <c r="G21" i="77"/>
  <c r="F21" i="77"/>
  <c r="H9" i="77"/>
  <c r="W146" i="67" l="1"/>
  <c r="AU21" i="77"/>
  <c r="W146" i="85" s="1"/>
  <c r="T144" i="67"/>
  <c r="AH21" i="77"/>
  <c r="T144" i="85" s="1"/>
  <c r="U145" i="67"/>
  <c r="AN21" i="77"/>
  <c r="U145" i="85" s="1"/>
  <c r="X144" i="67"/>
  <c r="AL21" i="77"/>
  <c r="X144" i="85" s="1"/>
  <c r="V147" i="67"/>
  <c r="AY21" i="77"/>
  <c r="V147" i="85" s="1"/>
  <c r="M9" i="77"/>
  <c r="AH9" i="77"/>
  <c r="U146" i="67"/>
  <c r="AS21" i="77"/>
  <c r="U146" i="85" s="1"/>
  <c r="V145" i="67"/>
  <c r="AO21" i="77"/>
  <c r="V145" i="85" s="1"/>
  <c r="M56" i="77"/>
  <c r="AH56" i="77"/>
  <c r="V143" i="67"/>
  <c r="AE21" i="77"/>
  <c r="V143" i="85" s="1"/>
  <c r="W145" i="67"/>
  <c r="AP21" i="77"/>
  <c r="W145" i="85" s="1"/>
  <c r="T147" i="67"/>
  <c r="AW21" i="77"/>
  <c r="T147" i="85" s="1"/>
  <c r="U147" i="67"/>
  <c r="AX21" i="77"/>
  <c r="U147" i="85" s="1"/>
  <c r="X145" i="67"/>
  <c r="AQ21" i="77"/>
  <c r="X145" i="85" s="1"/>
  <c r="X146" i="67"/>
  <c r="AV21" i="77"/>
  <c r="X146" i="85" s="1"/>
  <c r="W143" i="67"/>
  <c r="AF21" i="77"/>
  <c r="W143" i="85" s="1"/>
  <c r="X143" i="67"/>
  <c r="AG21" i="77"/>
  <c r="X143" i="85" s="1"/>
  <c r="U144" i="67"/>
  <c r="AI21" i="77"/>
  <c r="U144" i="85" s="1"/>
  <c r="W147" i="67"/>
  <c r="AZ21" i="77"/>
  <c r="W147" i="85" s="1"/>
  <c r="T146" i="67"/>
  <c r="AR21" i="77"/>
  <c r="T146" i="85" s="1"/>
  <c r="W144" i="67"/>
  <c r="AK21" i="77"/>
  <c r="W144" i="85" s="1"/>
  <c r="T145" i="67"/>
  <c r="AM21" i="77"/>
  <c r="T145" i="85" s="1"/>
  <c r="M103" i="77"/>
  <c r="AH103" i="77"/>
  <c r="V144" i="67"/>
  <c r="AJ21" i="77"/>
  <c r="V144" i="85" s="1"/>
  <c r="X147" i="67"/>
  <c r="BA21" i="77"/>
  <c r="X147" i="85" s="1"/>
  <c r="V146" i="67"/>
  <c r="AT21" i="77"/>
  <c r="V146" i="85" s="1"/>
  <c r="Y62" i="73"/>
  <c r="BS62" i="73" s="1"/>
  <c r="BX62" i="53"/>
  <c r="N62" i="73"/>
  <c r="BM62" i="73" s="1"/>
  <c r="BQ62" i="53"/>
  <c r="C62" i="73"/>
  <c r="BG62" i="73" s="1"/>
  <c r="BJ62" i="53"/>
  <c r="AU62" i="73"/>
  <c r="CE62" i="73" s="1"/>
  <c r="CL62" i="53"/>
  <c r="AJ62" i="73"/>
  <c r="BY62" i="73" s="1"/>
  <c r="CE62" i="53"/>
  <c r="AG62" i="53"/>
  <c r="CK62" i="53" s="1"/>
  <c r="AH62" i="53"/>
  <c r="Z62" i="53"/>
  <c r="Y62" i="53"/>
  <c r="CD62" i="53" s="1"/>
  <c r="R62" i="53"/>
  <c r="Q62" i="53"/>
  <c r="BW62" i="53" s="1"/>
  <c r="J62" i="53"/>
  <c r="I62" i="53"/>
  <c r="BP62" i="53" s="1"/>
  <c r="AP62" i="53"/>
  <c r="AO62" i="53"/>
  <c r="CR62" i="53" s="1"/>
  <c r="AT63" i="53"/>
  <c r="CV63" i="53" s="1"/>
  <c r="AQ63" i="53"/>
  <c r="CS63" i="53" s="1"/>
  <c r="AR63" i="53"/>
  <c r="CT63" i="53" s="1"/>
  <c r="AV63" i="53"/>
  <c r="CX63" i="53" s="1"/>
  <c r="AS63" i="53"/>
  <c r="CU63" i="53" s="1"/>
  <c r="AU63" i="53"/>
  <c r="CW63" i="53" s="1"/>
  <c r="G62" i="73"/>
  <c r="F62" i="73"/>
  <c r="BI62" i="73" s="1"/>
  <c r="V62" i="73"/>
  <c r="U62" i="73"/>
  <c r="BQ62" i="73" s="1"/>
  <c r="AY62" i="73"/>
  <c r="AX62" i="73"/>
  <c r="CG62" i="73" s="1"/>
  <c r="H62" i="73"/>
  <c r="BJ62" i="73" s="1"/>
  <c r="I62" i="73"/>
  <c r="X62" i="73"/>
  <c r="W62" i="73"/>
  <c r="BR62" i="73" s="1"/>
  <c r="AL62" i="73"/>
  <c r="AK62" i="73"/>
  <c r="BZ62" i="73" s="1"/>
  <c r="BA62" i="73"/>
  <c r="AZ62" i="73"/>
  <c r="CH62" i="73" s="1"/>
  <c r="K62" i="73"/>
  <c r="J62" i="73"/>
  <c r="BK62" i="73" s="1"/>
  <c r="AN62" i="73"/>
  <c r="AM62" i="73"/>
  <c r="CA62" i="73" s="1"/>
  <c r="BB62" i="73"/>
  <c r="CI62" i="73" s="1"/>
  <c r="BC62" i="73"/>
  <c r="M62" i="73"/>
  <c r="L62" i="73"/>
  <c r="BL62" i="73" s="1"/>
  <c r="AA62" i="73"/>
  <c r="Z62" i="73"/>
  <c r="BT62" i="73" s="1"/>
  <c r="AP62" i="73"/>
  <c r="AO62" i="73"/>
  <c r="CB62" i="73" s="1"/>
  <c r="BE62" i="73"/>
  <c r="BD62" i="73"/>
  <c r="CJ62" i="73" s="1"/>
  <c r="AC62" i="73"/>
  <c r="AB62" i="73"/>
  <c r="BU62" i="73" s="1"/>
  <c r="AQ62" i="73"/>
  <c r="CC62" i="73" s="1"/>
  <c r="AR62" i="73"/>
  <c r="P62" i="73"/>
  <c r="O62" i="73"/>
  <c r="BN62" i="73" s="1"/>
  <c r="AE62" i="73"/>
  <c r="AD62" i="73"/>
  <c r="BV62" i="73" s="1"/>
  <c r="AT62" i="73"/>
  <c r="AS62" i="73"/>
  <c r="CD62" i="73" s="1"/>
  <c r="R62" i="73"/>
  <c r="Q62" i="73"/>
  <c r="BO62" i="73" s="1"/>
  <c r="AF62" i="73"/>
  <c r="BW62" i="73" s="1"/>
  <c r="AG62" i="73"/>
  <c r="E62" i="73"/>
  <c r="D62" i="73"/>
  <c r="BH62" i="73" s="1"/>
  <c r="T62" i="73"/>
  <c r="S62" i="73"/>
  <c r="BP62" i="73" s="1"/>
  <c r="AI62" i="73"/>
  <c r="AH62" i="73"/>
  <c r="BX62" i="73" s="1"/>
  <c r="AW62" i="73"/>
  <c r="AV62" i="73"/>
  <c r="CF62" i="73" s="1"/>
  <c r="D106" i="73"/>
  <c r="BH106" i="73" s="1"/>
  <c r="D21" i="77"/>
  <c r="AD21" i="77" s="1"/>
  <c r="U143" i="85" s="1"/>
  <c r="W153" i="67" l="1"/>
  <c r="V153" i="67"/>
  <c r="T153" i="67"/>
  <c r="W153" i="85"/>
  <c r="X153" i="67"/>
  <c r="V153" i="85"/>
  <c r="T153" i="85"/>
  <c r="U153" i="85"/>
  <c r="X153" i="85"/>
  <c r="R103" i="77"/>
  <c r="AM103" i="77"/>
  <c r="R9" i="77"/>
  <c r="AM9" i="77"/>
  <c r="R56" i="77"/>
  <c r="AM56" i="77"/>
  <c r="U143" i="67"/>
  <c r="U153" i="67" s="1"/>
  <c r="V16" i="2"/>
  <c r="S33" i="2"/>
  <c r="R33" i="2"/>
  <c r="R32" i="2"/>
  <c r="T32" i="2"/>
  <c r="R17" i="2"/>
  <c r="T17" i="2"/>
  <c r="R12" i="2"/>
  <c r="T12" i="2"/>
  <c r="E12" i="1"/>
  <c r="C6" i="83" s="1"/>
  <c r="E11" i="1"/>
  <c r="C5" i="83" s="1"/>
  <c r="E10" i="1"/>
  <c r="C4" i="78" l="1"/>
  <c r="C4" i="83"/>
  <c r="W56" i="77"/>
  <c r="AW56" i="77" s="1"/>
  <c r="AR56" i="77"/>
  <c r="W9" i="77"/>
  <c r="AW9" i="77" s="1"/>
  <c r="AR9" i="77"/>
  <c r="W103" i="77"/>
  <c r="AW103" i="77" s="1"/>
  <c r="AR103" i="77"/>
  <c r="E19" i="2"/>
  <c r="C6" i="78"/>
  <c r="E18" i="2"/>
  <c r="C5" i="78"/>
  <c r="E13" i="2"/>
  <c r="E9" i="2"/>
  <c r="S12" i="2"/>
  <c r="V17" i="2"/>
  <c r="U17" i="2"/>
  <c r="Q17" i="2"/>
  <c r="S32" i="2"/>
  <c r="Q33" i="2"/>
  <c r="V33" i="2"/>
  <c r="U33" i="2"/>
  <c r="V12" i="2"/>
  <c r="U12" i="2"/>
  <c r="Q12" i="2"/>
  <c r="S17" i="2"/>
  <c r="V32" i="2"/>
  <c r="U32" i="2"/>
  <c r="Q32" i="2"/>
  <c r="T33" i="2"/>
  <c r="L19" i="2"/>
  <c r="K19" i="2"/>
  <c r="L18" i="2"/>
  <c r="K18" i="2"/>
  <c r="L9" i="2"/>
  <c r="K9" i="2"/>
  <c r="AB13" i="78" l="1"/>
  <c r="AB13" i="83"/>
  <c r="AB8" i="78"/>
  <c r="AB8" i="83"/>
  <c r="AB4" i="78"/>
  <c r="AB4" i="83"/>
  <c r="AB14" i="78"/>
  <c r="AB14" i="83"/>
  <c r="I7" i="76"/>
  <c r="H7" i="76"/>
  <c r="G7" i="76"/>
  <c r="F7" i="76"/>
  <c r="E7" i="76"/>
  <c r="D7" i="76"/>
  <c r="E95" i="65" l="1"/>
  <c r="F95" i="65"/>
  <c r="G95" i="65"/>
  <c r="H95" i="65"/>
  <c r="I95" i="65"/>
  <c r="D95" i="65"/>
  <c r="E94" i="65"/>
  <c r="F94" i="65"/>
  <c r="G94" i="65"/>
  <c r="H94" i="65"/>
  <c r="I94" i="65"/>
  <c r="D94" i="65"/>
  <c r="B47" i="76"/>
  <c r="B28" i="76"/>
  <c r="B9" i="76"/>
  <c r="L11" i="2" l="1"/>
  <c r="K11" i="2"/>
  <c r="L10" i="2"/>
  <c r="K10" i="2"/>
  <c r="I105" i="76"/>
  <c r="I13" i="65" s="1"/>
  <c r="H105" i="76"/>
  <c r="H13" i="65" s="1"/>
  <c r="G105" i="76"/>
  <c r="G13" i="65" s="1"/>
  <c r="F105" i="76"/>
  <c r="F13" i="65" s="1"/>
  <c r="E105" i="76"/>
  <c r="E13" i="65" s="1"/>
  <c r="D105" i="76"/>
  <c r="D13" i="65" s="1"/>
  <c r="I103" i="76"/>
  <c r="I12" i="65" s="1"/>
  <c r="H103" i="76"/>
  <c r="H12" i="65" s="1"/>
  <c r="G103" i="76"/>
  <c r="G12" i="65" s="1"/>
  <c r="F103" i="76"/>
  <c r="F12" i="65" s="1"/>
  <c r="E103" i="76"/>
  <c r="E12" i="65" s="1"/>
  <c r="D103" i="76"/>
  <c r="D12" i="65" s="1"/>
  <c r="I101" i="76"/>
  <c r="Q101" i="76" s="1"/>
  <c r="H101" i="76"/>
  <c r="P101" i="76" s="1"/>
  <c r="G101" i="76"/>
  <c r="O101" i="76" s="1"/>
  <c r="F101" i="76"/>
  <c r="N101" i="76" s="1"/>
  <c r="E101" i="76"/>
  <c r="M101" i="76" s="1"/>
  <c r="D101" i="76"/>
  <c r="L101" i="76" s="1"/>
  <c r="I98" i="76"/>
  <c r="Q98" i="76" s="1"/>
  <c r="H98" i="76"/>
  <c r="P98" i="76" s="1"/>
  <c r="G98" i="76"/>
  <c r="O98" i="76" s="1"/>
  <c r="F98" i="76"/>
  <c r="N98" i="76" s="1"/>
  <c r="E98" i="76"/>
  <c r="M98" i="76" s="1"/>
  <c r="D98" i="76"/>
  <c r="L98" i="76" s="1"/>
  <c r="I94" i="76"/>
  <c r="Q94" i="76" s="1"/>
  <c r="H94" i="76"/>
  <c r="P94" i="76" s="1"/>
  <c r="G94" i="76"/>
  <c r="O94" i="76" s="1"/>
  <c r="F94" i="76"/>
  <c r="N94" i="76" s="1"/>
  <c r="E94" i="76"/>
  <c r="M94" i="76" s="1"/>
  <c r="D94" i="76"/>
  <c r="L94" i="76" s="1"/>
  <c r="I91" i="76"/>
  <c r="Q91" i="76" s="1"/>
  <c r="H91" i="76"/>
  <c r="P91" i="76" s="1"/>
  <c r="G91" i="76"/>
  <c r="O91" i="76" s="1"/>
  <c r="F91" i="76"/>
  <c r="N91" i="76" s="1"/>
  <c r="E91" i="76"/>
  <c r="M91" i="76" s="1"/>
  <c r="D91" i="76"/>
  <c r="L91" i="76" s="1"/>
  <c r="I87" i="76"/>
  <c r="Q87" i="76" s="1"/>
  <c r="H87" i="76"/>
  <c r="P87" i="76" s="1"/>
  <c r="G87" i="76"/>
  <c r="O87" i="76" s="1"/>
  <c r="F87" i="76"/>
  <c r="N87" i="76" s="1"/>
  <c r="E87" i="76"/>
  <c r="M87" i="76" s="1"/>
  <c r="D87" i="76"/>
  <c r="L87" i="76" s="1"/>
  <c r="I84" i="76"/>
  <c r="Q84" i="76" s="1"/>
  <c r="H84" i="76"/>
  <c r="P84" i="76" s="1"/>
  <c r="G84" i="76"/>
  <c r="O84" i="76" s="1"/>
  <c r="F84" i="76"/>
  <c r="N84" i="76" s="1"/>
  <c r="E84" i="76"/>
  <c r="M84" i="76" s="1"/>
  <c r="D84" i="76"/>
  <c r="L84" i="76" s="1"/>
  <c r="I80" i="76"/>
  <c r="Q80" i="76" s="1"/>
  <c r="H80" i="76"/>
  <c r="P80" i="76" s="1"/>
  <c r="G80" i="76"/>
  <c r="O80" i="76" s="1"/>
  <c r="F80" i="76"/>
  <c r="N80" i="76" s="1"/>
  <c r="E80" i="76"/>
  <c r="M80" i="76" s="1"/>
  <c r="D80" i="76"/>
  <c r="L80" i="76" s="1"/>
  <c r="I77" i="76"/>
  <c r="Q77" i="76" s="1"/>
  <c r="H77" i="76"/>
  <c r="P77" i="76" s="1"/>
  <c r="G77" i="76"/>
  <c r="O77" i="76" s="1"/>
  <c r="F77" i="76"/>
  <c r="N77" i="76" s="1"/>
  <c r="E77" i="76"/>
  <c r="M77" i="76" s="1"/>
  <c r="D77" i="76"/>
  <c r="L77" i="76" s="1"/>
  <c r="I73" i="76"/>
  <c r="Q73" i="76" s="1"/>
  <c r="H73" i="76"/>
  <c r="P73" i="76" s="1"/>
  <c r="G73" i="76"/>
  <c r="O73" i="76" s="1"/>
  <c r="F73" i="76"/>
  <c r="N73" i="76" s="1"/>
  <c r="E73" i="76"/>
  <c r="M73" i="76" s="1"/>
  <c r="D73" i="76"/>
  <c r="L73" i="76" s="1"/>
  <c r="I70" i="76"/>
  <c r="Q70" i="76" s="1"/>
  <c r="H70" i="76"/>
  <c r="G70" i="76"/>
  <c r="O70" i="76" s="1"/>
  <c r="F70" i="76"/>
  <c r="N70" i="76" s="1"/>
  <c r="E70" i="76"/>
  <c r="M70" i="76" s="1"/>
  <c r="D70" i="76"/>
  <c r="L70" i="76" s="1"/>
  <c r="I48" i="76"/>
  <c r="H48" i="76"/>
  <c r="G48" i="76"/>
  <c r="G54" i="76" s="1"/>
  <c r="F48" i="76"/>
  <c r="E48" i="76"/>
  <c r="D48" i="76"/>
  <c r="I29" i="76"/>
  <c r="H29" i="76"/>
  <c r="G29" i="76"/>
  <c r="G35" i="76" s="1"/>
  <c r="F29" i="76"/>
  <c r="E29" i="76"/>
  <c r="D29" i="76"/>
  <c r="I10" i="76"/>
  <c r="H10" i="76"/>
  <c r="G10" i="76"/>
  <c r="G16" i="76" s="1"/>
  <c r="F10" i="76"/>
  <c r="F16" i="76" s="1"/>
  <c r="E10" i="76"/>
  <c r="D10" i="76"/>
  <c r="H104" i="76" l="1"/>
  <c r="P104" i="76" s="1"/>
  <c r="P70" i="76"/>
  <c r="D106" i="76"/>
  <c r="L106" i="76" s="1"/>
  <c r="G104" i="76"/>
  <c r="O104" i="76" s="1"/>
  <c r="I106" i="76"/>
  <c r="Q106" i="76" s="1"/>
  <c r="I104" i="76"/>
  <c r="Q104" i="76" s="1"/>
  <c r="F104" i="76"/>
  <c r="H106" i="76"/>
  <c r="F35" i="76"/>
  <c r="F54" i="76"/>
  <c r="D56" i="76"/>
  <c r="D62" i="76"/>
  <c r="D60" i="76"/>
  <c r="D58" i="76"/>
  <c r="D64" i="76"/>
  <c r="H62" i="76"/>
  <c r="H60" i="76"/>
  <c r="H56" i="76"/>
  <c r="H64" i="76"/>
  <c r="H58" i="76"/>
  <c r="E62" i="76"/>
  <c r="E60" i="76"/>
  <c r="E56" i="76"/>
  <c r="E64" i="76"/>
  <c r="E58" i="76"/>
  <c r="I62" i="76"/>
  <c r="I60" i="76"/>
  <c r="I56" i="76"/>
  <c r="I58" i="76"/>
  <c r="I64" i="76"/>
  <c r="D16" i="76"/>
  <c r="H16" i="76"/>
  <c r="D35" i="76"/>
  <c r="H35" i="76"/>
  <c r="F60" i="76"/>
  <c r="F56" i="76"/>
  <c r="F62" i="76"/>
  <c r="F58" i="76"/>
  <c r="F64" i="76"/>
  <c r="D54" i="76"/>
  <c r="H54" i="76"/>
  <c r="E16" i="76"/>
  <c r="I16" i="76"/>
  <c r="E35" i="76"/>
  <c r="I35" i="76"/>
  <c r="G60" i="76"/>
  <c r="G56" i="76"/>
  <c r="G62" i="76"/>
  <c r="G58" i="76"/>
  <c r="G64" i="76"/>
  <c r="E54" i="76"/>
  <c r="I54" i="76"/>
  <c r="G37" i="76"/>
  <c r="G41" i="76"/>
  <c r="G43" i="76"/>
  <c r="G45" i="76"/>
  <c r="G39" i="76"/>
  <c r="H37" i="76"/>
  <c r="H41" i="76"/>
  <c r="H43" i="76"/>
  <c r="H39" i="76"/>
  <c r="H45" i="76"/>
  <c r="I37" i="76"/>
  <c r="I41" i="76"/>
  <c r="I43" i="76"/>
  <c r="I39" i="76"/>
  <c r="I45" i="76"/>
  <c r="D18" i="76"/>
  <c r="D20" i="76"/>
  <c r="D26" i="76"/>
  <c r="E18" i="76"/>
  <c r="E20" i="76"/>
  <c r="F18" i="76"/>
  <c r="F20" i="76"/>
  <c r="G18" i="76"/>
  <c r="G20" i="76"/>
  <c r="H18" i="76"/>
  <c r="H20" i="76"/>
  <c r="D43" i="76"/>
  <c r="D37" i="76"/>
  <c r="D41" i="76"/>
  <c r="D39" i="76"/>
  <c r="D45" i="76"/>
  <c r="E43" i="76"/>
  <c r="E37" i="76"/>
  <c r="E41" i="76"/>
  <c r="E45" i="76"/>
  <c r="E39" i="76"/>
  <c r="E104" i="76"/>
  <c r="M104" i="76" s="1"/>
  <c r="I18" i="76"/>
  <c r="I20" i="76"/>
  <c r="F37" i="76"/>
  <c r="F41" i="76"/>
  <c r="F43" i="76"/>
  <c r="F39" i="76"/>
  <c r="F45" i="76"/>
  <c r="D24" i="76"/>
  <c r="D22" i="76"/>
  <c r="E22" i="76"/>
  <c r="E24" i="76"/>
  <c r="F22" i="76"/>
  <c r="F24" i="76"/>
  <c r="G24" i="76"/>
  <c r="G22" i="76"/>
  <c r="E106" i="76"/>
  <c r="M106" i="76" s="1"/>
  <c r="D104" i="76"/>
  <c r="F106" i="76"/>
  <c r="N106" i="76" s="1"/>
  <c r="H22" i="76"/>
  <c r="H24" i="76"/>
  <c r="I24" i="76"/>
  <c r="I22" i="76"/>
  <c r="G106" i="76"/>
  <c r="O106" i="76" s="1"/>
  <c r="I65" i="76"/>
  <c r="C34" i="5"/>
  <c r="C35" i="5"/>
  <c r="D46" i="76"/>
  <c r="C33" i="5"/>
  <c r="D27" i="76"/>
  <c r="E46" i="76"/>
  <c r="I46" i="76"/>
  <c r="H112" i="76" l="1"/>
  <c r="P106" i="76"/>
  <c r="F112" i="76"/>
  <c r="N104" i="76"/>
  <c r="D112" i="76"/>
  <c r="L104" i="76"/>
  <c r="E112" i="76"/>
  <c r="I112" i="76"/>
  <c r="G112" i="76"/>
  <c r="E65" i="76"/>
  <c r="D65" i="76"/>
  <c r="E25" i="76"/>
  <c r="E26" i="76" s="1"/>
  <c r="I25" i="76"/>
  <c r="I26" i="76" s="1"/>
  <c r="G25" i="76"/>
  <c r="G26" i="76" s="1"/>
  <c r="H25" i="76"/>
  <c r="H26" i="76" s="1"/>
  <c r="F25" i="76"/>
  <c r="F26" i="76" s="1"/>
  <c r="F46" i="76"/>
  <c r="G46" i="76"/>
  <c r="H65" i="76"/>
  <c r="F65" i="76"/>
  <c r="G65" i="76"/>
  <c r="H46" i="76"/>
  <c r="F27" i="76" l="1"/>
  <c r="H27" i="76"/>
  <c r="E27" i="76"/>
  <c r="G27" i="76"/>
  <c r="I27" i="76"/>
  <c r="F43" i="74"/>
  <c r="G76" i="74"/>
  <c r="I43" i="74"/>
  <c r="J76" i="74"/>
  <c r="L9" i="74"/>
  <c r="D17" i="74"/>
  <c r="E17" i="74"/>
  <c r="F17" i="74"/>
  <c r="F14" i="1"/>
  <c r="F22" i="2" s="1"/>
  <c r="L18" i="74"/>
  <c r="L19" i="74"/>
  <c r="L20" i="74"/>
  <c r="L22" i="74"/>
  <c r="G22" i="74" s="1"/>
  <c r="G26" i="74" s="1"/>
  <c r="G36" i="74"/>
  <c r="L27" i="74"/>
  <c r="G27" i="74" s="1"/>
  <c r="G30" i="74" s="1"/>
  <c r="H36" i="74"/>
  <c r="K36" i="74"/>
  <c r="L31" i="74"/>
  <c r="G31" i="74" s="1"/>
  <c r="G34" i="74" s="1"/>
  <c r="I36" i="74"/>
  <c r="J36" i="74"/>
  <c r="D39" i="74"/>
  <c r="E39" i="74"/>
  <c r="D20" i="65" s="1"/>
  <c r="C35" i="83" s="1"/>
  <c r="F39" i="74"/>
  <c r="D43" i="74"/>
  <c r="E43" i="74"/>
  <c r="L45" i="74"/>
  <c r="J11" i="1"/>
  <c r="H5" i="83" s="1"/>
  <c r="G11" i="1"/>
  <c r="H11" i="1"/>
  <c r="F5" i="83" s="1"/>
  <c r="D53" i="74"/>
  <c r="E53" i="74"/>
  <c r="F53" i="74"/>
  <c r="G57" i="74"/>
  <c r="L54" i="74"/>
  <c r="L55" i="74"/>
  <c r="L56" i="74"/>
  <c r="L58" i="74"/>
  <c r="G58" i="74" s="1"/>
  <c r="G62" i="74" s="1"/>
  <c r="L63" i="74"/>
  <c r="G63" i="74" s="1"/>
  <c r="H117" i="74"/>
  <c r="I117" i="74"/>
  <c r="J117" i="74"/>
  <c r="K117" i="74"/>
  <c r="L67" i="74"/>
  <c r="G67" i="74" s="1"/>
  <c r="G70" i="74" s="1"/>
  <c r="G72" i="74"/>
  <c r="L71" i="74"/>
  <c r="H72" i="74"/>
  <c r="I72" i="74"/>
  <c r="J72" i="74"/>
  <c r="K72" i="74"/>
  <c r="D76" i="74"/>
  <c r="E76" i="74"/>
  <c r="F76" i="74"/>
  <c r="L78" i="74"/>
  <c r="D86" i="74"/>
  <c r="E86" i="74"/>
  <c r="F86" i="74"/>
  <c r="F16" i="1"/>
  <c r="L87" i="74"/>
  <c r="L89" i="74"/>
  <c r="L91" i="74"/>
  <c r="G91" i="74" s="1"/>
  <c r="G95" i="74" s="1"/>
  <c r="L96" i="74"/>
  <c r="G96" i="74" s="1"/>
  <c r="H118" i="74"/>
  <c r="I118" i="74"/>
  <c r="J118" i="74"/>
  <c r="K118" i="74"/>
  <c r="L100" i="74"/>
  <c r="G100" i="74" s="1"/>
  <c r="G103" i="74" s="1"/>
  <c r="G105" i="74"/>
  <c r="H105" i="74"/>
  <c r="I105" i="74"/>
  <c r="J105" i="74"/>
  <c r="K105" i="74"/>
  <c r="D107" i="74"/>
  <c r="E107" i="74"/>
  <c r="F107" i="74"/>
  <c r="AC17" i="78" l="1"/>
  <c r="AC17" i="83"/>
  <c r="E5" i="78"/>
  <c r="E5" i="83"/>
  <c r="G99" i="74"/>
  <c r="G118" i="74" s="1"/>
  <c r="G66" i="74"/>
  <c r="G117" i="74" s="1"/>
  <c r="L83" i="74"/>
  <c r="J18" i="2"/>
  <c r="AG13" i="83" s="1"/>
  <c r="H5" i="78"/>
  <c r="H18" i="2"/>
  <c r="AE13" i="83" s="1"/>
  <c r="F5" i="78"/>
  <c r="E56" i="65"/>
  <c r="D58" i="83" s="1"/>
  <c r="G121" i="74"/>
  <c r="F56" i="65"/>
  <c r="H121" i="74"/>
  <c r="H56" i="65"/>
  <c r="J121" i="74"/>
  <c r="G56" i="65"/>
  <c r="I121" i="74"/>
  <c r="I56" i="65"/>
  <c r="K121" i="74"/>
  <c r="H51" i="65"/>
  <c r="J120" i="74"/>
  <c r="F51" i="65"/>
  <c r="H120" i="74"/>
  <c r="G51" i="65"/>
  <c r="I120" i="74"/>
  <c r="I51" i="65"/>
  <c r="K120" i="74"/>
  <c r="F15" i="1"/>
  <c r="G126" i="74"/>
  <c r="F11" i="1"/>
  <c r="G18" i="2"/>
  <c r="AD13" i="83" s="1"/>
  <c r="E24" i="65"/>
  <c r="G119" i="74"/>
  <c r="G24" i="65"/>
  <c r="I119" i="74"/>
  <c r="I24" i="65"/>
  <c r="K119" i="74"/>
  <c r="F24" i="65"/>
  <c r="H119" i="74"/>
  <c r="H24" i="65"/>
  <c r="J119" i="74"/>
  <c r="E23" i="65"/>
  <c r="G116" i="74"/>
  <c r="H23" i="65"/>
  <c r="J116" i="74"/>
  <c r="G23" i="65"/>
  <c r="I116" i="74"/>
  <c r="E128" i="74"/>
  <c r="E129" i="74"/>
  <c r="D128" i="74"/>
  <c r="D129" i="74"/>
  <c r="F128" i="74"/>
  <c r="F129" i="74"/>
  <c r="E14" i="1"/>
  <c r="E22" i="2" s="1"/>
  <c r="AB17" i="83" s="1"/>
  <c r="F126" i="74"/>
  <c r="F127" i="74"/>
  <c r="D127" i="74"/>
  <c r="D126" i="74"/>
  <c r="E126" i="74"/>
  <c r="E127" i="74"/>
  <c r="F12" i="1"/>
  <c r="F10" i="1"/>
  <c r="G125" i="74"/>
  <c r="G124" i="74"/>
  <c r="J43" i="74"/>
  <c r="H22" i="74"/>
  <c r="G16" i="1"/>
  <c r="I76" i="74"/>
  <c r="K76" i="74"/>
  <c r="H58" i="74"/>
  <c r="I11" i="1"/>
  <c r="G43" i="74"/>
  <c r="L104" i="74"/>
  <c r="E16" i="1"/>
  <c r="K43" i="74"/>
  <c r="L14" i="74"/>
  <c r="E15" i="1"/>
  <c r="L35" i="74"/>
  <c r="G112" i="74"/>
  <c r="H91" i="74"/>
  <c r="G104" i="74"/>
  <c r="G107" i="74" s="1"/>
  <c r="G114" i="74"/>
  <c r="H43" i="74"/>
  <c r="H76" i="74"/>
  <c r="G71" i="74"/>
  <c r="G74" i="74" s="1"/>
  <c r="G110" i="74"/>
  <c r="G35" i="74"/>
  <c r="G39" i="74" s="1"/>
  <c r="E20" i="65" s="1"/>
  <c r="L50" i="74"/>
  <c r="D5" i="78" l="1"/>
  <c r="D5" i="83"/>
  <c r="AD9" i="84"/>
  <c r="E53" i="83"/>
  <c r="G58" i="78"/>
  <c r="G58" i="83"/>
  <c r="D6" i="78"/>
  <c r="D6" i="83"/>
  <c r="G53" i="83"/>
  <c r="AF9" i="84"/>
  <c r="E58" i="78"/>
  <c r="E58" i="83"/>
  <c r="J91" i="85"/>
  <c r="D4" i="83"/>
  <c r="H53" i="83"/>
  <c r="AG9" i="84"/>
  <c r="H58" i="78"/>
  <c r="H58" i="83"/>
  <c r="F53" i="83"/>
  <c r="AE9" i="84"/>
  <c r="F58" i="78"/>
  <c r="F58" i="83"/>
  <c r="D35" i="83"/>
  <c r="AC4" i="84"/>
  <c r="G5" i="78"/>
  <c r="G5" i="83"/>
  <c r="H92" i="74"/>
  <c r="H95" i="74"/>
  <c r="H59" i="74"/>
  <c r="H62" i="74"/>
  <c r="G15" i="1"/>
  <c r="H57" i="74"/>
  <c r="H23" i="74"/>
  <c r="H26" i="74"/>
  <c r="AE9" i="79"/>
  <c r="F53" i="78"/>
  <c r="AF9" i="79"/>
  <c r="G53" i="78"/>
  <c r="AE13" i="78"/>
  <c r="S18" i="2"/>
  <c r="AD13" i="78"/>
  <c r="G19" i="2"/>
  <c r="AD14" i="83" s="1"/>
  <c r="E6" i="78"/>
  <c r="D4" i="78"/>
  <c r="J91" i="67"/>
  <c r="Q22" i="2"/>
  <c r="AB17" i="78"/>
  <c r="AG9" i="79"/>
  <c r="H53" i="78"/>
  <c r="AD9" i="79"/>
  <c r="E53" i="78"/>
  <c r="AG13" i="78"/>
  <c r="V18" i="2"/>
  <c r="E57" i="65"/>
  <c r="D58" i="78"/>
  <c r="E55" i="65"/>
  <c r="G115" i="74"/>
  <c r="E51" i="65"/>
  <c r="G120" i="74"/>
  <c r="G111" i="74"/>
  <c r="I18" i="2"/>
  <c r="AF13" i="83" s="1"/>
  <c r="F18" i="2"/>
  <c r="I23" i="65"/>
  <c r="K116" i="74"/>
  <c r="F23" i="65"/>
  <c r="H116" i="74"/>
  <c r="E22" i="65"/>
  <c r="G113" i="74"/>
  <c r="G14" i="1"/>
  <c r="H126" i="74"/>
  <c r="H127" i="74"/>
  <c r="H10" i="1"/>
  <c r="I124" i="74"/>
  <c r="G10" i="1"/>
  <c r="H124" i="74"/>
  <c r="H125" i="74"/>
  <c r="F19" i="2"/>
  <c r="AC14" i="83" s="1"/>
  <c r="F13" i="2"/>
  <c r="F9" i="2"/>
  <c r="D57" i="65"/>
  <c r="E50" i="65"/>
  <c r="H71" i="74"/>
  <c r="H74" i="74" s="1"/>
  <c r="I58" i="74"/>
  <c r="I62" i="74" s="1"/>
  <c r="H12" i="1"/>
  <c r="I91" i="74"/>
  <c r="H104" i="74"/>
  <c r="H107" i="74" s="1"/>
  <c r="H35" i="74"/>
  <c r="H39" i="74" s="1"/>
  <c r="F20" i="65" s="1"/>
  <c r="I22" i="74"/>
  <c r="I90" i="74"/>
  <c r="E18" i="39"/>
  <c r="C81" i="39"/>
  <c r="L15" i="83" s="1"/>
  <c r="AD4" i="84" l="1"/>
  <c r="E35" i="83"/>
  <c r="AC4" i="78"/>
  <c r="AC4" i="83"/>
  <c r="AC8" i="78"/>
  <c r="AC8" i="83"/>
  <c r="R18" i="2"/>
  <c r="AC13" i="83"/>
  <c r="J93" i="85"/>
  <c r="D57" i="83"/>
  <c r="AC13" i="84"/>
  <c r="AC12" i="84" s="1"/>
  <c r="L91" i="85"/>
  <c r="L93" i="85" s="1"/>
  <c r="F4" i="83"/>
  <c r="N5" i="78"/>
  <c r="N5" i="83"/>
  <c r="K91" i="85"/>
  <c r="K93" i="85" s="1"/>
  <c r="E4" i="83"/>
  <c r="AC9" i="84"/>
  <c r="D53" i="83"/>
  <c r="F6" i="78"/>
  <c r="F6" i="83"/>
  <c r="D52" i="83"/>
  <c r="AC8" i="84"/>
  <c r="I92" i="74"/>
  <c r="I95" i="74"/>
  <c r="H15" i="1"/>
  <c r="I57" i="74"/>
  <c r="I15" i="1"/>
  <c r="J57" i="74"/>
  <c r="I23" i="74"/>
  <c r="I26" i="74"/>
  <c r="L15" i="78"/>
  <c r="C84" i="39"/>
  <c r="F4" i="78"/>
  <c r="L91" i="67"/>
  <c r="L93" i="67" s="1"/>
  <c r="AC13" i="79"/>
  <c r="AC12" i="79" s="1"/>
  <c r="D57" i="78"/>
  <c r="J93" i="67"/>
  <c r="E4" i="78"/>
  <c r="K91" i="67"/>
  <c r="K93" i="67" s="1"/>
  <c r="AC14" i="78"/>
  <c r="Q19" i="2"/>
  <c r="AC13" i="78"/>
  <c r="Q18" i="2"/>
  <c r="AC9" i="79"/>
  <c r="D53" i="78"/>
  <c r="I125" i="74"/>
  <c r="AF13" i="78"/>
  <c r="T18" i="2"/>
  <c r="U18" i="2"/>
  <c r="AD14" i="78"/>
  <c r="R19" i="2"/>
  <c r="AC8" i="79"/>
  <c r="D52" i="78"/>
  <c r="H19" i="2"/>
  <c r="AE14" i="83" s="1"/>
  <c r="I71" i="74"/>
  <c r="I74" i="74" s="1"/>
  <c r="I59" i="74"/>
  <c r="G22" i="2"/>
  <c r="AD17" i="83" s="1"/>
  <c r="I10" i="1"/>
  <c r="J124" i="74"/>
  <c r="G13" i="2"/>
  <c r="G9" i="2"/>
  <c r="AD4" i="83" s="1"/>
  <c r="H9" i="2"/>
  <c r="H13" i="2"/>
  <c r="H111" i="74"/>
  <c r="H114" i="74"/>
  <c r="H14" i="1"/>
  <c r="I127" i="74"/>
  <c r="I126" i="74"/>
  <c r="F55" i="65"/>
  <c r="H115" i="74"/>
  <c r="H112" i="74"/>
  <c r="F22" i="65"/>
  <c r="H113" i="74"/>
  <c r="H110" i="74"/>
  <c r="Q9" i="2"/>
  <c r="F50" i="65"/>
  <c r="J58" i="74"/>
  <c r="I12" i="1"/>
  <c r="H16" i="1"/>
  <c r="J90" i="74"/>
  <c r="J91" i="74"/>
  <c r="I104" i="74"/>
  <c r="I107" i="74" s="1"/>
  <c r="J22" i="74"/>
  <c r="I35" i="74"/>
  <c r="I39" i="74" s="1"/>
  <c r="G20" i="65" s="1"/>
  <c r="AL61" i="60"/>
  <c r="CI61" i="60" s="1"/>
  <c r="AK61" i="60"/>
  <c r="CH61" i="60" s="1"/>
  <c r="AJ61" i="60"/>
  <c r="CG61" i="60" s="1"/>
  <c r="AI61" i="60"/>
  <c r="CF61" i="60" s="1"/>
  <c r="AH61" i="60"/>
  <c r="CE61" i="60" s="1"/>
  <c r="AL60" i="60"/>
  <c r="CI60" i="60" s="1"/>
  <c r="AK60" i="60"/>
  <c r="CH60" i="60" s="1"/>
  <c r="AJ60" i="60"/>
  <c r="CG60" i="60" s="1"/>
  <c r="AI60" i="60"/>
  <c r="CF60" i="60" s="1"/>
  <c r="AH60" i="60"/>
  <c r="CE60" i="60" s="1"/>
  <c r="AL59" i="60"/>
  <c r="CI59" i="60" s="1"/>
  <c r="AK59" i="60"/>
  <c r="CH59" i="60" s="1"/>
  <c r="AJ59" i="60"/>
  <c r="CG59" i="60" s="1"/>
  <c r="AI59" i="60"/>
  <c r="CF59" i="60" s="1"/>
  <c r="AH59" i="60"/>
  <c r="CE59" i="60" s="1"/>
  <c r="AL58" i="60"/>
  <c r="CI58" i="60" s="1"/>
  <c r="AK58" i="60"/>
  <c r="CH58" i="60" s="1"/>
  <c r="AJ58" i="60"/>
  <c r="CG58" i="60" s="1"/>
  <c r="AI58" i="60"/>
  <c r="CF58" i="60" s="1"/>
  <c r="AH58" i="60"/>
  <c r="CE58" i="60" s="1"/>
  <c r="AL57" i="60"/>
  <c r="CI57" i="60" s="1"/>
  <c r="AK57" i="60"/>
  <c r="CH57" i="60" s="1"/>
  <c r="AJ57" i="60"/>
  <c r="CG57" i="60" s="1"/>
  <c r="AI57" i="60"/>
  <c r="CF57" i="60" s="1"/>
  <c r="AH57" i="60"/>
  <c r="CE57" i="60" s="1"/>
  <c r="AL56" i="60"/>
  <c r="CI56" i="60" s="1"/>
  <c r="AK56" i="60"/>
  <c r="CH56" i="60" s="1"/>
  <c r="AJ56" i="60"/>
  <c r="CG56" i="60" s="1"/>
  <c r="AI56" i="60"/>
  <c r="CF56" i="60" s="1"/>
  <c r="AH56" i="60"/>
  <c r="CE56" i="60" s="1"/>
  <c r="AL55" i="60"/>
  <c r="CI55" i="60" s="1"/>
  <c r="AK55" i="60"/>
  <c r="CH55" i="60" s="1"/>
  <c r="AJ55" i="60"/>
  <c r="CG55" i="60" s="1"/>
  <c r="AI55" i="60"/>
  <c r="CF55" i="60" s="1"/>
  <c r="AH55" i="60"/>
  <c r="CE55" i="60" s="1"/>
  <c r="AL54" i="60"/>
  <c r="CI54" i="60" s="1"/>
  <c r="AK54" i="60"/>
  <c r="CH54" i="60" s="1"/>
  <c r="AJ54" i="60"/>
  <c r="CG54" i="60" s="1"/>
  <c r="AI54" i="60"/>
  <c r="CF54" i="60" s="1"/>
  <c r="AH54" i="60"/>
  <c r="CE54" i="60" s="1"/>
  <c r="AL53" i="60"/>
  <c r="CI53" i="60" s="1"/>
  <c r="AK53" i="60"/>
  <c r="CH53" i="60" s="1"/>
  <c r="AJ53" i="60"/>
  <c r="CG53" i="60" s="1"/>
  <c r="AI53" i="60"/>
  <c r="CF53" i="60" s="1"/>
  <c r="AH53" i="60"/>
  <c r="CE53" i="60" s="1"/>
  <c r="AM48" i="60"/>
  <c r="AT46" i="60"/>
  <c r="AS46" i="60"/>
  <c r="AR46" i="60"/>
  <c r="AQ46" i="60"/>
  <c r="AP46" i="60"/>
  <c r="AM46" i="60"/>
  <c r="AM44" i="60"/>
  <c r="AT42" i="60"/>
  <c r="AS42" i="60"/>
  <c r="AR42" i="60"/>
  <c r="AQ42" i="60"/>
  <c r="AP42" i="60"/>
  <c r="AM42" i="60"/>
  <c r="AM40" i="60"/>
  <c r="AT38" i="60"/>
  <c r="AS38" i="60"/>
  <c r="AR38" i="60"/>
  <c r="AQ38" i="60"/>
  <c r="AP38" i="60"/>
  <c r="AM38" i="60"/>
  <c r="AT37" i="60"/>
  <c r="AS37" i="60"/>
  <c r="AR37" i="60"/>
  <c r="AQ37" i="60"/>
  <c r="AP37" i="60"/>
  <c r="AM37" i="60"/>
  <c r="AT36" i="60"/>
  <c r="AS36" i="60"/>
  <c r="AR36" i="60"/>
  <c r="AQ36" i="60"/>
  <c r="AP36" i="60"/>
  <c r="AM36" i="60"/>
  <c r="AT35" i="60"/>
  <c r="AS35" i="60"/>
  <c r="AR35" i="60"/>
  <c r="AQ35" i="60"/>
  <c r="AP35" i="60"/>
  <c r="AM35" i="60"/>
  <c r="AT34" i="60"/>
  <c r="AS34" i="60"/>
  <c r="AR34" i="60"/>
  <c r="AQ34" i="60"/>
  <c r="AP34" i="60"/>
  <c r="AM34" i="60"/>
  <c r="AT33" i="60"/>
  <c r="AS33" i="60"/>
  <c r="AR33" i="60"/>
  <c r="AQ33" i="60"/>
  <c r="AP33" i="60"/>
  <c r="AM33" i="60"/>
  <c r="AT32" i="60"/>
  <c r="AS32" i="60"/>
  <c r="AR32" i="60"/>
  <c r="AQ32" i="60"/>
  <c r="AP32" i="60"/>
  <c r="AM32" i="60"/>
  <c r="AT31" i="60"/>
  <c r="AS31" i="60"/>
  <c r="AR31" i="60"/>
  <c r="AQ31" i="60"/>
  <c r="AP31" i="60"/>
  <c r="AM31" i="60"/>
  <c r="AT30" i="60"/>
  <c r="AS30" i="60"/>
  <c r="AR30" i="60"/>
  <c r="AQ30" i="60"/>
  <c r="AP30" i="60"/>
  <c r="AM30" i="60"/>
  <c r="AT23" i="60"/>
  <c r="AS23" i="60"/>
  <c r="AR23" i="60"/>
  <c r="AQ23" i="60"/>
  <c r="AP23" i="60"/>
  <c r="AM23" i="60"/>
  <c r="AT22" i="60"/>
  <c r="AS22" i="60"/>
  <c r="AR22" i="60"/>
  <c r="AQ22" i="60"/>
  <c r="AP22" i="60"/>
  <c r="AM22" i="60"/>
  <c r="AT21" i="60"/>
  <c r="AS21" i="60"/>
  <c r="AR21" i="60"/>
  <c r="AQ21" i="60"/>
  <c r="AP21" i="60"/>
  <c r="AM21" i="60"/>
  <c r="AT20" i="60"/>
  <c r="AS20" i="60"/>
  <c r="AR20" i="60"/>
  <c r="AQ20" i="60"/>
  <c r="AP20" i="60"/>
  <c r="AM20" i="60"/>
  <c r="AT19" i="60"/>
  <c r="AS19" i="60"/>
  <c r="AR19" i="60"/>
  <c r="AQ19" i="60"/>
  <c r="AP19" i="60"/>
  <c r="AM19" i="60"/>
  <c r="AT18" i="60"/>
  <c r="AS18" i="60"/>
  <c r="AR18" i="60"/>
  <c r="AQ18" i="60"/>
  <c r="AP18" i="60"/>
  <c r="AM18" i="60"/>
  <c r="AT17" i="60"/>
  <c r="AS17" i="60"/>
  <c r="AR17" i="60"/>
  <c r="AQ17" i="60"/>
  <c r="AP17" i="60"/>
  <c r="AM17" i="60"/>
  <c r="AT16" i="60"/>
  <c r="AS16" i="60"/>
  <c r="AR16" i="60"/>
  <c r="AQ16" i="60"/>
  <c r="AP16" i="60"/>
  <c r="AM16" i="60"/>
  <c r="AT15" i="60"/>
  <c r="AS15" i="60"/>
  <c r="AR15" i="60"/>
  <c r="AQ15" i="60"/>
  <c r="AP15" i="60"/>
  <c r="AM15" i="60"/>
  <c r="AP13" i="60"/>
  <c r="AQ13" i="60"/>
  <c r="AS13" i="60"/>
  <c r="AT13" i="60"/>
  <c r="AT11" i="60"/>
  <c r="AS11" i="60"/>
  <c r="AR11" i="60"/>
  <c r="AQ11" i="60"/>
  <c r="AP11" i="60"/>
  <c r="AM11" i="60"/>
  <c r="AF61" i="60"/>
  <c r="CC61" i="60" s="1"/>
  <c r="AE61" i="60"/>
  <c r="CB61" i="60" s="1"/>
  <c r="AD61" i="60"/>
  <c r="CA61" i="60" s="1"/>
  <c r="AC61" i="60"/>
  <c r="BZ61" i="60" s="1"/>
  <c r="AB61" i="60"/>
  <c r="BY61" i="60" s="1"/>
  <c r="AF60" i="60"/>
  <c r="CC60" i="60" s="1"/>
  <c r="AE60" i="60"/>
  <c r="CB60" i="60" s="1"/>
  <c r="AD60" i="60"/>
  <c r="CA60" i="60" s="1"/>
  <c r="AC60" i="60"/>
  <c r="BZ60" i="60" s="1"/>
  <c r="AB60" i="60"/>
  <c r="BY60" i="60" s="1"/>
  <c r="AF59" i="60"/>
  <c r="CC59" i="60" s="1"/>
  <c r="AE59" i="60"/>
  <c r="CB59" i="60" s="1"/>
  <c r="AD59" i="60"/>
  <c r="CA59" i="60" s="1"/>
  <c r="AC59" i="60"/>
  <c r="BZ59" i="60" s="1"/>
  <c r="AB59" i="60"/>
  <c r="BY59" i="60" s="1"/>
  <c r="AF58" i="60"/>
  <c r="CC58" i="60" s="1"/>
  <c r="AE58" i="60"/>
  <c r="CB58" i="60" s="1"/>
  <c r="AD58" i="60"/>
  <c r="CA58" i="60" s="1"/>
  <c r="AC58" i="60"/>
  <c r="BZ58" i="60" s="1"/>
  <c r="AB58" i="60"/>
  <c r="BY58" i="60" s="1"/>
  <c r="AF57" i="60"/>
  <c r="CC57" i="60" s="1"/>
  <c r="AE57" i="60"/>
  <c r="CB57" i="60" s="1"/>
  <c r="AD57" i="60"/>
  <c r="CA57" i="60" s="1"/>
  <c r="AC57" i="60"/>
  <c r="BZ57" i="60" s="1"/>
  <c r="AB57" i="60"/>
  <c r="BY57" i="60" s="1"/>
  <c r="AF56" i="60"/>
  <c r="CC56" i="60" s="1"/>
  <c r="AE56" i="60"/>
  <c r="CB56" i="60" s="1"/>
  <c r="AD56" i="60"/>
  <c r="CA56" i="60" s="1"/>
  <c r="AC56" i="60"/>
  <c r="BZ56" i="60" s="1"/>
  <c r="AB56" i="60"/>
  <c r="BY56" i="60" s="1"/>
  <c r="AF55" i="60"/>
  <c r="CC55" i="60" s="1"/>
  <c r="AE55" i="60"/>
  <c r="CB55" i="60" s="1"/>
  <c r="AD55" i="60"/>
  <c r="CA55" i="60" s="1"/>
  <c r="AC55" i="60"/>
  <c r="BZ55" i="60" s="1"/>
  <c r="AB55" i="60"/>
  <c r="BY55" i="60" s="1"/>
  <c r="AF54" i="60"/>
  <c r="CC54" i="60" s="1"/>
  <c r="AE54" i="60"/>
  <c r="CB54" i="60" s="1"/>
  <c r="AD54" i="60"/>
  <c r="CA54" i="60" s="1"/>
  <c r="AC54" i="60"/>
  <c r="BZ54" i="60" s="1"/>
  <c r="AB54" i="60"/>
  <c r="BY54" i="60" s="1"/>
  <c r="AF53" i="60"/>
  <c r="CC53" i="60" s="1"/>
  <c r="AE53" i="60"/>
  <c r="CB53" i="60" s="1"/>
  <c r="AD53" i="60"/>
  <c r="CA53" i="60" s="1"/>
  <c r="AC53" i="60"/>
  <c r="BZ53" i="60" s="1"/>
  <c r="AB53" i="60"/>
  <c r="BY53" i="60" s="1"/>
  <c r="Z61" i="60"/>
  <c r="BW61" i="60" s="1"/>
  <c r="Y61" i="60"/>
  <c r="BV61" i="60" s="1"/>
  <c r="X61" i="60"/>
  <c r="BU61" i="60" s="1"/>
  <c r="W61" i="60"/>
  <c r="BT61" i="60" s="1"/>
  <c r="V61" i="60"/>
  <c r="BS61" i="60" s="1"/>
  <c r="Z60" i="60"/>
  <c r="BW60" i="60" s="1"/>
  <c r="Y60" i="60"/>
  <c r="BV60" i="60" s="1"/>
  <c r="X60" i="60"/>
  <c r="BU60" i="60" s="1"/>
  <c r="W60" i="60"/>
  <c r="BT60" i="60" s="1"/>
  <c r="V60" i="60"/>
  <c r="BS60" i="60" s="1"/>
  <c r="Z59" i="60"/>
  <c r="BW59" i="60" s="1"/>
  <c r="Y59" i="60"/>
  <c r="BV59" i="60" s="1"/>
  <c r="X59" i="60"/>
  <c r="BU59" i="60" s="1"/>
  <c r="W59" i="60"/>
  <c r="BT59" i="60" s="1"/>
  <c r="V59" i="60"/>
  <c r="BS59" i="60" s="1"/>
  <c r="Z58" i="60"/>
  <c r="BW58" i="60" s="1"/>
  <c r="Y58" i="60"/>
  <c r="BV58" i="60" s="1"/>
  <c r="X58" i="60"/>
  <c r="BU58" i="60" s="1"/>
  <c r="W58" i="60"/>
  <c r="BT58" i="60" s="1"/>
  <c r="V58" i="60"/>
  <c r="BS58" i="60" s="1"/>
  <c r="Z57" i="60"/>
  <c r="BW57" i="60" s="1"/>
  <c r="Y57" i="60"/>
  <c r="BV57" i="60" s="1"/>
  <c r="X57" i="60"/>
  <c r="BU57" i="60" s="1"/>
  <c r="W57" i="60"/>
  <c r="BT57" i="60" s="1"/>
  <c r="V57" i="60"/>
  <c r="BS57" i="60" s="1"/>
  <c r="Z56" i="60"/>
  <c r="BW56" i="60" s="1"/>
  <c r="Y56" i="60"/>
  <c r="BV56" i="60" s="1"/>
  <c r="X56" i="60"/>
  <c r="BU56" i="60" s="1"/>
  <c r="W56" i="60"/>
  <c r="BT56" i="60" s="1"/>
  <c r="V56" i="60"/>
  <c r="BS56" i="60" s="1"/>
  <c r="Z55" i="60"/>
  <c r="BW55" i="60" s="1"/>
  <c r="Y55" i="60"/>
  <c r="BV55" i="60" s="1"/>
  <c r="X55" i="60"/>
  <c r="BU55" i="60" s="1"/>
  <c r="W55" i="60"/>
  <c r="BT55" i="60" s="1"/>
  <c r="V55" i="60"/>
  <c r="BS55" i="60" s="1"/>
  <c r="Z54" i="60"/>
  <c r="BW54" i="60" s="1"/>
  <c r="Y54" i="60"/>
  <c r="BV54" i="60" s="1"/>
  <c r="X54" i="60"/>
  <c r="BU54" i="60" s="1"/>
  <c r="W54" i="60"/>
  <c r="BT54" i="60" s="1"/>
  <c r="V54" i="60"/>
  <c r="BS54" i="60" s="1"/>
  <c r="Z53" i="60"/>
  <c r="BW53" i="60" s="1"/>
  <c r="Y53" i="60"/>
  <c r="BV53" i="60" s="1"/>
  <c r="X53" i="60"/>
  <c r="BU53" i="60" s="1"/>
  <c r="W53" i="60"/>
  <c r="BT53" i="60" s="1"/>
  <c r="V53" i="60"/>
  <c r="T61" i="60"/>
  <c r="BQ61" i="60" s="1"/>
  <c r="S61" i="60"/>
  <c r="BP61" i="60" s="1"/>
  <c r="R61" i="60"/>
  <c r="BO61" i="60" s="1"/>
  <c r="Q61" i="60"/>
  <c r="BN61" i="60" s="1"/>
  <c r="P61" i="60"/>
  <c r="BM61" i="60" s="1"/>
  <c r="T60" i="60"/>
  <c r="BQ60" i="60" s="1"/>
  <c r="S60" i="60"/>
  <c r="BP60" i="60" s="1"/>
  <c r="R60" i="60"/>
  <c r="BO60" i="60" s="1"/>
  <c r="Q60" i="60"/>
  <c r="BN60" i="60" s="1"/>
  <c r="P60" i="60"/>
  <c r="BM60" i="60" s="1"/>
  <c r="T59" i="60"/>
  <c r="BQ59" i="60" s="1"/>
  <c r="S59" i="60"/>
  <c r="BP59" i="60" s="1"/>
  <c r="R59" i="60"/>
  <c r="BO59" i="60" s="1"/>
  <c r="Q59" i="60"/>
  <c r="BN59" i="60" s="1"/>
  <c r="P59" i="60"/>
  <c r="BM59" i="60" s="1"/>
  <c r="T58" i="60"/>
  <c r="BQ58" i="60" s="1"/>
  <c r="S58" i="60"/>
  <c r="BP58" i="60" s="1"/>
  <c r="R58" i="60"/>
  <c r="BO58" i="60" s="1"/>
  <c r="Q58" i="60"/>
  <c r="BN58" i="60" s="1"/>
  <c r="P58" i="60"/>
  <c r="BM58" i="60" s="1"/>
  <c r="T57" i="60"/>
  <c r="BQ57" i="60" s="1"/>
  <c r="S57" i="60"/>
  <c r="BP57" i="60" s="1"/>
  <c r="R57" i="60"/>
  <c r="BO57" i="60" s="1"/>
  <c r="Q57" i="60"/>
  <c r="BN57" i="60" s="1"/>
  <c r="P57" i="60"/>
  <c r="BM57" i="60" s="1"/>
  <c r="T56" i="60"/>
  <c r="BQ56" i="60" s="1"/>
  <c r="S56" i="60"/>
  <c r="BP56" i="60" s="1"/>
  <c r="R56" i="60"/>
  <c r="BO56" i="60" s="1"/>
  <c r="Q56" i="60"/>
  <c r="BN56" i="60" s="1"/>
  <c r="P56" i="60"/>
  <c r="BM56" i="60" s="1"/>
  <c r="T55" i="60"/>
  <c r="BQ55" i="60" s="1"/>
  <c r="S55" i="60"/>
  <c r="BP55" i="60" s="1"/>
  <c r="R55" i="60"/>
  <c r="BO55" i="60" s="1"/>
  <c r="Q55" i="60"/>
  <c r="BN55" i="60" s="1"/>
  <c r="P55" i="60"/>
  <c r="BM55" i="60" s="1"/>
  <c r="T54" i="60"/>
  <c r="BQ54" i="60" s="1"/>
  <c r="S54" i="60"/>
  <c r="BP54" i="60" s="1"/>
  <c r="R54" i="60"/>
  <c r="BO54" i="60" s="1"/>
  <c r="Q54" i="60"/>
  <c r="BN54" i="60" s="1"/>
  <c r="P54" i="60"/>
  <c r="BM54" i="60" s="1"/>
  <c r="T53" i="60"/>
  <c r="BQ53" i="60" s="1"/>
  <c r="S53" i="60"/>
  <c r="BP53" i="60" s="1"/>
  <c r="R53" i="60"/>
  <c r="BO53" i="60" s="1"/>
  <c r="P53" i="60"/>
  <c r="BM53" i="60" s="1"/>
  <c r="N61" i="60"/>
  <c r="BK61" i="60" s="1"/>
  <c r="M61" i="60"/>
  <c r="BJ61" i="60" s="1"/>
  <c r="L61" i="60"/>
  <c r="BI61" i="60" s="1"/>
  <c r="K61" i="60"/>
  <c r="BH61" i="60" s="1"/>
  <c r="J61" i="60"/>
  <c r="BG61" i="60" s="1"/>
  <c r="N60" i="60"/>
  <c r="BK60" i="60" s="1"/>
  <c r="M60" i="60"/>
  <c r="BJ60" i="60" s="1"/>
  <c r="L60" i="60"/>
  <c r="BI60" i="60" s="1"/>
  <c r="K60" i="60"/>
  <c r="BH60" i="60" s="1"/>
  <c r="J60" i="60"/>
  <c r="N59" i="60"/>
  <c r="BK59" i="60" s="1"/>
  <c r="M59" i="60"/>
  <c r="BJ59" i="60" s="1"/>
  <c r="L59" i="60"/>
  <c r="BI59" i="60" s="1"/>
  <c r="K59" i="60"/>
  <c r="BH59" i="60" s="1"/>
  <c r="J59" i="60"/>
  <c r="BG59" i="60" s="1"/>
  <c r="N58" i="60"/>
  <c r="BK58" i="60" s="1"/>
  <c r="M58" i="60"/>
  <c r="BJ58" i="60" s="1"/>
  <c r="L58" i="60"/>
  <c r="BI58" i="60" s="1"/>
  <c r="K58" i="60"/>
  <c r="BH58" i="60" s="1"/>
  <c r="J58" i="60"/>
  <c r="N57" i="60"/>
  <c r="BK57" i="60" s="1"/>
  <c r="M57" i="60"/>
  <c r="BJ57" i="60" s="1"/>
  <c r="L57" i="60"/>
  <c r="BI57" i="60" s="1"/>
  <c r="K57" i="60"/>
  <c r="BH57" i="60" s="1"/>
  <c r="J57" i="60"/>
  <c r="N56" i="60"/>
  <c r="BK56" i="60" s="1"/>
  <c r="M56" i="60"/>
  <c r="BJ56" i="60" s="1"/>
  <c r="L56" i="60"/>
  <c r="BI56" i="60" s="1"/>
  <c r="K56" i="60"/>
  <c r="BH56" i="60" s="1"/>
  <c r="J56" i="60"/>
  <c r="BG56" i="60" s="1"/>
  <c r="N55" i="60"/>
  <c r="BK55" i="60" s="1"/>
  <c r="M55" i="60"/>
  <c r="BJ55" i="60" s="1"/>
  <c r="L55" i="60"/>
  <c r="BI55" i="60" s="1"/>
  <c r="K55" i="60"/>
  <c r="BH55" i="60" s="1"/>
  <c r="J55" i="60"/>
  <c r="N54" i="60"/>
  <c r="BK54" i="60" s="1"/>
  <c r="M54" i="60"/>
  <c r="BJ54" i="60" s="1"/>
  <c r="L54" i="60"/>
  <c r="BI54" i="60" s="1"/>
  <c r="K54" i="60"/>
  <c r="BH54" i="60" s="1"/>
  <c r="J54" i="60"/>
  <c r="BG54" i="60" s="1"/>
  <c r="N53" i="60"/>
  <c r="BK53" i="60" s="1"/>
  <c r="M53" i="60"/>
  <c r="BJ53" i="60" s="1"/>
  <c r="L53" i="60"/>
  <c r="BI53" i="60" s="1"/>
  <c r="K53" i="60"/>
  <c r="BH53" i="60" s="1"/>
  <c r="J53" i="60"/>
  <c r="BG53" i="60" s="1"/>
  <c r="D54" i="60"/>
  <c r="BA54" i="60" s="1"/>
  <c r="E54" i="60"/>
  <c r="BB54" i="60" s="1"/>
  <c r="F54" i="60"/>
  <c r="BC54" i="60" s="1"/>
  <c r="G54" i="60"/>
  <c r="BD54" i="60" s="1"/>
  <c r="H54" i="60"/>
  <c r="BE54" i="60" s="1"/>
  <c r="D55" i="60"/>
  <c r="BA55" i="60" s="1"/>
  <c r="E55" i="60"/>
  <c r="BB55" i="60" s="1"/>
  <c r="F55" i="60"/>
  <c r="BC55" i="60" s="1"/>
  <c r="G55" i="60"/>
  <c r="BD55" i="60" s="1"/>
  <c r="H55" i="60"/>
  <c r="BE55" i="60" s="1"/>
  <c r="D56" i="60"/>
  <c r="E56" i="60"/>
  <c r="BB56" i="60" s="1"/>
  <c r="F56" i="60"/>
  <c r="BC56" i="60" s="1"/>
  <c r="G56" i="60"/>
  <c r="BD56" i="60" s="1"/>
  <c r="H56" i="60"/>
  <c r="BE56" i="60" s="1"/>
  <c r="D57" i="60"/>
  <c r="BA57" i="60" s="1"/>
  <c r="E57" i="60"/>
  <c r="BB57" i="60" s="1"/>
  <c r="F57" i="60"/>
  <c r="BC57" i="60" s="1"/>
  <c r="G57" i="60"/>
  <c r="BD57" i="60" s="1"/>
  <c r="H57" i="60"/>
  <c r="BE57" i="60" s="1"/>
  <c r="D58" i="60"/>
  <c r="BA58" i="60" s="1"/>
  <c r="E58" i="60"/>
  <c r="BB58" i="60" s="1"/>
  <c r="F58" i="60"/>
  <c r="BC58" i="60" s="1"/>
  <c r="G58" i="60"/>
  <c r="BD58" i="60" s="1"/>
  <c r="H58" i="60"/>
  <c r="BE58" i="60" s="1"/>
  <c r="D59" i="60"/>
  <c r="BA59" i="60" s="1"/>
  <c r="E59" i="60"/>
  <c r="BB59" i="60" s="1"/>
  <c r="F59" i="60"/>
  <c r="BC59" i="60" s="1"/>
  <c r="G59" i="60"/>
  <c r="BD59" i="60" s="1"/>
  <c r="H59" i="60"/>
  <c r="BE59" i="60" s="1"/>
  <c r="D60" i="60"/>
  <c r="E60" i="60"/>
  <c r="BB60" i="60" s="1"/>
  <c r="F60" i="60"/>
  <c r="BC60" i="60" s="1"/>
  <c r="G60" i="60"/>
  <c r="BD60" i="60" s="1"/>
  <c r="H60" i="60"/>
  <c r="BE60" i="60" s="1"/>
  <c r="D61" i="60"/>
  <c r="BA61" i="60" s="1"/>
  <c r="E61" i="60"/>
  <c r="BB61" i="60" s="1"/>
  <c r="F61" i="60"/>
  <c r="BC61" i="60" s="1"/>
  <c r="G61" i="60"/>
  <c r="BD61" i="60" s="1"/>
  <c r="H61" i="60"/>
  <c r="BE61" i="60" s="1"/>
  <c r="H53" i="60"/>
  <c r="BE53" i="60" s="1"/>
  <c r="G53" i="60"/>
  <c r="BD53" i="60" s="1"/>
  <c r="F53" i="60"/>
  <c r="BC53" i="60" s="1"/>
  <c r="E53" i="60"/>
  <c r="BB53" i="60" s="1"/>
  <c r="AM66" i="60"/>
  <c r="AP66" i="60"/>
  <c r="AQ66" i="60"/>
  <c r="AR66" i="60"/>
  <c r="AS66" i="60"/>
  <c r="AT66" i="60"/>
  <c r="AM67" i="60"/>
  <c r="AP67" i="60"/>
  <c r="AQ67" i="60"/>
  <c r="AR67" i="60"/>
  <c r="AS67" i="60"/>
  <c r="AT67" i="60"/>
  <c r="AM68" i="60"/>
  <c r="AP68" i="60"/>
  <c r="AQ68" i="60"/>
  <c r="AR68" i="60"/>
  <c r="AS68" i="60"/>
  <c r="AT68" i="60"/>
  <c r="AM65" i="60"/>
  <c r="CI69" i="60"/>
  <c r="AK69" i="60"/>
  <c r="CH69" i="60" s="1"/>
  <c r="AJ69" i="60"/>
  <c r="CG69" i="60" s="1"/>
  <c r="AI69" i="60"/>
  <c r="CF69" i="60" s="1"/>
  <c r="AH69" i="60"/>
  <c r="CE69" i="60" s="1"/>
  <c r="AG69" i="60"/>
  <c r="CD69" i="60" s="1"/>
  <c r="AF69" i="60"/>
  <c r="CC69" i="60" s="1"/>
  <c r="AE69" i="60"/>
  <c r="CB69" i="60" s="1"/>
  <c r="AD69" i="60"/>
  <c r="CA69" i="60" s="1"/>
  <c r="AC69" i="60"/>
  <c r="BZ69" i="60" s="1"/>
  <c r="AB69" i="60"/>
  <c r="BY69" i="60" s="1"/>
  <c r="AA69" i="60"/>
  <c r="BX69" i="60" s="1"/>
  <c r="Z69" i="60"/>
  <c r="BW69" i="60" s="1"/>
  <c r="Y69" i="60"/>
  <c r="BV69" i="60" s="1"/>
  <c r="X69" i="60"/>
  <c r="BU69" i="60" s="1"/>
  <c r="W69" i="60"/>
  <c r="BT69" i="60" s="1"/>
  <c r="V69" i="60"/>
  <c r="BS69" i="60" s="1"/>
  <c r="U69" i="60"/>
  <c r="BR69" i="60" s="1"/>
  <c r="T69" i="60"/>
  <c r="BQ69" i="60" s="1"/>
  <c r="S69" i="60"/>
  <c r="BP69" i="60" s="1"/>
  <c r="R69" i="60"/>
  <c r="BO69" i="60" s="1"/>
  <c r="Q69" i="60"/>
  <c r="BN69" i="60" s="1"/>
  <c r="P69" i="60"/>
  <c r="BM69" i="60" s="1"/>
  <c r="O69" i="60"/>
  <c r="BL69" i="60" s="1"/>
  <c r="N69" i="60"/>
  <c r="BK69" i="60" s="1"/>
  <c r="M69" i="60"/>
  <c r="BJ69" i="60" s="1"/>
  <c r="L69" i="60"/>
  <c r="BI69" i="60" s="1"/>
  <c r="K69" i="60"/>
  <c r="BH69" i="60" s="1"/>
  <c r="J69" i="60"/>
  <c r="BG69" i="60" s="1"/>
  <c r="I69" i="60"/>
  <c r="BF69" i="60" s="1"/>
  <c r="H69" i="60"/>
  <c r="BE69" i="60" s="1"/>
  <c r="G69" i="60"/>
  <c r="BD69" i="60" s="1"/>
  <c r="F69" i="60"/>
  <c r="BC69" i="60" s="1"/>
  <c r="E69" i="60"/>
  <c r="BB69" i="60" s="1"/>
  <c r="D69" i="60"/>
  <c r="BA69" i="60" s="1"/>
  <c r="C97" i="73"/>
  <c r="BH87" i="53"/>
  <c r="DJ87" i="53" s="1"/>
  <c r="BG87" i="53"/>
  <c r="DI87" i="53" s="1"/>
  <c r="BF87" i="53"/>
  <c r="DH87" i="53" s="1"/>
  <c r="BE87" i="53"/>
  <c r="DG87" i="53" s="1"/>
  <c r="BD87" i="53"/>
  <c r="DF87" i="53" s="1"/>
  <c r="BC87" i="53"/>
  <c r="DE87" i="53" s="1"/>
  <c r="BH86" i="53"/>
  <c r="DJ86" i="53" s="1"/>
  <c r="BG86" i="53"/>
  <c r="DI86" i="53" s="1"/>
  <c r="BF86" i="53"/>
  <c r="DH86" i="53" s="1"/>
  <c r="BE86" i="53"/>
  <c r="DG86" i="53" s="1"/>
  <c r="BD86" i="53"/>
  <c r="DF86" i="53" s="1"/>
  <c r="BH85" i="53"/>
  <c r="DJ85" i="53" s="1"/>
  <c r="BG85" i="53"/>
  <c r="DI85" i="53" s="1"/>
  <c r="BF85" i="53"/>
  <c r="DH85" i="53" s="1"/>
  <c r="BE85" i="53"/>
  <c r="DG85" i="53" s="1"/>
  <c r="BD85" i="53"/>
  <c r="DF85" i="53" s="1"/>
  <c r="BC85" i="53"/>
  <c r="DE85" i="53" s="1"/>
  <c r="BH84" i="53"/>
  <c r="DJ84" i="53" s="1"/>
  <c r="BG84" i="53"/>
  <c r="DI84" i="53" s="1"/>
  <c r="BF84" i="53"/>
  <c r="DH84" i="53" s="1"/>
  <c r="BE84" i="53"/>
  <c r="DG84" i="53" s="1"/>
  <c r="BD84" i="53"/>
  <c r="DF84" i="53" s="1"/>
  <c r="BC84" i="53"/>
  <c r="DE84" i="53" s="1"/>
  <c r="BH82" i="53"/>
  <c r="DJ82" i="53" s="1"/>
  <c r="BG82" i="53"/>
  <c r="DI82" i="53" s="1"/>
  <c r="BF82" i="53"/>
  <c r="DH82" i="53" s="1"/>
  <c r="BE82" i="53"/>
  <c r="DG82" i="53" s="1"/>
  <c r="BD82" i="53"/>
  <c r="DF82" i="53" s="1"/>
  <c r="BC82" i="53"/>
  <c r="DE82" i="53" s="1"/>
  <c r="BH81" i="53"/>
  <c r="DJ81" i="53" s="1"/>
  <c r="BG81" i="53"/>
  <c r="DI81" i="53" s="1"/>
  <c r="BF81" i="53"/>
  <c r="DH81" i="53" s="1"/>
  <c r="BE81" i="53"/>
  <c r="DG81" i="53" s="1"/>
  <c r="BD81" i="53"/>
  <c r="DF81" i="53" s="1"/>
  <c r="BC81" i="53"/>
  <c r="DE81" i="53" s="1"/>
  <c r="BH80" i="53"/>
  <c r="DJ80" i="53" s="1"/>
  <c r="BG80" i="53"/>
  <c r="DI80" i="53" s="1"/>
  <c r="BF80" i="53"/>
  <c r="DH80" i="53" s="1"/>
  <c r="BE80" i="53"/>
  <c r="DG80" i="53" s="1"/>
  <c r="BD80" i="53"/>
  <c r="DF80" i="53" s="1"/>
  <c r="BC80" i="53"/>
  <c r="DE80" i="53" s="1"/>
  <c r="BH79" i="53"/>
  <c r="DJ79" i="53" s="1"/>
  <c r="BG79" i="53"/>
  <c r="DI79" i="53" s="1"/>
  <c r="BF79" i="53"/>
  <c r="DH79" i="53" s="1"/>
  <c r="BE79" i="53"/>
  <c r="DG79" i="53" s="1"/>
  <c r="BD79" i="53"/>
  <c r="DF79" i="53" s="1"/>
  <c r="BC79" i="53"/>
  <c r="DE79" i="53" s="1"/>
  <c r="BH78" i="53"/>
  <c r="DJ78" i="53" s="1"/>
  <c r="BG78" i="53"/>
  <c r="DI78" i="53" s="1"/>
  <c r="BF78" i="53"/>
  <c r="DH78" i="53" s="1"/>
  <c r="BE78" i="53"/>
  <c r="DG78" i="53" s="1"/>
  <c r="BD78" i="53"/>
  <c r="DF78" i="53" s="1"/>
  <c r="BC78" i="53"/>
  <c r="DE78" i="53" s="1"/>
  <c r="BH77" i="53"/>
  <c r="DJ77" i="53" s="1"/>
  <c r="BG77" i="53"/>
  <c r="DI77" i="53" s="1"/>
  <c r="BF77" i="53"/>
  <c r="DH77" i="53" s="1"/>
  <c r="BE77" i="53"/>
  <c r="DG77" i="53" s="1"/>
  <c r="BD77" i="53"/>
  <c r="DF77" i="53" s="1"/>
  <c r="BC77" i="53"/>
  <c r="DE77" i="53" s="1"/>
  <c r="BH75" i="53"/>
  <c r="DJ75" i="53" s="1"/>
  <c r="BG75" i="53"/>
  <c r="DI75" i="53" s="1"/>
  <c r="BF75" i="53"/>
  <c r="DH75" i="53" s="1"/>
  <c r="BE75" i="53"/>
  <c r="DG75" i="53" s="1"/>
  <c r="BD75" i="53"/>
  <c r="DF75" i="53" s="1"/>
  <c r="BC75" i="53"/>
  <c r="DE75" i="53" s="1"/>
  <c r="BH73" i="53"/>
  <c r="DJ73" i="53" s="1"/>
  <c r="BG73" i="53"/>
  <c r="DI73" i="53" s="1"/>
  <c r="BF73" i="53"/>
  <c r="DH73" i="53" s="1"/>
  <c r="BE73" i="53"/>
  <c r="DG73" i="53" s="1"/>
  <c r="BD73" i="53"/>
  <c r="DF73" i="53" s="1"/>
  <c r="BC73" i="53"/>
  <c r="DE73" i="53" s="1"/>
  <c r="BH71" i="53"/>
  <c r="DJ71" i="53" s="1"/>
  <c r="BG71" i="53"/>
  <c r="DI71" i="53" s="1"/>
  <c r="BF71" i="53"/>
  <c r="DH71" i="53" s="1"/>
  <c r="BE71" i="53"/>
  <c r="DG71" i="53" s="1"/>
  <c r="BD71" i="53"/>
  <c r="DF71" i="53" s="1"/>
  <c r="BC71" i="53"/>
  <c r="DE71" i="53" s="1"/>
  <c r="BH62" i="53"/>
  <c r="DJ62" i="53" s="1"/>
  <c r="BG62" i="53"/>
  <c r="DI62" i="53" s="1"/>
  <c r="BF62" i="53"/>
  <c r="DH62" i="53" s="1"/>
  <c r="BE62" i="53"/>
  <c r="DG62" i="53" s="1"/>
  <c r="BD62" i="53"/>
  <c r="DF62" i="53" s="1"/>
  <c r="BC62" i="53"/>
  <c r="DE62" i="53" s="1"/>
  <c r="BH54" i="53"/>
  <c r="DJ54" i="53" s="1"/>
  <c r="BG54" i="53"/>
  <c r="DI54" i="53" s="1"/>
  <c r="BF54" i="53"/>
  <c r="DH54" i="53" s="1"/>
  <c r="BE54" i="53"/>
  <c r="DG54" i="53" s="1"/>
  <c r="BD54" i="53"/>
  <c r="DF54" i="53" s="1"/>
  <c r="BC54" i="53"/>
  <c r="DE54" i="53" s="1"/>
  <c r="BH53" i="53"/>
  <c r="DJ53" i="53" s="1"/>
  <c r="BG53" i="53"/>
  <c r="DI53" i="53" s="1"/>
  <c r="BF53" i="53"/>
  <c r="DH53" i="53" s="1"/>
  <c r="BE53" i="53"/>
  <c r="DG53" i="53" s="1"/>
  <c r="BD53" i="53"/>
  <c r="DF53" i="53" s="1"/>
  <c r="BC53" i="53"/>
  <c r="DE53" i="53" s="1"/>
  <c r="BH52" i="53"/>
  <c r="DJ52" i="53" s="1"/>
  <c r="BG52" i="53"/>
  <c r="DI52" i="53" s="1"/>
  <c r="BF52" i="53"/>
  <c r="DH52" i="53" s="1"/>
  <c r="BE52" i="53"/>
  <c r="DG52" i="53" s="1"/>
  <c r="BD52" i="53"/>
  <c r="DF52" i="53" s="1"/>
  <c r="BC52" i="53"/>
  <c r="DE52" i="53" s="1"/>
  <c r="BH47" i="53"/>
  <c r="DJ47" i="53" s="1"/>
  <c r="BG47" i="53"/>
  <c r="DI47" i="53" s="1"/>
  <c r="BF47" i="53"/>
  <c r="DH47" i="53" s="1"/>
  <c r="BE47" i="53"/>
  <c r="DG47" i="53" s="1"/>
  <c r="BD47" i="53"/>
  <c r="DF47" i="53" s="1"/>
  <c r="BC47" i="53"/>
  <c r="DE47" i="53" s="1"/>
  <c r="BH46" i="53"/>
  <c r="DJ46" i="53" s="1"/>
  <c r="BG46" i="53"/>
  <c r="DI46" i="53" s="1"/>
  <c r="BF46" i="53"/>
  <c r="DH46" i="53" s="1"/>
  <c r="BE46" i="53"/>
  <c r="DG46" i="53" s="1"/>
  <c r="BD46" i="53"/>
  <c r="DF46" i="53" s="1"/>
  <c r="BC46" i="53"/>
  <c r="DE46" i="53" s="1"/>
  <c r="BH45" i="53"/>
  <c r="DJ45" i="53" s="1"/>
  <c r="BG45" i="53"/>
  <c r="DI45" i="53" s="1"/>
  <c r="BF45" i="53"/>
  <c r="DH45" i="53" s="1"/>
  <c r="BE45" i="53"/>
  <c r="DG45" i="53" s="1"/>
  <c r="BD45" i="53"/>
  <c r="DF45" i="53" s="1"/>
  <c r="BC45" i="53"/>
  <c r="DE45" i="53" s="1"/>
  <c r="BH44" i="53"/>
  <c r="DJ44" i="53" s="1"/>
  <c r="BG44" i="53"/>
  <c r="DI44" i="53" s="1"/>
  <c r="BF44" i="53"/>
  <c r="DH44" i="53" s="1"/>
  <c r="BE44" i="53"/>
  <c r="DG44" i="53" s="1"/>
  <c r="BD44" i="53"/>
  <c r="DF44" i="53" s="1"/>
  <c r="BC44" i="53"/>
  <c r="DE44" i="53" s="1"/>
  <c r="BH43" i="53"/>
  <c r="DJ43" i="53" s="1"/>
  <c r="BG43" i="53"/>
  <c r="DI43" i="53" s="1"/>
  <c r="BF43" i="53"/>
  <c r="DH43" i="53" s="1"/>
  <c r="BE43" i="53"/>
  <c r="DG43" i="53" s="1"/>
  <c r="BD43" i="53"/>
  <c r="DF43" i="53" s="1"/>
  <c r="BC43" i="53"/>
  <c r="DE43" i="53" s="1"/>
  <c r="BH42" i="53"/>
  <c r="DJ42" i="53" s="1"/>
  <c r="BG42" i="53"/>
  <c r="DI42" i="53" s="1"/>
  <c r="BF42" i="53"/>
  <c r="DH42" i="53" s="1"/>
  <c r="BE42" i="53"/>
  <c r="DG42" i="53" s="1"/>
  <c r="BD42" i="53"/>
  <c r="DF42" i="53" s="1"/>
  <c r="BC42" i="53"/>
  <c r="DE42" i="53" s="1"/>
  <c r="BH41" i="53"/>
  <c r="DJ41" i="53" s="1"/>
  <c r="BG41" i="53"/>
  <c r="DI41" i="53" s="1"/>
  <c r="BF41" i="53"/>
  <c r="DH41" i="53" s="1"/>
  <c r="BE41" i="53"/>
  <c r="DG41" i="53" s="1"/>
  <c r="BD41" i="53"/>
  <c r="DF41" i="53" s="1"/>
  <c r="BC41" i="53"/>
  <c r="DE41" i="53" s="1"/>
  <c r="BH40" i="53"/>
  <c r="DJ40" i="53" s="1"/>
  <c r="BG40" i="53"/>
  <c r="DI40" i="53" s="1"/>
  <c r="BF40" i="53"/>
  <c r="DH40" i="53" s="1"/>
  <c r="BE40" i="53"/>
  <c r="DG40" i="53" s="1"/>
  <c r="BD40" i="53"/>
  <c r="DF40" i="53" s="1"/>
  <c r="BC40" i="53"/>
  <c r="DE40" i="53" s="1"/>
  <c r="BH39" i="53"/>
  <c r="DJ39" i="53" s="1"/>
  <c r="BG39" i="53"/>
  <c r="DI39" i="53" s="1"/>
  <c r="BF39" i="53"/>
  <c r="DH39" i="53" s="1"/>
  <c r="BE39" i="53"/>
  <c r="DG39" i="53" s="1"/>
  <c r="BD39" i="53"/>
  <c r="DF39" i="53" s="1"/>
  <c r="BC39" i="53"/>
  <c r="DE39" i="53" s="1"/>
  <c r="BH37" i="53"/>
  <c r="DJ37" i="53" s="1"/>
  <c r="BG37" i="53"/>
  <c r="DI37" i="53" s="1"/>
  <c r="BF37" i="53"/>
  <c r="DH37" i="53" s="1"/>
  <c r="BE37" i="53"/>
  <c r="DG37" i="53" s="1"/>
  <c r="BD37" i="53"/>
  <c r="DF37" i="53" s="1"/>
  <c r="BC37" i="53"/>
  <c r="DE37" i="53" s="1"/>
  <c r="BH36" i="53"/>
  <c r="DJ36" i="53" s="1"/>
  <c r="BG36" i="53"/>
  <c r="DI36" i="53" s="1"/>
  <c r="BF36" i="53"/>
  <c r="DH36" i="53" s="1"/>
  <c r="BE36" i="53"/>
  <c r="DG36" i="53" s="1"/>
  <c r="BD36" i="53"/>
  <c r="DF36" i="53" s="1"/>
  <c r="BC36" i="53"/>
  <c r="DE36" i="53" s="1"/>
  <c r="BH35" i="53"/>
  <c r="DJ35" i="53" s="1"/>
  <c r="BG35" i="53"/>
  <c r="DI35" i="53" s="1"/>
  <c r="BF35" i="53"/>
  <c r="DH35" i="53" s="1"/>
  <c r="BE35" i="53"/>
  <c r="DG35" i="53" s="1"/>
  <c r="BD35" i="53"/>
  <c r="DF35" i="53" s="1"/>
  <c r="BC35" i="53"/>
  <c r="DE35" i="53" s="1"/>
  <c r="BH34" i="53"/>
  <c r="DJ34" i="53" s="1"/>
  <c r="BG34" i="53"/>
  <c r="DI34" i="53" s="1"/>
  <c r="BF34" i="53"/>
  <c r="DH34" i="53" s="1"/>
  <c r="BE34" i="53"/>
  <c r="DG34" i="53" s="1"/>
  <c r="BD34" i="53"/>
  <c r="DF34" i="53" s="1"/>
  <c r="BC34" i="53"/>
  <c r="DE34" i="53" s="1"/>
  <c r="BH33" i="53"/>
  <c r="DJ33" i="53" s="1"/>
  <c r="BG33" i="53"/>
  <c r="DI33" i="53" s="1"/>
  <c r="BF33" i="53"/>
  <c r="DH33" i="53" s="1"/>
  <c r="BE33" i="53"/>
  <c r="DG33" i="53" s="1"/>
  <c r="BD33" i="53"/>
  <c r="DF33" i="53" s="1"/>
  <c r="BC33" i="53"/>
  <c r="DE33" i="53" s="1"/>
  <c r="BH32" i="53"/>
  <c r="DJ32" i="53" s="1"/>
  <c r="BG32" i="53"/>
  <c r="DI32" i="53" s="1"/>
  <c r="BF32" i="53"/>
  <c r="DH32" i="53" s="1"/>
  <c r="BE32" i="53"/>
  <c r="DG32" i="53" s="1"/>
  <c r="BD32" i="53"/>
  <c r="DF32" i="53" s="1"/>
  <c r="BC32" i="53"/>
  <c r="DE32" i="53" s="1"/>
  <c r="BH31" i="53"/>
  <c r="DJ31" i="53" s="1"/>
  <c r="BG31" i="53"/>
  <c r="DI31" i="53" s="1"/>
  <c r="BF31" i="53"/>
  <c r="DH31" i="53" s="1"/>
  <c r="BE31" i="53"/>
  <c r="DG31" i="53" s="1"/>
  <c r="BD31" i="53"/>
  <c r="DF31" i="53" s="1"/>
  <c r="BC31" i="53"/>
  <c r="DE31" i="53" s="1"/>
  <c r="BH30" i="53"/>
  <c r="DJ30" i="53" s="1"/>
  <c r="BG30" i="53"/>
  <c r="DI30" i="53" s="1"/>
  <c r="BF30" i="53"/>
  <c r="DH30" i="53" s="1"/>
  <c r="BE30" i="53"/>
  <c r="DG30" i="53" s="1"/>
  <c r="BD30" i="53"/>
  <c r="DF30" i="53" s="1"/>
  <c r="BC30" i="53"/>
  <c r="DE30" i="53" s="1"/>
  <c r="BH27" i="53"/>
  <c r="DJ27" i="53" s="1"/>
  <c r="BG27" i="53"/>
  <c r="DI27" i="53" s="1"/>
  <c r="BF27" i="53"/>
  <c r="DH27" i="53" s="1"/>
  <c r="BE27" i="53"/>
  <c r="DG27" i="53" s="1"/>
  <c r="BD27" i="53"/>
  <c r="DF27" i="53" s="1"/>
  <c r="BC27" i="53"/>
  <c r="DE27" i="53" s="1"/>
  <c r="BH26" i="53"/>
  <c r="DJ26" i="53" s="1"/>
  <c r="BG26" i="53"/>
  <c r="DI26" i="53" s="1"/>
  <c r="BF26" i="53"/>
  <c r="DH26" i="53" s="1"/>
  <c r="BE26" i="53"/>
  <c r="DG26" i="53" s="1"/>
  <c r="BD26" i="53"/>
  <c r="DF26" i="53" s="1"/>
  <c r="BC26" i="53"/>
  <c r="DE26" i="53" s="1"/>
  <c r="BH23" i="53"/>
  <c r="DJ23" i="53" s="1"/>
  <c r="BG23" i="53"/>
  <c r="DI23" i="53" s="1"/>
  <c r="BF23" i="53"/>
  <c r="DH23" i="53" s="1"/>
  <c r="BE23" i="53"/>
  <c r="DG23" i="53" s="1"/>
  <c r="BD23" i="53"/>
  <c r="DF23" i="53" s="1"/>
  <c r="BC23" i="53"/>
  <c r="DE23" i="53" s="1"/>
  <c r="BH22" i="53"/>
  <c r="DJ22" i="53" s="1"/>
  <c r="BG22" i="53"/>
  <c r="DI22" i="53" s="1"/>
  <c r="BF22" i="53"/>
  <c r="DH22" i="53" s="1"/>
  <c r="BE22" i="53"/>
  <c r="DG22" i="53" s="1"/>
  <c r="BD22" i="53"/>
  <c r="DF22" i="53" s="1"/>
  <c r="BC22" i="53"/>
  <c r="DE22" i="53" s="1"/>
  <c r="BH20" i="53"/>
  <c r="DJ20" i="53" s="1"/>
  <c r="BG20" i="53"/>
  <c r="DI20" i="53" s="1"/>
  <c r="BF20" i="53"/>
  <c r="DH20" i="53" s="1"/>
  <c r="BE20" i="53"/>
  <c r="DG20" i="53" s="1"/>
  <c r="BD20" i="53"/>
  <c r="DF20" i="53" s="1"/>
  <c r="BC20" i="53"/>
  <c r="DE20" i="53" s="1"/>
  <c r="BH19" i="53"/>
  <c r="DJ19" i="53" s="1"/>
  <c r="BG19" i="53"/>
  <c r="DI19" i="53" s="1"/>
  <c r="BF19" i="53"/>
  <c r="DH19" i="53" s="1"/>
  <c r="BE19" i="53"/>
  <c r="DG19" i="53" s="1"/>
  <c r="BD19" i="53"/>
  <c r="DF19" i="53" s="1"/>
  <c r="BC19" i="53"/>
  <c r="DE19" i="53" s="1"/>
  <c r="BH16" i="53"/>
  <c r="DJ16" i="53" s="1"/>
  <c r="BG16" i="53"/>
  <c r="DI16" i="53" s="1"/>
  <c r="BF16" i="53"/>
  <c r="DH16" i="53" s="1"/>
  <c r="BE16" i="53"/>
  <c r="DG16" i="53" s="1"/>
  <c r="BD16" i="53"/>
  <c r="DF16" i="53" s="1"/>
  <c r="BC16" i="53"/>
  <c r="DE16" i="53" s="1"/>
  <c r="BH15" i="53"/>
  <c r="DJ15" i="53" s="1"/>
  <c r="BG15" i="53"/>
  <c r="DI15" i="53" s="1"/>
  <c r="BF15" i="53"/>
  <c r="DH15" i="53" s="1"/>
  <c r="BE15" i="53"/>
  <c r="DG15" i="53" s="1"/>
  <c r="BD15" i="53"/>
  <c r="DF15" i="53" s="1"/>
  <c r="BC15" i="53"/>
  <c r="DE15" i="53" s="1"/>
  <c r="BH14" i="53"/>
  <c r="DJ14" i="53" s="1"/>
  <c r="BG14" i="53"/>
  <c r="DI14" i="53" s="1"/>
  <c r="BF14" i="53"/>
  <c r="DH14" i="53" s="1"/>
  <c r="BE14" i="53"/>
  <c r="DG14" i="53" s="1"/>
  <c r="BD14" i="53"/>
  <c r="DF14" i="53" s="1"/>
  <c r="BC14" i="53"/>
  <c r="DE14" i="53" s="1"/>
  <c r="BC13" i="53"/>
  <c r="DE13" i="53" s="1"/>
  <c r="BB87" i="53"/>
  <c r="DD87" i="53" s="1"/>
  <c r="BA87" i="53"/>
  <c r="DC87" i="53" s="1"/>
  <c r="AZ87" i="53"/>
  <c r="DB87" i="53" s="1"/>
  <c r="AY87" i="53"/>
  <c r="DA87" i="53" s="1"/>
  <c r="AX87" i="53"/>
  <c r="CZ87" i="53" s="1"/>
  <c r="AW87" i="53"/>
  <c r="CY87" i="53" s="1"/>
  <c r="BB86" i="53"/>
  <c r="DD86" i="53" s="1"/>
  <c r="BA86" i="53"/>
  <c r="DC86" i="53" s="1"/>
  <c r="AZ86" i="53"/>
  <c r="DB86" i="53" s="1"/>
  <c r="AY86" i="53"/>
  <c r="DA86" i="53" s="1"/>
  <c r="AX86" i="53"/>
  <c r="CZ86" i="53" s="1"/>
  <c r="AW86" i="53"/>
  <c r="CY86" i="53" s="1"/>
  <c r="BB85" i="53"/>
  <c r="DD85" i="53" s="1"/>
  <c r="BA85" i="53"/>
  <c r="DC85" i="53" s="1"/>
  <c r="AZ85" i="53"/>
  <c r="DB85" i="53" s="1"/>
  <c r="AY85" i="53"/>
  <c r="DA85" i="53" s="1"/>
  <c r="AX85" i="53"/>
  <c r="CZ85" i="53" s="1"/>
  <c r="AW85" i="53"/>
  <c r="CY85" i="53" s="1"/>
  <c r="BB84" i="53"/>
  <c r="DD84" i="53" s="1"/>
  <c r="BA84" i="53"/>
  <c r="DC84" i="53" s="1"/>
  <c r="AZ84" i="53"/>
  <c r="DB84" i="53" s="1"/>
  <c r="AY84" i="53"/>
  <c r="DA84" i="53" s="1"/>
  <c r="AX84" i="53"/>
  <c r="CZ84" i="53" s="1"/>
  <c r="AW84" i="53"/>
  <c r="CY84" i="53" s="1"/>
  <c r="BB82" i="53"/>
  <c r="DD82" i="53" s="1"/>
  <c r="BA82" i="53"/>
  <c r="DC82" i="53" s="1"/>
  <c r="AZ82" i="53"/>
  <c r="DB82" i="53" s="1"/>
  <c r="AY82" i="53"/>
  <c r="DA82" i="53" s="1"/>
  <c r="AX82" i="53"/>
  <c r="CZ82" i="53" s="1"/>
  <c r="AW82" i="53"/>
  <c r="CY82" i="53" s="1"/>
  <c r="BB81" i="53"/>
  <c r="DD81" i="53" s="1"/>
  <c r="BA81" i="53"/>
  <c r="DC81" i="53" s="1"/>
  <c r="AZ81" i="53"/>
  <c r="DB81" i="53" s="1"/>
  <c r="AY81" i="53"/>
  <c r="DA81" i="53" s="1"/>
  <c r="AX81" i="53"/>
  <c r="CZ81" i="53" s="1"/>
  <c r="AW81" i="53"/>
  <c r="CY81" i="53" s="1"/>
  <c r="BB80" i="53"/>
  <c r="DD80" i="53" s="1"/>
  <c r="BA80" i="53"/>
  <c r="DC80" i="53" s="1"/>
  <c r="AZ80" i="53"/>
  <c r="DB80" i="53" s="1"/>
  <c r="AY80" i="53"/>
  <c r="DA80" i="53" s="1"/>
  <c r="AX80" i="53"/>
  <c r="CZ80" i="53" s="1"/>
  <c r="AW80" i="53"/>
  <c r="CY80" i="53" s="1"/>
  <c r="BB79" i="53"/>
  <c r="DD79" i="53" s="1"/>
  <c r="BA79" i="53"/>
  <c r="DC79" i="53" s="1"/>
  <c r="AZ79" i="53"/>
  <c r="DB79" i="53" s="1"/>
  <c r="AY79" i="53"/>
  <c r="DA79" i="53" s="1"/>
  <c r="AX79" i="53"/>
  <c r="CZ79" i="53" s="1"/>
  <c r="AW79" i="53"/>
  <c r="CY79" i="53" s="1"/>
  <c r="BB78" i="53"/>
  <c r="DD78" i="53" s="1"/>
  <c r="BA78" i="53"/>
  <c r="DC78" i="53" s="1"/>
  <c r="AZ78" i="53"/>
  <c r="DB78" i="53" s="1"/>
  <c r="AY78" i="53"/>
  <c r="DA78" i="53" s="1"/>
  <c r="AX78" i="53"/>
  <c r="CZ78" i="53" s="1"/>
  <c r="AW78" i="53"/>
  <c r="CY78" i="53" s="1"/>
  <c r="BB77" i="53"/>
  <c r="DD77" i="53" s="1"/>
  <c r="BA77" i="53"/>
  <c r="DC77" i="53" s="1"/>
  <c r="AZ77" i="53"/>
  <c r="DB77" i="53" s="1"/>
  <c r="AY77" i="53"/>
  <c r="DA77" i="53" s="1"/>
  <c r="AX77" i="53"/>
  <c r="CZ77" i="53" s="1"/>
  <c r="AW77" i="53"/>
  <c r="CY77" i="53" s="1"/>
  <c r="BB75" i="53"/>
  <c r="DD75" i="53" s="1"/>
  <c r="BA75" i="53"/>
  <c r="DC75" i="53" s="1"/>
  <c r="AZ75" i="53"/>
  <c r="DB75" i="53" s="1"/>
  <c r="AY75" i="53"/>
  <c r="DA75" i="53" s="1"/>
  <c r="AX75" i="53"/>
  <c r="CZ75" i="53" s="1"/>
  <c r="AW75" i="53"/>
  <c r="CY75" i="53" s="1"/>
  <c r="BB73" i="53"/>
  <c r="DD73" i="53" s="1"/>
  <c r="BA73" i="53"/>
  <c r="DC73" i="53" s="1"/>
  <c r="AZ73" i="53"/>
  <c r="DB73" i="53" s="1"/>
  <c r="AY73" i="53"/>
  <c r="DA73" i="53" s="1"/>
  <c r="AX73" i="53"/>
  <c r="CZ73" i="53" s="1"/>
  <c r="BB71" i="53"/>
  <c r="DD71" i="53" s="1"/>
  <c r="BA71" i="53"/>
  <c r="DC71" i="53" s="1"/>
  <c r="AZ71" i="53"/>
  <c r="DB71" i="53" s="1"/>
  <c r="AY71" i="53"/>
  <c r="DA71" i="53" s="1"/>
  <c r="AX71" i="53"/>
  <c r="CZ71" i="53" s="1"/>
  <c r="AW71" i="53"/>
  <c r="CY71" i="53" s="1"/>
  <c r="BB62" i="53"/>
  <c r="DD62" i="53" s="1"/>
  <c r="BA62" i="53"/>
  <c r="DC62" i="53" s="1"/>
  <c r="AZ62" i="53"/>
  <c r="DB62" i="53" s="1"/>
  <c r="AY62" i="53"/>
  <c r="DA62" i="53" s="1"/>
  <c r="AX62" i="53"/>
  <c r="CZ62" i="53" s="1"/>
  <c r="AW62" i="53"/>
  <c r="CY62" i="53" s="1"/>
  <c r="BB54" i="53"/>
  <c r="DD54" i="53" s="1"/>
  <c r="BA54" i="53"/>
  <c r="DC54" i="53" s="1"/>
  <c r="AZ54" i="53"/>
  <c r="DB54" i="53" s="1"/>
  <c r="AY54" i="53"/>
  <c r="DA54" i="53" s="1"/>
  <c r="AX54" i="53"/>
  <c r="CZ54" i="53" s="1"/>
  <c r="AW54" i="53"/>
  <c r="CY54" i="53" s="1"/>
  <c r="BB53" i="53"/>
  <c r="DD53" i="53" s="1"/>
  <c r="BA53" i="53"/>
  <c r="DC53" i="53" s="1"/>
  <c r="AZ53" i="53"/>
  <c r="DB53" i="53" s="1"/>
  <c r="AY53" i="53"/>
  <c r="DA53" i="53" s="1"/>
  <c r="AX53" i="53"/>
  <c r="CZ53" i="53" s="1"/>
  <c r="AW53" i="53"/>
  <c r="CY53" i="53" s="1"/>
  <c r="BB52" i="53"/>
  <c r="DD52" i="53" s="1"/>
  <c r="BA52" i="53"/>
  <c r="DC52" i="53" s="1"/>
  <c r="AZ52" i="53"/>
  <c r="DB52" i="53" s="1"/>
  <c r="AY52" i="53"/>
  <c r="DA52" i="53" s="1"/>
  <c r="AX52" i="53"/>
  <c r="CZ52" i="53" s="1"/>
  <c r="AW52" i="53"/>
  <c r="CY52" i="53" s="1"/>
  <c r="BB47" i="53"/>
  <c r="DD47" i="53" s="1"/>
  <c r="BA47" i="53"/>
  <c r="DC47" i="53" s="1"/>
  <c r="AZ47" i="53"/>
  <c r="DB47" i="53" s="1"/>
  <c r="AY47" i="53"/>
  <c r="DA47" i="53" s="1"/>
  <c r="AX47" i="53"/>
  <c r="CZ47" i="53" s="1"/>
  <c r="AW47" i="53"/>
  <c r="CY47" i="53" s="1"/>
  <c r="BB46" i="53"/>
  <c r="DD46" i="53" s="1"/>
  <c r="BA46" i="53"/>
  <c r="DC46" i="53" s="1"/>
  <c r="AZ46" i="53"/>
  <c r="DB46" i="53" s="1"/>
  <c r="AY46" i="53"/>
  <c r="DA46" i="53" s="1"/>
  <c r="AX46" i="53"/>
  <c r="CZ46" i="53" s="1"/>
  <c r="AW46" i="53"/>
  <c r="CY46" i="53" s="1"/>
  <c r="BB45" i="53"/>
  <c r="DD45" i="53" s="1"/>
  <c r="BA45" i="53"/>
  <c r="DC45" i="53" s="1"/>
  <c r="AZ45" i="53"/>
  <c r="DB45" i="53" s="1"/>
  <c r="AY45" i="53"/>
  <c r="DA45" i="53" s="1"/>
  <c r="AX45" i="53"/>
  <c r="CZ45" i="53" s="1"/>
  <c r="AW45" i="53"/>
  <c r="CY45" i="53" s="1"/>
  <c r="BB44" i="53"/>
  <c r="DD44" i="53" s="1"/>
  <c r="BA44" i="53"/>
  <c r="DC44" i="53" s="1"/>
  <c r="AZ44" i="53"/>
  <c r="DB44" i="53" s="1"/>
  <c r="AY44" i="53"/>
  <c r="DA44" i="53" s="1"/>
  <c r="AX44" i="53"/>
  <c r="CZ44" i="53" s="1"/>
  <c r="AW44" i="53"/>
  <c r="CY44" i="53" s="1"/>
  <c r="BB43" i="53"/>
  <c r="DD43" i="53" s="1"/>
  <c r="BA43" i="53"/>
  <c r="DC43" i="53" s="1"/>
  <c r="AZ43" i="53"/>
  <c r="DB43" i="53" s="1"/>
  <c r="AY43" i="53"/>
  <c r="DA43" i="53" s="1"/>
  <c r="AX43" i="53"/>
  <c r="CZ43" i="53" s="1"/>
  <c r="AW43" i="53"/>
  <c r="CY43" i="53" s="1"/>
  <c r="BB42" i="53"/>
  <c r="DD42" i="53" s="1"/>
  <c r="BA42" i="53"/>
  <c r="DC42" i="53" s="1"/>
  <c r="AZ42" i="53"/>
  <c r="DB42" i="53" s="1"/>
  <c r="AY42" i="53"/>
  <c r="DA42" i="53" s="1"/>
  <c r="AX42" i="53"/>
  <c r="CZ42" i="53" s="1"/>
  <c r="AW42" i="53"/>
  <c r="CY42" i="53" s="1"/>
  <c r="BB41" i="53"/>
  <c r="DD41" i="53" s="1"/>
  <c r="BA41" i="53"/>
  <c r="DC41" i="53" s="1"/>
  <c r="AZ41" i="53"/>
  <c r="DB41" i="53" s="1"/>
  <c r="AY41" i="53"/>
  <c r="DA41" i="53" s="1"/>
  <c r="AX41" i="53"/>
  <c r="CZ41" i="53" s="1"/>
  <c r="AW41" i="53"/>
  <c r="CY41" i="53" s="1"/>
  <c r="BB40" i="53"/>
  <c r="DD40" i="53" s="1"/>
  <c r="BA40" i="53"/>
  <c r="DC40" i="53" s="1"/>
  <c r="AZ40" i="53"/>
  <c r="DB40" i="53" s="1"/>
  <c r="AY40" i="53"/>
  <c r="DA40" i="53" s="1"/>
  <c r="AX40" i="53"/>
  <c r="CZ40" i="53" s="1"/>
  <c r="AW40" i="53"/>
  <c r="CY40" i="53" s="1"/>
  <c r="BB39" i="53"/>
  <c r="DD39" i="53" s="1"/>
  <c r="BA39" i="53"/>
  <c r="DC39" i="53" s="1"/>
  <c r="AZ39" i="53"/>
  <c r="DB39" i="53" s="1"/>
  <c r="AY39" i="53"/>
  <c r="DA39" i="53" s="1"/>
  <c r="AX39" i="53"/>
  <c r="CZ39" i="53" s="1"/>
  <c r="AW39" i="53"/>
  <c r="CY39" i="53" s="1"/>
  <c r="BB37" i="53"/>
  <c r="DD37" i="53" s="1"/>
  <c r="BA37" i="53"/>
  <c r="DC37" i="53" s="1"/>
  <c r="AZ37" i="53"/>
  <c r="DB37" i="53" s="1"/>
  <c r="AY37" i="53"/>
  <c r="DA37" i="53" s="1"/>
  <c r="AX37" i="53"/>
  <c r="CZ37" i="53" s="1"/>
  <c r="AW37" i="53"/>
  <c r="CY37" i="53" s="1"/>
  <c r="BB36" i="53"/>
  <c r="DD36" i="53" s="1"/>
  <c r="BA36" i="53"/>
  <c r="DC36" i="53" s="1"/>
  <c r="AZ36" i="53"/>
  <c r="DB36" i="53" s="1"/>
  <c r="AY36" i="53"/>
  <c r="DA36" i="53" s="1"/>
  <c r="AX36" i="53"/>
  <c r="CZ36" i="53" s="1"/>
  <c r="AW36" i="53"/>
  <c r="CY36" i="53" s="1"/>
  <c r="BB35" i="53"/>
  <c r="DD35" i="53" s="1"/>
  <c r="BA35" i="53"/>
  <c r="DC35" i="53" s="1"/>
  <c r="AZ35" i="53"/>
  <c r="DB35" i="53" s="1"/>
  <c r="AY35" i="53"/>
  <c r="DA35" i="53" s="1"/>
  <c r="AX35" i="53"/>
  <c r="CZ35" i="53" s="1"/>
  <c r="AW35" i="53"/>
  <c r="CY35" i="53" s="1"/>
  <c r="BB34" i="53"/>
  <c r="DD34" i="53" s="1"/>
  <c r="BA34" i="53"/>
  <c r="DC34" i="53" s="1"/>
  <c r="AZ34" i="53"/>
  <c r="DB34" i="53" s="1"/>
  <c r="AY34" i="53"/>
  <c r="DA34" i="53" s="1"/>
  <c r="AX34" i="53"/>
  <c r="CZ34" i="53" s="1"/>
  <c r="AW34" i="53"/>
  <c r="CY34" i="53" s="1"/>
  <c r="BB33" i="53"/>
  <c r="DD33" i="53" s="1"/>
  <c r="BA33" i="53"/>
  <c r="DC33" i="53" s="1"/>
  <c r="AZ33" i="53"/>
  <c r="DB33" i="53" s="1"/>
  <c r="AY33" i="53"/>
  <c r="DA33" i="53" s="1"/>
  <c r="AX33" i="53"/>
  <c r="CZ33" i="53" s="1"/>
  <c r="AW33" i="53"/>
  <c r="CY33" i="53" s="1"/>
  <c r="BB32" i="53"/>
  <c r="DD32" i="53" s="1"/>
  <c r="BA32" i="53"/>
  <c r="DC32" i="53" s="1"/>
  <c r="AZ32" i="53"/>
  <c r="DB32" i="53" s="1"/>
  <c r="AY32" i="53"/>
  <c r="DA32" i="53" s="1"/>
  <c r="AX32" i="53"/>
  <c r="CZ32" i="53" s="1"/>
  <c r="AW32" i="53"/>
  <c r="CY32" i="53" s="1"/>
  <c r="BB31" i="53"/>
  <c r="DD31" i="53" s="1"/>
  <c r="BA31" i="53"/>
  <c r="DC31" i="53" s="1"/>
  <c r="AZ31" i="53"/>
  <c r="DB31" i="53" s="1"/>
  <c r="AY31" i="53"/>
  <c r="DA31" i="53" s="1"/>
  <c r="AX31" i="53"/>
  <c r="CZ31" i="53" s="1"/>
  <c r="AW31" i="53"/>
  <c r="CY31" i="53" s="1"/>
  <c r="BB30" i="53"/>
  <c r="DD30" i="53" s="1"/>
  <c r="BA30" i="53"/>
  <c r="DC30" i="53" s="1"/>
  <c r="AZ30" i="53"/>
  <c r="DB30" i="53" s="1"/>
  <c r="AY30" i="53"/>
  <c r="DA30" i="53" s="1"/>
  <c r="AX30" i="53"/>
  <c r="CZ30" i="53" s="1"/>
  <c r="AW30" i="53"/>
  <c r="CY30" i="53" s="1"/>
  <c r="BB27" i="53"/>
  <c r="DD27" i="53" s="1"/>
  <c r="BA27" i="53"/>
  <c r="DC27" i="53" s="1"/>
  <c r="AZ27" i="53"/>
  <c r="DB27" i="53" s="1"/>
  <c r="AY27" i="53"/>
  <c r="DA27" i="53" s="1"/>
  <c r="AX27" i="53"/>
  <c r="CZ27" i="53" s="1"/>
  <c r="AW27" i="53"/>
  <c r="CY27" i="53" s="1"/>
  <c r="BB26" i="53"/>
  <c r="DD26" i="53" s="1"/>
  <c r="BA26" i="53"/>
  <c r="DC26" i="53" s="1"/>
  <c r="AZ26" i="53"/>
  <c r="DB26" i="53" s="1"/>
  <c r="AY26" i="53"/>
  <c r="DA26" i="53" s="1"/>
  <c r="AX26" i="53"/>
  <c r="CZ26" i="53" s="1"/>
  <c r="AW26" i="53"/>
  <c r="CY26" i="53" s="1"/>
  <c r="BB23" i="53"/>
  <c r="DD23" i="53" s="1"/>
  <c r="BA23" i="53"/>
  <c r="DC23" i="53" s="1"/>
  <c r="AZ23" i="53"/>
  <c r="DB23" i="53" s="1"/>
  <c r="AY23" i="53"/>
  <c r="DA23" i="53" s="1"/>
  <c r="AX23" i="53"/>
  <c r="CZ23" i="53" s="1"/>
  <c r="AW23" i="53"/>
  <c r="CY23" i="53" s="1"/>
  <c r="BB22" i="53"/>
  <c r="DD22" i="53" s="1"/>
  <c r="BA22" i="53"/>
  <c r="DC22" i="53" s="1"/>
  <c r="AZ22" i="53"/>
  <c r="DB22" i="53" s="1"/>
  <c r="AY22" i="53"/>
  <c r="DA22" i="53" s="1"/>
  <c r="AX22" i="53"/>
  <c r="CZ22" i="53" s="1"/>
  <c r="AW22" i="53"/>
  <c r="CY22" i="53" s="1"/>
  <c r="BB20" i="53"/>
  <c r="DD20" i="53" s="1"/>
  <c r="BA20" i="53"/>
  <c r="DC20" i="53" s="1"/>
  <c r="AZ20" i="53"/>
  <c r="DB20" i="53" s="1"/>
  <c r="AY20" i="53"/>
  <c r="DA20" i="53" s="1"/>
  <c r="AX20" i="53"/>
  <c r="CZ20" i="53" s="1"/>
  <c r="AW20" i="53"/>
  <c r="CY20" i="53" s="1"/>
  <c r="BB19" i="53"/>
  <c r="DD19" i="53" s="1"/>
  <c r="BA19" i="53"/>
  <c r="DC19" i="53" s="1"/>
  <c r="AZ19" i="53"/>
  <c r="DB19" i="53" s="1"/>
  <c r="AY19" i="53"/>
  <c r="DA19" i="53" s="1"/>
  <c r="AX19" i="53"/>
  <c r="CZ19" i="53" s="1"/>
  <c r="AW19" i="53"/>
  <c r="CY19" i="53" s="1"/>
  <c r="BB16" i="53"/>
  <c r="DD16" i="53" s="1"/>
  <c r="BA16" i="53"/>
  <c r="DC16" i="53" s="1"/>
  <c r="AZ16" i="53"/>
  <c r="DB16" i="53" s="1"/>
  <c r="AY16" i="53"/>
  <c r="DA16" i="53" s="1"/>
  <c r="AX16" i="53"/>
  <c r="CZ16" i="53" s="1"/>
  <c r="AW16" i="53"/>
  <c r="CY16" i="53" s="1"/>
  <c r="BB15" i="53"/>
  <c r="DD15" i="53" s="1"/>
  <c r="BA15" i="53"/>
  <c r="DC15" i="53" s="1"/>
  <c r="AZ15" i="53"/>
  <c r="DB15" i="53" s="1"/>
  <c r="AY15" i="53"/>
  <c r="DA15" i="53" s="1"/>
  <c r="AX15" i="53"/>
  <c r="CZ15" i="53" s="1"/>
  <c r="AW15" i="53"/>
  <c r="CY15" i="53" s="1"/>
  <c r="BB14" i="53"/>
  <c r="DD14" i="53" s="1"/>
  <c r="BA14" i="53"/>
  <c r="DC14" i="53" s="1"/>
  <c r="AZ14" i="53"/>
  <c r="DB14" i="53" s="1"/>
  <c r="AY14" i="53"/>
  <c r="DA14" i="53" s="1"/>
  <c r="AX14" i="53"/>
  <c r="CZ14" i="53" s="1"/>
  <c r="AW14" i="53"/>
  <c r="CY14" i="53" s="1"/>
  <c r="AW13" i="53"/>
  <c r="CY13" i="53" s="1"/>
  <c r="CO68" i="60" l="1"/>
  <c r="CQ67" i="60"/>
  <c r="CM67" i="60"/>
  <c r="AU13" i="60"/>
  <c r="CM30" i="60"/>
  <c r="CQ30" i="60"/>
  <c r="CO31" i="60"/>
  <c r="CM32" i="60"/>
  <c r="CQ32" i="60"/>
  <c r="CO33" i="60"/>
  <c r="CM34" i="60"/>
  <c r="CQ34" i="60"/>
  <c r="CO35" i="60"/>
  <c r="CM36" i="60"/>
  <c r="CQ36" i="60"/>
  <c r="CO37" i="60"/>
  <c r="CM38" i="60"/>
  <c r="CQ38" i="60"/>
  <c r="CM46" i="60"/>
  <c r="CQ46" i="60"/>
  <c r="CN68" i="60"/>
  <c r="CP67" i="60"/>
  <c r="CJ67" i="60"/>
  <c r="CN30" i="60"/>
  <c r="CJ31" i="60"/>
  <c r="CP31" i="60"/>
  <c r="CN32" i="60"/>
  <c r="CJ33" i="60"/>
  <c r="CP33" i="60"/>
  <c r="CN34" i="60"/>
  <c r="CJ35" i="60"/>
  <c r="CP35" i="60"/>
  <c r="CN36" i="60"/>
  <c r="CJ37" i="60"/>
  <c r="CP37" i="60"/>
  <c r="CN38" i="60"/>
  <c r="CJ40" i="60"/>
  <c r="CJ44" i="60"/>
  <c r="CN46" i="60"/>
  <c r="CQ68" i="60"/>
  <c r="CM68" i="60"/>
  <c r="CO67" i="60"/>
  <c r="CO30" i="60"/>
  <c r="CM31" i="60"/>
  <c r="CQ31" i="60"/>
  <c r="CO32" i="60"/>
  <c r="CM33" i="60"/>
  <c r="CQ33" i="60"/>
  <c r="CO34" i="60"/>
  <c r="CM35" i="60"/>
  <c r="CQ35" i="60"/>
  <c r="CO36" i="60"/>
  <c r="CM37" i="60"/>
  <c r="CQ37" i="60"/>
  <c r="CO38" i="60"/>
  <c r="CO46" i="60"/>
  <c r="CP68" i="60"/>
  <c r="CJ68" i="60"/>
  <c r="CN67" i="60"/>
  <c r="CJ30" i="60"/>
  <c r="CP30" i="60"/>
  <c r="CN31" i="60"/>
  <c r="CJ32" i="60"/>
  <c r="CP32" i="60"/>
  <c r="CN33" i="60"/>
  <c r="CJ34" i="60"/>
  <c r="CP34" i="60"/>
  <c r="CN35" i="60"/>
  <c r="CJ36" i="60"/>
  <c r="CP36" i="60"/>
  <c r="CN37" i="60"/>
  <c r="CJ38" i="60"/>
  <c r="CP38" i="60"/>
  <c r="CJ46" i="60"/>
  <c r="CP46" i="60"/>
  <c r="AC7" i="84"/>
  <c r="CO42" i="60"/>
  <c r="CM42" i="60"/>
  <c r="CN42" i="60"/>
  <c r="CP42" i="60"/>
  <c r="CQ42" i="60"/>
  <c r="CJ42" i="60"/>
  <c r="E57" i="83"/>
  <c r="AD13" i="84"/>
  <c r="AD12" i="84" s="1"/>
  <c r="AE4" i="84"/>
  <c r="F35" i="83"/>
  <c r="E52" i="83"/>
  <c r="AD8" i="84"/>
  <c r="AD7" i="84" s="1"/>
  <c r="AD8" i="78"/>
  <c r="AD8" i="83"/>
  <c r="G6" i="78"/>
  <c r="G6" i="83"/>
  <c r="M91" i="85"/>
  <c r="M93" i="85" s="1"/>
  <c r="G4" i="83"/>
  <c r="AE4" i="78"/>
  <c r="AE4" i="83"/>
  <c r="AE8" i="78"/>
  <c r="AE8" i="83"/>
  <c r="CM66" i="60"/>
  <c r="CJ66" i="60"/>
  <c r="AM69" i="60"/>
  <c r="CN66" i="60"/>
  <c r="CQ66" i="60"/>
  <c r="CP66" i="60"/>
  <c r="CO66" i="60"/>
  <c r="AW55" i="60"/>
  <c r="BG55" i="60"/>
  <c r="CJ48" i="60"/>
  <c r="AW60" i="60"/>
  <c r="BG60" i="60"/>
  <c r="AV53" i="60"/>
  <c r="BS53" i="60"/>
  <c r="AW57" i="60"/>
  <c r="BG57" i="60"/>
  <c r="AV56" i="60"/>
  <c r="BA56" i="60"/>
  <c r="AV60" i="60"/>
  <c r="BA60" i="60"/>
  <c r="AW58" i="60"/>
  <c r="BG58" i="60"/>
  <c r="AV58" i="60"/>
  <c r="AU68" i="60"/>
  <c r="AU67" i="60"/>
  <c r="AV57" i="60"/>
  <c r="AU66" i="60"/>
  <c r="AV55" i="60"/>
  <c r="AU17" i="60"/>
  <c r="AU21" i="60"/>
  <c r="AU31" i="60"/>
  <c r="AU35" i="60"/>
  <c r="AV61" i="60"/>
  <c r="AU11" i="60"/>
  <c r="AU16" i="60"/>
  <c r="AU20" i="60"/>
  <c r="AU30" i="60"/>
  <c r="AU34" i="60"/>
  <c r="AU38" i="60"/>
  <c r="AU46" i="60"/>
  <c r="AW54" i="60"/>
  <c r="AV59" i="60"/>
  <c r="AW59" i="60"/>
  <c r="AU15" i="60"/>
  <c r="AU19" i="60"/>
  <c r="AU23" i="60"/>
  <c r="AU33" i="60"/>
  <c r="AU37" i="60"/>
  <c r="AV54" i="60"/>
  <c r="AW56" i="60"/>
  <c r="AW53" i="60"/>
  <c r="AW61" i="60"/>
  <c r="AU18" i="60"/>
  <c r="AU22" i="60"/>
  <c r="AU32" i="60"/>
  <c r="AU36" i="60"/>
  <c r="AU42" i="60"/>
  <c r="BD83" i="53"/>
  <c r="DF83" i="53" s="1"/>
  <c r="AW38" i="53"/>
  <c r="CY38" i="53" s="1"/>
  <c r="AX38" i="53"/>
  <c r="CZ38" i="53" s="1"/>
  <c r="BH83" i="53"/>
  <c r="J92" i="74"/>
  <c r="J95" i="74"/>
  <c r="J59" i="74"/>
  <c r="J62" i="74"/>
  <c r="J15" i="1"/>
  <c r="K57" i="74"/>
  <c r="AC7" i="79"/>
  <c r="J23" i="74"/>
  <c r="J26" i="74"/>
  <c r="BE38" i="53"/>
  <c r="DG38" i="53" s="1"/>
  <c r="BC38" i="53"/>
  <c r="DE38" i="53" s="1"/>
  <c r="BG38" i="53"/>
  <c r="DI38" i="53" s="1"/>
  <c r="BC70" i="53"/>
  <c r="DE70" i="53" s="1"/>
  <c r="BG70" i="53"/>
  <c r="DI70" i="53" s="1"/>
  <c r="BE83" i="53"/>
  <c r="BC83" i="53"/>
  <c r="BG83" i="53"/>
  <c r="AX83" i="53"/>
  <c r="BB83" i="53"/>
  <c r="BF38" i="53"/>
  <c r="DH38" i="53" s="1"/>
  <c r="BD38" i="53"/>
  <c r="DF38" i="53" s="1"/>
  <c r="BH38" i="53"/>
  <c r="DJ38" i="53" s="1"/>
  <c r="BD70" i="53"/>
  <c r="DF70" i="53" s="1"/>
  <c r="BH70" i="53"/>
  <c r="DJ70" i="53" s="1"/>
  <c r="BF83" i="53"/>
  <c r="AW51" i="53"/>
  <c r="CY51" i="53" s="1"/>
  <c r="AM55" i="60"/>
  <c r="AM59" i="60"/>
  <c r="AD13" i="79"/>
  <c r="AD12" i="79" s="1"/>
  <c r="E57" i="78"/>
  <c r="R9" i="2"/>
  <c r="AD4" i="78"/>
  <c r="R22" i="2"/>
  <c r="AD17" i="78"/>
  <c r="BA51" i="53"/>
  <c r="DC51" i="53" s="1"/>
  <c r="BF70" i="53"/>
  <c r="DH70" i="53" s="1"/>
  <c r="AD8" i="79"/>
  <c r="AD7" i="79" s="1"/>
  <c r="E52" i="78"/>
  <c r="AX51" i="53"/>
  <c r="CZ51" i="53" s="1"/>
  <c r="BB51" i="53"/>
  <c r="DD51" i="53" s="1"/>
  <c r="G4" i="78"/>
  <c r="M91" i="67"/>
  <c r="M93" i="67" s="1"/>
  <c r="AE14" i="78"/>
  <c r="S19" i="2"/>
  <c r="E21" i="39"/>
  <c r="AD4" i="79"/>
  <c r="E35" i="78"/>
  <c r="S9" i="2"/>
  <c r="BF51" i="53"/>
  <c r="DH51" i="53" s="1"/>
  <c r="I19" i="2"/>
  <c r="AF14" i="83" s="1"/>
  <c r="J125" i="74"/>
  <c r="I14" i="1"/>
  <c r="I22" i="2" s="1"/>
  <c r="J127" i="74"/>
  <c r="J126" i="74"/>
  <c r="J10" i="1"/>
  <c r="K124" i="74"/>
  <c r="K125" i="74"/>
  <c r="I13" i="2"/>
  <c r="I9" i="2"/>
  <c r="AF4" i="83" s="1"/>
  <c r="AY70" i="53"/>
  <c r="DA70" i="53" s="1"/>
  <c r="BE70" i="53"/>
  <c r="DG70" i="53" s="1"/>
  <c r="AZ70" i="53"/>
  <c r="DB70" i="53" s="1"/>
  <c r="AW70" i="53"/>
  <c r="CY70" i="53" s="1"/>
  <c r="BA70" i="53"/>
  <c r="DC70" i="53" s="1"/>
  <c r="AX70" i="53"/>
  <c r="CZ70" i="53" s="1"/>
  <c r="BB70" i="53"/>
  <c r="DD70" i="53" s="1"/>
  <c r="AY38" i="53"/>
  <c r="DA38" i="53" s="1"/>
  <c r="BA38" i="53"/>
  <c r="DC38" i="53" s="1"/>
  <c r="BB38" i="53"/>
  <c r="DD38" i="53" s="1"/>
  <c r="AY51" i="53"/>
  <c r="DA51" i="53" s="1"/>
  <c r="AZ51" i="53"/>
  <c r="DB51" i="53" s="1"/>
  <c r="AM53" i="60"/>
  <c r="I111" i="74"/>
  <c r="I114" i="74"/>
  <c r="H22" i="2"/>
  <c r="AE17" i="83" s="1"/>
  <c r="G55" i="65"/>
  <c r="I115" i="74"/>
  <c r="I112" i="74"/>
  <c r="G22" i="65"/>
  <c r="I110" i="74"/>
  <c r="I113" i="74"/>
  <c r="G50" i="65"/>
  <c r="AW12" i="53"/>
  <c r="CY12" i="53" s="1"/>
  <c r="BC12" i="53"/>
  <c r="DE12" i="53" s="1"/>
  <c r="AM54" i="60"/>
  <c r="AM58" i="60"/>
  <c r="AM60" i="60"/>
  <c r="AM56" i="60"/>
  <c r="BF25" i="53"/>
  <c r="DH25" i="53" s="1"/>
  <c r="AM57" i="60"/>
  <c r="AM61" i="60"/>
  <c r="K58" i="74"/>
  <c r="K62" i="74" s="1"/>
  <c r="J71" i="74"/>
  <c r="J74" i="74" s="1"/>
  <c r="AZ25" i="53"/>
  <c r="DB25" i="53" s="1"/>
  <c r="AZ38" i="53"/>
  <c r="DB38" i="53" s="1"/>
  <c r="AM14" i="60"/>
  <c r="AP58" i="60"/>
  <c r="J12" i="1"/>
  <c r="H6" i="83" s="1"/>
  <c r="I16" i="1"/>
  <c r="AP53" i="60"/>
  <c r="J104" i="74"/>
  <c r="J107" i="74" s="1"/>
  <c r="K91" i="74"/>
  <c r="K22" i="74"/>
  <c r="J35" i="74"/>
  <c r="J39" i="74" s="1"/>
  <c r="H20" i="65" s="1"/>
  <c r="K90" i="74"/>
  <c r="AY25" i="53"/>
  <c r="DA25" i="53" s="1"/>
  <c r="AW25" i="53"/>
  <c r="CY25" i="53" s="1"/>
  <c r="BA25" i="53"/>
  <c r="DC25" i="53" s="1"/>
  <c r="AW83" i="53"/>
  <c r="BA83" i="53"/>
  <c r="AY83" i="53"/>
  <c r="BE25" i="53"/>
  <c r="DG25" i="53" s="1"/>
  <c r="BC25" i="53"/>
  <c r="DE25" i="53" s="1"/>
  <c r="BG25" i="53"/>
  <c r="DI25" i="53" s="1"/>
  <c r="BD51" i="53"/>
  <c r="DF51" i="53" s="1"/>
  <c r="BH51" i="53"/>
  <c r="DJ51" i="53" s="1"/>
  <c r="AX25" i="53"/>
  <c r="CZ25" i="53" s="1"/>
  <c r="BB25" i="53"/>
  <c r="DD25" i="53" s="1"/>
  <c r="AZ83" i="53"/>
  <c r="BD25" i="53"/>
  <c r="DF25" i="53" s="1"/>
  <c r="BH25" i="53"/>
  <c r="DJ25" i="53" s="1"/>
  <c r="BE51" i="53"/>
  <c r="DG51" i="53" s="1"/>
  <c r="BC51" i="53"/>
  <c r="DE51" i="53" s="1"/>
  <c r="BG51" i="53"/>
  <c r="DI51" i="53" s="1"/>
  <c r="M28" i="73"/>
  <c r="L28" i="73"/>
  <c r="BL28" i="73" s="1"/>
  <c r="K28" i="73"/>
  <c r="J28" i="73"/>
  <c r="BK28" i="73" s="1"/>
  <c r="I28" i="73"/>
  <c r="H28" i="73"/>
  <c r="BJ28" i="73" s="1"/>
  <c r="G28" i="73"/>
  <c r="F28" i="73"/>
  <c r="BI28" i="73" s="1"/>
  <c r="M27" i="73"/>
  <c r="L27" i="73"/>
  <c r="BL27" i="73" s="1"/>
  <c r="K27" i="73"/>
  <c r="J27" i="73"/>
  <c r="BK27" i="73" s="1"/>
  <c r="I27" i="73"/>
  <c r="H27" i="73"/>
  <c r="BJ27" i="73" s="1"/>
  <c r="G27" i="73"/>
  <c r="F27" i="73"/>
  <c r="BI27" i="73" s="1"/>
  <c r="M26" i="73"/>
  <c r="L26" i="73"/>
  <c r="BL26" i="73" s="1"/>
  <c r="K26" i="73"/>
  <c r="J26" i="73"/>
  <c r="BK26" i="73" s="1"/>
  <c r="I26" i="73"/>
  <c r="H26" i="73"/>
  <c r="BJ26" i="73" s="1"/>
  <c r="G26" i="73"/>
  <c r="F26" i="73"/>
  <c r="BI26" i="73" s="1"/>
  <c r="M23" i="73"/>
  <c r="L23" i="73"/>
  <c r="BL23" i="73" s="1"/>
  <c r="K23" i="73"/>
  <c r="J23" i="73"/>
  <c r="BK23" i="73" s="1"/>
  <c r="I23" i="73"/>
  <c r="H23" i="73"/>
  <c r="BJ23" i="73" s="1"/>
  <c r="G23" i="73"/>
  <c r="F23" i="73"/>
  <c r="BI23" i="73" s="1"/>
  <c r="M22" i="73"/>
  <c r="L22" i="73"/>
  <c r="BL22" i="73" s="1"/>
  <c r="K22" i="73"/>
  <c r="J22" i="73"/>
  <c r="BK22" i="73" s="1"/>
  <c r="I22" i="73"/>
  <c r="H22" i="73"/>
  <c r="BJ22" i="73" s="1"/>
  <c r="G22" i="73"/>
  <c r="F22" i="73"/>
  <c r="BI22" i="73" s="1"/>
  <c r="M20" i="73"/>
  <c r="L20" i="73"/>
  <c r="BL20" i="73" s="1"/>
  <c r="K20" i="73"/>
  <c r="J20" i="73"/>
  <c r="BK20" i="73" s="1"/>
  <c r="I20" i="73"/>
  <c r="H20" i="73"/>
  <c r="BJ20" i="73" s="1"/>
  <c r="G20" i="73"/>
  <c r="F20" i="73"/>
  <c r="BI20" i="73" s="1"/>
  <c r="M19" i="73"/>
  <c r="L19" i="73"/>
  <c r="BL19" i="73" s="1"/>
  <c r="K19" i="73"/>
  <c r="J19" i="73"/>
  <c r="BK19" i="73" s="1"/>
  <c r="I19" i="73"/>
  <c r="H19" i="73"/>
  <c r="BJ19" i="73" s="1"/>
  <c r="G19" i="73"/>
  <c r="F19" i="73"/>
  <c r="BI19" i="73" s="1"/>
  <c r="M16" i="73"/>
  <c r="L16" i="73"/>
  <c r="BL16" i="73" s="1"/>
  <c r="K16" i="73"/>
  <c r="J16" i="73"/>
  <c r="BK16" i="73" s="1"/>
  <c r="I16" i="73"/>
  <c r="H16" i="73"/>
  <c r="BJ16" i="73" s="1"/>
  <c r="G16" i="73"/>
  <c r="F16" i="73"/>
  <c r="BI16" i="73" s="1"/>
  <c r="M15" i="73"/>
  <c r="L15" i="73"/>
  <c r="BL15" i="73" s="1"/>
  <c r="K15" i="73"/>
  <c r="J15" i="73"/>
  <c r="BK15" i="73" s="1"/>
  <c r="I15" i="73"/>
  <c r="H15" i="73"/>
  <c r="BJ15" i="73" s="1"/>
  <c r="G15" i="73"/>
  <c r="F15" i="73"/>
  <c r="BI15" i="73" s="1"/>
  <c r="M14" i="73"/>
  <c r="L14" i="73"/>
  <c r="BL14" i="73" s="1"/>
  <c r="K14" i="73"/>
  <c r="J14" i="73"/>
  <c r="BK14" i="73" s="1"/>
  <c r="I14" i="73"/>
  <c r="H14" i="73"/>
  <c r="BJ14" i="73" s="1"/>
  <c r="G14" i="73"/>
  <c r="F14" i="73"/>
  <c r="BI14" i="73" s="1"/>
  <c r="E22" i="73"/>
  <c r="E28" i="73"/>
  <c r="D28" i="73"/>
  <c r="BH28" i="73" s="1"/>
  <c r="E27" i="73"/>
  <c r="D27" i="73"/>
  <c r="BH27" i="73" s="1"/>
  <c r="E26" i="73"/>
  <c r="D26" i="73"/>
  <c r="BH26" i="73" s="1"/>
  <c r="E23" i="73"/>
  <c r="D23" i="73"/>
  <c r="BH23" i="73" s="1"/>
  <c r="D22" i="73"/>
  <c r="BH22" i="73" s="1"/>
  <c r="E20" i="73"/>
  <c r="D20" i="73"/>
  <c r="BH20" i="73" s="1"/>
  <c r="E19" i="73"/>
  <c r="D19" i="73"/>
  <c r="BH19" i="73" s="1"/>
  <c r="E16" i="73"/>
  <c r="D16" i="73"/>
  <c r="BH16" i="73" s="1"/>
  <c r="E15" i="73"/>
  <c r="D15" i="73"/>
  <c r="BH15" i="73" s="1"/>
  <c r="E14" i="73"/>
  <c r="D14" i="73"/>
  <c r="BH14" i="73" s="1"/>
  <c r="AH9" i="73"/>
  <c r="AH98" i="73" s="1"/>
  <c r="AV9" i="73"/>
  <c r="AK9" i="73"/>
  <c r="Z9" i="73"/>
  <c r="Z98" i="73" s="1"/>
  <c r="BD9" i="73"/>
  <c r="BB9" i="73"/>
  <c r="AZ9" i="73"/>
  <c r="AX9" i="73"/>
  <c r="AS9" i="73"/>
  <c r="AQ9" i="73"/>
  <c r="AO9" i="73"/>
  <c r="AM9" i="73"/>
  <c r="AG9" i="73"/>
  <c r="AF9" i="73"/>
  <c r="AF98" i="73" s="1"/>
  <c r="AD9" i="73"/>
  <c r="AD98" i="73" s="1"/>
  <c r="AB9" i="73"/>
  <c r="AB98" i="73" s="1"/>
  <c r="Q9" i="73"/>
  <c r="Q98" i="73" s="1"/>
  <c r="S9" i="73"/>
  <c r="S98" i="73" s="1"/>
  <c r="U9" i="73"/>
  <c r="U98" i="73" s="1"/>
  <c r="W9" i="73"/>
  <c r="W98" i="73" s="1"/>
  <c r="O9" i="73"/>
  <c r="O98" i="73" s="1"/>
  <c r="D9" i="73"/>
  <c r="BH9" i="73" s="1"/>
  <c r="C104" i="53"/>
  <c r="K105" i="53"/>
  <c r="L105" i="53"/>
  <c r="M105" i="53"/>
  <c r="N105" i="53"/>
  <c r="O105" i="53"/>
  <c r="P105" i="53"/>
  <c r="S108" i="53"/>
  <c r="T108" i="53"/>
  <c r="U108" i="53"/>
  <c r="V108" i="53"/>
  <c r="W108" i="53"/>
  <c r="X108" i="53"/>
  <c r="CM53" i="60" l="1"/>
  <c r="CJ60" i="60"/>
  <c r="CJ53" i="60"/>
  <c r="CJ59" i="60"/>
  <c r="CJ58" i="60"/>
  <c r="CJ55" i="60"/>
  <c r="CJ61" i="60"/>
  <c r="CJ56" i="60"/>
  <c r="CJ54" i="60"/>
  <c r="CM58" i="60"/>
  <c r="CJ57" i="60"/>
  <c r="BD76" i="53"/>
  <c r="DF76" i="53" s="1"/>
  <c r="AF4" i="84"/>
  <c r="G35" i="83"/>
  <c r="AE13" i="84"/>
  <c r="AE12" i="84" s="1"/>
  <c r="F57" i="83"/>
  <c r="AF17" i="78"/>
  <c r="AF17" i="83"/>
  <c r="AE8" i="84"/>
  <c r="AE7" i="84" s="1"/>
  <c r="F52" i="83"/>
  <c r="AF8" i="78"/>
  <c r="AF8" i="83"/>
  <c r="N91" i="85"/>
  <c r="N93" i="85" s="1"/>
  <c r="H4" i="83"/>
  <c r="AZ76" i="53"/>
  <c r="DB76" i="53" s="1"/>
  <c r="DB83" i="53"/>
  <c r="AY76" i="53"/>
  <c r="DA76" i="53" s="1"/>
  <c r="DA83" i="53"/>
  <c r="BB76" i="53"/>
  <c r="DD76" i="53" s="1"/>
  <c r="DD83" i="53"/>
  <c r="BA76" i="53"/>
  <c r="DC76" i="53" s="1"/>
  <c r="DC83" i="53"/>
  <c r="AX76" i="53"/>
  <c r="CZ76" i="53" s="1"/>
  <c r="CZ83" i="53"/>
  <c r="AW76" i="53"/>
  <c r="CY76" i="53" s="1"/>
  <c r="CY83" i="53"/>
  <c r="BF76" i="53"/>
  <c r="DH76" i="53" s="1"/>
  <c r="DH83" i="53"/>
  <c r="BG76" i="53"/>
  <c r="DI76" i="53" s="1"/>
  <c r="DI83" i="53"/>
  <c r="BC76" i="53"/>
  <c r="DE76" i="53" s="1"/>
  <c r="DE83" i="53"/>
  <c r="BE76" i="53"/>
  <c r="DG76" i="53" s="1"/>
  <c r="DG83" i="53"/>
  <c r="BH76" i="53"/>
  <c r="DJ76" i="53" s="1"/>
  <c r="DJ83" i="53"/>
  <c r="AU53" i="60"/>
  <c r="AU58" i="60"/>
  <c r="D98" i="73"/>
  <c r="K92" i="74"/>
  <c r="K95" i="74"/>
  <c r="K23" i="74"/>
  <c r="K26" i="74"/>
  <c r="AE4" i="79"/>
  <c r="F35" i="78"/>
  <c r="T22" i="2"/>
  <c r="AE17" i="78"/>
  <c r="T9" i="2"/>
  <c r="AF4" i="78"/>
  <c r="N91" i="67"/>
  <c r="H4" i="78"/>
  <c r="AE8" i="79"/>
  <c r="AE7" i="79" s="1"/>
  <c r="F52" i="78"/>
  <c r="AF14" i="78"/>
  <c r="T19" i="2"/>
  <c r="J19" i="2"/>
  <c r="AG14" i="83" s="1"/>
  <c r="H6" i="78"/>
  <c r="AE13" i="79"/>
  <c r="AE12" i="79" s="1"/>
  <c r="F57" i="78"/>
  <c r="K71" i="74"/>
  <c r="K74" i="74" s="1"/>
  <c r="K59" i="74"/>
  <c r="J14" i="1"/>
  <c r="J22" i="2" s="1"/>
  <c r="K127" i="74"/>
  <c r="K126" i="74"/>
  <c r="J13" i="2"/>
  <c r="J9" i="2"/>
  <c r="AG4" i="83" s="1"/>
  <c r="J114" i="74"/>
  <c r="J111" i="74"/>
  <c r="S22" i="2"/>
  <c r="H55" i="65"/>
  <c r="J112" i="74"/>
  <c r="J115" i="74"/>
  <c r="H22" i="65"/>
  <c r="J113" i="74"/>
  <c r="J110" i="74"/>
  <c r="H50" i="65"/>
  <c r="J16" i="1"/>
  <c r="K35" i="74"/>
  <c r="K39" i="74" s="1"/>
  <c r="I20" i="65" s="1"/>
  <c r="K104" i="74"/>
  <c r="K107" i="74" s="1"/>
  <c r="B27" i="73"/>
  <c r="B28" i="73"/>
  <c r="B26" i="73"/>
  <c r="B53" i="73"/>
  <c r="B54" i="73"/>
  <c r="B52" i="73"/>
  <c r="B85" i="73"/>
  <c r="B86" i="73"/>
  <c r="B87" i="73"/>
  <c r="B84" i="73"/>
  <c r="L9" i="73"/>
  <c r="J9" i="73"/>
  <c r="H9" i="73"/>
  <c r="F9" i="73"/>
  <c r="O91" i="85" l="1"/>
  <c r="O93" i="85" s="1"/>
  <c r="AG17" i="78"/>
  <c r="AG17" i="83"/>
  <c r="AG4" i="84"/>
  <c r="H35" i="83"/>
  <c r="AF8" i="84"/>
  <c r="AF7" i="84" s="1"/>
  <c r="G52" i="83"/>
  <c r="AF13" i="84"/>
  <c r="AF12" i="84" s="1"/>
  <c r="G57" i="83"/>
  <c r="AG8" i="78"/>
  <c r="AG8" i="83"/>
  <c r="F98" i="73"/>
  <c r="BI9" i="73"/>
  <c r="H98" i="73"/>
  <c r="BJ9" i="73"/>
  <c r="J98" i="73"/>
  <c r="BK9" i="73"/>
  <c r="L98" i="73"/>
  <c r="BL9" i="73"/>
  <c r="C112" i="73"/>
  <c r="AF13" i="79"/>
  <c r="AF12" i="79" s="1"/>
  <c r="G57" i="78"/>
  <c r="U9" i="2"/>
  <c r="AG4" i="78"/>
  <c r="N93" i="67"/>
  <c r="O91" i="67"/>
  <c r="O93" i="67" s="1"/>
  <c r="AF4" i="79"/>
  <c r="G35" i="78"/>
  <c r="AF8" i="79"/>
  <c r="AF7" i="79" s="1"/>
  <c r="G52" i="78"/>
  <c r="AG14" i="78"/>
  <c r="U19" i="2"/>
  <c r="V19" i="2"/>
  <c r="V9" i="2"/>
  <c r="K114" i="74"/>
  <c r="K111" i="74"/>
  <c r="I55" i="65"/>
  <c r="K112" i="74"/>
  <c r="K115" i="74"/>
  <c r="I22" i="65"/>
  <c r="K113" i="74"/>
  <c r="K110" i="74"/>
  <c r="V22" i="2"/>
  <c r="U22" i="2"/>
  <c r="I50" i="65"/>
  <c r="AG13" i="84" l="1"/>
  <c r="AG12" i="84" s="1"/>
  <c r="H57" i="83"/>
  <c r="AG8" i="84"/>
  <c r="AG7" i="84" s="1"/>
  <c r="H52" i="83"/>
  <c r="AG4" i="79"/>
  <c r="H35" i="78"/>
  <c r="AG8" i="79"/>
  <c r="AG7" i="79" s="1"/>
  <c r="H52" i="78"/>
  <c r="AG13" i="79"/>
  <c r="AG12" i="79" s="1"/>
  <c r="H57" i="78"/>
  <c r="I81" i="39"/>
  <c r="R15" i="78" l="1"/>
  <c r="V81" i="39"/>
  <c r="R15" i="83" s="1"/>
  <c r="I92" i="39"/>
  <c r="V92" i="39" s="1"/>
  <c r="D102" i="39"/>
  <c r="E102" i="39"/>
  <c r="F102" i="39"/>
  <c r="G102" i="39"/>
  <c r="H102" i="39"/>
  <c r="C102" i="39"/>
  <c r="AV90" i="53" l="1"/>
  <c r="CX90" i="53" s="1"/>
  <c r="AU90" i="53"/>
  <c r="CW90" i="53" s="1"/>
  <c r="AT90" i="53"/>
  <c r="CV90" i="53" s="1"/>
  <c r="AS90" i="53"/>
  <c r="CU90" i="53" s="1"/>
  <c r="AR90" i="53"/>
  <c r="CT90" i="53" s="1"/>
  <c r="AQ90" i="53"/>
  <c r="CS90" i="53" s="1"/>
  <c r="AQ17" i="53" l="1"/>
  <c r="CS17" i="53" s="1"/>
  <c r="G35" i="48" l="1"/>
  <c r="N35" i="48" s="1"/>
  <c r="F35" i="48"/>
  <c r="M35" i="48" s="1"/>
  <c r="E35" i="48"/>
  <c r="L35" i="48" s="1"/>
  <c r="D35" i="48"/>
  <c r="K35" i="48" s="1"/>
  <c r="C35" i="48"/>
  <c r="J35" i="48" s="1"/>
  <c r="B35" i="48"/>
  <c r="B34" i="48" l="1"/>
  <c r="I34" i="48" s="1"/>
  <c r="I35" i="48"/>
  <c r="Y24" i="73"/>
  <c r="BS24" i="73" s="1"/>
  <c r="AN64" i="53"/>
  <c r="CQ64" i="53" s="1"/>
  <c r="AM64" i="53"/>
  <c r="CP64" i="53" s="1"/>
  <c r="AL64" i="53"/>
  <c r="CO64" i="53" s="1"/>
  <c r="AK64" i="53"/>
  <c r="CN64" i="53" s="1"/>
  <c r="AF64" i="53"/>
  <c r="CJ64" i="53" s="1"/>
  <c r="AE64" i="53"/>
  <c r="CI64" i="53" s="1"/>
  <c r="AD64" i="53"/>
  <c r="CH64" i="53" s="1"/>
  <c r="AC64" i="53"/>
  <c r="CG64" i="53" s="1"/>
  <c r="AB64" i="53"/>
  <c r="CF64" i="53" s="1"/>
  <c r="AA64" i="53"/>
  <c r="CE64" i="53" s="1"/>
  <c r="S64" i="53"/>
  <c r="BX64" i="53" s="1"/>
  <c r="O64" i="53"/>
  <c r="BU64" i="53" s="1"/>
  <c r="N64" i="53"/>
  <c r="BT64" i="53" s="1"/>
  <c r="M64" i="53"/>
  <c r="BS64" i="53" s="1"/>
  <c r="L64" i="53"/>
  <c r="BR64" i="53" s="1"/>
  <c r="K64" i="53"/>
  <c r="BQ64" i="53" s="1"/>
  <c r="AH64" i="53" l="1"/>
  <c r="AG64" i="53"/>
  <c r="CK64" i="53" s="1"/>
  <c r="R64" i="53"/>
  <c r="Q64" i="53"/>
  <c r="BW64" i="53" s="1"/>
  <c r="Y64" i="73"/>
  <c r="BS64" i="73" s="1"/>
  <c r="AJ64" i="73"/>
  <c r="BY64" i="73" s="1"/>
  <c r="N64" i="73"/>
  <c r="BM64" i="73" s="1"/>
  <c r="AI64" i="53"/>
  <c r="AT64" i="73"/>
  <c r="AS64" i="73"/>
  <c r="CD64" i="73" s="1"/>
  <c r="Q64" i="73"/>
  <c r="BO64" i="73" s="1"/>
  <c r="R64" i="73"/>
  <c r="AN64" i="73"/>
  <c r="AM64" i="73"/>
  <c r="CA64" i="73" s="1"/>
  <c r="AG24" i="73"/>
  <c r="AF24" i="73"/>
  <c r="BW24" i="73" s="1"/>
  <c r="U64" i="73"/>
  <c r="BQ64" i="73" s="1"/>
  <c r="V64" i="73"/>
  <c r="AQ64" i="73"/>
  <c r="CC64" i="73" s="1"/>
  <c r="AR64" i="73"/>
  <c r="AC24" i="73"/>
  <c r="AB24" i="73"/>
  <c r="BU24" i="73" s="1"/>
  <c r="P64" i="73"/>
  <c r="O64" i="73"/>
  <c r="BN64" i="73" s="1"/>
  <c r="AL64" i="73"/>
  <c r="AK64" i="73"/>
  <c r="BZ64" i="73" s="1"/>
  <c r="AD24" i="73"/>
  <c r="BV24" i="73" s="1"/>
  <c r="AE24" i="73"/>
  <c r="T64" i="73"/>
  <c r="S64" i="73"/>
  <c r="BP64" i="73" s="1"/>
  <c r="AP64" i="73"/>
  <c r="AO64" i="73"/>
  <c r="CB64" i="73" s="1"/>
  <c r="AA24" i="73"/>
  <c r="Z24" i="73"/>
  <c r="BT24" i="73" s="1"/>
  <c r="AH24" i="73"/>
  <c r="BX24" i="73" s="1"/>
  <c r="AI24" i="73"/>
  <c r="AM39" i="60"/>
  <c r="AQ43" i="60"/>
  <c r="AM43" i="60"/>
  <c r="C64" i="53"/>
  <c r="BJ64" i="53" s="1"/>
  <c r="AS43" i="60"/>
  <c r="AR39" i="60"/>
  <c r="AP43" i="60"/>
  <c r="P64" i="53"/>
  <c r="BV64" i="53" s="1"/>
  <c r="AS39" i="60"/>
  <c r="AR43" i="60"/>
  <c r="AT43" i="60"/>
  <c r="AQ39" i="60"/>
  <c r="AP39" i="60"/>
  <c r="AT39" i="60"/>
  <c r="CJ43" i="60" l="1"/>
  <c r="CQ43" i="60"/>
  <c r="CP43" i="60"/>
  <c r="CN43" i="60"/>
  <c r="CO43" i="60"/>
  <c r="CM43" i="60"/>
  <c r="CO39" i="60"/>
  <c r="CN39" i="60"/>
  <c r="CP39" i="60"/>
  <c r="CQ39" i="60"/>
  <c r="CJ39" i="60"/>
  <c r="CL64" i="53"/>
  <c r="AU39" i="60"/>
  <c r="CM39" i="60"/>
  <c r="AU43" i="60"/>
  <c r="AU64" i="73"/>
  <c r="CE64" i="73" s="1"/>
  <c r="C64" i="73"/>
  <c r="BG64" i="73" s="1"/>
  <c r="BD64" i="73"/>
  <c r="CJ64" i="73" s="1"/>
  <c r="AZ64" i="73"/>
  <c r="CH64" i="73" s="1"/>
  <c r="AY64" i="73"/>
  <c r="BC64" i="73"/>
  <c r="AX64" i="73"/>
  <c r="CG64" i="73" s="1"/>
  <c r="BE64" i="73"/>
  <c r="BA64" i="73"/>
  <c r="BB64" i="73"/>
  <c r="CI64" i="73" s="1"/>
  <c r="X64" i="73"/>
  <c r="W64" i="73"/>
  <c r="BR64" i="73" s="1"/>
  <c r="AW64" i="53"/>
  <c r="CY64" i="53" s="1"/>
  <c r="BC64" i="53"/>
  <c r="DE64" i="53" s="1"/>
  <c r="AH213" i="50" l="1"/>
  <c r="AA213" i="50"/>
  <c r="T213" i="50"/>
  <c r="M213" i="50"/>
  <c r="F213" i="50"/>
  <c r="AH212" i="50"/>
  <c r="AA212" i="50"/>
  <c r="T212" i="50"/>
  <c r="M212" i="50"/>
  <c r="AH211" i="50"/>
  <c r="AA211" i="50"/>
  <c r="T211" i="50"/>
  <c r="M211" i="50"/>
  <c r="AH210" i="50"/>
  <c r="AA210" i="50"/>
  <c r="M210" i="50"/>
  <c r="F210" i="50"/>
  <c r="AH209" i="50"/>
  <c r="AA209" i="50"/>
  <c r="T209" i="50"/>
  <c r="F209" i="50"/>
  <c r="AH208" i="50"/>
  <c r="AA208" i="50"/>
  <c r="T208" i="50"/>
  <c r="M208" i="50"/>
  <c r="AH207" i="50"/>
  <c r="AA207" i="50"/>
  <c r="T207" i="50"/>
  <c r="M207" i="50"/>
  <c r="AH206" i="50"/>
  <c r="AA206" i="50"/>
  <c r="T206" i="50"/>
  <c r="M206" i="50"/>
  <c r="F206" i="50"/>
  <c r="AH205" i="50"/>
  <c r="AA205" i="50"/>
  <c r="T205" i="50"/>
  <c r="M205" i="50"/>
  <c r="AH204" i="50"/>
  <c r="AA204" i="50"/>
  <c r="T204" i="50"/>
  <c r="M204" i="50"/>
  <c r="F204" i="50"/>
  <c r="AH203" i="50"/>
  <c r="AA203" i="50"/>
  <c r="T203" i="50"/>
  <c r="M203" i="50"/>
  <c r="AH202" i="50"/>
  <c r="AA202" i="50"/>
  <c r="T202" i="50"/>
  <c r="M202" i="50"/>
  <c r="AH201" i="50"/>
  <c r="AA201" i="50"/>
  <c r="T201" i="50"/>
  <c r="M201" i="50"/>
  <c r="AH200" i="50"/>
  <c r="AA200" i="50"/>
  <c r="T200" i="50"/>
  <c r="M200" i="50"/>
  <c r="F200" i="50"/>
  <c r="AH199" i="50"/>
  <c r="AA199" i="50"/>
  <c r="T199" i="50"/>
  <c r="M199" i="50"/>
  <c r="AH198" i="50"/>
  <c r="AA198" i="50"/>
  <c r="T198" i="50"/>
  <c r="M198" i="50"/>
  <c r="AH197" i="50"/>
  <c r="AA197" i="50"/>
  <c r="T197" i="50"/>
  <c r="M197" i="50"/>
  <c r="AH196" i="50"/>
  <c r="AA196" i="50"/>
  <c r="T196" i="50"/>
  <c r="M196" i="50"/>
  <c r="F196" i="50"/>
  <c r="AH195" i="50"/>
  <c r="AA195" i="50"/>
  <c r="T195" i="50"/>
  <c r="M195" i="50"/>
  <c r="F195" i="50"/>
  <c r="AH194" i="50"/>
  <c r="AA194" i="50"/>
  <c r="T194" i="50"/>
  <c r="M194" i="50"/>
  <c r="AH193" i="50"/>
  <c r="AA193" i="50"/>
  <c r="T193" i="50"/>
  <c r="M193" i="50"/>
  <c r="AN108" i="51"/>
  <c r="CE108" i="51" s="1"/>
  <c r="AN107" i="51"/>
  <c r="CE107" i="51" s="1"/>
  <c r="AN106" i="51"/>
  <c r="CE106" i="51" s="1"/>
  <c r="AN105" i="51"/>
  <c r="CE105" i="51" s="1"/>
  <c r="AN104" i="51"/>
  <c r="CE104" i="51" s="1"/>
  <c r="AN103" i="51"/>
  <c r="CE103" i="51" s="1"/>
  <c r="AN102" i="51"/>
  <c r="CE102" i="51" s="1"/>
  <c r="AN101" i="51"/>
  <c r="CE101" i="51" s="1"/>
  <c r="AN100" i="51"/>
  <c r="CE100" i="51" s="1"/>
  <c r="AN98" i="51"/>
  <c r="CE98" i="51" s="1"/>
  <c r="AN97" i="51"/>
  <c r="CE97" i="51" s="1"/>
  <c r="AN96" i="51"/>
  <c r="CE96" i="51" s="1"/>
  <c r="AN95" i="51"/>
  <c r="CE95" i="51" s="1"/>
  <c r="AN93" i="51"/>
  <c r="CE93" i="51" s="1"/>
  <c r="AN92" i="51"/>
  <c r="CE92" i="51" s="1"/>
  <c r="AN91" i="51"/>
  <c r="CE91" i="51" s="1"/>
  <c r="AN90" i="51"/>
  <c r="CE90" i="51" s="1"/>
  <c r="AN89" i="51"/>
  <c r="CE89" i="51" s="1"/>
  <c r="AN88" i="51"/>
  <c r="CE88" i="51" s="1"/>
  <c r="AN87" i="51"/>
  <c r="CE87" i="51" s="1"/>
  <c r="AN86" i="51"/>
  <c r="CE86" i="51" s="1"/>
  <c r="AN85" i="51"/>
  <c r="CE85" i="51" s="1"/>
  <c r="AN84" i="51"/>
  <c r="CE84" i="51" s="1"/>
  <c r="AN82" i="51"/>
  <c r="CE82" i="51" s="1"/>
  <c r="AN81" i="51"/>
  <c r="CE81" i="51" s="1"/>
  <c r="AN78" i="51"/>
  <c r="CE78" i="51" s="1"/>
  <c r="AN77" i="51"/>
  <c r="CE77" i="51" s="1"/>
  <c r="AN76" i="51"/>
  <c r="CE76" i="51" s="1"/>
  <c r="AN75" i="51"/>
  <c r="CE75" i="51" s="1"/>
  <c r="AN73" i="51"/>
  <c r="CE73" i="51" s="1"/>
  <c r="AN72" i="51"/>
  <c r="CE72" i="51" s="1"/>
  <c r="AN70" i="51"/>
  <c r="CE70" i="51" s="1"/>
  <c r="AN69" i="51"/>
  <c r="CE69" i="51" s="1"/>
  <c r="AN68" i="51"/>
  <c r="CE68" i="51" s="1"/>
  <c r="AN66" i="51"/>
  <c r="CE66" i="51" s="1"/>
  <c r="AN65" i="51"/>
  <c r="CE65" i="51" s="1"/>
  <c r="AN63" i="51"/>
  <c r="CE63" i="51" s="1"/>
  <c r="AN62" i="51"/>
  <c r="CE62" i="51" s="1"/>
  <c r="AN59" i="51"/>
  <c r="CE59" i="51" s="1"/>
  <c r="AN58" i="51"/>
  <c r="CE58" i="51" s="1"/>
  <c r="AN57" i="51"/>
  <c r="CE57" i="51" s="1"/>
  <c r="AN56" i="51"/>
  <c r="CE56" i="51" s="1"/>
  <c r="AN55" i="51"/>
  <c r="CE55" i="51" s="1"/>
  <c r="AN54" i="51"/>
  <c r="CE54" i="51" s="1"/>
  <c r="AN53" i="51"/>
  <c r="CE53" i="51" s="1"/>
  <c r="AN52" i="51"/>
  <c r="CE52" i="51" s="1"/>
  <c r="AN51" i="51"/>
  <c r="CE51" i="51" s="1"/>
  <c r="AN49" i="51"/>
  <c r="CE49" i="51" s="1"/>
  <c r="AN48" i="51"/>
  <c r="CE48" i="51" s="1"/>
  <c r="AN47" i="51"/>
  <c r="CE47" i="51" s="1"/>
  <c r="AN46" i="51"/>
  <c r="CE46" i="51" s="1"/>
  <c r="AN44" i="51"/>
  <c r="CE44" i="51" s="1"/>
  <c r="AN43" i="51"/>
  <c r="CE43" i="51" s="1"/>
  <c r="AN42" i="51"/>
  <c r="CE42" i="51" s="1"/>
  <c r="AN41" i="51"/>
  <c r="CE41" i="51" s="1"/>
  <c r="AN40" i="51"/>
  <c r="CE40" i="51" s="1"/>
  <c r="AN39" i="51"/>
  <c r="CE39" i="51" s="1"/>
  <c r="AN38" i="51"/>
  <c r="CE38" i="51" s="1"/>
  <c r="AN37" i="51"/>
  <c r="CE37" i="51" s="1"/>
  <c r="AN36" i="51"/>
  <c r="CE36" i="51" s="1"/>
  <c r="AN35" i="51"/>
  <c r="CE35" i="51" s="1"/>
  <c r="AN33" i="51"/>
  <c r="CE33" i="51" s="1"/>
  <c r="AN32" i="51"/>
  <c r="CE32" i="51" s="1"/>
  <c r="AN29" i="51"/>
  <c r="CE29" i="51" s="1"/>
  <c r="AN28" i="51"/>
  <c r="CE28" i="51" s="1"/>
  <c r="AN27" i="51"/>
  <c r="CE27" i="51" s="1"/>
  <c r="AN26" i="51"/>
  <c r="CE26" i="51" s="1"/>
  <c r="AN24" i="51"/>
  <c r="CE24" i="51" s="1"/>
  <c r="AN23" i="51"/>
  <c r="CE23" i="51" s="1"/>
  <c r="AN21" i="51"/>
  <c r="CE21" i="51" s="1"/>
  <c r="AN20" i="51"/>
  <c r="CE20" i="51" s="1"/>
  <c r="AN19" i="51"/>
  <c r="CE19" i="51" s="1"/>
  <c r="AN17" i="51"/>
  <c r="CE17" i="51" s="1"/>
  <c r="AN16" i="51"/>
  <c r="CE16" i="51" s="1"/>
  <c r="AN14" i="51"/>
  <c r="CE14" i="51" s="1"/>
  <c r="AN13" i="51"/>
  <c r="CE13" i="51" s="1"/>
  <c r="AG108" i="51"/>
  <c r="BX108" i="51" s="1"/>
  <c r="AG107" i="51"/>
  <c r="BX107" i="51" s="1"/>
  <c r="AG106" i="51"/>
  <c r="BX106" i="51" s="1"/>
  <c r="AG105" i="51"/>
  <c r="BX105" i="51" s="1"/>
  <c r="AG104" i="51"/>
  <c r="BX104" i="51" s="1"/>
  <c r="AG103" i="51"/>
  <c r="BX103" i="51" s="1"/>
  <c r="AG102" i="51"/>
  <c r="BX102" i="51" s="1"/>
  <c r="AG101" i="51"/>
  <c r="BX101" i="51" s="1"/>
  <c r="AG100" i="51"/>
  <c r="BX100" i="51" s="1"/>
  <c r="AG98" i="51"/>
  <c r="BX98" i="51" s="1"/>
  <c r="AG97" i="51"/>
  <c r="BX97" i="51" s="1"/>
  <c r="AG96" i="51"/>
  <c r="BX96" i="51" s="1"/>
  <c r="AG95" i="51"/>
  <c r="BX95" i="51" s="1"/>
  <c r="AG93" i="51"/>
  <c r="BX93" i="51" s="1"/>
  <c r="AG92" i="51"/>
  <c r="BX92" i="51" s="1"/>
  <c r="AG91" i="51"/>
  <c r="BX91" i="51" s="1"/>
  <c r="AG90" i="51"/>
  <c r="BX90" i="51" s="1"/>
  <c r="AG89" i="51"/>
  <c r="BX89" i="51" s="1"/>
  <c r="AG88" i="51"/>
  <c r="BX88" i="51" s="1"/>
  <c r="AG87" i="51"/>
  <c r="BX87" i="51" s="1"/>
  <c r="AG86" i="51"/>
  <c r="BX86" i="51" s="1"/>
  <c r="AG85" i="51"/>
  <c r="BX85" i="51" s="1"/>
  <c r="AG84" i="51"/>
  <c r="BX84" i="51" s="1"/>
  <c r="AG82" i="51"/>
  <c r="BX82" i="51" s="1"/>
  <c r="AG81" i="51"/>
  <c r="BX81" i="51" s="1"/>
  <c r="AG78" i="51"/>
  <c r="BX78" i="51" s="1"/>
  <c r="AG77" i="51"/>
  <c r="BX77" i="51" s="1"/>
  <c r="AG76" i="51"/>
  <c r="BX76" i="51" s="1"/>
  <c r="AG75" i="51"/>
  <c r="BX75" i="51" s="1"/>
  <c r="AG73" i="51"/>
  <c r="BX73" i="51" s="1"/>
  <c r="AG72" i="51"/>
  <c r="BX72" i="51" s="1"/>
  <c r="AG70" i="51"/>
  <c r="BX70" i="51" s="1"/>
  <c r="AG69" i="51"/>
  <c r="BX69" i="51" s="1"/>
  <c r="AG68" i="51"/>
  <c r="BX68" i="51" s="1"/>
  <c r="AG66" i="51"/>
  <c r="BX66" i="51" s="1"/>
  <c r="AG65" i="51"/>
  <c r="AG63" i="51"/>
  <c r="BX63" i="51" s="1"/>
  <c r="AG62" i="51"/>
  <c r="BX62" i="51" s="1"/>
  <c r="AG59" i="51"/>
  <c r="BX59" i="51" s="1"/>
  <c r="AG58" i="51"/>
  <c r="BX58" i="51" s="1"/>
  <c r="AG57" i="51"/>
  <c r="BX57" i="51" s="1"/>
  <c r="AG56" i="51"/>
  <c r="BX56" i="51" s="1"/>
  <c r="AG55" i="51"/>
  <c r="BX55" i="51" s="1"/>
  <c r="AG54" i="51"/>
  <c r="BX54" i="51" s="1"/>
  <c r="AG53" i="51"/>
  <c r="BX53" i="51" s="1"/>
  <c r="AG52" i="51"/>
  <c r="BX52" i="51" s="1"/>
  <c r="AG51" i="51"/>
  <c r="BX51" i="51" s="1"/>
  <c r="AG49" i="51"/>
  <c r="BX49" i="51" s="1"/>
  <c r="AG48" i="51"/>
  <c r="BX48" i="51" s="1"/>
  <c r="AG47" i="51"/>
  <c r="BX47" i="51" s="1"/>
  <c r="AG46" i="51"/>
  <c r="BX46" i="51" s="1"/>
  <c r="AG44" i="51"/>
  <c r="BX44" i="51" s="1"/>
  <c r="AG43" i="51"/>
  <c r="BX43" i="51" s="1"/>
  <c r="AG42" i="51"/>
  <c r="BX42" i="51" s="1"/>
  <c r="AG41" i="51"/>
  <c r="BX41" i="51" s="1"/>
  <c r="AG40" i="51"/>
  <c r="BX40" i="51" s="1"/>
  <c r="AG39" i="51"/>
  <c r="BX39" i="51" s="1"/>
  <c r="AG38" i="51"/>
  <c r="BX38" i="51" s="1"/>
  <c r="AG37" i="51"/>
  <c r="BX37" i="51" s="1"/>
  <c r="AG36" i="51"/>
  <c r="BX36" i="51" s="1"/>
  <c r="AG35" i="51"/>
  <c r="BX35" i="51" s="1"/>
  <c r="AG33" i="51"/>
  <c r="BX33" i="51" s="1"/>
  <c r="AG32" i="51"/>
  <c r="BX32" i="51" s="1"/>
  <c r="AG29" i="51"/>
  <c r="BX29" i="51" s="1"/>
  <c r="AG28" i="51"/>
  <c r="BX28" i="51" s="1"/>
  <c r="AG27" i="51"/>
  <c r="BX27" i="51" s="1"/>
  <c r="AG26" i="51"/>
  <c r="BX26" i="51" s="1"/>
  <c r="AG24" i="51"/>
  <c r="BX24" i="51" s="1"/>
  <c r="AG23" i="51"/>
  <c r="BX23" i="51" s="1"/>
  <c r="AG21" i="51"/>
  <c r="BX21" i="51" s="1"/>
  <c r="AG20" i="51"/>
  <c r="BX20" i="51" s="1"/>
  <c r="AG19" i="51"/>
  <c r="BX19" i="51" s="1"/>
  <c r="AG17" i="51"/>
  <c r="BX17" i="51" s="1"/>
  <c r="AG16" i="51"/>
  <c r="BX16" i="51" s="1"/>
  <c r="AG14" i="51"/>
  <c r="BX14" i="51" s="1"/>
  <c r="AG13" i="51"/>
  <c r="BX13" i="51" s="1"/>
  <c r="Z108" i="51"/>
  <c r="BQ108" i="51" s="1"/>
  <c r="Z107" i="51"/>
  <c r="BQ107" i="51" s="1"/>
  <c r="Z106" i="51"/>
  <c r="BQ106" i="51" s="1"/>
  <c r="Z105" i="51"/>
  <c r="BQ105" i="51" s="1"/>
  <c r="Z104" i="51"/>
  <c r="BQ104" i="51" s="1"/>
  <c r="Z103" i="51"/>
  <c r="BQ103" i="51" s="1"/>
  <c r="Z102" i="51"/>
  <c r="BQ102" i="51" s="1"/>
  <c r="Z101" i="51"/>
  <c r="BQ101" i="51" s="1"/>
  <c r="Z100" i="51"/>
  <c r="BQ100" i="51" s="1"/>
  <c r="Z98" i="51"/>
  <c r="BQ98" i="51" s="1"/>
  <c r="Z97" i="51"/>
  <c r="BQ97" i="51" s="1"/>
  <c r="Z96" i="51"/>
  <c r="BQ96" i="51" s="1"/>
  <c r="Z95" i="51"/>
  <c r="BQ95" i="51" s="1"/>
  <c r="Z93" i="51"/>
  <c r="BQ93" i="51" s="1"/>
  <c r="Z92" i="51"/>
  <c r="BQ92" i="51" s="1"/>
  <c r="Z91" i="51"/>
  <c r="BQ91" i="51" s="1"/>
  <c r="Z90" i="51"/>
  <c r="BQ90" i="51" s="1"/>
  <c r="Z89" i="51"/>
  <c r="BQ89" i="51" s="1"/>
  <c r="Z88" i="51"/>
  <c r="BQ88" i="51" s="1"/>
  <c r="Z87" i="51"/>
  <c r="BQ87" i="51" s="1"/>
  <c r="Z86" i="51"/>
  <c r="BQ86" i="51" s="1"/>
  <c r="Z85" i="51"/>
  <c r="BQ85" i="51" s="1"/>
  <c r="Z84" i="51"/>
  <c r="BQ84" i="51" s="1"/>
  <c r="Z82" i="51"/>
  <c r="BQ82" i="51" s="1"/>
  <c r="Z81" i="51"/>
  <c r="BQ81" i="51" s="1"/>
  <c r="Z78" i="51"/>
  <c r="BQ78" i="51" s="1"/>
  <c r="Z77" i="51"/>
  <c r="BQ77" i="51" s="1"/>
  <c r="Z76" i="51"/>
  <c r="BQ76" i="51" s="1"/>
  <c r="Z75" i="51"/>
  <c r="BQ75" i="51" s="1"/>
  <c r="Z73" i="51"/>
  <c r="BQ73" i="51" s="1"/>
  <c r="Z72" i="51"/>
  <c r="BQ72" i="51" s="1"/>
  <c r="Z70" i="51"/>
  <c r="BQ70" i="51" s="1"/>
  <c r="Z69" i="51"/>
  <c r="BQ69" i="51" s="1"/>
  <c r="Z68" i="51"/>
  <c r="BQ68" i="51" s="1"/>
  <c r="Z66" i="51"/>
  <c r="BQ66" i="51" s="1"/>
  <c r="Z65" i="51"/>
  <c r="BQ65" i="51" s="1"/>
  <c r="Z63" i="51"/>
  <c r="BQ63" i="51" s="1"/>
  <c r="Z62" i="51"/>
  <c r="BQ62" i="51" s="1"/>
  <c r="Z59" i="51"/>
  <c r="BQ59" i="51" s="1"/>
  <c r="Z58" i="51"/>
  <c r="BQ58" i="51" s="1"/>
  <c r="Z57" i="51"/>
  <c r="BQ57" i="51" s="1"/>
  <c r="Z56" i="51"/>
  <c r="BQ56" i="51" s="1"/>
  <c r="Z55" i="51"/>
  <c r="BQ55" i="51" s="1"/>
  <c r="Z54" i="51"/>
  <c r="BQ54" i="51" s="1"/>
  <c r="Z53" i="51"/>
  <c r="BQ53" i="51" s="1"/>
  <c r="Z52" i="51"/>
  <c r="BQ52" i="51" s="1"/>
  <c r="Z51" i="51"/>
  <c r="BQ51" i="51" s="1"/>
  <c r="Z49" i="51"/>
  <c r="BQ49" i="51" s="1"/>
  <c r="Z48" i="51"/>
  <c r="BQ48" i="51" s="1"/>
  <c r="Z47" i="51"/>
  <c r="BQ47" i="51" s="1"/>
  <c r="Z46" i="51"/>
  <c r="BQ46" i="51" s="1"/>
  <c r="Z44" i="51"/>
  <c r="BQ44" i="51" s="1"/>
  <c r="Z43" i="51"/>
  <c r="BQ43" i="51" s="1"/>
  <c r="Z42" i="51"/>
  <c r="BQ42" i="51" s="1"/>
  <c r="Z41" i="51"/>
  <c r="BQ41" i="51" s="1"/>
  <c r="Z40" i="51"/>
  <c r="BQ40" i="51" s="1"/>
  <c r="Z39" i="51"/>
  <c r="BQ39" i="51" s="1"/>
  <c r="Z38" i="51"/>
  <c r="BQ38" i="51" s="1"/>
  <c r="Z37" i="51"/>
  <c r="BQ37" i="51" s="1"/>
  <c r="Z36" i="51"/>
  <c r="BQ36" i="51" s="1"/>
  <c r="Z35" i="51"/>
  <c r="BQ35" i="51" s="1"/>
  <c r="Z33" i="51"/>
  <c r="BQ33" i="51" s="1"/>
  <c r="Z32" i="51"/>
  <c r="BQ32" i="51" s="1"/>
  <c r="Z29" i="51"/>
  <c r="BQ29" i="51" s="1"/>
  <c r="Z28" i="51"/>
  <c r="BQ28" i="51" s="1"/>
  <c r="Z27" i="51"/>
  <c r="BQ27" i="51" s="1"/>
  <c r="Z26" i="51"/>
  <c r="BQ26" i="51" s="1"/>
  <c r="Z24" i="51"/>
  <c r="BQ24" i="51" s="1"/>
  <c r="Z23" i="51"/>
  <c r="BQ23" i="51" s="1"/>
  <c r="Z21" i="51"/>
  <c r="BQ21" i="51" s="1"/>
  <c r="Z20" i="51"/>
  <c r="BQ20" i="51" s="1"/>
  <c r="Z19" i="51"/>
  <c r="BQ19" i="51" s="1"/>
  <c r="Z17" i="51"/>
  <c r="BQ17" i="51" s="1"/>
  <c r="Z16" i="51"/>
  <c r="BQ16" i="51" s="1"/>
  <c r="Z14" i="51"/>
  <c r="BQ14" i="51" s="1"/>
  <c r="Z13" i="51"/>
  <c r="BQ13" i="51" s="1"/>
  <c r="S108" i="51"/>
  <c r="BJ108" i="51" s="1"/>
  <c r="S107" i="51"/>
  <c r="BJ107" i="51" s="1"/>
  <c r="S106" i="51"/>
  <c r="BJ106" i="51" s="1"/>
  <c r="S105" i="51"/>
  <c r="BJ105" i="51" s="1"/>
  <c r="S104" i="51"/>
  <c r="BJ104" i="51" s="1"/>
  <c r="S103" i="51"/>
  <c r="BJ103" i="51" s="1"/>
  <c r="S102" i="51"/>
  <c r="BJ102" i="51" s="1"/>
  <c r="S101" i="51"/>
  <c r="BJ101" i="51" s="1"/>
  <c r="S100" i="51"/>
  <c r="BJ100" i="51" s="1"/>
  <c r="S98" i="51"/>
  <c r="BJ98" i="51" s="1"/>
  <c r="S97" i="51"/>
  <c r="BJ97" i="51" s="1"/>
  <c r="S96" i="51"/>
  <c r="BJ96" i="51" s="1"/>
  <c r="S95" i="51"/>
  <c r="BJ95" i="51" s="1"/>
  <c r="S93" i="51"/>
  <c r="BJ93" i="51" s="1"/>
  <c r="S92" i="51"/>
  <c r="BJ92" i="51" s="1"/>
  <c r="S91" i="51"/>
  <c r="BJ91" i="51" s="1"/>
  <c r="S90" i="51"/>
  <c r="BJ90" i="51" s="1"/>
  <c r="S89" i="51"/>
  <c r="BJ89" i="51" s="1"/>
  <c r="S88" i="51"/>
  <c r="BJ88" i="51" s="1"/>
  <c r="S87" i="51"/>
  <c r="BJ87" i="51" s="1"/>
  <c r="S86" i="51"/>
  <c r="BJ86" i="51" s="1"/>
  <c r="S85" i="51"/>
  <c r="BJ85" i="51" s="1"/>
  <c r="S84" i="51"/>
  <c r="BJ84" i="51" s="1"/>
  <c r="S82" i="51"/>
  <c r="BJ82" i="51" s="1"/>
  <c r="S81" i="51"/>
  <c r="BJ81" i="51" s="1"/>
  <c r="S78" i="51"/>
  <c r="BJ78" i="51" s="1"/>
  <c r="S77" i="51"/>
  <c r="BJ77" i="51" s="1"/>
  <c r="S76" i="51"/>
  <c r="BJ76" i="51" s="1"/>
  <c r="S75" i="51"/>
  <c r="BJ75" i="51" s="1"/>
  <c r="S73" i="51"/>
  <c r="BJ73" i="51" s="1"/>
  <c r="S72" i="51"/>
  <c r="BJ72" i="51" s="1"/>
  <c r="S70" i="51"/>
  <c r="BJ70" i="51" s="1"/>
  <c r="S69" i="51"/>
  <c r="BJ69" i="51" s="1"/>
  <c r="S68" i="51"/>
  <c r="BJ68" i="51" s="1"/>
  <c r="S66" i="51"/>
  <c r="BJ66" i="51" s="1"/>
  <c r="S65" i="51"/>
  <c r="BJ65" i="51" s="1"/>
  <c r="S63" i="51"/>
  <c r="BJ63" i="51" s="1"/>
  <c r="S62" i="51"/>
  <c r="BJ62" i="51" s="1"/>
  <c r="S59" i="51"/>
  <c r="BJ59" i="51" s="1"/>
  <c r="S58" i="51"/>
  <c r="BJ58" i="51" s="1"/>
  <c r="S57" i="51"/>
  <c r="BJ57" i="51" s="1"/>
  <c r="S56" i="51"/>
  <c r="BJ56" i="51" s="1"/>
  <c r="S55" i="51"/>
  <c r="BJ55" i="51" s="1"/>
  <c r="S54" i="51"/>
  <c r="BJ54" i="51" s="1"/>
  <c r="S53" i="51"/>
  <c r="BJ53" i="51" s="1"/>
  <c r="S52" i="51"/>
  <c r="BJ52" i="51" s="1"/>
  <c r="S51" i="51"/>
  <c r="BJ51" i="51" s="1"/>
  <c r="S49" i="51"/>
  <c r="BJ49" i="51" s="1"/>
  <c r="S48" i="51"/>
  <c r="BJ48" i="51" s="1"/>
  <c r="S47" i="51"/>
  <c r="BJ47" i="51" s="1"/>
  <c r="S46" i="51"/>
  <c r="BJ46" i="51" s="1"/>
  <c r="S44" i="51"/>
  <c r="BJ44" i="51" s="1"/>
  <c r="S43" i="51"/>
  <c r="BJ43" i="51" s="1"/>
  <c r="S42" i="51"/>
  <c r="BJ42" i="51" s="1"/>
  <c r="S41" i="51"/>
  <c r="BJ41" i="51" s="1"/>
  <c r="S40" i="51"/>
  <c r="BJ40" i="51" s="1"/>
  <c r="S39" i="51"/>
  <c r="BJ39" i="51" s="1"/>
  <c r="S38" i="51"/>
  <c r="BJ38" i="51" s="1"/>
  <c r="S37" i="51"/>
  <c r="BJ37" i="51" s="1"/>
  <c r="S36" i="51"/>
  <c r="BJ36" i="51" s="1"/>
  <c r="S35" i="51"/>
  <c r="BJ35" i="51" s="1"/>
  <c r="S33" i="51"/>
  <c r="BJ33" i="51" s="1"/>
  <c r="S32" i="51"/>
  <c r="BJ32" i="51" s="1"/>
  <c r="S29" i="51"/>
  <c r="BJ29" i="51" s="1"/>
  <c r="S28" i="51"/>
  <c r="BJ28" i="51" s="1"/>
  <c r="S27" i="51"/>
  <c r="BJ27" i="51" s="1"/>
  <c r="S26" i="51"/>
  <c r="BJ26" i="51" s="1"/>
  <c r="S24" i="51"/>
  <c r="BJ24" i="51" s="1"/>
  <c r="S23" i="51"/>
  <c r="BJ23" i="51" s="1"/>
  <c r="S21" i="51"/>
  <c r="BJ21" i="51" s="1"/>
  <c r="S20" i="51"/>
  <c r="BJ20" i="51" s="1"/>
  <c r="S19" i="51"/>
  <c r="BJ19" i="51" s="1"/>
  <c r="S17" i="51"/>
  <c r="BJ17" i="51" s="1"/>
  <c r="S16" i="51"/>
  <c r="BJ16" i="51" s="1"/>
  <c r="S14" i="51"/>
  <c r="BJ14" i="51" s="1"/>
  <c r="S13" i="51"/>
  <c r="BJ13" i="51" s="1"/>
  <c r="L108" i="51"/>
  <c r="BC108" i="51" s="1"/>
  <c r="L107" i="51"/>
  <c r="BC107" i="51" s="1"/>
  <c r="L106" i="51"/>
  <c r="BC106" i="51" s="1"/>
  <c r="L105" i="51"/>
  <c r="BC105" i="51" s="1"/>
  <c r="L104" i="51"/>
  <c r="BC104" i="51" s="1"/>
  <c r="L103" i="51"/>
  <c r="BC103" i="51" s="1"/>
  <c r="L102" i="51"/>
  <c r="BC102" i="51" s="1"/>
  <c r="L101" i="51"/>
  <c r="BC101" i="51" s="1"/>
  <c r="L100" i="51"/>
  <c r="BC100" i="51" s="1"/>
  <c r="L98" i="51"/>
  <c r="BC98" i="51" s="1"/>
  <c r="L97" i="51"/>
  <c r="BC97" i="51" s="1"/>
  <c r="L96" i="51"/>
  <c r="BC96" i="51" s="1"/>
  <c r="L95" i="51"/>
  <c r="BC95" i="51" s="1"/>
  <c r="L93" i="51"/>
  <c r="BC93" i="51" s="1"/>
  <c r="L92" i="51"/>
  <c r="BC92" i="51" s="1"/>
  <c r="L91" i="51"/>
  <c r="BC91" i="51" s="1"/>
  <c r="L90" i="51"/>
  <c r="BC90" i="51" s="1"/>
  <c r="L89" i="51"/>
  <c r="BC89" i="51" s="1"/>
  <c r="L88" i="51"/>
  <c r="BC88" i="51" s="1"/>
  <c r="L87" i="51"/>
  <c r="BC87" i="51" s="1"/>
  <c r="L86" i="51"/>
  <c r="BC86" i="51" s="1"/>
  <c r="L85" i="51"/>
  <c r="BC85" i="51" s="1"/>
  <c r="L84" i="51"/>
  <c r="BC84" i="51" s="1"/>
  <c r="L82" i="51"/>
  <c r="BC82" i="51" s="1"/>
  <c r="L81" i="51"/>
  <c r="BC81" i="51" s="1"/>
  <c r="L78" i="51"/>
  <c r="BC78" i="51" s="1"/>
  <c r="L77" i="51"/>
  <c r="BC77" i="51" s="1"/>
  <c r="L76" i="51"/>
  <c r="BC76" i="51" s="1"/>
  <c r="L75" i="51"/>
  <c r="BC75" i="51" s="1"/>
  <c r="L73" i="51"/>
  <c r="BC73" i="51" s="1"/>
  <c r="L72" i="51"/>
  <c r="BC72" i="51" s="1"/>
  <c r="L70" i="51"/>
  <c r="BC70" i="51" s="1"/>
  <c r="L69" i="51"/>
  <c r="BC69" i="51" s="1"/>
  <c r="L68" i="51"/>
  <c r="BC68" i="51" s="1"/>
  <c r="L66" i="51"/>
  <c r="BC66" i="51" s="1"/>
  <c r="L65" i="51"/>
  <c r="BC65" i="51" s="1"/>
  <c r="L63" i="51"/>
  <c r="BC63" i="51" s="1"/>
  <c r="L62" i="51"/>
  <c r="BC62" i="51" s="1"/>
  <c r="L59" i="51"/>
  <c r="BC59" i="51" s="1"/>
  <c r="L58" i="51"/>
  <c r="BC58" i="51" s="1"/>
  <c r="L57" i="51"/>
  <c r="BC57" i="51" s="1"/>
  <c r="L56" i="51"/>
  <c r="BC56" i="51" s="1"/>
  <c r="L55" i="51"/>
  <c r="BC55" i="51" s="1"/>
  <c r="L54" i="51"/>
  <c r="BC54" i="51" s="1"/>
  <c r="L53" i="51"/>
  <c r="BC53" i="51" s="1"/>
  <c r="L52" i="51"/>
  <c r="BC52" i="51" s="1"/>
  <c r="L51" i="51"/>
  <c r="BC51" i="51" s="1"/>
  <c r="L49" i="51"/>
  <c r="BC49" i="51" s="1"/>
  <c r="L48" i="51"/>
  <c r="BC48" i="51" s="1"/>
  <c r="L47" i="51"/>
  <c r="BC47" i="51" s="1"/>
  <c r="L46" i="51"/>
  <c r="BC46" i="51" s="1"/>
  <c r="L44" i="51"/>
  <c r="BC44" i="51" s="1"/>
  <c r="L43" i="51"/>
  <c r="BC43" i="51" s="1"/>
  <c r="L42" i="51"/>
  <c r="BC42" i="51" s="1"/>
  <c r="L41" i="51"/>
  <c r="BC41" i="51" s="1"/>
  <c r="L40" i="51"/>
  <c r="BC40" i="51" s="1"/>
  <c r="L39" i="51"/>
  <c r="BC39" i="51" s="1"/>
  <c r="L38" i="51"/>
  <c r="BC38" i="51" s="1"/>
  <c r="L37" i="51"/>
  <c r="BC37" i="51" s="1"/>
  <c r="L36" i="51"/>
  <c r="BC36" i="51" s="1"/>
  <c r="L35" i="51"/>
  <c r="BC35" i="51" s="1"/>
  <c r="L33" i="51"/>
  <c r="BC33" i="51" s="1"/>
  <c r="L32" i="51"/>
  <c r="BC32" i="51" s="1"/>
  <c r="L29" i="51"/>
  <c r="BC29" i="51" s="1"/>
  <c r="L28" i="51"/>
  <c r="BC28" i="51" s="1"/>
  <c r="L27" i="51"/>
  <c r="BC27" i="51" s="1"/>
  <c r="L26" i="51"/>
  <c r="BC26" i="51" s="1"/>
  <c r="L24" i="51"/>
  <c r="BC24" i="51" s="1"/>
  <c r="L23" i="51"/>
  <c r="BC23" i="51" s="1"/>
  <c r="L21" i="51"/>
  <c r="BC21" i="51" s="1"/>
  <c r="L20" i="51"/>
  <c r="BC20" i="51" s="1"/>
  <c r="L19" i="51"/>
  <c r="BC19" i="51" s="1"/>
  <c r="L17" i="51"/>
  <c r="BC17" i="51" s="1"/>
  <c r="L16" i="51"/>
  <c r="BC16" i="51" s="1"/>
  <c r="L14" i="51"/>
  <c r="BC14" i="51" s="1"/>
  <c r="L13" i="51"/>
  <c r="BC13" i="51" s="1"/>
  <c r="E108" i="51"/>
  <c r="AV108" i="51" s="1"/>
  <c r="E107" i="51"/>
  <c r="AV107" i="51" s="1"/>
  <c r="E106" i="51"/>
  <c r="AV106" i="51" s="1"/>
  <c r="E105" i="51"/>
  <c r="AV105" i="51" s="1"/>
  <c r="E104" i="51"/>
  <c r="AV104" i="51" s="1"/>
  <c r="E103" i="51"/>
  <c r="AV103" i="51" s="1"/>
  <c r="E102" i="51"/>
  <c r="AV102" i="51" s="1"/>
  <c r="E101" i="51"/>
  <c r="AV101" i="51" s="1"/>
  <c r="E100" i="51"/>
  <c r="AV100" i="51" s="1"/>
  <c r="E98" i="51"/>
  <c r="AV98" i="51" s="1"/>
  <c r="E97" i="51"/>
  <c r="AV97" i="51" s="1"/>
  <c r="E96" i="51"/>
  <c r="AV96" i="51" s="1"/>
  <c r="E95" i="51"/>
  <c r="AV95" i="51" s="1"/>
  <c r="E93" i="51"/>
  <c r="AV93" i="51" s="1"/>
  <c r="E92" i="51"/>
  <c r="AV92" i="51" s="1"/>
  <c r="E91" i="51"/>
  <c r="AV91" i="51" s="1"/>
  <c r="E90" i="51"/>
  <c r="AV90" i="51" s="1"/>
  <c r="E89" i="51"/>
  <c r="AV89" i="51" s="1"/>
  <c r="E88" i="51"/>
  <c r="AV88" i="51" s="1"/>
  <c r="E87" i="51"/>
  <c r="AV87" i="51" s="1"/>
  <c r="E86" i="51"/>
  <c r="AV86" i="51" s="1"/>
  <c r="E85" i="51"/>
  <c r="AV85" i="51" s="1"/>
  <c r="E84" i="51"/>
  <c r="AV84" i="51" s="1"/>
  <c r="E82" i="51"/>
  <c r="AV82" i="51" s="1"/>
  <c r="E81" i="51"/>
  <c r="AV81" i="51" s="1"/>
  <c r="E78" i="51"/>
  <c r="AV78" i="51" s="1"/>
  <c r="E77" i="51"/>
  <c r="AV77" i="51" s="1"/>
  <c r="E76" i="51"/>
  <c r="AV76" i="51" s="1"/>
  <c r="E75" i="51"/>
  <c r="AV75" i="51" s="1"/>
  <c r="E73" i="51"/>
  <c r="AV73" i="51" s="1"/>
  <c r="E72" i="51"/>
  <c r="AV72" i="51" s="1"/>
  <c r="E70" i="51"/>
  <c r="AV70" i="51" s="1"/>
  <c r="E69" i="51"/>
  <c r="AV69" i="51" s="1"/>
  <c r="E68" i="51"/>
  <c r="AV68" i="51" s="1"/>
  <c r="E66" i="51"/>
  <c r="AV66" i="51" s="1"/>
  <c r="E65" i="51"/>
  <c r="AV65" i="51" s="1"/>
  <c r="E63" i="51"/>
  <c r="AV63" i="51" s="1"/>
  <c r="E62" i="51"/>
  <c r="AV62" i="51" s="1"/>
  <c r="E59" i="51"/>
  <c r="AV59" i="51" s="1"/>
  <c r="E58" i="51"/>
  <c r="AV58" i="51" s="1"/>
  <c r="E57" i="51"/>
  <c r="AV57" i="51" s="1"/>
  <c r="E56" i="51"/>
  <c r="AV56" i="51" s="1"/>
  <c r="E55" i="51"/>
  <c r="AV55" i="51" s="1"/>
  <c r="E54" i="51"/>
  <c r="AV54" i="51" s="1"/>
  <c r="E53" i="51"/>
  <c r="AV53" i="51" s="1"/>
  <c r="E51" i="51"/>
  <c r="AV51" i="51" s="1"/>
  <c r="E49" i="51"/>
  <c r="AV49" i="51" s="1"/>
  <c r="E48" i="51"/>
  <c r="AV48" i="51" s="1"/>
  <c r="E47" i="51"/>
  <c r="AV47" i="51" s="1"/>
  <c r="E46" i="51"/>
  <c r="AV46" i="51" s="1"/>
  <c r="E44" i="51"/>
  <c r="AV44" i="51" s="1"/>
  <c r="E43" i="51"/>
  <c r="AV43" i="51" s="1"/>
  <c r="E42" i="51"/>
  <c r="AV42" i="51" s="1"/>
  <c r="E41" i="51"/>
  <c r="AV41" i="51" s="1"/>
  <c r="E40" i="51"/>
  <c r="AV40" i="51" s="1"/>
  <c r="E39" i="51"/>
  <c r="AV39" i="51" s="1"/>
  <c r="E38" i="51"/>
  <c r="AV38" i="51" s="1"/>
  <c r="E37" i="51"/>
  <c r="AV37" i="51" s="1"/>
  <c r="E36" i="51"/>
  <c r="AV36" i="51" s="1"/>
  <c r="E35" i="51"/>
  <c r="AV35" i="51" s="1"/>
  <c r="E33" i="51"/>
  <c r="AV33" i="51" s="1"/>
  <c r="E32" i="51"/>
  <c r="AV32" i="51" s="1"/>
  <c r="E28" i="51"/>
  <c r="AV28" i="51" s="1"/>
  <c r="E27" i="51"/>
  <c r="AV27" i="51" s="1"/>
  <c r="E26" i="51"/>
  <c r="AV26" i="51" s="1"/>
  <c r="E24" i="51"/>
  <c r="AV24" i="51" s="1"/>
  <c r="E23" i="51"/>
  <c r="AV23" i="51" s="1"/>
  <c r="E19" i="51"/>
  <c r="AV19" i="51" s="1"/>
  <c r="E17" i="51"/>
  <c r="AV17" i="51" s="1"/>
  <c r="E16" i="51"/>
  <c r="AV16" i="51" s="1"/>
  <c r="E14" i="51"/>
  <c r="AV14" i="51" s="1"/>
  <c r="E13" i="51"/>
  <c r="AV13" i="51" s="1"/>
  <c r="AH82" i="50"/>
  <c r="BT82" i="50" s="1"/>
  <c r="AH79" i="50"/>
  <c r="BT79" i="50" s="1"/>
  <c r="AD58" i="50"/>
  <c r="BP58" i="50" s="1"/>
  <c r="AD57" i="50"/>
  <c r="BP57" i="50" s="1"/>
  <c r="AD54" i="50"/>
  <c r="BP54" i="50" s="1"/>
  <c r="AC58" i="50"/>
  <c r="BO58" i="50" s="1"/>
  <c r="AC57" i="50"/>
  <c r="BO57" i="50" s="1"/>
  <c r="AC54" i="50"/>
  <c r="BO54" i="50" s="1"/>
  <c r="AB58" i="50"/>
  <c r="BN58" i="50" s="1"/>
  <c r="AB57" i="50"/>
  <c r="BN57" i="50" s="1"/>
  <c r="AB54" i="50"/>
  <c r="BN54" i="50" s="1"/>
  <c r="AA58" i="50"/>
  <c r="AA57" i="50"/>
  <c r="AA54" i="50"/>
  <c r="AE58" i="50"/>
  <c r="BQ58" i="50" s="1"/>
  <c r="AE57" i="50"/>
  <c r="BQ57" i="50" s="1"/>
  <c r="AE54" i="50"/>
  <c r="BQ54" i="50" s="1"/>
  <c r="AF58" i="50"/>
  <c r="BR58" i="50" s="1"/>
  <c r="AF57" i="50"/>
  <c r="BR57" i="50" s="1"/>
  <c r="AF54" i="50"/>
  <c r="BR54" i="50" s="1"/>
  <c r="AT59" i="51"/>
  <c r="CK59" i="51" s="1"/>
  <c r="AS59" i="51"/>
  <c r="CJ59" i="51" s="1"/>
  <c r="AR59" i="51"/>
  <c r="CI59" i="51" s="1"/>
  <c r="AQ59" i="51"/>
  <c r="CH59" i="51" s="1"/>
  <c r="AP59" i="51"/>
  <c r="CG59" i="51" s="1"/>
  <c r="AO59" i="51"/>
  <c r="CF59" i="51" s="1"/>
  <c r="AM59" i="51"/>
  <c r="CD59" i="51" s="1"/>
  <c r="AL59" i="51"/>
  <c r="CC59" i="51" s="1"/>
  <c r="AK59" i="51"/>
  <c r="CB59" i="51" s="1"/>
  <c r="AJ59" i="51"/>
  <c r="CA59" i="51" s="1"/>
  <c r="AI59" i="51"/>
  <c r="BZ59" i="51" s="1"/>
  <c r="AH59" i="51"/>
  <c r="AF59" i="51"/>
  <c r="BW59" i="51" s="1"/>
  <c r="AE59" i="51"/>
  <c r="BV59" i="51" s="1"/>
  <c r="AD59" i="51"/>
  <c r="BU59" i="51" s="1"/>
  <c r="AC59" i="51"/>
  <c r="BT59" i="51" s="1"/>
  <c r="AB59" i="51"/>
  <c r="BS59" i="51" s="1"/>
  <c r="AA59" i="51"/>
  <c r="Y59" i="51"/>
  <c r="BP59" i="51" s="1"/>
  <c r="X59" i="51"/>
  <c r="BO59" i="51" s="1"/>
  <c r="W59" i="51"/>
  <c r="BN59" i="51" s="1"/>
  <c r="V59" i="51"/>
  <c r="BM59" i="51" s="1"/>
  <c r="U59" i="51"/>
  <c r="BL59" i="51" s="1"/>
  <c r="T59" i="51"/>
  <c r="BK59" i="51" s="1"/>
  <c r="R59" i="51"/>
  <c r="BI59" i="51" s="1"/>
  <c r="Q59" i="51"/>
  <c r="BH59" i="51" s="1"/>
  <c r="P59" i="51"/>
  <c r="BG59" i="51" s="1"/>
  <c r="O59" i="51"/>
  <c r="BF59" i="51" s="1"/>
  <c r="N59" i="51"/>
  <c r="BE59" i="51" s="1"/>
  <c r="M59" i="51"/>
  <c r="BD59" i="51" s="1"/>
  <c r="K59" i="51"/>
  <c r="BB59" i="51" s="1"/>
  <c r="J59" i="51"/>
  <c r="BA59" i="51" s="1"/>
  <c r="I59" i="51"/>
  <c r="AZ59" i="51" s="1"/>
  <c r="H59" i="51"/>
  <c r="AY59" i="51" s="1"/>
  <c r="G59" i="51"/>
  <c r="AX59" i="51" s="1"/>
  <c r="F59" i="51"/>
  <c r="AW59" i="51" s="1"/>
  <c r="Y58" i="51"/>
  <c r="BP58" i="51" s="1"/>
  <c r="X58" i="51"/>
  <c r="BO58" i="51" s="1"/>
  <c r="W58" i="51"/>
  <c r="BN58" i="51" s="1"/>
  <c r="V58" i="51"/>
  <c r="BM58" i="51" s="1"/>
  <c r="U58" i="51"/>
  <c r="BL58" i="51" s="1"/>
  <c r="T58" i="51"/>
  <c r="BK58" i="51" s="1"/>
  <c r="AT57" i="51"/>
  <c r="CK57" i="51" s="1"/>
  <c r="AS57" i="51"/>
  <c r="CJ57" i="51" s="1"/>
  <c r="AR57" i="51"/>
  <c r="CI57" i="51" s="1"/>
  <c r="AQ57" i="51"/>
  <c r="CH57" i="51" s="1"/>
  <c r="AP57" i="51"/>
  <c r="CG57" i="51" s="1"/>
  <c r="AO57" i="51"/>
  <c r="CF57" i="51" s="1"/>
  <c r="AM57" i="51"/>
  <c r="CD57" i="51" s="1"/>
  <c r="AL57" i="51"/>
  <c r="CC57" i="51" s="1"/>
  <c r="AK57" i="51"/>
  <c r="CB57" i="51" s="1"/>
  <c r="AJ57" i="51"/>
  <c r="CA57" i="51" s="1"/>
  <c r="AI57" i="51"/>
  <c r="BZ57" i="51" s="1"/>
  <c r="AH57" i="51"/>
  <c r="AF57" i="51"/>
  <c r="BW57" i="51" s="1"/>
  <c r="AE57" i="51"/>
  <c r="BV57" i="51" s="1"/>
  <c r="AD57" i="51"/>
  <c r="BU57" i="51" s="1"/>
  <c r="AC57" i="51"/>
  <c r="BT57" i="51" s="1"/>
  <c r="AB57" i="51"/>
  <c r="BS57" i="51" s="1"/>
  <c r="AA57" i="51"/>
  <c r="Y57" i="51"/>
  <c r="BP57" i="51" s="1"/>
  <c r="X57" i="51"/>
  <c r="BO57" i="51" s="1"/>
  <c r="W57" i="51"/>
  <c r="BN57" i="51" s="1"/>
  <c r="V57" i="51"/>
  <c r="BM57" i="51" s="1"/>
  <c r="U57" i="51"/>
  <c r="BL57" i="51" s="1"/>
  <c r="T57" i="51"/>
  <c r="BK57" i="51" s="1"/>
  <c r="R57" i="51"/>
  <c r="BI57" i="51" s="1"/>
  <c r="Q57" i="51"/>
  <c r="BH57" i="51" s="1"/>
  <c r="P57" i="51"/>
  <c r="BG57" i="51" s="1"/>
  <c r="O57" i="51"/>
  <c r="BF57" i="51" s="1"/>
  <c r="N57" i="51"/>
  <c r="BE57" i="51" s="1"/>
  <c r="M57" i="51"/>
  <c r="BD57" i="51" s="1"/>
  <c r="K57" i="51"/>
  <c r="BB57" i="51" s="1"/>
  <c r="J57" i="51"/>
  <c r="BA57" i="51" s="1"/>
  <c r="I57" i="51"/>
  <c r="AZ57" i="51" s="1"/>
  <c r="H57" i="51"/>
  <c r="AY57" i="51" s="1"/>
  <c r="G57" i="51"/>
  <c r="AX57" i="51" s="1"/>
  <c r="F57" i="51"/>
  <c r="AW57" i="51" s="1"/>
  <c r="AM56" i="51"/>
  <c r="CD56" i="51" s="1"/>
  <c r="AL56" i="51"/>
  <c r="CC56" i="51" s="1"/>
  <c r="AK56" i="51"/>
  <c r="CB56" i="51" s="1"/>
  <c r="AJ56" i="51"/>
  <c r="CA56" i="51" s="1"/>
  <c r="AI56" i="51"/>
  <c r="BZ56" i="51" s="1"/>
  <c r="AH56" i="51"/>
  <c r="AF56" i="51"/>
  <c r="BW56" i="51" s="1"/>
  <c r="AE56" i="51"/>
  <c r="BV56" i="51" s="1"/>
  <c r="AD56" i="51"/>
  <c r="BU56" i="51" s="1"/>
  <c r="AC56" i="51"/>
  <c r="BT56" i="51" s="1"/>
  <c r="AB56" i="51"/>
  <c r="BS56" i="51" s="1"/>
  <c r="AA56" i="51"/>
  <c r="Y56" i="51"/>
  <c r="BP56" i="51" s="1"/>
  <c r="X56" i="51"/>
  <c r="BO56" i="51" s="1"/>
  <c r="W56" i="51"/>
  <c r="BN56" i="51" s="1"/>
  <c r="V56" i="51"/>
  <c r="BM56" i="51" s="1"/>
  <c r="U56" i="51"/>
  <c r="BL56" i="51" s="1"/>
  <c r="T56" i="51"/>
  <c r="BK56" i="51" s="1"/>
  <c r="R56" i="51"/>
  <c r="BI56" i="51" s="1"/>
  <c r="Q56" i="51"/>
  <c r="BH56" i="51" s="1"/>
  <c r="P56" i="51"/>
  <c r="BG56" i="51" s="1"/>
  <c r="O56" i="51"/>
  <c r="BF56" i="51" s="1"/>
  <c r="N56" i="51"/>
  <c r="BE56" i="51" s="1"/>
  <c r="M56" i="51"/>
  <c r="BD56" i="51" s="1"/>
  <c r="K56" i="51"/>
  <c r="BB56" i="51" s="1"/>
  <c r="J56" i="51"/>
  <c r="BA56" i="51" s="1"/>
  <c r="I56" i="51"/>
  <c r="AZ56" i="51" s="1"/>
  <c r="H56" i="51"/>
  <c r="AY56" i="51" s="1"/>
  <c r="G56" i="51"/>
  <c r="AX56" i="51" s="1"/>
  <c r="F56" i="51"/>
  <c r="AW56" i="51" s="1"/>
  <c r="AT55" i="51"/>
  <c r="CK55" i="51" s="1"/>
  <c r="AS55" i="51"/>
  <c r="CJ55" i="51" s="1"/>
  <c r="AR55" i="51"/>
  <c r="CI55" i="51" s="1"/>
  <c r="AQ55" i="51"/>
  <c r="CH55" i="51" s="1"/>
  <c r="AP55" i="51"/>
  <c r="CG55" i="51" s="1"/>
  <c r="AO55" i="51"/>
  <c r="CF55" i="51" s="1"/>
  <c r="AM55" i="51"/>
  <c r="CD55" i="51" s="1"/>
  <c r="AL55" i="51"/>
  <c r="CC55" i="51" s="1"/>
  <c r="AK55" i="51"/>
  <c r="CB55" i="51" s="1"/>
  <c r="AJ55" i="51"/>
  <c r="CA55" i="51" s="1"/>
  <c r="AI55" i="51"/>
  <c r="BZ55" i="51" s="1"/>
  <c r="AH55" i="51"/>
  <c r="AF55" i="51"/>
  <c r="BW55" i="51" s="1"/>
  <c r="AE55" i="51"/>
  <c r="BV55" i="51" s="1"/>
  <c r="AD55" i="51"/>
  <c r="BU55" i="51" s="1"/>
  <c r="AC55" i="51"/>
  <c r="BT55" i="51" s="1"/>
  <c r="AB55" i="51"/>
  <c r="BS55" i="51" s="1"/>
  <c r="AA55" i="51"/>
  <c r="Y55" i="51"/>
  <c r="BP55" i="51" s="1"/>
  <c r="X55" i="51"/>
  <c r="BO55" i="51" s="1"/>
  <c r="W55" i="51"/>
  <c r="BN55" i="51" s="1"/>
  <c r="V55" i="51"/>
  <c r="BM55" i="51" s="1"/>
  <c r="U55" i="51"/>
  <c r="BL55" i="51" s="1"/>
  <c r="T55" i="51"/>
  <c r="BK55" i="51" s="1"/>
  <c r="R55" i="51"/>
  <c r="BI55" i="51" s="1"/>
  <c r="Q55" i="51"/>
  <c r="BH55" i="51" s="1"/>
  <c r="P55" i="51"/>
  <c r="BG55" i="51" s="1"/>
  <c r="O55" i="51"/>
  <c r="BF55" i="51" s="1"/>
  <c r="N55" i="51"/>
  <c r="BE55" i="51" s="1"/>
  <c r="M55" i="51"/>
  <c r="BD55" i="51" s="1"/>
  <c r="K55" i="51"/>
  <c r="BB55" i="51" s="1"/>
  <c r="J55" i="51"/>
  <c r="BA55" i="51" s="1"/>
  <c r="I55" i="51"/>
  <c r="AZ55" i="51" s="1"/>
  <c r="H55" i="51"/>
  <c r="AY55" i="51" s="1"/>
  <c r="G55" i="51"/>
  <c r="AX55" i="51" s="1"/>
  <c r="F55" i="51"/>
  <c r="AW55" i="51" s="1"/>
  <c r="AM54" i="51"/>
  <c r="CD54" i="51" s="1"/>
  <c r="AL54" i="51"/>
  <c r="CC54" i="51" s="1"/>
  <c r="AK54" i="51"/>
  <c r="CB54" i="51" s="1"/>
  <c r="AJ54" i="51"/>
  <c r="CA54" i="51" s="1"/>
  <c r="AI54" i="51"/>
  <c r="BZ54" i="51" s="1"/>
  <c r="AH54" i="51"/>
  <c r="AF54" i="51"/>
  <c r="BW54" i="51" s="1"/>
  <c r="AE54" i="51"/>
  <c r="BV54" i="51" s="1"/>
  <c r="AD54" i="51"/>
  <c r="BU54" i="51" s="1"/>
  <c r="AC54" i="51"/>
  <c r="BT54" i="51" s="1"/>
  <c r="AB54" i="51"/>
  <c r="BS54" i="51" s="1"/>
  <c r="AA54" i="51"/>
  <c r="Y54" i="51"/>
  <c r="BP54" i="51" s="1"/>
  <c r="X54" i="51"/>
  <c r="BO54" i="51" s="1"/>
  <c r="W54" i="51"/>
  <c r="BN54" i="51" s="1"/>
  <c r="V54" i="51"/>
  <c r="BM54" i="51" s="1"/>
  <c r="U54" i="51"/>
  <c r="BL54" i="51" s="1"/>
  <c r="T54" i="51"/>
  <c r="BK54" i="51" s="1"/>
  <c r="R54" i="51"/>
  <c r="BI54" i="51" s="1"/>
  <c r="Q54" i="51"/>
  <c r="BH54" i="51" s="1"/>
  <c r="P54" i="51"/>
  <c r="BG54" i="51" s="1"/>
  <c r="O54" i="51"/>
  <c r="BF54" i="51" s="1"/>
  <c r="N54" i="51"/>
  <c r="BE54" i="51" s="1"/>
  <c r="M54" i="51"/>
  <c r="BD54" i="51" s="1"/>
  <c r="K54" i="51"/>
  <c r="BB54" i="51" s="1"/>
  <c r="J54" i="51"/>
  <c r="BA54" i="51" s="1"/>
  <c r="I54" i="51"/>
  <c r="AZ54" i="51" s="1"/>
  <c r="H54" i="51"/>
  <c r="AY54" i="51" s="1"/>
  <c r="G54" i="51"/>
  <c r="AX54" i="51" s="1"/>
  <c r="F54" i="51"/>
  <c r="AW54" i="51" s="1"/>
  <c r="AT53" i="51"/>
  <c r="CK53" i="51" s="1"/>
  <c r="AS53" i="51"/>
  <c r="CJ53" i="51" s="1"/>
  <c r="AR53" i="51"/>
  <c r="CI53" i="51" s="1"/>
  <c r="AQ53" i="51"/>
  <c r="CH53" i="51" s="1"/>
  <c r="AP53" i="51"/>
  <c r="CG53" i="51" s="1"/>
  <c r="AO53" i="51"/>
  <c r="CF53" i="51" s="1"/>
  <c r="AM53" i="51"/>
  <c r="CD53" i="51" s="1"/>
  <c r="AL53" i="51"/>
  <c r="CC53" i="51" s="1"/>
  <c r="AK53" i="51"/>
  <c r="CB53" i="51" s="1"/>
  <c r="AJ53" i="51"/>
  <c r="CA53" i="51" s="1"/>
  <c r="AI53" i="51"/>
  <c r="BZ53" i="51" s="1"/>
  <c r="AH53" i="51"/>
  <c r="AF53" i="51"/>
  <c r="BW53" i="51" s="1"/>
  <c r="AE53" i="51"/>
  <c r="BV53" i="51" s="1"/>
  <c r="AD53" i="51"/>
  <c r="BU53" i="51" s="1"/>
  <c r="AC53" i="51"/>
  <c r="BT53" i="51" s="1"/>
  <c r="AB53" i="51"/>
  <c r="BS53" i="51" s="1"/>
  <c r="AA53" i="51"/>
  <c r="Y53" i="51"/>
  <c r="BP53" i="51" s="1"/>
  <c r="X53" i="51"/>
  <c r="BO53" i="51" s="1"/>
  <c r="W53" i="51"/>
  <c r="BN53" i="51" s="1"/>
  <c r="V53" i="51"/>
  <c r="BM53" i="51" s="1"/>
  <c r="U53" i="51"/>
  <c r="BL53" i="51" s="1"/>
  <c r="T53" i="51"/>
  <c r="BK53" i="51" s="1"/>
  <c r="R53" i="51"/>
  <c r="BI53" i="51" s="1"/>
  <c r="Q53" i="51"/>
  <c r="BH53" i="51" s="1"/>
  <c r="P53" i="51"/>
  <c r="BG53" i="51" s="1"/>
  <c r="O53" i="51"/>
  <c r="BF53" i="51" s="1"/>
  <c r="N53" i="51"/>
  <c r="BE53" i="51" s="1"/>
  <c r="M53" i="51"/>
  <c r="BD53" i="51" s="1"/>
  <c r="K53" i="51"/>
  <c r="BB53" i="51" s="1"/>
  <c r="J53" i="51"/>
  <c r="BA53" i="51" s="1"/>
  <c r="I53" i="51"/>
  <c r="AZ53" i="51" s="1"/>
  <c r="H53" i="51"/>
  <c r="AY53" i="51" s="1"/>
  <c r="G53" i="51"/>
  <c r="AX53" i="51" s="1"/>
  <c r="F53" i="51"/>
  <c r="AW53" i="51" s="1"/>
  <c r="AT52" i="51"/>
  <c r="CK52" i="51" s="1"/>
  <c r="AS52" i="51"/>
  <c r="CJ52" i="51" s="1"/>
  <c r="AR52" i="51"/>
  <c r="CI52" i="51" s="1"/>
  <c r="AQ52" i="51"/>
  <c r="CH52" i="51" s="1"/>
  <c r="AP52" i="51"/>
  <c r="CG52" i="51" s="1"/>
  <c r="AO52" i="51"/>
  <c r="CF52" i="51" s="1"/>
  <c r="AM52" i="51"/>
  <c r="CD52" i="51" s="1"/>
  <c r="AL52" i="51"/>
  <c r="CC52" i="51" s="1"/>
  <c r="AK52" i="51"/>
  <c r="CB52" i="51" s="1"/>
  <c r="AJ52" i="51"/>
  <c r="CA52" i="51" s="1"/>
  <c r="AI52" i="51"/>
  <c r="BZ52" i="51" s="1"/>
  <c r="AH52" i="51"/>
  <c r="AF52" i="51"/>
  <c r="BW52" i="51" s="1"/>
  <c r="AE52" i="51"/>
  <c r="BV52" i="51" s="1"/>
  <c r="AD52" i="51"/>
  <c r="BU52" i="51" s="1"/>
  <c r="AC52" i="51"/>
  <c r="BT52" i="51" s="1"/>
  <c r="AB52" i="51"/>
  <c r="BS52" i="51" s="1"/>
  <c r="AA52" i="51"/>
  <c r="Y52" i="51"/>
  <c r="BP52" i="51" s="1"/>
  <c r="X52" i="51"/>
  <c r="BO52" i="51" s="1"/>
  <c r="W52" i="51"/>
  <c r="BN52" i="51" s="1"/>
  <c r="V52" i="51"/>
  <c r="BM52" i="51" s="1"/>
  <c r="U52" i="51"/>
  <c r="BL52" i="51" s="1"/>
  <c r="T52" i="51"/>
  <c r="BK52" i="51" s="1"/>
  <c r="R52" i="51"/>
  <c r="BI52" i="51" s="1"/>
  <c r="Q52" i="51"/>
  <c r="BH52" i="51" s="1"/>
  <c r="P52" i="51"/>
  <c r="BG52" i="51" s="1"/>
  <c r="O52" i="51"/>
  <c r="BF52" i="51" s="1"/>
  <c r="N52" i="51"/>
  <c r="BE52" i="51" s="1"/>
  <c r="M52" i="51"/>
  <c r="BD52" i="51" s="1"/>
  <c r="K52" i="51"/>
  <c r="BB52" i="51" s="1"/>
  <c r="J52" i="51"/>
  <c r="BA52" i="51" s="1"/>
  <c r="I52" i="51"/>
  <c r="AZ52" i="51" s="1"/>
  <c r="H52" i="51"/>
  <c r="AY52" i="51" s="1"/>
  <c r="G52" i="51"/>
  <c r="AX52" i="51" s="1"/>
  <c r="F52" i="51"/>
  <c r="AW52" i="51" s="1"/>
  <c r="AM51" i="51"/>
  <c r="CD51" i="51" s="1"/>
  <c r="AL51" i="51"/>
  <c r="CC51" i="51" s="1"/>
  <c r="AK51" i="51"/>
  <c r="CB51" i="51" s="1"/>
  <c r="AJ51" i="51"/>
  <c r="CA51" i="51" s="1"/>
  <c r="AI51" i="51"/>
  <c r="BZ51" i="51" s="1"/>
  <c r="AH51" i="51"/>
  <c r="AF51" i="51"/>
  <c r="BW51" i="51" s="1"/>
  <c r="AE51" i="51"/>
  <c r="BV51" i="51" s="1"/>
  <c r="AD51" i="51"/>
  <c r="BU51" i="51" s="1"/>
  <c r="AC51" i="51"/>
  <c r="BT51" i="51" s="1"/>
  <c r="AB51" i="51"/>
  <c r="BS51" i="51" s="1"/>
  <c r="AA51" i="51"/>
  <c r="Y51" i="51"/>
  <c r="BP51" i="51" s="1"/>
  <c r="X51" i="51"/>
  <c r="BO51" i="51" s="1"/>
  <c r="W51" i="51"/>
  <c r="BN51" i="51" s="1"/>
  <c r="V51" i="51"/>
  <c r="BM51" i="51" s="1"/>
  <c r="U51" i="51"/>
  <c r="BL51" i="51" s="1"/>
  <c r="T51" i="51"/>
  <c r="BK51" i="51" s="1"/>
  <c r="R51" i="51"/>
  <c r="BI51" i="51" s="1"/>
  <c r="Q51" i="51"/>
  <c r="BH51" i="51" s="1"/>
  <c r="P51" i="51"/>
  <c r="BG51" i="51" s="1"/>
  <c r="O51" i="51"/>
  <c r="BF51" i="51" s="1"/>
  <c r="N51" i="51"/>
  <c r="BE51" i="51" s="1"/>
  <c r="M51" i="51"/>
  <c r="BD51" i="51" s="1"/>
  <c r="K51" i="51"/>
  <c r="BB51" i="51" s="1"/>
  <c r="J51" i="51"/>
  <c r="BA51" i="51" s="1"/>
  <c r="I51" i="51"/>
  <c r="AZ51" i="51" s="1"/>
  <c r="H51" i="51"/>
  <c r="AY51" i="51" s="1"/>
  <c r="G51" i="51"/>
  <c r="AX51" i="51" s="1"/>
  <c r="F51" i="51"/>
  <c r="AW51" i="51" s="1"/>
  <c r="AT49" i="51"/>
  <c r="CK49" i="51" s="1"/>
  <c r="AS49" i="51"/>
  <c r="CJ49" i="51" s="1"/>
  <c r="AR49" i="51"/>
  <c r="CI49" i="51" s="1"/>
  <c r="AQ49" i="51"/>
  <c r="CH49" i="51" s="1"/>
  <c r="AP49" i="51"/>
  <c r="CG49" i="51" s="1"/>
  <c r="AO49" i="51"/>
  <c r="CF49" i="51" s="1"/>
  <c r="AM49" i="51"/>
  <c r="CD49" i="51" s="1"/>
  <c r="AL49" i="51"/>
  <c r="CC49" i="51" s="1"/>
  <c r="AK49" i="51"/>
  <c r="CB49" i="51" s="1"/>
  <c r="AJ49" i="51"/>
  <c r="CA49" i="51" s="1"/>
  <c r="AI49" i="51"/>
  <c r="BZ49" i="51" s="1"/>
  <c r="AH49" i="51"/>
  <c r="AF49" i="51"/>
  <c r="BW49" i="51" s="1"/>
  <c r="AE49" i="51"/>
  <c r="BV49" i="51" s="1"/>
  <c r="AD49" i="51"/>
  <c r="BU49" i="51" s="1"/>
  <c r="AC49" i="51"/>
  <c r="BT49" i="51" s="1"/>
  <c r="AB49" i="51"/>
  <c r="BS49" i="51" s="1"/>
  <c r="AA49" i="51"/>
  <c r="Y49" i="51"/>
  <c r="BP49" i="51" s="1"/>
  <c r="X49" i="51"/>
  <c r="BO49" i="51" s="1"/>
  <c r="W49" i="51"/>
  <c r="BN49" i="51" s="1"/>
  <c r="V49" i="51"/>
  <c r="BM49" i="51" s="1"/>
  <c r="U49" i="51"/>
  <c r="BL49" i="51" s="1"/>
  <c r="T49" i="51"/>
  <c r="BK49" i="51" s="1"/>
  <c r="R49" i="51"/>
  <c r="BI49" i="51" s="1"/>
  <c r="Q49" i="51"/>
  <c r="BH49" i="51" s="1"/>
  <c r="P49" i="51"/>
  <c r="BG49" i="51" s="1"/>
  <c r="O49" i="51"/>
  <c r="BF49" i="51" s="1"/>
  <c r="N49" i="51"/>
  <c r="BE49" i="51" s="1"/>
  <c r="M49" i="51"/>
  <c r="BD49" i="51" s="1"/>
  <c r="K49" i="51"/>
  <c r="BB49" i="51" s="1"/>
  <c r="J49" i="51"/>
  <c r="BA49" i="51" s="1"/>
  <c r="I49" i="51"/>
  <c r="AZ49" i="51" s="1"/>
  <c r="H49" i="51"/>
  <c r="AY49" i="51" s="1"/>
  <c r="G49" i="51"/>
  <c r="AX49" i="51" s="1"/>
  <c r="F49" i="51"/>
  <c r="AW49" i="51" s="1"/>
  <c r="AT44" i="51"/>
  <c r="CK44" i="51" s="1"/>
  <c r="AS44" i="51"/>
  <c r="CJ44" i="51" s="1"/>
  <c r="AR44" i="51"/>
  <c r="CI44" i="51" s="1"/>
  <c r="AQ44" i="51"/>
  <c r="CH44" i="51" s="1"/>
  <c r="AP44" i="51"/>
  <c r="CG44" i="51" s="1"/>
  <c r="AO44" i="51"/>
  <c r="CF44" i="51" s="1"/>
  <c r="AM44" i="51"/>
  <c r="CD44" i="51" s="1"/>
  <c r="AL44" i="51"/>
  <c r="CC44" i="51" s="1"/>
  <c r="AK44" i="51"/>
  <c r="CB44" i="51" s="1"/>
  <c r="AJ44" i="51"/>
  <c r="CA44" i="51" s="1"/>
  <c r="AI44" i="51"/>
  <c r="BZ44" i="51" s="1"/>
  <c r="AH44" i="51"/>
  <c r="AF44" i="51"/>
  <c r="BW44" i="51" s="1"/>
  <c r="AE44" i="51"/>
  <c r="BV44" i="51" s="1"/>
  <c r="AD44" i="51"/>
  <c r="BU44" i="51" s="1"/>
  <c r="AC44" i="51"/>
  <c r="BT44" i="51" s="1"/>
  <c r="AB44" i="51"/>
  <c r="BS44" i="51" s="1"/>
  <c r="AA44" i="51"/>
  <c r="Y44" i="51"/>
  <c r="BP44" i="51" s="1"/>
  <c r="X44" i="51"/>
  <c r="BO44" i="51" s="1"/>
  <c r="W44" i="51"/>
  <c r="BN44" i="51" s="1"/>
  <c r="V44" i="51"/>
  <c r="BM44" i="51" s="1"/>
  <c r="U44" i="51"/>
  <c r="BL44" i="51" s="1"/>
  <c r="T44" i="51"/>
  <c r="BK44" i="51" s="1"/>
  <c r="R44" i="51"/>
  <c r="BI44" i="51" s="1"/>
  <c r="Q44" i="51"/>
  <c r="BH44" i="51" s="1"/>
  <c r="P44" i="51"/>
  <c r="BG44" i="51" s="1"/>
  <c r="O44" i="51"/>
  <c r="BF44" i="51" s="1"/>
  <c r="N44" i="51"/>
  <c r="BE44" i="51" s="1"/>
  <c r="M44" i="51"/>
  <c r="BD44" i="51" s="1"/>
  <c r="K44" i="51"/>
  <c r="BB44" i="51" s="1"/>
  <c r="J44" i="51"/>
  <c r="BA44" i="51" s="1"/>
  <c r="I44" i="51"/>
  <c r="AZ44" i="51" s="1"/>
  <c r="H44" i="51"/>
  <c r="AY44" i="51" s="1"/>
  <c r="G44" i="51"/>
  <c r="AX44" i="51" s="1"/>
  <c r="F44" i="51"/>
  <c r="AW44" i="51" s="1"/>
  <c r="AT43" i="51"/>
  <c r="CK43" i="51" s="1"/>
  <c r="AS43" i="51"/>
  <c r="CJ43" i="51" s="1"/>
  <c r="AR43" i="51"/>
  <c r="CI43" i="51" s="1"/>
  <c r="AQ43" i="51"/>
  <c r="CH43" i="51" s="1"/>
  <c r="AP43" i="51"/>
  <c r="CG43" i="51" s="1"/>
  <c r="AO43" i="51"/>
  <c r="CF43" i="51" s="1"/>
  <c r="AM43" i="51"/>
  <c r="CD43" i="51" s="1"/>
  <c r="AL43" i="51"/>
  <c r="CC43" i="51" s="1"/>
  <c r="AK43" i="51"/>
  <c r="CB43" i="51" s="1"/>
  <c r="AJ43" i="51"/>
  <c r="CA43" i="51" s="1"/>
  <c r="AI43" i="51"/>
  <c r="BZ43" i="51" s="1"/>
  <c r="AH43" i="51"/>
  <c r="AF43" i="51"/>
  <c r="BW43" i="51" s="1"/>
  <c r="AE43" i="51"/>
  <c r="BV43" i="51" s="1"/>
  <c r="AD43" i="51"/>
  <c r="BU43" i="51" s="1"/>
  <c r="AC43" i="51"/>
  <c r="BT43" i="51" s="1"/>
  <c r="AB43" i="51"/>
  <c r="BS43" i="51" s="1"/>
  <c r="AA43" i="51"/>
  <c r="Y43" i="51"/>
  <c r="BP43" i="51" s="1"/>
  <c r="X43" i="51"/>
  <c r="BO43" i="51" s="1"/>
  <c r="W43" i="51"/>
  <c r="BN43" i="51" s="1"/>
  <c r="V43" i="51"/>
  <c r="BM43" i="51" s="1"/>
  <c r="U43" i="51"/>
  <c r="BL43" i="51" s="1"/>
  <c r="T43" i="51"/>
  <c r="BK43" i="51" s="1"/>
  <c r="R43" i="51"/>
  <c r="BI43" i="51" s="1"/>
  <c r="Q43" i="51"/>
  <c r="BH43" i="51" s="1"/>
  <c r="P43" i="51"/>
  <c r="BG43" i="51" s="1"/>
  <c r="O43" i="51"/>
  <c r="BF43" i="51" s="1"/>
  <c r="N43" i="51"/>
  <c r="BE43" i="51" s="1"/>
  <c r="M43" i="51"/>
  <c r="BD43" i="51" s="1"/>
  <c r="K43" i="51"/>
  <c r="BB43" i="51" s="1"/>
  <c r="J43" i="51"/>
  <c r="BA43" i="51" s="1"/>
  <c r="I43" i="51"/>
  <c r="AZ43" i="51" s="1"/>
  <c r="H43" i="51"/>
  <c r="AY43" i="51" s="1"/>
  <c r="G43" i="51"/>
  <c r="AX43" i="51" s="1"/>
  <c r="F43" i="51"/>
  <c r="AW43" i="51" s="1"/>
  <c r="AT42" i="51"/>
  <c r="CK42" i="51" s="1"/>
  <c r="AS42" i="51"/>
  <c r="CJ42" i="51" s="1"/>
  <c r="AR42" i="51"/>
  <c r="CI42" i="51" s="1"/>
  <c r="AQ42" i="51"/>
  <c r="CH42" i="51" s="1"/>
  <c r="AP42" i="51"/>
  <c r="CG42" i="51" s="1"/>
  <c r="AO42" i="51"/>
  <c r="CF42" i="51" s="1"/>
  <c r="AM42" i="51"/>
  <c r="CD42" i="51" s="1"/>
  <c r="AL42" i="51"/>
  <c r="CC42" i="51" s="1"/>
  <c r="AK42" i="51"/>
  <c r="CB42" i="51" s="1"/>
  <c r="AJ42" i="51"/>
  <c r="CA42" i="51" s="1"/>
  <c r="AI42" i="51"/>
  <c r="BZ42" i="51" s="1"/>
  <c r="AH42" i="51"/>
  <c r="AF42" i="51"/>
  <c r="BW42" i="51" s="1"/>
  <c r="AE42" i="51"/>
  <c r="BV42" i="51" s="1"/>
  <c r="AD42" i="51"/>
  <c r="BU42" i="51" s="1"/>
  <c r="AC42" i="51"/>
  <c r="BT42" i="51" s="1"/>
  <c r="AB42" i="51"/>
  <c r="BS42" i="51" s="1"/>
  <c r="AA42" i="51"/>
  <c r="Y42" i="51"/>
  <c r="BP42" i="51" s="1"/>
  <c r="X42" i="51"/>
  <c r="BO42" i="51" s="1"/>
  <c r="W42" i="51"/>
  <c r="BN42" i="51" s="1"/>
  <c r="V42" i="51"/>
  <c r="BM42" i="51" s="1"/>
  <c r="U42" i="51"/>
  <c r="BL42" i="51" s="1"/>
  <c r="T42" i="51"/>
  <c r="BK42" i="51" s="1"/>
  <c r="R42" i="51"/>
  <c r="BI42" i="51" s="1"/>
  <c r="Q42" i="51"/>
  <c r="BH42" i="51" s="1"/>
  <c r="P42" i="51"/>
  <c r="BG42" i="51" s="1"/>
  <c r="O42" i="51"/>
  <c r="BF42" i="51" s="1"/>
  <c r="N42" i="51"/>
  <c r="BE42" i="51" s="1"/>
  <c r="M42" i="51"/>
  <c r="BD42" i="51" s="1"/>
  <c r="K42" i="51"/>
  <c r="BB42" i="51" s="1"/>
  <c r="J42" i="51"/>
  <c r="BA42" i="51" s="1"/>
  <c r="I42" i="51"/>
  <c r="AZ42" i="51" s="1"/>
  <c r="H42" i="51"/>
  <c r="AY42" i="51" s="1"/>
  <c r="G42" i="51"/>
  <c r="AX42" i="51" s="1"/>
  <c r="F42" i="51"/>
  <c r="AW42" i="51" s="1"/>
  <c r="AT41" i="51"/>
  <c r="CK41" i="51" s="1"/>
  <c r="AS41" i="51"/>
  <c r="CJ41" i="51" s="1"/>
  <c r="AR41" i="51"/>
  <c r="CI41" i="51" s="1"/>
  <c r="AQ41" i="51"/>
  <c r="CH41" i="51" s="1"/>
  <c r="AP41" i="51"/>
  <c r="CG41" i="51" s="1"/>
  <c r="AO41" i="51"/>
  <c r="CF41" i="51" s="1"/>
  <c r="AT40" i="51"/>
  <c r="CK40" i="51" s="1"/>
  <c r="AS40" i="51"/>
  <c r="CJ40" i="51" s="1"/>
  <c r="AR40" i="51"/>
  <c r="CI40" i="51" s="1"/>
  <c r="AQ40" i="51"/>
  <c r="CH40" i="51" s="1"/>
  <c r="AP40" i="51"/>
  <c r="CG40" i="51" s="1"/>
  <c r="AO40" i="51"/>
  <c r="CF40" i="51" s="1"/>
  <c r="AM40" i="51"/>
  <c r="CD40" i="51" s="1"/>
  <c r="AL40" i="51"/>
  <c r="CC40" i="51" s="1"/>
  <c r="AK40" i="51"/>
  <c r="CB40" i="51" s="1"/>
  <c r="AJ40" i="51"/>
  <c r="CA40" i="51" s="1"/>
  <c r="AI40" i="51"/>
  <c r="BZ40" i="51" s="1"/>
  <c r="AH40" i="51"/>
  <c r="AF40" i="51"/>
  <c r="BW40" i="51" s="1"/>
  <c r="AE40" i="51"/>
  <c r="BV40" i="51" s="1"/>
  <c r="AD40" i="51"/>
  <c r="BU40" i="51" s="1"/>
  <c r="AC40" i="51"/>
  <c r="BT40" i="51" s="1"/>
  <c r="AB40" i="51"/>
  <c r="BS40" i="51" s="1"/>
  <c r="AA40" i="51"/>
  <c r="Y40" i="51"/>
  <c r="BP40" i="51" s="1"/>
  <c r="X40" i="51"/>
  <c r="BO40" i="51" s="1"/>
  <c r="W40" i="51"/>
  <c r="BN40" i="51" s="1"/>
  <c r="V40" i="51"/>
  <c r="BM40" i="51" s="1"/>
  <c r="U40" i="51"/>
  <c r="BL40" i="51" s="1"/>
  <c r="T40" i="51"/>
  <c r="BK40" i="51" s="1"/>
  <c r="K40" i="51"/>
  <c r="BB40" i="51" s="1"/>
  <c r="J40" i="51"/>
  <c r="BA40" i="51" s="1"/>
  <c r="I40" i="51"/>
  <c r="AZ40" i="51" s="1"/>
  <c r="H40" i="51"/>
  <c r="AY40" i="51" s="1"/>
  <c r="G40" i="51"/>
  <c r="AX40" i="51" s="1"/>
  <c r="F40" i="51"/>
  <c r="AW40" i="51" s="1"/>
  <c r="AT39" i="51"/>
  <c r="CK39" i="51" s="1"/>
  <c r="AS39" i="51"/>
  <c r="CJ39" i="51" s="1"/>
  <c r="AR39" i="51"/>
  <c r="CI39" i="51" s="1"/>
  <c r="AQ39" i="51"/>
  <c r="CH39" i="51" s="1"/>
  <c r="AP39" i="51"/>
  <c r="CG39" i="51" s="1"/>
  <c r="AO39" i="51"/>
  <c r="CF39" i="51" s="1"/>
  <c r="Y39" i="51"/>
  <c r="BP39" i="51" s="1"/>
  <c r="X39" i="51"/>
  <c r="BO39" i="51" s="1"/>
  <c r="W39" i="51"/>
  <c r="BN39" i="51" s="1"/>
  <c r="V39" i="51"/>
  <c r="BM39" i="51" s="1"/>
  <c r="U39" i="51"/>
  <c r="BL39" i="51" s="1"/>
  <c r="T39" i="51"/>
  <c r="BK39" i="51" s="1"/>
  <c r="R39" i="51"/>
  <c r="BI39" i="51" s="1"/>
  <c r="Q39" i="51"/>
  <c r="BH39" i="51" s="1"/>
  <c r="P39" i="51"/>
  <c r="BG39" i="51" s="1"/>
  <c r="O39" i="51"/>
  <c r="BF39" i="51" s="1"/>
  <c r="N39" i="51"/>
  <c r="BE39" i="51" s="1"/>
  <c r="M39" i="51"/>
  <c r="BD39" i="51" s="1"/>
  <c r="AT38" i="51"/>
  <c r="CK38" i="51" s="1"/>
  <c r="AS38" i="51"/>
  <c r="CJ38" i="51" s="1"/>
  <c r="AR38" i="51"/>
  <c r="CI38" i="51" s="1"/>
  <c r="AQ38" i="51"/>
  <c r="CH38" i="51" s="1"/>
  <c r="AP38" i="51"/>
  <c r="CG38" i="51" s="1"/>
  <c r="AO38" i="51"/>
  <c r="CF38" i="51" s="1"/>
  <c r="Y38" i="51"/>
  <c r="BP38" i="51" s="1"/>
  <c r="X38" i="51"/>
  <c r="BO38" i="51" s="1"/>
  <c r="W38" i="51"/>
  <c r="BN38" i="51" s="1"/>
  <c r="V38" i="51"/>
  <c r="BM38" i="51" s="1"/>
  <c r="U38" i="51"/>
  <c r="BL38" i="51" s="1"/>
  <c r="T38" i="51"/>
  <c r="BK38" i="51" s="1"/>
  <c r="R38" i="51"/>
  <c r="BI38" i="51" s="1"/>
  <c r="Q38" i="51"/>
  <c r="BH38" i="51" s="1"/>
  <c r="P38" i="51"/>
  <c r="BG38" i="51" s="1"/>
  <c r="O38" i="51"/>
  <c r="BF38" i="51" s="1"/>
  <c r="N38" i="51"/>
  <c r="BE38" i="51" s="1"/>
  <c r="M38" i="51"/>
  <c r="BD38" i="51" s="1"/>
  <c r="AT37" i="51"/>
  <c r="CK37" i="51" s="1"/>
  <c r="AS37" i="51"/>
  <c r="CJ37" i="51" s="1"/>
  <c r="AR37" i="51"/>
  <c r="CI37" i="51" s="1"/>
  <c r="AQ37" i="51"/>
  <c r="CH37" i="51" s="1"/>
  <c r="AP37" i="51"/>
  <c r="CG37" i="51" s="1"/>
  <c r="AO37" i="51"/>
  <c r="CF37" i="51" s="1"/>
  <c r="AM37" i="51"/>
  <c r="CD37" i="51" s="1"/>
  <c r="AL37" i="51"/>
  <c r="CC37" i="51" s="1"/>
  <c r="AK37" i="51"/>
  <c r="CB37" i="51" s="1"/>
  <c r="AJ37" i="51"/>
  <c r="CA37" i="51" s="1"/>
  <c r="AI37" i="51"/>
  <c r="BZ37" i="51" s="1"/>
  <c r="AH37" i="51"/>
  <c r="AF37" i="51"/>
  <c r="BW37" i="51" s="1"/>
  <c r="AE37" i="51"/>
  <c r="BV37" i="51" s="1"/>
  <c r="AD37" i="51"/>
  <c r="BU37" i="51" s="1"/>
  <c r="AC37" i="51"/>
  <c r="BT37" i="51" s="1"/>
  <c r="AB37" i="51"/>
  <c r="BS37" i="51" s="1"/>
  <c r="AA37" i="51"/>
  <c r="Y37" i="51"/>
  <c r="BP37" i="51" s="1"/>
  <c r="X37" i="51"/>
  <c r="BO37" i="51" s="1"/>
  <c r="W37" i="51"/>
  <c r="BN37" i="51" s="1"/>
  <c r="V37" i="51"/>
  <c r="BM37" i="51" s="1"/>
  <c r="U37" i="51"/>
  <c r="BL37" i="51" s="1"/>
  <c r="T37" i="51"/>
  <c r="BK37" i="51" s="1"/>
  <c r="R37" i="51"/>
  <c r="BI37" i="51" s="1"/>
  <c r="Q37" i="51"/>
  <c r="BH37" i="51" s="1"/>
  <c r="P37" i="51"/>
  <c r="BG37" i="51" s="1"/>
  <c r="O37" i="51"/>
  <c r="BF37" i="51" s="1"/>
  <c r="N37" i="51"/>
  <c r="BE37" i="51" s="1"/>
  <c r="M37" i="51"/>
  <c r="BD37" i="51" s="1"/>
  <c r="K37" i="51"/>
  <c r="BB37" i="51" s="1"/>
  <c r="J37" i="51"/>
  <c r="BA37" i="51" s="1"/>
  <c r="I37" i="51"/>
  <c r="AZ37" i="51" s="1"/>
  <c r="H37" i="51"/>
  <c r="AY37" i="51" s="1"/>
  <c r="G37" i="51"/>
  <c r="AX37" i="51" s="1"/>
  <c r="F37" i="51"/>
  <c r="AW37" i="51" s="1"/>
  <c r="AT36" i="51"/>
  <c r="CK36" i="51" s="1"/>
  <c r="AS36" i="51"/>
  <c r="CJ36" i="51" s="1"/>
  <c r="AR36" i="51"/>
  <c r="CI36" i="51" s="1"/>
  <c r="AQ36" i="51"/>
  <c r="CH36" i="51" s="1"/>
  <c r="AP36" i="51"/>
  <c r="CG36" i="51" s="1"/>
  <c r="AO36" i="51"/>
  <c r="CF36" i="51" s="1"/>
  <c r="Y36" i="51"/>
  <c r="BP36" i="51" s="1"/>
  <c r="X36" i="51"/>
  <c r="BO36" i="51" s="1"/>
  <c r="W36" i="51"/>
  <c r="BN36" i="51" s="1"/>
  <c r="V36" i="51"/>
  <c r="BM36" i="51" s="1"/>
  <c r="U36" i="51"/>
  <c r="BL36" i="51" s="1"/>
  <c r="T36" i="51"/>
  <c r="BK36" i="51" s="1"/>
  <c r="R36" i="51"/>
  <c r="BI36" i="51" s="1"/>
  <c r="Q36" i="51"/>
  <c r="BH36" i="51" s="1"/>
  <c r="P36" i="51"/>
  <c r="BG36" i="51" s="1"/>
  <c r="O36" i="51"/>
  <c r="BF36" i="51" s="1"/>
  <c r="N36" i="51"/>
  <c r="BE36" i="51" s="1"/>
  <c r="M36" i="51"/>
  <c r="BD36" i="51" s="1"/>
  <c r="AT35" i="51"/>
  <c r="CK35" i="51" s="1"/>
  <c r="AS35" i="51"/>
  <c r="CJ35" i="51" s="1"/>
  <c r="AR35" i="51"/>
  <c r="CI35" i="51" s="1"/>
  <c r="AQ35" i="51"/>
  <c r="CH35" i="51" s="1"/>
  <c r="AP35" i="51"/>
  <c r="CG35" i="51" s="1"/>
  <c r="AO35" i="51"/>
  <c r="CF35" i="51" s="1"/>
  <c r="Y35" i="51"/>
  <c r="BP35" i="51" s="1"/>
  <c r="X35" i="51"/>
  <c r="BO35" i="51" s="1"/>
  <c r="W35" i="51"/>
  <c r="BN35" i="51" s="1"/>
  <c r="V35" i="51"/>
  <c r="BM35" i="51" s="1"/>
  <c r="U35" i="51"/>
  <c r="BL35" i="51" s="1"/>
  <c r="T35" i="51"/>
  <c r="BK35" i="51" s="1"/>
  <c r="R35" i="51"/>
  <c r="BI35" i="51" s="1"/>
  <c r="Q35" i="51"/>
  <c r="BH35" i="51" s="1"/>
  <c r="P35" i="51"/>
  <c r="BG35" i="51" s="1"/>
  <c r="O35" i="51"/>
  <c r="BF35" i="51" s="1"/>
  <c r="N35" i="51"/>
  <c r="BE35" i="51" s="1"/>
  <c r="M35" i="51"/>
  <c r="BD35" i="51" s="1"/>
  <c r="AT33" i="51"/>
  <c r="CK33" i="51" s="1"/>
  <c r="AS33" i="51"/>
  <c r="CJ33" i="51" s="1"/>
  <c r="AR33" i="51"/>
  <c r="CI33" i="51" s="1"/>
  <c r="AQ33" i="51"/>
  <c r="CH33" i="51" s="1"/>
  <c r="AP33" i="51"/>
  <c r="CG33" i="51" s="1"/>
  <c r="AO33" i="51"/>
  <c r="CF33" i="51" s="1"/>
  <c r="AM33" i="51"/>
  <c r="CD33" i="51" s="1"/>
  <c r="AL33" i="51"/>
  <c r="CC33" i="51" s="1"/>
  <c r="AK33" i="51"/>
  <c r="CB33" i="51" s="1"/>
  <c r="AJ33" i="51"/>
  <c r="CA33" i="51" s="1"/>
  <c r="AI33" i="51"/>
  <c r="BZ33" i="51" s="1"/>
  <c r="AH33" i="51"/>
  <c r="AF33" i="51"/>
  <c r="BW33" i="51" s="1"/>
  <c r="AE33" i="51"/>
  <c r="BV33" i="51" s="1"/>
  <c r="AD33" i="51"/>
  <c r="BU33" i="51" s="1"/>
  <c r="AC33" i="51"/>
  <c r="BT33" i="51" s="1"/>
  <c r="AB33" i="51"/>
  <c r="BS33" i="51" s="1"/>
  <c r="AA33" i="51"/>
  <c r="Y33" i="51"/>
  <c r="BP33" i="51" s="1"/>
  <c r="X33" i="51"/>
  <c r="BO33" i="51" s="1"/>
  <c r="W33" i="51"/>
  <c r="BN33" i="51" s="1"/>
  <c r="V33" i="51"/>
  <c r="BM33" i="51" s="1"/>
  <c r="U33" i="51"/>
  <c r="BL33" i="51" s="1"/>
  <c r="T33" i="51"/>
  <c r="BK33" i="51" s="1"/>
  <c r="R33" i="51"/>
  <c r="BI33" i="51" s="1"/>
  <c r="Q33" i="51"/>
  <c r="BH33" i="51" s="1"/>
  <c r="P33" i="51"/>
  <c r="BG33" i="51" s="1"/>
  <c r="O33" i="51"/>
  <c r="BF33" i="51" s="1"/>
  <c r="N33" i="51"/>
  <c r="BE33" i="51" s="1"/>
  <c r="M33" i="51"/>
  <c r="BD33" i="51" s="1"/>
  <c r="K33" i="51"/>
  <c r="BB33" i="51" s="1"/>
  <c r="J33" i="51"/>
  <c r="BA33" i="51" s="1"/>
  <c r="I33" i="51"/>
  <c r="AZ33" i="51" s="1"/>
  <c r="H33" i="51"/>
  <c r="AY33" i="51" s="1"/>
  <c r="G33" i="51"/>
  <c r="AX33" i="51" s="1"/>
  <c r="F33" i="51"/>
  <c r="AW33" i="51" s="1"/>
  <c r="AT32" i="51"/>
  <c r="CK32" i="51" s="1"/>
  <c r="AS32" i="51"/>
  <c r="CJ32" i="51" s="1"/>
  <c r="AR32" i="51"/>
  <c r="CI32" i="51" s="1"/>
  <c r="AQ32" i="51"/>
  <c r="CH32" i="51" s="1"/>
  <c r="AP32" i="51"/>
  <c r="AO32" i="51"/>
  <c r="CF32" i="51" s="1"/>
  <c r="AM32" i="51"/>
  <c r="AL32" i="51"/>
  <c r="CC32" i="51" s="1"/>
  <c r="AK32" i="51"/>
  <c r="CB32" i="51" s="1"/>
  <c r="AJ32" i="51"/>
  <c r="CA32" i="51" s="1"/>
  <c r="AI32" i="51"/>
  <c r="BZ32" i="51" s="1"/>
  <c r="AH32" i="51"/>
  <c r="AF32" i="51"/>
  <c r="AE32" i="51"/>
  <c r="AD32" i="51"/>
  <c r="AC32" i="51"/>
  <c r="BT32" i="51" s="1"/>
  <c r="AB32" i="51"/>
  <c r="BS32" i="51" s="1"/>
  <c r="AA32" i="51"/>
  <c r="Y32" i="51"/>
  <c r="BP32" i="51" s="1"/>
  <c r="X32" i="51"/>
  <c r="BO32" i="51" s="1"/>
  <c r="W32" i="51"/>
  <c r="V32" i="51"/>
  <c r="U32" i="51"/>
  <c r="T32" i="51"/>
  <c r="BK32" i="51" s="1"/>
  <c r="R32" i="51"/>
  <c r="BI32" i="51" s="1"/>
  <c r="Q32" i="51"/>
  <c r="BH32" i="51" s="1"/>
  <c r="P32" i="51"/>
  <c r="BG32" i="51" s="1"/>
  <c r="O32" i="51"/>
  <c r="BF32" i="51" s="1"/>
  <c r="N32" i="51"/>
  <c r="M32" i="51"/>
  <c r="BD32" i="51" s="1"/>
  <c r="K32" i="51"/>
  <c r="J32" i="51"/>
  <c r="BA32" i="51" s="1"/>
  <c r="I32" i="51"/>
  <c r="AZ32" i="51" s="1"/>
  <c r="H32" i="51"/>
  <c r="AY32" i="51" s="1"/>
  <c r="G32" i="51"/>
  <c r="AX32" i="51" s="1"/>
  <c r="F32" i="51"/>
  <c r="AW32" i="51" s="1"/>
  <c r="AT28" i="51"/>
  <c r="CK28" i="51" s="1"/>
  <c r="AS28" i="51"/>
  <c r="CJ28" i="51" s="1"/>
  <c r="AR28" i="51"/>
  <c r="CI28" i="51" s="1"/>
  <c r="AQ28" i="51"/>
  <c r="CH28" i="51" s="1"/>
  <c r="AP28" i="51"/>
  <c r="CG28" i="51" s="1"/>
  <c r="AO28" i="51"/>
  <c r="CF28" i="51" s="1"/>
  <c r="AT27" i="51"/>
  <c r="CK27" i="51" s="1"/>
  <c r="AS27" i="51"/>
  <c r="CJ27" i="51" s="1"/>
  <c r="AR27" i="51"/>
  <c r="CI27" i="51" s="1"/>
  <c r="AQ27" i="51"/>
  <c r="CH27" i="51" s="1"/>
  <c r="AP27" i="51"/>
  <c r="CG27" i="51" s="1"/>
  <c r="AO27" i="51"/>
  <c r="CF27" i="51" s="1"/>
  <c r="Y27" i="51"/>
  <c r="BP27" i="51" s="1"/>
  <c r="X27" i="51"/>
  <c r="BO27" i="51" s="1"/>
  <c r="W27" i="51"/>
  <c r="BN27" i="51" s="1"/>
  <c r="V27" i="51"/>
  <c r="BM27" i="51" s="1"/>
  <c r="U27" i="51"/>
  <c r="BL27" i="51" s="1"/>
  <c r="T27" i="51"/>
  <c r="BK27" i="51" s="1"/>
  <c r="R27" i="51"/>
  <c r="BI27" i="51" s="1"/>
  <c r="Q27" i="51"/>
  <c r="BH27" i="51" s="1"/>
  <c r="P27" i="51"/>
  <c r="BG27" i="51" s="1"/>
  <c r="O27" i="51"/>
  <c r="BF27" i="51" s="1"/>
  <c r="N27" i="51"/>
  <c r="BE27" i="51" s="1"/>
  <c r="M27" i="51"/>
  <c r="BD27" i="51" s="1"/>
  <c r="Y26" i="51"/>
  <c r="BP26" i="51" s="1"/>
  <c r="X26" i="51"/>
  <c r="BO26" i="51" s="1"/>
  <c r="W26" i="51"/>
  <c r="BN26" i="51" s="1"/>
  <c r="V26" i="51"/>
  <c r="BM26" i="51" s="1"/>
  <c r="U26" i="51"/>
  <c r="BL26" i="51" s="1"/>
  <c r="T26" i="51"/>
  <c r="BK26" i="51" s="1"/>
  <c r="R26" i="51"/>
  <c r="BI26" i="51" s="1"/>
  <c r="Q26" i="51"/>
  <c r="BH26" i="51" s="1"/>
  <c r="P26" i="51"/>
  <c r="BG26" i="51" s="1"/>
  <c r="O26" i="51"/>
  <c r="BF26" i="51" s="1"/>
  <c r="N26" i="51"/>
  <c r="BE26" i="51" s="1"/>
  <c r="M26" i="51"/>
  <c r="BD26" i="51" s="1"/>
  <c r="AT24" i="51"/>
  <c r="CK24" i="51" s="1"/>
  <c r="AS24" i="51"/>
  <c r="CJ24" i="51" s="1"/>
  <c r="AR24" i="51"/>
  <c r="CI24" i="51" s="1"/>
  <c r="AQ24" i="51"/>
  <c r="CH24" i="51" s="1"/>
  <c r="AP24" i="51"/>
  <c r="CG24" i="51" s="1"/>
  <c r="AO24" i="51"/>
  <c r="CF24" i="51" s="1"/>
  <c r="AM24" i="51"/>
  <c r="CD24" i="51" s="1"/>
  <c r="AL24" i="51"/>
  <c r="CC24" i="51" s="1"/>
  <c r="AK24" i="51"/>
  <c r="CB24" i="51" s="1"/>
  <c r="AJ24" i="51"/>
  <c r="CA24" i="51" s="1"/>
  <c r="AI24" i="51"/>
  <c r="BZ24" i="51" s="1"/>
  <c r="AH24" i="51"/>
  <c r="AF24" i="51"/>
  <c r="BW24" i="51" s="1"/>
  <c r="AE24" i="51"/>
  <c r="BV24" i="51" s="1"/>
  <c r="AD24" i="51"/>
  <c r="BU24" i="51" s="1"/>
  <c r="AC24" i="51"/>
  <c r="BT24" i="51" s="1"/>
  <c r="AB24" i="51"/>
  <c r="BS24" i="51" s="1"/>
  <c r="AA24" i="51"/>
  <c r="Y24" i="51"/>
  <c r="BP24" i="51" s="1"/>
  <c r="X24" i="51"/>
  <c r="BO24" i="51" s="1"/>
  <c r="W24" i="51"/>
  <c r="BN24" i="51" s="1"/>
  <c r="V24" i="51"/>
  <c r="BM24" i="51" s="1"/>
  <c r="U24" i="51"/>
  <c r="BL24" i="51" s="1"/>
  <c r="T24" i="51"/>
  <c r="BK24" i="51" s="1"/>
  <c r="R24" i="51"/>
  <c r="BI24" i="51" s="1"/>
  <c r="Q24" i="51"/>
  <c r="BH24" i="51" s="1"/>
  <c r="P24" i="51"/>
  <c r="BG24" i="51" s="1"/>
  <c r="O24" i="51"/>
  <c r="BF24" i="51" s="1"/>
  <c r="N24" i="51"/>
  <c r="BE24" i="51" s="1"/>
  <c r="M24" i="51"/>
  <c r="BD24" i="51" s="1"/>
  <c r="K24" i="51"/>
  <c r="BB24" i="51" s="1"/>
  <c r="J24" i="51"/>
  <c r="BA24" i="51" s="1"/>
  <c r="I24" i="51"/>
  <c r="AZ24" i="51" s="1"/>
  <c r="H24" i="51"/>
  <c r="AY24" i="51" s="1"/>
  <c r="G24" i="51"/>
  <c r="AX24" i="51" s="1"/>
  <c r="F24" i="51"/>
  <c r="AW24" i="51" s="1"/>
  <c r="AT23" i="51"/>
  <c r="AS23" i="51"/>
  <c r="AR23" i="51"/>
  <c r="AQ23" i="51"/>
  <c r="CH23" i="51" s="1"/>
  <c r="AP23" i="51"/>
  <c r="CG23" i="51" s="1"/>
  <c r="AO23" i="51"/>
  <c r="CF23" i="51" s="1"/>
  <c r="Y23" i="51"/>
  <c r="X23" i="51"/>
  <c r="W23" i="51"/>
  <c r="V23" i="51"/>
  <c r="BM23" i="51" s="1"/>
  <c r="U23" i="51"/>
  <c r="T23" i="51"/>
  <c r="BK23" i="51" s="1"/>
  <c r="R23" i="51"/>
  <c r="Q23" i="51"/>
  <c r="BH23" i="51" s="1"/>
  <c r="P23" i="51"/>
  <c r="O23" i="51"/>
  <c r="N23" i="51"/>
  <c r="M23" i="51"/>
  <c r="BD23" i="51" s="1"/>
  <c r="AT20" i="51"/>
  <c r="CK20" i="51" s="1"/>
  <c r="AS20" i="51"/>
  <c r="CJ20" i="51" s="1"/>
  <c r="AR20" i="51"/>
  <c r="CI20" i="51" s="1"/>
  <c r="AQ20" i="51"/>
  <c r="CH20" i="51" s="1"/>
  <c r="AP20" i="51"/>
  <c r="CG20" i="51" s="1"/>
  <c r="AO20" i="51"/>
  <c r="CF20" i="51" s="1"/>
  <c r="R20" i="51"/>
  <c r="BI20" i="51" s="1"/>
  <c r="Q20" i="51"/>
  <c r="BH20" i="51" s="1"/>
  <c r="P20" i="51"/>
  <c r="BG20" i="51" s="1"/>
  <c r="O20" i="51"/>
  <c r="BF20" i="51" s="1"/>
  <c r="N20" i="51"/>
  <c r="BE20" i="51" s="1"/>
  <c r="M20" i="51"/>
  <c r="BD20" i="51" s="1"/>
  <c r="AT19" i="51"/>
  <c r="CK19" i="51" s="1"/>
  <c r="AS19" i="51"/>
  <c r="CJ19" i="51" s="1"/>
  <c r="AR19" i="51"/>
  <c r="CI19" i="51" s="1"/>
  <c r="AQ19" i="51"/>
  <c r="CH19" i="51" s="1"/>
  <c r="AP19" i="51"/>
  <c r="CG19" i="51" s="1"/>
  <c r="AO19" i="51"/>
  <c r="CF19" i="51" s="1"/>
  <c r="AM19" i="51"/>
  <c r="CD19" i="51" s="1"/>
  <c r="AL19" i="51"/>
  <c r="CC19" i="51" s="1"/>
  <c r="AK19" i="51"/>
  <c r="CB19" i="51" s="1"/>
  <c r="AJ19" i="51"/>
  <c r="CA19" i="51" s="1"/>
  <c r="AI19" i="51"/>
  <c r="BZ19" i="51" s="1"/>
  <c r="AH19" i="51"/>
  <c r="AF19" i="51"/>
  <c r="BW19" i="51" s="1"/>
  <c r="AE19" i="51"/>
  <c r="BV19" i="51" s="1"/>
  <c r="AD19" i="51"/>
  <c r="BU19" i="51" s="1"/>
  <c r="AC19" i="51"/>
  <c r="BT19" i="51" s="1"/>
  <c r="AB19" i="51"/>
  <c r="BS19" i="51" s="1"/>
  <c r="AA19" i="51"/>
  <c r="Y19" i="51"/>
  <c r="BP19" i="51" s="1"/>
  <c r="X19" i="51"/>
  <c r="BO19" i="51" s="1"/>
  <c r="W19" i="51"/>
  <c r="BN19" i="51" s="1"/>
  <c r="V19" i="51"/>
  <c r="BM19" i="51" s="1"/>
  <c r="U19" i="51"/>
  <c r="BL19" i="51" s="1"/>
  <c r="T19" i="51"/>
  <c r="BK19" i="51" s="1"/>
  <c r="R19" i="51"/>
  <c r="BI19" i="51" s="1"/>
  <c r="Q19" i="51"/>
  <c r="BH19" i="51" s="1"/>
  <c r="P19" i="51"/>
  <c r="BG19" i="51" s="1"/>
  <c r="O19" i="51"/>
  <c r="BF19" i="51" s="1"/>
  <c r="N19" i="51"/>
  <c r="BE19" i="51" s="1"/>
  <c r="M19" i="51"/>
  <c r="BD19" i="51" s="1"/>
  <c r="K19" i="51"/>
  <c r="BB19" i="51" s="1"/>
  <c r="J19" i="51"/>
  <c r="BA19" i="51" s="1"/>
  <c r="I19" i="51"/>
  <c r="AZ19" i="51" s="1"/>
  <c r="H19" i="51"/>
  <c r="AY19" i="51" s="1"/>
  <c r="G19" i="51"/>
  <c r="AX19" i="51" s="1"/>
  <c r="F19" i="51"/>
  <c r="AW19" i="51" s="1"/>
  <c r="AT17" i="51"/>
  <c r="CK17" i="51" s="1"/>
  <c r="AS17" i="51"/>
  <c r="CJ17" i="51" s="1"/>
  <c r="AR17" i="51"/>
  <c r="CI17" i="51" s="1"/>
  <c r="AQ17" i="51"/>
  <c r="CH17" i="51" s="1"/>
  <c r="AP17" i="51"/>
  <c r="CG17" i="51" s="1"/>
  <c r="AO17" i="51"/>
  <c r="CF17" i="51" s="1"/>
  <c r="Y17" i="51"/>
  <c r="BP17" i="51" s="1"/>
  <c r="X17" i="51"/>
  <c r="BO17" i="51" s="1"/>
  <c r="W17" i="51"/>
  <c r="BN17" i="51" s="1"/>
  <c r="V17" i="51"/>
  <c r="BM17" i="51" s="1"/>
  <c r="U17" i="51"/>
  <c r="BL17" i="51" s="1"/>
  <c r="T17" i="51"/>
  <c r="BK17" i="51" s="1"/>
  <c r="R17" i="51"/>
  <c r="BI17" i="51" s="1"/>
  <c r="Q17" i="51"/>
  <c r="BH17" i="51" s="1"/>
  <c r="P17" i="51"/>
  <c r="BG17" i="51" s="1"/>
  <c r="O17" i="51"/>
  <c r="BF17" i="51" s="1"/>
  <c r="N17" i="51"/>
  <c r="BE17" i="51" s="1"/>
  <c r="M17" i="51"/>
  <c r="BD17" i="51" s="1"/>
  <c r="AM16" i="51"/>
  <c r="CD16" i="51" s="1"/>
  <c r="AL16" i="51"/>
  <c r="CC16" i="51" s="1"/>
  <c r="AK16" i="51"/>
  <c r="CB16" i="51" s="1"/>
  <c r="AJ16" i="51"/>
  <c r="CA16" i="51" s="1"/>
  <c r="AI16" i="51"/>
  <c r="BZ16" i="51" s="1"/>
  <c r="AH16" i="51"/>
  <c r="AF16" i="51"/>
  <c r="BW16" i="51" s="1"/>
  <c r="AE16" i="51"/>
  <c r="BV16" i="51" s="1"/>
  <c r="AD16" i="51"/>
  <c r="BU16" i="51" s="1"/>
  <c r="AC16" i="51"/>
  <c r="BT16" i="51" s="1"/>
  <c r="AB16" i="51"/>
  <c r="BS16" i="51" s="1"/>
  <c r="AA16" i="51"/>
  <c r="Y16" i="51"/>
  <c r="X16" i="51"/>
  <c r="W16" i="51"/>
  <c r="V16" i="51"/>
  <c r="U16" i="51"/>
  <c r="T16" i="51"/>
  <c r="R16" i="51"/>
  <c r="Q16" i="51"/>
  <c r="P16" i="51"/>
  <c r="O16" i="51"/>
  <c r="N16" i="51"/>
  <c r="M16" i="51"/>
  <c r="BD16" i="51" s="1"/>
  <c r="K16" i="51"/>
  <c r="BB16" i="51" s="1"/>
  <c r="J16" i="51"/>
  <c r="BA16" i="51" s="1"/>
  <c r="I16" i="51"/>
  <c r="AZ16" i="51" s="1"/>
  <c r="H16" i="51"/>
  <c r="AY16" i="51" s="1"/>
  <c r="G16" i="51"/>
  <c r="AX16" i="51" s="1"/>
  <c r="F16" i="51"/>
  <c r="AW16" i="51" s="1"/>
  <c r="AT14" i="51"/>
  <c r="CK14" i="51" s="1"/>
  <c r="AS14" i="51"/>
  <c r="CJ14" i="51" s="1"/>
  <c r="AR14" i="51"/>
  <c r="CI14" i="51" s="1"/>
  <c r="AQ14" i="51"/>
  <c r="CH14" i="51" s="1"/>
  <c r="AP14" i="51"/>
  <c r="CG14" i="51" s="1"/>
  <c r="AO14" i="51"/>
  <c r="CF14" i="51" s="1"/>
  <c r="AM14" i="51"/>
  <c r="CD14" i="51" s="1"/>
  <c r="AL14" i="51"/>
  <c r="CC14" i="51" s="1"/>
  <c r="AK14" i="51"/>
  <c r="CB14" i="51" s="1"/>
  <c r="AJ14" i="51"/>
  <c r="CA14" i="51" s="1"/>
  <c r="AI14" i="51"/>
  <c r="BZ14" i="51" s="1"/>
  <c r="AH14" i="51"/>
  <c r="AF14" i="51"/>
  <c r="BW14" i="51" s="1"/>
  <c r="AE14" i="51"/>
  <c r="BV14" i="51" s="1"/>
  <c r="AD14" i="51"/>
  <c r="BU14" i="51" s="1"/>
  <c r="AC14" i="51"/>
  <c r="BT14" i="51" s="1"/>
  <c r="AB14" i="51"/>
  <c r="BS14" i="51" s="1"/>
  <c r="AA14" i="51"/>
  <c r="Y14" i="51"/>
  <c r="BP14" i="51" s="1"/>
  <c r="X14" i="51"/>
  <c r="BO14" i="51" s="1"/>
  <c r="W14" i="51"/>
  <c r="BN14" i="51" s="1"/>
  <c r="V14" i="51"/>
  <c r="BM14" i="51" s="1"/>
  <c r="U14" i="51"/>
  <c r="BL14" i="51" s="1"/>
  <c r="T14" i="51"/>
  <c r="BK14" i="51" s="1"/>
  <c r="R14" i="51"/>
  <c r="BI14" i="51" s="1"/>
  <c r="Q14" i="51"/>
  <c r="BH14" i="51" s="1"/>
  <c r="P14" i="51"/>
  <c r="BG14" i="51" s="1"/>
  <c r="O14" i="51"/>
  <c r="BF14" i="51" s="1"/>
  <c r="N14" i="51"/>
  <c r="BE14" i="51" s="1"/>
  <c r="M14" i="51"/>
  <c r="BD14" i="51" s="1"/>
  <c r="K14" i="51"/>
  <c r="BB14" i="51" s="1"/>
  <c r="J14" i="51"/>
  <c r="BA14" i="51" s="1"/>
  <c r="I14" i="51"/>
  <c r="AZ14" i="51" s="1"/>
  <c r="H14" i="51"/>
  <c r="AY14" i="51" s="1"/>
  <c r="G14" i="51"/>
  <c r="AX14" i="51" s="1"/>
  <c r="F14" i="51"/>
  <c r="AW14" i="51" s="1"/>
  <c r="AT13" i="51"/>
  <c r="CK13" i="51" s="1"/>
  <c r="AS13" i="51"/>
  <c r="CJ13" i="51" s="1"/>
  <c r="AR13" i="51"/>
  <c r="AQ13" i="51"/>
  <c r="AP13" i="51"/>
  <c r="AO13" i="51"/>
  <c r="CF13" i="51" s="1"/>
  <c r="AM13" i="51"/>
  <c r="CD13" i="51" s="1"/>
  <c r="AL13" i="51"/>
  <c r="CC13" i="51" s="1"/>
  <c r="AK13" i="51"/>
  <c r="CB13" i="51" s="1"/>
  <c r="AJ13" i="51"/>
  <c r="CA13" i="51" s="1"/>
  <c r="AI13" i="51"/>
  <c r="AH13" i="51"/>
  <c r="BY13" i="51" s="1"/>
  <c r="AF13" i="51"/>
  <c r="AE13" i="51"/>
  <c r="BV13" i="51" s="1"/>
  <c r="AD13" i="51"/>
  <c r="BU13" i="51" s="1"/>
  <c r="AC13" i="51"/>
  <c r="BT13" i="51" s="1"/>
  <c r="AB13" i="51"/>
  <c r="BS13" i="51" s="1"/>
  <c r="AA13" i="51"/>
  <c r="Y13" i="51"/>
  <c r="X13" i="51"/>
  <c r="W13" i="51"/>
  <c r="V13" i="51"/>
  <c r="BM13" i="51" s="1"/>
  <c r="U13" i="51"/>
  <c r="BL13" i="51" s="1"/>
  <c r="T13" i="51"/>
  <c r="BK13" i="51" s="1"/>
  <c r="R13" i="51"/>
  <c r="BI13" i="51" s="1"/>
  <c r="Q13" i="51"/>
  <c r="BH13" i="51" s="1"/>
  <c r="P13" i="51"/>
  <c r="O13" i="51"/>
  <c r="N13" i="51"/>
  <c r="M13" i="51"/>
  <c r="BD13" i="51" s="1"/>
  <c r="K13" i="51"/>
  <c r="BB13" i="51" s="1"/>
  <c r="J13" i="51"/>
  <c r="BA13" i="51" s="1"/>
  <c r="I13" i="51"/>
  <c r="AZ13" i="51" s="1"/>
  <c r="H13" i="51"/>
  <c r="AY13" i="51" s="1"/>
  <c r="G13" i="51"/>
  <c r="F13" i="51"/>
  <c r="K8" i="50"/>
  <c r="J8" i="50"/>
  <c r="I8" i="50"/>
  <c r="H8" i="50"/>
  <c r="G8" i="50"/>
  <c r="F8" i="50"/>
  <c r="AR8" i="50" s="1"/>
  <c r="AY8" i="50" s="1"/>
  <c r="BF8" i="50" s="1"/>
  <c r="BM8" i="50" s="1"/>
  <c r="BT8" i="50" s="1"/>
  <c r="K10" i="51"/>
  <c r="J10" i="51"/>
  <c r="I10" i="51"/>
  <c r="H10" i="51"/>
  <c r="G10" i="51"/>
  <c r="F10" i="51"/>
  <c r="K9" i="62"/>
  <c r="J9" i="62"/>
  <c r="I9" i="62"/>
  <c r="H9" i="62"/>
  <c r="G9" i="62"/>
  <c r="F9" i="62"/>
  <c r="AW9" i="62" s="1"/>
  <c r="BD9" i="62" s="1"/>
  <c r="BK9" i="62" s="1"/>
  <c r="BR9" i="62" s="1"/>
  <c r="BY9" i="62" s="1"/>
  <c r="B36" i="67"/>
  <c r="B96" i="67"/>
  <c r="B72" i="67"/>
  <c r="B54" i="67"/>
  <c r="T210" i="50"/>
  <c r="M209" i="50"/>
  <c r="F198" i="50"/>
  <c r="F197" i="50"/>
  <c r="F193" i="50"/>
  <c r="B94" i="67"/>
  <c r="B127" i="67" s="1"/>
  <c r="B70" i="67"/>
  <c r="B125" i="67" s="1"/>
  <c r="B91" i="67"/>
  <c r="B67" i="67"/>
  <c r="B49" i="67"/>
  <c r="B31" i="67"/>
  <c r="B13" i="67"/>
  <c r="B89" i="67"/>
  <c r="B65" i="67"/>
  <c r="B47" i="67"/>
  <c r="B29" i="67"/>
  <c r="B11" i="67"/>
  <c r="AH83" i="50"/>
  <c r="BT83" i="50" s="1"/>
  <c r="E7" i="51"/>
  <c r="AH175" i="62"/>
  <c r="AA175" i="62"/>
  <c r="BR175" i="62" s="1"/>
  <c r="T175" i="62"/>
  <c r="M175" i="62"/>
  <c r="BD175" i="62" s="1"/>
  <c r="F175" i="62"/>
  <c r="AH174" i="62"/>
  <c r="BY174" i="62" s="1"/>
  <c r="AA174" i="62"/>
  <c r="T174" i="62"/>
  <c r="BK174" i="62" s="1"/>
  <c r="M174" i="62"/>
  <c r="F174" i="62"/>
  <c r="AH173" i="62"/>
  <c r="AA173" i="62"/>
  <c r="BR173" i="62" s="1"/>
  <c r="T173" i="62"/>
  <c r="BK173" i="62" s="1"/>
  <c r="M173" i="62"/>
  <c r="BD173" i="62" s="1"/>
  <c r="F173" i="62"/>
  <c r="AH172" i="62"/>
  <c r="BY172" i="62" s="1"/>
  <c r="AA172" i="62"/>
  <c r="T172" i="62"/>
  <c r="BK172" i="62" s="1"/>
  <c r="M172" i="62"/>
  <c r="BD172" i="62" s="1"/>
  <c r="F172" i="62"/>
  <c r="AW172" i="62" s="1"/>
  <c r="AH171" i="62"/>
  <c r="AA171" i="62"/>
  <c r="BR171" i="62" s="1"/>
  <c r="T171" i="62"/>
  <c r="M171" i="62"/>
  <c r="F171" i="62"/>
  <c r="AH170" i="62"/>
  <c r="BY170" i="62" s="1"/>
  <c r="AA170" i="62"/>
  <c r="BR170" i="62" s="1"/>
  <c r="T170" i="62"/>
  <c r="BK170" i="62" s="1"/>
  <c r="M170" i="62"/>
  <c r="BD170" i="62" s="1"/>
  <c r="F170" i="62"/>
  <c r="AH169" i="62"/>
  <c r="AA169" i="62"/>
  <c r="BR169" i="62" s="1"/>
  <c r="T169" i="62"/>
  <c r="M169" i="62"/>
  <c r="BD169" i="62" s="1"/>
  <c r="F169" i="62"/>
  <c r="AH168" i="62"/>
  <c r="BY168" i="62" s="1"/>
  <c r="AA168" i="62"/>
  <c r="BR168" i="62" s="1"/>
  <c r="T168" i="62"/>
  <c r="BK168" i="62" s="1"/>
  <c r="M168" i="62"/>
  <c r="BD168" i="62" s="1"/>
  <c r="F168" i="62"/>
  <c r="AW168" i="62" s="1"/>
  <c r="AH167" i="62"/>
  <c r="AA167" i="62"/>
  <c r="BR167" i="62" s="1"/>
  <c r="T167" i="62"/>
  <c r="BK167" i="62" s="1"/>
  <c r="M167" i="62"/>
  <c r="BD167" i="62" s="1"/>
  <c r="F167" i="62"/>
  <c r="AH166" i="62"/>
  <c r="BY166" i="62" s="1"/>
  <c r="AA166" i="62"/>
  <c r="T166" i="62"/>
  <c r="BK166" i="62" s="1"/>
  <c r="M166" i="62"/>
  <c r="F166" i="62"/>
  <c r="AW166" i="62" s="1"/>
  <c r="AH165" i="62"/>
  <c r="BY165" i="62" s="1"/>
  <c r="AA165" i="62"/>
  <c r="BR165" i="62" s="1"/>
  <c r="T165" i="62"/>
  <c r="BK165" i="62" s="1"/>
  <c r="M165" i="62"/>
  <c r="BD165" i="62" s="1"/>
  <c r="F165" i="62"/>
  <c r="AH164" i="62"/>
  <c r="BY164" i="62" s="1"/>
  <c r="AA164" i="62"/>
  <c r="T164" i="62"/>
  <c r="BK164" i="62" s="1"/>
  <c r="M164" i="62"/>
  <c r="F164" i="62"/>
  <c r="AW164" i="62" s="1"/>
  <c r="AH163" i="62"/>
  <c r="AA163" i="62"/>
  <c r="BR163" i="62" s="1"/>
  <c r="T163" i="62"/>
  <c r="M163" i="62"/>
  <c r="BD163" i="62" s="1"/>
  <c r="F163" i="62"/>
  <c r="AH162" i="62"/>
  <c r="BY162" i="62" s="1"/>
  <c r="AA162" i="62"/>
  <c r="T162" i="62"/>
  <c r="BK162" i="62" s="1"/>
  <c r="M162" i="62"/>
  <c r="F162" i="62"/>
  <c r="AW162" i="62" s="1"/>
  <c r="AH161" i="62"/>
  <c r="BY161" i="62" s="1"/>
  <c r="AA161" i="62"/>
  <c r="BR161" i="62" s="1"/>
  <c r="T161" i="62"/>
  <c r="BK161" i="62" s="1"/>
  <c r="M161" i="62"/>
  <c r="BD161" i="62" s="1"/>
  <c r="F161" i="62"/>
  <c r="AH160" i="62"/>
  <c r="BY160" i="62" s="1"/>
  <c r="AA160" i="62"/>
  <c r="BR160" i="62" s="1"/>
  <c r="T160" i="62"/>
  <c r="BK160" i="62" s="1"/>
  <c r="M160" i="62"/>
  <c r="BD160" i="62" s="1"/>
  <c r="F160" i="62"/>
  <c r="AH159" i="62"/>
  <c r="AA159" i="62"/>
  <c r="BR159" i="62" s="1"/>
  <c r="T159" i="62"/>
  <c r="BK159" i="62" s="1"/>
  <c r="M159" i="62"/>
  <c r="BD159" i="62" s="1"/>
  <c r="F159" i="62"/>
  <c r="AH158" i="62"/>
  <c r="BY158" i="62" s="1"/>
  <c r="AA158" i="62"/>
  <c r="BR158" i="62" s="1"/>
  <c r="T158" i="62"/>
  <c r="BK158" i="62" s="1"/>
  <c r="M158" i="62"/>
  <c r="F158" i="62"/>
  <c r="AW158" i="62" s="1"/>
  <c r="AH157" i="62"/>
  <c r="AA157" i="62"/>
  <c r="T157" i="62"/>
  <c r="BK157" i="62" s="1"/>
  <c r="M157" i="62"/>
  <c r="BD157" i="62" s="1"/>
  <c r="F157" i="62"/>
  <c r="AW157" i="62" s="1"/>
  <c r="AH156" i="62"/>
  <c r="BY156" i="62" s="1"/>
  <c r="AA156" i="62"/>
  <c r="BR156" i="62" s="1"/>
  <c r="T156" i="62"/>
  <c r="M156" i="62"/>
  <c r="F156" i="62"/>
  <c r="AH155" i="62"/>
  <c r="BY155" i="62" s="1"/>
  <c r="AA155" i="62"/>
  <c r="BR155" i="62" s="1"/>
  <c r="T155" i="62"/>
  <c r="M155" i="62"/>
  <c r="BD155" i="62" s="1"/>
  <c r="F155" i="62"/>
  <c r="AT154" i="62"/>
  <c r="AS154" i="62"/>
  <c r="AR154" i="62"/>
  <c r="AQ154" i="62"/>
  <c r="AP154" i="62"/>
  <c r="AO154" i="62"/>
  <c r="AN154" i="62"/>
  <c r="AG154" i="62"/>
  <c r="Z154" i="62"/>
  <c r="S154" i="62"/>
  <c r="L154" i="62"/>
  <c r="E154" i="62"/>
  <c r="K132" i="62"/>
  <c r="BB132" i="62" s="1"/>
  <c r="Y132" i="62"/>
  <c r="BP132" i="62" s="1"/>
  <c r="I132" i="62"/>
  <c r="AZ132" i="62" s="1"/>
  <c r="AT132" i="62"/>
  <c r="AS132" i="62"/>
  <c r="AR132" i="62"/>
  <c r="AQ132" i="62"/>
  <c r="AP132" i="62"/>
  <c r="AO132" i="62"/>
  <c r="AN132" i="62"/>
  <c r="AM132" i="62"/>
  <c r="CD132" i="62" s="1"/>
  <c r="AL132" i="62"/>
  <c r="CC132" i="62" s="1"/>
  <c r="AK132" i="62"/>
  <c r="CB132" i="62" s="1"/>
  <c r="AJ132" i="62"/>
  <c r="CA132" i="62" s="1"/>
  <c r="AI132" i="62"/>
  <c r="BZ132" i="62" s="1"/>
  <c r="AH132" i="62"/>
  <c r="BY132" i="62" s="1"/>
  <c r="AG132" i="62"/>
  <c r="AF132" i="62"/>
  <c r="BW132" i="62" s="1"/>
  <c r="AE132" i="62"/>
  <c r="BV132" i="62" s="1"/>
  <c r="AD132" i="62"/>
  <c r="BU132" i="62" s="1"/>
  <c r="AC132" i="62"/>
  <c r="BT132" i="62" s="1"/>
  <c r="AB132" i="62"/>
  <c r="BS132" i="62" s="1"/>
  <c r="AA132" i="62"/>
  <c r="BR132" i="62" s="1"/>
  <c r="Z132" i="62"/>
  <c r="X132" i="62"/>
  <c r="BO132" i="62" s="1"/>
  <c r="W132" i="62"/>
  <c r="BN132" i="62" s="1"/>
  <c r="V132" i="62"/>
  <c r="BM132" i="62" s="1"/>
  <c r="U132" i="62"/>
  <c r="BL132" i="62" s="1"/>
  <c r="T132" i="62"/>
  <c r="BK132" i="62" s="1"/>
  <c r="S132" i="62"/>
  <c r="R132" i="62"/>
  <c r="BI132" i="62" s="1"/>
  <c r="Q132" i="62"/>
  <c r="BH132" i="62" s="1"/>
  <c r="P132" i="62"/>
  <c r="BG132" i="62" s="1"/>
  <c r="O132" i="62"/>
  <c r="BF132" i="62" s="1"/>
  <c r="N132" i="62"/>
  <c r="BE132" i="62" s="1"/>
  <c r="M132" i="62"/>
  <c r="BD132" i="62" s="1"/>
  <c r="L132" i="62"/>
  <c r="J132" i="62"/>
  <c r="BA132" i="62" s="1"/>
  <c r="H132" i="62"/>
  <c r="AY132" i="62" s="1"/>
  <c r="G132" i="62"/>
  <c r="AX132" i="62" s="1"/>
  <c r="F132" i="62"/>
  <c r="AW132" i="62" s="1"/>
  <c r="E132" i="62"/>
  <c r="AT110" i="62"/>
  <c r="AS110" i="62"/>
  <c r="AR110" i="62"/>
  <c r="AQ110" i="62"/>
  <c r="AP110" i="62"/>
  <c r="AO110" i="62"/>
  <c r="AN110" i="62"/>
  <c r="AM110" i="62"/>
  <c r="AL110" i="62"/>
  <c r="AK110" i="62"/>
  <c r="AJ110" i="62"/>
  <c r="AI110" i="62"/>
  <c r="AH110" i="62"/>
  <c r="BY110" i="62" s="1"/>
  <c r="AG110" i="62"/>
  <c r="AF110" i="62"/>
  <c r="AE110" i="62"/>
  <c r="AD110" i="62"/>
  <c r="AC110" i="62"/>
  <c r="AB110" i="62"/>
  <c r="AA110" i="62"/>
  <c r="BR110" i="62" s="1"/>
  <c r="Z110" i="62"/>
  <c r="Y110" i="62"/>
  <c r="X110" i="62"/>
  <c r="W110" i="62"/>
  <c r="V110" i="62"/>
  <c r="U110" i="62"/>
  <c r="T110" i="62"/>
  <c r="BK110" i="62" s="1"/>
  <c r="S110" i="62"/>
  <c r="R110" i="62"/>
  <c r="Q110" i="62"/>
  <c r="P110" i="62"/>
  <c r="O110" i="62"/>
  <c r="N110" i="62"/>
  <c r="M110" i="62"/>
  <c r="BD110" i="62" s="1"/>
  <c r="L110" i="62"/>
  <c r="K110" i="62"/>
  <c r="J110" i="62"/>
  <c r="I110" i="62"/>
  <c r="H110" i="62"/>
  <c r="G110" i="62"/>
  <c r="F110" i="62"/>
  <c r="AW110" i="62" s="1"/>
  <c r="E110" i="62"/>
  <c r="AH108" i="62"/>
  <c r="AA108" i="62"/>
  <c r="T108" i="62"/>
  <c r="M108" i="62"/>
  <c r="F108" i="62"/>
  <c r="AH107" i="62"/>
  <c r="AA107" i="62"/>
  <c r="T107" i="62"/>
  <c r="M107" i="62"/>
  <c r="F107" i="62"/>
  <c r="AH106" i="62"/>
  <c r="AA106" i="62"/>
  <c r="T106" i="62"/>
  <c r="M106" i="62"/>
  <c r="F106" i="62"/>
  <c r="AH105" i="62"/>
  <c r="AA105" i="62"/>
  <c r="T105" i="62"/>
  <c r="M105" i="62"/>
  <c r="F105" i="62"/>
  <c r="AH104" i="62"/>
  <c r="AA104" i="62"/>
  <c r="T104" i="62"/>
  <c r="M104" i="62"/>
  <c r="F104" i="62"/>
  <c r="AH103" i="62"/>
  <c r="AA103" i="62"/>
  <c r="T103" i="62"/>
  <c r="M103" i="62"/>
  <c r="F103" i="62"/>
  <c r="AW103" i="62" s="1"/>
  <c r="AH102" i="62"/>
  <c r="BY102" i="62" s="1"/>
  <c r="AA102" i="62"/>
  <c r="T102" i="62"/>
  <c r="M102" i="62"/>
  <c r="F102" i="62"/>
  <c r="AH101" i="62"/>
  <c r="AA101" i="62"/>
  <c r="BR101" i="62" s="1"/>
  <c r="T101" i="62"/>
  <c r="M101" i="62"/>
  <c r="BD101" i="62" s="1"/>
  <c r="AH100" i="62"/>
  <c r="AA100" i="62"/>
  <c r="T100" i="62"/>
  <c r="BK100" i="62" s="1"/>
  <c r="M100" i="62"/>
  <c r="F100" i="62"/>
  <c r="AN99" i="62"/>
  <c r="E99" i="62"/>
  <c r="AV99" i="62" s="1"/>
  <c r="AH98" i="62"/>
  <c r="AA98" i="62"/>
  <c r="T98" i="62"/>
  <c r="M98" i="62"/>
  <c r="F98" i="62"/>
  <c r="AH97" i="62"/>
  <c r="BY97" i="62" s="1"/>
  <c r="AA97" i="62"/>
  <c r="T97" i="62"/>
  <c r="M97" i="62"/>
  <c r="F97" i="62"/>
  <c r="AH96" i="62"/>
  <c r="AA96" i="62"/>
  <c r="BR96" i="62" s="1"/>
  <c r="T96" i="62"/>
  <c r="M96" i="62"/>
  <c r="F96" i="62"/>
  <c r="AW96" i="62" s="1"/>
  <c r="AH95" i="62"/>
  <c r="AA95" i="62"/>
  <c r="T95" i="62"/>
  <c r="BK95" i="62" s="1"/>
  <c r="M95" i="62"/>
  <c r="F95" i="62"/>
  <c r="AN94" i="62"/>
  <c r="E94" i="62"/>
  <c r="AV94" i="62" s="1"/>
  <c r="AH93" i="62"/>
  <c r="AA93" i="62"/>
  <c r="T93" i="62"/>
  <c r="M93" i="62"/>
  <c r="F93" i="62"/>
  <c r="AH92" i="62"/>
  <c r="AA92" i="62"/>
  <c r="T92" i="62"/>
  <c r="M92" i="62"/>
  <c r="F92" i="62"/>
  <c r="AH91" i="62"/>
  <c r="AA91" i="62"/>
  <c r="T91" i="62"/>
  <c r="M91" i="62"/>
  <c r="F91" i="62"/>
  <c r="AH90" i="62"/>
  <c r="AA90" i="62"/>
  <c r="T90" i="62"/>
  <c r="M90" i="62"/>
  <c r="F90" i="62"/>
  <c r="AH89" i="62"/>
  <c r="AA89" i="62"/>
  <c r="T89" i="62"/>
  <c r="M89" i="62"/>
  <c r="F89" i="62"/>
  <c r="AH88" i="62"/>
  <c r="AA88" i="62"/>
  <c r="T88" i="62"/>
  <c r="M88" i="62"/>
  <c r="F88" i="62"/>
  <c r="AH87" i="62"/>
  <c r="AA87" i="62"/>
  <c r="T87" i="62"/>
  <c r="M87" i="62"/>
  <c r="F87" i="62"/>
  <c r="AH86" i="62"/>
  <c r="BY86" i="62" s="1"/>
  <c r="AA86" i="62"/>
  <c r="T86" i="62"/>
  <c r="M86" i="62"/>
  <c r="F86" i="62"/>
  <c r="AH85" i="62"/>
  <c r="AA85" i="62"/>
  <c r="T85" i="62"/>
  <c r="M85" i="62"/>
  <c r="F85" i="62"/>
  <c r="AH84" i="62"/>
  <c r="AA84" i="62"/>
  <c r="T84" i="62"/>
  <c r="M84" i="62"/>
  <c r="BD84" i="62" s="1"/>
  <c r="F84" i="62"/>
  <c r="AN83" i="62"/>
  <c r="E83" i="62"/>
  <c r="AV83" i="62" s="1"/>
  <c r="AH82" i="62"/>
  <c r="AA82" i="62"/>
  <c r="BR82" i="62" s="1"/>
  <c r="T82" i="62"/>
  <c r="BK82" i="62" s="1"/>
  <c r="M82" i="62"/>
  <c r="F82" i="62"/>
  <c r="AH81" i="62"/>
  <c r="BY81" i="62" s="1"/>
  <c r="AA81" i="62"/>
  <c r="T81" i="62"/>
  <c r="M81" i="62"/>
  <c r="F81" i="62"/>
  <c r="AW81" i="62" s="1"/>
  <c r="AN80" i="62"/>
  <c r="AH78" i="62"/>
  <c r="AA78" i="62"/>
  <c r="T78" i="62"/>
  <c r="M78" i="62"/>
  <c r="AH77" i="62"/>
  <c r="AA77" i="62"/>
  <c r="T77" i="62"/>
  <c r="M77" i="62"/>
  <c r="F77" i="62"/>
  <c r="AH76" i="62"/>
  <c r="AA76" i="62"/>
  <c r="T76" i="62"/>
  <c r="M76" i="62"/>
  <c r="F76" i="62"/>
  <c r="AH75" i="62"/>
  <c r="BY75" i="62" s="1"/>
  <c r="AA75" i="62"/>
  <c r="T75" i="62"/>
  <c r="M75" i="62"/>
  <c r="BD75" i="62" s="1"/>
  <c r="F75" i="62"/>
  <c r="AW75" i="62" s="1"/>
  <c r="AN74" i="62"/>
  <c r="E74" i="62"/>
  <c r="AV74" i="62" s="1"/>
  <c r="AH73" i="62"/>
  <c r="AA73" i="62"/>
  <c r="T73" i="62"/>
  <c r="M73" i="62"/>
  <c r="F73" i="62"/>
  <c r="AH72" i="62"/>
  <c r="AA72" i="62"/>
  <c r="T72" i="62"/>
  <c r="M72" i="62"/>
  <c r="BD72" i="62" s="1"/>
  <c r="F72" i="62"/>
  <c r="AN71" i="62"/>
  <c r="E71" i="62"/>
  <c r="AH70" i="62"/>
  <c r="AA70" i="62"/>
  <c r="T70" i="62"/>
  <c r="M70" i="62"/>
  <c r="AH69" i="62"/>
  <c r="AA69" i="62"/>
  <c r="T69" i="62"/>
  <c r="M69" i="62"/>
  <c r="AH68" i="62"/>
  <c r="AA68" i="62"/>
  <c r="T68" i="62"/>
  <c r="M68" i="62"/>
  <c r="F68" i="62"/>
  <c r="AH66" i="62"/>
  <c r="AA66" i="62"/>
  <c r="BR66" i="62" s="1"/>
  <c r="T66" i="62"/>
  <c r="M66" i="62"/>
  <c r="G66" i="62"/>
  <c r="AH65" i="62"/>
  <c r="AA65" i="62"/>
  <c r="T65" i="62"/>
  <c r="M65" i="62"/>
  <c r="BD65" i="62" s="1"/>
  <c r="F65" i="62"/>
  <c r="AN64" i="62"/>
  <c r="E64" i="62"/>
  <c r="AV64" i="62" s="1"/>
  <c r="AH63" i="62"/>
  <c r="AA63" i="62"/>
  <c r="BR63" i="62" s="1"/>
  <c r="T63" i="62"/>
  <c r="M63" i="62"/>
  <c r="F63" i="62"/>
  <c r="AH62" i="62"/>
  <c r="AA62" i="62"/>
  <c r="T62" i="62"/>
  <c r="BK62" i="62" s="1"/>
  <c r="M62" i="62"/>
  <c r="BD62" i="62" s="1"/>
  <c r="F62" i="62"/>
  <c r="AN61" i="62"/>
  <c r="E61" i="62"/>
  <c r="AV61" i="62" s="1"/>
  <c r="AT60" i="62"/>
  <c r="AS60" i="62"/>
  <c r="AR60" i="62"/>
  <c r="AQ60" i="62"/>
  <c r="AP60" i="62"/>
  <c r="AO60" i="62"/>
  <c r="K50" i="62"/>
  <c r="BB50" i="62" s="1"/>
  <c r="AN50" i="62"/>
  <c r="AM50" i="62"/>
  <c r="CD50" i="62" s="1"/>
  <c r="AL50" i="62"/>
  <c r="CC50" i="62" s="1"/>
  <c r="AK50" i="62"/>
  <c r="CB50" i="62" s="1"/>
  <c r="AJ50" i="62"/>
  <c r="CA50" i="62" s="1"/>
  <c r="AI50" i="62"/>
  <c r="BZ50" i="62" s="1"/>
  <c r="AH50" i="62"/>
  <c r="BY50" i="62" s="1"/>
  <c r="AG50" i="62"/>
  <c r="BX50" i="62" s="1"/>
  <c r="AF50" i="62"/>
  <c r="BW50" i="62" s="1"/>
  <c r="AE50" i="62"/>
  <c r="BV50" i="62" s="1"/>
  <c r="AD50" i="62"/>
  <c r="BU50" i="62" s="1"/>
  <c r="AC50" i="62"/>
  <c r="BT50" i="62" s="1"/>
  <c r="AB50" i="62"/>
  <c r="BS50" i="62" s="1"/>
  <c r="AA50" i="62"/>
  <c r="BR50" i="62" s="1"/>
  <c r="Z50" i="62"/>
  <c r="BQ50" i="62" s="1"/>
  <c r="Y50" i="62"/>
  <c r="BP50" i="62" s="1"/>
  <c r="X50" i="62"/>
  <c r="BO50" i="62" s="1"/>
  <c r="W50" i="62"/>
  <c r="BN50" i="62" s="1"/>
  <c r="V50" i="62"/>
  <c r="BM50" i="62" s="1"/>
  <c r="U50" i="62"/>
  <c r="BL50" i="62" s="1"/>
  <c r="T50" i="62"/>
  <c r="BK50" i="62" s="1"/>
  <c r="S50" i="62"/>
  <c r="BJ50" i="62" s="1"/>
  <c r="R50" i="62"/>
  <c r="BI50" i="62" s="1"/>
  <c r="Q50" i="62"/>
  <c r="BH50" i="62" s="1"/>
  <c r="P50" i="62"/>
  <c r="BG50" i="62" s="1"/>
  <c r="O50" i="62"/>
  <c r="BF50" i="62" s="1"/>
  <c r="N50" i="62"/>
  <c r="BE50" i="62" s="1"/>
  <c r="M50" i="62"/>
  <c r="BD50" i="62" s="1"/>
  <c r="L50" i="62"/>
  <c r="BC50" i="62" s="1"/>
  <c r="J50" i="62"/>
  <c r="BA50" i="62" s="1"/>
  <c r="I50" i="62"/>
  <c r="AZ50" i="62" s="1"/>
  <c r="H50" i="62"/>
  <c r="AY50" i="62" s="1"/>
  <c r="G50" i="62"/>
  <c r="AX50" i="62" s="1"/>
  <c r="F50" i="62"/>
  <c r="AW50" i="62" s="1"/>
  <c r="AN45" i="62"/>
  <c r="AM45" i="62"/>
  <c r="CD45" i="62" s="1"/>
  <c r="AL45" i="62"/>
  <c r="CC45" i="62" s="1"/>
  <c r="AK45" i="62"/>
  <c r="CB45" i="62" s="1"/>
  <c r="AJ45" i="62"/>
  <c r="CA45" i="62" s="1"/>
  <c r="AI45" i="62"/>
  <c r="BZ45" i="62" s="1"/>
  <c r="AH45" i="62"/>
  <c r="BY45" i="62" s="1"/>
  <c r="AG45" i="62"/>
  <c r="BX45" i="62" s="1"/>
  <c r="AF45" i="62"/>
  <c r="BW45" i="62" s="1"/>
  <c r="AE45" i="62"/>
  <c r="BV45" i="62" s="1"/>
  <c r="AD45" i="62"/>
  <c r="BU45" i="62" s="1"/>
  <c r="AC45" i="62"/>
  <c r="BT45" i="62" s="1"/>
  <c r="AB45" i="62"/>
  <c r="BS45" i="62" s="1"/>
  <c r="AA45" i="62"/>
  <c r="BR45" i="62" s="1"/>
  <c r="Z45" i="62"/>
  <c r="BQ45" i="62" s="1"/>
  <c r="Y45" i="62"/>
  <c r="BP45" i="62" s="1"/>
  <c r="X45" i="62"/>
  <c r="BO45" i="62" s="1"/>
  <c r="W45" i="62"/>
  <c r="BN45" i="62" s="1"/>
  <c r="V45" i="62"/>
  <c r="BM45" i="62" s="1"/>
  <c r="U45" i="62"/>
  <c r="BL45" i="62" s="1"/>
  <c r="T45" i="62"/>
  <c r="BK45" i="62" s="1"/>
  <c r="S45" i="62"/>
  <c r="BJ45" i="62" s="1"/>
  <c r="R45" i="62"/>
  <c r="BI45" i="62" s="1"/>
  <c r="Q45" i="62"/>
  <c r="BH45" i="62" s="1"/>
  <c r="P45" i="62"/>
  <c r="BG45" i="62" s="1"/>
  <c r="O45" i="62"/>
  <c r="BF45" i="62" s="1"/>
  <c r="N45" i="62"/>
  <c r="BE45" i="62" s="1"/>
  <c r="M45" i="62"/>
  <c r="BD45" i="62" s="1"/>
  <c r="L45" i="62"/>
  <c r="BC45" i="62" s="1"/>
  <c r="K45" i="62"/>
  <c r="BB45" i="62" s="1"/>
  <c r="J45" i="62"/>
  <c r="BA45" i="62" s="1"/>
  <c r="I45" i="62"/>
  <c r="AZ45" i="62" s="1"/>
  <c r="H45" i="62"/>
  <c r="AY45" i="62" s="1"/>
  <c r="G45" i="62"/>
  <c r="AX45" i="62" s="1"/>
  <c r="F45" i="62"/>
  <c r="AW45" i="62" s="1"/>
  <c r="E45" i="62"/>
  <c r="AV45" i="62" s="1"/>
  <c r="AN34" i="62"/>
  <c r="AM34" i="62"/>
  <c r="CD34" i="62" s="1"/>
  <c r="AL34" i="62"/>
  <c r="CC34" i="62" s="1"/>
  <c r="AK34" i="62"/>
  <c r="CB34" i="62" s="1"/>
  <c r="AJ34" i="62"/>
  <c r="CA34" i="62" s="1"/>
  <c r="AI34" i="62"/>
  <c r="AH34" i="62"/>
  <c r="BY34" i="62" s="1"/>
  <c r="AG34" i="62"/>
  <c r="BX34" i="62" s="1"/>
  <c r="AF34" i="62"/>
  <c r="BW34" i="62" s="1"/>
  <c r="AE34" i="62"/>
  <c r="BV34" i="62" s="1"/>
  <c r="AD34" i="62"/>
  <c r="BU34" i="62" s="1"/>
  <c r="AC34" i="62"/>
  <c r="BT34" i="62" s="1"/>
  <c r="AB34" i="62"/>
  <c r="BS34" i="62" s="1"/>
  <c r="AA34" i="62"/>
  <c r="BR34" i="62" s="1"/>
  <c r="Z34" i="62"/>
  <c r="BQ34" i="62" s="1"/>
  <c r="Y34" i="62"/>
  <c r="BP34" i="62" s="1"/>
  <c r="X34" i="62"/>
  <c r="BO34" i="62" s="1"/>
  <c r="W34" i="62"/>
  <c r="BN34" i="62" s="1"/>
  <c r="V34" i="62"/>
  <c r="BM34" i="62" s="1"/>
  <c r="U34" i="62"/>
  <c r="BL34" i="62" s="1"/>
  <c r="T34" i="62"/>
  <c r="BK34" i="62" s="1"/>
  <c r="S34" i="62"/>
  <c r="BJ34" i="62" s="1"/>
  <c r="R34" i="62"/>
  <c r="BI34" i="62" s="1"/>
  <c r="Q34" i="62"/>
  <c r="BH34" i="62" s="1"/>
  <c r="P34" i="62"/>
  <c r="BG34" i="62" s="1"/>
  <c r="O34" i="62"/>
  <c r="BF34" i="62" s="1"/>
  <c r="N34" i="62"/>
  <c r="BE34" i="62" s="1"/>
  <c r="M34" i="62"/>
  <c r="BD34" i="62" s="1"/>
  <c r="L34" i="62"/>
  <c r="BC34" i="62" s="1"/>
  <c r="K34" i="62"/>
  <c r="BB34" i="62" s="1"/>
  <c r="J34" i="62"/>
  <c r="BA34" i="62" s="1"/>
  <c r="I34" i="62"/>
  <c r="AZ34" i="62" s="1"/>
  <c r="H34" i="62"/>
  <c r="AY34" i="62" s="1"/>
  <c r="G34" i="62"/>
  <c r="AX34" i="62" s="1"/>
  <c r="F34" i="62"/>
  <c r="AW34" i="62" s="1"/>
  <c r="E34" i="62"/>
  <c r="AV34" i="62" s="1"/>
  <c r="AN31" i="62"/>
  <c r="AM31" i="62"/>
  <c r="AL31" i="62"/>
  <c r="CC31" i="62" s="1"/>
  <c r="AK31" i="62"/>
  <c r="CB31" i="62" s="1"/>
  <c r="AJ31" i="62"/>
  <c r="CA31" i="62" s="1"/>
  <c r="AI31" i="62"/>
  <c r="BZ31" i="62" s="1"/>
  <c r="AH31" i="62"/>
  <c r="BY31" i="62" s="1"/>
  <c r="AG31" i="62"/>
  <c r="AF31" i="62"/>
  <c r="BW31" i="62" s="1"/>
  <c r="AE31" i="62"/>
  <c r="AD31" i="62"/>
  <c r="BU31" i="62" s="1"/>
  <c r="AC31" i="62"/>
  <c r="BT31" i="62" s="1"/>
  <c r="AB31" i="62"/>
  <c r="BS31" i="62" s="1"/>
  <c r="AA31" i="62"/>
  <c r="BR31" i="62" s="1"/>
  <c r="Z31" i="62"/>
  <c r="Y31" i="62"/>
  <c r="BP31" i="62" s="1"/>
  <c r="X31" i="62"/>
  <c r="BO31" i="62" s="1"/>
  <c r="W31" i="62"/>
  <c r="V31" i="62"/>
  <c r="BM31" i="62" s="1"/>
  <c r="U31" i="62"/>
  <c r="BL31" i="62" s="1"/>
  <c r="T31" i="62"/>
  <c r="BK31" i="62" s="1"/>
  <c r="S31" i="62"/>
  <c r="R31" i="62"/>
  <c r="BI31" i="62" s="1"/>
  <c r="Q31" i="62"/>
  <c r="BH31" i="62" s="1"/>
  <c r="P31" i="62"/>
  <c r="BG31" i="62" s="1"/>
  <c r="O31" i="62"/>
  <c r="N31" i="62"/>
  <c r="BE31" i="62" s="1"/>
  <c r="M31" i="62"/>
  <c r="BD31" i="62" s="1"/>
  <c r="L31" i="62"/>
  <c r="K31" i="62"/>
  <c r="BB31" i="62" s="1"/>
  <c r="J31" i="62"/>
  <c r="BA31" i="62" s="1"/>
  <c r="I31" i="62"/>
  <c r="AZ31" i="62" s="1"/>
  <c r="H31" i="62"/>
  <c r="AY31" i="62" s="1"/>
  <c r="G31" i="62"/>
  <c r="F31" i="62"/>
  <c r="AW31" i="62" s="1"/>
  <c r="E31" i="62"/>
  <c r="AN25" i="62"/>
  <c r="AM25" i="62"/>
  <c r="CD25" i="62" s="1"/>
  <c r="AL25" i="62"/>
  <c r="CC25" i="62" s="1"/>
  <c r="AK25" i="62"/>
  <c r="CB25" i="62" s="1"/>
  <c r="AJ25" i="62"/>
  <c r="CA25" i="62" s="1"/>
  <c r="AI25" i="62"/>
  <c r="BZ25" i="62" s="1"/>
  <c r="AH25" i="62"/>
  <c r="BY25" i="62" s="1"/>
  <c r="AG25" i="62"/>
  <c r="BX25" i="62" s="1"/>
  <c r="AF25" i="62"/>
  <c r="BW25" i="62" s="1"/>
  <c r="AE25" i="62"/>
  <c r="BV25" i="62" s="1"/>
  <c r="AD25" i="62"/>
  <c r="BU25" i="62" s="1"/>
  <c r="AC25" i="62"/>
  <c r="BT25" i="62" s="1"/>
  <c r="AB25" i="62"/>
  <c r="BS25" i="62" s="1"/>
  <c r="AA25" i="62"/>
  <c r="BR25" i="62" s="1"/>
  <c r="Z25" i="62"/>
  <c r="BQ25" i="62" s="1"/>
  <c r="Y25" i="62"/>
  <c r="BP25" i="62" s="1"/>
  <c r="X25" i="62"/>
  <c r="BO25" i="62" s="1"/>
  <c r="W25" i="62"/>
  <c r="BN25" i="62" s="1"/>
  <c r="V25" i="62"/>
  <c r="BM25" i="62" s="1"/>
  <c r="U25" i="62"/>
  <c r="BL25" i="62" s="1"/>
  <c r="T25" i="62"/>
  <c r="BK25" i="62" s="1"/>
  <c r="S25" i="62"/>
  <c r="BJ25" i="62" s="1"/>
  <c r="R25" i="62"/>
  <c r="BI25" i="62" s="1"/>
  <c r="Q25" i="62"/>
  <c r="BH25" i="62" s="1"/>
  <c r="P25" i="62"/>
  <c r="BG25" i="62" s="1"/>
  <c r="O25" i="62"/>
  <c r="BF25" i="62" s="1"/>
  <c r="N25" i="62"/>
  <c r="BE25" i="62" s="1"/>
  <c r="M25" i="62"/>
  <c r="BD25" i="62" s="1"/>
  <c r="L25" i="62"/>
  <c r="BC25" i="62" s="1"/>
  <c r="K25" i="62"/>
  <c r="BB25" i="62" s="1"/>
  <c r="J25" i="62"/>
  <c r="BA25" i="62" s="1"/>
  <c r="I25" i="62"/>
  <c r="AZ25" i="62" s="1"/>
  <c r="H25" i="62"/>
  <c r="AY25" i="62" s="1"/>
  <c r="G25" i="62"/>
  <c r="AX25" i="62" s="1"/>
  <c r="F25" i="62"/>
  <c r="AW25" i="62" s="1"/>
  <c r="E25" i="62"/>
  <c r="AV25" i="62" s="1"/>
  <c r="AN22" i="62"/>
  <c r="AM22" i="62"/>
  <c r="CD22" i="62" s="1"/>
  <c r="AL22" i="62"/>
  <c r="CC22" i="62" s="1"/>
  <c r="AK22" i="62"/>
  <c r="CB22" i="62" s="1"/>
  <c r="AJ22" i="62"/>
  <c r="CA22" i="62" s="1"/>
  <c r="AI22" i="62"/>
  <c r="BZ22" i="62" s="1"/>
  <c r="AH22" i="62"/>
  <c r="BY22" i="62" s="1"/>
  <c r="AG22" i="62"/>
  <c r="AF22" i="62"/>
  <c r="BW22" i="62" s="1"/>
  <c r="AE22" i="62"/>
  <c r="BV22" i="62" s="1"/>
  <c r="AD22" i="62"/>
  <c r="BU22" i="62" s="1"/>
  <c r="AC22" i="62"/>
  <c r="BT22" i="62" s="1"/>
  <c r="AB22" i="62"/>
  <c r="BS22" i="62" s="1"/>
  <c r="AA22" i="62"/>
  <c r="BR22" i="62" s="1"/>
  <c r="Z22" i="62"/>
  <c r="BQ22" i="62" s="1"/>
  <c r="Y22" i="62"/>
  <c r="X22" i="62"/>
  <c r="BO22" i="62" s="1"/>
  <c r="W22" i="62"/>
  <c r="BN22" i="62" s="1"/>
  <c r="V22" i="62"/>
  <c r="BM22" i="62" s="1"/>
  <c r="U22" i="62"/>
  <c r="BL22" i="62" s="1"/>
  <c r="T22" i="62"/>
  <c r="BK22" i="62" s="1"/>
  <c r="S22" i="62"/>
  <c r="BJ22" i="62" s="1"/>
  <c r="R22" i="62"/>
  <c r="BI22" i="62" s="1"/>
  <c r="Q22" i="62"/>
  <c r="P22" i="62"/>
  <c r="BG22" i="62" s="1"/>
  <c r="O22" i="62"/>
  <c r="BF22" i="62" s="1"/>
  <c r="N22" i="62"/>
  <c r="BE22" i="62" s="1"/>
  <c r="M22" i="62"/>
  <c r="BD22" i="62" s="1"/>
  <c r="L22" i="62"/>
  <c r="BC22" i="62" s="1"/>
  <c r="K22" i="62"/>
  <c r="BB22" i="62" s="1"/>
  <c r="J22" i="62"/>
  <c r="BA22" i="62" s="1"/>
  <c r="I22" i="62"/>
  <c r="AZ22" i="62" s="1"/>
  <c r="H22" i="62"/>
  <c r="AY22" i="62" s="1"/>
  <c r="G22" i="62"/>
  <c r="AX22" i="62" s="1"/>
  <c r="F22" i="62"/>
  <c r="AW22" i="62" s="1"/>
  <c r="E22" i="62"/>
  <c r="AV22" i="62" s="1"/>
  <c r="AN15" i="62"/>
  <c r="AM15" i="62"/>
  <c r="CD15" i="62" s="1"/>
  <c r="AL15" i="62"/>
  <c r="CC15" i="62" s="1"/>
  <c r="AK15" i="62"/>
  <c r="CB15" i="62" s="1"/>
  <c r="AJ15" i="62"/>
  <c r="CA15" i="62" s="1"/>
  <c r="AI15" i="62"/>
  <c r="BZ15" i="62" s="1"/>
  <c r="AH15" i="62"/>
  <c r="BY15" i="62" s="1"/>
  <c r="AG15" i="62"/>
  <c r="BX15" i="62" s="1"/>
  <c r="AF15" i="62"/>
  <c r="BW15" i="62" s="1"/>
  <c r="AE15" i="62"/>
  <c r="BV15" i="62" s="1"/>
  <c r="AD15" i="62"/>
  <c r="BU15" i="62" s="1"/>
  <c r="AC15" i="62"/>
  <c r="BT15" i="62" s="1"/>
  <c r="AB15" i="62"/>
  <c r="BS15" i="62" s="1"/>
  <c r="AA15" i="62"/>
  <c r="BR15" i="62" s="1"/>
  <c r="Z15" i="62"/>
  <c r="BQ15" i="62" s="1"/>
  <c r="Y15" i="62"/>
  <c r="BP15" i="62" s="1"/>
  <c r="X15" i="62"/>
  <c r="BO15" i="62" s="1"/>
  <c r="W15" i="62"/>
  <c r="BN15" i="62" s="1"/>
  <c r="V15" i="62"/>
  <c r="BM15" i="62" s="1"/>
  <c r="U15" i="62"/>
  <c r="BL15" i="62" s="1"/>
  <c r="T15" i="62"/>
  <c r="BK15" i="62" s="1"/>
  <c r="S15" i="62"/>
  <c r="BJ15" i="62" s="1"/>
  <c r="R15" i="62"/>
  <c r="BI15" i="62" s="1"/>
  <c r="Q15" i="62"/>
  <c r="BH15" i="62" s="1"/>
  <c r="P15" i="62"/>
  <c r="BG15" i="62" s="1"/>
  <c r="O15" i="62"/>
  <c r="BF15" i="62" s="1"/>
  <c r="N15" i="62"/>
  <c r="BE15" i="62" s="1"/>
  <c r="M15" i="62"/>
  <c r="BD15" i="62" s="1"/>
  <c r="L15" i="62"/>
  <c r="BC15" i="62" s="1"/>
  <c r="K15" i="62"/>
  <c r="BB15" i="62" s="1"/>
  <c r="J15" i="62"/>
  <c r="BA15" i="62" s="1"/>
  <c r="I15" i="62"/>
  <c r="AZ15" i="62" s="1"/>
  <c r="H15" i="62"/>
  <c r="AY15" i="62" s="1"/>
  <c r="G15" i="62"/>
  <c r="AX15" i="62" s="1"/>
  <c r="F15" i="62"/>
  <c r="AW15" i="62" s="1"/>
  <c r="E15" i="62"/>
  <c r="AV15" i="62" s="1"/>
  <c r="AN12" i="62"/>
  <c r="AM12" i="62"/>
  <c r="CD12" i="62" s="1"/>
  <c r="AL12" i="62"/>
  <c r="CC12" i="62" s="1"/>
  <c r="AK12" i="62"/>
  <c r="CB12" i="62" s="1"/>
  <c r="AJ12" i="62"/>
  <c r="CA12" i="62" s="1"/>
  <c r="AI12" i="62"/>
  <c r="BZ12" i="62" s="1"/>
  <c r="AH12" i="62"/>
  <c r="BY12" i="62" s="1"/>
  <c r="AG12" i="62"/>
  <c r="BX12" i="62" s="1"/>
  <c r="AF12" i="62"/>
  <c r="BW12" i="62" s="1"/>
  <c r="AE12" i="62"/>
  <c r="BV12" i="62" s="1"/>
  <c r="AD12" i="62"/>
  <c r="BU12" i="62" s="1"/>
  <c r="AC12" i="62"/>
  <c r="BT12" i="62" s="1"/>
  <c r="AB12" i="62"/>
  <c r="BS12" i="62" s="1"/>
  <c r="AA12" i="62"/>
  <c r="BR12" i="62" s="1"/>
  <c r="Z12" i="62"/>
  <c r="BQ12" i="62" s="1"/>
  <c r="Y12" i="62"/>
  <c r="BP12" i="62" s="1"/>
  <c r="X12" i="62"/>
  <c r="BO12" i="62" s="1"/>
  <c r="W12" i="62"/>
  <c r="BN12" i="62" s="1"/>
  <c r="V12" i="62"/>
  <c r="BM12" i="62" s="1"/>
  <c r="U12" i="62"/>
  <c r="BL12" i="62" s="1"/>
  <c r="T12" i="62"/>
  <c r="BK12" i="62" s="1"/>
  <c r="S12" i="62"/>
  <c r="BJ12" i="62" s="1"/>
  <c r="R12" i="62"/>
  <c r="BI12" i="62" s="1"/>
  <c r="Q12" i="62"/>
  <c r="BH12" i="62" s="1"/>
  <c r="P12" i="62"/>
  <c r="BG12" i="62" s="1"/>
  <c r="O12" i="62"/>
  <c r="BF12" i="62" s="1"/>
  <c r="N12" i="62"/>
  <c r="BE12" i="62" s="1"/>
  <c r="M12" i="62"/>
  <c r="BD12" i="62" s="1"/>
  <c r="L12" i="62"/>
  <c r="BC12" i="62" s="1"/>
  <c r="K12" i="62"/>
  <c r="BB12" i="62" s="1"/>
  <c r="J12" i="62"/>
  <c r="BA12" i="62" s="1"/>
  <c r="I12" i="62"/>
  <c r="AZ12" i="62" s="1"/>
  <c r="H12" i="62"/>
  <c r="AY12" i="62" s="1"/>
  <c r="G12" i="62"/>
  <c r="AX12" i="62" s="1"/>
  <c r="F12" i="62"/>
  <c r="AW12" i="62" s="1"/>
  <c r="E12" i="62"/>
  <c r="AV12" i="62" s="1"/>
  <c r="AT11" i="62"/>
  <c r="AS11" i="62"/>
  <c r="AR11" i="62"/>
  <c r="AQ11" i="62"/>
  <c r="AP11" i="62"/>
  <c r="AO11" i="62"/>
  <c r="Q10" i="51" l="1"/>
  <c r="X10" i="51" s="1"/>
  <c r="BA10" i="51"/>
  <c r="BH10" i="51" s="1"/>
  <c r="BO10" i="51" s="1"/>
  <c r="AH12" i="50"/>
  <c r="BT12" i="50" s="1"/>
  <c r="BY16" i="51"/>
  <c r="AH14" i="50"/>
  <c r="BT14" i="50" s="1"/>
  <c r="BY19" i="51"/>
  <c r="AA120" i="50"/>
  <c r="BM120" i="50" s="1"/>
  <c r="BR33" i="51"/>
  <c r="AH126" i="50"/>
  <c r="BT126" i="50" s="1"/>
  <c r="BY40" i="51"/>
  <c r="AA23" i="50"/>
  <c r="BM23" i="50" s="1"/>
  <c r="BR49" i="51"/>
  <c r="Y12" i="51"/>
  <c r="BP12" i="51" s="1"/>
  <c r="BP13" i="51"/>
  <c r="N22" i="51"/>
  <c r="BE22" i="51" s="1"/>
  <c r="BE23" i="51"/>
  <c r="AP31" i="51"/>
  <c r="CG31" i="51" s="1"/>
  <c r="CG32" i="51"/>
  <c r="AA11" i="50"/>
  <c r="BM11" i="50" s="1"/>
  <c r="BR13" i="51"/>
  <c r="Q15" i="51"/>
  <c r="BH15" i="51" s="1"/>
  <c r="BH16" i="51"/>
  <c r="AA12" i="50"/>
  <c r="BM12" i="50" s="1"/>
  <c r="BR16" i="51"/>
  <c r="AA14" i="50"/>
  <c r="BM14" i="50" s="1"/>
  <c r="BR19" i="51"/>
  <c r="O22" i="51"/>
  <c r="BF22" i="51" s="1"/>
  <c r="BF23" i="51"/>
  <c r="X22" i="51"/>
  <c r="BO22" i="51" s="1"/>
  <c r="BO23" i="51"/>
  <c r="AH115" i="50"/>
  <c r="BT115" i="50" s="1"/>
  <c r="BY24" i="51"/>
  <c r="AH119" i="50"/>
  <c r="BT119" i="50" s="1"/>
  <c r="BY32" i="51"/>
  <c r="AA126" i="50"/>
  <c r="BM126" i="50" s="1"/>
  <c r="BR40" i="51"/>
  <c r="AH128" i="50"/>
  <c r="BT128" i="50" s="1"/>
  <c r="BY42" i="51"/>
  <c r="AH129" i="50"/>
  <c r="BT129" i="50" s="1"/>
  <c r="BY44" i="51"/>
  <c r="AH25" i="50"/>
  <c r="BT25" i="50" s="1"/>
  <c r="BY51" i="51"/>
  <c r="AA26" i="50"/>
  <c r="BM26" i="50" s="1"/>
  <c r="BR52" i="51"/>
  <c r="AA24" i="50"/>
  <c r="BM24" i="50" s="1"/>
  <c r="BR54" i="51"/>
  <c r="AH30" i="50"/>
  <c r="BT30" i="50" s="1"/>
  <c r="BY56" i="51"/>
  <c r="AA31" i="50"/>
  <c r="BM31" i="50" s="1"/>
  <c r="BR57" i="51"/>
  <c r="AH34" i="50"/>
  <c r="BT34" i="50" s="1"/>
  <c r="BY59" i="51"/>
  <c r="F12" i="51"/>
  <c r="AW12" i="51" s="1"/>
  <c r="AW13" i="51"/>
  <c r="V31" i="51"/>
  <c r="BM31" i="51" s="1"/>
  <c r="BM32" i="51"/>
  <c r="AA28" i="50"/>
  <c r="BM28" i="50" s="1"/>
  <c r="BR55" i="51"/>
  <c r="AH31" i="50"/>
  <c r="BT31" i="50" s="1"/>
  <c r="BY57" i="51"/>
  <c r="G12" i="51"/>
  <c r="AX12" i="51" s="1"/>
  <c r="AX13" i="51"/>
  <c r="W22" i="51"/>
  <c r="BN22" i="51" s="1"/>
  <c r="BN23" i="51"/>
  <c r="N8" i="50"/>
  <c r="U8" i="50" s="1"/>
  <c r="AB8" i="50" s="1"/>
  <c r="AI8" i="50" s="1"/>
  <c r="AS8" i="50"/>
  <c r="AZ8" i="50" s="1"/>
  <c r="BG8" i="50" s="1"/>
  <c r="BN8" i="50" s="1"/>
  <c r="BU8" i="50" s="1"/>
  <c r="R15" i="51"/>
  <c r="BI15" i="51" s="1"/>
  <c r="BI16" i="51"/>
  <c r="P22" i="51"/>
  <c r="BG22" i="51" s="1"/>
  <c r="BG23" i="51"/>
  <c r="Y22" i="51"/>
  <c r="BP22" i="51" s="1"/>
  <c r="BP23" i="51"/>
  <c r="AE31" i="51"/>
  <c r="BV31" i="51" s="1"/>
  <c r="BV32" i="51"/>
  <c r="AA18" i="50"/>
  <c r="BM18" i="50" s="1"/>
  <c r="BR43" i="51"/>
  <c r="AH26" i="50"/>
  <c r="BT26" i="50" s="1"/>
  <c r="BY52" i="51"/>
  <c r="R10" i="51"/>
  <c r="Y10" i="51" s="1"/>
  <c r="AF10" i="51" s="1"/>
  <c r="AM10" i="51" s="1"/>
  <c r="BB10" i="51"/>
  <c r="BI10" i="51" s="1"/>
  <c r="BP10" i="51" s="1"/>
  <c r="AI12" i="51"/>
  <c r="BZ12" i="51" s="1"/>
  <c r="BZ13" i="51"/>
  <c r="N31" i="51"/>
  <c r="BE31" i="51" s="1"/>
  <c r="BE32" i="51"/>
  <c r="M10" i="51"/>
  <c r="T10" i="51" s="1"/>
  <c r="AW10" i="51"/>
  <c r="BD10" i="51" s="1"/>
  <c r="BK10" i="51" s="1"/>
  <c r="O8" i="50"/>
  <c r="V8" i="50" s="1"/>
  <c r="AC8" i="50" s="1"/>
  <c r="AJ8" i="50" s="1"/>
  <c r="AT8" i="50"/>
  <c r="BA8" i="50" s="1"/>
  <c r="BH8" i="50" s="1"/>
  <c r="BO8" i="50" s="1"/>
  <c r="BV8" i="50" s="1"/>
  <c r="AH112" i="50"/>
  <c r="BT112" i="50" s="1"/>
  <c r="BY14" i="51"/>
  <c r="T15" i="51"/>
  <c r="BK15" i="51" s="1"/>
  <c r="BK16" i="51"/>
  <c r="AA115" i="50"/>
  <c r="BM115" i="50" s="1"/>
  <c r="BR24" i="51"/>
  <c r="AA119" i="50"/>
  <c r="BM119" i="50" s="1"/>
  <c r="BR32" i="51"/>
  <c r="AA128" i="50"/>
  <c r="BM128" i="50" s="1"/>
  <c r="BR42" i="51"/>
  <c r="AA129" i="50"/>
  <c r="BM129" i="50" s="1"/>
  <c r="BR44" i="51"/>
  <c r="AA25" i="50"/>
  <c r="BM25" i="50" s="1"/>
  <c r="BR51" i="51"/>
  <c r="AH27" i="50"/>
  <c r="BT27" i="50" s="1"/>
  <c r="BY53" i="51"/>
  <c r="AA30" i="50"/>
  <c r="BM30" i="50" s="1"/>
  <c r="BR56" i="51"/>
  <c r="AA34" i="50"/>
  <c r="BM34" i="50" s="1"/>
  <c r="BR59" i="51"/>
  <c r="O12" i="51"/>
  <c r="BF12" i="51" s="1"/>
  <c r="BF13" i="51"/>
  <c r="X15" i="51"/>
  <c r="BO15" i="51" s="1"/>
  <c r="BO16" i="51"/>
  <c r="AS22" i="51"/>
  <c r="CJ22" i="51" s="1"/>
  <c r="CJ23" i="51"/>
  <c r="AR12" i="51"/>
  <c r="CI12" i="51" s="1"/>
  <c r="CI13" i="51"/>
  <c r="P15" i="51"/>
  <c r="BG15" i="51" s="1"/>
  <c r="BG16" i="51"/>
  <c r="AF31" i="51"/>
  <c r="BW31" i="51" s="1"/>
  <c r="BW32" i="51"/>
  <c r="N10" i="51"/>
  <c r="U10" i="51" s="1"/>
  <c r="AX10" i="51"/>
  <c r="BE10" i="51" s="1"/>
  <c r="BL10" i="51" s="1"/>
  <c r="P8" i="50"/>
  <c r="W8" i="50" s="1"/>
  <c r="AD8" i="50" s="1"/>
  <c r="AK8" i="50" s="1"/>
  <c r="AU8" i="50"/>
  <c r="BB8" i="50" s="1"/>
  <c r="BI8" i="50" s="1"/>
  <c r="BP8" i="50" s="1"/>
  <c r="BW8" i="50" s="1"/>
  <c r="U15" i="51"/>
  <c r="BL15" i="51" s="1"/>
  <c r="BL16" i="51"/>
  <c r="R22" i="51"/>
  <c r="BI22" i="51" s="1"/>
  <c r="BI23" i="51"/>
  <c r="X12" i="51"/>
  <c r="BO12" i="51" s="1"/>
  <c r="BO13" i="51"/>
  <c r="AH24" i="50"/>
  <c r="BT24" i="50" s="1"/>
  <c r="BY54" i="51"/>
  <c r="W31" i="51"/>
  <c r="BN31" i="51" s="1"/>
  <c r="BN32" i="51"/>
  <c r="O10" i="51"/>
  <c r="V10" i="51" s="1"/>
  <c r="AC10" i="51" s="1"/>
  <c r="AJ10" i="51" s="1"/>
  <c r="AY10" i="51"/>
  <c r="BF10" i="51" s="1"/>
  <c r="BM10" i="51" s="1"/>
  <c r="Q8" i="50"/>
  <c r="X8" i="50" s="1"/>
  <c r="AE8" i="50" s="1"/>
  <c r="AL8" i="50" s="1"/>
  <c r="AV8" i="50"/>
  <c r="BC8" i="50" s="1"/>
  <c r="BJ8" i="50" s="1"/>
  <c r="BQ8" i="50" s="1"/>
  <c r="BX8" i="50" s="1"/>
  <c r="AA112" i="50"/>
  <c r="BM112" i="50" s="1"/>
  <c r="BR14" i="51"/>
  <c r="V15" i="51"/>
  <c r="BM15" i="51" s="1"/>
  <c r="BM16" i="51"/>
  <c r="AH120" i="50"/>
  <c r="BT120" i="50" s="1"/>
  <c r="BY33" i="51"/>
  <c r="AH123" i="50"/>
  <c r="BT123" i="50" s="1"/>
  <c r="BY37" i="51"/>
  <c r="AH18" i="50"/>
  <c r="BT18" i="50" s="1"/>
  <c r="BY43" i="51"/>
  <c r="AH23" i="50"/>
  <c r="BT23" i="50" s="1"/>
  <c r="BY49" i="51"/>
  <c r="AA27" i="50"/>
  <c r="BM27" i="50" s="1"/>
  <c r="BR53" i="51"/>
  <c r="AH28" i="50"/>
  <c r="BT28" i="50" s="1"/>
  <c r="BY55" i="51"/>
  <c r="AQ12" i="51"/>
  <c r="CH12" i="51" s="1"/>
  <c r="CH13" i="51"/>
  <c r="O15" i="51"/>
  <c r="BF15" i="51" s="1"/>
  <c r="BF16" i="51"/>
  <c r="AA123" i="50"/>
  <c r="BM123" i="50" s="1"/>
  <c r="BR37" i="51"/>
  <c r="P12" i="51"/>
  <c r="BG12" i="51" s="1"/>
  <c r="BG13" i="51"/>
  <c r="Y15" i="51"/>
  <c r="BP15" i="51" s="1"/>
  <c r="BP16" i="51"/>
  <c r="AT22" i="51"/>
  <c r="CK22" i="51" s="1"/>
  <c r="CK23" i="51"/>
  <c r="P10" i="51"/>
  <c r="W10" i="51" s="1"/>
  <c r="AR10" i="51" s="1"/>
  <c r="AZ10" i="51"/>
  <c r="BG10" i="51" s="1"/>
  <c r="BN10" i="51" s="1"/>
  <c r="R8" i="50"/>
  <c r="Y8" i="50" s="1"/>
  <c r="AF8" i="50" s="1"/>
  <c r="AM8" i="50" s="1"/>
  <c r="AW8" i="50"/>
  <c r="BD8" i="50" s="1"/>
  <c r="BK8" i="50" s="1"/>
  <c r="BR8" i="50" s="1"/>
  <c r="BY8" i="50" s="1"/>
  <c r="N12" i="51"/>
  <c r="BE12" i="51" s="1"/>
  <c r="BE13" i="51"/>
  <c r="W12" i="51"/>
  <c r="BN12" i="51" s="1"/>
  <c r="BN13" i="51"/>
  <c r="AF12" i="51"/>
  <c r="BW12" i="51" s="1"/>
  <c r="BW13" i="51"/>
  <c r="AP12" i="51"/>
  <c r="CG12" i="51" s="1"/>
  <c r="CG13" i="51"/>
  <c r="N15" i="51"/>
  <c r="BE15" i="51" s="1"/>
  <c r="BE16" i="51"/>
  <c r="W15" i="51"/>
  <c r="BN15" i="51" s="1"/>
  <c r="BN16" i="51"/>
  <c r="U22" i="51"/>
  <c r="BL22" i="51" s="1"/>
  <c r="BL23" i="51"/>
  <c r="AR22" i="51"/>
  <c r="CI22" i="51" s="1"/>
  <c r="CI23" i="51"/>
  <c r="K31" i="51"/>
  <c r="BB31" i="51" s="1"/>
  <c r="BB32" i="51"/>
  <c r="U31" i="51"/>
  <c r="BL31" i="51" s="1"/>
  <c r="BL32" i="51"/>
  <c r="AD31" i="51"/>
  <c r="BU31" i="51" s="1"/>
  <c r="BU32" i="51"/>
  <c r="AM31" i="51"/>
  <c r="CD31" i="51" s="1"/>
  <c r="CD32" i="51"/>
  <c r="E80" i="62"/>
  <c r="AV80" i="62" s="1"/>
  <c r="AV31" i="62"/>
  <c r="AB68" i="62"/>
  <c r="BR68" i="62"/>
  <c r="AB70" i="62"/>
  <c r="BR70" i="62"/>
  <c r="AB76" i="62"/>
  <c r="BR76" i="62"/>
  <c r="U78" i="62"/>
  <c r="BK78" i="62"/>
  <c r="AB85" i="62"/>
  <c r="BR85" i="62"/>
  <c r="N87" i="62"/>
  <c r="BD87" i="62"/>
  <c r="U90" i="62"/>
  <c r="BK90" i="62"/>
  <c r="AB93" i="62"/>
  <c r="BR93" i="62"/>
  <c r="U97" i="62"/>
  <c r="BK97" i="62"/>
  <c r="AB104" i="62"/>
  <c r="BR104" i="62"/>
  <c r="C120" i="67"/>
  <c r="AX110" i="62"/>
  <c r="C120" i="85" s="1"/>
  <c r="E124" i="67"/>
  <c r="BN110" i="62"/>
  <c r="E124" i="85" s="1"/>
  <c r="G128" i="67"/>
  <c r="CD110" i="62"/>
  <c r="G128" i="85" s="1"/>
  <c r="T215" i="50"/>
  <c r="BF215" i="50" s="1"/>
  <c r="BK155" i="62"/>
  <c r="G165" i="62"/>
  <c r="AW165" i="62"/>
  <c r="T231" i="50"/>
  <c r="BK171" i="62"/>
  <c r="N197" i="50"/>
  <c r="AY197" i="50"/>
  <c r="AI200" i="50"/>
  <c r="BT200" i="50"/>
  <c r="U206" i="50"/>
  <c r="BF206" i="50"/>
  <c r="U208" i="50"/>
  <c r="BF208" i="50"/>
  <c r="AI70" i="62"/>
  <c r="BY70" i="62"/>
  <c r="AB78" i="62"/>
  <c r="BR78" i="62"/>
  <c r="AI85" i="62"/>
  <c r="BY85" i="62"/>
  <c r="AB90" i="62"/>
  <c r="BR90" i="62"/>
  <c r="G108" i="62"/>
  <c r="AW108" i="62"/>
  <c r="E122" i="67"/>
  <c r="BG110" i="62"/>
  <c r="E122" i="85" s="1"/>
  <c r="G170" i="62"/>
  <c r="AW170" i="62"/>
  <c r="U197" i="50"/>
  <c r="BF197" i="50"/>
  <c r="N201" i="50"/>
  <c r="AY201" i="50"/>
  <c r="AB206" i="50"/>
  <c r="BM206" i="50"/>
  <c r="AB210" i="50"/>
  <c r="BM210" i="50"/>
  <c r="W30" i="62"/>
  <c r="BN30" i="62" s="1"/>
  <c r="BN31" i="62"/>
  <c r="AB62" i="62"/>
  <c r="BR62" i="62"/>
  <c r="N69" i="62"/>
  <c r="BD69" i="62"/>
  <c r="N73" i="62"/>
  <c r="BD73" i="62"/>
  <c r="AI78" i="62"/>
  <c r="BY78" i="62"/>
  <c r="G86" i="62"/>
  <c r="AW86" i="62"/>
  <c r="AI90" i="62"/>
  <c r="BY90" i="62"/>
  <c r="U103" i="62"/>
  <c r="BK103" i="62"/>
  <c r="F122" i="67"/>
  <c r="BH110" i="62"/>
  <c r="F122" i="85" s="1"/>
  <c r="G159" i="62"/>
  <c r="AW159" i="62"/>
  <c r="AH223" i="50"/>
  <c r="BY163" i="62"/>
  <c r="G167" i="62"/>
  <c r="G227" i="50" s="1"/>
  <c r="AS227" i="50" s="1"/>
  <c r="AW167" i="62"/>
  <c r="AH231" i="50"/>
  <c r="BY171" i="62"/>
  <c r="N194" i="50"/>
  <c r="AY194" i="50"/>
  <c r="AB197" i="50"/>
  <c r="BM197" i="50"/>
  <c r="U203" i="50"/>
  <c r="BF203" i="50"/>
  <c r="AI206" i="50"/>
  <c r="BT206" i="50"/>
  <c r="AI212" i="50"/>
  <c r="BT212" i="50"/>
  <c r="U73" i="62"/>
  <c r="BK73" i="62"/>
  <c r="N77" i="62"/>
  <c r="BD77" i="62"/>
  <c r="AB84" i="62"/>
  <c r="BR84" i="62"/>
  <c r="U89" i="62"/>
  <c r="BK89" i="62"/>
  <c r="N100" i="62"/>
  <c r="BD100" i="62"/>
  <c r="AB103" i="62"/>
  <c r="BR103" i="62"/>
  <c r="U108" i="62"/>
  <c r="BK108" i="62"/>
  <c r="G122" i="67"/>
  <c r="BI110" i="62"/>
  <c r="G122" i="85" s="1"/>
  <c r="G156" i="62"/>
  <c r="G216" i="50" s="1"/>
  <c r="AS216" i="50" s="1"/>
  <c r="AW156" i="62"/>
  <c r="G196" i="50"/>
  <c r="AR196" i="50"/>
  <c r="AB201" i="50"/>
  <c r="BM201" i="50"/>
  <c r="U205" i="50"/>
  <c r="BF205" i="50"/>
  <c r="N207" i="50"/>
  <c r="AY207" i="50"/>
  <c r="N211" i="50"/>
  <c r="AY211" i="50"/>
  <c r="AG18" i="62"/>
  <c r="BX18" i="62" s="1"/>
  <c r="BX22" i="62"/>
  <c r="AI66" i="62"/>
  <c r="BY66" i="62"/>
  <c r="N102" i="62"/>
  <c r="BD102" i="62"/>
  <c r="AB108" i="62"/>
  <c r="BR108" i="62"/>
  <c r="C128" i="67"/>
  <c r="BZ110" i="62"/>
  <c r="C128" i="85" s="1"/>
  <c r="G161" i="62"/>
  <c r="AW161" i="62"/>
  <c r="AA79" i="50"/>
  <c r="BM79" i="50" s="1"/>
  <c r="BM54" i="50"/>
  <c r="N196" i="50"/>
  <c r="AY196" i="50"/>
  <c r="G200" i="50"/>
  <c r="AR200" i="50"/>
  <c r="AB205" i="50"/>
  <c r="BM205" i="50"/>
  <c r="N213" i="50"/>
  <c r="AY213" i="50"/>
  <c r="Z80" i="62"/>
  <c r="BQ31" i="62"/>
  <c r="N63" i="62"/>
  <c r="BD63" i="62"/>
  <c r="U65" i="62"/>
  <c r="BL65" i="62" s="1"/>
  <c r="BK65" i="62"/>
  <c r="G68" i="62"/>
  <c r="AW68" i="62"/>
  <c r="AI69" i="62"/>
  <c r="BY69" i="62"/>
  <c r="AI73" i="62"/>
  <c r="BY73" i="62"/>
  <c r="G76" i="62"/>
  <c r="AW76" i="62"/>
  <c r="AB77" i="62"/>
  <c r="BR77" i="62"/>
  <c r="N81" i="62"/>
  <c r="BE81" i="62" s="1"/>
  <c r="BD81" i="62"/>
  <c r="AI82" i="62"/>
  <c r="BY82" i="62"/>
  <c r="G85" i="62"/>
  <c r="AW85" i="62"/>
  <c r="AB86" i="62"/>
  <c r="BR86" i="62"/>
  <c r="N88" i="62"/>
  <c r="BD88" i="62"/>
  <c r="AI89" i="62"/>
  <c r="BY89" i="62"/>
  <c r="U91" i="62"/>
  <c r="BK91" i="62"/>
  <c r="G93" i="62"/>
  <c r="AW93" i="62"/>
  <c r="N95" i="62"/>
  <c r="BD95" i="62"/>
  <c r="AI96" i="62"/>
  <c r="BY96" i="62"/>
  <c r="U98" i="62"/>
  <c r="BK98" i="62"/>
  <c r="AB100" i="62"/>
  <c r="BR100" i="62"/>
  <c r="U102" i="62"/>
  <c r="BK102" i="62"/>
  <c r="G104" i="62"/>
  <c r="AW104" i="62"/>
  <c r="AB105" i="62"/>
  <c r="BR105" i="62"/>
  <c r="N107" i="62"/>
  <c r="BD107" i="62"/>
  <c r="AI108" i="62"/>
  <c r="BY108" i="62"/>
  <c r="C126" i="67"/>
  <c r="BS110" i="62"/>
  <c r="C126" i="85" s="1"/>
  <c r="D128" i="67"/>
  <c r="CA110" i="62"/>
  <c r="D128" i="85" s="1"/>
  <c r="T216" i="50"/>
  <c r="BK156" i="62"/>
  <c r="G174" i="62"/>
  <c r="AW174" i="62"/>
  <c r="G193" i="50"/>
  <c r="AR193" i="50"/>
  <c r="AA82" i="50"/>
  <c r="BM82" i="50" s="1"/>
  <c r="BM57" i="50"/>
  <c r="AI194" i="50"/>
  <c r="BT194" i="50"/>
  <c r="U196" i="50"/>
  <c r="BF196" i="50"/>
  <c r="U198" i="50"/>
  <c r="BF198" i="50"/>
  <c r="N200" i="50"/>
  <c r="AY200" i="50"/>
  <c r="N202" i="50"/>
  <c r="AY202" i="50"/>
  <c r="G204" i="50"/>
  <c r="AR204" i="50"/>
  <c r="AI205" i="50"/>
  <c r="BT205" i="50"/>
  <c r="AB207" i="50"/>
  <c r="BM207" i="50"/>
  <c r="AB209" i="50"/>
  <c r="BM209" i="50"/>
  <c r="AB211" i="50"/>
  <c r="BM211" i="50"/>
  <c r="U213" i="50"/>
  <c r="BF213" i="50"/>
  <c r="AI63" i="62"/>
  <c r="BY63" i="62"/>
  <c r="G84" i="62"/>
  <c r="AW84" i="62"/>
  <c r="G92" i="62"/>
  <c r="AW92" i="62"/>
  <c r="U101" i="62"/>
  <c r="BK101" i="62"/>
  <c r="AB193" i="50"/>
  <c r="BM193" i="50"/>
  <c r="AI202" i="50"/>
  <c r="BT202" i="50"/>
  <c r="N210" i="50"/>
  <c r="AY210" i="50"/>
  <c r="G73" i="62"/>
  <c r="AW73" i="62"/>
  <c r="G82" i="62"/>
  <c r="AW82" i="62"/>
  <c r="U87" i="62"/>
  <c r="BK87" i="62"/>
  <c r="N92" i="62"/>
  <c r="BD92" i="62"/>
  <c r="AB97" i="62"/>
  <c r="BR97" i="62"/>
  <c r="AI104" i="62"/>
  <c r="BY104" i="62"/>
  <c r="AI193" i="50"/>
  <c r="BT193" i="50"/>
  <c r="N203" i="50"/>
  <c r="AY203" i="50"/>
  <c r="AB212" i="50"/>
  <c r="BM212" i="50"/>
  <c r="O30" i="62"/>
  <c r="BF30" i="62" s="1"/>
  <c r="BF31" i="62"/>
  <c r="AM30" i="62"/>
  <c r="CD30" i="62" s="1"/>
  <c r="CD31" i="62"/>
  <c r="AI30" i="62"/>
  <c r="BZ30" i="62" s="1"/>
  <c r="BZ34" i="62"/>
  <c r="U66" i="62"/>
  <c r="BK66" i="62"/>
  <c r="U75" i="62"/>
  <c r="BL75" i="62" s="1"/>
  <c r="BK75" i="62"/>
  <c r="N82" i="62"/>
  <c r="BD82" i="62"/>
  <c r="AB87" i="62"/>
  <c r="BR87" i="62"/>
  <c r="G100" i="62"/>
  <c r="AX100" i="62" s="1"/>
  <c r="AW100" i="62"/>
  <c r="AB106" i="62"/>
  <c r="BR106" i="62"/>
  <c r="E120" i="67"/>
  <c r="AZ110" i="62"/>
  <c r="E120" i="85" s="1"/>
  <c r="M222" i="50"/>
  <c r="BD162" i="62"/>
  <c r="F235" i="50"/>
  <c r="AW175" i="62"/>
  <c r="Q9" i="62"/>
  <c r="X9" i="62" s="1"/>
  <c r="AS9" i="62" s="1"/>
  <c r="BA9" i="62"/>
  <c r="BH9" i="62" s="1"/>
  <c r="BO9" i="62" s="1"/>
  <c r="BV9" i="62" s="1"/>
  <c r="CC9" i="62" s="1"/>
  <c r="AB199" i="50"/>
  <c r="BM199" i="50"/>
  <c r="AI210" i="50"/>
  <c r="BT210" i="50"/>
  <c r="G65" i="62"/>
  <c r="AX65" i="62" s="1"/>
  <c r="AW65" i="62"/>
  <c r="AI87" i="62"/>
  <c r="BY87" i="62"/>
  <c r="AB92" i="62"/>
  <c r="BR92" i="62"/>
  <c r="G98" i="62"/>
  <c r="AW98" i="62"/>
  <c r="G102" i="62"/>
  <c r="AW102" i="62"/>
  <c r="AI106" i="62"/>
  <c r="BY106" i="62"/>
  <c r="F120" i="67"/>
  <c r="BA110" i="62"/>
  <c r="F120" i="85" s="1"/>
  <c r="R9" i="62"/>
  <c r="Y9" i="62" s="1"/>
  <c r="AT9" i="62" s="1"/>
  <c r="BB9" i="62"/>
  <c r="BI9" i="62" s="1"/>
  <c r="BP9" i="62" s="1"/>
  <c r="BW9" i="62" s="1"/>
  <c r="CD9" i="62" s="1"/>
  <c r="AI197" i="50"/>
  <c r="BT197" i="50"/>
  <c r="G209" i="50"/>
  <c r="AR209" i="50"/>
  <c r="Q18" i="62"/>
  <c r="BH18" i="62" s="1"/>
  <c r="BH22" i="62"/>
  <c r="AG80" i="62"/>
  <c r="BX31" i="62"/>
  <c r="G63" i="62"/>
  <c r="AW63" i="62"/>
  <c r="G72" i="62"/>
  <c r="AW72" i="62"/>
  <c r="U86" i="62"/>
  <c r="BK86" i="62"/>
  <c r="AB89" i="62"/>
  <c r="BR89" i="62"/>
  <c r="AI92" i="62"/>
  <c r="BY92" i="62"/>
  <c r="N98" i="62"/>
  <c r="BD98" i="62"/>
  <c r="U105" i="62"/>
  <c r="BK105" i="62"/>
  <c r="M216" i="50"/>
  <c r="BD156" i="62"/>
  <c r="AH217" i="50"/>
  <c r="BY157" i="62"/>
  <c r="AA222" i="50"/>
  <c r="BR162" i="62"/>
  <c r="G169" i="62"/>
  <c r="G229" i="50" s="1"/>
  <c r="AS229" i="50" s="1"/>
  <c r="AW169" i="62"/>
  <c r="T235" i="50"/>
  <c r="BK175" i="62"/>
  <c r="AI201" i="50"/>
  <c r="BT201" i="50"/>
  <c r="U207" i="50"/>
  <c r="BF207" i="50"/>
  <c r="U211" i="50"/>
  <c r="BF211" i="50"/>
  <c r="S80" i="62"/>
  <c r="BJ31" i="62"/>
  <c r="U63" i="62"/>
  <c r="BK63" i="62"/>
  <c r="AB65" i="62"/>
  <c r="BR65" i="62"/>
  <c r="N68" i="62"/>
  <c r="BD68" i="62"/>
  <c r="N70" i="62"/>
  <c r="BD70" i="62"/>
  <c r="U72" i="62"/>
  <c r="BL72" i="62" s="1"/>
  <c r="BK72" i="62"/>
  <c r="N76" i="62"/>
  <c r="BD76" i="62"/>
  <c r="AI77" i="62"/>
  <c r="BY77" i="62"/>
  <c r="U81" i="62"/>
  <c r="BK81" i="62"/>
  <c r="N85" i="62"/>
  <c r="BD85" i="62"/>
  <c r="U88" i="62"/>
  <c r="BK88" i="62"/>
  <c r="G90" i="62"/>
  <c r="AW90" i="62"/>
  <c r="AB91" i="62"/>
  <c r="BR91" i="62"/>
  <c r="N93" i="62"/>
  <c r="BD93" i="62"/>
  <c r="G97" i="62"/>
  <c r="AW97" i="62"/>
  <c r="AB98" i="62"/>
  <c r="BR98" i="62"/>
  <c r="AI100" i="62"/>
  <c r="BZ100" i="62" s="1"/>
  <c r="BY100" i="62"/>
  <c r="AB102" i="62"/>
  <c r="BR102" i="62"/>
  <c r="N104" i="62"/>
  <c r="BD104" i="62"/>
  <c r="AI105" i="62"/>
  <c r="BY105" i="62"/>
  <c r="U107" i="62"/>
  <c r="BK107" i="62"/>
  <c r="C124" i="67"/>
  <c r="BL110" i="62"/>
  <c r="C124" i="85" s="1"/>
  <c r="D126" i="67"/>
  <c r="BT110" i="62"/>
  <c r="D126" i="85" s="1"/>
  <c r="E128" i="67"/>
  <c r="CB110" i="62"/>
  <c r="E128" i="85" s="1"/>
  <c r="F215" i="50"/>
  <c r="AR215" i="50" s="1"/>
  <c r="AW155" i="62"/>
  <c r="M218" i="50"/>
  <c r="BD158" i="62"/>
  <c r="AH219" i="50"/>
  <c r="BY159" i="62"/>
  <c r="G163" i="62"/>
  <c r="AX163" i="62" s="1"/>
  <c r="AW163" i="62"/>
  <c r="AA224" i="50"/>
  <c r="BR164" i="62"/>
  <c r="M226" i="50"/>
  <c r="BD166" i="62"/>
  <c r="AH227" i="50"/>
  <c r="BY167" i="62"/>
  <c r="T229" i="50"/>
  <c r="BK169" i="62"/>
  <c r="F231" i="50"/>
  <c r="AW171" i="62"/>
  <c r="AA232" i="50"/>
  <c r="BR172" i="62"/>
  <c r="M234" i="50"/>
  <c r="BD174" i="62"/>
  <c r="AH235" i="50"/>
  <c r="BY175" i="62"/>
  <c r="G197" i="50"/>
  <c r="AR197" i="50"/>
  <c r="AA83" i="50"/>
  <c r="BM83" i="50" s="1"/>
  <c r="BM58" i="50"/>
  <c r="AG64" i="51"/>
  <c r="BX64" i="51" s="1"/>
  <c r="BX65" i="51"/>
  <c r="N193" i="50"/>
  <c r="AY193" i="50"/>
  <c r="G195" i="50"/>
  <c r="AR195" i="50"/>
  <c r="AB196" i="50"/>
  <c r="BM196" i="50"/>
  <c r="AB198" i="50"/>
  <c r="BM198" i="50"/>
  <c r="U200" i="50"/>
  <c r="BF200" i="50"/>
  <c r="U202" i="50"/>
  <c r="BF202" i="50"/>
  <c r="N204" i="50"/>
  <c r="AY204" i="50"/>
  <c r="G206" i="50"/>
  <c r="AR206" i="50"/>
  <c r="AI207" i="50"/>
  <c r="BT207" i="50"/>
  <c r="AI209" i="50"/>
  <c r="BT209" i="50"/>
  <c r="AI211" i="50"/>
  <c r="BT211" i="50"/>
  <c r="AB213" i="50"/>
  <c r="BM213" i="50"/>
  <c r="H66" i="62"/>
  <c r="AX66" i="62"/>
  <c r="AI72" i="62"/>
  <c r="BZ72" i="62" s="1"/>
  <c r="BY72" i="62"/>
  <c r="AI88" i="62"/>
  <c r="BY88" i="62"/>
  <c r="AI95" i="62"/>
  <c r="BZ95" i="62" s="1"/>
  <c r="BY95" i="62"/>
  <c r="N106" i="62"/>
  <c r="BD106" i="62"/>
  <c r="AI107" i="62"/>
  <c r="BY107" i="62"/>
  <c r="D122" i="67"/>
  <c r="BF110" i="62"/>
  <c r="D122" i="85" s="1"/>
  <c r="F126" i="67"/>
  <c r="BV110" i="62"/>
  <c r="F126" i="85" s="1"/>
  <c r="T223" i="50"/>
  <c r="BK163" i="62"/>
  <c r="AA226" i="50"/>
  <c r="BR166" i="62"/>
  <c r="AH229" i="50"/>
  <c r="BY169" i="62"/>
  <c r="G173" i="62"/>
  <c r="G233" i="50" s="1"/>
  <c r="AS233" i="50" s="1"/>
  <c r="AW173" i="62"/>
  <c r="AA234" i="50"/>
  <c r="BR174" i="62"/>
  <c r="N209" i="50"/>
  <c r="AY209" i="50"/>
  <c r="O9" i="62"/>
  <c r="V9" i="62" s="1"/>
  <c r="AC9" i="62" s="1"/>
  <c r="AJ9" i="62" s="1"/>
  <c r="AY9" i="62"/>
  <c r="BF9" i="62" s="1"/>
  <c r="BM9" i="62" s="1"/>
  <c r="BT9" i="62" s="1"/>
  <c r="CA9" i="62" s="1"/>
  <c r="U195" i="50"/>
  <c r="BF195" i="50"/>
  <c r="N199" i="50"/>
  <c r="AY199" i="50"/>
  <c r="AB204" i="50"/>
  <c r="BM204" i="50"/>
  <c r="U212" i="50"/>
  <c r="BF212" i="50"/>
  <c r="N66" i="62"/>
  <c r="BD66" i="62"/>
  <c r="AI68" i="62"/>
  <c r="BY68" i="62"/>
  <c r="AI76" i="62"/>
  <c r="BY76" i="62"/>
  <c r="G89" i="62"/>
  <c r="AW89" i="62"/>
  <c r="AI93" i="62"/>
  <c r="BY93" i="62"/>
  <c r="N103" i="62"/>
  <c r="BD103" i="62"/>
  <c r="U106" i="62"/>
  <c r="BK106" i="62"/>
  <c r="D120" i="67"/>
  <c r="AY110" i="62"/>
  <c r="D120" i="85" s="1"/>
  <c r="F124" i="67"/>
  <c r="BO110" i="62"/>
  <c r="F124" i="85" s="1"/>
  <c r="G126" i="67"/>
  <c r="BW110" i="62"/>
  <c r="G126" i="85" s="1"/>
  <c r="U210" i="50"/>
  <c r="BF210" i="50"/>
  <c r="P9" i="62"/>
  <c r="W9" i="62" s="1"/>
  <c r="AD9" i="62" s="1"/>
  <c r="AK9" i="62" s="1"/>
  <c r="AZ9" i="62"/>
  <c r="BG9" i="62" s="1"/>
  <c r="BN9" i="62" s="1"/>
  <c r="BU9" i="62" s="1"/>
  <c r="CB9" i="62" s="1"/>
  <c r="AB195" i="50"/>
  <c r="BM195" i="50"/>
  <c r="U199" i="50"/>
  <c r="BF199" i="50"/>
  <c r="AI204" i="50"/>
  <c r="BT204" i="50"/>
  <c r="AB208" i="50"/>
  <c r="BM208" i="50"/>
  <c r="G30" i="62"/>
  <c r="AX30" i="62" s="1"/>
  <c r="AX31" i="62"/>
  <c r="AE30" i="62"/>
  <c r="BV30" i="62" s="1"/>
  <c r="BV31" i="62"/>
  <c r="E67" i="62"/>
  <c r="AV67" i="62" s="1"/>
  <c r="AV71" i="62"/>
  <c r="G77" i="62"/>
  <c r="AW77" i="62"/>
  <c r="U84" i="62"/>
  <c r="BL84" i="62" s="1"/>
  <c r="BK84" i="62"/>
  <c r="N89" i="62"/>
  <c r="BD89" i="62"/>
  <c r="U92" i="62"/>
  <c r="BK92" i="62"/>
  <c r="N96" i="62"/>
  <c r="BE96" i="62" s="1"/>
  <c r="BD96" i="62"/>
  <c r="AI101" i="62"/>
  <c r="BY101" i="62"/>
  <c r="G105" i="62"/>
  <c r="AW105" i="62"/>
  <c r="N108" i="62"/>
  <c r="BD108" i="62"/>
  <c r="G124" i="67"/>
  <c r="BP110" i="62"/>
  <c r="G124" i="85" s="1"/>
  <c r="AI195" i="50"/>
  <c r="BT195" i="50"/>
  <c r="U201" i="50"/>
  <c r="BF201" i="50"/>
  <c r="N205" i="50"/>
  <c r="AY205" i="50"/>
  <c r="AI208" i="50"/>
  <c r="BT208" i="50"/>
  <c r="AI62" i="62"/>
  <c r="BZ62" i="62" s="1"/>
  <c r="BY62" i="62"/>
  <c r="U69" i="62"/>
  <c r="BK69" i="62"/>
  <c r="AB75" i="62"/>
  <c r="BS75" i="62" s="1"/>
  <c r="BR75" i="62"/>
  <c r="N86" i="62"/>
  <c r="BD86" i="62"/>
  <c r="G91" i="62"/>
  <c r="AW91" i="62"/>
  <c r="U96" i="62"/>
  <c r="BK96" i="62"/>
  <c r="N105" i="62"/>
  <c r="BD105" i="62"/>
  <c r="AA217" i="50"/>
  <c r="BR157" i="62"/>
  <c r="U194" i="50"/>
  <c r="BF194" i="50"/>
  <c r="AI199" i="50"/>
  <c r="BT199" i="50"/>
  <c r="AB203" i="50"/>
  <c r="BM203" i="50"/>
  <c r="G213" i="50"/>
  <c r="AR213" i="50"/>
  <c r="Y18" i="62"/>
  <c r="BP18" i="62" s="1"/>
  <c r="BP22" i="62"/>
  <c r="AB69" i="62"/>
  <c r="BR69" i="62"/>
  <c r="AB73" i="62"/>
  <c r="BR73" i="62"/>
  <c r="U77" i="62"/>
  <c r="BK77" i="62"/>
  <c r="AI84" i="62"/>
  <c r="BY84" i="62"/>
  <c r="G88" i="62"/>
  <c r="AW88" i="62"/>
  <c r="N91" i="62"/>
  <c r="BD91" i="62"/>
  <c r="G95" i="62"/>
  <c r="AX95" i="62" s="1"/>
  <c r="AW95" i="62"/>
  <c r="AI103" i="62"/>
  <c r="BY103" i="62"/>
  <c r="G107" i="62"/>
  <c r="AW107" i="62"/>
  <c r="G120" i="67"/>
  <c r="BB110" i="62"/>
  <c r="G120" i="85" s="1"/>
  <c r="M224" i="50"/>
  <c r="BD164" i="62"/>
  <c r="AH233" i="50"/>
  <c r="BY173" i="62"/>
  <c r="AB194" i="50"/>
  <c r="BM194" i="50"/>
  <c r="N198" i="50"/>
  <c r="AY198" i="50"/>
  <c r="AI203" i="50"/>
  <c r="BT203" i="50"/>
  <c r="U209" i="50"/>
  <c r="BF209" i="50"/>
  <c r="L80" i="62"/>
  <c r="BC31" i="62"/>
  <c r="G62" i="62"/>
  <c r="AX62" i="62" s="1"/>
  <c r="AW62" i="62"/>
  <c r="AI65" i="62"/>
  <c r="BZ65" i="62" s="1"/>
  <c r="BY65" i="62"/>
  <c r="U68" i="62"/>
  <c r="BK68" i="62"/>
  <c r="U70" i="62"/>
  <c r="BK70" i="62"/>
  <c r="AB72" i="62"/>
  <c r="BS72" i="62" s="1"/>
  <c r="BR72" i="62"/>
  <c r="U76" i="62"/>
  <c r="BK76" i="62"/>
  <c r="N78" i="62"/>
  <c r="BD78" i="62"/>
  <c r="AB81" i="62"/>
  <c r="BS81" i="62" s="1"/>
  <c r="BR81" i="62"/>
  <c r="U85" i="62"/>
  <c r="BK85" i="62"/>
  <c r="G87" i="62"/>
  <c r="AW87" i="62"/>
  <c r="AB88" i="62"/>
  <c r="BR88" i="62"/>
  <c r="N90" i="62"/>
  <c r="BD90" i="62"/>
  <c r="AI91" i="62"/>
  <c r="BY91" i="62"/>
  <c r="U93" i="62"/>
  <c r="BK93" i="62"/>
  <c r="AB95" i="62"/>
  <c r="BR95" i="62"/>
  <c r="N97" i="62"/>
  <c r="BD97" i="62"/>
  <c r="AI98" i="62"/>
  <c r="BY98" i="62"/>
  <c r="U104" i="62"/>
  <c r="BK104" i="62"/>
  <c r="G106" i="62"/>
  <c r="AW106" i="62"/>
  <c r="AB107" i="62"/>
  <c r="BR107" i="62"/>
  <c r="C122" i="67"/>
  <c r="BE110" i="62"/>
  <c r="C122" i="85" s="1"/>
  <c r="D124" i="67"/>
  <c r="BM110" i="62"/>
  <c r="D124" i="85" s="1"/>
  <c r="E126" i="67"/>
  <c r="BU110" i="62"/>
  <c r="E126" i="85" s="1"/>
  <c r="F128" i="67"/>
  <c r="CC110" i="62"/>
  <c r="F128" i="85" s="1"/>
  <c r="G160" i="62"/>
  <c r="AW160" i="62"/>
  <c r="N171" i="62"/>
  <c r="N231" i="50" s="1"/>
  <c r="AZ231" i="50" s="1"/>
  <c r="BD171" i="62"/>
  <c r="G198" i="50"/>
  <c r="AR198" i="50"/>
  <c r="N9" i="62"/>
  <c r="U9" i="62" s="1"/>
  <c r="AP9" i="62" s="1"/>
  <c r="AX9" i="62"/>
  <c r="BE9" i="62" s="1"/>
  <c r="BL9" i="62" s="1"/>
  <c r="BS9" i="62" s="1"/>
  <c r="BZ9" i="62" s="1"/>
  <c r="U193" i="50"/>
  <c r="BF193" i="50"/>
  <c r="N195" i="50"/>
  <c r="AY195" i="50"/>
  <c r="AI196" i="50"/>
  <c r="BT196" i="50"/>
  <c r="AI198" i="50"/>
  <c r="BT198" i="50"/>
  <c r="AB200" i="50"/>
  <c r="BM200" i="50"/>
  <c r="AB202" i="50"/>
  <c r="BM202" i="50"/>
  <c r="U204" i="50"/>
  <c r="BF204" i="50"/>
  <c r="N206" i="50"/>
  <c r="AY206" i="50"/>
  <c r="N208" i="50"/>
  <c r="AY208" i="50"/>
  <c r="G210" i="50"/>
  <c r="AR210" i="50"/>
  <c r="N212" i="50"/>
  <c r="AY212" i="50"/>
  <c r="AI213" i="50"/>
  <c r="BT213" i="50"/>
  <c r="M22" i="51"/>
  <c r="BD22" i="51" s="1"/>
  <c r="AA30" i="62"/>
  <c r="BR30" i="62" s="1"/>
  <c r="R30" i="62"/>
  <c r="BI30" i="62" s="1"/>
  <c r="AH30" i="62"/>
  <c r="BY30" i="62" s="1"/>
  <c r="J30" i="62"/>
  <c r="BA30" i="62" s="1"/>
  <c r="Z30" i="62"/>
  <c r="BQ30" i="62" s="1"/>
  <c r="AD30" i="62"/>
  <c r="BU30" i="62" s="1"/>
  <c r="Z18" i="62"/>
  <c r="BQ18" i="62" s="1"/>
  <c r="AN30" i="62"/>
  <c r="V30" i="62"/>
  <c r="BM30" i="62" s="1"/>
  <c r="R18" i="62"/>
  <c r="BI18" i="62" s="1"/>
  <c r="AH18" i="62"/>
  <c r="BY18" i="62" s="1"/>
  <c r="H30" i="62"/>
  <c r="X30" i="62"/>
  <c r="BO30" i="62" s="1"/>
  <c r="AF30" i="62"/>
  <c r="BW30" i="62" s="1"/>
  <c r="K18" i="62"/>
  <c r="S18" i="62"/>
  <c r="BJ18" i="62" s="1"/>
  <c r="AA18" i="62"/>
  <c r="BR18" i="62" s="1"/>
  <c r="AI18" i="62"/>
  <c r="BZ18" i="62" s="1"/>
  <c r="I30" i="62"/>
  <c r="AZ30" i="62" s="1"/>
  <c r="Q30" i="62"/>
  <c r="BH30" i="62" s="1"/>
  <c r="Y30" i="62"/>
  <c r="BP30" i="62" s="1"/>
  <c r="AG30" i="62"/>
  <c r="M12" i="51"/>
  <c r="BD12" i="51" s="1"/>
  <c r="V12" i="51"/>
  <c r="BM12" i="51" s="1"/>
  <c r="AE12" i="51"/>
  <c r="BV12" i="51" s="1"/>
  <c r="AO12" i="51"/>
  <c r="CF12" i="51" s="1"/>
  <c r="AQ22" i="51"/>
  <c r="CH22" i="51" s="1"/>
  <c r="J31" i="51"/>
  <c r="BA31" i="51" s="1"/>
  <c r="T31" i="51"/>
  <c r="BK31" i="51" s="1"/>
  <c r="AC31" i="51"/>
  <c r="BT31" i="51" s="1"/>
  <c r="AL31" i="51"/>
  <c r="CC31" i="51" s="1"/>
  <c r="AL30" i="62"/>
  <c r="CC30" i="62" s="1"/>
  <c r="AJ30" i="62"/>
  <c r="CA30" i="62" s="1"/>
  <c r="T30" i="62"/>
  <c r="BK30" i="62" s="1"/>
  <c r="H18" i="62"/>
  <c r="AY18" i="62" s="1"/>
  <c r="P18" i="62"/>
  <c r="BG18" i="62" s="1"/>
  <c r="X18" i="62"/>
  <c r="BO18" i="62" s="1"/>
  <c r="AF18" i="62"/>
  <c r="BW18" i="62" s="1"/>
  <c r="AN18" i="62"/>
  <c r="U30" i="62"/>
  <c r="BL30" i="62" s="1"/>
  <c r="AC30" i="62"/>
  <c r="BT30" i="62" s="1"/>
  <c r="AK30" i="62"/>
  <c r="CB30" i="62" s="1"/>
  <c r="AB30" i="62"/>
  <c r="BS30" i="62" s="1"/>
  <c r="E185" i="62"/>
  <c r="S30" i="62"/>
  <c r="BJ30" i="62" s="1"/>
  <c r="AN80" i="51"/>
  <c r="CE80" i="51" s="1"/>
  <c r="S64" i="51"/>
  <c r="BJ64" i="51" s="1"/>
  <c r="Z64" i="51"/>
  <c r="BQ64" i="51" s="1"/>
  <c r="AN64" i="51"/>
  <c r="CE64" i="51" s="1"/>
  <c r="E80" i="51"/>
  <c r="AV80" i="51" s="1"/>
  <c r="L80" i="51"/>
  <c r="BC80" i="51" s="1"/>
  <c r="S74" i="51"/>
  <c r="BJ74" i="51" s="1"/>
  <c r="Z80" i="51"/>
  <c r="BQ80" i="51" s="1"/>
  <c r="AN99" i="51"/>
  <c r="CE99" i="51" s="1"/>
  <c r="E12" i="51"/>
  <c r="AV12" i="51" s="1"/>
  <c r="M8" i="50"/>
  <c r="T8" i="50" s="1"/>
  <c r="AA8" i="50" s="1"/>
  <c r="AH8" i="50" s="1"/>
  <c r="E8" i="50"/>
  <c r="E22" i="51"/>
  <c r="AV22" i="51" s="1"/>
  <c r="E25" i="51"/>
  <c r="AV25" i="51" s="1"/>
  <c r="L74" i="51"/>
  <c r="BC74" i="51" s="1"/>
  <c r="S80" i="51"/>
  <c r="BJ80" i="51" s="1"/>
  <c r="S99" i="51"/>
  <c r="BJ99" i="51" s="1"/>
  <c r="Z94" i="51"/>
  <c r="BQ94" i="51" s="1"/>
  <c r="AG80" i="51"/>
  <c r="BX80" i="51" s="1"/>
  <c r="AN74" i="51"/>
  <c r="CE74" i="51" s="1"/>
  <c r="AJ18" i="62"/>
  <c r="CA18" i="62" s="1"/>
  <c r="L30" i="62"/>
  <c r="BC30" i="62" s="1"/>
  <c r="T18" i="62"/>
  <c r="K30" i="62"/>
  <c r="BB30" i="62" s="1"/>
  <c r="H12" i="51"/>
  <c r="AY12" i="51" s="1"/>
  <c r="Q12" i="51"/>
  <c r="BH12" i="51" s="1"/>
  <c r="AJ12" i="51"/>
  <c r="CA12" i="51" s="1"/>
  <c r="AS12" i="51"/>
  <c r="CJ12" i="51" s="1"/>
  <c r="O31" i="51"/>
  <c r="BF31" i="51" s="1"/>
  <c r="X31" i="51"/>
  <c r="BO31" i="51" s="1"/>
  <c r="AQ31" i="51"/>
  <c r="CH31" i="51" s="1"/>
  <c r="M18" i="62"/>
  <c r="BD18" i="62" s="1"/>
  <c r="AK18" i="62"/>
  <c r="CB18" i="62" s="1"/>
  <c r="I12" i="51"/>
  <c r="AZ12" i="51" s="1"/>
  <c r="R12" i="51"/>
  <c r="BI12" i="51" s="1"/>
  <c r="AB12" i="51"/>
  <c r="BS12" i="51" s="1"/>
  <c r="AK12" i="51"/>
  <c r="CB12" i="51" s="1"/>
  <c r="AT12" i="51"/>
  <c r="CK12" i="51" s="1"/>
  <c r="P31" i="51"/>
  <c r="BG31" i="51" s="1"/>
  <c r="AI31" i="51"/>
  <c r="BZ31" i="51" s="1"/>
  <c r="AR31" i="51"/>
  <c r="CI31" i="51" s="1"/>
  <c r="U18" i="62"/>
  <c r="BL18" i="62" s="1"/>
  <c r="AC18" i="62"/>
  <c r="BT18" i="62" s="1"/>
  <c r="F18" i="62"/>
  <c r="AW18" i="62" s="1"/>
  <c r="N18" i="62"/>
  <c r="BE18" i="62" s="1"/>
  <c r="V18" i="62"/>
  <c r="BM18" i="62" s="1"/>
  <c r="AD18" i="62"/>
  <c r="BU18" i="62" s="1"/>
  <c r="AL18" i="62"/>
  <c r="CC18" i="62" s="1"/>
  <c r="E30" i="62"/>
  <c r="AV30" i="62" s="1"/>
  <c r="M30" i="62"/>
  <c r="AJ31" i="51"/>
  <c r="CA31" i="51" s="1"/>
  <c r="AS31" i="51"/>
  <c r="CJ31" i="51" s="1"/>
  <c r="O18" i="62"/>
  <c r="AE18" i="62"/>
  <c r="N30" i="62"/>
  <c r="BE30" i="62" s="1"/>
  <c r="K12" i="51"/>
  <c r="BB12" i="51" s="1"/>
  <c r="U12" i="51"/>
  <c r="BL12" i="51" s="1"/>
  <c r="AD12" i="51"/>
  <c r="BU12" i="51" s="1"/>
  <c r="AM12" i="51"/>
  <c r="CD12" i="51" s="1"/>
  <c r="AP22" i="51"/>
  <c r="CG22" i="51" s="1"/>
  <c r="I31" i="51"/>
  <c r="AZ31" i="51" s="1"/>
  <c r="R31" i="51"/>
  <c r="BI31" i="51" s="1"/>
  <c r="AB31" i="51"/>
  <c r="BS31" i="51" s="1"/>
  <c r="AK31" i="51"/>
  <c r="CB31" i="51" s="1"/>
  <c r="AT31" i="51"/>
  <c r="CK31" i="51" s="1"/>
  <c r="G18" i="62"/>
  <c r="W18" i="62"/>
  <c r="AM18" i="62"/>
  <c r="F30" i="62"/>
  <c r="AW30" i="62" s="1"/>
  <c r="M9" i="62"/>
  <c r="T9" i="62" s="1"/>
  <c r="AO9" i="62" s="1"/>
  <c r="E15" i="51"/>
  <c r="AV15" i="51" s="1"/>
  <c r="E31" i="51"/>
  <c r="AV31" i="51" s="1"/>
  <c r="E34" i="51"/>
  <c r="AV34" i="51" s="1"/>
  <c r="E45" i="51"/>
  <c r="AV45" i="51" s="1"/>
  <c r="E61" i="51"/>
  <c r="AV61" i="51" s="1"/>
  <c r="E71" i="51"/>
  <c r="AV71" i="51" s="1"/>
  <c r="L61" i="51"/>
  <c r="BC61" i="51" s="1"/>
  <c r="L71" i="51"/>
  <c r="BC71" i="51" s="1"/>
  <c r="L83" i="51"/>
  <c r="BC83" i="51" s="1"/>
  <c r="S61" i="51"/>
  <c r="BJ61" i="51" s="1"/>
  <c r="Z61" i="51"/>
  <c r="BQ61" i="51" s="1"/>
  <c r="Z71" i="51"/>
  <c r="BQ71" i="51" s="1"/>
  <c r="AG61" i="51"/>
  <c r="BX61" i="51" s="1"/>
  <c r="AG71" i="51"/>
  <c r="BX71" i="51" s="1"/>
  <c r="AG94" i="51"/>
  <c r="BX94" i="51" s="1"/>
  <c r="AN31" i="51"/>
  <c r="CE31" i="51" s="1"/>
  <c r="AN61" i="51"/>
  <c r="CE61" i="51" s="1"/>
  <c r="AN83" i="51"/>
  <c r="CE83" i="51" s="1"/>
  <c r="AB174" i="62"/>
  <c r="BS174" i="62" s="1"/>
  <c r="Y31" i="51"/>
  <c r="BP31" i="51" s="1"/>
  <c r="P30" i="62"/>
  <c r="BG30" i="62" s="1"/>
  <c r="Z83" i="51"/>
  <c r="BQ83" i="51" s="1"/>
  <c r="E94" i="51"/>
  <c r="AV94" i="51" s="1"/>
  <c r="L94" i="51"/>
  <c r="BC94" i="51" s="1"/>
  <c r="S94" i="51"/>
  <c r="BJ94" i="51" s="1"/>
  <c r="E64" i="51"/>
  <c r="AV64" i="51" s="1"/>
  <c r="E74" i="51"/>
  <c r="AV74" i="51" s="1"/>
  <c r="E83" i="51"/>
  <c r="AV83" i="51" s="1"/>
  <c r="E99" i="51"/>
  <c r="AV99" i="51" s="1"/>
  <c r="L64" i="51"/>
  <c r="BC64" i="51" s="1"/>
  <c r="L99" i="51"/>
  <c r="BC99" i="51" s="1"/>
  <c r="S71" i="51"/>
  <c r="BJ71" i="51" s="1"/>
  <c r="Z99" i="51"/>
  <c r="BQ99" i="51" s="1"/>
  <c r="AG74" i="51"/>
  <c r="BX74" i="51" s="1"/>
  <c r="AG99" i="51"/>
  <c r="BX99" i="51" s="1"/>
  <c r="AN71" i="51"/>
  <c r="CE71" i="51" s="1"/>
  <c r="B109" i="67"/>
  <c r="L31" i="51"/>
  <c r="BC31" i="51" s="1"/>
  <c r="AI112" i="50"/>
  <c r="AI14" i="50"/>
  <c r="AI126" i="50"/>
  <c r="AB25" i="50"/>
  <c r="AI26" i="50"/>
  <c r="AI27" i="50"/>
  <c r="AB28" i="50"/>
  <c r="AB30" i="50"/>
  <c r="AI31" i="50"/>
  <c r="B48" i="67"/>
  <c r="AB18" i="62"/>
  <c r="B95" i="67"/>
  <c r="M61" i="62"/>
  <c r="BD61" i="62" s="1"/>
  <c r="B107" i="67"/>
  <c r="B66" i="67"/>
  <c r="L18" i="62"/>
  <c r="BC18" i="62" s="1"/>
  <c r="B12" i="67"/>
  <c r="B90" i="67"/>
  <c r="B53" i="67"/>
  <c r="AB11" i="50"/>
  <c r="AB14" i="50"/>
  <c r="AI119" i="50"/>
  <c r="AI123" i="50"/>
  <c r="AI128" i="50"/>
  <c r="AI18" i="50"/>
  <c r="AI23" i="50"/>
  <c r="AI25" i="50"/>
  <c r="AB26" i="50"/>
  <c r="AB24" i="50"/>
  <c r="AI28" i="50"/>
  <c r="B30" i="67"/>
  <c r="B71" i="67"/>
  <c r="AH12" i="51"/>
  <c r="BY12" i="51" s="1"/>
  <c r="AH11" i="50"/>
  <c r="AI169" i="62"/>
  <c r="U169" i="62"/>
  <c r="U171" i="62"/>
  <c r="U231" i="50" s="1"/>
  <c r="N156" i="62"/>
  <c r="AG31" i="51"/>
  <c r="BX31" i="51" s="1"/>
  <c r="AH192" i="50"/>
  <c r="BT192" i="50" s="1"/>
  <c r="N62" i="62"/>
  <c r="AN67" i="62"/>
  <c r="U163" i="62"/>
  <c r="B8" i="67"/>
  <c r="AH91" i="51"/>
  <c r="Z31" i="51"/>
  <c r="BQ31" i="51" s="1"/>
  <c r="J12" i="51"/>
  <c r="BA12" i="51" s="1"/>
  <c r="AC12" i="51"/>
  <c r="BT12" i="51" s="1"/>
  <c r="AL12" i="51"/>
  <c r="CC12" i="51" s="1"/>
  <c r="AO22" i="51"/>
  <c r="CF22" i="51" s="1"/>
  <c r="H31" i="51"/>
  <c r="AY31" i="51" s="1"/>
  <c r="Q31" i="51"/>
  <c r="BH31" i="51" s="1"/>
  <c r="Q50" i="51"/>
  <c r="BH50" i="51" s="1"/>
  <c r="S31" i="51"/>
  <c r="BJ31" i="51" s="1"/>
  <c r="AN22" i="51"/>
  <c r="CE22" i="51" s="1"/>
  <c r="T64" i="62"/>
  <c r="BK64" i="62" s="1"/>
  <c r="AH71" i="62"/>
  <c r="BY71" i="62" s="1"/>
  <c r="G75" i="62"/>
  <c r="F74" i="62"/>
  <c r="AW74" i="62" s="1"/>
  <c r="AI97" i="62"/>
  <c r="AH94" i="62"/>
  <c r="BY94" i="62" s="1"/>
  <c r="AA220" i="50"/>
  <c r="AB160" i="62"/>
  <c r="AA230" i="50"/>
  <c r="AB170" i="62"/>
  <c r="BS170" i="62" s="1"/>
  <c r="N65" i="62"/>
  <c r="M64" i="62"/>
  <c r="BD64" i="62" s="1"/>
  <c r="AB82" i="62"/>
  <c r="AA80" i="62"/>
  <c r="BR80" i="62" s="1"/>
  <c r="F217" i="50"/>
  <c r="G157" i="62"/>
  <c r="AX157" i="62" s="1"/>
  <c r="AA218" i="50"/>
  <c r="AB158" i="62"/>
  <c r="BS158" i="62" s="1"/>
  <c r="B18" i="67"/>
  <c r="B114" i="67" s="1"/>
  <c r="G171" i="62"/>
  <c r="AB172" i="62"/>
  <c r="AI173" i="62"/>
  <c r="BZ173" i="62" s="1"/>
  <c r="N174" i="62"/>
  <c r="G155" i="62"/>
  <c r="AX155" i="62" s="1"/>
  <c r="U155" i="62"/>
  <c r="BL155" i="62" s="1"/>
  <c r="N158" i="62"/>
  <c r="AI159" i="62"/>
  <c r="N162" i="62"/>
  <c r="BE162" i="62" s="1"/>
  <c r="AB162" i="62"/>
  <c r="AB164" i="62"/>
  <c r="AI175" i="62"/>
  <c r="B62" i="67"/>
  <c r="AR34" i="51"/>
  <c r="CI34" i="51" s="1"/>
  <c r="I50" i="51"/>
  <c r="AZ50" i="51" s="1"/>
  <c r="N50" i="51"/>
  <c r="BE50" i="51" s="1"/>
  <c r="R50" i="51"/>
  <c r="BI50" i="51" s="1"/>
  <c r="W50" i="51"/>
  <c r="BN50" i="51" s="1"/>
  <c r="AB50" i="51"/>
  <c r="BS50" i="51" s="1"/>
  <c r="AF50" i="51"/>
  <c r="BW50" i="51" s="1"/>
  <c r="AK50" i="51"/>
  <c r="CB50" i="51" s="1"/>
  <c r="AI79" i="50"/>
  <c r="AN25" i="51"/>
  <c r="CE25" i="51" s="1"/>
  <c r="AN45" i="51"/>
  <c r="CE45" i="51" s="1"/>
  <c r="F71" i="62"/>
  <c r="AW71" i="62" s="1"/>
  <c r="M80" i="62"/>
  <c r="BD80" i="62" s="1"/>
  <c r="AN79" i="62"/>
  <c r="AI157" i="62"/>
  <c r="AI163" i="62"/>
  <c r="BZ163" i="62" s="1"/>
  <c r="N164" i="62"/>
  <c r="N166" i="62"/>
  <c r="BE166" i="62" s="1"/>
  <c r="AB166" i="62"/>
  <c r="AI167" i="62"/>
  <c r="AI171" i="62"/>
  <c r="BZ171" i="62" s="1"/>
  <c r="G175" i="62"/>
  <c r="AX175" i="62" s="1"/>
  <c r="U175" i="62"/>
  <c r="AA31" i="51"/>
  <c r="BR31" i="51" s="1"/>
  <c r="AO68" i="51"/>
  <c r="CF68" i="51" s="1"/>
  <c r="M75" i="51"/>
  <c r="BD75" i="51" s="1"/>
  <c r="F50" i="51"/>
  <c r="AW50" i="51" s="1"/>
  <c r="J50" i="51"/>
  <c r="BA50" i="51" s="1"/>
  <c r="O50" i="51"/>
  <c r="BF50" i="51" s="1"/>
  <c r="X50" i="51"/>
  <c r="BO50" i="51" s="1"/>
  <c r="AC50" i="51"/>
  <c r="BT50" i="51" s="1"/>
  <c r="AL50" i="51"/>
  <c r="CC50" i="51" s="1"/>
  <c r="G31" i="51"/>
  <c r="AX31" i="51" s="1"/>
  <c r="S12" i="51"/>
  <c r="BJ12" i="51" s="1"/>
  <c r="AN12" i="51"/>
  <c r="CE12" i="51" s="1"/>
  <c r="K68" i="51"/>
  <c r="BB68" i="51" s="1"/>
  <c r="L34" i="51"/>
  <c r="BC34" i="51" s="1"/>
  <c r="S50" i="51"/>
  <c r="BJ50" i="51" s="1"/>
  <c r="AG25" i="51"/>
  <c r="BX25" i="51" s="1"/>
  <c r="H50" i="51"/>
  <c r="AY50" i="51" s="1"/>
  <c r="V50" i="51"/>
  <c r="BM50" i="51" s="1"/>
  <c r="AE50" i="51"/>
  <c r="BV50" i="51" s="1"/>
  <c r="Z12" i="51"/>
  <c r="BQ12" i="51" s="1"/>
  <c r="AG12" i="51"/>
  <c r="BX12" i="51" s="1"/>
  <c r="AI83" i="50"/>
  <c r="B42" i="67"/>
  <c r="L15" i="51"/>
  <c r="BC15" i="51" s="1"/>
  <c r="L22" i="51"/>
  <c r="BC22" i="51" s="1"/>
  <c r="L25" i="51"/>
  <c r="BC25" i="51" s="1"/>
  <c r="L45" i="51"/>
  <c r="BC45" i="51" s="1"/>
  <c r="L50" i="51"/>
  <c r="BC50" i="51" s="1"/>
  <c r="S15" i="51"/>
  <c r="BJ15" i="51" s="1"/>
  <c r="S22" i="51"/>
  <c r="BJ22" i="51" s="1"/>
  <c r="S25" i="51"/>
  <c r="BJ25" i="51" s="1"/>
  <c r="S34" i="51"/>
  <c r="BJ34" i="51" s="1"/>
  <c r="S45" i="51"/>
  <c r="BJ45" i="51" s="1"/>
  <c r="Z15" i="51"/>
  <c r="BQ15" i="51" s="1"/>
  <c r="Z22" i="51"/>
  <c r="BQ22" i="51" s="1"/>
  <c r="Z25" i="51"/>
  <c r="BQ25" i="51" s="1"/>
  <c r="Z34" i="51"/>
  <c r="BQ34" i="51" s="1"/>
  <c r="Z45" i="51"/>
  <c r="BQ45" i="51" s="1"/>
  <c r="Z50" i="51"/>
  <c r="BQ50" i="51" s="1"/>
  <c r="AG15" i="51"/>
  <c r="BX15" i="51" s="1"/>
  <c r="AG22" i="51"/>
  <c r="BX22" i="51" s="1"/>
  <c r="AG34" i="51"/>
  <c r="BX34" i="51" s="1"/>
  <c r="AG45" i="51"/>
  <c r="BX45" i="51" s="1"/>
  <c r="AN15" i="51"/>
  <c r="CE15" i="51" s="1"/>
  <c r="AN34" i="51"/>
  <c r="CE34" i="51" s="1"/>
  <c r="AN50" i="51"/>
  <c r="CE50" i="51" s="1"/>
  <c r="X63" i="51"/>
  <c r="BO63" i="51" s="1"/>
  <c r="G50" i="51"/>
  <c r="AX50" i="51" s="1"/>
  <c r="K50" i="51"/>
  <c r="BB50" i="51" s="1"/>
  <c r="P50" i="51"/>
  <c r="BG50" i="51" s="1"/>
  <c r="U50" i="51"/>
  <c r="BL50" i="51" s="1"/>
  <c r="Y50" i="51"/>
  <c r="BP50" i="51" s="1"/>
  <c r="AD50" i="51"/>
  <c r="BU50" i="51" s="1"/>
  <c r="AI50" i="51"/>
  <c r="BZ50" i="51" s="1"/>
  <c r="AM50" i="51"/>
  <c r="CD50" i="51" s="1"/>
  <c r="AG50" i="51"/>
  <c r="BX50" i="51" s="1"/>
  <c r="AA50" i="51"/>
  <c r="BR50" i="51" s="1"/>
  <c r="AJ50" i="51"/>
  <c r="CA50" i="51" s="1"/>
  <c r="AI82" i="50"/>
  <c r="L12" i="51"/>
  <c r="BC12" i="51" s="1"/>
  <c r="G82" i="51"/>
  <c r="AX82" i="51" s="1"/>
  <c r="AQ34" i="51"/>
  <c r="CH34" i="51" s="1"/>
  <c r="AS34" i="51"/>
  <c r="CJ34" i="51" s="1"/>
  <c r="AP34" i="51"/>
  <c r="AT34" i="51"/>
  <c r="CK34" i="51" s="1"/>
  <c r="Q22" i="51"/>
  <c r="BH22" i="51" s="1"/>
  <c r="V22" i="51"/>
  <c r="BM22" i="51" s="1"/>
  <c r="U82" i="62"/>
  <c r="V82" i="62" s="1"/>
  <c r="T80" i="62"/>
  <c r="BK80" i="62" s="1"/>
  <c r="T217" i="50"/>
  <c r="U157" i="62"/>
  <c r="BL157" i="62" s="1"/>
  <c r="T233" i="50"/>
  <c r="U173" i="62"/>
  <c r="BL173" i="62" s="1"/>
  <c r="U62" i="62"/>
  <c r="T61" i="62"/>
  <c r="BK61" i="62" s="1"/>
  <c r="AI158" i="62"/>
  <c r="BZ158" i="62" s="1"/>
  <c r="AH218" i="50"/>
  <c r="T219" i="50"/>
  <c r="U159" i="62"/>
  <c r="BL159" i="62" s="1"/>
  <c r="U160" i="62"/>
  <c r="BL160" i="62" s="1"/>
  <c r="T220" i="50"/>
  <c r="AH221" i="50"/>
  <c r="AI161" i="62"/>
  <c r="BZ161" i="62" s="1"/>
  <c r="N163" i="62"/>
  <c r="BE163" i="62" s="1"/>
  <c r="M223" i="50"/>
  <c r="N165" i="62"/>
  <c r="BE165" i="62" s="1"/>
  <c r="M225" i="50"/>
  <c r="U172" i="62"/>
  <c r="BL172" i="62" s="1"/>
  <c r="T232" i="50"/>
  <c r="F201" i="50"/>
  <c r="AA216" i="50"/>
  <c r="AB156" i="62"/>
  <c r="M220" i="50"/>
  <c r="N160" i="62"/>
  <c r="BE160" i="62" s="1"/>
  <c r="M232" i="50"/>
  <c r="N172" i="62"/>
  <c r="BE172" i="62" s="1"/>
  <c r="AA71" i="62"/>
  <c r="BR71" i="62" s="1"/>
  <c r="F94" i="62"/>
  <c r="AW94" i="62" s="1"/>
  <c r="G96" i="62"/>
  <c r="M99" i="62"/>
  <c r="BD99" i="62" s="1"/>
  <c r="AA99" i="62"/>
  <c r="BR99" i="62" s="1"/>
  <c r="N167" i="62"/>
  <c r="BE167" i="62" s="1"/>
  <c r="M227" i="50"/>
  <c r="G219" i="50"/>
  <c r="AS219" i="50" s="1"/>
  <c r="F219" i="50"/>
  <c r="F233" i="50"/>
  <c r="AB167" i="62"/>
  <c r="BS167" i="62" s="1"/>
  <c r="AA227" i="50"/>
  <c r="AI172" i="62"/>
  <c r="BZ172" i="62" s="1"/>
  <c r="AH232" i="50"/>
  <c r="F227" i="50"/>
  <c r="AA64" i="62"/>
  <c r="BR64" i="62" s="1"/>
  <c r="AH215" i="50"/>
  <c r="AI155" i="62"/>
  <c r="BZ155" i="62" s="1"/>
  <c r="T221" i="50"/>
  <c r="U161" i="62"/>
  <c r="BL161" i="62" s="1"/>
  <c r="G168" i="62"/>
  <c r="AX168" i="62" s="1"/>
  <c r="F228" i="50"/>
  <c r="AB169" i="62"/>
  <c r="BS169" i="62" s="1"/>
  <c r="AA229" i="50"/>
  <c r="M230" i="50"/>
  <c r="N170" i="62"/>
  <c r="BE170" i="62" s="1"/>
  <c r="F203" i="50"/>
  <c r="I18" i="62"/>
  <c r="G103" i="62"/>
  <c r="AA61" i="62"/>
  <c r="BR61" i="62" s="1"/>
  <c r="M71" i="62"/>
  <c r="BD71" i="62" s="1"/>
  <c r="AH99" i="62"/>
  <c r="BY99" i="62" s="1"/>
  <c r="N155" i="62"/>
  <c r="M215" i="50"/>
  <c r="AY215" i="50" s="1"/>
  <c r="AB155" i="62"/>
  <c r="BS155" i="62" s="1"/>
  <c r="AA215" i="50"/>
  <c r="N157" i="62"/>
  <c r="BE157" i="62" s="1"/>
  <c r="M217" i="50"/>
  <c r="AI162" i="62"/>
  <c r="BZ162" i="62" s="1"/>
  <c r="AH222" i="50"/>
  <c r="U164" i="62"/>
  <c r="BL164" i="62" s="1"/>
  <c r="T224" i="50"/>
  <c r="AI164" i="62"/>
  <c r="BZ164" i="62" s="1"/>
  <c r="AH224" i="50"/>
  <c r="AI165" i="62"/>
  <c r="BZ165" i="62" s="1"/>
  <c r="AH225" i="50"/>
  <c r="U166" i="62"/>
  <c r="BL166" i="62" s="1"/>
  <c r="T226" i="50"/>
  <c r="AI166" i="62"/>
  <c r="BZ166" i="62" s="1"/>
  <c r="AH226" i="50"/>
  <c r="AB168" i="62"/>
  <c r="BS168" i="62" s="1"/>
  <c r="AA228" i="50"/>
  <c r="AB171" i="62"/>
  <c r="BS171" i="62" s="1"/>
  <c r="AA231" i="50"/>
  <c r="G172" i="62"/>
  <c r="AX172" i="62" s="1"/>
  <c r="F232" i="50"/>
  <c r="AI174" i="62"/>
  <c r="BZ174" i="62" s="1"/>
  <c r="AH234" i="50"/>
  <c r="N175" i="62"/>
  <c r="BE175" i="62" s="1"/>
  <c r="M235" i="50"/>
  <c r="G81" i="51"/>
  <c r="AX81" i="51" s="1"/>
  <c r="B34" i="67"/>
  <c r="B121" i="67" s="1"/>
  <c r="F211" i="50"/>
  <c r="AT66" i="51"/>
  <c r="CK66" i="51" s="1"/>
  <c r="J18" i="62"/>
  <c r="BA18" i="62" s="1"/>
  <c r="M74" i="62"/>
  <c r="BD74" i="62" s="1"/>
  <c r="M83" i="62"/>
  <c r="BD83" i="62" s="1"/>
  <c r="AI156" i="62"/>
  <c r="BZ156" i="62" s="1"/>
  <c r="AH216" i="50"/>
  <c r="AB159" i="62"/>
  <c r="BS159" i="62" s="1"/>
  <c r="AA219" i="50"/>
  <c r="N161" i="62"/>
  <c r="BE161" i="62" s="1"/>
  <c r="M221" i="50"/>
  <c r="AB161" i="62"/>
  <c r="BS161" i="62" s="1"/>
  <c r="AA221" i="50"/>
  <c r="U162" i="62"/>
  <c r="BL162" i="62" s="1"/>
  <c r="T222" i="50"/>
  <c r="G164" i="62"/>
  <c r="AX164" i="62" s="1"/>
  <c r="F224" i="50"/>
  <c r="U165" i="62"/>
  <c r="BL165" i="62" s="1"/>
  <c r="T225" i="50"/>
  <c r="N168" i="62"/>
  <c r="BE168" i="62" s="1"/>
  <c r="M228" i="50"/>
  <c r="AI168" i="62"/>
  <c r="BZ168" i="62" s="1"/>
  <c r="AH228" i="50"/>
  <c r="N169" i="62"/>
  <c r="BE169" i="62" s="1"/>
  <c r="M229" i="50"/>
  <c r="AI170" i="62"/>
  <c r="BZ170" i="62" s="1"/>
  <c r="AH230" i="50"/>
  <c r="U174" i="62"/>
  <c r="BL174" i="62" s="1"/>
  <c r="T234" i="50"/>
  <c r="AB175" i="62"/>
  <c r="BS175" i="62" s="1"/>
  <c r="AA235" i="50"/>
  <c r="AQ98" i="51"/>
  <c r="CH98" i="51" s="1"/>
  <c r="T86" i="51"/>
  <c r="BK86" i="51" s="1"/>
  <c r="AO77" i="51"/>
  <c r="CF77" i="51" s="1"/>
  <c r="AO82" i="51"/>
  <c r="CF82" i="51" s="1"/>
  <c r="F89" i="51"/>
  <c r="AW89" i="51" s="1"/>
  <c r="B6" i="67"/>
  <c r="F194" i="50"/>
  <c r="G158" i="62"/>
  <c r="AX158" i="62" s="1"/>
  <c r="F218" i="50"/>
  <c r="U158" i="62"/>
  <c r="BL158" i="62" s="1"/>
  <c r="T218" i="50"/>
  <c r="N159" i="62"/>
  <c r="BE159" i="62" s="1"/>
  <c r="M219" i="50"/>
  <c r="AI160" i="62"/>
  <c r="BZ160" i="62" s="1"/>
  <c r="AH220" i="50"/>
  <c r="G162" i="62"/>
  <c r="AX162" i="62" s="1"/>
  <c r="F222" i="50"/>
  <c r="AB163" i="62"/>
  <c r="BS163" i="62" s="1"/>
  <c r="AA223" i="50"/>
  <c r="AB165" i="62"/>
  <c r="BS165" i="62" s="1"/>
  <c r="AA225" i="50"/>
  <c r="G166" i="62"/>
  <c r="AX166" i="62" s="1"/>
  <c r="F226" i="50"/>
  <c r="U167" i="62"/>
  <c r="BL167" i="62" s="1"/>
  <c r="T227" i="50"/>
  <c r="U168" i="62"/>
  <c r="BL168" i="62" s="1"/>
  <c r="T228" i="50"/>
  <c r="U170" i="62"/>
  <c r="BL170" i="62" s="1"/>
  <c r="T230" i="50"/>
  <c r="N173" i="62"/>
  <c r="BE173" i="62" s="1"/>
  <c r="M233" i="50"/>
  <c r="AB173" i="62"/>
  <c r="BS173" i="62" s="1"/>
  <c r="AA233" i="50"/>
  <c r="F208" i="50"/>
  <c r="F220" i="50"/>
  <c r="M231" i="50"/>
  <c r="AT62" i="51"/>
  <c r="CK62" i="51" s="1"/>
  <c r="B24" i="67"/>
  <c r="AB82" i="50"/>
  <c r="F199" i="50"/>
  <c r="F205" i="50"/>
  <c r="F207" i="50"/>
  <c r="F212" i="50"/>
  <c r="G221" i="50"/>
  <c r="AS221" i="50" s="1"/>
  <c r="F221" i="50"/>
  <c r="F223" i="50"/>
  <c r="F229" i="50"/>
  <c r="F234" i="50"/>
  <c r="B68" i="67"/>
  <c r="B50" i="67"/>
  <c r="F202" i="50"/>
  <c r="F216" i="50"/>
  <c r="F225" i="50"/>
  <c r="G230" i="50"/>
  <c r="AS230" i="50" s="1"/>
  <c r="F230" i="50"/>
  <c r="P68" i="51"/>
  <c r="BG68" i="51" s="1"/>
  <c r="AB63" i="51"/>
  <c r="BS63" i="51" s="1"/>
  <c r="AE68" i="51"/>
  <c r="BV68" i="51" s="1"/>
  <c r="AF65" i="51"/>
  <c r="BW65" i="51" s="1"/>
  <c r="AE9" i="62"/>
  <c r="AL9" i="62" s="1"/>
  <c r="R62" i="51"/>
  <c r="BI62" i="51" s="1"/>
  <c r="X65" i="51"/>
  <c r="BO65" i="51" s="1"/>
  <c r="AJ68" i="51"/>
  <c r="CA68" i="51" s="1"/>
  <c r="B73" i="67"/>
  <c r="U68" i="51"/>
  <c r="BL68" i="51" s="1"/>
  <c r="AD10" i="51"/>
  <c r="AK10" i="51" s="1"/>
  <c r="K62" i="51"/>
  <c r="BB62" i="51" s="1"/>
  <c r="V62" i="51"/>
  <c r="BM62" i="51" s="1"/>
  <c r="AL62" i="51"/>
  <c r="CC62" i="51" s="1"/>
  <c r="V73" i="51"/>
  <c r="BM73" i="51" s="1"/>
  <c r="B97" i="67"/>
  <c r="AB115" i="50"/>
  <c r="AB126" i="50"/>
  <c r="AB128" i="50"/>
  <c r="B32" i="67"/>
  <c r="B14" i="67"/>
  <c r="B92" i="67"/>
  <c r="B16" i="67"/>
  <c r="T192" i="50"/>
  <c r="BF192" i="50" s="1"/>
  <c r="B55" i="67"/>
  <c r="B52" i="67"/>
  <c r="B123" i="67" s="1"/>
  <c r="AA192" i="50"/>
  <c r="BM192" i="50" s="1"/>
  <c r="B37" i="67"/>
  <c r="M192" i="50"/>
  <c r="AY192" i="50" s="1"/>
  <c r="AB10" i="51"/>
  <c r="AI10" i="51" s="1"/>
  <c r="AP10" i="51"/>
  <c r="AO10" i="51"/>
  <c r="AA10" i="51"/>
  <c r="AH10" i="51" s="1"/>
  <c r="AS10" i="51"/>
  <c r="AE10" i="51"/>
  <c r="AL10" i="51" s="1"/>
  <c r="O63" i="51"/>
  <c r="BF63" i="51" s="1"/>
  <c r="R63" i="51"/>
  <c r="BI63" i="51" s="1"/>
  <c r="N63" i="51"/>
  <c r="BE63" i="51" s="1"/>
  <c r="Q63" i="51"/>
  <c r="BH63" i="51" s="1"/>
  <c r="M63" i="51"/>
  <c r="BD63" i="51" s="1"/>
  <c r="P69" i="51"/>
  <c r="BG69" i="51" s="1"/>
  <c r="R69" i="51"/>
  <c r="BI69" i="51" s="1"/>
  <c r="M69" i="51"/>
  <c r="BD69" i="51" s="1"/>
  <c r="Q69" i="51"/>
  <c r="BH69" i="51" s="1"/>
  <c r="O69" i="51"/>
  <c r="BF69" i="51" s="1"/>
  <c r="AR69" i="51"/>
  <c r="CI69" i="51" s="1"/>
  <c r="AQ69" i="51"/>
  <c r="CH69" i="51" s="1"/>
  <c r="AP69" i="51"/>
  <c r="CG69" i="51" s="1"/>
  <c r="AT69" i="51"/>
  <c r="CK69" i="51" s="1"/>
  <c r="AO69" i="51"/>
  <c r="CF69" i="51" s="1"/>
  <c r="P81" i="51"/>
  <c r="BG81" i="51" s="1"/>
  <c r="O81" i="51"/>
  <c r="BF81" i="51" s="1"/>
  <c r="N81" i="51"/>
  <c r="BE81" i="51" s="1"/>
  <c r="M81" i="51"/>
  <c r="BD81" i="51" s="1"/>
  <c r="R81" i="51"/>
  <c r="BI81" i="51" s="1"/>
  <c r="AR81" i="51"/>
  <c r="CI81" i="51" s="1"/>
  <c r="AT81" i="51"/>
  <c r="CK81" i="51" s="1"/>
  <c r="AO81" i="51"/>
  <c r="CF81" i="51" s="1"/>
  <c r="AS81" i="51"/>
  <c r="CJ81" i="51" s="1"/>
  <c r="AQ81" i="51"/>
  <c r="CH81" i="51" s="1"/>
  <c r="AP81" i="51"/>
  <c r="CG81" i="51" s="1"/>
  <c r="AD82" i="51"/>
  <c r="BU82" i="51" s="1"/>
  <c r="AC82" i="51"/>
  <c r="BT82" i="51" s="1"/>
  <c r="AB82" i="51"/>
  <c r="BS82" i="51" s="1"/>
  <c r="AF82" i="51"/>
  <c r="BW82" i="51" s="1"/>
  <c r="AE82" i="51"/>
  <c r="BV82" i="51" s="1"/>
  <c r="AA82" i="51"/>
  <c r="O84" i="51"/>
  <c r="BF84" i="51" s="1"/>
  <c r="R84" i="51"/>
  <c r="BI84" i="51" s="1"/>
  <c r="N84" i="51"/>
  <c r="BE84" i="51" s="1"/>
  <c r="Q84" i="51"/>
  <c r="BH84" i="51" s="1"/>
  <c r="M84" i="51"/>
  <c r="BD84" i="51" s="1"/>
  <c r="AQ84" i="51"/>
  <c r="CH84" i="51" s="1"/>
  <c r="AT84" i="51"/>
  <c r="CK84" i="51" s="1"/>
  <c r="AP84" i="51"/>
  <c r="CG84" i="51" s="1"/>
  <c r="AS84" i="51"/>
  <c r="CJ84" i="51" s="1"/>
  <c r="AR84" i="51"/>
  <c r="CI84" i="51" s="1"/>
  <c r="AO84" i="51"/>
  <c r="CF84" i="51" s="1"/>
  <c r="O86" i="51"/>
  <c r="BF86" i="51" s="1"/>
  <c r="R86" i="51"/>
  <c r="BI86" i="51" s="1"/>
  <c r="N86" i="51"/>
  <c r="BE86" i="51" s="1"/>
  <c r="Q86" i="51"/>
  <c r="BH86" i="51" s="1"/>
  <c r="P86" i="51"/>
  <c r="BG86" i="51" s="1"/>
  <c r="M86" i="51"/>
  <c r="BD86" i="51" s="1"/>
  <c r="AQ86" i="51"/>
  <c r="CH86" i="51" s="1"/>
  <c r="AT86" i="51"/>
  <c r="CK86" i="51" s="1"/>
  <c r="AP86" i="51"/>
  <c r="CG86" i="51" s="1"/>
  <c r="AS86" i="51"/>
  <c r="CJ86" i="51" s="1"/>
  <c r="AO86" i="51"/>
  <c r="CF86" i="51" s="1"/>
  <c r="O88" i="51"/>
  <c r="BF88" i="51" s="1"/>
  <c r="R88" i="51"/>
  <c r="BI88" i="51" s="1"/>
  <c r="N88" i="51"/>
  <c r="BE88" i="51" s="1"/>
  <c r="Q88" i="51"/>
  <c r="BH88" i="51" s="1"/>
  <c r="M88" i="51"/>
  <c r="BD88" i="51" s="1"/>
  <c r="AQ88" i="51"/>
  <c r="CH88" i="51" s="1"/>
  <c r="AT88" i="51"/>
  <c r="CK88" i="51" s="1"/>
  <c r="AP88" i="51"/>
  <c r="CG88" i="51" s="1"/>
  <c r="AS88" i="51"/>
  <c r="CJ88" i="51" s="1"/>
  <c r="AR88" i="51"/>
  <c r="CI88" i="51" s="1"/>
  <c r="AO88" i="51"/>
  <c r="CF88" i="51" s="1"/>
  <c r="AC89" i="51"/>
  <c r="BT89" i="51" s="1"/>
  <c r="AF89" i="51"/>
  <c r="BW89" i="51" s="1"/>
  <c r="AB89" i="51"/>
  <c r="BS89" i="51" s="1"/>
  <c r="AE89" i="51"/>
  <c r="BV89" i="51" s="1"/>
  <c r="AA89" i="51"/>
  <c r="AQ90" i="51"/>
  <c r="CH90" i="51" s="1"/>
  <c r="AT90" i="51"/>
  <c r="CK90" i="51" s="1"/>
  <c r="AP90" i="51"/>
  <c r="CG90" i="51" s="1"/>
  <c r="AS90" i="51"/>
  <c r="CJ90" i="51" s="1"/>
  <c r="AO90" i="51"/>
  <c r="CF90" i="51" s="1"/>
  <c r="AC91" i="51"/>
  <c r="BT91" i="51" s="1"/>
  <c r="AF91" i="51"/>
  <c r="BW91" i="51" s="1"/>
  <c r="AB91" i="51"/>
  <c r="BS91" i="51" s="1"/>
  <c r="AE91" i="51"/>
  <c r="BV91" i="51" s="1"/>
  <c r="AD91" i="51"/>
  <c r="BU91" i="51" s="1"/>
  <c r="AA91" i="51"/>
  <c r="O92" i="51"/>
  <c r="BF92" i="51" s="1"/>
  <c r="P92" i="51"/>
  <c r="BG92" i="51" s="1"/>
  <c r="N92" i="51"/>
  <c r="BE92" i="51" s="1"/>
  <c r="R92" i="51"/>
  <c r="BI92" i="51" s="1"/>
  <c r="M92" i="51"/>
  <c r="BD92" i="51" s="1"/>
  <c r="Q92" i="51"/>
  <c r="BH92" i="51" s="1"/>
  <c r="AQ92" i="51"/>
  <c r="CH92" i="51" s="1"/>
  <c r="AT92" i="51"/>
  <c r="CK92" i="51" s="1"/>
  <c r="AO92" i="51"/>
  <c r="CF92" i="51" s="1"/>
  <c r="AS92" i="51"/>
  <c r="CJ92" i="51" s="1"/>
  <c r="AR92" i="51"/>
  <c r="CI92" i="51" s="1"/>
  <c r="AD93" i="51"/>
  <c r="BU93" i="51" s="1"/>
  <c r="AC93" i="51"/>
  <c r="BT93" i="51" s="1"/>
  <c r="AE93" i="51"/>
  <c r="BV93" i="51" s="1"/>
  <c r="AB93" i="51"/>
  <c r="AA93" i="51"/>
  <c r="AF93" i="51"/>
  <c r="BW93" i="51" s="1"/>
  <c r="G62" i="51"/>
  <c r="AX62" i="51" s="1"/>
  <c r="N62" i="51"/>
  <c r="BE62" i="51" s="1"/>
  <c r="AP62" i="51"/>
  <c r="CG62" i="51" s="1"/>
  <c r="AB65" i="51"/>
  <c r="BS65" i="51" s="1"/>
  <c r="AP66" i="51"/>
  <c r="CG66" i="51" s="1"/>
  <c r="W81" i="51"/>
  <c r="BN81" i="51" s="1"/>
  <c r="P88" i="51"/>
  <c r="BG88" i="51" s="1"/>
  <c r="AR90" i="51"/>
  <c r="CI90" i="51" s="1"/>
  <c r="Y62" i="51"/>
  <c r="BP62" i="51" s="1"/>
  <c r="U62" i="51"/>
  <c r="BL62" i="51" s="1"/>
  <c r="X62" i="51"/>
  <c r="BO62" i="51" s="1"/>
  <c r="T62" i="51"/>
  <c r="BK62" i="51" s="1"/>
  <c r="K63" i="51"/>
  <c r="BB63" i="51" s="1"/>
  <c r="G63" i="51"/>
  <c r="AX63" i="51" s="1"/>
  <c r="J63" i="51"/>
  <c r="BA63" i="51" s="1"/>
  <c r="F63" i="51"/>
  <c r="AW63" i="51" s="1"/>
  <c r="I63" i="51"/>
  <c r="AZ63" i="51" s="1"/>
  <c r="AM63" i="51"/>
  <c r="CD63" i="51" s="1"/>
  <c r="AI63" i="51"/>
  <c r="AL63" i="51"/>
  <c r="CC63" i="51" s="1"/>
  <c r="AH63" i="51"/>
  <c r="AK63" i="51"/>
  <c r="CB63" i="51" s="1"/>
  <c r="K65" i="51"/>
  <c r="BB65" i="51" s="1"/>
  <c r="G65" i="51"/>
  <c r="AX65" i="51" s="1"/>
  <c r="J65" i="51"/>
  <c r="BA65" i="51" s="1"/>
  <c r="F65" i="51"/>
  <c r="AW65" i="51" s="1"/>
  <c r="I65" i="51"/>
  <c r="AZ65" i="51" s="1"/>
  <c r="AM65" i="51"/>
  <c r="CD65" i="51" s="1"/>
  <c r="AI65" i="51"/>
  <c r="AL65" i="51"/>
  <c r="CC65" i="51" s="1"/>
  <c r="AH65" i="51"/>
  <c r="BY65" i="51" s="1"/>
  <c r="AK65" i="51"/>
  <c r="CB65" i="51" s="1"/>
  <c r="Y66" i="51"/>
  <c r="BP66" i="51" s="1"/>
  <c r="U66" i="51"/>
  <c r="BL66" i="51" s="1"/>
  <c r="X66" i="51"/>
  <c r="BO66" i="51" s="1"/>
  <c r="T66" i="51"/>
  <c r="BK66" i="51" s="1"/>
  <c r="W66" i="51"/>
  <c r="BN66" i="51" s="1"/>
  <c r="V68" i="51"/>
  <c r="BM68" i="51" s="1"/>
  <c r="Y68" i="51"/>
  <c r="BP68" i="51" s="1"/>
  <c r="T68" i="51"/>
  <c r="BK68" i="51" s="1"/>
  <c r="X68" i="51"/>
  <c r="BO68" i="51" s="1"/>
  <c r="W68" i="51"/>
  <c r="BN68" i="51" s="1"/>
  <c r="V72" i="51"/>
  <c r="BM72" i="51" s="1"/>
  <c r="W72" i="51"/>
  <c r="BN72" i="51" s="1"/>
  <c r="U72" i="51"/>
  <c r="BL72" i="51" s="1"/>
  <c r="Y72" i="51"/>
  <c r="BP72" i="51" s="1"/>
  <c r="T72" i="51"/>
  <c r="BK72" i="51" s="1"/>
  <c r="H73" i="51"/>
  <c r="AY73" i="51" s="1"/>
  <c r="K73" i="51"/>
  <c r="BB73" i="51" s="1"/>
  <c r="F73" i="51"/>
  <c r="AW73" i="51" s="1"/>
  <c r="J73" i="51"/>
  <c r="BA73" i="51" s="1"/>
  <c r="I73" i="51"/>
  <c r="AZ73" i="51" s="1"/>
  <c r="AJ73" i="51"/>
  <c r="CA73" i="51" s="1"/>
  <c r="AK73" i="51"/>
  <c r="CB73" i="51" s="1"/>
  <c r="AI73" i="51"/>
  <c r="AM73" i="51"/>
  <c r="CD73" i="51" s="1"/>
  <c r="AH73" i="51"/>
  <c r="V76" i="51"/>
  <c r="BM76" i="51" s="1"/>
  <c r="Y76" i="51"/>
  <c r="BP76" i="51" s="1"/>
  <c r="U76" i="51"/>
  <c r="BL76" i="51" s="1"/>
  <c r="X76" i="51"/>
  <c r="BO76" i="51" s="1"/>
  <c r="W76" i="51"/>
  <c r="BN76" i="51" s="1"/>
  <c r="H81" i="51"/>
  <c r="AY81" i="51" s="1"/>
  <c r="K81" i="51"/>
  <c r="BB81" i="51" s="1"/>
  <c r="F81" i="51"/>
  <c r="AW81" i="51" s="1"/>
  <c r="J81" i="51"/>
  <c r="BA81" i="51" s="1"/>
  <c r="I81" i="51"/>
  <c r="AZ81" i="51" s="1"/>
  <c r="AJ81" i="51"/>
  <c r="CA81" i="51" s="1"/>
  <c r="AK81" i="51"/>
  <c r="CB81" i="51" s="1"/>
  <c r="AI81" i="51"/>
  <c r="BZ81" i="51" s="1"/>
  <c r="AM81" i="51"/>
  <c r="CD81" i="51" s="1"/>
  <c r="AL81" i="51"/>
  <c r="CC81" i="51" s="1"/>
  <c r="AH81" i="51"/>
  <c r="V82" i="51"/>
  <c r="BM82" i="51" s="1"/>
  <c r="Y82" i="51"/>
  <c r="BP82" i="51" s="1"/>
  <c r="T82" i="51"/>
  <c r="BK82" i="51" s="1"/>
  <c r="X82" i="51"/>
  <c r="BO82" i="51" s="1"/>
  <c r="W82" i="51"/>
  <c r="BN82" i="51" s="1"/>
  <c r="U82" i="51"/>
  <c r="BL82" i="51" s="1"/>
  <c r="V85" i="51"/>
  <c r="BM85" i="51" s="1"/>
  <c r="X100" i="51"/>
  <c r="BO100" i="51" s="1"/>
  <c r="T100" i="51"/>
  <c r="BK100" i="51" s="1"/>
  <c r="W100" i="51"/>
  <c r="BN100" i="51" s="1"/>
  <c r="V100" i="51"/>
  <c r="BM100" i="51" s="1"/>
  <c r="U100" i="51"/>
  <c r="BL100" i="51" s="1"/>
  <c r="Y100" i="51"/>
  <c r="BP100" i="51" s="1"/>
  <c r="T50" i="51"/>
  <c r="BK50" i="51" s="1"/>
  <c r="J101" i="51"/>
  <c r="BA101" i="51" s="1"/>
  <c r="F101" i="51"/>
  <c r="AW101" i="51" s="1"/>
  <c r="H101" i="51"/>
  <c r="AY101" i="51" s="1"/>
  <c r="G101" i="51"/>
  <c r="AX101" i="51" s="1"/>
  <c r="K101" i="51"/>
  <c r="BB101" i="51" s="1"/>
  <c r="I101" i="51"/>
  <c r="AZ101" i="51" s="1"/>
  <c r="AL101" i="51"/>
  <c r="CC101" i="51" s="1"/>
  <c r="AH101" i="51"/>
  <c r="BY101" i="51" s="1"/>
  <c r="AM101" i="51"/>
  <c r="CD101" i="51" s="1"/>
  <c r="AK101" i="51"/>
  <c r="CB101" i="51" s="1"/>
  <c r="AJ101" i="51"/>
  <c r="CA101" i="51" s="1"/>
  <c r="AI101" i="51"/>
  <c r="BZ101" i="51" s="1"/>
  <c r="X102" i="51"/>
  <c r="BO102" i="51" s="1"/>
  <c r="T102" i="51"/>
  <c r="BK102" i="51" s="1"/>
  <c r="V102" i="51"/>
  <c r="BM102" i="51" s="1"/>
  <c r="U102" i="51"/>
  <c r="BL102" i="51" s="1"/>
  <c r="Y102" i="51"/>
  <c r="BP102" i="51" s="1"/>
  <c r="W102" i="51"/>
  <c r="BN102" i="51" s="1"/>
  <c r="J103" i="51"/>
  <c r="BA103" i="51" s="1"/>
  <c r="F103" i="51"/>
  <c r="AW103" i="51" s="1"/>
  <c r="K103" i="51"/>
  <c r="BB103" i="51" s="1"/>
  <c r="I103" i="51"/>
  <c r="AZ103" i="51" s="1"/>
  <c r="G103" i="51"/>
  <c r="AX103" i="51" s="1"/>
  <c r="H103" i="51"/>
  <c r="AY103" i="51" s="1"/>
  <c r="AL103" i="51"/>
  <c r="CC103" i="51" s="1"/>
  <c r="AH103" i="51"/>
  <c r="BY103" i="51" s="1"/>
  <c r="AJ103" i="51"/>
  <c r="CA103" i="51" s="1"/>
  <c r="AI103" i="51"/>
  <c r="BZ103" i="51" s="1"/>
  <c r="AM103" i="51"/>
  <c r="CD103" i="51" s="1"/>
  <c r="AK103" i="51"/>
  <c r="CB103" i="51" s="1"/>
  <c r="X104" i="51"/>
  <c r="BO104" i="51" s="1"/>
  <c r="T104" i="51"/>
  <c r="BK104" i="51" s="1"/>
  <c r="Y104" i="51"/>
  <c r="BP104" i="51" s="1"/>
  <c r="W104" i="51"/>
  <c r="BN104" i="51" s="1"/>
  <c r="V104" i="51"/>
  <c r="BM104" i="51" s="1"/>
  <c r="U104" i="51"/>
  <c r="BL104" i="51" s="1"/>
  <c r="J105" i="51"/>
  <c r="BA105" i="51" s="1"/>
  <c r="F105" i="51"/>
  <c r="AW105" i="51" s="1"/>
  <c r="H105" i="51"/>
  <c r="AY105" i="51" s="1"/>
  <c r="G105" i="51"/>
  <c r="AX105" i="51" s="1"/>
  <c r="K105" i="51"/>
  <c r="BB105" i="51" s="1"/>
  <c r="I105" i="51"/>
  <c r="AZ105" i="51" s="1"/>
  <c r="AL105" i="51"/>
  <c r="CC105" i="51" s="1"/>
  <c r="AH105" i="51"/>
  <c r="BY105" i="51" s="1"/>
  <c r="AM105" i="51"/>
  <c r="CD105" i="51" s="1"/>
  <c r="AK105" i="51"/>
  <c r="CB105" i="51" s="1"/>
  <c r="AI105" i="51"/>
  <c r="BZ105" i="51" s="1"/>
  <c r="AJ105" i="51"/>
  <c r="CA105" i="51" s="1"/>
  <c r="X106" i="51"/>
  <c r="BO106" i="51" s="1"/>
  <c r="T106" i="51"/>
  <c r="BK106" i="51" s="1"/>
  <c r="V106" i="51"/>
  <c r="BM106" i="51" s="1"/>
  <c r="U106" i="51"/>
  <c r="BL106" i="51" s="1"/>
  <c r="Y106" i="51"/>
  <c r="BP106" i="51" s="1"/>
  <c r="W106" i="51"/>
  <c r="BN106" i="51" s="1"/>
  <c r="X108" i="51"/>
  <c r="BO108" i="51" s="1"/>
  <c r="T108" i="51"/>
  <c r="BK108" i="51" s="1"/>
  <c r="W108" i="51"/>
  <c r="BN108" i="51" s="1"/>
  <c r="V108" i="51"/>
  <c r="BM108" i="51" s="1"/>
  <c r="U108" i="51"/>
  <c r="BL108" i="51" s="1"/>
  <c r="Y108" i="51"/>
  <c r="BP108" i="51" s="1"/>
  <c r="J62" i="51"/>
  <c r="BA62" i="51" s="1"/>
  <c r="O62" i="51"/>
  <c r="BF62" i="51" s="1"/>
  <c r="W62" i="51"/>
  <c r="BN62" i="51" s="1"/>
  <c r="AH62" i="51"/>
  <c r="P63" i="51"/>
  <c r="BG63" i="51" s="1"/>
  <c r="AJ63" i="51"/>
  <c r="CA63" i="51" s="1"/>
  <c r="H65" i="51"/>
  <c r="AY65" i="51" s="1"/>
  <c r="T65" i="51"/>
  <c r="BK65" i="51" s="1"/>
  <c r="V66" i="51"/>
  <c r="BM66" i="51" s="1"/>
  <c r="X72" i="51"/>
  <c r="BO72" i="51" s="1"/>
  <c r="G73" i="51"/>
  <c r="AX73" i="51" s="1"/>
  <c r="AL73" i="51"/>
  <c r="CC73" i="51" s="1"/>
  <c r="AC62" i="51"/>
  <c r="BT62" i="51" s="1"/>
  <c r="AF62" i="51"/>
  <c r="BW62" i="51" s="1"/>
  <c r="AB62" i="51"/>
  <c r="BS62" i="51" s="1"/>
  <c r="AE62" i="51"/>
  <c r="BV62" i="51" s="1"/>
  <c r="AA62" i="51"/>
  <c r="BR62" i="51" s="1"/>
  <c r="AQ63" i="51"/>
  <c r="CH63" i="51" s="1"/>
  <c r="AT63" i="51"/>
  <c r="CK63" i="51" s="1"/>
  <c r="AP63" i="51"/>
  <c r="CG63" i="51" s="1"/>
  <c r="AS63" i="51"/>
  <c r="CJ63" i="51" s="1"/>
  <c r="AO63" i="51"/>
  <c r="CF63" i="51" s="1"/>
  <c r="P73" i="51"/>
  <c r="BG73" i="51" s="1"/>
  <c r="O73" i="51"/>
  <c r="BF73" i="51" s="1"/>
  <c r="N73" i="51"/>
  <c r="BE73" i="51" s="1"/>
  <c r="R73" i="51"/>
  <c r="BI73" i="51" s="1"/>
  <c r="M73" i="51"/>
  <c r="BD73" i="51" s="1"/>
  <c r="AR73" i="51"/>
  <c r="CI73" i="51" s="1"/>
  <c r="AQ73" i="51"/>
  <c r="CH73" i="51" s="1"/>
  <c r="AO73" i="51"/>
  <c r="CF73" i="51" s="1"/>
  <c r="AT73" i="51"/>
  <c r="CK73" i="51" s="1"/>
  <c r="AS73" i="51"/>
  <c r="CJ73" i="51" s="1"/>
  <c r="P75" i="51"/>
  <c r="BG75" i="51" s="1"/>
  <c r="O75" i="51"/>
  <c r="BF75" i="51" s="1"/>
  <c r="R75" i="51"/>
  <c r="BI75" i="51" s="1"/>
  <c r="Q75" i="51"/>
  <c r="BH75" i="51" s="1"/>
  <c r="N75" i="51"/>
  <c r="BE75" i="51" s="1"/>
  <c r="AE65" i="51"/>
  <c r="BV65" i="51" s="1"/>
  <c r="AA65" i="51"/>
  <c r="BR65" i="51" s="1"/>
  <c r="AD65" i="51"/>
  <c r="BU65" i="51" s="1"/>
  <c r="AC65" i="51"/>
  <c r="BT65" i="51" s="1"/>
  <c r="Q66" i="51"/>
  <c r="BH66" i="51" s="1"/>
  <c r="M66" i="51"/>
  <c r="BD66" i="51" s="1"/>
  <c r="P66" i="51"/>
  <c r="BG66" i="51" s="1"/>
  <c r="O66" i="51"/>
  <c r="BF66" i="51" s="1"/>
  <c r="AS66" i="51"/>
  <c r="CJ66" i="51" s="1"/>
  <c r="AO66" i="51"/>
  <c r="CF66" i="51" s="1"/>
  <c r="AR66" i="51"/>
  <c r="CI66" i="51" s="1"/>
  <c r="AQ66" i="51"/>
  <c r="CH66" i="51" s="1"/>
  <c r="R72" i="51"/>
  <c r="BI72" i="51" s="1"/>
  <c r="N72" i="51"/>
  <c r="BE72" i="51" s="1"/>
  <c r="Q72" i="51"/>
  <c r="BH72" i="51" s="1"/>
  <c r="P72" i="51"/>
  <c r="BG72" i="51" s="1"/>
  <c r="O72" i="51"/>
  <c r="BF72" i="51" s="1"/>
  <c r="AT72" i="51"/>
  <c r="CK72" i="51" s="1"/>
  <c r="AP72" i="51"/>
  <c r="CG72" i="51" s="1"/>
  <c r="AQ72" i="51"/>
  <c r="CH72" i="51" s="1"/>
  <c r="AO72" i="51"/>
  <c r="CF72" i="51" s="1"/>
  <c r="AS72" i="51"/>
  <c r="CJ72" i="51" s="1"/>
  <c r="AF73" i="51"/>
  <c r="BW73" i="51" s="1"/>
  <c r="AB73" i="51"/>
  <c r="BS73" i="51" s="1"/>
  <c r="AE73" i="51"/>
  <c r="BV73" i="51" s="1"/>
  <c r="AD73" i="51"/>
  <c r="BU73" i="51" s="1"/>
  <c r="AC73" i="51"/>
  <c r="BT73" i="51" s="1"/>
  <c r="M31" i="51"/>
  <c r="BD31" i="51" s="1"/>
  <c r="AO31" i="51"/>
  <c r="CF31" i="51" s="1"/>
  <c r="AF81" i="51"/>
  <c r="BW81" i="51" s="1"/>
  <c r="AB81" i="51"/>
  <c r="BS81" i="51" s="1"/>
  <c r="AE81" i="51"/>
  <c r="BV81" i="51" s="1"/>
  <c r="AD81" i="51"/>
  <c r="BU81" i="51" s="1"/>
  <c r="AC81" i="51"/>
  <c r="BT81" i="51" s="1"/>
  <c r="AA81" i="51"/>
  <c r="BR81" i="51" s="1"/>
  <c r="R82" i="51"/>
  <c r="BI82" i="51" s="1"/>
  <c r="N82" i="51"/>
  <c r="BE82" i="51" s="1"/>
  <c r="O82" i="51"/>
  <c r="BF82" i="51" s="1"/>
  <c r="M82" i="51"/>
  <c r="BD82" i="51" s="1"/>
  <c r="P82" i="51"/>
  <c r="BG82" i="51" s="1"/>
  <c r="AQ82" i="51"/>
  <c r="CH82" i="51" s="1"/>
  <c r="AT82" i="51"/>
  <c r="CK82" i="51" s="1"/>
  <c r="AP82" i="51"/>
  <c r="CG82" i="51" s="1"/>
  <c r="AS82" i="51"/>
  <c r="CJ82" i="51" s="1"/>
  <c r="AR82" i="51"/>
  <c r="CI82" i="51" s="1"/>
  <c r="Q85" i="51"/>
  <c r="BH85" i="51" s="1"/>
  <c r="M85" i="51"/>
  <c r="BD85" i="51" s="1"/>
  <c r="P85" i="51"/>
  <c r="BG85" i="51" s="1"/>
  <c r="R85" i="51"/>
  <c r="BI85" i="51" s="1"/>
  <c r="O85" i="51"/>
  <c r="BF85" i="51" s="1"/>
  <c r="N85" i="51"/>
  <c r="BE85" i="51" s="1"/>
  <c r="AS85" i="51"/>
  <c r="CJ85" i="51" s="1"/>
  <c r="AO85" i="51"/>
  <c r="CF85" i="51" s="1"/>
  <c r="AR85" i="51"/>
  <c r="CI85" i="51" s="1"/>
  <c r="AT85" i="51"/>
  <c r="CK85" i="51" s="1"/>
  <c r="AQ85" i="51"/>
  <c r="CH85" i="51" s="1"/>
  <c r="AP85" i="51"/>
  <c r="CG85" i="51" s="1"/>
  <c r="AE86" i="51"/>
  <c r="BV86" i="51" s="1"/>
  <c r="AA86" i="51"/>
  <c r="AD86" i="51"/>
  <c r="BU86" i="51" s="1"/>
  <c r="AF86" i="51"/>
  <c r="BW86" i="51" s="1"/>
  <c r="AC86" i="51"/>
  <c r="BT86" i="51" s="1"/>
  <c r="AB86" i="51"/>
  <c r="AJ86" i="51"/>
  <c r="CA86" i="51" s="1"/>
  <c r="Q87" i="51"/>
  <c r="BH87" i="51" s="1"/>
  <c r="M87" i="51"/>
  <c r="BD87" i="51" s="1"/>
  <c r="P87" i="51"/>
  <c r="BG87" i="51" s="1"/>
  <c r="R87" i="51"/>
  <c r="BI87" i="51" s="1"/>
  <c r="O87" i="51"/>
  <c r="BF87" i="51" s="1"/>
  <c r="N87" i="51"/>
  <c r="BE87" i="51" s="1"/>
  <c r="AS87" i="51"/>
  <c r="CJ87" i="51" s="1"/>
  <c r="AO87" i="51"/>
  <c r="CF87" i="51" s="1"/>
  <c r="AR87" i="51"/>
  <c r="CI87" i="51" s="1"/>
  <c r="AT87" i="51"/>
  <c r="CK87" i="51" s="1"/>
  <c r="AQ87" i="51"/>
  <c r="CH87" i="51" s="1"/>
  <c r="AP87" i="51"/>
  <c r="CG87" i="51" s="1"/>
  <c r="V89" i="51"/>
  <c r="BM89" i="51" s="1"/>
  <c r="AS89" i="51"/>
  <c r="CJ89" i="51" s="1"/>
  <c r="AO89" i="51"/>
  <c r="CF89" i="51" s="1"/>
  <c r="AR89" i="51"/>
  <c r="CI89" i="51" s="1"/>
  <c r="AT89" i="51"/>
  <c r="CK89" i="51" s="1"/>
  <c r="AQ89" i="51"/>
  <c r="CH89" i="51" s="1"/>
  <c r="AP89" i="51"/>
  <c r="CG89" i="51" s="1"/>
  <c r="N91" i="51"/>
  <c r="BE91" i="51" s="1"/>
  <c r="AF92" i="51"/>
  <c r="BW92" i="51" s="1"/>
  <c r="Y98" i="51"/>
  <c r="BP98" i="51" s="1"/>
  <c r="U98" i="51"/>
  <c r="BL98" i="51" s="1"/>
  <c r="V98" i="51"/>
  <c r="BM98" i="51" s="1"/>
  <c r="T98" i="51"/>
  <c r="BK98" i="51" s="1"/>
  <c r="X98" i="51"/>
  <c r="BO98" i="51" s="1"/>
  <c r="W98" i="51"/>
  <c r="BN98" i="51" s="1"/>
  <c r="P100" i="51"/>
  <c r="BG100" i="51" s="1"/>
  <c r="R100" i="51"/>
  <c r="BI100" i="51" s="1"/>
  <c r="M100" i="51"/>
  <c r="BD100" i="51" s="1"/>
  <c r="O100" i="51"/>
  <c r="BF100" i="51" s="1"/>
  <c r="N100" i="51"/>
  <c r="BE100" i="51" s="1"/>
  <c r="Q100" i="51"/>
  <c r="BH100" i="51" s="1"/>
  <c r="M50" i="51"/>
  <c r="BD50" i="51" s="1"/>
  <c r="AD101" i="51"/>
  <c r="BU101" i="51" s="1"/>
  <c r="AB101" i="51"/>
  <c r="BS101" i="51" s="1"/>
  <c r="AF101" i="51"/>
  <c r="BW101" i="51" s="1"/>
  <c r="AA101" i="51"/>
  <c r="AE101" i="51"/>
  <c r="BV101" i="51" s="1"/>
  <c r="AC101" i="51"/>
  <c r="BT101" i="51" s="1"/>
  <c r="P102" i="51"/>
  <c r="BG102" i="51" s="1"/>
  <c r="Q102" i="51"/>
  <c r="BH102" i="51" s="1"/>
  <c r="O102" i="51"/>
  <c r="BF102" i="51" s="1"/>
  <c r="N102" i="51"/>
  <c r="BE102" i="51" s="1"/>
  <c r="M102" i="51"/>
  <c r="BD102" i="51" s="1"/>
  <c r="R102" i="51"/>
  <c r="BI102" i="51" s="1"/>
  <c r="AR102" i="51"/>
  <c r="CI102" i="51" s="1"/>
  <c r="AP102" i="51"/>
  <c r="CG102" i="51" s="1"/>
  <c r="AT102" i="51"/>
  <c r="CK102" i="51" s="1"/>
  <c r="AO102" i="51"/>
  <c r="CF102" i="51" s="1"/>
  <c r="AS102" i="51"/>
  <c r="CJ102" i="51" s="1"/>
  <c r="AQ102" i="51"/>
  <c r="CH102" i="51" s="1"/>
  <c r="AD103" i="51"/>
  <c r="BU103" i="51" s="1"/>
  <c r="AE103" i="51"/>
  <c r="BV103" i="51" s="1"/>
  <c r="AC103" i="51"/>
  <c r="BT103" i="51" s="1"/>
  <c r="AF103" i="51"/>
  <c r="BW103" i="51" s="1"/>
  <c r="AB103" i="51"/>
  <c r="BS103" i="51" s="1"/>
  <c r="AA103" i="51"/>
  <c r="P104" i="51"/>
  <c r="BG104" i="51" s="1"/>
  <c r="N104" i="51"/>
  <c r="BE104" i="51" s="1"/>
  <c r="R104" i="51"/>
  <c r="BI104" i="51" s="1"/>
  <c r="M104" i="51"/>
  <c r="BD104" i="51" s="1"/>
  <c r="Q104" i="51"/>
  <c r="BH104" i="51" s="1"/>
  <c r="O104" i="51"/>
  <c r="BF104" i="51" s="1"/>
  <c r="AR104" i="51"/>
  <c r="CI104" i="51" s="1"/>
  <c r="AS104" i="51"/>
  <c r="CJ104" i="51" s="1"/>
  <c r="AQ104" i="51"/>
  <c r="CH104" i="51" s="1"/>
  <c r="AP104" i="51"/>
  <c r="CG104" i="51" s="1"/>
  <c r="AO104" i="51"/>
  <c r="CF104" i="51" s="1"/>
  <c r="AT104" i="51"/>
  <c r="CK104" i="51" s="1"/>
  <c r="AD105" i="51"/>
  <c r="BU105" i="51" s="1"/>
  <c r="AB105" i="51"/>
  <c r="AF105" i="51"/>
  <c r="BW105" i="51" s="1"/>
  <c r="AA105" i="51"/>
  <c r="AC105" i="51"/>
  <c r="BT105" i="51" s="1"/>
  <c r="AE105" i="51"/>
  <c r="BV105" i="51" s="1"/>
  <c r="P106" i="51"/>
  <c r="BG106" i="51" s="1"/>
  <c r="Q106" i="51"/>
  <c r="BH106" i="51" s="1"/>
  <c r="O106" i="51"/>
  <c r="BF106" i="51" s="1"/>
  <c r="R106" i="51"/>
  <c r="BI106" i="51" s="1"/>
  <c r="M106" i="51"/>
  <c r="BD106" i="51" s="1"/>
  <c r="N106" i="51"/>
  <c r="BE106" i="51" s="1"/>
  <c r="AR106" i="51"/>
  <c r="CI106" i="51" s="1"/>
  <c r="AQ106" i="51"/>
  <c r="CH106" i="51" s="1"/>
  <c r="AS106" i="51"/>
  <c r="CJ106" i="51" s="1"/>
  <c r="AP106" i="51"/>
  <c r="CG106" i="51" s="1"/>
  <c r="AO106" i="51"/>
  <c r="CF106" i="51" s="1"/>
  <c r="AT106" i="51"/>
  <c r="CK106" i="51" s="1"/>
  <c r="P108" i="51"/>
  <c r="BG108" i="51" s="1"/>
  <c r="O108" i="51"/>
  <c r="BF108" i="51" s="1"/>
  <c r="Q108" i="51"/>
  <c r="BH108" i="51" s="1"/>
  <c r="N108" i="51"/>
  <c r="BE108" i="51" s="1"/>
  <c r="M108" i="51"/>
  <c r="BD108" i="51" s="1"/>
  <c r="R108" i="51"/>
  <c r="BI108" i="51" s="1"/>
  <c r="AR108" i="51"/>
  <c r="CI108" i="51" s="1"/>
  <c r="AQ108" i="51"/>
  <c r="CH108" i="51" s="1"/>
  <c r="AS108" i="51"/>
  <c r="CJ108" i="51" s="1"/>
  <c r="AP108" i="51"/>
  <c r="CG108" i="51" s="1"/>
  <c r="AO108" i="51"/>
  <c r="CF108" i="51" s="1"/>
  <c r="AT108" i="51"/>
  <c r="CK108" i="51" s="1"/>
  <c r="N66" i="51"/>
  <c r="BE66" i="51" s="1"/>
  <c r="N69" i="51"/>
  <c r="BE69" i="51" s="1"/>
  <c r="AS69" i="51"/>
  <c r="CJ69" i="51" s="1"/>
  <c r="Q81" i="51"/>
  <c r="BH81" i="51" s="1"/>
  <c r="P84" i="51"/>
  <c r="BG84" i="51" s="1"/>
  <c r="S83" i="51"/>
  <c r="AR86" i="51"/>
  <c r="CI86" i="51" s="1"/>
  <c r="AD89" i="51"/>
  <c r="BU89" i="51" s="1"/>
  <c r="AP92" i="51"/>
  <c r="CG92" i="51" s="1"/>
  <c r="O65" i="51"/>
  <c r="BF65" i="51" s="1"/>
  <c r="R65" i="51"/>
  <c r="BI65" i="51" s="1"/>
  <c r="N65" i="51"/>
  <c r="BE65" i="51" s="1"/>
  <c r="Q65" i="51"/>
  <c r="BH65" i="51" s="1"/>
  <c r="M65" i="51"/>
  <c r="BD65" i="51" s="1"/>
  <c r="AD68" i="51"/>
  <c r="BU68" i="51" s="1"/>
  <c r="AC68" i="51"/>
  <c r="BT68" i="51" s="1"/>
  <c r="AB68" i="51"/>
  <c r="AF68" i="51"/>
  <c r="BW68" i="51" s="1"/>
  <c r="AA68" i="51"/>
  <c r="AR77" i="51"/>
  <c r="CI77" i="51" s="1"/>
  <c r="AQ77" i="51"/>
  <c r="CH77" i="51" s="1"/>
  <c r="AT77" i="51"/>
  <c r="CK77" i="51" s="1"/>
  <c r="AS77" i="51"/>
  <c r="CJ77" i="51" s="1"/>
  <c r="AP77" i="51"/>
  <c r="CG77" i="51" s="1"/>
  <c r="AA12" i="51"/>
  <c r="BR12" i="51" s="1"/>
  <c r="Q62" i="51"/>
  <c r="BH62" i="51" s="1"/>
  <c r="M62" i="51"/>
  <c r="BD62" i="51" s="1"/>
  <c r="P62" i="51"/>
  <c r="BG62" i="51" s="1"/>
  <c r="AS62" i="51"/>
  <c r="CJ62" i="51" s="1"/>
  <c r="AO62" i="51"/>
  <c r="CF62" i="51" s="1"/>
  <c r="AR62" i="51"/>
  <c r="CI62" i="51" s="1"/>
  <c r="AQ62" i="51"/>
  <c r="CH62" i="51" s="1"/>
  <c r="AE63" i="51"/>
  <c r="BV63" i="51" s="1"/>
  <c r="AA63" i="51"/>
  <c r="AD63" i="51"/>
  <c r="BU63" i="51" s="1"/>
  <c r="AC63" i="51"/>
  <c r="BT63" i="51" s="1"/>
  <c r="M15" i="51"/>
  <c r="BD15" i="51" s="1"/>
  <c r="R68" i="51"/>
  <c r="BI68" i="51" s="1"/>
  <c r="N68" i="51"/>
  <c r="BE68" i="51" s="1"/>
  <c r="O68" i="51"/>
  <c r="BF68" i="51" s="1"/>
  <c r="M68" i="51"/>
  <c r="BD68" i="51" s="1"/>
  <c r="Q68" i="51"/>
  <c r="BH68" i="51" s="1"/>
  <c r="AT68" i="51"/>
  <c r="CK68" i="51" s="1"/>
  <c r="AP68" i="51"/>
  <c r="CG68" i="51" s="1"/>
  <c r="AS68" i="51"/>
  <c r="CJ68" i="51" s="1"/>
  <c r="AR68" i="51"/>
  <c r="CI68" i="51" s="1"/>
  <c r="AQ68" i="51"/>
  <c r="CH68" i="51" s="1"/>
  <c r="R76" i="51"/>
  <c r="BI76" i="51" s="1"/>
  <c r="N76" i="51"/>
  <c r="BE76" i="51" s="1"/>
  <c r="Q76" i="51"/>
  <c r="BH76" i="51" s="1"/>
  <c r="M76" i="51"/>
  <c r="BD76" i="51" s="1"/>
  <c r="P76" i="51"/>
  <c r="BG76" i="51" s="1"/>
  <c r="O76" i="51"/>
  <c r="BF76" i="51" s="1"/>
  <c r="AT76" i="51"/>
  <c r="CK76" i="51" s="1"/>
  <c r="AP76" i="51"/>
  <c r="CG76" i="51" s="1"/>
  <c r="AS76" i="51"/>
  <c r="CJ76" i="51" s="1"/>
  <c r="AO76" i="51"/>
  <c r="CF76" i="51" s="1"/>
  <c r="AR76" i="51"/>
  <c r="CI76" i="51" s="1"/>
  <c r="AQ76" i="51"/>
  <c r="CH76" i="51" s="1"/>
  <c r="T12" i="51"/>
  <c r="BK12" i="51" s="1"/>
  <c r="I62" i="51"/>
  <c r="AZ62" i="51" s="1"/>
  <c r="H62" i="51"/>
  <c r="AY62" i="51" s="1"/>
  <c r="AK62" i="51"/>
  <c r="CB62" i="51" s="1"/>
  <c r="AJ62" i="51"/>
  <c r="CA62" i="51" s="1"/>
  <c r="AM62" i="51"/>
  <c r="CD62" i="51" s="1"/>
  <c r="AI62" i="51"/>
  <c r="W63" i="51"/>
  <c r="BN63" i="51" s="1"/>
  <c r="V63" i="51"/>
  <c r="BM63" i="51" s="1"/>
  <c r="Y63" i="51"/>
  <c r="BP63" i="51" s="1"/>
  <c r="U63" i="51"/>
  <c r="BL63" i="51" s="1"/>
  <c r="W65" i="51"/>
  <c r="BN65" i="51" s="1"/>
  <c r="V65" i="51"/>
  <c r="BM65" i="51" s="1"/>
  <c r="Y65" i="51"/>
  <c r="BP65" i="51" s="1"/>
  <c r="U65" i="51"/>
  <c r="BL65" i="51" s="1"/>
  <c r="J68" i="51"/>
  <c r="BA68" i="51" s="1"/>
  <c r="F68" i="51"/>
  <c r="AW68" i="51" s="1"/>
  <c r="I68" i="51"/>
  <c r="AZ68" i="51" s="1"/>
  <c r="H68" i="51"/>
  <c r="AY68" i="51" s="1"/>
  <c r="G68" i="51"/>
  <c r="AX68" i="51" s="1"/>
  <c r="AL68" i="51"/>
  <c r="CC68" i="51" s="1"/>
  <c r="AH68" i="51"/>
  <c r="AI68" i="51"/>
  <c r="BZ68" i="51" s="1"/>
  <c r="AM68" i="51"/>
  <c r="CD68" i="51" s="1"/>
  <c r="AK68" i="51"/>
  <c r="CB68" i="51" s="1"/>
  <c r="T22" i="51"/>
  <c r="BK22" i="51" s="1"/>
  <c r="X73" i="51"/>
  <c r="BO73" i="51" s="1"/>
  <c r="T73" i="51"/>
  <c r="BK73" i="51" s="1"/>
  <c r="U73" i="51"/>
  <c r="BL73" i="51" s="1"/>
  <c r="Y73" i="51"/>
  <c r="BP73" i="51" s="1"/>
  <c r="W73" i="51"/>
  <c r="BN73" i="51" s="1"/>
  <c r="X75" i="51"/>
  <c r="BO75" i="51" s="1"/>
  <c r="T75" i="51"/>
  <c r="BK75" i="51" s="1"/>
  <c r="W75" i="51"/>
  <c r="BN75" i="51" s="1"/>
  <c r="Y75" i="51"/>
  <c r="BP75" i="51" s="1"/>
  <c r="V75" i="51"/>
  <c r="BM75" i="51" s="1"/>
  <c r="U75" i="51"/>
  <c r="BL75" i="51" s="1"/>
  <c r="F31" i="51"/>
  <c r="AW31" i="51" s="1"/>
  <c r="AH31" i="51"/>
  <c r="BY31" i="51" s="1"/>
  <c r="X81" i="51"/>
  <c r="BO81" i="51" s="1"/>
  <c r="T81" i="51"/>
  <c r="BK81" i="51" s="1"/>
  <c r="U81" i="51"/>
  <c r="BL81" i="51" s="1"/>
  <c r="Y81" i="51"/>
  <c r="BP81" i="51" s="1"/>
  <c r="V81" i="51"/>
  <c r="BM81" i="51" s="1"/>
  <c r="J82" i="51"/>
  <c r="BA82" i="51" s="1"/>
  <c r="F82" i="51"/>
  <c r="AW82" i="51" s="1"/>
  <c r="I82" i="51"/>
  <c r="AZ82" i="51" s="1"/>
  <c r="H82" i="51"/>
  <c r="AY82" i="51" s="1"/>
  <c r="K82" i="51"/>
  <c r="BB82" i="51" s="1"/>
  <c r="AJ82" i="51"/>
  <c r="CA82" i="51" s="1"/>
  <c r="AO34" i="51"/>
  <c r="CF34" i="51" s="1"/>
  <c r="W84" i="51"/>
  <c r="BN84" i="51" s="1"/>
  <c r="V84" i="51"/>
  <c r="BM84" i="51" s="1"/>
  <c r="Y84" i="51"/>
  <c r="BP84" i="51" s="1"/>
  <c r="X84" i="51"/>
  <c r="BO84" i="51" s="1"/>
  <c r="U84" i="51"/>
  <c r="BL84" i="51" s="1"/>
  <c r="T84" i="51"/>
  <c r="BK84" i="51" s="1"/>
  <c r="W86" i="51"/>
  <c r="BN86" i="51" s="1"/>
  <c r="V86" i="51"/>
  <c r="BM86" i="51" s="1"/>
  <c r="Y86" i="51"/>
  <c r="BP86" i="51" s="1"/>
  <c r="X86" i="51"/>
  <c r="BO86" i="51" s="1"/>
  <c r="U86" i="51"/>
  <c r="BL86" i="51" s="1"/>
  <c r="W88" i="51"/>
  <c r="BN88" i="51" s="1"/>
  <c r="V88" i="51"/>
  <c r="BM88" i="51" s="1"/>
  <c r="Y88" i="51"/>
  <c r="BP88" i="51" s="1"/>
  <c r="X88" i="51"/>
  <c r="BO88" i="51" s="1"/>
  <c r="U88" i="51"/>
  <c r="BL88" i="51" s="1"/>
  <c r="T88" i="51"/>
  <c r="BK88" i="51" s="1"/>
  <c r="I89" i="51"/>
  <c r="AZ89" i="51" s="1"/>
  <c r="H89" i="51"/>
  <c r="AY89" i="51" s="1"/>
  <c r="K89" i="51"/>
  <c r="BB89" i="51" s="1"/>
  <c r="J89" i="51"/>
  <c r="BA89" i="51" s="1"/>
  <c r="G89" i="51"/>
  <c r="AX89" i="51" s="1"/>
  <c r="AK89" i="51"/>
  <c r="CB89" i="51" s="1"/>
  <c r="AJ89" i="51"/>
  <c r="CA89" i="51" s="1"/>
  <c r="AM89" i="51"/>
  <c r="CD89" i="51" s="1"/>
  <c r="AL89" i="51"/>
  <c r="CC89" i="51" s="1"/>
  <c r="AI89" i="51"/>
  <c r="AH89" i="51"/>
  <c r="I91" i="51"/>
  <c r="AZ91" i="51" s="1"/>
  <c r="H91" i="51"/>
  <c r="AY91" i="51" s="1"/>
  <c r="K91" i="51"/>
  <c r="BB91" i="51" s="1"/>
  <c r="J91" i="51"/>
  <c r="BA91" i="51" s="1"/>
  <c r="G91" i="51"/>
  <c r="AX91" i="51" s="1"/>
  <c r="F91" i="51"/>
  <c r="AW91" i="51" s="1"/>
  <c r="AK91" i="51"/>
  <c r="CB91" i="51" s="1"/>
  <c r="AJ91" i="51"/>
  <c r="CA91" i="51" s="1"/>
  <c r="AM91" i="51"/>
  <c r="CD91" i="51" s="1"/>
  <c r="AI91" i="51"/>
  <c r="BZ91" i="51" s="1"/>
  <c r="AL91" i="51"/>
  <c r="CC91" i="51" s="1"/>
  <c r="W92" i="51"/>
  <c r="BN92" i="51" s="1"/>
  <c r="Y92" i="51"/>
  <c r="BP92" i="51" s="1"/>
  <c r="T92" i="51"/>
  <c r="BK92" i="51" s="1"/>
  <c r="X92" i="51"/>
  <c r="BO92" i="51" s="1"/>
  <c r="V92" i="51"/>
  <c r="BM92" i="51" s="1"/>
  <c r="U92" i="51"/>
  <c r="BL92" i="51" s="1"/>
  <c r="J93" i="51"/>
  <c r="BA93" i="51" s="1"/>
  <c r="I93" i="51"/>
  <c r="AZ93" i="51" s="1"/>
  <c r="H93" i="51"/>
  <c r="AY93" i="51" s="1"/>
  <c r="G93" i="51"/>
  <c r="AX93" i="51" s="1"/>
  <c r="F93" i="51"/>
  <c r="AW93" i="51" s="1"/>
  <c r="K93" i="51"/>
  <c r="BB93" i="51" s="1"/>
  <c r="AL93" i="51"/>
  <c r="CC93" i="51" s="1"/>
  <c r="AH93" i="51"/>
  <c r="AK93" i="51"/>
  <c r="CB93" i="51" s="1"/>
  <c r="AJ93" i="51"/>
  <c r="CA93" i="51" s="1"/>
  <c r="AI93" i="51"/>
  <c r="AM93" i="51"/>
  <c r="CD93" i="51" s="1"/>
  <c r="Q98" i="51"/>
  <c r="BH98" i="51" s="1"/>
  <c r="M98" i="51"/>
  <c r="BD98" i="51" s="1"/>
  <c r="P98" i="51"/>
  <c r="BG98" i="51" s="1"/>
  <c r="O98" i="51"/>
  <c r="BF98" i="51" s="1"/>
  <c r="N98" i="51"/>
  <c r="BE98" i="51" s="1"/>
  <c r="R98" i="51"/>
  <c r="BI98" i="51" s="1"/>
  <c r="AS98" i="51"/>
  <c r="CJ98" i="51" s="1"/>
  <c r="AO98" i="51"/>
  <c r="CF98" i="51" s="1"/>
  <c r="AP98" i="51"/>
  <c r="CG98" i="51" s="1"/>
  <c r="AT98" i="51"/>
  <c r="CK98" i="51" s="1"/>
  <c r="AR98" i="51"/>
  <c r="CI98" i="51" s="1"/>
  <c r="AH50" i="51"/>
  <c r="BY50" i="51" s="1"/>
  <c r="F62" i="51"/>
  <c r="AW62" i="51" s="1"/>
  <c r="AD62" i="51"/>
  <c r="BU62" i="51" s="1"/>
  <c r="H63" i="51"/>
  <c r="AY63" i="51" s="1"/>
  <c r="T63" i="51"/>
  <c r="BK63" i="51" s="1"/>
  <c r="AF63" i="51"/>
  <c r="BW63" i="51" s="1"/>
  <c r="AR63" i="51"/>
  <c r="CI63" i="51" s="1"/>
  <c r="P65" i="51"/>
  <c r="BG65" i="51" s="1"/>
  <c r="AJ65" i="51"/>
  <c r="CA65" i="51" s="1"/>
  <c r="R66" i="51"/>
  <c r="BI66" i="51" s="1"/>
  <c r="M72" i="51"/>
  <c r="BD72" i="51" s="1"/>
  <c r="AR72" i="51"/>
  <c r="CI72" i="51" s="1"/>
  <c r="Q73" i="51"/>
  <c r="BH73" i="51" s="1"/>
  <c r="AA73" i="51"/>
  <c r="AP73" i="51"/>
  <c r="CG73" i="51" s="1"/>
  <c r="Z74" i="51"/>
  <c r="BQ74" i="51" s="1"/>
  <c r="T76" i="51"/>
  <c r="BK76" i="51" s="1"/>
  <c r="Q82" i="51"/>
  <c r="BH82" i="51" s="1"/>
  <c r="AL82" i="51"/>
  <c r="CC82" i="51" s="1"/>
  <c r="AH82" i="51"/>
  <c r="AI82" i="51"/>
  <c r="AM82" i="51"/>
  <c r="CD82" i="51" s="1"/>
  <c r="Y85" i="51"/>
  <c r="BP85" i="51" s="1"/>
  <c r="U85" i="51"/>
  <c r="BL85" i="51" s="1"/>
  <c r="X85" i="51"/>
  <c r="BO85" i="51" s="1"/>
  <c r="T85" i="51"/>
  <c r="BK85" i="51" s="1"/>
  <c r="W85" i="51"/>
  <c r="BN85" i="51" s="1"/>
  <c r="K86" i="51"/>
  <c r="BB86" i="51" s="1"/>
  <c r="G86" i="51"/>
  <c r="AX86" i="51" s="1"/>
  <c r="J86" i="51"/>
  <c r="BA86" i="51" s="1"/>
  <c r="F86" i="51"/>
  <c r="AW86" i="51" s="1"/>
  <c r="I86" i="51"/>
  <c r="AZ86" i="51" s="1"/>
  <c r="AM86" i="51"/>
  <c r="CD86" i="51" s="1"/>
  <c r="AI86" i="51"/>
  <c r="BZ86" i="51" s="1"/>
  <c r="AL86" i="51"/>
  <c r="CC86" i="51" s="1"/>
  <c r="AH86" i="51"/>
  <c r="AK86" i="51"/>
  <c r="CB86" i="51" s="1"/>
  <c r="Y87" i="51"/>
  <c r="BP87" i="51" s="1"/>
  <c r="U87" i="51"/>
  <c r="BL87" i="51" s="1"/>
  <c r="X87" i="51"/>
  <c r="BO87" i="51" s="1"/>
  <c r="T87" i="51"/>
  <c r="BK87" i="51" s="1"/>
  <c r="W87" i="51"/>
  <c r="BN87" i="51" s="1"/>
  <c r="Y89" i="51"/>
  <c r="BP89" i="51" s="1"/>
  <c r="U89" i="51"/>
  <c r="BL89" i="51" s="1"/>
  <c r="X89" i="51"/>
  <c r="BO89" i="51" s="1"/>
  <c r="T89" i="51"/>
  <c r="BK89" i="51" s="1"/>
  <c r="W89" i="51"/>
  <c r="BN89" i="51" s="1"/>
  <c r="Y91" i="51"/>
  <c r="BP91" i="51" s="1"/>
  <c r="U91" i="51"/>
  <c r="BL91" i="51" s="1"/>
  <c r="X91" i="51"/>
  <c r="BO91" i="51" s="1"/>
  <c r="T91" i="51"/>
  <c r="BK91" i="51" s="1"/>
  <c r="W91" i="51"/>
  <c r="BN91" i="51" s="1"/>
  <c r="K92" i="51"/>
  <c r="BB92" i="51" s="1"/>
  <c r="G92" i="51"/>
  <c r="AX92" i="51" s="1"/>
  <c r="J92" i="51"/>
  <c r="BA92" i="51" s="1"/>
  <c r="F92" i="51"/>
  <c r="AW92" i="51" s="1"/>
  <c r="I92" i="51"/>
  <c r="AZ92" i="51" s="1"/>
  <c r="H92" i="51"/>
  <c r="AY92" i="51" s="1"/>
  <c r="AM92" i="51"/>
  <c r="CD92" i="51" s="1"/>
  <c r="AI92" i="51"/>
  <c r="AJ92" i="51"/>
  <c r="CA92" i="51" s="1"/>
  <c r="AH92" i="51"/>
  <c r="BY92" i="51" s="1"/>
  <c r="AL92" i="51"/>
  <c r="CC92" i="51" s="1"/>
  <c r="AK92" i="51"/>
  <c r="CB92" i="51" s="1"/>
  <c r="V93" i="51"/>
  <c r="BM93" i="51" s="1"/>
  <c r="Y93" i="51"/>
  <c r="BP93" i="51" s="1"/>
  <c r="U93" i="51"/>
  <c r="BL93" i="51" s="1"/>
  <c r="X93" i="51"/>
  <c r="BO93" i="51" s="1"/>
  <c r="W93" i="51"/>
  <c r="BN93" i="51" s="1"/>
  <c r="T93" i="51"/>
  <c r="BK93" i="51" s="1"/>
  <c r="I98" i="51"/>
  <c r="AZ98" i="51" s="1"/>
  <c r="K98" i="51"/>
  <c r="BB98" i="51" s="1"/>
  <c r="F98" i="51"/>
  <c r="AW98" i="51" s="1"/>
  <c r="J98" i="51"/>
  <c r="BA98" i="51" s="1"/>
  <c r="H98" i="51"/>
  <c r="AY98" i="51" s="1"/>
  <c r="AK98" i="51"/>
  <c r="CB98" i="51" s="1"/>
  <c r="AJ98" i="51"/>
  <c r="CA98" i="51" s="1"/>
  <c r="AI98" i="51"/>
  <c r="BZ98" i="51" s="1"/>
  <c r="AM98" i="51"/>
  <c r="CD98" i="51" s="1"/>
  <c r="AL98" i="51"/>
  <c r="CC98" i="51" s="1"/>
  <c r="AH98" i="51"/>
  <c r="BY98" i="51" s="1"/>
  <c r="I100" i="51"/>
  <c r="AZ100" i="51" s="1"/>
  <c r="J100" i="51"/>
  <c r="BA100" i="51" s="1"/>
  <c r="H100" i="51"/>
  <c r="AY100" i="51" s="1"/>
  <c r="K100" i="51"/>
  <c r="BB100" i="51" s="1"/>
  <c r="G100" i="51"/>
  <c r="AX100" i="51" s="1"/>
  <c r="AJ100" i="51"/>
  <c r="CA100" i="51" s="1"/>
  <c r="AI100" i="51"/>
  <c r="BZ100" i="51" s="1"/>
  <c r="AM100" i="51"/>
  <c r="CD100" i="51" s="1"/>
  <c r="AH100" i="51"/>
  <c r="BY100" i="51" s="1"/>
  <c r="AL100" i="51"/>
  <c r="CC100" i="51" s="1"/>
  <c r="AK100" i="51"/>
  <c r="CB100" i="51" s="1"/>
  <c r="V101" i="51"/>
  <c r="BM101" i="51" s="1"/>
  <c r="X101" i="51"/>
  <c r="BO101" i="51" s="1"/>
  <c r="W101" i="51"/>
  <c r="BN101" i="51" s="1"/>
  <c r="U101" i="51"/>
  <c r="BL101" i="51" s="1"/>
  <c r="T101" i="51"/>
  <c r="BK101" i="51" s="1"/>
  <c r="Y101" i="51"/>
  <c r="BP101" i="51" s="1"/>
  <c r="H102" i="51"/>
  <c r="AY102" i="51" s="1"/>
  <c r="G102" i="51"/>
  <c r="AX102" i="51" s="1"/>
  <c r="K102" i="51"/>
  <c r="BB102" i="51" s="1"/>
  <c r="F102" i="51"/>
  <c r="AW102" i="51" s="1"/>
  <c r="I102" i="51"/>
  <c r="AZ102" i="51" s="1"/>
  <c r="J102" i="51"/>
  <c r="BA102" i="51" s="1"/>
  <c r="AJ102" i="51"/>
  <c r="CA102" i="51" s="1"/>
  <c r="AL102" i="51"/>
  <c r="CC102" i="51" s="1"/>
  <c r="AK102" i="51"/>
  <c r="CB102" i="51" s="1"/>
  <c r="AM102" i="51"/>
  <c r="CD102" i="51" s="1"/>
  <c r="AI102" i="51"/>
  <c r="BZ102" i="51" s="1"/>
  <c r="AH102" i="51"/>
  <c r="BY102" i="51" s="1"/>
  <c r="V103" i="51"/>
  <c r="BM103" i="51" s="1"/>
  <c r="U103" i="51"/>
  <c r="BL103" i="51" s="1"/>
  <c r="Y103" i="51"/>
  <c r="BP103" i="51" s="1"/>
  <c r="T103" i="51"/>
  <c r="BK103" i="51" s="1"/>
  <c r="X103" i="51"/>
  <c r="BO103" i="51" s="1"/>
  <c r="W103" i="51"/>
  <c r="BN103" i="51" s="1"/>
  <c r="H104" i="51"/>
  <c r="AY104" i="51" s="1"/>
  <c r="J104" i="51"/>
  <c r="BA104" i="51" s="1"/>
  <c r="I104" i="51"/>
  <c r="AZ104" i="51" s="1"/>
  <c r="G104" i="51"/>
  <c r="AX104" i="51" s="1"/>
  <c r="F104" i="51"/>
  <c r="AW104" i="51" s="1"/>
  <c r="K104" i="51"/>
  <c r="BB104" i="51" s="1"/>
  <c r="AJ104" i="51"/>
  <c r="CA104" i="51" s="1"/>
  <c r="AI104" i="51"/>
  <c r="AM104" i="51"/>
  <c r="CD104" i="51" s="1"/>
  <c r="AH104" i="51"/>
  <c r="BY104" i="51" s="1"/>
  <c r="AK104" i="51"/>
  <c r="CB104" i="51" s="1"/>
  <c r="AL104" i="51"/>
  <c r="CC104" i="51" s="1"/>
  <c r="V105" i="51"/>
  <c r="BM105" i="51" s="1"/>
  <c r="X105" i="51"/>
  <c r="BO105" i="51" s="1"/>
  <c r="W105" i="51"/>
  <c r="BN105" i="51" s="1"/>
  <c r="Y105" i="51"/>
  <c r="BP105" i="51" s="1"/>
  <c r="U105" i="51"/>
  <c r="BL105" i="51" s="1"/>
  <c r="H106" i="51"/>
  <c r="AY106" i="51" s="1"/>
  <c r="G106" i="51"/>
  <c r="AX106" i="51" s="1"/>
  <c r="K106" i="51"/>
  <c r="BB106" i="51" s="1"/>
  <c r="F106" i="51"/>
  <c r="AW106" i="51" s="1"/>
  <c r="J106" i="51"/>
  <c r="BA106" i="51" s="1"/>
  <c r="I106" i="51"/>
  <c r="AZ106" i="51" s="1"/>
  <c r="AJ106" i="51"/>
  <c r="CA106" i="51" s="1"/>
  <c r="AM106" i="51"/>
  <c r="CD106" i="51" s="1"/>
  <c r="AI106" i="51"/>
  <c r="AK106" i="51"/>
  <c r="CB106" i="51" s="1"/>
  <c r="AH106" i="51"/>
  <c r="BY106" i="51" s="1"/>
  <c r="AL106" i="51"/>
  <c r="CC106" i="51" s="1"/>
  <c r="V107" i="51"/>
  <c r="BM107" i="51" s="1"/>
  <c r="Y107" i="51"/>
  <c r="BP107" i="51" s="1"/>
  <c r="U107" i="51"/>
  <c r="BL107" i="51" s="1"/>
  <c r="X107" i="51"/>
  <c r="BO107" i="51" s="1"/>
  <c r="W107" i="51"/>
  <c r="BN107" i="51" s="1"/>
  <c r="T107" i="51"/>
  <c r="BK107" i="51" s="1"/>
  <c r="H108" i="51"/>
  <c r="AY108" i="51" s="1"/>
  <c r="K108" i="51"/>
  <c r="BB108" i="51" s="1"/>
  <c r="G108" i="51"/>
  <c r="AX108" i="51" s="1"/>
  <c r="J108" i="51"/>
  <c r="BA108" i="51" s="1"/>
  <c r="I108" i="51"/>
  <c r="AZ108" i="51" s="1"/>
  <c r="F108" i="51"/>
  <c r="AW108" i="51" s="1"/>
  <c r="AJ108" i="51"/>
  <c r="CA108" i="51" s="1"/>
  <c r="AM108" i="51"/>
  <c r="CD108" i="51" s="1"/>
  <c r="AI108" i="51"/>
  <c r="BZ108" i="51" s="1"/>
  <c r="AL108" i="51"/>
  <c r="CC108" i="51" s="1"/>
  <c r="AK108" i="51"/>
  <c r="CB108" i="51" s="1"/>
  <c r="AH108" i="51"/>
  <c r="BY108" i="51" s="1"/>
  <c r="AK82" i="51"/>
  <c r="CB82" i="51" s="1"/>
  <c r="AG83" i="51"/>
  <c r="BX83" i="51" s="1"/>
  <c r="G98" i="51"/>
  <c r="AX98" i="51" s="1"/>
  <c r="T105" i="51"/>
  <c r="BK105" i="51" s="1"/>
  <c r="Q91" i="51"/>
  <c r="BH91" i="51" s="1"/>
  <c r="M91" i="51"/>
  <c r="BD91" i="51" s="1"/>
  <c r="P91" i="51"/>
  <c r="BG91" i="51" s="1"/>
  <c r="R91" i="51"/>
  <c r="BI91" i="51" s="1"/>
  <c r="O91" i="51"/>
  <c r="BF91" i="51" s="1"/>
  <c r="AS91" i="51"/>
  <c r="CJ91" i="51" s="1"/>
  <c r="AO91" i="51"/>
  <c r="CF91" i="51" s="1"/>
  <c r="AR91" i="51"/>
  <c r="CI91" i="51" s="1"/>
  <c r="AQ91" i="51"/>
  <c r="CH91" i="51" s="1"/>
  <c r="AP91" i="51"/>
  <c r="CG91" i="51" s="1"/>
  <c r="AE92" i="51"/>
  <c r="BV92" i="51" s="1"/>
  <c r="AA92" i="51"/>
  <c r="AD92" i="51"/>
  <c r="BU92" i="51" s="1"/>
  <c r="AC92" i="51"/>
  <c r="BT92" i="51" s="1"/>
  <c r="AB92" i="51"/>
  <c r="BS92" i="51" s="1"/>
  <c r="R93" i="51"/>
  <c r="BI93" i="51" s="1"/>
  <c r="N93" i="51"/>
  <c r="BE93" i="51" s="1"/>
  <c r="Q93" i="51"/>
  <c r="BH93" i="51" s="1"/>
  <c r="M93" i="51"/>
  <c r="BD93" i="51" s="1"/>
  <c r="P93" i="51"/>
  <c r="BG93" i="51" s="1"/>
  <c r="O93" i="51"/>
  <c r="BF93" i="51" s="1"/>
  <c r="AT93" i="51"/>
  <c r="CK93" i="51" s="1"/>
  <c r="AP93" i="51"/>
  <c r="CG93" i="51" s="1"/>
  <c r="AS93" i="51"/>
  <c r="CJ93" i="51" s="1"/>
  <c r="AO93" i="51"/>
  <c r="CF93" i="51" s="1"/>
  <c r="AR93" i="51"/>
  <c r="CI93" i="51" s="1"/>
  <c r="AQ93" i="51"/>
  <c r="CH93" i="51" s="1"/>
  <c r="AC98" i="51"/>
  <c r="BT98" i="51" s="1"/>
  <c r="AF98" i="51"/>
  <c r="BW98" i="51" s="1"/>
  <c r="AA98" i="51"/>
  <c r="AE98" i="51"/>
  <c r="BV98" i="51" s="1"/>
  <c r="AD98" i="51"/>
  <c r="BU98" i="51" s="1"/>
  <c r="AB98" i="51"/>
  <c r="BS98" i="51" s="1"/>
  <c r="AF100" i="51"/>
  <c r="BW100" i="51" s="1"/>
  <c r="AB100" i="51"/>
  <c r="BS100" i="51" s="1"/>
  <c r="AD100" i="51"/>
  <c r="BU100" i="51" s="1"/>
  <c r="AC100" i="51"/>
  <c r="BT100" i="51" s="1"/>
  <c r="AE100" i="51"/>
  <c r="BV100" i="51" s="1"/>
  <c r="AA100" i="51"/>
  <c r="BR100" i="51" s="1"/>
  <c r="R101" i="51"/>
  <c r="BI101" i="51" s="1"/>
  <c r="N101" i="51"/>
  <c r="BE101" i="51" s="1"/>
  <c r="M101" i="51"/>
  <c r="BD101" i="51" s="1"/>
  <c r="Q101" i="51"/>
  <c r="BH101" i="51" s="1"/>
  <c r="O101" i="51"/>
  <c r="BF101" i="51" s="1"/>
  <c r="P101" i="51"/>
  <c r="BG101" i="51" s="1"/>
  <c r="AT101" i="51"/>
  <c r="CK101" i="51" s="1"/>
  <c r="AP101" i="51"/>
  <c r="CG101" i="51" s="1"/>
  <c r="AR101" i="51"/>
  <c r="CI101" i="51" s="1"/>
  <c r="AQ101" i="51"/>
  <c r="CH101" i="51" s="1"/>
  <c r="AS101" i="51"/>
  <c r="CJ101" i="51" s="1"/>
  <c r="AO101" i="51"/>
  <c r="CF101" i="51" s="1"/>
  <c r="AF102" i="51"/>
  <c r="BW102" i="51" s="1"/>
  <c r="AB102" i="51"/>
  <c r="AA102" i="51"/>
  <c r="AE102" i="51"/>
  <c r="BV102" i="51" s="1"/>
  <c r="AD102" i="51"/>
  <c r="BU102" i="51" s="1"/>
  <c r="AC102" i="51"/>
  <c r="BT102" i="51" s="1"/>
  <c r="R103" i="51"/>
  <c r="BI103" i="51" s="1"/>
  <c r="N103" i="51"/>
  <c r="BE103" i="51" s="1"/>
  <c r="P103" i="51"/>
  <c r="BG103" i="51" s="1"/>
  <c r="O103" i="51"/>
  <c r="BF103" i="51" s="1"/>
  <c r="Q103" i="51"/>
  <c r="BH103" i="51" s="1"/>
  <c r="M103" i="51"/>
  <c r="BD103" i="51" s="1"/>
  <c r="AF104" i="51"/>
  <c r="BW104" i="51" s="1"/>
  <c r="AB104" i="51"/>
  <c r="BS104" i="51" s="1"/>
  <c r="AD104" i="51"/>
  <c r="BU104" i="51" s="1"/>
  <c r="AC104" i="51"/>
  <c r="BT104" i="51" s="1"/>
  <c r="AE104" i="51"/>
  <c r="BV104" i="51" s="1"/>
  <c r="AA104" i="51"/>
  <c r="R105" i="51"/>
  <c r="BI105" i="51" s="1"/>
  <c r="N105" i="51"/>
  <c r="BE105" i="51" s="1"/>
  <c r="M105" i="51"/>
  <c r="BD105" i="51" s="1"/>
  <c r="Q105" i="51"/>
  <c r="BH105" i="51" s="1"/>
  <c r="P105" i="51"/>
  <c r="BG105" i="51" s="1"/>
  <c r="O105" i="51"/>
  <c r="BF105" i="51" s="1"/>
  <c r="AF106" i="51"/>
  <c r="BW106" i="51" s="1"/>
  <c r="AB106" i="51"/>
  <c r="AE106" i="51"/>
  <c r="BV106" i="51" s="1"/>
  <c r="AA106" i="51"/>
  <c r="AC106" i="51"/>
  <c r="BT106" i="51" s="1"/>
  <c r="AD106" i="51"/>
  <c r="BU106" i="51" s="1"/>
  <c r="AF108" i="51"/>
  <c r="BW108" i="51" s="1"/>
  <c r="AB108" i="51"/>
  <c r="BS108" i="51" s="1"/>
  <c r="AE108" i="51"/>
  <c r="BV108" i="51" s="1"/>
  <c r="AA108" i="51"/>
  <c r="AD108" i="51"/>
  <c r="BU108" i="51" s="1"/>
  <c r="AC108" i="51"/>
  <c r="BT108" i="51" s="1"/>
  <c r="H86" i="51"/>
  <c r="AY86" i="51" s="1"/>
  <c r="V87" i="51"/>
  <c r="BM87" i="51" s="1"/>
  <c r="V91" i="51"/>
  <c r="BM91" i="51" s="1"/>
  <c r="AT91" i="51"/>
  <c r="CK91" i="51" s="1"/>
  <c r="F100" i="51"/>
  <c r="AW100" i="51" s="1"/>
  <c r="AN94" i="51"/>
  <c r="CE94" i="51" s="1"/>
  <c r="AI61" i="62"/>
  <c r="BZ61" i="62" s="1"/>
  <c r="G64" i="62"/>
  <c r="AX64" i="62" s="1"/>
  <c r="AH11" i="62"/>
  <c r="BY11" i="62" s="1"/>
  <c r="V65" i="62"/>
  <c r="BM65" i="62" s="1"/>
  <c r="AF9" i="62"/>
  <c r="AM9" i="62" s="1"/>
  <c r="AI81" i="62"/>
  <c r="BZ81" i="62" s="1"/>
  <c r="AH80" i="62"/>
  <c r="V84" i="62"/>
  <c r="BM84" i="62" s="1"/>
  <c r="AA83" i="62"/>
  <c r="BR83" i="62" s="1"/>
  <c r="F61" i="62"/>
  <c r="AW61" i="62" s="1"/>
  <c r="AH61" i="62"/>
  <c r="BY61" i="62" s="1"/>
  <c r="AB63" i="62"/>
  <c r="BS63" i="62" s="1"/>
  <c r="F64" i="62"/>
  <c r="AW64" i="62" s="1"/>
  <c r="AH64" i="62"/>
  <c r="BY64" i="62" s="1"/>
  <c r="AB66" i="62"/>
  <c r="BS66" i="62" s="1"/>
  <c r="T71" i="62"/>
  <c r="BK71" i="62" s="1"/>
  <c r="N72" i="62"/>
  <c r="BE72" i="62" s="1"/>
  <c r="T74" i="62"/>
  <c r="BK74" i="62" s="1"/>
  <c r="AI75" i="62"/>
  <c r="BZ75" i="62" s="1"/>
  <c r="AH74" i="62"/>
  <c r="BY74" i="62" s="1"/>
  <c r="G81" i="62"/>
  <c r="AX81" i="62" s="1"/>
  <c r="F80" i="62"/>
  <c r="AW80" i="62" s="1"/>
  <c r="N84" i="62"/>
  <c r="BE84" i="62" s="1"/>
  <c r="N101" i="62"/>
  <c r="BE101" i="62" s="1"/>
  <c r="AI102" i="62"/>
  <c r="U156" i="62"/>
  <c r="T154" i="62"/>
  <c r="BK154" i="62" s="1"/>
  <c r="AB157" i="62"/>
  <c r="BS157" i="62" s="1"/>
  <c r="AA154" i="62"/>
  <c r="BR154" i="62" s="1"/>
  <c r="AA74" i="62"/>
  <c r="BR74" i="62" s="1"/>
  <c r="N75" i="62"/>
  <c r="BE75" i="62" s="1"/>
  <c r="T83" i="62"/>
  <c r="T94" i="62"/>
  <c r="BK94" i="62" s="1"/>
  <c r="U95" i="62"/>
  <c r="BL95" i="62" s="1"/>
  <c r="AH83" i="62"/>
  <c r="BY83" i="62" s="1"/>
  <c r="AI86" i="62"/>
  <c r="M94" i="62"/>
  <c r="BD94" i="62" s="1"/>
  <c r="AJ95" i="62"/>
  <c r="CA95" i="62" s="1"/>
  <c r="AA94" i="62"/>
  <c r="BR94" i="62" s="1"/>
  <c r="AB96" i="62"/>
  <c r="BS96" i="62" s="1"/>
  <c r="AB101" i="62"/>
  <c r="BS101" i="62" s="1"/>
  <c r="T99" i="62"/>
  <c r="BK99" i="62" s="1"/>
  <c r="AH154" i="62"/>
  <c r="BY154" i="62" s="1"/>
  <c r="F83" i="62"/>
  <c r="AW83" i="62" s="1"/>
  <c r="U100" i="62"/>
  <c r="BL100" i="62" s="1"/>
  <c r="M154" i="62"/>
  <c r="BD154" i="62" s="1"/>
  <c r="F154" i="62"/>
  <c r="AW154" i="62" s="1"/>
  <c r="AI30" i="50" l="1"/>
  <c r="AB18" i="50"/>
  <c r="V75" i="62"/>
  <c r="BM75" i="62" s="1"/>
  <c r="G71" i="62"/>
  <c r="AX71" i="62" s="1"/>
  <c r="U64" i="62"/>
  <c r="BL64" i="62" s="1"/>
  <c r="H100" i="62"/>
  <c r="AY100" i="62" s="1"/>
  <c r="AI34" i="50"/>
  <c r="H163" i="62"/>
  <c r="AY163" i="62" s="1"/>
  <c r="AB129" i="50"/>
  <c r="AB119" i="50"/>
  <c r="AC119" i="50" s="1"/>
  <c r="E79" i="62"/>
  <c r="E60" i="62" s="1"/>
  <c r="AV60" i="62" s="1"/>
  <c r="AB31" i="50"/>
  <c r="AC31" i="50" s="1"/>
  <c r="AB27" i="50"/>
  <c r="AI129" i="50"/>
  <c r="AJ129" i="50" s="1"/>
  <c r="AI120" i="50"/>
  <c r="AJ120" i="50" s="1"/>
  <c r="AB12" i="50"/>
  <c r="AC12" i="50" s="1"/>
  <c r="AB34" i="50"/>
  <c r="AI24" i="50"/>
  <c r="AJ24" i="50" s="1"/>
  <c r="AB23" i="50"/>
  <c r="AI12" i="50"/>
  <c r="AJ12" i="50" s="1"/>
  <c r="H65" i="62"/>
  <c r="AY65" i="62" s="1"/>
  <c r="AB123" i="50"/>
  <c r="BN123" i="50" s="1"/>
  <c r="AI115" i="50"/>
  <c r="BU115" i="50" s="1"/>
  <c r="AB120" i="50"/>
  <c r="BN120" i="50" s="1"/>
  <c r="AB112" i="50"/>
  <c r="AB9" i="62"/>
  <c r="AI9" i="62" s="1"/>
  <c r="AT10" i="51"/>
  <c r="AQ10" i="51"/>
  <c r="BY80" i="62"/>
  <c r="AH79" i="62"/>
  <c r="BY79" i="62" s="1"/>
  <c r="AG11" i="62"/>
  <c r="BX11" i="62" s="1"/>
  <c r="X11" i="62"/>
  <c r="BO11" i="62" s="1"/>
  <c r="AB52" i="50"/>
  <c r="BN52" i="50" s="1"/>
  <c r="BS102" i="51"/>
  <c r="AC128" i="50"/>
  <c r="BN128" i="50"/>
  <c r="AJ112" i="50"/>
  <c r="BU112" i="50"/>
  <c r="AB55" i="50"/>
  <c r="BN55" i="50" s="1"/>
  <c r="BS105" i="51"/>
  <c r="AR9" i="62"/>
  <c r="AI64" i="62"/>
  <c r="BZ64" i="62" s="1"/>
  <c r="AH149" i="50"/>
  <c r="BY93" i="51"/>
  <c r="AA39" i="50"/>
  <c r="BM39" i="50" s="1"/>
  <c r="BR68" i="51"/>
  <c r="AB143" i="50"/>
  <c r="BN143" i="50" s="1"/>
  <c r="BS86" i="51"/>
  <c r="AH36" i="50"/>
  <c r="BT36" i="50" s="1"/>
  <c r="BY62" i="51"/>
  <c r="AI135" i="50"/>
  <c r="BU135" i="50" s="1"/>
  <c r="BZ73" i="51"/>
  <c r="Y11" i="62"/>
  <c r="BP11" i="62" s="1"/>
  <c r="AC27" i="50"/>
  <c r="BN27" i="50"/>
  <c r="AC34" i="50"/>
  <c r="BN34" i="50"/>
  <c r="AC23" i="50"/>
  <c r="BN23" i="50"/>
  <c r="BU10" i="51"/>
  <c r="CB10" i="51" s="1"/>
  <c r="CI10" i="51"/>
  <c r="BT10" i="51"/>
  <c r="CA10" i="51" s="1"/>
  <c r="CH10" i="51"/>
  <c r="CK10" i="51"/>
  <c r="BW10" i="51"/>
  <c r="CD10" i="51" s="1"/>
  <c r="AI43" i="50"/>
  <c r="BU43" i="50" s="1"/>
  <c r="BZ92" i="51"/>
  <c r="AH140" i="50"/>
  <c r="AH160" i="50" s="1"/>
  <c r="BT160" i="50" s="1"/>
  <c r="BY82" i="51"/>
  <c r="AI149" i="50"/>
  <c r="BU149" i="50" s="1"/>
  <c r="BZ93" i="51"/>
  <c r="AJ27" i="50"/>
  <c r="BU27" i="50"/>
  <c r="AA149" i="50"/>
  <c r="AA169" i="50" s="1"/>
  <c r="BR93" i="51"/>
  <c r="AP30" i="51"/>
  <c r="CG30" i="51" s="1"/>
  <c r="CG34" i="51"/>
  <c r="AC26" i="50"/>
  <c r="BN26" i="50"/>
  <c r="AJ119" i="50"/>
  <c r="BU119" i="50"/>
  <c r="AJ31" i="50"/>
  <c r="BU31" i="50"/>
  <c r="AC18" i="50"/>
  <c r="BN18" i="50"/>
  <c r="G83" i="62"/>
  <c r="AX83" i="62" s="1"/>
  <c r="AA59" i="50"/>
  <c r="AA84" i="50" s="1"/>
  <c r="BM84" i="50" s="1"/>
  <c r="BR108" i="51"/>
  <c r="AC11" i="50"/>
  <c r="BN11" i="50"/>
  <c r="AA132" i="50"/>
  <c r="BM132" i="50" s="1"/>
  <c r="BR63" i="51"/>
  <c r="AA51" i="50"/>
  <c r="BR101" i="51"/>
  <c r="AA148" i="50"/>
  <c r="BR91" i="51"/>
  <c r="AC126" i="50"/>
  <c r="BN126" i="50"/>
  <c r="V72" i="62"/>
  <c r="BM72" i="62" s="1"/>
  <c r="AI146" i="50"/>
  <c r="BU146" i="50" s="1"/>
  <c r="BZ89" i="51"/>
  <c r="AH39" i="50"/>
  <c r="BT39" i="50" s="1"/>
  <c r="BY68" i="51"/>
  <c r="AB39" i="50"/>
  <c r="BN39" i="50" s="1"/>
  <c r="BS68" i="51"/>
  <c r="AI37" i="50"/>
  <c r="BU37" i="50" s="1"/>
  <c r="BZ65" i="51"/>
  <c r="AH132" i="50"/>
  <c r="AH152" i="50" s="1"/>
  <c r="BT152" i="50" s="1"/>
  <c r="BY63" i="51"/>
  <c r="AB149" i="50"/>
  <c r="BN149" i="50" s="1"/>
  <c r="BS93" i="51"/>
  <c r="AA140" i="50"/>
  <c r="AA160" i="50" s="1"/>
  <c r="BR82" i="51"/>
  <c r="AC115" i="50"/>
  <c r="BN115" i="50"/>
  <c r="AJ25" i="50"/>
  <c r="BU25" i="50"/>
  <c r="AJ115" i="50"/>
  <c r="AC30" i="50"/>
  <c r="BN30" i="50"/>
  <c r="AJ126" i="50"/>
  <c r="BU126" i="50"/>
  <c r="BR10" i="51"/>
  <c r="BY10" i="51" s="1"/>
  <c r="CF10" i="51"/>
  <c r="AH143" i="50"/>
  <c r="AH163" i="50" s="1"/>
  <c r="BT163" i="50" s="1"/>
  <c r="BY86" i="51"/>
  <c r="AA49" i="50"/>
  <c r="BM49" i="50" s="1"/>
  <c r="BR103" i="51"/>
  <c r="H95" i="62"/>
  <c r="AY95" i="62" s="1"/>
  <c r="AJ65" i="62"/>
  <c r="CA65" i="62" s="1"/>
  <c r="AI36" i="50"/>
  <c r="BU36" i="50" s="1"/>
  <c r="BZ62" i="51"/>
  <c r="AA56" i="50"/>
  <c r="AA81" i="50" s="1"/>
  <c r="BM81" i="50" s="1"/>
  <c r="BR106" i="51"/>
  <c r="AI56" i="50"/>
  <c r="BU56" i="50" s="1"/>
  <c r="BZ106" i="51"/>
  <c r="AA135" i="50"/>
  <c r="BM135" i="50" s="1"/>
  <c r="BR73" i="51"/>
  <c r="AH148" i="50"/>
  <c r="AH168" i="50" s="1"/>
  <c r="BT168" i="50" s="1"/>
  <c r="BY91" i="51"/>
  <c r="AJ34" i="50"/>
  <c r="BU34" i="50"/>
  <c r="AJ23" i="50"/>
  <c r="BU23" i="50"/>
  <c r="AC14" i="50"/>
  <c r="BN14" i="50"/>
  <c r="AC28" i="50"/>
  <c r="BN28" i="50"/>
  <c r="AJ14" i="50"/>
  <c r="BU14" i="50"/>
  <c r="AI53" i="50"/>
  <c r="BU53" i="50" s="1"/>
  <c r="BZ104" i="51"/>
  <c r="AJ30" i="50"/>
  <c r="BU30" i="50"/>
  <c r="AH146" i="50"/>
  <c r="AH166" i="50" s="1"/>
  <c r="BY89" i="51"/>
  <c r="AC112" i="50"/>
  <c r="BN112" i="50"/>
  <c r="AA52" i="50"/>
  <c r="AA77" i="50" s="1"/>
  <c r="BM77" i="50" s="1"/>
  <c r="BR102" i="51"/>
  <c r="AA48" i="50"/>
  <c r="AA73" i="50" s="1"/>
  <c r="BR98" i="51"/>
  <c r="AI140" i="50"/>
  <c r="BU140" i="50" s="1"/>
  <c r="BZ82" i="51"/>
  <c r="AA143" i="50"/>
  <c r="AA163" i="50" s="1"/>
  <c r="BM163" i="50" s="1"/>
  <c r="BR86" i="51"/>
  <c r="AI132" i="50"/>
  <c r="BU132" i="50" s="1"/>
  <c r="BZ63" i="51"/>
  <c r="AA146" i="50"/>
  <c r="BM146" i="50" s="1"/>
  <c r="BR89" i="51"/>
  <c r="AC129" i="50"/>
  <c r="BN129" i="50"/>
  <c r="AB83" i="50"/>
  <c r="BN83" i="50" s="1"/>
  <c r="BN31" i="50"/>
  <c r="BU12" i="50"/>
  <c r="AA53" i="50"/>
  <c r="BR104" i="51"/>
  <c r="AJ18" i="50"/>
  <c r="BU18" i="50"/>
  <c r="O96" i="62"/>
  <c r="P96" i="62" s="1"/>
  <c r="AA43" i="50"/>
  <c r="AA68" i="50" s="1"/>
  <c r="BR92" i="51"/>
  <c r="AH139" i="50"/>
  <c r="AH159" i="50" s="1"/>
  <c r="BT159" i="50" s="1"/>
  <c r="BY81" i="51"/>
  <c r="AH135" i="50"/>
  <c r="AH155" i="50" s="1"/>
  <c r="BY73" i="51"/>
  <c r="Q11" i="62"/>
  <c r="BH11" i="62" s="1"/>
  <c r="AJ28" i="50"/>
  <c r="BU28" i="50"/>
  <c r="AJ128" i="50"/>
  <c r="BU128" i="50"/>
  <c r="AJ26" i="50"/>
  <c r="BU26" i="50"/>
  <c r="L8" i="50"/>
  <c r="S8" i="50" s="1"/>
  <c r="Z8" i="50" s="1"/>
  <c r="AG8" i="50" s="1"/>
  <c r="AQ8" i="50"/>
  <c r="AX8" i="50" s="1"/>
  <c r="BE8" i="50" s="1"/>
  <c r="BL8" i="50" s="1"/>
  <c r="BS8" i="50" s="1"/>
  <c r="BS10" i="51"/>
  <c r="BZ10" i="51" s="1"/>
  <c r="CG10" i="51"/>
  <c r="CJ10" i="51"/>
  <c r="BV10" i="51"/>
  <c r="CC10" i="51" s="1"/>
  <c r="AB56" i="50"/>
  <c r="BN56" i="50" s="1"/>
  <c r="BS106" i="51"/>
  <c r="AA55" i="50"/>
  <c r="BM55" i="50" s="1"/>
  <c r="BR105" i="51"/>
  <c r="R11" i="62"/>
  <c r="BI11" i="62" s="1"/>
  <c r="AI11" i="50"/>
  <c r="BT11" i="50"/>
  <c r="AC24" i="50"/>
  <c r="BN24" i="50"/>
  <c r="AJ123" i="50"/>
  <c r="BU123" i="50"/>
  <c r="AC25" i="50"/>
  <c r="BN25" i="50"/>
  <c r="AI192" i="50"/>
  <c r="C94" i="67" s="1"/>
  <c r="C127" i="67" s="1"/>
  <c r="AB71" i="62"/>
  <c r="BS71" i="62" s="1"/>
  <c r="AJ62" i="62"/>
  <c r="CA62" i="62" s="1"/>
  <c r="AI49" i="50"/>
  <c r="BU49" i="50" s="1"/>
  <c r="AI51" i="50"/>
  <c r="BU51" i="50" s="1"/>
  <c r="AB37" i="50"/>
  <c r="BN37" i="50" s="1"/>
  <c r="AF11" i="62"/>
  <c r="BW11" i="62" s="1"/>
  <c r="U74" i="62"/>
  <c r="BL74" i="62" s="1"/>
  <c r="AC72" i="62"/>
  <c r="BT72" i="62" s="1"/>
  <c r="AC81" i="62"/>
  <c r="AB234" i="50"/>
  <c r="BN234" i="50" s="1"/>
  <c r="AB49" i="50"/>
  <c r="BN49" i="50" s="1"/>
  <c r="AB146" i="50"/>
  <c r="BN146" i="50" s="1"/>
  <c r="AB79" i="50"/>
  <c r="BN79" i="50" s="1"/>
  <c r="AC174" i="62"/>
  <c r="BT174" i="62" s="1"/>
  <c r="AQ9" i="62"/>
  <c r="AI71" i="62"/>
  <c r="BZ71" i="62" s="1"/>
  <c r="W82" i="62"/>
  <c r="BM82" i="62"/>
  <c r="AA80" i="50"/>
  <c r="BM80" i="50" s="1"/>
  <c r="F255" i="50"/>
  <c r="AR233" i="50"/>
  <c r="AH252" i="50"/>
  <c r="BT230" i="50"/>
  <c r="T246" i="50"/>
  <c r="BF224" i="50"/>
  <c r="O208" i="50"/>
  <c r="AZ208" i="50"/>
  <c r="O198" i="50"/>
  <c r="AZ198" i="50"/>
  <c r="O91" i="62"/>
  <c r="BE91" i="62"/>
  <c r="AC73" i="62"/>
  <c r="BS73" i="62"/>
  <c r="O105" i="62"/>
  <c r="BE105" i="62"/>
  <c r="O108" i="62"/>
  <c r="BE108" i="62"/>
  <c r="AC204" i="50"/>
  <c r="BN204" i="50"/>
  <c r="F253" i="50"/>
  <c r="AR231" i="50"/>
  <c r="T257" i="50"/>
  <c r="BF235" i="50"/>
  <c r="AC89" i="62"/>
  <c r="BS89" i="62"/>
  <c r="H98" i="62"/>
  <c r="AX98" i="62"/>
  <c r="AC211" i="50"/>
  <c r="BN211" i="50"/>
  <c r="O211" i="50"/>
  <c r="AZ211" i="50"/>
  <c r="V90" i="62"/>
  <c r="BL90" i="62"/>
  <c r="AJ72" i="62"/>
  <c r="AH254" i="50"/>
  <c r="BT254" i="50" s="1"/>
  <c r="BT232" i="50"/>
  <c r="F244" i="50"/>
  <c r="AR222" i="50"/>
  <c r="F254" i="50"/>
  <c r="AR232" i="50"/>
  <c r="M249" i="50"/>
  <c r="AY227" i="50"/>
  <c r="AJ198" i="50"/>
  <c r="BU198" i="50"/>
  <c r="L79" i="62"/>
  <c r="BC80" i="62"/>
  <c r="H107" i="62"/>
  <c r="AX107" i="62"/>
  <c r="AA256" i="50"/>
  <c r="BM234" i="50"/>
  <c r="AH257" i="50"/>
  <c r="BT235" i="50"/>
  <c r="AC98" i="62"/>
  <c r="AC48" i="50" s="1"/>
  <c r="BO48" i="50" s="1"/>
  <c r="BS98" i="62"/>
  <c r="H90" i="62"/>
  <c r="AX90" i="62"/>
  <c r="O68" i="62"/>
  <c r="BE68" i="62"/>
  <c r="V105" i="62"/>
  <c r="BL105" i="62"/>
  <c r="AJ193" i="50"/>
  <c r="BU193" i="50"/>
  <c r="V87" i="62"/>
  <c r="BL87" i="62"/>
  <c r="H84" i="62"/>
  <c r="AX84" i="62"/>
  <c r="AJ194" i="50"/>
  <c r="BU194" i="50"/>
  <c r="AC100" i="62"/>
  <c r="BS100" i="62"/>
  <c r="H68" i="62"/>
  <c r="AX68" i="62"/>
  <c r="AC197" i="50"/>
  <c r="BN197" i="50"/>
  <c r="AC104" i="62"/>
  <c r="BS104" i="62"/>
  <c r="M253" i="50"/>
  <c r="AY253" i="50" s="1"/>
  <c r="AY231" i="50"/>
  <c r="G212" i="50"/>
  <c r="AR212" i="50"/>
  <c r="AH242" i="50"/>
  <c r="BT220" i="50"/>
  <c r="T244" i="50"/>
  <c r="BF222" i="50"/>
  <c r="AH247" i="50"/>
  <c r="BT247" i="50" s="1"/>
  <c r="BT225" i="50"/>
  <c r="M252" i="50"/>
  <c r="AY230" i="50"/>
  <c r="F241" i="50"/>
  <c r="F263" i="50" s="1"/>
  <c r="AR263" i="50" s="1"/>
  <c r="AR219" i="50"/>
  <c r="M242" i="50"/>
  <c r="AY220" i="50"/>
  <c r="T241" i="50"/>
  <c r="BF219" i="50"/>
  <c r="AA240" i="50"/>
  <c r="BM218" i="50"/>
  <c r="AA252" i="50"/>
  <c r="BM230" i="50"/>
  <c r="H75" i="62"/>
  <c r="AX75" i="62"/>
  <c r="N216" i="50"/>
  <c r="BE156" i="62"/>
  <c r="T11" i="62"/>
  <c r="BK11" i="62" s="1"/>
  <c r="BK18" i="62"/>
  <c r="H11" i="62"/>
  <c r="AY11" i="62" s="1"/>
  <c r="AY30" i="62"/>
  <c r="O212" i="50"/>
  <c r="AZ212" i="50"/>
  <c r="V204" i="50"/>
  <c r="BG204" i="50"/>
  <c r="AJ196" i="50"/>
  <c r="BU196" i="50"/>
  <c r="H198" i="50"/>
  <c r="AS198" i="50"/>
  <c r="H106" i="62"/>
  <c r="AX106" i="62"/>
  <c r="AC95" i="62"/>
  <c r="BS95" i="62"/>
  <c r="AC88" i="62"/>
  <c r="BS88" i="62"/>
  <c r="O78" i="62"/>
  <c r="BE78" i="62"/>
  <c r="V68" i="62"/>
  <c r="BL68" i="62"/>
  <c r="V209" i="50"/>
  <c r="BG209" i="50"/>
  <c r="AH255" i="50"/>
  <c r="BT233" i="50"/>
  <c r="AJ103" i="62"/>
  <c r="AJ49" i="50" s="1"/>
  <c r="BV49" i="50" s="1"/>
  <c r="BZ103" i="62"/>
  <c r="AJ84" i="62"/>
  <c r="BZ84" i="62"/>
  <c r="V194" i="50"/>
  <c r="BG194" i="50"/>
  <c r="H91" i="62"/>
  <c r="AX91" i="62"/>
  <c r="AJ195" i="50"/>
  <c r="BU195" i="50"/>
  <c r="AJ101" i="62"/>
  <c r="AJ51" i="50" s="1"/>
  <c r="BV51" i="50" s="1"/>
  <c r="BZ101" i="62"/>
  <c r="AC195" i="50"/>
  <c r="BN195" i="50"/>
  <c r="AJ93" i="62"/>
  <c r="AJ149" i="50" s="1"/>
  <c r="BV149" i="50" s="1"/>
  <c r="BZ93" i="62"/>
  <c r="O66" i="62"/>
  <c r="BE66" i="62"/>
  <c r="V195" i="50"/>
  <c r="BG195" i="50"/>
  <c r="H173" i="62"/>
  <c r="AX173" i="62"/>
  <c r="AC213" i="50"/>
  <c r="BN213" i="50"/>
  <c r="H206" i="50"/>
  <c r="AS206" i="50"/>
  <c r="AC198" i="50"/>
  <c r="BN198" i="50"/>
  <c r="M256" i="50"/>
  <c r="AY234" i="50"/>
  <c r="AH249" i="50"/>
  <c r="BT227" i="50"/>
  <c r="AH241" i="50"/>
  <c r="BT219" i="50"/>
  <c r="O104" i="62"/>
  <c r="BE104" i="62"/>
  <c r="H97" i="62"/>
  <c r="AX97" i="62"/>
  <c r="V88" i="62"/>
  <c r="BL88" i="62"/>
  <c r="O76" i="62"/>
  <c r="BE76" i="62"/>
  <c r="AC65" i="62"/>
  <c r="AC37" i="50" s="1"/>
  <c r="BO37" i="50" s="1"/>
  <c r="BS65" i="62"/>
  <c r="V207" i="50"/>
  <c r="BG207" i="50"/>
  <c r="AA244" i="50"/>
  <c r="BM222" i="50"/>
  <c r="O98" i="62"/>
  <c r="BE98" i="62"/>
  <c r="H72" i="62"/>
  <c r="AX72" i="62"/>
  <c r="H209" i="50"/>
  <c r="AS209" i="50"/>
  <c r="AJ106" i="62"/>
  <c r="AJ56" i="50" s="1"/>
  <c r="BV56" i="50" s="1"/>
  <c r="BZ106" i="62"/>
  <c r="AJ87" i="62"/>
  <c r="BZ87" i="62"/>
  <c r="AC106" i="62"/>
  <c r="AC56" i="50" s="1"/>
  <c r="BO56" i="50" s="1"/>
  <c r="BS106" i="62"/>
  <c r="AJ104" i="62"/>
  <c r="AJ53" i="50" s="1"/>
  <c r="BV53" i="50" s="1"/>
  <c r="BZ104" i="62"/>
  <c r="H82" i="62"/>
  <c r="AX82" i="62"/>
  <c r="AC193" i="50"/>
  <c r="BN193" i="50"/>
  <c r="AJ63" i="62"/>
  <c r="BZ63" i="62"/>
  <c r="AC207" i="50"/>
  <c r="BN207" i="50"/>
  <c r="O200" i="50"/>
  <c r="AZ200" i="50"/>
  <c r="AC105" i="62"/>
  <c r="BS105" i="62"/>
  <c r="V98" i="62"/>
  <c r="BL98" i="62"/>
  <c r="V91" i="62"/>
  <c r="BL91" i="62"/>
  <c r="H85" i="62"/>
  <c r="AX85" i="62"/>
  <c r="H76" i="62"/>
  <c r="AX76" i="62"/>
  <c r="AC205" i="50"/>
  <c r="BN205" i="50"/>
  <c r="H161" i="62"/>
  <c r="AX161" i="62"/>
  <c r="AJ66" i="62"/>
  <c r="BZ66" i="62"/>
  <c r="V205" i="50"/>
  <c r="BG205" i="50"/>
  <c r="V89" i="62"/>
  <c r="BL89" i="62"/>
  <c r="AJ212" i="50"/>
  <c r="BU212" i="50"/>
  <c r="O194" i="50"/>
  <c r="AZ194" i="50"/>
  <c r="H159" i="62"/>
  <c r="AX159" i="62"/>
  <c r="H86" i="62"/>
  <c r="AX86" i="62"/>
  <c r="AC62" i="62"/>
  <c r="AC36" i="50" s="1"/>
  <c r="BO36" i="50" s="1"/>
  <c r="BS62" i="62"/>
  <c r="O201" i="50"/>
  <c r="AZ201" i="50"/>
  <c r="H108" i="62"/>
  <c r="AX108" i="62"/>
  <c r="AJ70" i="62"/>
  <c r="BZ70" i="62"/>
  <c r="O197" i="50"/>
  <c r="AZ197" i="50"/>
  <c r="V97" i="62"/>
  <c r="BL97" i="62"/>
  <c r="AC85" i="62"/>
  <c r="BS85" i="62"/>
  <c r="AC68" i="62"/>
  <c r="AC39" i="50" s="1"/>
  <c r="BO39" i="50" s="1"/>
  <c r="BS68" i="62"/>
  <c r="U216" i="50"/>
  <c r="BG216" i="50" s="1"/>
  <c r="BL156" i="62"/>
  <c r="AA78" i="50"/>
  <c r="BM78" i="50" s="1"/>
  <c r="BM53" i="50"/>
  <c r="G199" i="50"/>
  <c r="AR199" i="50"/>
  <c r="F250" i="50"/>
  <c r="AR228" i="50"/>
  <c r="G201" i="50"/>
  <c r="AR201" i="50"/>
  <c r="AC164" i="62"/>
  <c r="BS164" i="62"/>
  <c r="O62" i="62"/>
  <c r="BF62" i="62" s="1"/>
  <c r="BE62" i="62"/>
  <c r="AB11" i="62"/>
  <c r="BS11" i="62" s="1"/>
  <c r="BS18" i="62"/>
  <c r="AM11" i="62"/>
  <c r="CD11" i="62" s="1"/>
  <c r="CD18" i="62"/>
  <c r="AJ86" i="62"/>
  <c r="AJ143" i="50" s="1"/>
  <c r="BV143" i="50" s="1"/>
  <c r="BZ86" i="62"/>
  <c r="T79" i="62"/>
  <c r="BK79" i="62" s="1"/>
  <c r="BK83" i="62"/>
  <c r="AC82" i="50"/>
  <c r="BN82" i="50"/>
  <c r="G208" i="50"/>
  <c r="AR208" i="50"/>
  <c r="AA245" i="50"/>
  <c r="BM223" i="50"/>
  <c r="T247" i="50"/>
  <c r="BF225" i="50"/>
  <c r="AH248" i="50"/>
  <c r="BT226" i="50"/>
  <c r="AH243" i="50"/>
  <c r="BT221" i="50"/>
  <c r="U61" i="62"/>
  <c r="BL61" i="62" s="1"/>
  <c r="BL62" i="62"/>
  <c r="AB222" i="50"/>
  <c r="BS162" i="62"/>
  <c r="AC82" i="62"/>
  <c r="AC140" i="50" s="1"/>
  <c r="BO140" i="50" s="1"/>
  <c r="BS82" i="62"/>
  <c r="V193" i="50"/>
  <c r="BG193" i="50"/>
  <c r="AC203" i="50"/>
  <c r="BN203" i="50"/>
  <c r="AJ204" i="50"/>
  <c r="BU204" i="50"/>
  <c r="AA248" i="50"/>
  <c r="BM226" i="50"/>
  <c r="AJ107" i="62"/>
  <c r="BZ107" i="62"/>
  <c r="V202" i="50"/>
  <c r="BG202" i="50"/>
  <c r="H197" i="50"/>
  <c r="AS197" i="50"/>
  <c r="V107" i="62"/>
  <c r="BL107" i="62"/>
  <c r="AC91" i="62"/>
  <c r="AC148" i="50" s="1"/>
  <c r="BO148" i="50" s="1"/>
  <c r="BS91" i="62"/>
  <c r="V81" i="62"/>
  <c r="BL81" i="62"/>
  <c r="O70" i="62"/>
  <c r="BE70" i="62"/>
  <c r="S79" i="62"/>
  <c r="BJ80" i="62"/>
  <c r="M244" i="50"/>
  <c r="AY222" i="50"/>
  <c r="O210" i="50"/>
  <c r="AZ210" i="50"/>
  <c r="H204" i="50"/>
  <c r="AS204" i="50"/>
  <c r="H174" i="62"/>
  <c r="AX174" i="62"/>
  <c r="AJ108" i="62"/>
  <c r="AJ59" i="50" s="1"/>
  <c r="BV59" i="50" s="1"/>
  <c r="BZ108" i="62"/>
  <c r="V102" i="62"/>
  <c r="BL102" i="62"/>
  <c r="O95" i="62"/>
  <c r="BE95" i="62"/>
  <c r="O88" i="62"/>
  <c r="BE88" i="62"/>
  <c r="AJ69" i="62"/>
  <c r="BZ69" i="62"/>
  <c r="Z79" i="62"/>
  <c r="BQ80" i="62"/>
  <c r="AC108" i="62"/>
  <c r="BS108" i="62"/>
  <c r="V203" i="50"/>
  <c r="BG203" i="50"/>
  <c r="V103" i="62"/>
  <c r="BL103" i="62"/>
  <c r="O73" i="62"/>
  <c r="BE73" i="62"/>
  <c r="V206" i="50"/>
  <c r="BG206" i="50"/>
  <c r="AC76" i="62"/>
  <c r="BS76" i="62"/>
  <c r="AI148" i="50"/>
  <c r="BG231" i="50"/>
  <c r="T242" i="50"/>
  <c r="BF220" i="50"/>
  <c r="AC166" i="62"/>
  <c r="BT166" i="62" s="1"/>
  <c r="BS166" i="62"/>
  <c r="T249" i="50"/>
  <c r="BF227" i="50"/>
  <c r="M251" i="50"/>
  <c r="AY229" i="50"/>
  <c r="AA241" i="50"/>
  <c r="BM241" i="50" s="1"/>
  <c r="BM219" i="50"/>
  <c r="T248" i="50"/>
  <c r="BF226" i="50"/>
  <c r="T243" i="50"/>
  <c r="BF243" i="50" s="1"/>
  <c r="BF221" i="50"/>
  <c r="M254" i="50"/>
  <c r="AY254" i="50" s="1"/>
  <c r="AY232" i="50"/>
  <c r="AI219" i="50"/>
  <c r="BZ159" i="62"/>
  <c r="N64" i="62"/>
  <c r="BE64" i="62" s="1"/>
  <c r="BE65" i="62"/>
  <c r="BX30" i="62"/>
  <c r="O206" i="50"/>
  <c r="AZ206" i="50"/>
  <c r="AC107" i="62"/>
  <c r="BS107" i="62"/>
  <c r="O90" i="62"/>
  <c r="BE90" i="62"/>
  <c r="V70" i="62"/>
  <c r="BL70" i="62"/>
  <c r="AJ199" i="50"/>
  <c r="BU199" i="50"/>
  <c r="V96" i="62"/>
  <c r="BL96" i="62"/>
  <c r="V69" i="62"/>
  <c r="BL69" i="62"/>
  <c r="V199" i="50"/>
  <c r="BG199" i="50"/>
  <c r="O103" i="62"/>
  <c r="BE103" i="62"/>
  <c r="AJ68" i="62"/>
  <c r="AJ39" i="50" s="1"/>
  <c r="BV39" i="50" s="1"/>
  <c r="BZ68" i="62"/>
  <c r="O199" i="50"/>
  <c r="AZ199" i="50"/>
  <c r="AJ207" i="50"/>
  <c r="BU207" i="50"/>
  <c r="T251" i="50"/>
  <c r="BF229" i="50"/>
  <c r="AJ105" i="62"/>
  <c r="AJ55" i="50" s="1"/>
  <c r="BV55" i="50" s="1"/>
  <c r="BZ105" i="62"/>
  <c r="AJ77" i="62"/>
  <c r="BZ77" i="62"/>
  <c r="AC199" i="50"/>
  <c r="BN199" i="50"/>
  <c r="O82" i="62"/>
  <c r="BE82" i="62"/>
  <c r="AJ202" i="50"/>
  <c r="BU202" i="50"/>
  <c r="T238" i="50"/>
  <c r="BF216" i="50"/>
  <c r="O107" i="62"/>
  <c r="BE107" i="62"/>
  <c r="H93" i="62"/>
  <c r="AX93" i="62"/>
  <c r="AC86" i="62"/>
  <c r="AC143" i="50" s="1"/>
  <c r="BO143" i="50" s="1"/>
  <c r="BS86" i="62"/>
  <c r="AC77" i="62"/>
  <c r="BS77" i="62"/>
  <c r="O102" i="62"/>
  <c r="BE102" i="62"/>
  <c r="O207" i="50"/>
  <c r="AZ207" i="50"/>
  <c r="H156" i="62"/>
  <c r="AX156" i="62"/>
  <c r="O100" i="62"/>
  <c r="BE100" i="62"/>
  <c r="V73" i="62"/>
  <c r="BL73" i="62"/>
  <c r="AC206" i="50"/>
  <c r="BN206" i="50"/>
  <c r="AC78" i="62"/>
  <c r="BS78" i="62"/>
  <c r="AJ200" i="50"/>
  <c r="BU200" i="50"/>
  <c r="O87" i="62"/>
  <c r="BE87" i="62"/>
  <c r="O81" i="62"/>
  <c r="BF81" i="62" s="1"/>
  <c r="AD11" i="62"/>
  <c r="BU11" i="62" s="1"/>
  <c r="AB53" i="50"/>
  <c r="BN53" i="50" s="1"/>
  <c r="AI59" i="50"/>
  <c r="BU59" i="50" s="1"/>
  <c r="AI50" i="50"/>
  <c r="BU50" i="50" s="1"/>
  <c r="AI55" i="50"/>
  <c r="BU55" i="50" s="1"/>
  <c r="G234" i="50"/>
  <c r="AS234" i="50" s="1"/>
  <c r="AA257" i="50"/>
  <c r="BM235" i="50"/>
  <c r="AA249" i="50"/>
  <c r="BM227" i="50"/>
  <c r="O158" i="62"/>
  <c r="BF158" i="62" s="1"/>
  <c r="BE158" i="62"/>
  <c r="AV79" i="62"/>
  <c r="N80" i="62"/>
  <c r="BE80" i="62" s="1"/>
  <c r="AI11" i="62"/>
  <c r="BZ11" i="62" s="1"/>
  <c r="U71" i="62"/>
  <c r="T237" i="50"/>
  <c r="F247" i="50"/>
  <c r="AR247" i="50" s="1"/>
  <c r="AR225" i="50"/>
  <c r="F245" i="50"/>
  <c r="AR245" i="50" s="1"/>
  <c r="AR223" i="50"/>
  <c r="M255" i="50"/>
  <c r="AY233" i="50"/>
  <c r="F248" i="50"/>
  <c r="AR226" i="50"/>
  <c r="G194" i="50"/>
  <c r="AR194" i="50"/>
  <c r="AH250" i="50"/>
  <c r="BT228" i="50"/>
  <c r="AH238" i="50"/>
  <c r="BT216" i="50"/>
  <c r="AA253" i="50"/>
  <c r="BM231" i="50"/>
  <c r="M239" i="50"/>
  <c r="AY239" i="50" s="1"/>
  <c r="AY217" i="50"/>
  <c r="AH237" i="50"/>
  <c r="BT215" i="50"/>
  <c r="AB74" i="62"/>
  <c r="BS74" i="62" s="1"/>
  <c r="AA11" i="62"/>
  <c r="BR11" i="62" s="1"/>
  <c r="G61" i="62"/>
  <c r="AX61" i="62" s="1"/>
  <c r="AB43" i="50"/>
  <c r="BN43" i="50" s="1"/>
  <c r="AI48" i="50"/>
  <c r="BU48" i="50" s="1"/>
  <c r="AA155" i="50"/>
  <c r="BM155" i="50" s="1"/>
  <c r="F252" i="50"/>
  <c r="AR230" i="50"/>
  <c r="G202" i="50"/>
  <c r="AR202" i="50"/>
  <c r="G223" i="50"/>
  <c r="AS223" i="50" s="1"/>
  <c r="G207" i="50"/>
  <c r="AR207" i="50"/>
  <c r="F242" i="50"/>
  <c r="AR242" i="50" s="1"/>
  <c r="AR220" i="50"/>
  <c r="T256" i="50"/>
  <c r="BF234" i="50"/>
  <c r="M257" i="50"/>
  <c r="AY257" i="50" s="1"/>
  <c r="AY235" i="50"/>
  <c r="H103" i="62"/>
  <c r="AX103" i="62"/>
  <c r="AA251" i="50"/>
  <c r="BM229" i="50"/>
  <c r="AB216" i="50"/>
  <c r="BN216" i="50" s="1"/>
  <c r="BS156" i="62"/>
  <c r="M245" i="50"/>
  <c r="AY223" i="50"/>
  <c r="AH240" i="50"/>
  <c r="BT218" i="50"/>
  <c r="V175" i="62"/>
  <c r="BM175" i="62" s="1"/>
  <c r="BL175" i="62"/>
  <c r="AI217" i="50"/>
  <c r="BZ157" i="62"/>
  <c r="U223" i="50"/>
  <c r="BL163" i="62"/>
  <c r="V171" i="62"/>
  <c r="BM171" i="62" s="1"/>
  <c r="BL171" i="62"/>
  <c r="AE11" i="62"/>
  <c r="BV11" i="62" s="1"/>
  <c r="BV18" i="62"/>
  <c r="S79" i="51"/>
  <c r="BJ79" i="51" s="1"/>
  <c r="BJ83" i="51"/>
  <c r="F238" i="50"/>
  <c r="AR238" i="50" s="1"/>
  <c r="AR216" i="50"/>
  <c r="AH256" i="50"/>
  <c r="BT234" i="50"/>
  <c r="G203" i="50"/>
  <c r="AR203" i="50"/>
  <c r="AA242" i="50"/>
  <c r="BM220" i="50"/>
  <c r="AJ169" i="62"/>
  <c r="CA169" i="62" s="1"/>
  <c r="BZ169" i="62"/>
  <c r="AJ102" i="62"/>
  <c r="BZ102" i="62"/>
  <c r="F251" i="50"/>
  <c r="F273" i="50" s="1"/>
  <c r="AR273" i="50" s="1"/>
  <c r="AR229" i="50"/>
  <c r="T250" i="50"/>
  <c r="BF228" i="50"/>
  <c r="T240" i="50"/>
  <c r="BF240" i="50" s="1"/>
  <c r="BF218" i="50"/>
  <c r="M243" i="50"/>
  <c r="AY221" i="50"/>
  <c r="U80" i="62"/>
  <c r="BL80" i="62" s="1"/>
  <c r="BL82" i="62"/>
  <c r="AJ167" i="62"/>
  <c r="CA167" i="62" s="1"/>
  <c r="BZ167" i="62"/>
  <c r="AB232" i="50"/>
  <c r="BS172" i="62"/>
  <c r="W11" i="62"/>
  <c r="BN11" i="62" s="1"/>
  <c r="BN18" i="62"/>
  <c r="AC200" i="50"/>
  <c r="BN200" i="50"/>
  <c r="H160" i="62"/>
  <c r="AX160" i="62"/>
  <c r="AJ98" i="62"/>
  <c r="AJ48" i="50" s="1"/>
  <c r="BV48" i="50" s="1"/>
  <c r="BZ98" i="62"/>
  <c r="AJ91" i="62"/>
  <c r="BZ91" i="62"/>
  <c r="V85" i="62"/>
  <c r="BL85" i="62"/>
  <c r="O205" i="50"/>
  <c r="AZ205" i="50"/>
  <c r="V92" i="62"/>
  <c r="BL92" i="62"/>
  <c r="V210" i="50"/>
  <c r="BG210" i="50"/>
  <c r="V106" i="62"/>
  <c r="BL106" i="62"/>
  <c r="AJ76" i="62"/>
  <c r="BZ76" i="62"/>
  <c r="O209" i="50"/>
  <c r="AZ209" i="50"/>
  <c r="AJ209" i="50"/>
  <c r="BU209" i="50"/>
  <c r="H195" i="50"/>
  <c r="AS195" i="50"/>
  <c r="AA246" i="50"/>
  <c r="BM224" i="50"/>
  <c r="M238" i="50"/>
  <c r="AY216" i="50"/>
  <c r="AG79" i="62"/>
  <c r="BX80" i="62"/>
  <c r="AJ210" i="50"/>
  <c r="BU210" i="50"/>
  <c r="AC87" i="62"/>
  <c r="BS87" i="62"/>
  <c r="O203" i="50"/>
  <c r="AZ203" i="50"/>
  <c r="O92" i="62"/>
  <c r="BE92" i="62"/>
  <c r="H92" i="62"/>
  <c r="AX92" i="62"/>
  <c r="V196" i="50"/>
  <c r="BG196" i="50"/>
  <c r="O196" i="50"/>
  <c r="AZ196" i="50"/>
  <c r="H196" i="50"/>
  <c r="AS196" i="50"/>
  <c r="AC103" i="62"/>
  <c r="BS103" i="62"/>
  <c r="O77" i="62"/>
  <c r="BE77" i="62"/>
  <c r="H167" i="62"/>
  <c r="AX167" i="62"/>
  <c r="AC210" i="50"/>
  <c r="BN210" i="50"/>
  <c r="H170" i="62"/>
  <c r="AX170" i="62"/>
  <c r="AJ85" i="62"/>
  <c r="BZ85" i="62"/>
  <c r="H165" i="62"/>
  <c r="AX165" i="62"/>
  <c r="AB59" i="50"/>
  <c r="AB135" i="50"/>
  <c r="BN135" i="50" s="1"/>
  <c r="F256" i="50"/>
  <c r="AR256" i="50" s="1"/>
  <c r="AR234" i="50"/>
  <c r="N215" i="50"/>
  <c r="AZ215" i="50" s="1"/>
  <c r="BE155" i="62"/>
  <c r="T254" i="50"/>
  <c r="BF254" i="50" s="1"/>
  <c r="BF232" i="50"/>
  <c r="G231" i="50"/>
  <c r="AX171" i="62"/>
  <c r="AJ97" i="62"/>
  <c r="BZ97" i="62"/>
  <c r="G11" i="62"/>
  <c r="AX11" i="62" s="1"/>
  <c r="AX18" i="62"/>
  <c r="M11" i="62"/>
  <c r="BD11" i="62" s="1"/>
  <c r="BD30" i="62"/>
  <c r="K11" i="62"/>
  <c r="BB11" i="62" s="1"/>
  <c r="BB18" i="62"/>
  <c r="AJ100" i="62"/>
  <c r="CA100" i="62" s="1"/>
  <c r="AH169" i="50"/>
  <c r="BT169" i="50" s="1"/>
  <c r="BT149" i="50"/>
  <c r="AA255" i="50"/>
  <c r="BM255" i="50" s="1"/>
  <c r="BM233" i="50"/>
  <c r="F240" i="50"/>
  <c r="AR218" i="50"/>
  <c r="F246" i="50"/>
  <c r="AR246" i="50" s="1"/>
  <c r="AR224" i="50"/>
  <c r="G211" i="50"/>
  <c r="AR211" i="50"/>
  <c r="AH244" i="50"/>
  <c r="BT222" i="50"/>
  <c r="H171" i="62"/>
  <c r="T255" i="50"/>
  <c r="BF233" i="50"/>
  <c r="AD81" i="62"/>
  <c r="AD139" i="50" s="1"/>
  <c r="BP139" i="50" s="1"/>
  <c r="BT81" i="62"/>
  <c r="AJ213" i="50"/>
  <c r="BU213" i="50"/>
  <c r="O97" i="62"/>
  <c r="BE97" i="62"/>
  <c r="AC194" i="50"/>
  <c r="BN194" i="50"/>
  <c r="H88" i="62"/>
  <c r="AX88" i="62"/>
  <c r="AC69" i="62"/>
  <c r="BS69" i="62"/>
  <c r="V201" i="50"/>
  <c r="BG201" i="50"/>
  <c r="H105" i="62"/>
  <c r="AX105" i="62"/>
  <c r="O89" i="62"/>
  <c r="BE89" i="62"/>
  <c r="T245" i="50"/>
  <c r="BF223" i="50"/>
  <c r="O106" i="62"/>
  <c r="BE106" i="62"/>
  <c r="I66" i="62"/>
  <c r="AY66" i="62"/>
  <c r="V200" i="50"/>
  <c r="BG200" i="50"/>
  <c r="O193" i="50"/>
  <c r="AZ193" i="50"/>
  <c r="V211" i="50"/>
  <c r="BG211" i="50"/>
  <c r="H169" i="62"/>
  <c r="AX169" i="62"/>
  <c r="V86" i="62"/>
  <c r="BL86" i="62"/>
  <c r="AC92" i="62"/>
  <c r="AC43" i="50" s="1"/>
  <c r="BO43" i="50" s="1"/>
  <c r="BS92" i="62"/>
  <c r="AC209" i="50"/>
  <c r="BN209" i="50"/>
  <c r="O202" i="50"/>
  <c r="AZ202" i="50"/>
  <c r="O213" i="50"/>
  <c r="AZ213" i="50"/>
  <c r="AH245" i="50"/>
  <c r="BT223" i="50"/>
  <c r="AJ90" i="62"/>
  <c r="BZ90" i="62"/>
  <c r="O69" i="62"/>
  <c r="BE69" i="62"/>
  <c r="AC70" i="62"/>
  <c r="BS70" i="62"/>
  <c r="AB48" i="50"/>
  <c r="BN48" i="50" s="1"/>
  <c r="AI39" i="50"/>
  <c r="BU39" i="50" s="1"/>
  <c r="AA76" i="50"/>
  <c r="BM76" i="50" s="1"/>
  <c r="BM51" i="50"/>
  <c r="AA168" i="50"/>
  <c r="BM148" i="50"/>
  <c r="F237" i="50"/>
  <c r="G220" i="50"/>
  <c r="AS220" i="50" s="1"/>
  <c r="F249" i="50"/>
  <c r="AR249" i="50" s="1"/>
  <c r="AR227" i="50"/>
  <c r="M247" i="50"/>
  <c r="AY225" i="50"/>
  <c r="O164" i="62"/>
  <c r="BF164" i="62" s="1"/>
  <c r="BE164" i="62"/>
  <c r="N94" i="62"/>
  <c r="BE94" i="62" s="1"/>
  <c r="AB83" i="62"/>
  <c r="BS83" i="62" s="1"/>
  <c r="U83" i="62"/>
  <c r="BL83" i="62" s="1"/>
  <c r="AC75" i="62"/>
  <c r="BT75" i="62" s="1"/>
  <c r="H62" i="62"/>
  <c r="AY62" i="62" s="1"/>
  <c r="BM52" i="50"/>
  <c r="AC135" i="50"/>
  <c r="BO135" i="50" s="1"/>
  <c r="AB148" i="50"/>
  <c r="BN148" i="50" s="1"/>
  <c r="G225" i="50"/>
  <c r="AS225" i="50" s="1"/>
  <c r="F243" i="50"/>
  <c r="AR243" i="50" s="1"/>
  <c r="AR221" i="50"/>
  <c r="G205" i="50"/>
  <c r="AR205" i="50"/>
  <c r="T252" i="50"/>
  <c r="BF230" i="50"/>
  <c r="AA247" i="50"/>
  <c r="BM225" i="50"/>
  <c r="M241" i="50"/>
  <c r="AY219" i="50"/>
  <c r="M250" i="50"/>
  <c r="AY228" i="50"/>
  <c r="AA243" i="50"/>
  <c r="BM221" i="50"/>
  <c r="AA250" i="50"/>
  <c r="BM228" i="50"/>
  <c r="AH246" i="50"/>
  <c r="BT224" i="50"/>
  <c r="AA237" i="50"/>
  <c r="BM237" i="50" s="1"/>
  <c r="BM215" i="50"/>
  <c r="I11" i="62"/>
  <c r="AZ11" i="62" s="1"/>
  <c r="AZ18" i="62"/>
  <c r="AK11" i="62"/>
  <c r="CB11" i="62" s="1"/>
  <c r="H96" i="62"/>
  <c r="AX96" i="62"/>
  <c r="AA238" i="50"/>
  <c r="BM238" i="50" s="1"/>
  <c r="BM216" i="50"/>
  <c r="T239" i="50"/>
  <c r="BF217" i="50"/>
  <c r="AJ175" i="62"/>
  <c r="CA175" i="62" s="1"/>
  <c r="BZ175" i="62"/>
  <c r="O174" i="62"/>
  <c r="BF174" i="62" s="1"/>
  <c r="BE174" i="62"/>
  <c r="F239" i="50"/>
  <c r="AR217" i="50"/>
  <c r="AB220" i="50"/>
  <c r="BN220" i="50" s="1"/>
  <c r="BS160" i="62"/>
  <c r="V169" i="62"/>
  <c r="V229" i="50" s="1"/>
  <c r="BH229" i="50" s="1"/>
  <c r="BL169" i="62"/>
  <c r="O11" i="62"/>
  <c r="BF11" i="62" s="1"/>
  <c r="BF18" i="62"/>
  <c r="H210" i="50"/>
  <c r="AS210" i="50"/>
  <c r="AC202" i="50"/>
  <c r="BN202" i="50"/>
  <c r="O195" i="50"/>
  <c r="AZ195" i="50"/>
  <c r="O171" i="62"/>
  <c r="BE171" i="62"/>
  <c r="V104" i="62"/>
  <c r="BL104" i="62"/>
  <c r="V93" i="62"/>
  <c r="BL93" i="62"/>
  <c r="H87" i="62"/>
  <c r="AX87" i="62"/>
  <c r="V76" i="62"/>
  <c r="BL76" i="62"/>
  <c r="AJ203" i="50"/>
  <c r="BU203" i="50"/>
  <c r="M246" i="50"/>
  <c r="AY224" i="50"/>
  <c r="V77" i="62"/>
  <c r="BL77" i="62"/>
  <c r="H213" i="50"/>
  <c r="AS213" i="50"/>
  <c r="AA239" i="50"/>
  <c r="BM217" i="50"/>
  <c r="O86" i="62"/>
  <c r="BE86" i="62"/>
  <c r="AJ208" i="50"/>
  <c r="BU208" i="50"/>
  <c r="H77" i="62"/>
  <c r="AX77" i="62"/>
  <c r="AC208" i="50"/>
  <c r="BN208" i="50"/>
  <c r="H89" i="62"/>
  <c r="AX89" i="62"/>
  <c r="V212" i="50"/>
  <c r="BG212" i="50"/>
  <c r="AH251" i="50"/>
  <c r="BT229" i="50"/>
  <c r="AJ88" i="62"/>
  <c r="BZ88" i="62"/>
  <c r="AJ211" i="50"/>
  <c r="BU211" i="50"/>
  <c r="O204" i="50"/>
  <c r="AZ204" i="50"/>
  <c r="AC196" i="50"/>
  <c r="BN196" i="50"/>
  <c r="AA254" i="50"/>
  <c r="BM232" i="50"/>
  <c r="M248" i="50"/>
  <c r="AY226" i="50"/>
  <c r="M240" i="50"/>
  <c r="AY218" i="50"/>
  <c r="AC102" i="62"/>
  <c r="AC52" i="50" s="1"/>
  <c r="BO52" i="50" s="1"/>
  <c r="BS102" i="62"/>
  <c r="O93" i="62"/>
  <c r="BE93" i="62"/>
  <c r="O85" i="62"/>
  <c r="BE85" i="62"/>
  <c r="V63" i="62"/>
  <c r="BL63" i="62"/>
  <c r="AJ201" i="50"/>
  <c r="BU201" i="50"/>
  <c r="AH239" i="50"/>
  <c r="BT217" i="50"/>
  <c r="AJ92" i="62"/>
  <c r="BZ92" i="62"/>
  <c r="H63" i="62"/>
  <c r="AX63" i="62"/>
  <c r="AJ197" i="50"/>
  <c r="BU197" i="50"/>
  <c r="H102" i="62"/>
  <c r="AX102" i="62"/>
  <c r="F257" i="50"/>
  <c r="AR235" i="50"/>
  <c r="V66" i="62"/>
  <c r="V64" i="62" s="1"/>
  <c r="BM64" i="62" s="1"/>
  <c r="BL66" i="62"/>
  <c r="AC212" i="50"/>
  <c r="BN212" i="50"/>
  <c r="AC97" i="62"/>
  <c r="BS97" i="62"/>
  <c r="H73" i="62"/>
  <c r="AX73" i="62"/>
  <c r="V101" i="62"/>
  <c r="BL101" i="62"/>
  <c r="V213" i="50"/>
  <c r="BG213" i="50"/>
  <c r="AJ205" i="50"/>
  <c r="BU205" i="50"/>
  <c r="V198" i="50"/>
  <c r="BG198" i="50"/>
  <c r="H193" i="50"/>
  <c r="AS193" i="50"/>
  <c r="H104" i="62"/>
  <c r="AX104" i="62"/>
  <c r="AJ96" i="62"/>
  <c r="BZ96" i="62"/>
  <c r="AJ89" i="62"/>
  <c r="BZ89" i="62"/>
  <c r="AJ82" i="62"/>
  <c r="BZ82" i="62"/>
  <c r="AJ73" i="62"/>
  <c r="AJ135" i="50" s="1"/>
  <c r="BV135" i="50" s="1"/>
  <c r="BZ73" i="62"/>
  <c r="O63" i="62"/>
  <c r="BE63" i="62"/>
  <c r="H200" i="50"/>
  <c r="AS200" i="50"/>
  <c r="AC201" i="50"/>
  <c r="BN201" i="50"/>
  <c r="V108" i="62"/>
  <c r="BL108" i="62"/>
  <c r="AC84" i="62"/>
  <c r="BS84" i="62"/>
  <c r="AJ206" i="50"/>
  <c r="BU206" i="50"/>
  <c r="AH253" i="50"/>
  <c r="BT231" i="50"/>
  <c r="AJ78" i="62"/>
  <c r="BZ78" i="62"/>
  <c r="V197" i="50"/>
  <c r="BG197" i="50"/>
  <c r="AC90" i="62"/>
  <c r="BS90" i="62"/>
  <c r="V208" i="50"/>
  <c r="BG208" i="50"/>
  <c r="T253" i="50"/>
  <c r="BF231" i="50"/>
  <c r="AC93" i="62"/>
  <c r="AC149" i="50" s="1"/>
  <c r="BO149" i="50" s="1"/>
  <c r="BS93" i="62"/>
  <c r="V78" i="62"/>
  <c r="BL78" i="62"/>
  <c r="AJ79" i="50"/>
  <c r="BU79" i="50"/>
  <c r="AJ83" i="50"/>
  <c r="BU83" i="50"/>
  <c r="AJ82" i="50"/>
  <c r="D71" i="49" s="1"/>
  <c r="J71" i="49" s="1"/>
  <c r="BU82" i="50"/>
  <c r="M64" i="51"/>
  <c r="BD64" i="51" s="1"/>
  <c r="AT30" i="51"/>
  <c r="CK30" i="51" s="1"/>
  <c r="AR30" i="51"/>
  <c r="CI30" i="51" s="1"/>
  <c r="Z11" i="62"/>
  <c r="BQ11" i="62" s="1"/>
  <c r="E79" i="51"/>
  <c r="AV79" i="51" s="1"/>
  <c r="Z79" i="51"/>
  <c r="BQ79" i="51" s="1"/>
  <c r="Z67" i="51"/>
  <c r="BQ67" i="51" s="1"/>
  <c r="P11" i="62"/>
  <c r="BG11" i="62" s="1"/>
  <c r="AL11" i="62"/>
  <c r="CC11" i="62" s="1"/>
  <c r="S11" i="62"/>
  <c r="BJ11" i="62" s="1"/>
  <c r="AN11" i="62"/>
  <c r="J11" i="62"/>
  <c r="BA11" i="62" s="1"/>
  <c r="AJ11" i="62"/>
  <c r="CA11" i="62" s="1"/>
  <c r="AC11" i="62"/>
  <c r="BT11" i="62" s="1"/>
  <c r="AS30" i="51"/>
  <c r="CJ30" i="51" s="1"/>
  <c r="AI229" i="50"/>
  <c r="V11" i="62"/>
  <c r="BM11" i="62" s="1"/>
  <c r="U11" i="62"/>
  <c r="BL11" i="62" s="1"/>
  <c r="AQ30" i="51"/>
  <c r="CH30" i="51" s="1"/>
  <c r="AI227" i="50"/>
  <c r="F11" i="62"/>
  <c r="AW11" i="62" s="1"/>
  <c r="AN79" i="51"/>
  <c r="CE79" i="51" s="1"/>
  <c r="AN67" i="51"/>
  <c r="CE67" i="51" s="1"/>
  <c r="L79" i="51"/>
  <c r="BC79" i="51" s="1"/>
  <c r="L30" i="51"/>
  <c r="BC30" i="51" s="1"/>
  <c r="AG79" i="51"/>
  <c r="BX79" i="51" s="1"/>
  <c r="AC156" i="62"/>
  <c r="S67" i="51"/>
  <c r="V62" i="62"/>
  <c r="W62" i="62" s="1"/>
  <c r="BN62" i="62" s="1"/>
  <c r="L11" i="62"/>
  <c r="BC11" i="62" s="1"/>
  <c r="O65" i="62"/>
  <c r="N11" i="62"/>
  <c r="BE11" i="62" s="1"/>
  <c r="G9" i="41"/>
  <c r="E9" i="62"/>
  <c r="AV9" i="62" s="1"/>
  <c r="BC9" i="62" s="1"/>
  <c r="BJ9" i="62" s="1"/>
  <c r="BQ9" i="62" s="1"/>
  <c r="BX9" i="62" s="1"/>
  <c r="F8" i="82"/>
  <c r="AJ159" i="62"/>
  <c r="CA159" i="62" s="1"/>
  <c r="AC162" i="62"/>
  <c r="AG67" i="51"/>
  <c r="BX67" i="51" s="1"/>
  <c r="E67" i="51"/>
  <c r="L67" i="51"/>
  <c r="BC67" i="51" s="1"/>
  <c r="E30" i="51"/>
  <c r="AV30" i="51" s="1"/>
  <c r="AB140" i="50"/>
  <c r="AC172" i="62"/>
  <c r="AI154" i="62"/>
  <c r="BZ154" i="62" s="1"/>
  <c r="M79" i="62"/>
  <c r="BD79" i="62" s="1"/>
  <c r="N61" i="62"/>
  <c r="BE61" i="62" s="1"/>
  <c r="AA79" i="62"/>
  <c r="BR79" i="62" s="1"/>
  <c r="G74" i="62"/>
  <c r="AX74" i="62" s="1"/>
  <c r="Q64" i="51"/>
  <c r="BH64" i="51" s="1"/>
  <c r="AA9" i="62"/>
  <c r="AH9" i="62" s="1"/>
  <c r="AB224" i="50"/>
  <c r="G94" i="62"/>
  <c r="AX94" i="62" s="1"/>
  <c r="AN30" i="51"/>
  <c r="CE30" i="51" s="1"/>
  <c r="Z30" i="51"/>
  <c r="BQ30" i="51" s="1"/>
  <c r="O156" i="62"/>
  <c r="O155" i="62"/>
  <c r="N218" i="50"/>
  <c r="S30" i="51"/>
  <c r="BJ30" i="51" s="1"/>
  <c r="U229" i="50"/>
  <c r="AI235" i="50"/>
  <c r="AN60" i="62"/>
  <c r="U235" i="50"/>
  <c r="Y80" i="51"/>
  <c r="BP80" i="51" s="1"/>
  <c r="W64" i="51"/>
  <c r="BN64" i="51" s="1"/>
  <c r="V163" i="62"/>
  <c r="V223" i="50" s="1"/>
  <c r="AC160" i="62"/>
  <c r="AC220" i="50" s="1"/>
  <c r="BO220" i="50" s="1"/>
  <c r="M61" i="51"/>
  <c r="BD61" i="51" s="1"/>
  <c r="AJ56" i="73"/>
  <c r="BY56" i="73" s="1"/>
  <c r="B108" i="67"/>
  <c r="AN18" i="51"/>
  <c r="CE18" i="51" s="1"/>
  <c r="AG30" i="51"/>
  <c r="BX30" i="51" s="1"/>
  <c r="T64" i="51"/>
  <c r="BK64" i="51" s="1"/>
  <c r="AI52" i="50"/>
  <c r="BU52" i="50" s="1"/>
  <c r="AJ36" i="50"/>
  <c r="BV36" i="50" s="1"/>
  <c r="B17" i="67"/>
  <c r="AJ37" i="50"/>
  <c r="BV37" i="50" s="1"/>
  <c r="B119" i="67"/>
  <c r="B129" i="67" s="1"/>
  <c r="B112" i="67"/>
  <c r="B44" i="67"/>
  <c r="AU57" i="73"/>
  <c r="CE57" i="73" s="1"/>
  <c r="T106" i="67"/>
  <c r="AJ57" i="73"/>
  <c r="BY57" i="73" s="1"/>
  <c r="T82" i="67"/>
  <c r="B110" i="67"/>
  <c r="B7" i="67"/>
  <c r="B86" i="67"/>
  <c r="B35" i="67"/>
  <c r="B60" i="67"/>
  <c r="B26" i="67"/>
  <c r="X61" i="51"/>
  <c r="BO61" i="51" s="1"/>
  <c r="AH56" i="50"/>
  <c r="B43" i="67"/>
  <c r="AH59" i="50"/>
  <c r="AH55" i="50"/>
  <c r="AH51" i="50"/>
  <c r="AH53" i="50"/>
  <c r="AH52" i="50"/>
  <c r="AH50" i="50"/>
  <c r="AH43" i="50"/>
  <c r="AH37" i="50"/>
  <c r="B85" i="67"/>
  <c r="AH48" i="50"/>
  <c r="AH49" i="50"/>
  <c r="B84" i="67"/>
  <c r="B25" i="67"/>
  <c r="B61" i="67"/>
  <c r="N154" i="62"/>
  <c r="BE154" i="62" s="1"/>
  <c r="N224" i="50"/>
  <c r="AI94" i="62"/>
  <c r="BZ94" i="62" s="1"/>
  <c r="B19" i="67"/>
  <c r="B115" i="67" s="1"/>
  <c r="AG18" i="51"/>
  <c r="BX18" i="51" s="1"/>
  <c r="C71" i="49"/>
  <c r="I71" i="49" s="1"/>
  <c r="G235" i="50"/>
  <c r="H175" i="62"/>
  <c r="AY175" i="62" s="1"/>
  <c r="AH67" i="62"/>
  <c r="AA214" i="50"/>
  <c r="BM214" i="50" s="1"/>
  <c r="AH214" i="50"/>
  <c r="BT214" i="50" s="1"/>
  <c r="AB226" i="50"/>
  <c r="N234" i="50"/>
  <c r="AI231" i="50"/>
  <c r="AJ171" i="62"/>
  <c r="CA171" i="62" s="1"/>
  <c r="N226" i="50"/>
  <c r="O166" i="62"/>
  <c r="BF166" i="62" s="1"/>
  <c r="AI233" i="50"/>
  <c r="AJ173" i="62"/>
  <c r="CA173" i="62" s="1"/>
  <c r="AB218" i="50"/>
  <c r="AC158" i="62"/>
  <c r="BT158" i="62" s="1"/>
  <c r="AA67" i="62"/>
  <c r="BR67" i="62" s="1"/>
  <c r="B9" i="67"/>
  <c r="G154" i="62"/>
  <c r="AX154" i="62" s="1"/>
  <c r="U215" i="50"/>
  <c r="V155" i="62"/>
  <c r="BM155" i="62" s="1"/>
  <c r="AB230" i="50"/>
  <c r="AC170" i="62"/>
  <c r="BT170" i="62" s="1"/>
  <c r="T67" i="62"/>
  <c r="AJ157" i="62"/>
  <c r="T214" i="50"/>
  <c r="BF214" i="50" s="1"/>
  <c r="AI223" i="50"/>
  <c r="AJ163" i="62"/>
  <c r="CA163" i="62" s="1"/>
  <c r="N222" i="50"/>
  <c r="O162" i="62"/>
  <c r="BF162" i="62" s="1"/>
  <c r="G215" i="50"/>
  <c r="H155" i="62"/>
  <c r="AY155" i="62" s="1"/>
  <c r="G217" i="50"/>
  <c r="H157" i="62"/>
  <c r="AY157" i="62" s="1"/>
  <c r="AB80" i="62"/>
  <c r="AO61" i="51"/>
  <c r="CF61" i="51" s="1"/>
  <c r="L18" i="51"/>
  <c r="BC18" i="51" s="1"/>
  <c r="AQ61" i="51"/>
  <c r="CH61" i="51" s="1"/>
  <c r="N64" i="51"/>
  <c r="BE64" i="51" s="1"/>
  <c r="V80" i="51"/>
  <c r="BM80" i="51" s="1"/>
  <c r="Z18" i="51"/>
  <c r="BQ18" i="51" s="1"/>
  <c r="G80" i="51"/>
  <c r="AX80" i="51" s="1"/>
  <c r="X80" i="51"/>
  <c r="BO80" i="51" s="1"/>
  <c r="U64" i="51"/>
  <c r="BL64" i="51" s="1"/>
  <c r="O64" i="51"/>
  <c r="BF64" i="51" s="1"/>
  <c r="AT61" i="51"/>
  <c r="CK61" i="51" s="1"/>
  <c r="K61" i="51"/>
  <c r="BB61" i="51" s="1"/>
  <c r="V71" i="51"/>
  <c r="BM71" i="51" s="1"/>
  <c r="S18" i="51"/>
  <c r="BJ18" i="51" s="1"/>
  <c r="M71" i="51"/>
  <c r="BD71" i="51" s="1"/>
  <c r="Y64" i="51"/>
  <c r="BP64" i="51" s="1"/>
  <c r="I61" i="51"/>
  <c r="AZ61" i="51" s="1"/>
  <c r="O71" i="51"/>
  <c r="BF71" i="51" s="1"/>
  <c r="X64" i="51"/>
  <c r="BO64" i="51" s="1"/>
  <c r="AO80" i="51"/>
  <c r="CF80" i="51" s="1"/>
  <c r="T80" i="51"/>
  <c r="BK80" i="51" s="1"/>
  <c r="V64" i="51"/>
  <c r="BM64" i="51" s="1"/>
  <c r="V61" i="51"/>
  <c r="BM61" i="51" s="1"/>
  <c r="P61" i="51"/>
  <c r="BG61" i="51" s="1"/>
  <c r="O61" i="51"/>
  <c r="BF61" i="51" s="1"/>
  <c r="R61" i="51"/>
  <c r="BI61" i="51" s="1"/>
  <c r="I163" i="62"/>
  <c r="AZ163" i="62" s="1"/>
  <c r="H223" i="50"/>
  <c r="AT223" i="50" s="1"/>
  <c r="AC157" i="62"/>
  <c r="BT157" i="62" s="1"/>
  <c r="AB217" i="50"/>
  <c r="AB51" i="50"/>
  <c r="N71" i="51"/>
  <c r="BE71" i="51" s="1"/>
  <c r="G99" i="51"/>
  <c r="AX99" i="51" s="1"/>
  <c r="AI143" i="50"/>
  <c r="G61" i="51"/>
  <c r="AX61" i="51" s="1"/>
  <c r="AI99" i="62"/>
  <c r="BZ99" i="62" s="1"/>
  <c r="AQ71" i="51"/>
  <c r="CH71" i="51" s="1"/>
  <c r="P71" i="51"/>
  <c r="BG71" i="51" s="1"/>
  <c r="AI139" i="50"/>
  <c r="AB132" i="50"/>
  <c r="BN132" i="50" s="1"/>
  <c r="AJ160" i="62"/>
  <c r="CA160" i="62" s="1"/>
  <c r="AI220" i="50"/>
  <c r="H158" i="62"/>
  <c r="AY158" i="62" s="1"/>
  <c r="G218" i="50"/>
  <c r="V174" i="62"/>
  <c r="BM174" i="62" s="1"/>
  <c r="U234" i="50"/>
  <c r="AC161" i="62"/>
  <c r="BT161" i="62" s="1"/>
  <c r="AB221" i="50"/>
  <c r="AC159" i="62"/>
  <c r="BT159" i="62" s="1"/>
  <c r="AB219" i="50"/>
  <c r="AJ156" i="62"/>
  <c r="CA156" i="62" s="1"/>
  <c r="AI216" i="50"/>
  <c r="AJ174" i="62"/>
  <c r="CA174" i="62" s="1"/>
  <c r="AI234" i="50"/>
  <c r="H172" i="62"/>
  <c r="AY172" i="62" s="1"/>
  <c r="G232" i="50"/>
  <c r="V161" i="62"/>
  <c r="BM161" i="62" s="1"/>
  <c r="U221" i="50"/>
  <c r="O167" i="62"/>
  <c r="BF167" i="62" s="1"/>
  <c r="N227" i="50"/>
  <c r="AC224" i="50"/>
  <c r="BO224" i="50" s="1"/>
  <c r="O165" i="62"/>
  <c r="BF165" i="62" s="1"/>
  <c r="N225" i="50"/>
  <c r="V160" i="62"/>
  <c r="BM160" i="62" s="1"/>
  <c r="U220" i="50"/>
  <c r="AJ158" i="62"/>
  <c r="CA158" i="62" s="1"/>
  <c r="AI218" i="50"/>
  <c r="U233" i="50"/>
  <c r="V173" i="62"/>
  <c r="BM173" i="62" s="1"/>
  <c r="O173" i="62"/>
  <c r="BF173" i="62" s="1"/>
  <c r="N233" i="50"/>
  <c r="AK167" i="62"/>
  <c r="CB167" i="62" s="1"/>
  <c r="AC165" i="62"/>
  <c r="BT165" i="62" s="1"/>
  <c r="AB225" i="50"/>
  <c r="AJ229" i="50"/>
  <c r="BV229" i="50" s="1"/>
  <c r="AJ168" i="62"/>
  <c r="CA168" i="62" s="1"/>
  <c r="AI228" i="50"/>
  <c r="V165" i="62"/>
  <c r="BM165" i="62" s="1"/>
  <c r="U225" i="50"/>
  <c r="V162" i="62"/>
  <c r="BM162" i="62" s="1"/>
  <c r="U222" i="50"/>
  <c r="AC168" i="62"/>
  <c r="BT168" i="62" s="1"/>
  <c r="AB228" i="50"/>
  <c r="V166" i="62"/>
  <c r="BM166" i="62" s="1"/>
  <c r="U226" i="50"/>
  <c r="AI224" i="50"/>
  <c r="AJ164" i="62"/>
  <c r="CA164" i="62" s="1"/>
  <c r="AJ162" i="62"/>
  <c r="CA162" i="62" s="1"/>
  <c r="AI222" i="50"/>
  <c r="AC155" i="62"/>
  <c r="BT155" i="62" s="1"/>
  <c r="AB215" i="50"/>
  <c r="M67" i="62"/>
  <c r="BD67" i="62" s="1"/>
  <c r="AC169" i="62"/>
  <c r="BT169" i="62" s="1"/>
  <c r="AB229" i="50"/>
  <c r="AI215" i="50"/>
  <c r="BU215" i="50" s="1"/>
  <c r="AJ155" i="62"/>
  <c r="CA155" i="62" s="1"/>
  <c r="AJ172" i="62"/>
  <c r="CA172" i="62" s="1"/>
  <c r="AI232" i="50"/>
  <c r="AB227" i="50"/>
  <c r="AC167" i="62"/>
  <c r="BT167" i="62" s="1"/>
  <c r="AK159" i="62"/>
  <c r="CB159" i="62" s="1"/>
  <c r="AJ219" i="50"/>
  <c r="O234" i="50"/>
  <c r="BA234" i="50" s="1"/>
  <c r="N220" i="50"/>
  <c r="O160" i="62"/>
  <c r="BF160" i="62" s="1"/>
  <c r="AI221" i="50"/>
  <c r="AJ161" i="62"/>
  <c r="CA161" i="62" s="1"/>
  <c r="V159" i="62"/>
  <c r="BM159" i="62" s="1"/>
  <c r="U219" i="50"/>
  <c r="H162" i="62"/>
  <c r="AY162" i="62" s="1"/>
  <c r="G222" i="50"/>
  <c r="O159" i="62"/>
  <c r="BF159" i="62" s="1"/>
  <c r="N219" i="50"/>
  <c r="V158" i="62"/>
  <c r="BM158" i="62" s="1"/>
  <c r="U218" i="50"/>
  <c r="AC175" i="62"/>
  <c r="BT175" i="62" s="1"/>
  <c r="AB235" i="50"/>
  <c r="AJ170" i="62"/>
  <c r="CA170" i="62" s="1"/>
  <c r="AI230" i="50"/>
  <c r="O161" i="62"/>
  <c r="BF161" i="62" s="1"/>
  <c r="N221" i="50"/>
  <c r="O175" i="62"/>
  <c r="BF175" i="62" s="1"/>
  <c r="N235" i="50"/>
  <c r="AC171" i="62"/>
  <c r="BT171" i="62" s="1"/>
  <c r="AB231" i="50"/>
  <c r="AH269" i="50"/>
  <c r="BT269" i="50" s="1"/>
  <c r="M237" i="50"/>
  <c r="AY237" i="50" s="1"/>
  <c r="M214" i="50"/>
  <c r="AY214" i="50" s="1"/>
  <c r="N230" i="50"/>
  <c r="O170" i="62"/>
  <c r="BF170" i="62" s="1"/>
  <c r="N232" i="50"/>
  <c r="O172" i="62"/>
  <c r="BF172" i="62" s="1"/>
  <c r="V172" i="62"/>
  <c r="BM172" i="62" s="1"/>
  <c r="U232" i="50"/>
  <c r="O163" i="62"/>
  <c r="BF163" i="62" s="1"/>
  <c r="N223" i="50"/>
  <c r="U217" i="50"/>
  <c r="V157" i="62"/>
  <c r="BM157" i="62" s="1"/>
  <c r="AC173" i="62"/>
  <c r="BT173" i="62" s="1"/>
  <c r="AB233" i="50"/>
  <c r="V170" i="62"/>
  <c r="BM170" i="62" s="1"/>
  <c r="U230" i="50"/>
  <c r="V168" i="62"/>
  <c r="BM168" i="62" s="1"/>
  <c r="U228" i="50"/>
  <c r="V167" i="62"/>
  <c r="BM167" i="62" s="1"/>
  <c r="U227" i="50"/>
  <c r="G226" i="50"/>
  <c r="H166" i="62"/>
  <c r="AY166" i="62" s="1"/>
  <c r="AC163" i="62"/>
  <c r="BT163" i="62" s="1"/>
  <c r="AB223" i="50"/>
  <c r="N229" i="50"/>
  <c r="O169" i="62"/>
  <c r="BF169" i="62" s="1"/>
  <c r="O168" i="62"/>
  <c r="BF168" i="62" s="1"/>
  <c r="N228" i="50"/>
  <c r="H164" i="62"/>
  <c r="AY164" i="62" s="1"/>
  <c r="G224" i="50"/>
  <c r="AJ166" i="62"/>
  <c r="CA166" i="62" s="1"/>
  <c r="AI226" i="50"/>
  <c r="AI225" i="50"/>
  <c r="AJ165" i="62"/>
  <c r="CA165" i="62" s="1"/>
  <c r="V164" i="62"/>
  <c r="BM164" i="62" s="1"/>
  <c r="U224" i="50"/>
  <c r="O157" i="62"/>
  <c r="BF157" i="62" s="1"/>
  <c r="N217" i="50"/>
  <c r="G228" i="50"/>
  <c r="H168" i="62"/>
  <c r="AY168" i="62" s="1"/>
  <c r="AB99" i="51"/>
  <c r="BS99" i="51" s="1"/>
  <c r="AB50" i="50"/>
  <c r="BN50" i="50" s="1"/>
  <c r="I99" i="51"/>
  <c r="AZ99" i="51" s="1"/>
  <c r="AM61" i="51"/>
  <c r="CD61" i="51" s="1"/>
  <c r="AB80" i="50"/>
  <c r="AC80" i="51"/>
  <c r="BT80" i="51" s="1"/>
  <c r="AC139" i="50"/>
  <c r="BO139" i="50" s="1"/>
  <c r="AF80" i="51"/>
  <c r="BW80" i="51" s="1"/>
  <c r="AA37" i="50"/>
  <c r="AA99" i="51"/>
  <c r="BR99" i="51" s="1"/>
  <c r="AA50" i="50"/>
  <c r="AJ61" i="51"/>
  <c r="CA61" i="51" s="1"/>
  <c r="AA64" i="50"/>
  <c r="BM64" i="50" s="1"/>
  <c r="AD80" i="51"/>
  <c r="BU80" i="51" s="1"/>
  <c r="AB61" i="51"/>
  <c r="BS61" i="51" s="1"/>
  <c r="AB36" i="50"/>
  <c r="BN36" i="50" s="1"/>
  <c r="AQ80" i="51"/>
  <c r="CH80" i="51" s="1"/>
  <c r="AR80" i="51"/>
  <c r="CI80" i="51" s="1"/>
  <c r="O80" i="51"/>
  <c r="BF80" i="51" s="1"/>
  <c r="AD61" i="51"/>
  <c r="BU61" i="51" s="1"/>
  <c r="AK61" i="51"/>
  <c r="CB61" i="51" s="1"/>
  <c r="AA152" i="50"/>
  <c r="BM152" i="50" s="1"/>
  <c r="AE80" i="51"/>
  <c r="BV80" i="51" s="1"/>
  <c r="V99" i="51"/>
  <c r="BM99" i="51" s="1"/>
  <c r="AM80" i="51"/>
  <c r="CD80" i="51" s="1"/>
  <c r="H80" i="51"/>
  <c r="AY80" i="51" s="1"/>
  <c r="U71" i="51"/>
  <c r="BL71" i="51" s="1"/>
  <c r="AL61" i="51"/>
  <c r="CC61" i="51" s="1"/>
  <c r="AI61" i="51"/>
  <c r="BZ61" i="51" s="1"/>
  <c r="M99" i="51"/>
  <c r="BD99" i="51" s="1"/>
  <c r="AA80" i="51"/>
  <c r="BR80" i="51" s="1"/>
  <c r="AA139" i="50"/>
  <c r="AB80" i="51"/>
  <c r="BS80" i="51" s="1"/>
  <c r="AB139" i="50"/>
  <c r="BN139" i="50" s="1"/>
  <c r="AO71" i="51"/>
  <c r="CF71" i="51" s="1"/>
  <c r="R71" i="51"/>
  <c r="BI71" i="51" s="1"/>
  <c r="AA61" i="51"/>
  <c r="BR61" i="51" s="1"/>
  <c r="AA36" i="50"/>
  <c r="BM36" i="50" s="1"/>
  <c r="AH61" i="51"/>
  <c r="BY61" i="51" s="1"/>
  <c r="AC79" i="50"/>
  <c r="AB192" i="50"/>
  <c r="F192" i="50"/>
  <c r="AR192" i="50" s="1"/>
  <c r="F214" i="50"/>
  <c r="AR214" i="50" s="1"/>
  <c r="AH99" i="51"/>
  <c r="BY99" i="51" s="1"/>
  <c r="I80" i="51"/>
  <c r="AZ80" i="51" s="1"/>
  <c r="T61" i="51"/>
  <c r="BK61" i="51" s="1"/>
  <c r="AS83" i="51"/>
  <c r="CJ83" i="51" s="1"/>
  <c r="AD99" i="51"/>
  <c r="BU99" i="51" s="1"/>
  <c r="X71" i="51"/>
  <c r="BO71" i="51" s="1"/>
  <c r="AM99" i="51"/>
  <c r="CD99" i="51" s="1"/>
  <c r="K99" i="51"/>
  <c r="BB99" i="51" s="1"/>
  <c r="P64" i="51"/>
  <c r="BG64" i="51" s="1"/>
  <c r="U80" i="51"/>
  <c r="BL80" i="51" s="1"/>
  <c r="AR61" i="51"/>
  <c r="CI61" i="51" s="1"/>
  <c r="R64" i="51"/>
  <c r="BI64" i="51" s="1"/>
  <c r="Q80" i="51"/>
  <c r="BH80" i="51" s="1"/>
  <c r="Q99" i="51"/>
  <c r="BH99" i="51" s="1"/>
  <c r="R99" i="51"/>
  <c r="BI99" i="51" s="1"/>
  <c r="AE61" i="51"/>
  <c r="BV61" i="51" s="1"/>
  <c r="W61" i="51"/>
  <c r="BN61" i="51" s="1"/>
  <c r="W99" i="51"/>
  <c r="BN99" i="51" s="1"/>
  <c r="AI80" i="51"/>
  <c r="BZ80" i="51" s="1"/>
  <c r="J80" i="51"/>
  <c r="BA80" i="51" s="1"/>
  <c r="W71" i="51"/>
  <c r="BN71" i="51" s="1"/>
  <c r="AP83" i="51"/>
  <c r="CG83" i="51" s="1"/>
  <c r="AS80" i="51"/>
  <c r="CJ80" i="51" s="1"/>
  <c r="R80" i="51"/>
  <c r="BI80" i="51" s="1"/>
  <c r="P80" i="51"/>
  <c r="BG80" i="51" s="1"/>
  <c r="AC61" i="51"/>
  <c r="BT61" i="51" s="1"/>
  <c r="AE99" i="51"/>
  <c r="BV99" i="51" s="1"/>
  <c r="AF99" i="51"/>
  <c r="BW99" i="51" s="1"/>
  <c r="AK99" i="51"/>
  <c r="CB99" i="51" s="1"/>
  <c r="AI99" i="51"/>
  <c r="BZ99" i="51" s="1"/>
  <c r="H99" i="51"/>
  <c r="AY99" i="51" s="1"/>
  <c r="AR71" i="51"/>
  <c r="CI71" i="51" s="1"/>
  <c r="Q61" i="51"/>
  <c r="BH61" i="51" s="1"/>
  <c r="N99" i="51"/>
  <c r="BE99" i="51" s="1"/>
  <c r="P99" i="51"/>
  <c r="BG99" i="51" s="1"/>
  <c r="AO30" i="51"/>
  <c r="CF30" i="51" s="1"/>
  <c r="AP71" i="51"/>
  <c r="CG71" i="51" s="1"/>
  <c r="Q71" i="51"/>
  <c r="BH71" i="51" s="1"/>
  <c r="Y99" i="51"/>
  <c r="BP99" i="51" s="1"/>
  <c r="T99" i="51"/>
  <c r="BK99" i="51" s="1"/>
  <c r="AH80" i="51"/>
  <c r="BY80" i="51" s="1"/>
  <c r="AK80" i="51"/>
  <c r="CB80" i="51" s="1"/>
  <c r="F80" i="51"/>
  <c r="AW80" i="51" s="1"/>
  <c r="T71" i="51"/>
  <c r="BK71" i="51" s="1"/>
  <c r="U61" i="51"/>
  <c r="BL61" i="51" s="1"/>
  <c r="W80" i="51"/>
  <c r="BN80" i="51" s="1"/>
  <c r="AP61" i="51"/>
  <c r="CG61" i="51" s="1"/>
  <c r="AO83" i="51"/>
  <c r="CF83" i="51" s="1"/>
  <c r="AT83" i="51"/>
  <c r="CK83" i="51" s="1"/>
  <c r="M80" i="51"/>
  <c r="BD80" i="51" s="1"/>
  <c r="F99" i="51"/>
  <c r="AW99" i="51" s="1"/>
  <c r="AC99" i="51"/>
  <c r="BT99" i="51" s="1"/>
  <c r="AL99" i="51"/>
  <c r="CC99" i="51" s="1"/>
  <c r="AJ99" i="51"/>
  <c r="CA99" i="51" s="1"/>
  <c r="J99" i="51"/>
  <c r="BA99" i="51" s="1"/>
  <c r="F61" i="51"/>
  <c r="AW61" i="51" s="1"/>
  <c r="H61" i="51"/>
  <c r="AY61" i="51" s="1"/>
  <c r="AS61" i="51"/>
  <c r="CJ61" i="51" s="1"/>
  <c r="O99" i="51"/>
  <c r="BF99" i="51" s="1"/>
  <c r="AS71" i="51"/>
  <c r="CJ71" i="51" s="1"/>
  <c r="AT71" i="51"/>
  <c r="CK71" i="51" s="1"/>
  <c r="AF61" i="51"/>
  <c r="BW61" i="51" s="1"/>
  <c r="J61" i="51"/>
  <c r="BA61" i="51" s="1"/>
  <c r="U99" i="51"/>
  <c r="BL99" i="51" s="1"/>
  <c r="X99" i="51"/>
  <c r="BO99" i="51" s="1"/>
  <c r="AL80" i="51"/>
  <c r="CC80" i="51" s="1"/>
  <c r="AJ80" i="51"/>
  <c r="CA80" i="51" s="1"/>
  <c r="K80" i="51"/>
  <c r="BB80" i="51" s="1"/>
  <c r="Y71" i="51"/>
  <c r="BP71" i="51" s="1"/>
  <c r="Y61" i="51"/>
  <c r="BP61" i="51" s="1"/>
  <c r="N61" i="51"/>
  <c r="BE61" i="51" s="1"/>
  <c r="AR83" i="51"/>
  <c r="CI83" i="51" s="1"/>
  <c r="AQ83" i="51"/>
  <c r="CH83" i="51" s="1"/>
  <c r="AP80" i="51"/>
  <c r="CG80" i="51" s="1"/>
  <c r="AT80" i="51"/>
  <c r="CK80" i="51" s="1"/>
  <c r="N80" i="51"/>
  <c r="BE80" i="51" s="1"/>
  <c r="O101" i="62"/>
  <c r="BF101" i="62" s="1"/>
  <c r="N99" i="62"/>
  <c r="BE99" i="62" s="1"/>
  <c r="AC71" i="62"/>
  <c r="BT71" i="62" s="1"/>
  <c r="AJ64" i="62"/>
  <c r="CA64" i="62" s="1"/>
  <c r="AK65" i="62"/>
  <c r="AJ75" i="62"/>
  <c r="CA75" i="62" s="1"/>
  <c r="AI74" i="62"/>
  <c r="AC63" i="62"/>
  <c r="AB61" i="62"/>
  <c r="BS61" i="62" s="1"/>
  <c r="AK62" i="62"/>
  <c r="N83" i="62"/>
  <c r="O84" i="62"/>
  <c r="BF84" i="62" s="1"/>
  <c r="F79" i="62"/>
  <c r="AW79" i="62" s="1"/>
  <c r="W75" i="62"/>
  <c r="BN75" i="62" s="1"/>
  <c r="AC66" i="62"/>
  <c r="BT66" i="62" s="1"/>
  <c r="AB64" i="62"/>
  <c r="BS64" i="62" s="1"/>
  <c r="W84" i="62"/>
  <c r="BN84" i="62" s="1"/>
  <c r="O72" i="62"/>
  <c r="BF72" i="62" s="1"/>
  <c r="N71" i="62"/>
  <c r="BE71" i="62" s="1"/>
  <c r="AJ81" i="62"/>
  <c r="AI80" i="62"/>
  <c r="BZ80" i="62" s="1"/>
  <c r="W65" i="62"/>
  <c r="BN65" i="62" s="1"/>
  <c r="V156" i="62"/>
  <c r="U154" i="62"/>
  <c r="BL154" i="62" s="1"/>
  <c r="W72" i="62"/>
  <c r="BN72" i="62" s="1"/>
  <c r="V80" i="62"/>
  <c r="BM80" i="62" s="1"/>
  <c r="AB99" i="62"/>
  <c r="BS99" i="62" s="1"/>
  <c r="AC101" i="62"/>
  <c r="AK95" i="62"/>
  <c r="CB95" i="62" s="1"/>
  <c r="V100" i="62"/>
  <c r="BM100" i="62" s="1"/>
  <c r="U99" i="62"/>
  <c r="BL99" i="62" s="1"/>
  <c r="AB94" i="62"/>
  <c r="BS94" i="62" s="1"/>
  <c r="AC96" i="62"/>
  <c r="BT96" i="62" s="1"/>
  <c r="V95" i="62"/>
  <c r="BM95" i="62" s="1"/>
  <c r="U94" i="62"/>
  <c r="BL94" i="62" s="1"/>
  <c r="N74" i="62"/>
  <c r="BE74" i="62" s="1"/>
  <c r="O75" i="62"/>
  <c r="BF75" i="62" s="1"/>
  <c r="AB154" i="62"/>
  <c r="BS154" i="62" s="1"/>
  <c r="AI83" i="62"/>
  <c r="BZ83" i="62" s="1"/>
  <c r="H81" i="62"/>
  <c r="AY81" i="62" s="1"/>
  <c r="G80" i="62"/>
  <c r="W50" i="53"/>
  <c r="S50" i="53"/>
  <c r="BX50" i="53" s="1"/>
  <c r="T49" i="53"/>
  <c r="BY49" i="53" s="1"/>
  <c r="U49" i="53"/>
  <c r="V49" i="53"/>
  <c r="W49" i="53"/>
  <c r="S49" i="53"/>
  <c r="BX49" i="53" s="1"/>
  <c r="AU21" i="73"/>
  <c r="CE21" i="73" s="1"/>
  <c r="AJ65" i="73"/>
  <c r="BY65" i="73" s="1"/>
  <c r="AJ61" i="73"/>
  <c r="BY61" i="73" s="1"/>
  <c r="AJ48" i="73"/>
  <c r="BY48" i="73" s="1"/>
  <c r="AJ24" i="73"/>
  <c r="BY24" i="73" s="1"/>
  <c r="AJ21" i="73"/>
  <c r="BY21" i="73" s="1"/>
  <c r="Y65" i="73"/>
  <c r="BS65" i="73" s="1"/>
  <c r="Y61" i="73"/>
  <c r="BS61" i="73" s="1"/>
  <c r="Y48" i="73"/>
  <c r="BS48" i="73" s="1"/>
  <c r="Y21" i="73"/>
  <c r="BS21" i="73" s="1"/>
  <c r="N65" i="73"/>
  <c r="BM65" i="73" s="1"/>
  <c r="N61" i="73"/>
  <c r="BM61" i="73" s="1"/>
  <c r="N48" i="73"/>
  <c r="BM48" i="73" s="1"/>
  <c r="N24" i="73"/>
  <c r="BM24" i="73" s="1"/>
  <c r="N21" i="73"/>
  <c r="BM21" i="73" s="1"/>
  <c r="C65" i="73"/>
  <c r="BG65" i="73" s="1"/>
  <c r="C61" i="73"/>
  <c r="BG61" i="73" s="1"/>
  <c r="C48" i="73"/>
  <c r="BG48" i="73" s="1"/>
  <c r="C21" i="73"/>
  <c r="BG21" i="73" s="1"/>
  <c r="C24" i="73"/>
  <c r="BG24" i="73" s="1"/>
  <c r="BM59" i="50" l="1"/>
  <c r="BN12" i="50"/>
  <c r="AA74" i="50"/>
  <c r="BM74" i="50" s="1"/>
  <c r="AC120" i="50"/>
  <c r="BU120" i="50"/>
  <c r="BF96" i="62"/>
  <c r="I100" i="62"/>
  <c r="AZ100" i="62" s="1"/>
  <c r="P62" i="62"/>
  <c r="BG62" i="62" s="1"/>
  <c r="I65" i="62"/>
  <c r="AZ65" i="62" s="1"/>
  <c r="H64" i="62"/>
  <c r="AY64" i="62" s="1"/>
  <c r="G238" i="50"/>
  <c r="BM149" i="50"/>
  <c r="BM43" i="50"/>
  <c r="AC123" i="50"/>
  <c r="BO123" i="50" s="1"/>
  <c r="AB168" i="50"/>
  <c r="BM48" i="50"/>
  <c r="AB74" i="50"/>
  <c r="AJ227" i="50"/>
  <c r="BV227" i="50" s="1"/>
  <c r="AA166" i="50"/>
  <c r="F260" i="50"/>
  <c r="AR260" i="50" s="1"/>
  <c r="G256" i="50"/>
  <c r="AS256" i="50" s="1"/>
  <c r="AA175" i="50"/>
  <c r="BM175" i="50" s="1"/>
  <c r="AK169" i="62"/>
  <c r="CB169" i="62" s="1"/>
  <c r="BM140" i="50"/>
  <c r="BU24" i="50"/>
  <c r="BU129" i="50"/>
  <c r="BN119" i="50"/>
  <c r="G242" i="50"/>
  <c r="BT132" i="50"/>
  <c r="G249" i="50"/>
  <c r="BT140" i="50"/>
  <c r="H61" i="62"/>
  <c r="AY61" i="62" s="1"/>
  <c r="BU192" i="50"/>
  <c r="C94" i="85" s="1"/>
  <c r="C127" i="85" s="1"/>
  <c r="BA9" i="41"/>
  <c r="BJ9" i="41" s="1"/>
  <c r="AM20" i="84"/>
  <c r="BM143" i="50"/>
  <c r="BM56" i="50"/>
  <c r="AC83" i="50"/>
  <c r="AD83" i="50" s="1"/>
  <c r="AA277" i="50"/>
  <c r="BM277" i="50" s="1"/>
  <c r="BT143" i="50"/>
  <c r="H94" i="62"/>
  <c r="AY94" i="62" s="1"/>
  <c r="BT146" i="50"/>
  <c r="V231" i="50"/>
  <c r="AB169" i="50"/>
  <c r="AB189" i="50" s="1"/>
  <c r="BN189" i="50" s="1"/>
  <c r="BT148" i="50"/>
  <c r="AH64" i="50"/>
  <c r="BT64" i="50" s="1"/>
  <c r="BT139" i="50"/>
  <c r="BT155" i="50"/>
  <c r="AI155" i="50"/>
  <c r="AJ155" i="50" s="1"/>
  <c r="BM73" i="50"/>
  <c r="AB73" i="50"/>
  <c r="BN73" i="50" s="1"/>
  <c r="AD24" i="50"/>
  <c r="BO24" i="50"/>
  <c r="AK126" i="50"/>
  <c r="BV126" i="50"/>
  <c r="AD115" i="50"/>
  <c r="BO115" i="50"/>
  <c r="I95" i="62"/>
  <c r="AZ95" i="62" s="1"/>
  <c r="AI169" i="50"/>
  <c r="AJ169" i="50" s="1"/>
  <c r="O94" i="62"/>
  <c r="BF94" i="62" s="1"/>
  <c r="AK128" i="50"/>
  <c r="BV128" i="50"/>
  <c r="AK129" i="50"/>
  <c r="BV129" i="50"/>
  <c r="AD126" i="50"/>
  <c r="BO126" i="50"/>
  <c r="AD11" i="50"/>
  <c r="BO11" i="50"/>
  <c r="AD119" i="50"/>
  <c r="BO119" i="50"/>
  <c r="AK30" i="50"/>
  <c r="BV30" i="50"/>
  <c r="AD14" i="50"/>
  <c r="BO14" i="50"/>
  <c r="AK31" i="50"/>
  <c r="BV31" i="50"/>
  <c r="AD23" i="50"/>
  <c r="BO23" i="50"/>
  <c r="AJ235" i="50"/>
  <c r="BV235" i="50" s="1"/>
  <c r="AJ11" i="50"/>
  <c r="BU11" i="50"/>
  <c r="AK23" i="50"/>
  <c r="BV23" i="50"/>
  <c r="AD30" i="50"/>
  <c r="BO30" i="50"/>
  <c r="AK119" i="50"/>
  <c r="BV119" i="50"/>
  <c r="AK27" i="50"/>
  <c r="BV27" i="50"/>
  <c r="AD34" i="50"/>
  <c r="BO34" i="50"/>
  <c r="AK175" i="62"/>
  <c r="CB175" i="62" s="1"/>
  <c r="BT135" i="50"/>
  <c r="AK28" i="50"/>
  <c r="BV28" i="50"/>
  <c r="AK12" i="50"/>
  <c r="BV12" i="50"/>
  <c r="AD31" i="50"/>
  <c r="BO31" i="50"/>
  <c r="AK112" i="50"/>
  <c r="BV112" i="50"/>
  <c r="AA8" i="82"/>
  <c r="AE8" i="82" s="1"/>
  <c r="AI8" i="82" s="1"/>
  <c r="AM8" i="82" s="1"/>
  <c r="AQ8" i="82" s="1"/>
  <c r="G243" i="50"/>
  <c r="AJ94" i="62"/>
  <c r="CA94" i="62" s="1"/>
  <c r="AD25" i="50"/>
  <c r="BO25" i="50"/>
  <c r="AD112" i="50"/>
  <c r="BO112" i="50"/>
  <c r="AK14" i="50"/>
  <c r="BV14" i="50"/>
  <c r="AK34" i="50"/>
  <c r="BV34" i="50"/>
  <c r="AK115" i="50"/>
  <c r="BV115" i="50"/>
  <c r="AD26" i="50"/>
  <c r="BO26" i="50"/>
  <c r="AK120" i="50"/>
  <c r="BV120" i="50"/>
  <c r="AJ61" i="62"/>
  <c r="CA61" i="62" s="1"/>
  <c r="AK24" i="50"/>
  <c r="BV24" i="50"/>
  <c r="AD128" i="50"/>
  <c r="BO128" i="50"/>
  <c r="AK123" i="50"/>
  <c r="BV123" i="50"/>
  <c r="AD123" i="50"/>
  <c r="AD129" i="50"/>
  <c r="BO129" i="50"/>
  <c r="AD28" i="50"/>
  <c r="BO28" i="50"/>
  <c r="AK25" i="50"/>
  <c r="BV25" i="50"/>
  <c r="AD18" i="50"/>
  <c r="BO18" i="50"/>
  <c r="AD27" i="50"/>
  <c r="BO27" i="50"/>
  <c r="AH276" i="50"/>
  <c r="BT276" i="50" s="1"/>
  <c r="AK26" i="50"/>
  <c r="BV26" i="50"/>
  <c r="AK18" i="50"/>
  <c r="BV18" i="50"/>
  <c r="AD12" i="50"/>
  <c r="BO12" i="50"/>
  <c r="AD120" i="50"/>
  <c r="BO120" i="50"/>
  <c r="AZ49" i="53"/>
  <c r="DB49" i="53" s="1"/>
  <c r="CA49" i="53"/>
  <c r="AY49" i="53"/>
  <c r="DA49" i="53" s="1"/>
  <c r="BZ49" i="53"/>
  <c r="BA50" i="53"/>
  <c r="DC50" i="53" s="1"/>
  <c r="CB50" i="53"/>
  <c r="BA49" i="53"/>
  <c r="DC49" i="53" s="1"/>
  <c r="CB49" i="53"/>
  <c r="U238" i="50"/>
  <c r="BG238" i="50" s="1"/>
  <c r="F265" i="50"/>
  <c r="AR265" i="50" s="1"/>
  <c r="AB78" i="50"/>
  <c r="T276" i="50"/>
  <c r="BF276" i="50" s="1"/>
  <c r="AB81" i="50"/>
  <c r="BN81" i="50" s="1"/>
  <c r="AB163" i="50"/>
  <c r="AB183" i="50" s="1"/>
  <c r="BN183" i="50" s="1"/>
  <c r="F269" i="50"/>
  <c r="AR269" i="50" s="1"/>
  <c r="AB166" i="50"/>
  <c r="BN166" i="50" s="1"/>
  <c r="F271" i="50"/>
  <c r="AR271" i="50" s="1"/>
  <c r="AA263" i="50"/>
  <c r="BM263" i="50" s="1"/>
  <c r="T262" i="50"/>
  <c r="BF262" i="50" s="1"/>
  <c r="F264" i="50"/>
  <c r="AR264" i="50" s="1"/>
  <c r="M261" i="50"/>
  <c r="AY261" i="50" s="1"/>
  <c r="AA260" i="50"/>
  <c r="BM260" i="50" s="1"/>
  <c r="G245" i="50"/>
  <c r="H245" i="50" s="1"/>
  <c r="AC74" i="62"/>
  <c r="BT74" i="62" s="1"/>
  <c r="AD75" i="62"/>
  <c r="BU75" i="62" s="1"/>
  <c r="M275" i="50"/>
  <c r="AY275" i="50" s="1"/>
  <c r="G247" i="50"/>
  <c r="AS247" i="50" s="1"/>
  <c r="P174" i="62"/>
  <c r="BG174" i="62" s="1"/>
  <c r="N253" i="50"/>
  <c r="N275" i="50" s="1"/>
  <c r="AZ275" i="50" s="1"/>
  <c r="M279" i="50"/>
  <c r="AY279" i="50" s="1"/>
  <c r="AB77" i="50"/>
  <c r="AC77" i="50" s="1"/>
  <c r="AJ99" i="62"/>
  <c r="CA99" i="62" s="1"/>
  <c r="AI152" i="50"/>
  <c r="BU152" i="50" s="1"/>
  <c r="AK100" i="62"/>
  <c r="AL100" i="62" s="1"/>
  <c r="AD174" i="62"/>
  <c r="BU174" i="62" s="1"/>
  <c r="O218" i="50"/>
  <c r="BA218" i="50" s="1"/>
  <c r="AC226" i="50"/>
  <c r="BO226" i="50" s="1"/>
  <c r="F268" i="50"/>
  <c r="AR268" i="50" s="1"/>
  <c r="AC80" i="62"/>
  <c r="BT80" i="62" s="1"/>
  <c r="F278" i="50"/>
  <c r="AR278" i="50" s="1"/>
  <c r="AJ50" i="50"/>
  <c r="BV50" i="50" s="1"/>
  <c r="AB155" i="50"/>
  <c r="BN155" i="50" s="1"/>
  <c r="AC234" i="50"/>
  <c r="U79" i="62"/>
  <c r="BL79" i="62" s="1"/>
  <c r="AI160" i="50"/>
  <c r="I62" i="62"/>
  <c r="AZ62" i="62" s="1"/>
  <c r="AD72" i="62"/>
  <c r="BU72" i="62" s="1"/>
  <c r="F267" i="50"/>
  <c r="AR267" i="50" s="1"/>
  <c r="AA183" i="50"/>
  <c r="BM183" i="50" s="1"/>
  <c r="P158" i="62"/>
  <c r="BG158" i="62" s="1"/>
  <c r="AD166" i="62"/>
  <c r="BU166" i="62" s="1"/>
  <c r="G246" i="50"/>
  <c r="AS224" i="50"/>
  <c r="N243" i="50"/>
  <c r="AZ243" i="50" s="1"/>
  <c r="AZ221" i="50"/>
  <c r="AB241" i="50"/>
  <c r="BN241" i="50" s="1"/>
  <c r="BN219" i="50"/>
  <c r="AD90" i="62"/>
  <c r="BT90" i="62"/>
  <c r="W198" i="50"/>
  <c r="BH198" i="50"/>
  <c r="AR257" i="50"/>
  <c r="F279" i="50"/>
  <c r="AR279" i="50" s="1"/>
  <c r="P85" i="62"/>
  <c r="BF85" i="62"/>
  <c r="AY248" i="50"/>
  <c r="M270" i="50"/>
  <c r="AY270" i="50" s="1"/>
  <c r="T261" i="50"/>
  <c r="BF261" i="50" s="1"/>
  <c r="BF239" i="50"/>
  <c r="P202" i="50"/>
  <c r="BA202" i="50"/>
  <c r="I169" i="62"/>
  <c r="AY169" i="62"/>
  <c r="H229" i="50"/>
  <c r="AT229" i="50" s="1"/>
  <c r="J66" i="62"/>
  <c r="AZ66" i="62"/>
  <c r="I105" i="62"/>
  <c r="AY105" i="62"/>
  <c r="T277" i="50"/>
  <c r="BF277" i="50" s="1"/>
  <c r="BF255" i="50"/>
  <c r="AD82" i="50"/>
  <c r="BO82" i="50"/>
  <c r="AK194" i="50"/>
  <c r="BV194" i="50"/>
  <c r="W105" i="62"/>
  <c r="BM105" i="62"/>
  <c r="BT257" i="50"/>
  <c r="AH279" i="50"/>
  <c r="BT279" i="50" s="1"/>
  <c r="AC73" i="50"/>
  <c r="AC168" i="50"/>
  <c r="BN168" i="50"/>
  <c r="BN80" i="50"/>
  <c r="BN78" i="50"/>
  <c r="N254" i="50"/>
  <c r="AZ254" i="50" s="1"/>
  <c r="AZ232" i="50"/>
  <c r="U255" i="50"/>
  <c r="BG233" i="50"/>
  <c r="AI251" i="50"/>
  <c r="BU229" i="50"/>
  <c r="M272" i="50"/>
  <c r="AY272" i="50" s="1"/>
  <c r="AY250" i="50"/>
  <c r="BF237" i="50"/>
  <c r="T259" i="50"/>
  <c r="BF259" i="50" s="1"/>
  <c r="T236" i="50"/>
  <c r="BF236" i="50" s="1"/>
  <c r="AK199" i="50"/>
  <c r="BV199" i="50"/>
  <c r="W206" i="50"/>
  <c r="BH206" i="50"/>
  <c r="AD108" i="62"/>
  <c r="BT108" i="62"/>
  <c r="AC59" i="50"/>
  <c r="BO59" i="50" s="1"/>
  <c r="P95" i="62"/>
  <c r="BF95" i="62"/>
  <c r="I197" i="50"/>
  <c r="AT197" i="50"/>
  <c r="AK204" i="50"/>
  <c r="BV204" i="50"/>
  <c r="BM68" i="50"/>
  <c r="AB68" i="50"/>
  <c r="AA62" i="50"/>
  <c r="BM62" i="50" s="1"/>
  <c r="BM37" i="50"/>
  <c r="M276" i="50"/>
  <c r="AY276" i="50" s="1"/>
  <c r="U249" i="50"/>
  <c r="BG227" i="50"/>
  <c r="G257" i="50"/>
  <c r="AS235" i="50"/>
  <c r="AA275" i="50"/>
  <c r="BM275" i="50" s="1"/>
  <c r="BM253" i="50"/>
  <c r="F270" i="50"/>
  <c r="AR270" i="50" s="1"/>
  <c r="AR248" i="50"/>
  <c r="AB67" i="62"/>
  <c r="BS67" i="62" s="1"/>
  <c r="AI159" i="50"/>
  <c r="BU159" i="50" s="1"/>
  <c r="BU139" i="50"/>
  <c r="H203" i="50"/>
  <c r="AS203" i="50"/>
  <c r="W73" i="62"/>
  <c r="W71" i="62" s="1"/>
  <c r="BN71" i="62" s="1"/>
  <c r="BM73" i="62"/>
  <c r="P102" i="62"/>
  <c r="BF102" i="62"/>
  <c r="P107" i="62"/>
  <c r="BF107" i="62"/>
  <c r="P210" i="50"/>
  <c r="BA210" i="50"/>
  <c r="BM81" i="62"/>
  <c r="W81" i="62"/>
  <c r="N257" i="50"/>
  <c r="AZ257" i="50" s="1"/>
  <c r="AZ235" i="50"/>
  <c r="T60" i="62"/>
  <c r="BK60" i="62" s="1"/>
  <c r="BK67" i="62"/>
  <c r="BM168" i="50"/>
  <c r="AA188" i="50"/>
  <c r="BM188" i="50" s="1"/>
  <c r="I170" i="62"/>
  <c r="AY170" i="62"/>
  <c r="H230" i="50"/>
  <c r="AT230" i="50" s="1"/>
  <c r="AD103" i="62"/>
  <c r="BT103" i="62"/>
  <c r="AC49" i="50"/>
  <c r="BO49" i="50" s="1"/>
  <c r="I92" i="62"/>
  <c r="AY92" i="62"/>
  <c r="AK210" i="50"/>
  <c r="BV210" i="50"/>
  <c r="I195" i="50"/>
  <c r="AT195" i="50"/>
  <c r="W106" i="62"/>
  <c r="BM106" i="62"/>
  <c r="W85" i="62"/>
  <c r="BM85" i="62"/>
  <c r="AD200" i="50"/>
  <c r="BO200" i="50"/>
  <c r="AR251" i="50"/>
  <c r="G251" i="50"/>
  <c r="Q96" i="62"/>
  <c r="BG96" i="62"/>
  <c r="BT238" i="50"/>
  <c r="AH260" i="50"/>
  <c r="BT260" i="50" s="1"/>
  <c r="M277" i="50"/>
  <c r="AY277" i="50" s="1"/>
  <c r="AY255" i="50"/>
  <c r="AD68" i="62"/>
  <c r="BT68" i="62"/>
  <c r="AK70" i="62"/>
  <c r="CA70" i="62"/>
  <c r="I86" i="62"/>
  <c r="AY86" i="62"/>
  <c r="W89" i="62"/>
  <c r="BM89" i="62"/>
  <c r="AD205" i="50"/>
  <c r="BO205" i="50"/>
  <c r="W98" i="62"/>
  <c r="BM98" i="62"/>
  <c r="AK63" i="62"/>
  <c r="CA63" i="62"/>
  <c r="AJ132" i="50"/>
  <c r="BV132" i="50" s="1"/>
  <c r="AD106" i="62"/>
  <c r="BT106" i="62"/>
  <c r="AY72" i="62"/>
  <c r="H71" i="62"/>
  <c r="AY71" i="62" s="1"/>
  <c r="I72" i="62"/>
  <c r="BT65" i="62"/>
  <c r="AD65" i="62"/>
  <c r="P104" i="62"/>
  <c r="BF104" i="62"/>
  <c r="AD198" i="50"/>
  <c r="BO198" i="50"/>
  <c r="W195" i="50"/>
  <c r="BH195" i="50"/>
  <c r="AK101" i="62"/>
  <c r="CA101" i="62"/>
  <c r="CA84" i="62"/>
  <c r="AK84" i="62"/>
  <c r="W68" i="62"/>
  <c r="BM68" i="62"/>
  <c r="I106" i="62"/>
  <c r="AY106" i="62"/>
  <c r="P212" i="50"/>
  <c r="BA212" i="50"/>
  <c r="I75" i="62"/>
  <c r="AY75" i="62"/>
  <c r="H74" i="62"/>
  <c r="AY74" i="62" s="1"/>
  <c r="M264" i="50"/>
  <c r="AY264" i="50" s="1"/>
  <c r="AY242" i="50"/>
  <c r="T266" i="50"/>
  <c r="BF266" i="50" s="1"/>
  <c r="BF244" i="50"/>
  <c r="P81" i="62"/>
  <c r="BG81" i="62" s="1"/>
  <c r="V83" i="62"/>
  <c r="BM83" i="62" s="1"/>
  <c r="N79" i="62"/>
  <c r="BE79" i="62" s="1"/>
  <c r="BE83" i="62"/>
  <c r="AA236" i="50"/>
  <c r="BM236" i="50" s="1"/>
  <c r="N252" i="50"/>
  <c r="AZ252" i="50" s="1"/>
  <c r="AZ230" i="50"/>
  <c r="U241" i="50"/>
  <c r="BG241" i="50" s="1"/>
  <c r="BG219" i="50"/>
  <c r="BV219" i="50"/>
  <c r="T265" i="50"/>
  <c r="BF265" i="50" s="1"/>
  <c r="V235" i="50"/>
  <c r="G237" i="50"/>
  <c r="AS237" i="50" s="1"/>
  <c r="AS215" i="50"/>
  <c r="BM257" i="50"/>
  <c r="AA279" i="50"/>
  <c r="BM279" i="50" s="1"/>
  <c r="BU148" i="50"/>
  <c r="AI168" i="50"/>
  <c r="AK86" i="62"/>
  <c r="CA86" i="62"/>
  <c r="BT164" i="62"/>
  <c r="AD164" i="62"/>
  <c r="BU164" i="62" s="1"/>
  <c r="CA72" i="62"/>
  <c r="AK72" i="62"/>
  <c r="CB72" i="62" s="1"/>
  <c r="AJ71" i="62"/>
  <c r="CA71" i="62" s="1"/>
  <c r="I98" i="62"/>
  <c r="AY98" i="62"/>
  <c r="AD204" i="50"/>
  <c r="BO204" i="50"/>
  <c r="P91" i="62"/>
  <c r="BF91" i="62"/>
  <c r="AH274" i="50"/>
  <c r="BT274" i="50" s="1"/>
  <c r="BT252" i="50"/>
  <c r="BN169" i="50"/>
  <c r="BN74" i="50"/>
  <c r="U243" i="50"/>
  <c r="BG243" i="50" s="1"/>
  <c r="BG221" i="50"/>
  <c r="AK206" i="50"/>
  <c r="BV206" i="50"/>
  <c r="AK89" i="62"/>
  <c r="CA89" i="62"/>
  <c r="AJ146" i="50"/>
  <c r="BV146" i="50" s="1"/>
  <c r="AD202" i="50"/>
  <c r="BO202" i="50"/>
  <c r="AR252" i="50"/>
  <c r="F274" i="50"/>
  <c r="AR274" i="50" s="1"/>
  <c r="G252" i="50"/>
  <c r="AK37" i="50"/>
  <c r="BW37" i="50" s="1"/>
  <c r="CB65" i="62"/>
  <c r="O64" i="62"/>
  <c r="BF64" i="62" s="1"/>
  <c r="BF65" i="62"/>
  <c r="BT166" i="50"/>
  <c r="AI166" i="50"/>
  <c r="AY171" i="62"/>
  <c r="H231" i="50"/>
  <c r="F262" i="50"/>
  <c r="AR262" i="50" s="1"/>
  <c r="AR240" i="50"/>
  <c r="AA264" i="50"/>
  <c r="BM264" i="50" s="1"/>
  <c r="BM242" i="50"/>
  <c r="AB242" i="50"/>
  <c r="AC242" i="50" s="1"/>
  <c r="AA273" i="50"/>
  <c r="BM273" i="50" s="1"/>
  <c r="BM251" i="50"/>
  <c r="P207" i="50"/>
  <c r="BA207" i="50"/>
  <c r="I93" i="62"/>
  <c r="AY93" i="62"/>
  <c r="P82" i="62"/>
  <c r="BF82" i="62"/>
  <c r="BF251" i="50"/>
  <c r="T273" i="50"/>
  <c r="BF273" i="50" s="1"/>
  <c r="P103" i="62"/>
  <c r="BF103" i="62"/>
  <c r="U248" i="50"/>
  <c r="BG248" i="50" s="1"/>
  <c r="BG226" i="50"/>
  <c r="AI163" i="50"/>
  <c r="BU163" i="50" s="1"/>
  <c r="BU143" i="50"/>
  <c r="BL71" i="62"/>
  <c r="U67" i="62"/>
  <c r="BL67" i="62" s="1"/>
  <c r="P87" i="62"/>
  <c r="BF87" i="62"/>
  <c r="AK207" i="50"/>
  <c r="BV207" i="50"/>
  <c r="AD203" i="50"/>
  <c r="BO203" i="50"/>
  <c r="V71" i="62"/>
  <c r="BM71" i="62" s="1"/>
  <c r="AI247" i="50"/>
  <c r="BU247" i="50" s="1"/>
  <c r="BU225" i="50"/>
  <c r="AB250" i="50"/>
  <c r="BN228" i="50"/>
  <c r="N246" i="50"/>
  <c r="AZ224" i="50"/>
  <c r="AB245" i="50"/>
  <c r="BN245" i="50" s="1"/>
  <c r="BN223" i="50"/>
  <c r="O224" i="50"/>
  <c r="BA224" i="50" s="1"/>
  <c r="G240" i="50"/>
  <c r="AS218" i="50"/>
  <c r="I193" i="50"/>
  <c r="AT193" i="50"/>
  <c r="I63" i="62"/>
  <c r="AY63" i="62"/>
  <c r="AY240" i="50"/>
  <c r="M262" i="50"/>
  <c r="AY262" i="50" s="1"/>
  <c r="AK208" i="50"/>
  <c r="BV208" i="50"/>
  <c r="W77" i="62"/>
  <c r="BM77" i="62"/>
  <c r="V74" i="62"/>
  <c r="BM74" i="62" s="1"/>
  <c r="I87" i="62"/>
  <c r="AY87" i="62"/>
  <c r="P213" i="50"/>
  <c r="BA213" i="50"/>
  <c r="W86" i="62"/>
  <c r="BM86" i="62"/>
  <c r="BU81" i="62"/>
  <c r="AE81" i="62"/>
  <c r="BN59" i="50"/>
  <c r="AB84" i="50"/>
  <c r="AD210" i="50"/>
  <c r="BO210" i="50"/>
  <c r="I196" i="50"/>
  <c r="AT196" i="50"/>
  <c r="P92" i="62"/>
  <c r="BF92" i="62"/>
  <c r="AG60" i="62"/>
  <c r="BX60" i="62" s="1"/>
  <c r="BX79" i="62"/>
  <c r="AK209" i="50"/>
  <c r="BV209" i="50"/>
  <c r="W210" i="50"/>
  <c r="BH210" i="50"/>
  <c r="AK91" i="62"/>
  <c r="CA91" i="62"/>
  <c r="AJ148" i="50"/>
  <c r="BV148" i="50" s="1"/>
  <c r="M265" i="50"/>
  <c r="AY265" i="50" s="1"/>
  <c r="AY243" i="50"/>
  <c r="AD85" i="62"/>
  <c r="BT85" i="62"/>
  <c r="I108" i="62"/>
  <c r="AY108" i="62"/>
  <c r="I159" i="62"/>
  <c r="AY159" i="62"/>
  <c r="H219" i="50"/>
  <c r="AT219" i="50" s="1"/>
  <c r="W205" i="50"/>
  <c r="BH205" i="50"/>
  <c r="I76" i="62"/>
  <c r="AY76" i="62"/>
  <c r="AD105" i="62"/>
  <c r="BT105" i="62"/>
  <c r="AC55" i="50"/>
  <c r="BO55" i="50" s="1"/>
  <c r="AD193" i="50"/>
  <c r="BO193" i="50"/>
  <c r="AK87" i="62"/>
  <c r="CA87" i="62"/>
  <c r="P98" i="62"/>
  <c r="BF98" i="62"/>
  <c r="P76" i="62"/>
  <c r="BF76" i="62"/>
  <c r="BT241" i="50"/>
  <c r="AH263" i="50"/>
  <c r="BT263" i="50" s="1"/>
  <c r="I206" i="50"/>
  <c r="AT206" i="50"/>
  <c r="P66" i="62"/>
  <c r="BF66" i="62"/>
  <c r="AK195" i="50"/>
  <c r="BV195" i="50"/>
  <c r="AK103" i="62"/>
  <c r="CA103" i="62"/>
  <c r="P78" i="62"/>
  <c r="BF78" i="62"/>
  <c r="I198" i="50"/>
  <c r="AT198" i="50"/>
  <c r="AA274" i="50"/>
  <c r="BM274" i="50" s="1"/>
  <c r="BM252" i="50"/>
  <c r="AR241" i="50"/>
  <c r="G241" i="50"/>
  <c r="G263" i="50" s="1"/>
  <c r="AS263" i="50" s="1"/>
  <c r="AH264" i="50"/>
  <c r="BT264" i="50" s="1"/>
  <c r="BT242" i="50"/>
  <c r="BT100" i="62"/>
  <c r="AD100" i="62"/>
  <c r="AC50" i="50"/>
  <c r="BO50" i="50" s="1"/>
  <c r="AK193" i="50"/>
  <c r="BV193" i="50"/>
  <c r="AD98" i="62"/>
  <c r="BT98" i="62"/>
  <c r="L60" i="62"/>
  <c r="BC60" i="62" s="1"/>
  <c r="BC79" i="62"/>
  <c r="F276" i="50"/>
  <c r="AR276" i="50" s="1"/>
  <c r="AR254" i="50"/>
  <c r="AB255" i="50"/>
  <c r="BN255" i="50" s="1"/>
  <c r="BN233" i="50"/>
  <c r="AI242" i="50"/>
  <c r="BU220" i="50"/>
  <c r="AS242" i="50"/>
  <c r="P156" i="62"/>
  <c r="BG156" i="62" s="1"/>
  <c r="BF156" i="62"/>
  <c r="W78" i="62"/>
  <c r="BM78" i="62"/>
  <c r="I200" i="50"/>
  <c r="AT200" i="50"/>
  <c r="I73" i="62"/>
  <c r="AY73" i="62"/>
  <c r="AK92" i="62"/>
  <c r="CA92" i="62"/>
  <c r="AK211" i="50"/>
  <c r="BV211" i="50"/>
  <c r="I89" i="62"/>
  <c r="AY89" i="62"/>
  <c r="P86" i="62"/>
  <c r="BF86" i="62"/>
  <c r="AY246" i="50"/>
  <c r="M268" i="50"/>
  <c r="AY268" i="50" s="1"/>
  <c r="W93" i="62"/>
  <c r="BM93" i="62"/>
  <c r="P69" i="62"/>
  <c r="BF69" i="62"/>
  <c r="AD194" i="50"/>
  <c r="BO194" i="50"/>
  <c r="AH270" i="50"/>
  <c r="BT270" i="50" s="1"/>
  <c r="BT248" i="50"/>
  <c r="AD104" i="62"/>
  <c r="BT104" i="62"/>
  <c r="AC53" i="50"/>
  <c r="BO53" i="50" s="1"/>
  <c r="AK198" i="50"/>
  <c r="BV198" i="50"/>
  <c r="F266" i="50"/>
  <c r="AR266" i="50" s="1"/>
  <c r="AR244" i="50"/>
  <c r="U246" i="50"/>
  <c r="BG224" i="50"/>
  <c r="G248" i="50"/>
  <c r="AS248" i="50" s="1"/>
  <c r="AS226" i="50"/>
  <c r="U257" i="50"/>
  <c r="BG235" i="50"/>
  <c r="AS249" i="50"/>
  <c r="E60" i="51"/>
  <c r="AV60" i="51" s="1"/>
  <c r="AV67" i="51"/>
  <c r="H205" i="50"/>
  <c r="AS205" i="50"/>
  <c r="AD206" i="50"/>
  <c r="BO206" i="50"/>
  <c r="P206" i="50"/>
  <c r="BA206" i="50"/>
  <c r="AY251" i="50"/>
  <c r="M273" i="50"/>
  <c r="AY273" i="50" s="1"/>
  <c r="I204" i="50"/>
  <c r="AT204" i="50"/>
  <c r="P70" i="62"/>
  <c r="BF70" i="62"/>
  <c r="AB244" i="50"/>
  <c r="BN222" i="50"/>
  <c r="AR255" i="50"/>
  <c r="G255" i="50"/>
  <c r="AK36" i="50"/>
  <c r="BW36" i="50" s="1"/>
  <c r="CB62" i="62"/>
  <c r="N250" i="50"/>
  <c r="AZ228" i="50"/>
  <c r="BH231" i="50"/>
  <c r="I171" i="62"/>
  <c r="AZ171" i="62" s="1"/>
  <c r="AI240" i="50"/>
  <c r="BU240" i="50" s="1"/>
  <c r="BU218" i="50"/>
  <c r="AI255" i="50"/>
  <c r="BU233" i="50"/>
  <c r="BT239" i="50"/>
  <c r="AH261" i="50"/>
  <c r="BT261" i="50" s="1"/>
  <c r="AR237" i="50"/>
  <c r="F259" i="50"/>
  <c r="AR259" i="50" s="1"/>
  <c r="BF247" i="50"/>
  <c r="T269" i="50"/>
  <c r="BF269" i="50" s="1"/>
  <c r="C70" i="67"/>
  <c r="C125" i="67" s="1"/>
  <c r="BN192" i="50"/>
  <c r="C70" i="85" s="1"/>
  <c r="C125" i="85" s="1"/>
  <c r="AA259" i="50"/>
  <c r="BM259" i="50" s="1"/>
  <c r="F236" i="50"/>
  <c r="AR236" i="50" s="1"/>
  <c r="AI250" i="50"/>
  <c r="BU250" i="50" s="1"/>
  <c r="BU228" i="50"/>
  <c r="G239" i="50"/>
  <c r="AS239" i="50" s="1"/>
  <c r="AS217" i="50"/>
  <c r="AJ217" i="50"/>
  <c r="CA157" i="62"/>
  <c r="AH236" i="50"/>
  <c r="BT236" i="50" s="1"/>
  <c r="AI257" i="50"/>
  <c r="BU235" i="50"/>
  <c r="AA180" i="50"/>
  <c r="BM180" i="50" s="1"/>
  <c r="BM160" i="50"/>
  <c r="AA271" i="50"/>
  <c r="BM271" i="50" s="1"/>
  <c r="BM249" i="50"/>
  <c r="AD199" i="50"/>
  <c r="BO199" i="50"/>
  <c r="W199" i="50"/>
  <c r="BH199" i="50"/>
  <c r="W70" i="62"/>
  <c r="BM70" i="62"/>
  <c r="T271" i="50"/>
  <c r="BF271" i="50" s="1"/>
  <c r="BF249" i="50"/>
  <c r="P73" i="62"/>
  <c r="BF73" i="62"/>
  <c r="Z60" i="62"/>
  <c r="BQ60" i="62" s="1"/>
  <c r="BQ79" i="62"/>
  <c r="W102" i="62"/>
  <c r="BM102" i="62"/>
  <c r="W202" i="50"/>
  <c r="BH202" i="50"/>
  <c r="O80" i="62"/>
  <c r="BF80" i="62" s="1"/>
  <c r="AJ83" i="62"/>
  <c r="CA83" i="62" s="1"/>
  <c r="G250" i="50"/>
  <c r="AS228" i="50"/>
  <c r="AB257" i="50"/>
  <c r="BN257" i="50" s="1"/>
  <c r="BN235" i="50"/>
  <c r="AB237" i="50"/>
  <c r="BN237" i="50" s="1"/>
  <c r="BN215" i="50"/>
  <c r="U256" i="50"/>
  <c r="BG234" i="50"/>
  <c r="N248" i="50"/>
  <c r="AZ226" i="50"/>
  <c r="AA159" i="50"/>
  <c r="BM159" i="50" s="1"/>
  <c r="BM139" i="50"/>
  <c r="U252" i="50"/>
  <c r="BG230" i="50"/>
  <c r="U254" i="50"/>
  <c r="BG254" i="50" s="1"/>
  <c r="BG232" i="50"/>
  <c r="U240" i="50"/>
  <c r="BG240" i="50" s="1"/>
  <c r="BG218" i="50"/>
  <c r="AI244" i="50"/>
  <c r="BU244" i="50" s="1"/>
  <c r="BU222" i="50"/>
  <c r="N247" i="50"/>
  <c r="AZ247" i="50" s="1"/>
  <c r="AZ225" i="50"/>
  <c r="W175" i="62"/>
  <c r="BN175" i="62" s="1"/>
  <c r="AI238" i="50"/>
  <c r="BU238" i="50" s="1"/>
  <c r="BU216" i="50"/>
  <c r="AB76" i="50"/>
  <c r="BN76" i="50" s="1"/>
  <c r="BN51" i="50"/>
  <c r="W208" i="50"/>
  <c r="BH208" i="50"/>
  <c r="BT253" i="50"/>
  <c r="AH275" i="50"/>
  <c r="BT275" i="50" s="1"/>
  <c r="AD201" i="50"/>
  <c r="BO201" i="50"/>
  <c r="AK82" i="62"/>
  <c r="CA82" i="62"/>
  <c r="AJ140" i="50"/>
  <c r="BV140" i="50" s="1"/>
  <c r="W101" i="62"/>
  <c r="BM101" i="62"/>
  <c r="W66" i="62"/>
  <c r="BM66" i="62"/>
  <c r="W63" i="62"/>
  <c r="W61" i="62" s="1"/>
  <c r="BN61" i="62" s="1"/>
  <c r="BM63" i="62"/>
  <c r="P204" i="50"/>
  <c r="BA204" i="50"/>
  <c r="W212" i="50"/>
  <c r="BH212" i="50"/>
  <c r="P195" i="50"/>
  <c r="BA195" i="50"/>
  <c r="W169" i="62"/>
  <c r="BM169" i="62"/>
  <c r="AA186" i="50"/>
  <c r="BM186" i="50" s="1"/>
  <c r="BM166" i="50"/>
  <c r="AJ43" i="50"/>
  <c r="BV43" i="50" s="1"/>
  <c r="AD70" i="62"/>
  <c r="BT70" i="62"/>
  <c r="W200" i="50"/>
  <c r="BH200" i="50"/>
  <c r="P89" i="62"/>
  <c r="BF89" i="62"/>
  <c r="I88" i="62"/>
  <c r="AY88" i="62"/>
  <c r="F277" i="50"/>
  <c r="AR277" i="50" s="1"/>
  <c r="P164" i="62"/>
  <c r="BG164" i="62" s="1"/>
  <c r="AA265" i="50"/>
  <c r="BM265" i="50" s="1"/>
  <c r="BM243" i="50"/>
  <c r="T274" i="50"/>
  <c r="BF274" i="50" s="1"/>
  <c r="BF252" i="50"/>
  <c r="AI239" i="50"/>
  <c r="BU217" i="50"/>
  <c r="BF256" i="50"/>
  <c r="T278" i="50"/>
  <c r="BF278" i="50" s="1"/>
  <c r="H201" i="50"/>
  <c r="AS201" i="50"/>
  <c r="W90" i="62"/>
  <c r="BM90" i="62"/>
  <c r="AD89" i="62"/>
  <c r="BT89" i="62"/>
  <c r="AC146" i="50"/>
  <c r="BO146" i="50" s="1"/>
  <c r="P108" i="62"/>
  <c r="BF108" i="62"/>
  <c r="P198" i="50"/>
  <c r="BA198" i="50"/>
  <c r="U251" i="50"/>
  <c r="BG229" i="50"/>
  <c r="AD162" i="62"/>
  <c r="BU162" i="62" s="1"/>
  <c r="BT162" i="62"/>
  <c r="V61" i="62"/>
  <c r="BM61" i="62" s="1"/>
  <c r="BM62" i="62"/>
  <c r="AD93" i="62"/>
  <c r="BT93" i="62"/>
  <c r="W197" i="50"/>
  <c r="BH197" i="50"/>
  <c r="BT84" i="62"/>
  <c r="AD84" i="62"/>
  <c r="AC83" i="62"/>
  <c r="BT83" i="62" s="1"/>
  <c r="P63" i="62"/>
  <c r="BF63" i="62"/>
  <c r="AK96" i="62"/>
  <c r="CA96" i="62"/>
  <c r="AK205" i="50"/>
  <c r="BV205" i="50"/>
  <c r="AD97" i="62"/>
  <c r="BT97" i="62"/>
  <c r="I102" i="62"/>
  <c r="AY102" i="62"/>
  <c r="P93" i="62"/>
  <c r="BF93" i="62"/>
  <c r="BM254" i="50"/>
  <c r="AA276" i="50"/>
  <c r="BM276" i="50" s="1"/>
  <c r="AD208" i="50"/>
  <c r="BO208" i="50"/>
  <c r="BM239" i="50"/>
  <c r="AA261" i="50"/>
  <c r="BM261" i="50" s="1"/>
  <c r="AK203" i="50"/>
  <c r="BV203" i="50"/>
  <c r="W104" i="62"/>
  <c r="BM104" i="62"/>
  <c r="I210" i="50"/>
  <c r="AT210" i="50"/>
  <c r="F261" i="50"/>
  <c r="AR261" i="50" s="1"/>
  <c r="AR239" i="50"/>
  <c r="AK90" i="62"/>
  <c r="CA90" i="62"/>
  <c r="AD209" i="50"/>
  <c r="BO209" i="50"/>
  <c r="W211" i="50"/>
  <c r="BH211" i="50"/>
  <c r="P106" i="62"/>
  <c r="BF106" i="62"/>
  <c r="W201" i="50"/>
  <c r="BH201" i="50"/>
  <c r="P97" i="62"/>
  <c r="BF97" i="62"/>
  <c r="AK102" i="62"/>
  <c r="CA102" i="62"/>
  <c r="AH278" i="50"/>
  <c r="BT278" i="50" s="1"/>
  <c r="BT256" i="50"/>
  <c r="AH262" i="50"/>
  <c r="BT262" i="50" s="1"/>
  <c r="BT240" i="50"/>
  <c r="I103" i="62"/>
  <c r="AY103" i="62"/>
  <c r="H207" i="50"/>
  <c r="AS207" i="50"/>
  <c r="T264" i="50"/>
  <c r="BF264" i="50" s="1"/>
  <c r="BF242" i="50"/>
  <c r="F272" i="50"/>
  <c r="AR272" i="50" s="1"/>
  <c r="AR250" i="50"/>
  <c r="AD197" i="50"/>
  <c r="BO197" i="50"/>
  <c r="AY84" i="62"/>
  <c r="I84" i="62"/>
  <c r="H83" i="62"/>
  <c r="AY83" i="62" s="1"/>
  <c r="P68" i="62"/>
  <c r="BF68" i="62"/>
  <c r="BM256" i="50"/>
  <c r="AA278" i="50"/>
  <c r="BM278" i="50" s="1"/>
  <c r="AC51" i="50"/>
  <c r="BO51" i="50" s="1"/>
  <c r="BT101" i="62"/>
  <c r="AJ139" i="50"/>
  <c r="BV139" i="50" s="1"/>
  <c r="CA81" i="62"/>
  <c r="BO234" i="50"/>
  <c r="AI248" i="50"/>
  <c r="BU248" i="50" s="1"/>
  <c r="BU226" i="50"/>
  <c r="U239" i="50"/>
  <c r="BG239" i="50" s="1"/>
  <c r="BG217" i="50"/>
  <c r="W171" i="62"/>
  <c r="BN171" i="62" s="1"/>
  <c r="N241" i="50"/>
  <c r="AZ241" i="50" s="1"/>
  <c r="AZ219" i="50"/>
  <c r="AI243" i="50"/>
  <c r="BU243" i="50" s="1"/>
  <c r="BU221" i="50"/>
  <c r="AB249" i="50"/>
  <c r="BN227" i="50"/>
  <c r="AB251" i="50"/>
  <c r="BN251" i="50" s="1"/>
  <c r="BN229" i="50"/>
  <c r="U244" i="50"/>
  <c r="BG244" i="50" s="1"/>
  <c r="BG222" i="50"/>
  <c r="U242" i="50"/>
  <c r="BG242" i="50" s="1"/>
  <c r="BG220" i="50"/>
  <c r="G254" i="50"/>
  <c r="AS232" i="50"/>
  <c r="AB243" i="50"/>
  <c r="BN243" i="50" s="1"/>
  <c r="BN221" i="50"/>
  <c r="U260" i="50"/>
  <c r="BG260" i="50" s="1"/>
  <c r="N244" i="50"/>
  <c r="AZ244" i="50" s="1"/>
  <c r="AZ222" i="50"/>
  <c r="AI253" i="50"/>
  <c r="BU231" i="50"/>
  <c r="AS243" i="50"/>
  <c r="W163" i="62"/>
  <c r="BN163" i="62" s="1"/>
  <c r="BM163" i="62"/>
  <c r="AB246" i="50"/>
  <c r="BN224" i="50"/>
  <c r="S60" i="51"/>
  <c r="BJ60" i="51" s="1"/>
  <c r="BJ67" i="51"/>
  <c r="AH268" i="50"/>
  <c r="BT268" i="50" s="1"/>
  <c r="BT246" i="50"/>
  <c r="M263" i="50"/>
  <c r="AY263" i="50" s="1"/>
  <c r="AY241" i="50"/>
  <c r="M269" i="50"/>
  <c r="AY269" i="50" s="1"/>
  <c r="AY247" i="50"/>
  <c r="AH266" i="50"/>
  <c r="BT266" i="50" s="1"/>
  <c r="BT244" i="50"/>
  <c r="AK97" i="62"/>
  <c r="CA97" i="62"/>
  <c r="I165" i="62"/>
  <c r="AY165" i="62"/>
  <c r="H225" i="50"/>
  <c r="AT225" i="50" s="1"/>
  <c r="I167" i="62"/>
  <c r="AY167" i="62"/>
  <c r="H227" i="50"/>
  <c r="AT227" i="50" s="1"/>
  <c r="P196" i="50"/>
  <c r="BA196" i="50"/>
  <c r="P203" i="50"/>
  <c r="BA203" i="50"/>
  <c r="AY238" i="50"/>
  <c r="M260" i="50"/>
  <c r="AY260" i="50" s="1"/>
  <c r="P209" i="50"/>
  <c r="BA209" i="50"/>
  <c r="W92" i="62"/>
  <c r="BM92" i="62"/>
  <c r="AK98" i="62"/>
  <c r="CA98" i="62"/>
  <c r="AB254" i="50"/>
  <c r="BN232" i="50"/>
  <c r="AH259" i="50"/>
  <c r="BT259" i="50" s="1"/>
  <c r="BT237" i="50"/>
  <c r="AH272" i="50"/>
  <c r="BT272" i="50" s="1"/>
  <c r="BT250" i="50"/>
  <c r="AK200" i="50"/>
  <c r="BV200" i="50"/>
  <c r="P100" i="62"/>
  <c r="BF100" i="62"/>
  <c r="AD77" i="62"/>
  <c r="BT77" i="62"/>
  <c r="BF238" i="50"/>
  <c r="T260" i="50"/>
  <c r="BF260" i="50" s="1"/>
  <c r="AK77" i="62"/>
  <c r="CA77" i="62"/>
  <c r="P199" i="50"/>
  <c r="BA199" i="50"/>
  <c r="W69" i="62"/>
  <c r="BM69" i="62"/>
  <c r="P90" i="62"/>
  <c r="BF90" i="62"/>
  <c r="T270" i="50"/>
  <c r="BF270" i="50" s="1"/>
  <c r="BF248" i="50"/>
  <c r="W103" i="62"/>
  <c r="BM103" i="62"/>
  <c r="AK69" i="62"/>
  <c r="CA69" i="62"/>
  <c r="AK108" i="62"/>
  <c r="CA108" i="62"/>
  <c r="AY244" i="50"/>
  <c r="M266" i="50"/>
  <c r="AY266" i="50" s="1"/>
  <c r="AD91" i="62"/>
  <c r="BT91" i="62"/>
  <c r="AK107" i="62"/>
  <c r="CA107" i="62"/>
  <c r="W193" i="50"/>
  <c r="BH193" i="50"/>
  <c r="AH265" i="50"/>
  <c r="BT265" i="50" s="1"/>
  <c r="BT243" i="50"/>
  <c r="AA267" i="50"/>
  <c r="BM267" i="50" s="1"/>
  <c r="BM245" i="50"/>
  <c r="W97" i="62"/>
  <c r="BM97" i="62"/>
  <c r="P201" i="50"/>
  <c r="BA201" i="50"/>
  <c r="P194" i="50"/>
  <c r="BA194" i="50"/>
  <c r="AK66" i="62"/>
  <c r="AK64" i="62" s="1"/>
  <c r="CB64" i="62" s="1"/>
  <c r="CA66" i="62"/>
  <c r="I85" i="62"/>
  <c r="AY85" i="62"/>
  <c r="P200" i="50"/>
  <c r="BA200" i="50"/>
  <c r="I82" i="62"/>
  <c r="AY82" i="62"/>
  <c r="AK106" i="62"/>
  <c r="CA106" i="62"/>
  <c r="BM244" i="50"/>
  <c r="AA266" i="50"/>
  <c r="BM266" i="50" s="1"/>
  <c r="W88" i="62"/>
  <c r="BM88" i="62"/>
  <c r="BT249" i="50"/>
  <c r="AH271" i="50"/>
  <c r="BT271" i="50" s="1"/>
  <c r="AD213" i="50"/>
  <c r="BO213" i="50"/>
  <c r="AK93" i="62"/>
  <c r="CA93" i="62"/>
  <c r="I91" i="62"/>
  <c r="AY91" i="62"/>
  <c r="BT255" i="50"/>
  <c r="AH277" i="50"/>
  <c r="BT277" i="50" s="1"/>
  <c r="AD88" i="62"/>
  <c r="BT88" i="62"/>
  <c r="AK196" i="50"/>
  <c r="BV196" i="50"/>
  <c r="AA262" i="50"/>
  <c r="BM262" i="50" s="1"/>
  <c r="BM240" i="50"/>
  <c r="M274" i="50"/>
  <c r="AY274" i="50" s="1"/>
  <c r="AY252" i="50"/>
  <c r="H212" i="50"/>
  <c r="AS212" i="50"/>
  <c r="P211" i="50"/>
  <c r="BA211" i="50"/>
  <c r="BF257" i="50"/>
  <c r="T279" i="50"/>
  <c r="BF279" i="50" s="1"/>
  <c r="P105" i="62"/>
  <c r="BF105" i="62"/>
  <c r="P208" i="50"/>
  <c r="BA208" i="50"/>
  <c r="AC81" i="50"/>
  <c r="U250" i="50"/>
  <c r="BG250" i="50" s="1"/>
  <c r="BG228" i="50"/>
  <c r="N249" i="50"/>
  <c r="AZ227" i="50"/>
  <c r="AB239" i="50"/>
  <c r="BN217" i="50"/>
  <c r="U237" i="50"/>
  <c r="BG237" i="50" s="1"/>
  <c r="BG215" i="50"/>
  <c r="N256" i="50"/>
  <c r="O256" i="50" s="1"/>
  <c r="AZ234" i="50"/>
  <c r="N240" i="50"/>
  <c r="AZ218" i="50"/>
  <c r="AD172" i="62"/>
  <c r="BU172" i="62" s="1"/>
  <c r="BT172" i="62"/>
  <c r="AC216" i="50"/>
  <c r="BO216" i="50" s="1"/>
  <c r="BT156" i="62"/>
  <c r="BF253" i="50"/>
  <c r="T275" i="50"/>
  <c r="BF275" i="50" s="1"/>
  <c r="AK78" i="62"/>
  <c r="CA78" i="62"/>
  <c r="W108" i="62"/>
  <c r="BM108" i="62"/>
  <c r="AK73" i="62"/>
  <c r="CA73" i="62"/>
  <c r="I104" i="62"/>
  <c r="AY104" i="62"/>
  <c r="W213" i="50"/>
  <c r="BH213" i="50"/>
  <c r="AD212" i="50"/>
  <c r="BO212" i="50"/>
  <c r="AK197" i="50"/>
  <c r="BV197" i="50"/>
  <c r="AK201" i="50"/>
  <c r="BV201" i="50"/>
  <c r="AD102" i="62"/>
  <c r="BT102" i="62"/>
  <c r="AD196" i="50"/>
  <c r="BO196" i="50"/>
  <c r="BT251" i="50"/>
  <c r="AH273" i="50"/>
  <c r="BT273" i="50" s="1"/>
  <c r="I77" i="62"/>
  <c r="AY77" i="62"/>
  <c r="I213" i="50"/>
  <c r="AT213" i="50"/>
  <c r="W76" i="62"/>
  <c r="BM76" i="62"/>
  <c r="P171" i="62"/>
  <c r="BF171" i="62"/>
  <c r="O231" i="50"/>
  <c r="BA231" i="50" s="1"/>
  <c r="I96" i="62"/>
  <c r="AY96" i="62"/>
  <c r="BT245" i="50"/>
  <c r="AH267" i="50"/>
  <c r="BT267" i="50" s="1"/>
  <c r="AD92" i="62"/>
  <c r="BT92" i="62"/>
  <c r="P193" i="50"/>
  <c r="BA193" i="50"/>
  <c r="BF245" i="50"/>
  <c r="T267" i="50"/>
  <c r="BF267" i="50" s="1"/>
  <c r="AD69" i="62"/>
  <c r="BT69" i="62"/>
  <c r="AK213" i="50"/>
  <c r="BV213" i="50"/>
  <c r="U245" i="50"/>
  <c r="V245" i="50" s="1"/>
  <c r="BH245" i="50" s="1"/>
  <c r="BG223" i="50"/>
  <c r="M267" i="50"/>
  <c r="AY267" i="50" s="1"/>
  <c r="AY245" i="50"/>
  <c r="U253" i="50"/>
  <c r="V253" i="50" s="1"/>
  <c r="H199" i="50"/>
  <c r="AS199" i="50"/>
  <c r="I68" i="62"/>
  <c r="AY68" i="62"/>
  <c r="W87" i="62"/>
  <c r="BM87" i="62"/>
  <c r="I90" i="62"/>
  <c r="AY90" i="62"/>
  <c r="I107" i="62"/>
  <c r="AY107" i="62"/>
  <c r="M271" i="50"/>
  <c r="AY271" i="50" s="1"/>
  <c r="AY249" i="50"/>
  <c r="AB252" i="50"/>
  <c r="BN230" i="50"/>
  <c r="AD160" i="62"/>
  <c r="BU160" i="62" s="1"/>
  <c r="BT160" i="62"/>
  <c r="AK88" i="62"/>
  <c r="CA88" i="62"/>
  <c r="O61" i="62"/>
  <c r="BF61" i="62" s="1"/>
  <c r="G79" i="62"/>
  <c r="AX79" i="62" s="1"/>
  <c r="AX80" i="62"/>
  <c r="AC132" i="50"/>
  <c r="BO132" i="50" s="1"/>
  <c r="BT63" i="62"/>
  <c r="AA75" i="50"/>
  <c r="BM75" i="50" s="1"/>
  <c r="BM50" i="50"/>
  <c r="N251" i="50"/>
  <c r="AZ251" i="50" s="1"/>
  <c r="AZ229" i="50"/>
  <c r="N245" i="50"/>
  <c r="AZ223" i="50"/>
  <c r="AB253" i="50"/>
  <c r="BN253" i="50" s="1"/>
  <c r="BN231" i="50"/>
  <c r="AI254" i="50"/>
  <c r="BU254" i="50" s="1"/>
  <c r="BU232" i="50"/>
  <c r="V216" i="50"/>
  <c r="BH216" i="50" s="1"/>
  <c r="BM156" i="62"/>
  <c r="AI67" i="62"/>
  <c r="BZ67" i="62" s="1"/>
  <c r="BZ74" i="62"/>
  <c r="AD79" i="50"/>
  <c r="BO79" i="50"/>
  <c r="BN163" i="50"/>
  <c r="N239" i="50"/>
  <c r="AZ239" i="50" s="1"/>
  <c r="AZ217" i="50"/>
  <c r="BH223" i="50"/>
  <c r="AI252" i="50"/>
  <c r="BU230" i="50"/>
  <c r="G244" i="50"/>
  <c r="AS244" i="50" s="1"/>
  <c r="AS222" i="50"/>
  <c r="N242" i="50"/>
  <c r="AZ220" i="50"/>
  <c r="AI246" i="50"/>
  <c r="BU224" i="50"/>
  <c r="U247" i="50"/>
  <c r="BG247" i="50" s="1"/>
  <c r="BG225" i="50"/>
  <c r="AB247" i="50"/>
  <c r="BN247" i="50" s="1"/>
  <c r="BN225" i="50"/>
  <c r="N255" i="50"/>
  <c r="AZ233" i="50"/>
  <c r="AC222" i="50"/>
  <c r="AI256" i="50"/>
  <c r="BU234" i="50"/>
  <c r="AB79" i="62"/>
  <c r="BS79" i="62" s="1"/>
  <c r="BS80" i="62"/>
  <c r="AI245" i="50"/>
  <c r="BU223" i="50"/>
  <c r="AB240" i="50"/>
  <c r="BN218" i="50"/>
  <c r="AB248" i="50"/>
  <c r="BN226" i="50"/>
  <c r="AH60" i="62"/>
  <c r="BY60" i="62" s="1"/>
  <c r="BY67" i="62"/>
  <c r="AB238" i="50"/>
  <c r="AS238" i="50"/>
  <c r="AJ52" i="50"/>
  <c r="BV52" i="50" s="1"/>
  <c r="O215" i="50"/>
  <c r="BA215" i="50" s="1"/>
  <c r="BF155" i="62"/>
  <c r="AB160" i="50"/>
  <c r="BN160" i="50" s="1"/>
  <c r="BN140" i="50"/>
  <c r="AI249" i="50"/>
  <c r="AJ249" i="50" s="1"/>
  <c r="BV249" i="50" s="1"/>
  <c r="BU227" i="50"/>
  <c r="AA272" i="50"/>
  <c r="BM272" i="50" s="1"/>
  <c r="BM250" i="50"/>
  <c r="AA269" i="50"/>
  <c r="BM269" i="50" s="1"/>
  <c r="BM247" i="50"/>
  <c r="H211" i="50"/>
  <c r="AS211" i="50"/>
  <c r="G253" i="50"/>
  <c r="AS231" i="50"/>
  <c r="AK85" i="62"/>
  <c r="CA85" i="62"/>
  <c r="P77" i="62"/>
  <c r="BF77" i="62"/>
  <c r="W196" i="50"/>
  <c r="BH196" i="50"/>
  <c r="AD87" i="62"/>
  <c r="BT87" i="62"/>
  <c r="AA268" i="50"/>
  <c r="BM268" i="50" s="1"/>
  <c r="BM246" i="50"/>
  <c r="AK76" i="62"/>
  <c r="CA76" i="62"/>
  <c r="P205" i="50"/>
  <c r="BA205" i="50"/>
  <c r="I160" i="62"/>
  <c r="AY160" i="62"/>
  <c r="H220" i="50"/>
  <c r="AT220" i="50" s="1"/>
  <c r="T272" i="50"/>
  <c r="BF272" i="50" s="1"/>
  <c r="BF250" i="50"/>
  <c r="H202" i="50"/>
  <c r="AS202" i="50"/>
  <c r="H194" i="50"/>
  <c r="AS194" i="50"/>
  <c r="AA189" i="50"/>
  <c r="BM189" i="50" s="1"/>
  <c r="BM169" i="50"/>
  <c r="AD78" i="62"/>
  <c r="BT78" i="62"/>
  <c r="I156" i="62"/>
  <c r="AY156" i="62"/>
  <c r="H216" i="50"/>
  <c r="AT216" i="50" s="1"/>
  <c r="AD86" i="62"/>
  <c r="BT86" i="62"/>
  <c r="AK202" i="50"/>
  <c r="BV202" i="50"/>
  <c r="AK105" i="62"/>
  <c r="CA105" i="62"/>
  <c r="AK68" i="62"/>
  <c r="CA68" i="62"/>
  <c r="W96" i="62"/>
  <c r="BM96" i="62"/>
  <c r="AD107" i="62"/>
  <c r="BT107" i="62"/>
  <c r="AI241" i="50"/>
  <c r="BU219" i="50"/>
  <c r="AD76" i="62"/>
  <c r="BT76" i="62"/>
  <c r="W203" i="50"/>
  <c r="BH203" i="50"/>
  <c r="P88" i="62"/>
  <c r="BF88" i="62"/>
  <c r="I174" i="62"/>
  <c r="AY174" i="62"/>
  <c r="H234" i="50"/>
  <c r="AT234" i="50" s="1"/>
  <c r="S60" i="62"/>
  <c r="BJ60" i="62" s="1"/>
  <c r="BJ79" i="62"/>
  <c r="W107" i="62"/>
  <c r="BM107" i="62"/>
  <c r="BM248" i="50"/>
  <c r="AA270" i="50"/>
  <c r="BM270" i="50" s="1"/>
  <c r="AD82" i="62"/>
  <c r="BT82" i="62"/>
  <c r="AB256" i="50"/>
  <c r="AC256" i="50" s="1"/>
  <c r="H208" i="50"/>
  <c r="AS208" i="50"/>
  <c r="P197" i="50"/>
  <c r="BA197" i="50"/>
  <c r="BT62" i="62"/>
  <c r="AD62" i="62"/>
  <c r="AK212" i="50"/>
  <c r="BV212" i="50"/>
  <c r="I161" i="62"/>
  <c r="AY161" i="62"/>
  <c r="H221" i="50"/>
  <c r="AT221" i="50" s="1"/>
  <c r="W91" i="62"/>
  <c r="BM91" i="62"/>
  <c r="AD207" i="50"/>
  <c r="BO207" i="50"/>
  <c r="AK104" i="62"/>
  <c r="CA104" i="62"/>
  <c r="I209" i="50"/>
  <c r="AT209" i="50"/>
  <c r="W207" i="50"/>
  <c r="BH207" i="50"/>
  <c r="I97" i="62"/>
  <c r="AY97" i="62"/>
  <c r="AY256" i="50"/>
  <c r="M278" i="50"/>
  <c r="AY278" i="50" s="1"/>
  <c r="I173" i="62"/>
  <c r="AY173" i="62"/>
  <c r="H233" i="50"/>
  <c r="AT233" i="50" s="1"/>
  <c r="AD195" i="50"/>
  <c r="BO195" i="50"/>
  <c r="W194" i="50"/>
  <c r="BH194" i="50"/>
  <c r="W209" i="50"/>
  <c r="BH209" i="50"/>
  <c r="AD95" i="62"/>
  <c r="BT95" i="62"/>
  <c r="W204" i="50"/>
  <c r="BH204" i="50"/>
  <c r="N238" i="50"/>
  <c r="AZ216" i="50"/>
  <c r="T263" i="50"/>
  <c r="BF263" i="50" s="1"/>
  <c r="BF241" i="50"/>
  <c r="AD211" i="50"/>
  <c r="BO211" i="50"/>
  <c r="F275" i="50"/>
  <c r="AR275" i="50" s="1"/>
  <c r="AR253" i="50"/>
  <c r="AD73" i="62"/>
  <c r="BT73" i="62"/>
  <c r="T268" i="50"/>
  <c r="BF268" i="50" s="1"/>
  <c r="BF246" i="50"/>
  <c r="X82" i="62"/>
  <c r="BN82" i="62"/>
  <c r="AH68" i="50"/>
  <c r="BT43" i="50"/>
  <c r="AH77" i="50"/>
  <c r="BT77" i="50" s="1"/>
  <c r="BT52" i="50"/>
  <c r="AH78" i="50"/>
  <c r="BT53" i="50"/>
  <c r="AK82" i="50"/>
  <c r="BV82" i="50"/>
  <c r="AH74" i="50"/>
  <c r="BT49" i="50"/>
  <c r="AH76" i="50"/>
  <c r="BT51" i="50"/>
  <c r="AH75" i="50"/>
  <c r="BT50" i="50"/>
  <c r="AH73" i="50"/>
  <c r="BT48" i="50"/>
  <c r="AH80" i="50"/>
  <c r="BT55" i="50"/>
  <c r="AK83" i="50"/>
  <c r="BV83" i="50"/>
  <c r="AH81" i="50"/>
  <c r="BT56" i="50"/>
  <c r="AH84" i="50"/>
  <c r="BT59" i="50"/>
  <c r="AH62" i="50"/>
  <c r="BT37" i="50"/>
  <c r="AK79" i="50"/>
  <c r="BV79" i="50"/>
  <c r="BZ9" i="41"/>
  <c r="BR9" i="41"/>
  <c r="Z60" i="51"/>
  <c r="BQ60" i="51" s="1"/>
  <c r="P65" i="62"/>
  <c r="P155" i="62"/>
  <c r="Q155" i="62" s="1"/>
  <c r="AN60" i="51"/>
  <c r="CE60" i="51" s="1"/>
  <c r="O216" i="50"/>
  <c r="L11" i="51"/>
  <c r="BC11" i="51" s="1"/>
  <c r="AD156" i="62"/>
  <c r="AE156" i="62" s="1"/>
  <c r="AC232" i="50"/>
  <c r="AG60" i="51"/>
  <c r="BX60" i="51" s="1"/>
  <c r="L60" i="51"/>
  <c r="BC60" i="51" s="1"/>
  <c r="G271" i="50"/>
  <c r="AS271" i="50" s="1"/>
  <c r="AX49" i="53"/>
  <c r="CZ49" i="53" s="1"/>
  <c r="Y49" i="53"/>
  <c r="CD49" i="53" s="1"/>
  <c r="Z49" i="53"/>
  <c r="AN9" i="60"/>
  <c r="CK9" i="60" s="1"/>
  <c r="C7" i="16"/>
  <c r="L7" i="16" s="1"/>
  <c r="D8" i="7"/>
  <c r="J8" i="82"/>
  <c r="N8" i="82" s="1"/>
  <c r="R8" i="82" s="1"/>
  <c r="V8" i="82" s="1"/>
  <c r="G8" i="82"/>
  <c r="AB8" i="82" s="1"/>
  <c r="AF8" i="82" s="1"/>
  <c r="AJ8" i="82" s="1"/>
  <c r="AN8" i="82" s="1"/>
  <c r="AR8" i="82" s="1"/>
  <c r="L9" i="62"/>
  <c r="S9" i="62" s="1"/>
  <c r="E186" i="62"/>
  <c r="AM20" i="79"/>
  <c r="AQ9" i="41"/>
  <c r="P9" i="41"/>
  <c r="S11" i="51"/>
  <c r="BJ11" i="51" s="1"/>
  <c r="AN11" i="51"/>
  <c r="CE11" i="51" s="1"/>
  <c r="AG11" i="51"/>
  <c r="BX11" i="51" s="1"/>
  <c r="M60" i="62"/>
  <c r="BD60" i="62" s="1"/>
  <c r="Z11" i="51"/>
  <c r="BQ11" i="51" s="1"/>
  <c r="AA60" i="62"/>
  <c r="BR60" i="62" s="1"/>
  <c r="T81" i="67"/>
  <c r="AC246" i="50"/>
  <c r="B113" i="67"/>
  <c r="B104" i="67"/>
  <c r="AU58" i="73"/>
  <c r="CE58" i="73" s="1"/>
  <c r="T107" i="67"/>
  <c r="AJ58" i="73"/>
  <c r="BY58" i="73" s="1"/>
  <c r="T83" i="67"/>
  <c r="Y50" i="73"/>
  <c r="BS50" i="73" s="1"/>
  <c r="AW50" i="53"/>
  <c r="CY50" i="53" s="1"/>
  <c r="S285" i="50"/>
  <c r="BE285" i="50" s="1"/>
  <c r="B45" i="67"/>
  <c r="Z285" i="50"/>
  <c r="BL285" i="50" s="1"/>
  <c r="B63" i="67"/>
  <c r="Y49" i="73"/>
  <c r="BS49" i="73" s="1"/>
  <c r="AW49" i="53"/>
  <c r="CY49" i="53" s="1"/>
  <c r="AG285" i="50"/>
  <c r="BS285" i="50" s="1"/>
  <c r="B87" i="67"/>
  <c r="B27" i="67"/>
  <c r="B102" i="67"/>
  <c r="AU56" i="73"/>
  <c r="CE56" i="73" s="1"/>
  <c r="T105" i="67"/>
  <c r="B103" i="67"/>
  <c r="G260" i="50"/>
  <c r="AS260" i="50" s="1"/>
  <c r="L285" i="50"/>
  <c r="AX285" i="50" s="1"/>
  <c r="E285" i="50"/>
  <c r="AQ285" i="50" s="1"/>
  <c r="N67" i="62"/>
  <c r="AC154" i="62"/>
  <c r="BT154" i="62" s="1"/>
  <c r="Z49" i="73"/>
  <c r="BT49" i="73" s="1"/>
  <c r="AA49" i="73"/>
  <c r="AF49" i="73"/>
  <c r="BW49" i="73" s="1"/>
  <c r="AG49" i="73"/>
  <c r="AD49" i="73"/>
  <c r="BV49" i="73" s="1"/>
  <c r="AE49" i="73"/>
  <c r="AF50" i="73"/>
  <c r="BW50" i="73" s="1"/>
  <c r="AG50" i="73"/>
  <c r="AB49" i="73"/>
  <c r="BU49" i="73" s="1"/>
  <c r="AC49" i="73"/>
  <c r="G48" i="73"/>
  <c r="F48" i="73"/>
  <c r="BI48" i="73" s="1"/>
  <c r="K61" i="73"/>
  <c r="J61" i="73"/>
  <c r="BK61" i="73" s="1"/>
  <c r="G65" i="73"/>
  <c r="F65" i="73"/>
  <c r="BI65" i="73" s="1"/>
  <c r="U21" i="73"/>
  <c r="BQ21" i="73" s="1"/>
  <c r="V21" i="73"/>
  <c r="R24" i="73"/>
  <c r="Q24" i="73"/>
  <c r="BO24" i="73" s="1"/>
  <c r="V48" i="73"/>
  <c r="U48" i="73"/>
  <c r="BQ48" i="73" s="1"/>
  <c r="K48" i="73"/>
  <c r="J48" i="73"/>
  <c r="BK48" i="73" s="1"/>
  <c r="G61" i="73"/>
  <c r="F61" i="73"/>
  <c r="BI61" i="73" s="1"/>
  <c r="K65" i="73"/>
  <c r="J65" i="73"/>
  <c r="BK65" i="73" s="1"/>
  <c r="Q21" i="73"/>
  <c r="BO21" i="73" s="1"/>
  <c r="R21" i="73"/>
  <c r="V24" i="73"/>
  <c r="U24" i="73"/>
  <c r="BQ24" i="73" s="1"/>
  <c r="R48" i="73"/>
  <c r="Q48" i="73"/>
  <c r="BO48" i="73" s="1"/>
  <c r="U61" i="73"/>
  <c r="BQ61" i="73" s="1"/>
  <c r="V61" i="73"/>
  <c r="Q65" i="73"/>
  <c r="BO65" i="73" s="1"/>
  <c r="R65" i="73"/>
  <c r="AF21" i="73"/>
  <c r="BW21" i="73" s="1"/>
  <c r="AG21" i="73"/>
  <c r="AC48" i="73"/>
  <c r="AB48" i="73"/>
  <c r="BU48" i="73" s="1"/>
  <c r="AF61" i="73"/>
  <c r="BW61" i="73" s="1"/>
  <c r="AG61" i="73"/>
  <c r="AB65" i="73"/>
  <c r="BU65" i="73" s="1"/>
  <c r="AC65" i="73"/>
  <c r="AR21" i="73"/>
  <c r="AQ21" i="73"/>
  <c r="CC21" i="73" s="1"/>
  <c r="AN24" i="73"/>
  <c r="AM24" i="73"/>
  <c r="CA24" i="73" s="1"/>
  <c r="AR48" i="73"/>
  <c r="AQ48" i="73"/>
  <c r="CC48" i="73" s="1"/>
  <c r="AN61" i="73"/>
  <c r="AM61" i="73"/>
  <c r="CA61" i="73" s="1"/>
  <c r="AR65" i="73"/>
  <c r="AQ65" i="73"/>
  <c r="CC65" i="73" s="1"/>
  <c r="AX21" i="73"/>
  <c r="CG21" i="73" s="1"/>
  <c r="AY21" i="73"/>
  <c r="I48" i="73"/>
  <c r="H48" i="73"/>
  <c r="BJ48" i="73" s="1"/>
  <c r="M61" i="73"/>
  <c r="L61" i="73"/>
  <c r="BL61" i="73" s="1"/>
  <c r="E61" i="73"/>
  <c r="D61" i="73"/>
  <c r="BH61" i="73" s="1"/>
  <c r="I65" i="73"/>
  <c r="H65" i="73"/>
  <c r="BJ65" i="73" s="1"/>
  <c r="W21" i="73"/>
  <c r="BR21" i="73" s="1"/>
  <c r="X21" i="73"/>
  <c r="O21" i="73"/>
  <c r="BN21" i="73" s="1"/>
  <c r="P21" i="73"/>
  <c r="T24" i="73"/>
  <c r="S24" i="73"/>
  <c r="BP24" i="73" s="1"/>
  <c r="X48" i="73"/>
  <c r="W48" i="73"/>
  <c r="BR48" i="73" s="1"/>
  <c r="P48" i="73"/>
  <c r="O48" i="73"/>
  <c r="BN48" i="73" s="1"/>
  <c r="S61" i="73"/>
  <c r="BP61" i="73" s="1"/>
  <c r="T61" i="73"/>
  <c r="X65" i="73"/>
  <c r="W65" i="73"/>
  <c r="BR65" i="73" s="1"/>
  <c r="O65" i="73"/>
  <c r="BN65" i="73" s="1"/>
  <c r="P65" i="73"/>
  <c r="AE21" i="73"/>
  <c r="AD21" i="73"/>
  <c r="BV21" i="73" s="1"/>
  <c r="AH48" i="73"/>
  <c r="BX48" i="73" s="1"/>
  <c r="AI48" i="73"/>
  <c r="Z48" i="73"/>
  <c r="BT48" i="73" s="1"/>
  <c r="AA48" i="73"/>
  <c r="AE61" i="73"/>
  <c r="AD61" i="73"/>
  <c r="BV61" i="73" s="1"/>
  <c r="AI65" i="73"/>
  <c r="AH65" i="73"/>
  <c r="BX65" i="73" s="1"/>
  <c r="AA65" i="73"/>
  <c r="Z65" i="73"/>
  <c r="BT65" i="73" s="1"/>
  <c r="AP21" i="73"/>
  <c r="AO21" i="73"/>
  <c r="CB21" i="73" s="1"/>
  <c r="AS24" i="73"/>
  <c r="CD24" i="73" s="1"/>
  <c r="AT24" i="73"/>
  <c r="AK24" i="73"/>
  <c r="BZ24" i="73" s="1"/>
  <c r="AL24" i="73"/>
  <c r="AO48" i="73"/>
  <c r="CB48" i="73" s="1"/>
  <c r="AP48" i="73"/>
  <c r="AS61" i="73"/>
  <c r="CD61" i="73" s="1"/>
  <c r="AT61" i="73"/>
  <c r="AK61" i="73"/>
  <c r="BZ61" i="73" s="1"/>
  <c r="AL61" i="73"/>
  <c r="AO65" i="73"/>
  <c r="CB65" i="73" s="1"/>
  <c r="AP65" i="73"/>
  <c r="BE21" i="73"/>
  <c r="BD21" i="73"/>
  <c r="CJ21" i="73" s="1"/>
  <c r="AW21" i="73"/>
  <c r="AV21" i="73"/>
  <c r="CF21" i="73" s="1"/>
  <c r="Q61" i="73"/>
  <c r="BO61" i="73" s="1"/>
  <c r="R61" i="73"/>
  <c r="U65" i="73"/>
  <c r="BQ65" i="73" s="1"/>
  <c r="V65" i="73"/>
  <c r="AB21" i="73"/>
  <c r="BU21" i="73" s="1"/>
  <c r="AC21" i="73"/>
  <c r="AG48" i="73"/>
  <c r="AF48" i="73"/>
  <c r="BW48" i="73" s="1"/>
  <c r="AB61" i="73"/>
  <c r="BU61" i="73" s="1"/>
  <c r="AC61" i="73"/>
  <c r="AG65" i="73"/>
  <c r="AF65" i="73"/>
  <c r="BW65" i="73" s="1"/>
  <c r="AM21" i="73"/>
  <c r="CA21" i="73" s="1"/>
  <c r="AN21" i="73"/>
  <c r="AR24" i="73"/>
  <c r="AQ24" i="73"/>
  <c r="CC24" i="73" s="1"/>
  <c r="AN48" i="73"/>
  <c r="AM48" i="73"/>
  <c r="CA48" i="73" s="1"/>
  <c r="AR61" i="73"/>
  <c r="AQ61" i="73"/>
  <c r="CC61" i="73" s="1"/>
  <c r="AN65" i="73"/>
  <c r="AM65" i="73"/>
  <c r="CA65" i="73" s="1"/>
  <c r="BB21" i="73"/>
  <c r="CI21" i="73" s="1"/>
  <c r="BC21" i="73"/>
  <c r="M48" i="73"/>
  <c r="L48" i="73"/>
  <c r="BL48" i="73" s="1"/>
  <c r="E48" i="73"/>
  <c r="D48" i="73"/>
  <c r="BH48" i="73" s="1"/>
  <c r="I61" i="73"/>
  <c r="H61" i="73"/>
  <c r="BJ61" i="73" s="1"/>
  <c r="M65" i="73"/>
  <c r="L65" i="73"/>
  <c r="BL65" i="73" s="1"/>
  <c r="E65" i="73"/>
  <c r="D65" i="73"/>
  <c r="BH65" i="73" s="1"/>
  <c r="S21" i="73"/>
  <c r="BP21" i="73" s="1"/>
  <c r="T21" i="73"/>
  <c r="X24" i="73"/>
  <c r="W24" i="73"/>
  <c r="BR24" i="73" s="1"/>
  <c r="P24" i="73"/>
  <c r="O24" i="73"/>
  <c r="BN24" i="73" s="1"/>
  <c r="S48" i="73"/>
  <c r="BP48" i="73" s="1"/>
  <c r="T48" i="73"/>
  <c r="W61" i="73"/>
  <c r="BR61" i="73" s="1"/>
  <c r="X61" i="73"/>
  <c r="O61" i="73"/>
  <c r="BN61" i="73" s="1"/>
  <c r="P61" i="73"/>
  <c r="S65" i="73"/>
  <c r="BP65" i="73" s="1"/>
  <c r="T65" i="73"/>
  <c r="AI21" i="73"/>
  <c r="AH21" i="73"/>
  <c r="BX21" i="73" s="1"/>
  <c r="AA21" i="73"/>
  <c r="Z21" i="73"/>
  <c r="BT21" i="73" s="1"/>
  <c r="AD48" i="73"/>
  <c r="BV48" i="73" s="1"/>
  <c r="AE48" i="73"/>
  <c r="AI61" i="73"/>
  <c r="AH61" i="73"/>
  <c r="BX61" i="73" s="1"/>
  <c r="AA61" i="73"/>
  <c r="Z61" i="73"/>
  <c r="BT61" i="73" s="1"/>
  <c r="AE65" i="73"/>
  <c r="AD65" i="73"/>
  <c r="BV65" i="73" s="1"/>
  <c r="AT21" i="73"/>
  <c r="AS21" i="73"/>
  <c r="CD21" i="73" s="1"/>
  <c r="AL21" i="73"/>
  <c r="AK21" i="73"/>
  <c r="BZ21" i="73" s="1"/>
  <c r="AP24" i="73"/>
  <c r="AO24" i="73"/>
  <c r="CB24" i="73" s="1"/>
  <c r="AT48" i="73"/>
  <c r="AS48" i="73"/>
  <c r="CD48" i="73" s="1"/>
  <c r="AL48" i="73"/>
  <c r="AK48" i="73"/>
  <c r="BZ48" i="73" s="1"/>
  <c r="AP61" i="73"/>
  <c r="AO61" i="73"/>
  <c r="CB61" i="73" s="1"/>
  <c r="AT65" i="73"/>
  <c r="AS65" i="73"/>
  <c r="CD65" i="73" s="1"/>
  <c r="AL65" i="73"/>
  <c r="AK65" i="73"/>
  <c r="BZ65" i="73" s="1"/>
  <c r="BA21" i="73"/>
  <c r="AZ21" i="73"/>
  <c r="CH21" i="73" s="1"/>
  <c r="V215" i="50"/>
  <c r="W155" i="62"/>
  <c r="BN155" i="62" s="1"/>
  <c r="H215" i="50"/>
  <c r="I155" i="62"/>
  <c r="AZ155" i="62" s="1"/>
  <c r="AK163" i="62"/>
  <c r="CB163" i="62" s="1"/>
  <c r="AJ223" i="50"/>
  <c r="AJ231" i="50"/>
  <c r="AK171" i="62"/>
  <c r="CB171" i="62" s="1"/>
  <c r="I157" i="62"/>
  <c r="AZ157" i="62" s="1"/>
  <c r="H217" i="50"/>
  <c r="P162" i="62"/>
  <c r="BG162" i="62" s="1"/>
  <c r="O222" i="50"/>
  <c r="AD170" i="62"/>
  <c r="BU170" i="62" s="1"/>
  <c r="AC230" i="50"/>
  <c r="AC218" i="50"/>
  <c r="AD158" i="62"/>
  <c r="BU158" i="62" s="1"/>
  <c r="P166" i="62"/>
  <c r="BG166" i="62" s="1"/>
  <c r="O226" i="50"/>
  <c r="H235" i="50"/>
  <c r="I175" i="62"/>
  <c r="AZ175" i="62" s="1"/>
  <c r="AK173" i="62"/>
  <c r="CB173" i="62" s="1"/>
  <c r="AJ233" i="50"/>
  <c r="AK157" i="62"/>
  <c r="AC67" i="62"/>
  <c r="BT67" i="62" s="1"/>
  <c r="F24" i="73"/>
  <c r="BI24" i="73" s="1"/>
  <c r="G24" i="73"/>
  <c r="BG21" i="53"/>
  <c r="DI21" i="53" s="1"/>
  <c r="BA21" i="53"/>
  <c r="DC21" i="53" s="1"/>
  <c r="J21" i="73"/>
  <c r="BK21" i="73" s="1"/>
  <c r="K21" i="73"/>
  <c r="M24" i="73"/>
  <c r="L24" i="73"/>
  <c r="BL24" i="73" s="1"/>
  <c r="BF21" i="53"/>
  <c r="DH21" i="53" s="1"/>
  <c r="AZ21" i="53"/>
  <c r="DB21" i="53" s="1"/>
  <c r="I21" i="73"/>
  <c r="H21" i="73"/>
  <c r="BJ21" i="73" s="1"/>
  <c r="J24" i="73"/>
  <c r="BK24" i="73" s="1"/>
  <c r="K24" i="73"/>
  <c r="BC21" i="53"/>
  <c r="DE21" i="53" s="1"/>
  <c r="AW21" i="53"/>
  <c r="CY21" i="53" s="1"/>
  <c r="BE21" i="53"/>
  <c r="DG21" i="53" s="1"/>
  <c r="AY21" i="53"/>
  <c r="DA21" i="53" s="1"/>
  <c r="F21" i="73"/>
  <c r="BI21" i="73" s="1"/>
  <c r="G21" i="73"/>
  <c r="I24" i="73"/>
  <c r="H24" i="73"/>
  <c r="BJ24" i="73" s="1"/>
  <c r="BH21" i="53"/>
  <c r="DJ21" i="53" s="1"/>
  <c r="BB21" i="53"/>
  <c r="DD21" i="53" s="1"/>
  <c r="M21" i="73"/>
  <c r="L21" i="73"/>
  <c r="BL21" i="73" s="1"/>
  <c r="BD21" i="53"/>
  <c r="DF21" i="53" s="1"/>
  <c r="AX21" i="53"/>
  <c r="CZ21" i="53" s="1"/>
  <c r="E24" i="73"/>
  <c r="D24" i="73"/>
  <c r="BH24" i="73" s="1"/>
  <c r="E21" i="73"/>
  <c r="D21" i="73"/>
  <c r="BH21" i="73" s="1"/>
  <c r="AO79" i="51"/>
  <c r="CF79" i="51" s="1"/>
  <c r="AQ79" i="51"/>
  <c r="CH79" i="51" s="1"/>
  <c r="AR79" i="51"/>
  <c r="CI79" i="51" s="1"/>
  <c r="AT79" i="51"/>
  <c r="CK79" i="51" s="1"/>
  <c r="U272" i="50"/>
  <c r="BG272" i="50" s="1"/>
  <c r="U269" i="50"/>
  <c r="BG269" i="50" s="1"/>
  <c r="U264" i="50"/>
  <c r="BG264" i="50" s="1"/>
  <c r="M259" i="50"/>
  <c r="N237" i="50"/>
  <c r="AZ237" i="50" s="1"/>
  <c r="Q156" i="62"/>
  <c r="BH156" i="62" s="1"/>
  <c r="P216" i="50"/>
  <c r="BB216" i="50" s="1"/>
  <c r="AK170" i="62"/>
  <c r="CB170" i="62" s="1"/>
  <c r="AJ230" i="50"/>
  <c r="V218" i="50"/>
  <c r="W158" i="62"/>
  <c r="BN158" i="62" s="1"/>
  <c r="AI265" i="50"/>
  <c r="BU265" i="50" s="1"/>
  <c r="AD167" i="62"/>
  <c r="BU167" i="62" s="1"/>
  <c r="AC227" i="50"/>
  <c r="AK155" i="62"/>
  <c r="CB155" i="62" s="1"/>
  <c r="AJ215" i="50"/>
  <c r="BV215" i="50" s="1"/>
  <c r="AK162" i="62"/>
  <c r="CB162" i="62" s="1"/>
  <c r="AJ222" i="50"/>
  <c r="H232" i="50"/>
  <c r="I172" i="62"/>
  <c r="AZ172" i="62" s="1"/>
  <c r="AJ216" i="50"/>
  <c r="AK156" i="62"/>
  <c r="CB156" i="62" s="1"/>
  <c r="AC221" i="50"/>
  <c r="AD161" i="62"/>
  <c r="BU161" i="62" s="1"/>
  <c r="W174" i="62"/>
  <c r="BN174" i="62" s="1"/>
  <c r="V234" i="50"/>
  <c r="U214" i="50"/>
  <c r="BG214" i="50" s="1"/>
  <c r="C53" i="85" s="1"/>
  <c r="P168" i="62"/>
  <c r="BG168" i="62" s="1"/>
  <c r="O228" i="50"/>
  <c r="O221" i="50"/>
  <c r="P161" i="62"/>
  <c r="BG161" i="62" s="1"/>
  <c r="AD175" i="62"/>
  <c r="BU175" i="62" s="1"/>
  <c r="AC235" i="50"/>
  <c r="H222" i="50"/>
  <c r="I162" i="62"/>
  <c r="AZ162" i="62" s="1"/>
  <c r="W166" i="62"/>
  <c r="BN166" i="62" s="1"/>
  <c r="V226" i="50"/>
  <c r="W162" i="62"/>
  <c r="BN162" i="62" s="1"/>
  <c r="V222" i="50"/>
  <c r="AJ228" i="50"/>
  <c r="AK168" i="62"/>
  <c r="CB168" i="62" s="1"/>
  <c r="AE166" i="62"/>
  <c r="BV166" i="62" s="1"/>
  <c r="AD226" i="50"/>
  <c r="BP226" i="50" s="1"/>
  <c r="W173" i="62"/>
  <c r="BN173" i="62" s="1"/>
  <c r="V233" i="50"/>
  <c r="AE164" i="62"/>
  <c r="BV164" i="62" s="1"/>
  <c r="AD224" i="50"/>
  <c r="BP224" i="50" s="1"/>
  <c r="AJ154" i="62"/>
  <c r="CA154" i="62" s="1"/>
  <c r="O154" i="62"/>
  <c r="BF154" i="62" s="1"/>
  <c r="AB267" i="50"/>
  <c r="BN267" i="50" s="1"/>
  <c r="I168" i="62"/>
  <c r="AZ168" i="62" s="1"/>
  <c r="H228" i="50"/>
  <c r="N214" i="50"/>
  <c r="AZ214" i="50" s="1"/>
  <c r="C35" i="85" s="1"/>
  <c r="V224" i="50"/>
  <c r="W164" i="62"/>
  <c r="BN164" i="62" s="1"/>
  <c r="AK166" i="62"/>
  <c r="CB166" i="62" s="1"/>
  <c r="AJ226" i="50"/>
  <c r="O229" i="50"/>
  <c r="P169" i="62"/>
  <c r="BG169" i="62" s="1"/>
  <c r="AC223" i="50"/>
  <c r="AD163" i="62"/>
  <c r="BU163" i="62" s="1"/>
  <c r="W167" i="62"/>
  <c r="BN167" i="62" s="1"/>
  <c r="V227" i="50"/>
  <c r="V230" i="50"/>
  <c r="W170" i="62"/>
  <c r="BN170" i="62" s="1"/>
  <c r="U263" i="50"/>
  <c r="BG263" i="50" s="1"/>
  <c r="W172" i="62"/>
  <c r="BN172" i="62" s="1"/>
  <c r="V232" i="50"/>
  <c r="AI214" i="50"/>
  <c r="BU214" i="50" s="1"/>
  <c r="C95" i="85" s="1"/>
  <c r="AI237" i="50"/>
  <c r="BU237" i="50" s="1"/>
  <c r="P224" i="50"/>
  <c r="BB224" i="50" s="1"/>
  <c r="AB214" i="50"/>
  <c r="BN214" i="50" s="1"/>
  <c r="C71" i="85" s="1"/>
  <c r="AK164" i="62"/>
  <c r="CB164" i="62" s="1"/>
  <c r="AJ224" i="50"/>
  <c r="V220" i="50"/>
  <c r="W160" i="62"/>
  <c r="BN160" i="62" s="1"/>
  <c r="P165" i="62"/>
  <c r="BG165" i="62" s="1"/>
  <c r="O225" i="50"/>
  <c r="AK235" i="50"/>
  <c r="G214" i="50"/>
  <c r="AS214" i="50" s="1"/>
  <c r="J163" i="62"/>
  <c r="BA163" i="62" s="1"/>
  <c r="I223" i="50"/>
  <c r="AU223" i="50" s="1"/>
  <c r="AE174" i="62"/>
  <c r="BV174" i="62" s="1"/>
  <c r="AI79" i="62"/>
  <c r="M236" i="50"/>
  <c r="AY236" i="50" s="1"/>
  <c r="AK165" i="62"/>
  <c r="CB165" i="62" s="1"/>
  <c r="AJ225" i="50"/>
  <c r="I164" i="62"/>
  <c r="AZ164" i="62" s="1"/>
  <c r="H224" i="50"/>
  <c r="H226" i="50"/>
  <c r="I166" i="62"/>
  <c r="AZ166" i="62" s="1"/>
  <c r="O235" i="50"/>
  <c r="P175" i="62"/>
  <c r="BG175" i="62" s="1"/>
  <c r="P218" i="50"/>
  <c r="BB218" i="50" s="1"/>
  <c r="P159" i="62"/>
  <c r="BG159" i="62" s="1"/>
  <c r="O219" i="50"/>
  <c r="W159" i="62"/>
  <c r="BN159" i="62" s="1"/>
  <c r="V219" i="50"/>
  <c r="P160" i="62"/>
  <c r="BG160" i="62" s="1"/>
  <c r="O220" i="50"/>
  <c r="AC215" i="50"/>
  <c r="AD155" i="62"/>
  <c r="BU155" i="62" s="1"/>
  <c r="AD168" i="62"/>
  <c r="BU168" i="62" s="1"/>
  <c r="AC228" i="50"/>
  <c r="W165" i="62"/>
  <c r="BN165" i="62" s="1"/>
  <c r="V225" i="50"/>
  <c r="AL169" i="62"/>
  <c r="CC169" i="62" s="1"/>
  <c r="AK229" i="50"/>
  <c r="AC225" i="50"/>
  <c r="AD165" i="62"/>
  <c r="BU165" i="62" s="1"/>
  <c r="AL167" i="62"/>
  <c r="CC167" i="62" s="1"/>
  <c r="AK227" i="50"/>
  <c r="P173" i="62"/>
  <c r="BG173" i="62" s="1"/>
  <c r="O233" i="50"/>
  <c r="O227" i="50"/>
  <c r="P167" i="62"/>
  <c r="BG167" i="62" s="1"/>
  <c r="AK174" i="62"/>
  <c r="CB174" i="62" s="1"/>
  <c r="AJ234" i="50"/>
  <c r="AD159" i="62"/>
  <c r="BU159" i="62" s="1"/>
  <c r="AC219" i="50"/>
  <c r="H218" i="50"/>
  <c r="AT218" i="50" s="1"/>
  <c r="I158" i="62"/>
  <c r="AZ158" i="62" s="1"/>
  <c r="H154" i="62"/>
  <c r="AY154" i="62" s="1"/>
  <c r="AK160" i="62"/>
  <c r="CB160" i="62" s="1"/>
  <c r="AJ220" i="50"/>
  <c r="O217" i="50"/>
  <c r="P157" i="62"/>
  <c r="BG157" i="62" s="1"/>
  <c r="W168" i="62"/>
  <c r="BN168" i="62" s="1"/>
  <c r="V228" i="50"/>
  <c r="AC233" i="50"/>
  <c r="AD173" i="62"/>
  <c r="BU173" i="62" s="1"/>
  <c r="W157" i="62"/>
  <c r="BN157" i="62" s="1"/>
  <c r="V217" i="50"/>
  <c r="O223" i="50"/>
  <c r="P163" i="62"/>
  <c r="BG163" i="62" s="1"/>
  <c r="P172" i="62"/>
  <c r="BG172" i="62" s="1"/>
  <c r="O232" i="50"/>
  <c r="P170" i="62"/>
  <c r="BG170" i="62" s="1"/>
  <c r="O230" i="50"/>
  <c r="AD171" i="62"/>
  <c r="BU171" i="62" s="1"/>
  <c r="AC231" i="50"/>
  <c r="AK161" i="62"/>
  <c r="CB161" i="62" s="1"/>
  <c r="AJ221" i="50"/>
  <c r="AL159" i="62"/>
  <c r="CC159" i="62" s="1"/>
  <c r="AK219" i="50"/>
  <c r="AK172" i="62"/>
  <c r="CB172" i="62" s="1"/>
  <c r="AJ232" i="50"/>
  <c r="AD169" i="62"/>
  <c r="BU169" i="62" s="1"/>
  <c r="AC229" i="50"/>
  <c r="AJ218" i="50"/>
  <c r="AK158" i="62"/>
  <c r="CB158" i="62" s="1"/>
  <c r="W161" i="62"/>
  <c r="BN161" i="62" s="1"/>
  <c r="V221" i="50"/>
  <c r="AD157" i="62"/>
  <c r="BU157" i="62" s="1"/>
  <c r="AC217" i="50"/>
  <c r="AB188" i="50"/>
  <c r="BN188" i="50" s="1"/>
  <c r="AH61" i="50"/>
  <c r="BT61" i="50" s="1"/>
  <c r="AB64" i="50"/>
  <c r="BN64" i="50" s="1"/>
  <c r="AA61" i="50"/>
  <c r="BM61" i="50" s="1"/>
  <c r="AA172" i="50"/>
  <c r="BM172" i="50" s="1"/>
  <c r="AB152" i="50"/>
  <c r="BN152" i="50" s="1"/>
  <c r="AI64" i="50"/>
  <c r="BU64" i="50" s="1"/>
  <c r="AP79" i="51"/>
  <c r="CG79" i="51" s="1"/>
  <c r="AS79" i="51"/>
  <c r="CJ79" i="51" s="1"/>
  <c r="AB62" i="50"/>
  <c r="BN62" i="50" s="1"/>
  <c r="AC192" i="50"/>
  <c r="G269" i="50"/>
  <c r="AS269" i="50" s="1"/>
  <c r="G274" i="50"/>
  <c r="AS274" i="50" s="1"/>
  <c r="AJ192" i="50"/>
  <c r="U192" i="50"/>
  <c r="G264" i="50"/>
  <c r="AS264" i="50" s="1"/>
  <c r="N192" i="50"/>
  <c r="V192" i="50"/>
  <c r="G192" i="50"/>
  <c r="O192" i="50"/>
  <c r="G265" i="50"/>
  <c r="AS265" i="50" s="1"/>
  <c r="W95" i="62"/>
  <c r="BN95" i="62" s="1"/>
  <c r="V94" i="62"/>
  <c r="BM94" i="62" s="1"/>
  <c r="AF81" i="62"/>
  <c r="BW81" i="62" s="1"/>
  <c r="P75" i="62"/>
  <c r="BG75" i="62" s="1"/>
  <c r="O74" i="62"/>
  <c r="BF74" i="62" s="1"/>
  <c r="X72" i="62"/>
  <c r="BO72" i="62" s="1"/>
  <c r="AK81" i="62"/>
  <c r="AJ80" i="62"/>
  <c r="P84" i="62"/>
  <c r="BG84" i="62" s="1"/>
  <c r="O83" i="62"/>
  <c r="H80" i="62"/>
  <c r="I81" i="62"/>
  <c r="AZ81" i="62" s="1"/>
  <c r="W100" i="62"/>
  <c r="BN100" i="62" s="1"/>
  <c r="V99" i="62"/>
  <c r="BM99" i="62" s="1"/>
  <c r="W156" i="62"/>
  <c r="V154" i="62"/>
  <c r="BM154" i="62" s="1"/>
  <c r="X65" i="62"/>
  <c r="BO65" i="62" s="1"/>
  <c r="J100" i="62"/>
  <c r="BA100" i="62" s="1"/>
  <c r="AL62" i="62"/>
  <c r="AK61" i="62"/>
  <c r="CB61" i="62" s="1"/>
  <c r="AL65" i="62"/>
  <c r="AL95" i="62"/>
  <c r="CC95" i="62" s="1"/>
  <c r="X84" i="62"/>
  <c r="BO84" i="62" s="1"/>
  <c r="AD71" i="62"/>
  <c r="BU71" i="62" s="1"/>
  <c r="AE72" i="62"/>
  <c r="BV72" i="62" s="1"/>
  <c r="AD101" i="62"/>
  <c r="AC99" i="62"/>
  <c r="BT99" i="62" s="1"/>
  <c r="O71" i="62"/>
  <c r="BF71" i="62" s="1"/>
  <c r="P72" i="62"/>
  <c r="BG72" i="62" s="1"/>
  <c r="AD66" i="62"/>
  <c r="BU66" i="62" s="1"/>
  <c r="AC64" i="62"/>
  <c r="BT64" i="62" s="1"/>
  <c r="AK75" i="62"/>
  <c r="CB75" i="62" s="1"/>
  <c r="AJ74" i="62"/>
  <c r="X62" i="62"/>
  <c r="BO62" i="62" s="1"/>
  <c r="J65" i="62"/>
  <c r="BA65" i="62" s="1"/>
  <c r="AD96" i="62"/>
  <c r="BU96" i="62" s="1"/>
  <c r="AC94" i="62"/>
  <c r="BT94" i="62" s="1"/>
  <c r="AL72" i="62"/>
  <c r="CC72" i="62" s="1"/>
  <c r="AE75" i="62"/>
  <c r="BV75" i="62" s="1"/>
  <c r="X75" i="62"/>
  <c r="BO75" i="62" s="1"/>
  <c r="AD63" i="62"/>
  <c r="AC61" i="62"/>
  <c r="BT61" i="62" s="1"/>
  <c r="P101" i="62"/>
  <c r="BG101" i="62" s="1"/>
  <c r="O99" i="62"/>
  <c r="BF99" i="62" s="1"/>
  <c r="AJ163" i="50" l="1"/>
  <c r="AK71" i="62"/>
  <c r="CB71" i="62" s="1"/>
  <c r="BU169" i="50"/>
  <c r="G278" i="50"/>
  <c r="AS278" i="50" s="1"/>
  <c r="H256" i="50"/>
  <c r="AT256" i="50" s="1"/>
  <c r="Q81" i="62"/>
  <c r="BH81" i="62" s="1"/>
  <c r="Q62" i="62"/>
  <c r="BH62" i="62" s="1"/>
  <c r="I64" i="62"/>
  <c r="AZ64" i="62" s="1"/>
  <c r="J95" i="62"/>
  <c r="BA95" i="62" s="1"/>
  <c r="BU155" i="50"/>
  <c r="BO83" i="50"/>
  <c r="Q158" i="62"/>
  <c r="BH158" i="62" s="1"/>
  <c r="AL175" i="62"/>
  <c r="CC175" i="62" s="1"/>
  <c r="I231" i="50"/>
  <c r="AU231" i="50" s="1"/>
  <c r="AC169" i="50"/>
  <c r="J171" i="62"/>
  <c r="BA171" i="62" s="1"/>
  <c r="CB100" i="62"/>
  <c r="AB175" i="50"/>
  <c r="BN175" i="50" s="1"/>
  <c r="AK50" i="50"/>
  <c r="BW50" i="50" s="1"/>
  <c r="AC155" i="50"/>
  <c r="BO155" i="50" s="1"/>
  <c r="AK99" i="62"/>
  <c r="CB99" i="62" s="1"/>
  <c r="J132" i="85"/>
  <c r="C17" i="85"/>
  <c r="C113" i="85" s="1"/>
  <c r="AD232" i="50"/>
  <c r="AE172" i="62"/>
  <c r="BV172" i="62" s="1"/>
  <c r="W74" i="62"/>
  <c r="BN74" i="62" s="1"/>
  <c r="O240" i="50"/>
  <c r="BA240" i="50" s="1"/>
  <c r="Q164" i="62"/>
  <c r="BH164" i="62" s="1"/>
  <c r="AE123" i="50"/>
  <c r="BP123" i="50"/>
  <c r="AL129" i="50"/>
  <c r="BW129" i="50"/>
  <c r="AL18" i="50"/>
  <c r="BW18" i="50"/>
  <c r="AL120" i="50"/>
  <c r="BW120" i="50"/>
  <c r="AL14" i="50"/>
  <c r="BW14" i="50"/>
  <c r="AL28" i="50"/>
  <c r="BW28" i="50"/>
  <c r="AL119" i="50"/>
  <c r="BW119" i="50"/>
  <c r="AL126" i="50"/>
  <c r="BW126" i="50"/>
  <c r="U60" i="62"/>
  <c r="BL60" i="62" s="1"/>
  <c r="AL25" i="50"/>
  <c r="BW25" i="50"/>
  <c r="AL123" i="50"/>
  <c r="BW123" i="50"/>
  <c r="AE23" i="50"/>
  <c r="BP23" i="50"/>
  <c r="AE119" i="50"/>
  <c r="BP119" i="50"/>
  <c r="AL128" i="50"/>
  <c r="BW128" i="50"/>
  <c r="AE18" i="50"/>
  <c r="BP18" i="50"/>
  <c r="AL30" i="50"/>
  <c r="BW30" i="50"/>
  <c r="AC79" i="62"/>
  <c r="BT79" i="62" s="1"/>
  <c r="AL26" i="50"/>
  <c r="BW26" i="50"/>
  <c r="AE26" i="50"/>
  <c r="BP26" i="50"/>
  <c r="AE112" i="50"/>
  <c r="BP112" i="50"/>
  <c r="AL112" i="50"/>
  <c r="BW112" i="50"/>
  <c r="AE30" i="50"/>
  <c r="BP30" i="50"/>
  <c r="AE24" i="50"/>
  <c r="BP24" i="50"/>
  <c r="AB273" i="50"/>
  <c r="BN273" i="50" s="1"/>
  <c r="AE28" i="50"/>
  <c r="BP28" i="50"/>
  <c r="AE128" i="50"/>
  <c r="BP128" i="50"/>
  <c r="AL31" i="50"/>
  <c r="BW31" i="50"/>
  <c r="AE11" i="50"/>
  <c r="BP11" i="50"/>
  <c r="AE120" i="50"/>
  <c r="BP120" i="50"/>
  <c r="AL115" i="50"/>
  <c r="BW115" i="50"/>
  <c r="AE25" i="50"/>
  <c r="BP25" i="50"/>
  <c r="AE31" i="50"/>
  <c r="BP31" i="50"/>
  <c r="AE34" i="50"/>
  <c r="BP34" i="50"/>
  <c r="AL23" i="50"/>
  <c r="BW23" i="50"/>
  <c r="AE27" i="50"/>
  <c r="BP27" i="50"/>
  <c r="AE129" i="50"/>
  <c r="BP129" i="50"/>
  <c r="AL24" i="50"/>
  <c r="BW24" i="50"/>
  <c r="AE14" i="50"/>
  <c r="BP14" i="50"/>
  <c r="AE126" i="50"/>
  <c r="BP126" i="50"/>
  <c r="AE12" i="50"/>
  <c r="BP12" i="50"/>
  <c r="AL34" i="50"/>
  <c r="BW34" i="50"/>
  <c r="AL12" i="50"/>
  <c r="BW12" i="50"/>
  <c r="AL27" i="50"/>
  <c r="BW27" i="50"/>
  <c r="AK11" i="50"/>
  <c r="BV11" i="50"/>
  <c r="AE115" i="50"/>
  <c r="BP115" i="50"/>
  <c r="G267" i="50"/>
  <c r="AS267" i="50" s="1"/>
  <c r="H242" i="50"/>
  <c r="AC74" i="50"/>
  <c r="N261" i="50"/>
  <c r="AZ261" i="50" s="1"/>
  <c r="N266" i="50"/>
  <c r="AZ266" i="50" s="1"/>
  <c r="BN77" i="50"/>
  <c r="AB186" i="50"/>
  <c r="BN186" i="50" s="1"/>
  <c r="AC238" i="50"/>
  <c r="BO238" i="50" s="1"/>
  <c r="AS245" i="50"/>
  <c r="AJ160" i="50"/>
  <c r="N273" i="50"/>
  <c r="AZ273" i="50" s="1"/>
  <c r="H247" i="50"/>
  <c r="AT247" i="50" s="1"/>
  <c r="N263" i="50"/>
  <c r="AZ263" i="50" s="1"/>
  <c r="T258" i="50"/>
  <c r="BF258" i="50" s="1"/>
  <c r="AB277" i="50"/>
  <c r="BN277" i="50" s="1"/>
  <c r="AC163" i="50"/>
  <c r="AC183" i="50" s="1"/>
  <c r="BO183" i="50" s="1"/>
  <c r="U265" i="50"/>
  <c r="BG265" i="50" s="1"/>
  <c r="I61" i="62"/>
  <c r="AZ61" i="62" s="1"/>
  <c r="N265" i="50"/>
  <c r="AZ265" i="50" s="1"/>
  <c r="V238" i="50"/>
  <c r="V260" i="50" s="1"/>
  <c r="BH260" i="50" s="1"/>
  <c r="AZ253" i="50"/>
  <c r="AB259" i="50"/>
  <c r="BN259" i="50" s="1"/>
  <c r="AI262" i="50"/>
  <c r="BU262" i="50" s="1"/>
  <c r="P234" i="50"/>
  <c r="BB234" i="50" s="1"/>
  <c r="AI272" i="50"/>
  <c r="BU272" i="50" s="1"/>
  <c r="N269" i="50"/>
  <c r="AZ269" i="50" s="1"/>
  <c r="O246" i="50"/>
  <c r="BA246" i="50" s="1"/>
  <c r="BU160" i="50"/>
  <c r="AI270" i="50"/>
  <c r="BU270" i="50" s="1"/>
  <c r="AB236" i="50"/>
  <c r="C72" i="67" s="1"/>
  <c r="Q174" i="62"/>
  <c r="BH174" i="62" s="1"/>
  <c r="AE162" i="62"/>
  <c r="BV162" i="62" s="1"/>
  <c r="J62" i="62"/>
  <c r="BA62" i="62" s="1"/>
  <c r="AD222" i="50"/>
  <c r="V267" i="50"/>
  <c r="BH267" i="50" s="1"/>
  <c r="U259" i="50"/>
  <c r="BG259" i="50" s="1"/>
  <c r="U261" i="50"/>
  <c r="BG261" i="50" s="1"/>
  <c r="AD234" i="50"/>
  <c r="AD256" i="50" s="1"/>
  <c r="BP256" i="50" s="1"/>
  <c r="N279" i="50"/>
  <c r="AZ279" i="50" s="1"/>
  <c r="AC160" i="50"/>
  <c r="AC180" i="50" s="1"/>
  <c r="BO180" i="50" s="1"/>
  <c r="H243" i="50"/>
  <c r="H265" i="50" s="1"/>
  <c r="AT265" i="50" s="1"/>
  <c r="AC166" i="50"/>
  <c r="AC186" i="50" s="1"/>
  <c r="BO186" i="50" s="1"/>
  <c r="BH253" i="50"/>
  <c r="V275" i="50"/>
  <c r="BH275" i="50" s="1"/>
  <c r="O278" i="50"/>
  <c r="BA278" i="50" s="1"/>
  <c r="BA256" i="50"/>
  <c r="BO256" i="50"/>
  <c r="AC278" i="50"/>
  <c r="BO278" i="50" s="1"/>
  <c r="AD132" i="50"/>
  <c r="BP132" i="50" s="1"/>
  <c r="BU63" i="62"/>
  <c r="H79" i="62"/>
  <c r="AY79" i="62" s="1"/>
  <c r="AY80" i="62"/>
  <c r="AC251" i="50"/>
  <c r="BO251" i="50" s="1"/>
  <c r="BO229" i="50"/>
  <c r="O249" i="50"/>
  <c r="BA249" i="50" s="1"/>
  <c r="BA227" i="50"/>
  <c r="O242" i="50"/>
  <c r="BA242" i="50" s="1"/>
  <c r="BA220" i="50"/>
  <c r="V246" i="50"/>
  <c r="BH224" i="50"/>
  <c r="H254" i="50"/>
  <c r="AT232" i="50"/>
  <c r="AE69" i="62"/>
  <c r="BU69" i="62"/>
  <c r="Q195" i="50"/>
  <c r="BB195" i="50"/>
  <c r="X66" i="62"/>
  <c r="X64" i="62" s="1"/>
  <c r="BO64" i="62" s="1"/>
  <c r="BN66" i="62"/>
  <c r="AI277" i="50"/>
  <c r="BU277" i="50" s="1"/>
  <c r="BU255" i="50"/>
  <c r="J73" i="62"/>
  <c r="AZ73" i="62"/>
  <c r="X210" i="50"/>
  <c r="BI210" i="50"/>
  <c r="AL207" i="50"/>
  <c r="BW207" i="50"/>
  <c r="Q82" i="62"/>
  <c r="BG82" i="62"/>
  <c r="X195" i="50"/>
  <c r="BI195" i="50"/>
  <c r="AL70" i="62"/>
  <c r="CB70" i="62"/>
  <c r="R96" i="62"/>
  <c r="BI96" i="62" s="1"/>
  <c r="BH96" i="62"/>
  <c r="X106" i="62"/>
  <c r="BN106" i="62"/>
  <c r="I203" i="50"/>
  <c r="AT203" i="50"/>
  <c r="U277" i="50"/>
  <c r="BG277" i="50" s="1"/>
  <c r="BG255" i="50"/>
  <c r="BO168" i="50"/>
  <c r="D34" i="67"/>
  <c r="D121" i="67" s="1"/>
  <c r="BA192" i="50"/>
  <c r="D34" i="85" s="1"/>
  <c r="D121" i="85" s="1"/>
  <c r="C34" i="67"/>
  <c r="C121" i="67" s="1"/>
  <c r="AZ192" i="50"/>
  <c r="C34" i="85" s="1"/>
  <c r="C121" i="85" s="1"/>
  <c r="V239" i="50"/>
  <c r="BH239" i="50" s="1"/>
  <c r="BH217" i="50"/>
  <c r="AC245" i="50"/>
  <c r="BO245" i="50" s="1"/>
  <c r="BO223" i="50"/>
  <c r="H257" i="50"/>
  <c r="AT235" i="50"/>
  <c r="P215" i="50"/>
  <c r="BB215" i="50" s="1"/>
  <c r="BG155" i="62"/>
  <c r="AZ238" i="50"/>
  <c r="N260" i="50"/>
  <c r="AZ260" i="50" s="1"/>
  <c r="AE76" i="62"/>
  <c r="BU76" i="62"/>
  <c r="AL68" i="62"/>
  <c r="CB68" i="62"/>
  <c r="AK39" i="50"/>
  <c r="BW39" i="50" s="1"/>
  <c r="I211" i="50"/>
  <c r="AT211" i="50"/>
  <c r="J90" i="62"/>
  <c r="AZ90" i="62"/>
  <c r="X213" i="50"/>
  <c r="BI213" i="50"/>
  <c r="AL78" i="62"/>
  <c r="CB78" i="62"/>
  <c r="N262" i="50"/>
  <c r="AZ262" i="50" s="1"/>
  <c r="AZ240" i="50"/>
  <c r="N271" i="50"/>
  <c r="AZ271" i="50" s="1"/>
  <c r="AZ249" i="50"/>
  <c r="Q105" i="62"/>
  <c r="BG105" i="62"/>
  <c r="J82" i="62"/>
  <c r="AZ82" i="62"/>
  <c r="AL77" i="62"/>
  <c r="CB77" i="62"/>
  <c r="Q203" i="50"/>
  <c r="BB203" i="50"/>
  <c r="J165" i="62"/>
  <c r="AZ165" i="62"/>
  <c r="I225" i="50"/>
  <c r="AU225" i="50" s="1"/>
  <c r="AL203" i="50"/>
  <c r="BW203" i="50"/>
  <c r="Q93" i="62"/>
  <c r="BG93" i="62"/>
  <c r="X90" i="62"/>
  <c r="BN90" i="62"/>
  <c r="AE206" i="50"/>
  <c r="BP206" i="50"/>
  <c r="V257" i="50"/>
  <c r="BH235" i="50"/>
  <c r="H251" i="50"/>
  <c r="AS251" i="50"/>
  <c r="AE103" i="62"/>
  <c r="BU103" i="62"/>
  <c r="AD49" i="50"/>
  <c r="BP49" i="50" s="1"/>
  <c r="G279" i="50"/>
  <c r="AS279" i="50" s="1"/>
  <c r="AS257" i="50"/>
  <c r="AE108" i="62"/>
  <c r="BU108" i="62"/>
  <c r="AD59" i="50"/>
  <c r="BP59" i="50" s="1"/>
  <c r="AE90" i="62"/>
  <c r="BU90" i="62"/>
  <c r="P80" i="62"/>
  <c r="BG80" i="62" s="1"/>
  <c r="AL50" i="50"/>
  <c r="BX50" i="50" s="1"/>
  <c r="CC100" i="62"/>
  <c r="O255" i="50"/>
  <c r="BA233" i="50"/>
  <c r="H248" i="50"/>
  <c r="AT248" i="50" s="1"/>
  <c r="AT226" i="50"/>
  <c r="O243" i="50"/>
  <c r="BA243" i="50" s="1"/>
  <c r="BA221" i="50"/>
  <c r="V240" i="50"/>
  <c r="BH240" i="50" s="1"/>
  <c r="BH218" i="50"/>
  <c r="BV163" i="50"/>
  <c r="AH258" i="50"/>
  <c r="BT258" i="50" s="1"/>
  <c r="H237" i="50"/>
  <c r="AT237" i="50" s="1"/>
  <c r="AT215" i="50"/>
  <c r="AE207" i="50"/>
  <c r="BP207" i="50"/>
  <c r="BU62" i="62"/>
  <c r="AD36" i="50"/>
  <c r="BP36" i="50" s="1"/>
  <c r="AE62" i="62"/>
  <c r="AE82" i="62"/>
  <c r="BU82" i="62"/>
  <c r="AD140" i="50"/>
  <c r="BP140" i="50" s="1"/>
  <c r="J156" i="62"/>
  <c r="AZ156" i="62"/>
  <c r="I216" i="50"/>
  <c r="AU216" i="50" s="1"/>
  <c r="I202" i="50"/>
  <c r="AT202" i="50"/>
  <c r="AI274" i="50"/>
  <c r="BU274" i="50" s="1"/>
  <c r="BU252" i="50"/>
  <c r="AE79" i="50"/>
  <c r="BP79" i="50"/>
  <c r="J96" i="62"/>
  <c r="AZ96" i="62"/>
  <c r="BV160" i="50"/>
  <c r="Q68" i="62"/>
  <c r="BG68" i="62"/>
  <c r="AE93" i="62"/>
  <c r="BU93" i="62"/>
  <c r="AD149" i="50"/>
  <c r="BP149" i="50" s="1"/>
  <c r="Q69" i="62"/>
  <c r="BG69" i="62"/>
  <c r="X205" i="50"/>
  <c r="BI205" i="50"/>
  <c r="AL209" i="50"/>
  <c r="BW209" i="50"/>
  <c r="G262" i="50"/>
  <c r="AS262" i="50" s="1"/>
  <c r="AS240" i="50"/>
  <c r="Q87" i="62"/>
  <c r="BG87" i="62"/>
  <c r="AL86" i="62"/>
  <c r="CB86" i="62"/>
  <c r="AK143" i="50"/>
  <c r="BW143" i="50" s="1"/>
  <c r="X68" i="62"/>
  <c r="BN68" i="62"/>
  <c r="AE205" i="50"/>
  <c r="BP205" i="50"/>
  <c r="AE68" i="62"/>
  <c r="BU68" i="62"/>
  <c r="AD39" i="50"/>
  <c r="BP39" i="50" s="1"/>
  <c r="J195" i="50"/>
  <c r="AU195" i="50"/>
  <c r="AL204" i="50"/>
  <c r="BW204" i="50"/>
  <c r="BO73" i="50"/>
  <c r="AE82" i="50"/>
  <c r="BP82" i="50"/>
  <c r="W216" i="50"/>
  <c r="BI216" i="50" s="1"/>
  <c r="BN156" i="62"/>
  <c r="AK139" i="50"/>
  <c r="BW139" i="50" s="1"/>
  <c r="CB81" i="62"/>
  <c r="C52" i="67"/>
  <c r="C123" i="67" s="1"/>
  <c r="BG192" i="50"/>
  <c r="C52" i="85" s="1"/>
  <c r="C123" i="85" s="1"/>
  <c r="G236" i="50"/>
  <c r="AA179" i="50"/>
  <c r="BM179" i="50" s="1"/>
  <c r="O252" i="50"/>
  <c r="BA252" i="50" s="1"/>
  <c r="BA230" i="50"/>
  <c r="O257" i="50"/>
  <c r="BA257" i="50" s="1"/>
  <c r="BA235" i="50"/>
  <c r="O251" i="50"/>
  <c r="BA251" i="50" s="1"/>
  <c r="BA229" i="50"/>
  <c r="V248" i="50"/>
  <c r="BH248" i="50" s="1"/>
  <c r="BH226" i="50"/>
  <c r="AC254" i="50"/>
  <c r="AD254" i="50" s="1"/>
  <c r="BO232" i="50"/>
  <c r="X204" i="50"/>
  <c r="BI204" i="50"/>
  <c r="J174" i="62"/>
  <c r="AZ174" i="62"/>
  <c r="I234" i="50"/>
  <c r="AU234" i="50" s="1"/>
  <c r="Q200" i="50"/>
  <c r="BB200" i="50"/>
  <c r="Q196" i="50"/>
  <c r="BB196" i="50"/>
  <c r="Q106" i="62"/>
  <c r="BG106" i="62"/>
  <c r="J102" i="62"/>
  <c r="AZ102" i="62"/>
  <c r="I201" i="50"/>
  <c r="AT201" i="50"/>
  <c r="J88" i="62"/>
  <c r="AZ88" i="62"/>
  <c r="AC84" i="50"/>
  <c r="BN84" i="50"/>
  <c r="X206" i="50"/>
  <c r="BI206" i="50"/>
  <c r="AB60" i="62"/>
  <c r="BS60" i="62" s="1"/>
  <c r="I94" i="62"/>
  <c r="AZ94" i="62" s="1"/>
  <c r="AB159" i="50"/>
  <c r="BN159" i="50" s="1"/>
  <c r="BP222" i="50"/>
  <c r="AK249" i="50"/>
  <c r="BW249" i="50" s="1"/>
  <c r="BW227" i="50"/>
  <c r="O241" i="50"/>
  <c r="BA241" i="50" s="1"/>
  <c r="BA219" i="50"/>
  <c r="AI260" i="50"/>
  <c r="BU260" i="50" s="1"/>
  <c r="U262" i="50"/>
  <c r="BG262" i="50" s="1"/>
  <c r="AA258" i="50"/>
  <c r="BM258" i="50" s="1"/>
  <c r="AD216" i="50"/>
  <c r="BP216" i="50" s="1"/>
  <c r="BU156" i="62"/>
  <c r="Q108" i="62"/>
  <c r="BG108" i="62"/>
  <c r="U278" i="50"/>
  <c r="BG278" i="50" s="1"/>
  <c r="BG256" i="50"/>
  <c r="BO166" i="50"/>
  <c r="AS255" i="50"/>
  <c r="G277" i="50"/>
  <c r="AS277" i="50" s="1"/>
  <c r="H255" i="50"/>
  <c r="H277" i="50" s="1"/>
  <c r="AT277" i="50" s="1"/>
  <c r="AL193" i="50"/>
  <c r="BW193" i="50"/>
  <c r="Q103" i="62"/>
  <c r="BG103" i="62"/>
  <c r="AL210" i="50"/>
  <c r="BW210" i="50"/>
  <c r="J170" i="62"/>
  <c r="AZ170" i="62"/>
  <c r="I230" i="50"/>
  <c r="AU230" i="50" s="1"/>
  <c r="AJ152" i="50"/>
  <c r="Q102" i="62"/>
  <c r="BG102" i="62"/>
  <c r="AI273" i="50"/>
  <c r="BU273" i="50" s="1"/>
  <c r="BU251" i="50"/>
  <c r="U276" i="50"/>
  <c r="BG276" i="50" s="1"/>
  <c r="U236" i="50"/>
  <c r="AC188" i="50"/>
  <c r="BO188" i="50" s="1"/>
  <c r="V250" i="50"/>
  <c r="BH250" i="50" s="1"/>
  <c r="BH228" i="50"/>
  <c r="W235" i="50"/>
  <c r="X163" i="62"/>
  <c r="BO163" i="62" s="1"/>
  <c r="AJ247" i="50"/>
  <c r="BV247" i="50" s="1"/>
  <c r="BV225" i="50"/>
  <c r="V242" i="50"/>
  <c r="BH242" i="50" s="1"/>
  <c r="BH220" i="50"/>
  <c r="V252" i="50"/>
  <c r="BH252" i="50" s="1"/>
  <c r="BH230" i="50"/>
  <c r="AJ248" i="50"/>
  <c r="BV248" i="50" s="1"/>
  <c r="BV226" i="50"/>
  <c r="G266" i="50"/>
  <c r="AS266" i="50" s="1"/>
  <c r="AB265" i="50"/>
  <c r="BN265" i="50" s="1"/>
  <c r="AI266" i="50"/>
  <c r="BU266" i="50" s="1"/>
  <c r="AB275" i="50"/>
  <c r="BN275" i="50" s="1"/>
  <c r="AB269" i="50"/>
  <c r="BN269" i="50" s="1"/>
  <c r="AK217" i="50"/>
  <c r="CB157" i="62"/>
  <c r="AC240" i="50"/>
  <c r="BO218" i="50"/>
  <c r="V237" i="50"/>
  <c r="BH237" i="50" s="1"/>
  <c r="BH215" i="50"/>
  <c r="N60" i="62"/>
  <c r="BE60" i="62" s="1"/>
  <c r="BE67" i="62"/>
  <c r="V79" i="62"/>
  <c r="BM79" i="62" s="1"/>
  <c r="AI77" i="50"/>
  <c r="BU77" i="50" s="1"/>
  <c r="AJ251" i="50"/>
  <c r="AK251" i="50" s="1"/>
  <c r="BW251" i="50" s="1"/>
  <c r="Y82" i="62"/>
  <c r="BP82" i="62" s="1"/>
  <c r="BO82" i="62"/>
  <c r="AE211" i="50"/>
  <c r="BP211" i="50"/>
  <c r="BU95" i="62"/>
  <c r="AE95" i="62"/>
  <c r="Q197" i="50"/>
  <c r="BB197" i="50"/>
  <c r="Q88" i="62"/>
  <c r="BG88" i="62"/>
  <c r="AE107" i="62"/>
  <c r="BU107" i="62"/>
  <c r="AL202" i="50"/>
  <c r="BW202" i="50"/>
  <c r="AL85" i="62"/>
  <c r="CB85" i="62"/>
  <c r="AB262" i="50"/>
  <c r="BN262" i="50" s="1"/>
  <c r="BN240" i="50"/>
  <c r="J68" i="62"/>
  <c r="AZ68" i="62"/>
  <c r="Q171" i="62"/>
  <c r="BG171" i="62"/>
  <c r="P231" i="50"/>
  <c r="BB231" i="50" s="1"/>
  <c r="AL197" i="50"/>
  <c r="BW197" i="50"/>
  <c r="AL73" i="62"/>
  <c r="CB73" i="62"/>
  <c r="AK135" i="50"/>
  <c r="BW135" i="50" s="1"/>
  <c r="BO81" i="50"/>
  <c r="Q211" i="50"/>
  <c r="BB211" i="50"/>
  <c r="AL196" i="50"/>
  <c r="BW196" i="50"/>
  <c r="AL93" i="62"/>
  <c r="CB93" i="62"/>
  <c r="AK149" i="50"/>
  <c r="BW149" i="50" s="1"/>
  <c r="J85" i="62"/>
  <c r="AZ85" i="62"/>
  <c r="X97" i="62"/>
  <c r="BN97" i="62"/>
  <c r="AL107" i="62"/>
  <c r="CB107" i="62"/>
  <c r="AL69" i="62"/>
  <c r="CB69" i="62"/>
  <c r="X69" i="62"/>
  <c r="BN69" i="62"/>
  <c r="AE77" i="62"/>
  <c r="BU77" i="62"/>
  <c r="Q209" i="50"/>
  <c r="BB209" i="50"/>
  <c r="AI275" i="50"/>
  <c r="BU275" i="50" s="1"/>
  <c r="BU253" i="50"/>
  <c r="G276" i="50"/>
  <c r="AS276" i="50" s="1"/>
  <c r="AS254" i="50"/>
  <c r="AB271" i="50"/>
  <c r="BN271" i="50" s="1"/>
  <c r="BN249" i="50"/>
  <c r="I207" i="50"/>
  <c r="AT207" i="50"/>
  <c r="AL102" i="62"/>
  <c r="CB102" i="62"/>
  <c r="AK52" i="50"/>
  <c r="BW52" i="50" s="1"/>
  <c r="X211" i="50"/>
  <c r="BI211" i="50"/>
  <c r="J210" i="50"/>
  <c r="AU210" i="50"/>
  <c r="AE208" i="50"/>
  <c r="BP208" i="50"/>
  <c r="AE97" i="62"/>
  <c r="BU97" i="62"/>
  <c r="BU84" i="62"/>
  <c r="AE84" i="62"/>
  <c r="AD83" i="62"/>
  <c r="BU83" i="62" s="1"/>
  <c r="Q89" i="62"/>
  <c r="BG89" i="62"/>
  <c r="AL82" i="62"/>
  <c r="CB82" i="62"/>
  <c r="AK140" i="50"/>
  <c r="BW140" i="50" s="1"/>
  <c r="Q73" i="62"/>
  <c r="BG73" i="62"/>
  <c r="AE199" i="50"/>
  <c r="BP199" i="50"/>
  <c r="U268" i="50"/>
  <c r="BG268" i="50" s="1"/>
  <c r="BG246" i="50"/>
  <c r="AL195" i="50"/>
  <c r="BW195" i="50"/>
  <c r="Q76" i="62"/>
  <c r="BG76" i="62"/>
  <c r="J159" i="62"/>
  <c r="AZ159" i="62"/>
  <c r="I219" i="50"/>
  <c r="AU219" i="50" s="1"/>
  <c r="AE139" i="50"/>
  <c r="BQ139" i="50" s="1"/>
  <c r="BV81" i="62"/>
  <c r="J87" i="62"/>
  <c r="AZ87" i="62"/>
  <c r="AL206" i="50"/>
  <c r="BW206" i="50"/>
  <c r="BU65" i="62"/>
  <c r="AE65" i="62"/>
  <c r="AD37" i="50"/>
  <c r="BP37" i="50" s="1"/>
  <c r="BN81" i="62"/>
  <c r="W80" i="62"/>
  <c r="BN80" i="62" s="1"/>
  <c r="X81" i="62"/>
  <c r="AL199" i="50"/>
  <c r="BW199" i="50"/>
  <c r="Q202" i="50"/>
  <c r="BB202" i="50"/>
  <c r="V256" i="50"/>
  <c r="BH234" i="50"/>
  <c r="O262" i="50"/>
  <c r="BA262" i="50" s="1"/>
  <c r="BG253" i="50"/>
  <c r="U275" i="50"/>
  <c r="BG275" i="50" s="1"/>
  <c r="U273" i="50"/>
  <c r="BG273" i="50" s="1"/>
  <c r="BG251" i="50"/>
  <c r="AT242" i="50"/>
  <c r="J193" i="50"/>
  <c r="AU193" i="50"/>
  <c r="AE83" i="50"/>
  <c r="BP83" i="50"/>
  <c r="W64" i="62"/>
  <c r="BN64" i="62" s="1"/>
  <c r="O239" i="50"/>
  <c r="BA239" i="50" s="1"/>
  <c r="BA217" i="50"/>
  <c r="AI60" i="62"/>
  <c r="BZ60" i="62" s="1"/>
  <c r="BZ79" i="62"/>
  <c r="AL212" i="50"/>
  <c r="BW212" i="50"/>
  <c r="X196" i="50"/>
  <c r="BI196" i="50"/>
  <c r="AE102" i="62"/>
  <c r="BU102" i="62"/>
  <c r="AD52" i="50"/>
  <c r="BP52" i="50" s="1"/>
  <c r="AL200" i="50"/>
  <c r="BW200" i="50"/>
  <c r="X201" i="50"/>
  <c r="BI201" i="50"/>
  <c r="AL90" i="62"/>
  <c r="CB90" i="62"/>
  <c r="AL96" i="62"/>
  <c r="CB96" i="62"/>
  <c r="X102" i="62"/>
  <c r="BN102" i="62"/>
  <c r="BO77" i="50"/>
  <c r="Q70" i="62"/>
  <c r="BG70" i="62"/>
  <c r="U279" i="50"/>
  <c r="BG279" i="50" s="1"/>
  <c r="BG257" i="50"/>
  <c r="Q78" i="62"/>
  <c r="BG78" i="62"/>
  <c r="AE204" i="50"/>
  <c r="BP204" i="50"/>
  <c r="AJ79" i="62"/>
  <c r="CA79" i="62" s="1"/>
  <c r="CA80" i="62"/>
  <c r="V247" i="50"/>
  <c r="BH247" i="50" s="1"/>
  <c r="BH225" i="50"/>
  <c r="H250" i="50"/>
  <c r="AT250" i="50" s="1"/>
  <c r="AT228" i="50"/>
  <c r="O248" i="50"/>
  <c r="BA226" i="50"/>
  <c r="G272" i="50"/>
  <c r="AS272" i="50" s="1"/>
  <c r="AS250" i="50"/>
  <c r="J89" i="62"/>
  <c r="AZ89" i="62"/>
  <c r="AL208" i="50"/>
  <c r="BW208" i="50"/>
  <c r="AJ254" i="50"/>
  <c r="BV254" i="50" s="1"/>
  <c r="BV232" i="50"/>
  <c r="AJ252" i="50"/>
  <c r="BV252" i="50" s="1"/>
  <c r="BV230" i="50"/>
  <c r="AB180" i="50"/>
  <c r="BN180" i="50" s="1"/>
  <c r="AB270" i="50"/>
  <c r="BN270" i="50" s="1"/>
  <c r="BN248" i="50"/>
  <c r="X87" i="62"/>
  <c r="BN87" i="62"/>
  <c r="J77" i="62"/>
  <c r="AZ77" i="62"/>
  <c r="Q201" i="50"/>
  <c r="BB201" i="50"/>
  <c r="Q90" i="62"/>
  <c r="BG90" i="62"/>
  <c r="X92" i="62"/>
  <c r="BN92" i="62"/>
  <c r="Q63" i="62"/>
  <c r="BG63" i="62"/>
  <c r="X208" i="50"/>
  <c r="BI208" i="50"/>
  <c r="I205" i="50"/>
  <c r="AT205" i="50"/>
  <c r="AL103" i="62"/>
  <c r="CB103" i="62"/>
  <c r="AK49" i="50"/>
  <c r="BW49" i="50" s="1"/>
  <c r="Q213" i="50"/>
  <c r="BB213" i="50"/>
  <c r="J169" i="62"/>
  <c r="AZ169" i="62"/>
  <c r="I229" i="50"/>
  <c r="AU229" i="50" s="1"/>
  <c r="G259" i="50"/>
  <c r="AS259" i="50" s="1"/>
  <c r="AJ242" i="50"/>
  <c r="BV242" i="50" s="1"/>
  <c r="BV220" i="50"/>
  <c r="W223" i="50"/>
  <c r="Q204" i="50"/>
  <c r="BB204" i="50"/>
  <c r="AE104" i="62"/>
  <c r="BU104" i="62"/>
  <c r="AD53" i="50"/>
  <c r="BP53" i="50" s="1"/>
  <c r="X93" i="62"/>
  <c r="BN93" i="62"/>
  <c r="H253" i="50"/>
  <c r="AT231" i="50"/>
  <c r="Q104" i="62"/>
  <c r="BG104" i="62"/>
  <c r="X89" i="62"/>
  <c r="BN89" i="62"/>
  <c r="BW219" i="50"/>
  <c r="AL36" i="50"/>
  <c r="BX36" i="50" s="1"/>
  <c r="CC62" i="62"/>
  <c r="AJ246" i="50"/>
  <c r="BV246" i="50" s="1"/>
  <c r="BV224" i="50"/>
  <c r="H244" i="50"/>
  <c r="AT244" i="50" s="1"/>
  <c r="AT222" i="50"/>
  <c r="AJ238" i="50"/>
  <c r="BV238" i="50" s="1"/>
  <c r="BV216" i="50"/>
  <c r="AC249" i="50"/>
  <c r="BO249" i="50" s="1"/>
  <c r="BO227" i="50"/>
  <c r="G270" i="50"/>
  <c r="AS270" i="50" s="1"/>
  <c r="U266" i="50"/>
  <c r="BG266" i="50" s="1"/>
  <c r="AJ255" i="50"/>
  <c r="BV255" i="50" s="1"/>
  <c r="BV233" i="50"/>
  <c r="AC252" i="50"/>
  <c r="BO230" i="50"/>
  <c r="AJ253" i="50"/>
  <c r="BV253" i="50" s="1"/>
  <c r="BV231" i="50"/>
  <c r="V67" i="62"/>
  <c r="BM67" i="62" s="1"/>
  <c r="O238" i="50"/>
  <c r="P238" i="50" s="1"/>
  <c r="BB238" i="50" s="1"/>
  <c r="BA216" i="50"/>
  <c r="J173" i="62"/>
  <c r="AZ173" i="62"/>
  <c r="I233" i="50"/>
  <c r="AU233" i="50" s="1"/>
  <c r="J209" i="50"/>
  <c r="AU209" i="50"/>
  <c r="X107" i="62"/>
  <c r="BN107" i="62"/>
  <c r="H238" i="50"/>
  <c r="H260" i="50" s="1"/>
  <c r="AT260" i="50" s="1"/>
  <c r="N277" i="50"/>
  <c r="AZ277" i="50" s="1"/>
  <c r="AZ255" i="50"/>
  <c r="N264" i="50"/>
  <c r="AZ264" i="50" s="1"/>
  <c r="AZ242" i="50"/>
  <c r="AL213" i="50"/>
  <c r="BW213" i="50"/>
  <c r="AE92" i="62"/>
  <c r="BU92" i="62"/>
  <c r="AD43" i="50"/>
  <c r="BP43" i="50" s="1"/>
  <c r="J167" i="62"/>
  <c r="AZ167" i="62"/>
  <c r="I227" i="50"/>
  <c r="AU227" i="50" s="1"/>
  <c r="BV155" i="50"/>
  <c r="BN169" i="62"/>
  <c r="X169" i="62"/>
  <c r="W229" i="50"/>
  <c r="BI229" i="50" s="1"/>
  <c r="X63" i="62"/>
  <c r="BN63" i="62"/>
  <c r="U274" i="50"/>
  <c r="BG274" i="50" s="1"/>
  <c r="BG252" i="50"/>
  <c r="AJ239" i="50"/>
  <c r="BV217" i="50"/>
  <c r="AL92" i="62"/>
  <c r="CB92" i="62"/>
  <c r="AK43" i="50"/>
  <c r="BW43" i="50" s="1"/>
  <c r="BU100" i="62"/>
  <c r="AE100" i="62"/>
  <c r="AD50" i="50"/>
  <c r="BP50" i="50" s="1"/>
  <c r="AE105" i="62"/>
  <c r="BU105" i="62"/>
  <c r="AD55" i="50"/>
  <c r="BP55" i="50" s="1"/>
  <c r="AL91" i="62"/>
  <c r="CB91" i="62"/>
  <c r="AK148" i="50"/>
  <c r="BW148" i="50" s="1"/>
  <c r="Q92" i="62"/>
  <c r="BG92" i="62"/>
  <c r="AD80" i="62"/>
  <c r="J63" i="62"/>
  <c r="AZ63" i="62"/>
  <c r="AE203" i="50"/>
  <c r="BP203" i="50"/>
  <c r="AJ166" i="50"/>
  <c r="BU166" i="50"/>
  <c r="Q212" i="50"/>
  <c r="BB212" i="50"/>
  <c r="AL101" i="62"/>
  <c r="CB101" i="62"/>
  <c r="AK51" i="50"/>
  <c r="BW51" i="50" s="1"/>
  <c r="AL63" i="62"/>
  <c r="CB63" i="62"/>
  <c r="AK132" i="50"/>
  <c r="BW132" i="50" s="1"/>
  <c r="J86" i="62"/>
  <c r="AZ86" i="62"/>
  <c r="X85" i="62"/>
  <c r="BN85" i="62"/>
  <c r="J92" i="62"/>
  <c r="AZ92" i="62"/>
  <c r="X73" i="62"/>
  <c r="X71" i="62" s="1"/>
  <c r="BO71" i="62" s="1"/>
  <c r="BN73" i="62"/>
  <c r="BG95" i="62"/>
  <c r="Q95" i="62"/>
  <c r="P94" i="62"/>
  <c r="BG94" i="62" s="1"/>
  <c r="O253" i="50"/>
  <c r="O275" i="50" s="1"/>
  <c r="BA275" i="50" s="1"/>
  <c r="AC80" i="50"/>
  <c r="X105" i="62"/>
  <c r="BN105" i="62"/>
  <c r="J105" i="62"/>
  <c r="AZ105" i="62"/>
  <c r="AC239" i="50"/>
  <c r="BO239" i="50" s="1"/>
  <c r="BO217" i="50"/>
  <c r="O245" i="50"/>
  <c r="BA245" i="50" s="1"/>
  <c r="BA223" i="50"/>
  <c r="BW229" i="50"/>
  <c r="BW235" i="50"/>
  <c r="AJ250" i="50"/>
  <c r="BV250" i="50" s="1"/>
  <c r="BV228" i="50"/>
  <c r="O244" i="50"/>
  <c r="BA222" i="50"/>
  <c r="AC264" i="50"/>
  <c r="BO264" i="50" s="1"/>
  <c r="BO242" i="50"/>
  <c r="AL104" i="62"/>
  <c r="CB104" i="62"/>
  <c r="AK53" i="50"/>
  <c r="BW53" i="50" s="1"/>
  <c r="BN256" i="50"/>
  <c r="AB278" i="50"/>
  <c r="BN278" i="50" s="1"/>
  <c r="I194" i="50"/>
  <c r="AT194" i="50"/>
  <c r="X197" i="50"/>
  <c r="BI197" i="50"/>
  <c r="AE194" i="50"/>
  <c r="BP194" i="50"/>
  <c r="Q86" i="62"/>
  <c r="BG86" i="62"/>
  <c r="J76" i="62"/>
  <c r="AZ76" i="62"/>
  <c r="J196" i="50"/>
  <c r="AU196" i="50"/>
  <c r="X77" i="62"/>
  <c r="BN77" i="62"/>
  <c r="AE202" i="50"/>
  <c r="BP202" i="50"/>
  <c r="J106" i="62"/>
  <c r="AZ106" i="62"/>
  <c r="X98" i="62"/>
  <c r="BN98" i="62"/>
  <c r="Q210" i="50"/>
  <c r="BB210" i="50"/>
  <c r="AL194" i="50"/>
  <c r="BW194" i="50"/>
  <c r="K66" i="62"/>
  <c r="BB66" i="62" s="1"/>
  <c r="BA66" i="62"/>
  <c r="Q215" i="50"/>
  <c r="BC215" i="50" s="1"/>
  <c r="BH155" i="62"/>
  <c r="AC253" i="50"/>
  <c r="BO253" i="50" s="1"/>
  <c r="BO231" i="50"/>
  <c r="AC241" i="50"/>
  <c r="BO241" i="50" s="1"/>
  <c r="BO219" i="50"/>
  <c r="V254" i="50"/>
  <c r="BH254" i="50" s="1"/>
  <c r="BH232" i="50"/>
  <c r="V244" i="50"/>
  <c r="BH244" i="50" s="1"/>
  <c r="BH222" i="50"/>
  <c r="AI276" i="50"/>
  <c r="BU276" i="50" s="1"/>
  <c r="M258" i="50"/>
  <c r="AY258" i="50" s="1"/>
  <c r="AY259" i="50"/>
  <c r="AC268" i="50"/>
  <c r="BO268" i="50" s="1"/>
  <c r="BO246" i="50"/>
  <c r="AE73" i="62"/>
  <c r="BU73" i="62"/>
  <c r="AD135" i="50"/>
  <c r="BP135" i="50" s="1"/>
  <c r="X194" i="50"/>
  <c r="BI194" i="50"/>
  <c r="Q205" i="50"/>
  <c r="BB205" i="50"/>
  <c r="J213" i="50"/>
  <c r="AU213" i="50"/>
  <c r="Q194" i="50"/>
  <c r="BB194" i="50"/>
  <c r="AL98" i="62"/>
  <c r="CB98" i="62"/>
  <c r="AK48" i="50"/>
  <c r="BW48" i="50" s="1"/>
  <c r="AE70" i="62"/>
  <c r="BU70" i="62"/>
  <c r="X70" i="62"/>
  <c r="BN70" i="62"/>
  <c r="AL198" i="50"/>
  <c r="BW198" i="50"/>
  <c r="J206" i="50"/>
  <c r="AU206" i="50"/>
  <c r="AL87" i="62"/>
  <c r="CB87" i="62"/>
  <c r="AE85" i="62"/>
  <c r="BU85" i="62"/>
  <c r="X86" i="62"/>
  <c r="BN86" i="62"/>
  <c r="AB272" i="50"/>
  <c r="BN272" i="50" s="1"/>
  <c r="BN250" i="50"/>
  <c r="V243" i="50"/>
  <c r="BH243" i="50" s="1"/>
  <c r="BH221" i="50"/>
  <c r="V241" i="50"/>
  <c r="BH241" i="50" s="1"/>
  <c r="BH219" i="50"/>
  <c r="O247" i="50"/>
  <c r="BA247" i="50" s="1"/>
  <c r="BA225" i="50"/>
  <c r="AJ244" i="50"/>
  <c r="BV244" i="50" s="1"/>
  <c r="BV222" i="50"/>
  <c r="AD220" i="50"/>
  <c r="BP220" i="50" s="1"/>
  <c r="H239" i="50"/>
  <c r="AT239" i="50" s="1"/>
  <c r="AT217" i="50"/>
  <c r="Q65" i="62"/>
  <c r="BH65" i="62" s="1"/>
  <c r="BG65" i="62"/>
  <c r="J97" i="62"/>
  <c r="AZ97" i="62"/>
  <c r="Q198" i="50"/>
  <c r="BB198" i="50"/>
  <c r="X212" i="50"/>
  <c r="BI212" i="50"/>
  <c r="X101" i="62"/>
  <c r="BN101" i="62"/>
  <c r="N270" i="50"/>
  <c r="AZ270" i="50" s="1"/>
  <c r="AZ248" i="50"/>
  <c r="J200" i="50"/>
  <c r="AU200" i="50"/>
  <c r="AI264" i="50"/>
  <c r="BU264" i="50" s="1"/>
  <c r="BU242" i="50"/>
  <c r="AE98" i="62"/>
  <c r="BU98" i="62"/>
  <c r="AD48" i="50"/>
  <c r="BP48" i="50" s="1"/>
  <c r="H241" i="50"/>
  <c r="H263" i="50" s="1"/>
  <c r="AT263" i="50" s="1"/>
  <c r="AS241" i="50"/>
  <c r="AE210" i="50"/>
  <c r="BP210" i="50"/>
  <c r="J93" i="62"/>
  <c r="AZ93" i="62"/>
  <c r="AE198" i="50"/>
  <c r="BP198" i="50"/>
  <c r="Q107" i="62"/>
  <c r="BG107" i="62"/>
  <c r="AL37" i="50"/>
  <c r="BX37" i="50" s="1"/>
  <c r="CC65" i="62"/>
  <c r="C16" i="67"/>
  <c r="C119" i="67" s="1"/>
  <c r="AS192" i="50"/>
  <c r="C16" i="85" s="1"/>
  <c r="D70" i="67"/>
  <c r="D125" i="67" s="1"/>
  <c r="BO192" i="50"/>
  <c r="D70" i="85" s="1"/>
  <c r="D125" i="85" s="1"/>
  <c r="AJ256" i="50"/>
  <c r="BV234" i="50"/>
  <c r="H246" i="50"/>
  <c r="AT246" i="50" s="1"/>
  <c r="AT224" i="50"/>
  <c r="O250" i="50"/>
  <c r="BA250" i="50" s="1"/>
  <c r="BA228" i="50"/>
  <c r="AE160" i="62"/>
  <c r="BV160" i="62" s="1"/>
  <c r="G261" i="50"/>
  <c r="AS261" i="50" s="1"/>
  <c r="AE195" i="50"/>
  <c r="BP195" i="50"/>
  <c r="AI263" i="50"/>
  <c r="BU263" i="50" s="1"/>
  <c r="BU241" i="50"/>
  <c r="AL105" i="62"/>
  <c r="CB105" i="62"/>
  <c r="AK55" i="50"/>
  <c r="BW55" i="50" s="1"/>
  <c r="AL76" i="62"/>
  <c r="CB76" i="62"/>
  <c r="Q77" i="62"/>
  <c r="BG77" i="62"/>
  <c r="AI278" i="50"/>
  <c r="BU278" i="50" s="1"/>
  <c r="BU256" i="50"/>
  <c r="AB274" i="50"/>
  <c r="BN274" i="50" s="1"/>
  <c r="BN252" i="50"/>
  <c r="AL201" i="50"/>
  <c r="BW201" i="50"/>
  <c r="J104" i="62"/>
  <c r="AZ104" i="62"/>
  <c r="N278" i="50"/>
  <c r="AZ278" i="50" s="1"/>
  <c r="AZ256" i="50"/>
  <c r="J91" i="62"/>
  <c r="AZ91" i="62"/>
  <c r="X88" i="62"/>
  <c r="BN88" i="62"/>
  <c r="X193" i="50"/>
  <c r="BI193" i="50"/>
  <c r="AL108" i="62"/>
  <c r="CB108" i="62"/>
  <c r="AK59" i="50"/>
  <c r="BW59" i="50" s="1"/>
  <c r="AL97" i="62"/>
  <c r="CB97" i="62"/>
  <c r="X199" i="50"/>
  <c r="BI199" i="50"/>
  <c r="AI279" i="50"/>
  <c r="BU279" i="50" s="1"/>
  <c r="BU257" i="50"/>
  <c r="J204" i="50"/>
  <c r="AU204" i="50"/>
  <c r="AE193" i="50"/>
  <c r="BP193" i="50"/>
  <c r="AL89" i="62"/>
  <c r="CB89" i="62"/>
  <c r="AK146" i="50"/>
  <c r="BW146" i="50" s="1"/>
  <c r="AD169" i="50"/>
  <c r="BO169" i="50"/>
  <c r="J98" i="62"/>
  <c r="AZ98" i="62"/>
  <c r="AJ168" i="50"/>
  <c r="BU168" i="50"/>
  <c r="CB84" i="62"/>
  <c r="AL84" i="62"/>
  <c r="AK83" i="62"/>
  <c r="CB83" i="62" s="1"/>
  <c r="AE106" i="62"/>
  <c r="BU106" i="62"/>
  <c r="AD56" i="50"/>
  <c r="BP56" i="50" s="1"/>
  <c r="U271" i="50"/>
  <c r="BG271" i="50" s="1"/>
  <c r="BG249" i="50"/>
  <c r="Q85" i="62"/>
  <c r="BG85" i="62"/>
  <c r="AD74" i="62"/>
  <c r="BU74" i="62" s="1"/>
  <c r="AE216" i="50"/>
  <c r="BQ216" i="50" s="1"/>
  <c r="BV156" i="62"/>
  <c r="P61" i="62"/>
  <c r="BG61" i="62" s="1"/>
  <c r="F258" i="50"/>
  <c r="AR258" i="50" s="1"/>
  <c r="AC255" i="50"/>
  <c r="BO255" i="50" s="1"/>
  <c r="BO233" i="50"/>
  <c r="AC250" i="50"/>
  <c r="BO250" i="50" s="1"/>
  <c r="BO228" i="50"/>
  <c r="AC243" i="50"/>
  <c r="BO243" i="50" s="1"/>
  <c r="BO221" i="50"/>
  <c r="U270" i="50"/>
  <c r="BG270" i="50" s="1"/>
  <c r="AC189" i="50"/>
  <c r="BO189" i="50" s="1"/>
  <c r="G273" i="50"/>
  <c r="AS273" i="50" s="1"/>
  <c r="AC248" i="50"/>
  <c r="AD248" i="50" s="1"/>
  <c r="X207" i="50"/>
  <c r="BI207" i="50"/>
  <c r="X91" i="62"/>
  <c r="BN91" i="62"/>
  <c r="AE78" i="62"/>
  <c r="BU78" i="62"/>
  <c r="AC244" i="50"/>
  <c r="AD244" i="50" s="1"/>
  <c r="BO222" i="50"/>
  <c r="AI268" i="50"/>
  <c r="BU268" i="50" s="1"/>
  <c r="BU246" i="50"/>
  <c r="N267" i="50"/>
  <c r="AZ267" i="50" s="1"/>
  <c r="AZ245" i="50"/>
  <c r="BG245" i="50"/>
  <c r="U267" i="50"/>
  <c r="BG267" i="50" s="1"/>
  <c r="Q193" i="50"/>
  <c r="BB193" i="50"/>
  <c r="AZ84" i="62"/>
  <c r="I83" i="62"/>
  <c r="AZ83" i="62" s="1"/>
  <c r="J84" i="62"/>
  <c r="AL211" i="50"/>
  <c r="BW211" i="50"/>
  <c r="X78" i="62"/>
  <c r="BN78" i="62"/>
  <c r="Q207" i="50"/>
  <c r="BB207" i="50"/>
  <c r="H252" i="50"/>
  <c r="AS252" i="50"/>
  <c r="AJ241" i="50"/>
  <c r="AZ75" i="62"/>
  <c r="I74" i="62"/>
  <c r="AZ74" i="62" s="1"/>
  <c r="J75" i="62"/>
  <c r="AE200" i="50"/>
  <c r="BP200" i="50"/>
  <c r="J197" i="50"/>
  <c r="AU197" i="50"/>
  <c r="AC78" i="50"/>
  <c r="O254" i="50"/>
  <c r="BA254" i="50" s="1"/>
  <c r="BA232" i="50"/>
  <c r="AJ67" i="62"/>
  <c r="CA67" i="62" s="1"/>
  <c r="CA74" i="62"/>
  <c r="W83" i="62"/>
  <c r="O79" i="62"/>
  <c r="BF79" i="62" s="1"/>
  <c r="BF83" i="62"/>
  <c r="D52" i="67"/>
  <c r="D123" i="67" s="1"/>
  <c r="BH192" i="50"/>
  <c r="D52" i="85" s="1"/>
  <c r="D123" i="85" s="1"/>
  <c r="D94" i="67"/>
  <c r="D127" i="67" s="1"/>
  <c r="BV192" i="50"/>
  <c r="D94" i="85" s="1"/>
  <c r="D127" i="85" s="1"/>
  <c r="AJ271" i="50"/>
  <c r="BV271" i="50" s="1"/>
  <c r="X175" i="62"/>
  <c r="BO175" i="62" s="1"/>
  <c r="BP232" i="50"/>
  <c r="W231" i="50"/>
  <c r="V249" i="50"/>
  <c r="BH249" i="50" s="1"/>
  <c r="BH227" i="50"/>
  <c r="N276" i="50"/>
  <c r="AZ276" i="50" s="1"/>
  <c r="AB279" i="50"/>
  <c r="BN279" i="50" s="1"/>
  <c r="AD51" i="50"/>
  <c r="BP51" i="50" s="1"/>
  <c r="BU101" i="62"/>
  <c r="AK94" i="62"/>
  <c r="CB94" i="62" s="1"/>
  <c r="AB75" i="50"/>
  <c r="BN75" i="50" s="1"/>
  <c r="AJ240" i="50"/>
  <c r="BV240" i="50" s="1"/>
  <c r="BV218" i="50"/>
  <c r="AJ243" i="50"/>
  <c r="BV243" i="50" s="1"/>
  <c r="BV221" i="50"/>
  <c r="AB263" i="50"/>
  <c r="BN263" i="50" s="1"/>
  <c r="AC247" i="50"/>
  <c r="BO247" i="50" s="1"/>
  <c r="BO225" i="50"/>
  <c r="AC237" i="50"/>
  <c r="BO237" i="50" s="1"/>
  <c r="BO215" i="50"/>
  <c r="X171" i="62"/>
  <c r="BO171" i="62" s="1"/>
  <c r="AC76" i="50"/>
  <c r="BO76" i="50" s="1"/>
  <c r="N274" i="50"/>
  <c r="AZ274" i="50" s="1"/>
  <c r="V255" i="50"/>
  <c r="BH233" i="50"/>
  <c r="AC257" i="50"/>
  <c r="BO257" i="50" s="1"/>
  <c r="BO235" i="50"/>
  <c r="AI269" i="50"/>
  <c r="BU269" i="50" s="1"/>
  <c r="AJ159" i="50"/>
  <c r="BV159" i="50" s="1"/>
  <c r="AJ245" i="50"/>
  <c r="BV245" i="50" s="1"/>
  <c r="BV223" i="50"/>
  <c r="H267" i="50"/>
  <c r="AT267" i="50" s="1"/>
  <c r="AT245" i="50"/>
  <c r="V251" i="50"/>
  <c r="AJ257" i="50"/>
  <c r="AK257" i="50" s="1"/>
  <c r="BW257" i="50" s="1"/>
  <c r="X209" i="50"/>
  <c r="BI209" i="50"/>
  <c r="J161" i="62"/>
  <c r="AZ161" i="62"/>
  <c r="I221" i="50"/>
  <c r="AU221" i="50" s="1"/>
  <c r="I208" i="50"/>
  <c r="AT208" i="50"/>
  <c r="X203" i="50"/>
  <c r="BI203" i="50"/>
  <c r="X96" i="62"/>
  <c r="BN96" i="62"/>
  <c r="AE86" i="62"/>
  <c r="BU86" i="62"/>
  <c r="AD143" i="50"/>
  <c r="BP143" i="50" s="1"/>
  <c r="J160" i="62"/>
  <c r="AZ160" i="62"/>
  <c r="I220" i="50"/>
  <c r="AU220" i="50" s="1"/>
  <c r="AE87" i="62"/>
  <c r="BU87" i="62"/>
  <c r="AS253" i="50"/>
  <c r="G275" i="50"/>
  <c r="AS275" i="50" s="1"/>
  <c r="AI271" i="50"/>
  <c r="BU271" i="50" s="1"/>
  <c r="BU249" i="50"/>
  <c r="AB260" i="50"/>
  <c r="BN260" i="50" s="1"/>
  <c r="BN238" i="50"/>
  <c r="AI267" i="50"/>
  <c r="BU267" i="50" s="1"/>
  <c r="BU245" i="50"/>
  <c r="AL88" i="62"/>
  <c r="CB88" i="62"/>
  <c r="J107" i="62"/>
  <c r="AZ107" i="62"/>
  <c r="I199" i="50"/>
  <c r="AT199" i="50"/>
  <c r="X76" i="62"/>
  <c r="BN76" i="62"/>
  <c r="AE196" i="50"/>
  <c r="BP196" i="50"/>
  <c r="AE212" i="50"/>
  <c r="BP212" i="50"/>
  <c r="X108" i="62"/>
  <c r="BN108" i="62"/>
  <c r="AB261" i="50"/>
  <c r="BN261" i="50" s="1"/>
  <c r="BN239" i="50"/>
  <c r="Q208" i="50"/>
  <c r="BB208" i="50"/>
  <c r="I212" i="50"/>
  <c r="AT212" i="50"/>
  <c r="AE88" i="62"/>
  <c r="BU88" i="62"/>
  <c r="AE213" i="50"/>
  <c r="BP213" i="50"/>
  <c r="AL106" i="62"/>
  <c r="CB106" i="62"/>
  <c r="AK56" i="50"/>
  <c r="BW56" i="50" s="1"/>
  <c r="AL66" i="62"/>
  <c r="AL64" i="62" s="1"/>
  <c r="CC64" i="62" s="1"/>
  <c r="CB66" i="62"/>
  <c r="AE91" i="62"/>
  <c r="BU91" i="62"/>
  <c r="AD148" i="50"/>
  <c r="BP148" i="50" s="1"/>
  <c r="X103" i="62"/>
  <c r="BN103" i="62"/>
  <c r="Q199" i="50"/>
  <c r="BB199" i="50"/>
  <c r="BG100" i="62"/>
  <c r="Q100" i="62"/>
  <c r="BN254" i="50"/>
  <c r="AB276" i="50"/>
  <c r="BN276" i="50" s="1"/>
  <c r="AB268" i="50"/>
  <c r="BN268" i="50" s="1"/>
  <c r="BN246" i="50"/>
  <c r="AE197" i="50"/>
  <c r="BP197" i="50"/>
  <c r="J103" i="62"/>
  <c r="AZ103" i="62"/>
  <c r="Q97" i="62"/>
  <c r="BG97" i="62"/>
  <c r="AE209" i="50"/>
  <c r="BP209" i="50"/>
  <c r="X104" i="62"/>
  <c r="BN104" i="62"/>
  <c r="AL205" i="50"/>
  <c r="BW205" i="50"/>
  <c r="AE89" i="62"/>
  <c r="BU89" i="62"/>
  <c r="AD146" i="50"/>
  <c r="BP146" i="50" s="1"/>
  <c r="BU239" i="50"/>
  <c r="AI261" i="50"/>
  <c r="BU261" i="50" s="1"/>
  <c r="X200" i="50"/>
  <c r="BI200" i="50"/>
  <c r="AE201" i="50"/>
  <c r="BP201" i="50"/>
  <c r="BV169" i="50"/>
  <c r="X202" i="50"/>
  <c r="BI202" i="50"/>
  <c r="N272" i="50"/>
  <c r="AZ272" i="50" s="1"/>
  <c r="AZ250" i="50"/>
  <c r="BN244" i="50"/>
  <c r="AB266" i="50"/>
  <c r="BN266" i="50" s="1"/>
  <c r="Q206" i="50"/>
  <c r="BB206" i="50"/>
  <c r="H249" i="50"/>
  <c r="H271" i="50" s="1"/>
  <c r="AT271" i="50" s="1"/>
  <c r="J198" i="50"/>
  <c r="AU198" i="50"/>
  <c r="Q66" i="62"/>
  <c r="BG66" i="62"/>
  <c r="Q98" i="62"/>
  <c r="BG98" i="62"/>
  <c r="J108" i="62"/>
  <c r="AZ108" i="62"/>
  <c r="N268" i="50"/>
  <c r="AZ268" i="50" s="1"/>
  <c r="AZ246" i="50"/>
  <c r="AB264" i="50"/>
  <c r="BN264" i="50" s="1"/>
  <c r="BN242" i="50"/>
  <c r="Q91" i="62"/>
  <c r="BG91" i="62"/>
  <c r="AZ72" i="62"/>
  <c r="I71" i="62"/>
  <c r="AZ71" i="62" s="1"/>
  <c r="J72" i="62"/>
  <c r="AC68" i="50"/>
  <c r="BN68" i="50"/>
  <c r="X198" i="50"/>
  <c r="BI198" i="50"/>
  <c r="G268" i="50"/>
  <c r="AS268" i="50" s="1"/>
  <c r="AS246" i="50"/>
  <c r="AI84" i="50"/>
  <c r="BT84" i="50"/>
  <c r="AI73" i="50"/>
  <c r="BT73" i="50"/>
  <c r="AL82" i="50"/>
  <c r="BW82" i="50"/>
  <c r="E71" i="49"/>
  <c r="K71" i="49" s="1"/>
  <c r="AI81" i="50"/>
  <c r="BT81" i="50"/>
  <c r="AI75" i="50"/>
  <c r="BT75" i="50"/>
  <c r="AI78" i="50"/>
  <c r="BT78" i="50"/>
  <c r="AL79" i="50"/>
  <c r="BW79" i="50"/>
  <c r="AL83" i="50"/>
  <c r="BW83" i="50"/>
  <c r="AI76" i="50"/>
  <c r="BT76" i="50"/>
  <c r="AI62" i="50"/>
  <c r="BT62" i="50"/>
  <c r="AI80" i="50"/>
  <c r="BT80" i="50"/>
  <c r="AI74" i="50"/>
  <c r="BT74" i="50"/>
  <c r="AI68" i="50"/>
  <c r="BT68" i="50"/>
  <c r="L8" i="7"/>
  <c r="T8" i="7" s="1"/>
  <c r="AB8" i="7" s="1"/>
  <c r="AJ8" i="7" s="1"/>
  <c r="BA8" i="7"/>
  <c r="BI8" i="7" s="1"/>
  <c r="BQ8" i="7" s="1"/>
  <c r="BY8" i="7" s="1"/>
  <c r="CG8" i="7" s="1"/>
  <c r="CO8" i="7" s="1"/>
  <c r="P64" i="62"/>
  <c r="BG64" i="62" s="1"/>
  <c r="AD246" i="50"/>
  <c r="BP246" i="50" s="1"/>
  <c r="AF9" i="41"/>
  <c r="X9" i="41"/>
  <c r="Z9" i="62"/>
  <c r="AG9" i="62" s="1"/>
  <c r="AN9" i="62"/>
  <c r="H8" i="82"/>
  <c r="AC8" i="82" s="1"/>
  <c r="AG8" i="82" s="1"/>
  <c r="AK8" i="82" s="1"/>
  <c r="AO8" i="82" s="1"/>
  <c r="AS8" i="82" s="1"/>
  <c r="K8" i="82"/>
  <c r="O8" i="82" s="1"/>
  <c r="S8" i="82" s="1"/>
  <c r="W8" i="82" s="1"/>
  <c r="D58" i="7"/>
  <c r="D36" i="7"/>
  <c r="AD154" i="62"/>
  <c r="BU154" i="62" s="1"/>
  <c r="B105" i="67"/>
  <c r="F30" i="7"/>
  <c r="BC30" i="7" s="1"/>
  <c r="J132" i="67"/>
  <c r="C17" i="67"/>
  <c r="AD30" i="7"/>
  <c r="CA30" i="7" s="1"/>
  <c r="C71" i="67"/>
  <c r="V30" i="7"/>
  <c r="BS30" i="7" s="1"/>
  <c r="C53" i="67"/>
  <c r="AL30" i="7"/>
  <c r="CI30" i="7" s="1"/>
  <c r="C95" i="67"/>
  <c r="N30" i="7"/>
  <c r="BK30" i="7" s="1"/>
  <c r="C35" i="67"/>
  <c r="AL157" i="62"/>
  <c r="P154" i="62"/>
  <c r="BG154" i="62" s="1"/>
  <c r="I245" i="50"/>
  <c r="AK154" i="62"/>
  <c r="CB154" i="62" s="1"/>
  <c r="AK233" i="50"/>
  <c r="AL173" i="62"/>
  <c r="CC173" i="62" s="1"/>
  <c r="P226" i="50"/>
  <c r="Q166" i="62"/>
  <c r="BH166" i="62" s="1"/>
  <c r="AD230" i="50"/>
  <c r="AE170" i="62"/>
  <c r="BV170" i="62" s="1"/>
  <c r="I217" i="50"/>
  <c r="J157" i="62"/>
  <c r="BA157" i="62" s="1"/>
  <c r="H214" i="50"/>
  <c r="AT214" i="50" s="1"/>
  <c r="J175" i="62"/>
  <c r="BA175" i="62" s="1"/>
  <c r="I235" i="50"/>
  <c r="AD218" i="50"/>
  <c r="AE158" i="62"/>
  <c r="BV158" i="62" s="1"/>
  <c r="AL163" i="62"/>
  <c r="CC163" i="62" s="1"/>
  <c r="AK223" i="50"/>
  <c r="Q162" i="62"/>
  <c r="BH162" i="62" s="1"/>
  <c r="P222" i="50"/>
  <c r="AK231" i="50"/>
  <c r="AL171" i="62"/>
  <c r="CC171" i="62" s="1"/>
  <c r="I215" i="50"/>
  <c r="J155" i="62"/>
  <c r="BA155" i="62" s="1"/>
  <c r="W215" i="50"/>
  <c r="X155" i="62"/>
  <c r="BO155" i="62" s="1"/>
  <c r="AW18" i="53"/>
  <c r="CY18" i="53" s="1"/>
  <c r="AZ18" i="53"/>
  <c r="DB18" i="53" s="1"/>
  <c r="BA18" i="53"/>
  <c r="DC18" i="53" s="1"/>
  <c r="BC18" i="53"/>
  <c r="DE18" i="53" s="1"/>
  <c r="BF18" i="53"/>
  <c r="DH18" i="53" s="1"/>
  <c r="BG18" i="53"/>
  <c r="DI18" i="53" s="1"/>
  <c r="AX18" i="53"/>
  <c r="CZ18" i="53" s="1"/>
  <c r="BB18" i="53"/>
  <c r="DD18" i="53" s="1"/>
  <c r="AY18" i="53"/>
  <c r="DA18" i="53" s="1"/>
  <c r="BD18" i="53"/>
  <c r="DF18" i="53" s="1"/>
  <c r="BH18" i="53"/>
  <c r="DJ18" i="53" s="1"/>
  <c r="BE18" i="53"/>
  <c r="DG18" i="53" s="1"/>
  <c r="AJ264" i="50"/>
  <c r="BV264" i="50" s="1"/>
  <c r="O279" i="50"/>
  <c r="BA279" i="50" s="1"/>
  <c r="V262" i="50"/>
  <c r="BH262" i="50" s="1"/>
  <c r="AE169" i="62"/>
  <c r="BV169" i="62" s="1"/>
  <c r="AD229" i="50"/>
  <c r="AL172" i="62"/>
  <c r="CC172" i="62" s="1"/>
  <c r="AK232" i="50"/>
  <c r="AE171" i="62"/>
  <c r="BV171" i="62" s="1"/>
  <c r="AD231" i="50"/>
  <c r="Q172" i="62"/>
  <c r="BH172" i="62" s="1"/>
  <c r="P232" i="50"/>
  <c r="X157" i="62"/>
  <c r="BO157" i="62" s="1"/>
  <c r="W217" i="50"/>
  <c r="AE159" i="62"/>
  <c r="BV159" i="62" s="1"/>
  <c r="AD219" i="50"/>
  <c r="Q173" i="62"/>
  <c r="BH173" i="62" s="1"/>
  <c r="P233" i="50"/>
  <c r="X165" i="62"/>
  <c r="BO165" i="62" s="1"/>
  <c r="W225" i="50"/>
  <c r="AD215" i="50"/>
  <c r="AE155" i="62"/>
  <c r="BV155" i="62" s="1"/>
  <c r="H240" i="50"/>
  <c r="AF174" i="62"/>
  <c r="AE234" i="50"/>
  <c r="W220" i="50"/>
  <c r="X160" i="62"/>
  <c r="BO160" i="62" s="1"/>
  <c r="R164" i="62"/>
  <c r="Q224" i="50"/>
  <c r="BC224" i="50" s="1"/>
  <c r="X164" i="62"/>
  <c r="BO164" i="62" s="1"/>
  <c r="W224" i="50"/>
  <c r="J168" i="62"/>
  <c r="BA168" i="62" s="1"/>
  <c r="I228" i="50"/>
  <c r="AL168" i="62"/>
  <c r="CC168" i="62" s="1"/>
  <c r="AK228" i="50"/>
  <c r="Q168" i="62"/>
  <c r="BH168" i="62" s="1"/>
  <c r="P228" i="50"/>
  <c r="X174" i="62"/>
  <c r="BO174" i="62" s="1"/>
  <c r="W234" i="50"/>
  <c r="AJ214" i="50"/>
  <c r="BV214" i="50" s="1"/>
  <c r="D95" i="85" s="1"/>
  <c r="R156" i="62"/>
  <c r="Q216" i="50"/>
  <c r="AF139" i="50"/>
  <c r="BR139" i="50" s="1"/>
  <c r="X161" i="62"/>
  <c r="BO161" i="62" s="1"/>
  <c r="W221" i="50"/>
  <c r="AL161" i="62"/>
  <c r="CC161" i="62" s="1"/>
  <c r="AK221" i="50"/>
  <c r="P223" i="50"/>
  <c r="Q163" i="62"/>
  <c r="BH163" i="62" s="1"/>
  <c r="W228" i="50"/>
  <c r="X168" i="62"/>
  <c r="BO168" i="62" s="1"/>
  <c r="P217" i="50"/>
  <c r="Q157" i="62"/>
  <c r="BH157" i="62" s="1"/>
  <c r="AL160" i="62"/>
  <c r="CC160" i="62" s="1"/>
  <c r="AK220" i="50"/>
  <c r="P227" i="50"/>
  <c r="Q167" i="62"/>
  <c r="BH167" i="62" s="1"/>
  <c r="AC214" i="50"/>
  <c r="BO214" i="50" s="1"/>
  <c r="D71" i="85" s="1"/>
  <c r="X159" i="62"/>
  <c r="BO159" i="62" s="1"/>
  <c r="W219" i="50"/>
  <c r="R158" i="62"/>
  <c r="Q218" i="50"/>
  <c r="AL235" i="50"/>
  <c r="AM175" i="62"/>
  <c r="AI259" i="50"/>
  <c r="AI236" i="50"/>
  <c r="AJ237" i="50"/>
  <c r="BV237" i="50" s="1"/>
  <c r="Q169" i="62"/>
  <c r="BH169" i="62" s="1"/>
  <c r="P229" i="50"/>
  <c r="AF164" i="62"/>
  <c r="AE224" i="50"/>
  <c r="BQ224" i="50" s="1"/>
  <c r="X166" i="62"/>
  <c r="BO166" i="62" s="1"/>
  <c r="W226" i="50"/>
  <c r="AK216" i="50"/>
  <c r="AL156" i="62"/>
  <c r="CC156" i="62" s="1"/>
  <c r="AL155" i="62"/>
  <c r="CC155" i="62" s="1"/>
  <c r="AK215" i="50"/>
  <c r="BW215" i="50" s="1"/>
  <c r="AK218" i="50"/>
  <c r="AL158" i="62"/>
  <c r="CC158" i="62" s="1"/>
  <c r="AM159" i="62"/>
  <c r="AL219" i="50"/>
  <c r="Q170" i="62"/>
  <c r="BH170" i="62" s="1"/>
  <c r="P230" i="50"/>
  <c r="AD233" i="50"/>
  <c r="AE173" i="62"/>
  <c r="BV173" i="62" s="1"/>
  <c r="O214" i="50"/>
  <c r="BA214" i="50" s="1"/>
  <c r="D35" i="85" s="1"/>
  <c r="AL174" i="62"/>
  <c r="CC174" i="62" s="1"/>
  <c r="AK234" i="50"/>
  <c r="AM167" i="62"/>
  <c r="AL227" i="50"/>
  <c r="AM169" i="62"/>
  <c r="AL229" i="50"/>
  <c r="AE168" i="62"/>
  <c r="BV168" i="62" s="1"/>
  <c r="AD228" i="50"/>
  <c r="Q175" i="62"/>
  <c r="BH175" i="62" s="1"/>
  <c r="P235" i="50"/>
  <c r="J166" i="62"/>
  <c r="BA166" i="62" s="1"/>
  <c r="I226" i="50"/>
  <c r="AL165" i="62"/>
  <c r="CC165" i="62" s="1"/>
  <c r="AK225" i="50"/>
  <c r="K163" i="62"/>
  <c r="J223" i="50"/>
  <c r="AV223" i="50" s="1"/>
  <c r="J231" i="50"/>
  <c r="K171" i="62"/>
  <c r="X167" i="62"/>
  <c r="BO167" i="62" s="1"/>
  <c r="W227" i="50"/>
  <c r="AE175" i="62"/>
  <c r="BV175" i="62" s="1"/>
  <c r="AD235" i="50"/>
  <c r="AL170" i="62"/>
  <c r="CC170" i="62" s="1"/>
  <c r="AK230" i="50"/>
  <c r="V214" i="50"/>
  <c r="BH214" i="50" s="1"/>
  <c r="D53" i="85" s="1"/>
  <c r="AE157" i="62"/>
  <c r="BV157" i="62" s="1"/>
  <c r="AD217" i="50"/>
  <c r="J158" i="62"/>
  <c r="BA158" i="62" s="1"/>
  <c r="I218" i="50"/>
  <c r="AU218" i="50" s="1"/>
  <c r="I154" i="62"/>
  <c r="AZ154" i="62" s="1"/>
  <c r="AE165" i="62"/>
  <c r="BV165" i="62" s="1"/>
  <c r="AD225" i="50"/>
  <c r="Q160" i="62"/>
  <c r="BH160" i="62" s="1"/>
  <c r="P220" i="50"/>
  <c r="Q159" i="62"/>
  <c r="BH159" i="62" s="1"/>
  <c r="P219" i="50"/>
  <c r="AE232" i="50"/>
  <c r="AF172" i="62"/>
  <c r="J164" i="62"/>
  <c r="BA164" i="62" s="1"/>
  <c r="I224" i="50"/>
  <c r="P225" i="50"/>
  <c r="Q165" i="62"/>
  <c r="BH165" i="62" s="1"/>
  <c r="AL164" i="62"/>
  <c r="CC164" i="62" s="1"/>
  <c r="AK224" i="50"/>
  <c r="AC271" i="50"/>
  <c r="BO271" i="50" s="1"/>
  <c r="X172" i="62"/>
  <c r="BO172" i="62" s="1"/>
  <c r="W232" i="50"/>
  <c r="W230" i="50"/>
  <c r="X170" i="62"/>
  <c r="BO170" i="62" s="1"/>
  <c r="AD223" i="50"/>
  <c r="AE163" i="62"/>
  <c r="BV163" i="62" s="1"/>
  <c r="AL166" i="62"/>
  <c r="CC166" i="62" s="1"/>
  <c r="AK226" i="50"/>
  <c r="X173" i="62"/>
  <c r="BO173" i="62" s="1"/>
  <c r="W233" i="50"/>
  <c r="AE226" i="50"/>
  <c r="BQ226" i="50" s="1"/>
  <c r="AF166" i="62"/>
  <c r="X162" i="62"/>
  <c r="BO162" i="62" s="1"/>
  <c r="W222" i="50"/>
  <c r="I222" i="50"/>
  <c r="J162" i="62"/>
  <c r="BA162" i="62" s="1"/>
  <c r="Q161" i="62"/>
  <c r="BH161" i="62" s="1"/>
  <c r="P221" i="50"/>
  <c r="AE161" i="62"/>
  <c r="BV161" i="62" s="1"/>
  <c r="AD221" i="50"/>
  <c r="I232" i="50"/>
  <c r="J172" i="62"/>
  <c r="BA172" i="62" s="1"/>
  <c r="AL162" i="62"/>
  <c r="CC162" i="62" s="1"/>
  <c r="AK222" i="50"/>
  <c r="AE167" i="62"/>
  <c r="BV167" i="62" s="1"/>
  <c r="AD227" i="50"/>
  <c r="X158" i="62"/>
  <c r="BO158" i="62" s="1"/>
  <c r="W218" i="50"/>
  <c r="N259" i="50"/>
  <c r="N236" i="50"/>
  <c r="O237" i="50"/>
  <c r="BA237" i="50" s="1"/>
  <c r="AC152" i="50"/>
  <c r="BO152" i="50" s="1"/>
  <c r="AB172" i="50"/>
  <c r="BN172" i="50" s="1"/>
  <c r="AJ64" i="50"/>
  <c r="BV64" i="50" s="1"/>
  <c r="AC62" i="50"/>
  <c r="BO62" i="50" s="1"/>
  <c r="AC175" i="50"/>
  <c r="BO175" i="50" s="1"/>
  <c r="AB61" i="50"/>
  <c r="BN61" i="50" s="1"/>
  <c r="AI61" i="50"/>
  <c r="BU61" i="50" s="1"/>
  <c r="AC64" i="50"/>
  <c r="BO64" i="50" s="1"/>
  <c r="V276" i="50"/>
  <c r="BH276" i="50" s="1"/>
  <c r="H278" i="50"/>
  <c r="AT278" i="50" s="1"/>
  <c r="AD192" i="50"/>
  <c r="H264" i="50"/>
  <c r="AT264" i="50" s="1"/>
  <c r="V259" i="50"/>
  <c r="BH259" i="50" s="1"/>
  <c r="W192" i="50"/>
  <c r="H192" i="50"/>
  <c r="AK192" i="50"/>
  <c r="Y62" i="62"/>
  <c r="AM95" i="62"/>
  <c r="AM62" i="62"/>
  <c r="X156" i="62"/>
  <c r="W154" i="62"/>
  <c r="BN154" i="62" s="1"/>
  <c r="AM100" i="62"/>
  <c r="AM72" i="62"/>
  <c r="AE101" i="62"/>
  <c r="AD99" i="62"/>
  <c r="BU99" i="62" s="1"/>
  <c r="Y84" i="62"/>
  <c r="AM65" i="62"/>
  <c r="Y65" i="62"/>
  <c r="Q75" i="62"/>
  <c r="BH75" i="62" s="1"/>
  <c r="P74" i="62"/>
  <c r="BG74" i="62" s="1"/>
  <c r="R62" i="62"/>
  <c r="AF75" i="62"/>
  <c r="P71" i="62"/>
  <c r="BG71" i="62" s="1"/>
  <c r="Q72" i="62"/>
  <c r="BH72" i="62" s="1"/>
  <c r="K100" i="62"/>
  <c r="BB100" i="62" s="1"/>
  <c r="J81" i="62"/>
  <c r="BA81" i="62" s="1"/>
  <c r="I80" i="62"/>
  <c r="Q80" i="62"/>
  <c r="BH80" i="62" s="1"/>
  <c r="R81" i="62"/>
  <c r="AL75" i="62"/>
  <c r="CC75" i="62" s="1"/>
  <c r="AK74" i="62"/>
  <c r="AF156" i="62"/>
  <c r="BW156" i="62" s="1"/>
  <c r="Q101" i="62"/>
  <c r="BH101" i="62" s="1"/>
  <c r="P99" i="62"/>
  <c r="BG99" i="62" s="1"/>
  <c r="Y75" i="62"/>
  <c r="AE66" i="62"/>
  <c r="BV66" i="62" s="1"/>
  <c r="AD64" i="62"/>
  <c r="BU64" i="62" s="1"/>
  <c r="Y72" i="62"/>
  <c r="AM157" i="62"/>
  <c r="CD157" i="62" s="1"/>
  <c r="AE63" i="62"/>
  <c r="AD61" i="62"/>
  <c r="BU61" i="62" s="1"/>
  <c r="AE96" i="62"/>
  <c r="BV96" i="62" s="1"/>
  <c r="AD94" i="62"/>
  <c r="BU94" i="62" s="1"/>
  <c r="K65" i="62"/>
  <c r="J64" i="62"/>
  <c r="BA64" i="62" s="1"/>
  <c r="O67" i="62"/>
  <c r="AF72" i="62"/>
  <c r="AE71" i="62"/>
  <c r="BV71" i="62" s="1"/>
  <c r="R155" i="62"/>
  <c r="BI155" i="62" s="1"/>
  <c r="W99" i="62"/>
  <c r="BN99" i="62" s="1"/>
  <c r="X100" i="62"/>
  <c r="BO100" i="62" s="1"/>
  <c r="K95" i="62"/>
  <c r="Q84" i="62"/>
  <c r="BH84" i="62" s="1"/>
  <c r="P83" i="62"/>
  <c r="AL81" i="62"/>
  <c r="AK80" i="62"/>
  <c r="W94" i="62"/>
  <c r="BN94" i="62" s="1"/>
  <c r="X95" i="62"/>
  <c r="BO95" i="62" s="1"/>
  <c r="F57" i="49"/>
  <c r="L57" i="49" s="1"/>
  <c r="E57" i="49"/>
  <c r="K57" i="49" s="1"/>
  <c r="D57" i="49"/>
  <c r="J57" i="49" s="1"/>
  <c r="C57" i="49"/>
  <c r="I57" i="49" s="1"/>
  <c r="P240" i="50" l="1"/>
  <c r="BB240" i="50" s="1"/>
  <c r="Y163" i="62"/>
  <c r="I253" i="50"/>
  <c r="X223" i="50"/>
  <c r="BJ223" i="50" s="1"/>
  <c r="W67" i="62"/>
  <c r="BN67" i="62" s="1"/>
  <c r="O268" i="50"/>
  <c r="BA268" i="50" s="1"/>
  <c r="Q234" i="50"/>
  <c r="AC267" i="50"/>
  <c r="BO267" i="50" s="1"/>
  <c r="P246" i="50"/>
  <c r="P268" i="50" s="1"/>
  <c r="BB268" i="50" s="1"/>
  <c r="K132" i="85"/>
  <c r="D17" i="85"/>
  <c r="D113" i="85" s="1"/>
  <c r="C112" i="85"/>
  <c r="C119" i="85"/>
  <c r="C129" i="85" s="1"/>
  <c r="AD74" i="50"/>
  <c r="H269" i="50"/>
  <c r="AT269" i="50" s="1"/>
  <c r="BO74" i="50"/>
  <c r="AL99" i="62"/>
  <c r="CC99" i="62" s="1"/>
  <c r="BH238" i="50"/>
  <c r="AE74" i="62"/>
  <c r="BV74" i="62" s="1"/>
  <c r="AD67" i="62"/>
  <c r="BU67" i="62" s="1"/>
  <c r="AM12" i="50"/>
  <c r="BY12" i="50" s="1"/>
  <c r="BX12" i="50"/>
  <c r="AF14" i="50"/>
  <c r="BR14" i="50" s="1"/>
  <c r="BQ14" i="50"/>
  <c r="AM23" i="50"/>
  <c r="BY23" i="50" s="1"/>
  <c r="BX23" i="50"/>
  <c r="AM115" i="50"/>
  <c r="BY115" i="50" s="1"/>
  <c r="BX115" i="50"/>
  <c r="AF128" i="50"/>
  <c r="BR128" i="50" s="1"/>
  <c r="BQ128" i="50"/>
  <c r="AF119" i="50"/>
  <c r="BR119" i="50" s="1"/>
  <c r="BQ119" i="50"/>
  <c r="AB179" i="50"/>
  <c r="BN179" i="50" s="1"/>
  <c r="AM112" i="50"/>
  <c r="BY112" i="50" s="1"/>
  <c r="BX112" i="50"/>
  <c r="AM126" i="50"/>
  <c r="BY126" i="50" s="1"/>
  <c r="BX126" i="50"/>
  <c r="AM120" i="50"/>
  <c r="BY120" i="50" s="1"/>
  <c r="BX120" i="50"/>
  <c r="AF115" i="50"/>
  <c r="BR115" i="50" s="1"/>
  <c r="BQ115" i="50"/>
  <c r="AM34" i="50"/>
  <c r="BY34" i="50" s="1"/>
  <c r="BX34" i="50"/>
  <c r="AM24" i="50"/>
  <c r="BY24" i="50" s="1"/>
  <c r="BX24" i="50"/>
  <c r="AF34" i="50"/>
  <c r="BR34" i="50" s="1"/>
  <c r="BQ34" i="50"/>
  <c r="AF120" i="50"/>
  <c r="BR120" i="50" s="1"/>
  <c r="BQ120" i="50"/>
  <c r="AF28" i="50"/>
  <c r="BR28" i="50" s="1"/>
  <c r="BQ28" i="50"/>
  <c r="AM30" i="50"/>
  <c r="BY30" i="50" s="1"/>
  <c r="BX30" i="50"/>
  <c r="AF23" i="50"/>
  <c r="BR23" i="50" s="1"/>
  <c r="BQ23" i="50"/>
  <c r="AK159" i="50"/>
  <c r="BW159" i="50" s="1"/>
  <c r="AF112" i="50"/>
  <c r="BR112" i="50" s="1"/>
  <c r="BQ112" i="50"/>
  <c r="AM119" i="50"/>
  <c r="BY119" i="50" s="1"/>
  <c r="BX119" i="50"/>
  <c r="AM18" i="50"/>
  <c r="BY18" i="50" s="1"/>
  <c r="BX18" i="50"/>
  <c r="AL11" i="50"/>
  <c r="BW11" i="50"/>
  <c r="AF12" i="50"/>
  <c r="BR12" i="50" s="1"/>
  <c r="BQ12" i="50"/>
  <c r="AF129" i="50"/>
  <c r="BR129" i="50" s="1"/>
  <c r="BQ129" i="50"/>
  <c r="AF31" i="50"/>
  <c r="BR31" i="50" s="1"/>
  <c r="BQ31" i="50"/>
  <c r="AF11" i="50"/>
  <c r="BR11" i="50" s="1"/>
  <c r="BQ11" i="50"/>
  <c r="AF18" i="50"/>
  <c r="BR18" i="50" s="1"/>
  <c r="BQ18" i="50"/>
  <c r="AM123" i="50"/>
  <c r="BY123" i="50" s="1"/>
  <c r="BX123" i="50"/>
  <c r="X231" i="50"/>
  <c r="BJ231" i="50" s="1"/>
  <c r="AC60" i="62"/>
  <c r="BT60" i="62" s="1"/>
  <c r="P262" i="50"/>
  <c r="BB262" i="50" s="1"/>
  <c r="AC75" i="50"/>
  <c r="BO75" i="50" s="1"/>
  <c r="Y171" i="62"/>
  <c r="Y231" i="50" s="1"/>
  <c r="BK231" i="50" s="1"/>
  <c r="V269" i="50"/>
  <c r="BH269" i="50" s="1"/>
  <c r="AL94" i="62"/>
  <c r="CC94" i="62" s="1"/>
  <c r="X74" i="62"/>
  <c r="BO74" i="62" s="1"/>
  <c r="AF24" i="50"/>
  <c r="BR24" i="50" s="1"/>
  <c r="BQ24" i="50"/>
  <c r="AF26" i="50"/>
  <c r="BR26" i="50" s="1"/>
  <c r="BQ26" i="50"/>
  <c r="AM28" i="50"/>
  <c r="BY28" i="50" s="1"/>
  <c r="BX28" i="50"/>
  <c r="AM129" i="50"/>
  <c r="BY129" i="50" s="1"/>
  <c r="BX129" i="50"/>
  <c r="O267" i="50"/>
  <c r="BA267" i="50" s="1"/>
  <c r="AM27" i="50"/>
  <c r="BY27" i="50" s="1"/>
  <c r="BX27" i="50"/>
  <c r="AF126" i="50"/>
  <c r="BR126" i="50" s="1"/>
  <c r="BQ126" i="50"/>
  <c r="AF27" i="50"/>
  <c r="BR27" i="50" s="1"/>
  <c r="BQ27" i="50"/>
  <c r="AF25" i="50"/>
  <c r="BR25" i="50" s="1"/>
  <c r="BQ25" i="50"/>
  <c r="AM31" i="50"/>
  <c r="BY31" i="50" s="1"/>
  <c r="BX31" i="50"/>
  <c r="AM128" i="50"/>
  <c r="BY128" i="50" s="1"/>
  <c r="BX128" i="50"/>
  <c r="AM25" i="50"/>
  <c r="BY25" i="50" s="1"/>
  <c r="BX25" i="50"/>
  <c r="AC159" i="50"/>
  <c r="BO159" i="50" s="1"/>
  <c r="AF30" i="50"/>
  <c r="BR30" i="50" s="1"/>
  <c r="BQ30" i="50"/>
  <c r="AM26" i="50"/>
  <c r="BY26" i="50" s="1"/>
  <c r="BX26" i="50"/>
  <c r="AM14" i="50"/>
  <c r="BY14" i="50" s="1"/>
  <c r="BX14" i="50"/>
  <c r="AF123" i="50"/>
  <c r="BR123" i="50" s="1"/>
  <c r="BQ123" i="50"/>
  <c r="V261" i="50"/>
  <c r="BH261" i="50" s="1"/>
  <c r="AD242" i="50"/>
  <c r="AD264" i="50" s="1"/>
  <c r="BP264" i="50" s="1"/>
  <c r="AC260" i="50"/>
  <c r="BO260" i="50" s="1"/>
  <c r="AJ262" i="50"/>
  <c r="BV262" i="50" s="1"/>
  <c r="BN236" i="50"/>
  <c r="C72" i="85" s="1"/>
  <c r="AJ260" i="50"/>
  <c r="BV260" i="50" s="1"/>
  <c r="AC277" i="50"/>
  <c r="BO277" i="50" s="1"/>
  <c r="V265" i="50"/>
  <c r="BH265" i="50" s="1"/>
  <c r="O274" i="50"/>
  <c r="BA274" i="50" s="1"/>
  <c r="AJ77" i="50"/>
  <c r="AK77" i="50" s="1"/>
  <c r="C129" i="67"/>
  <c r="V266" i="50"/>
  <c r="BH266" i="50" s="1"/>
  <c r="AD77" i="50"/>
  <c r="BP77" i="50" s="1"/>
  <c r="BO163" i="50"/>
  <c r="AL192" i="50"/>
  <c r="F94" i="67" s="1"/>
  <c r="F127" i="67" s="1"/>
  <c r="AE222" i="50"/>
  <c r="BQ222" i="50" s="1"/>
  <c r="AC265" i="50"/>
  <c r="BO265" i="50" s="1"/>
  <c r="K62" i="62"/>
  <c r="BB62" i="62" s="1"/>
  <c r="AK271" i="50"/>
  <c r="BW271" i="50" s="1"/>
  <c r="AD155" i="50"/>
  <c r="BP155" i="50" s="1"/>
  <c r="X235" i="50"/>
  <c r="BJ235" i="50" s="1"/>
  <c r="AJ272" i="50"/>
  <c r="BV272" i="50" s="1"/>
  <c r="V60" i="62"/>
  <c r="BM60" i="62" s="1"/>
  <c r="BO160" i="50"/>
  <c r="AT243" i="50"/>
  <c r="Y175" i="62"/>
  <c r="Y235" i="50" s="1"/>
  <c r="BK235" i="50" s="1"/>
  <c r="AJ270" i="50"/>
  <c r="BV270" i="50" s="1"/>
  <c r="AD268" i="50"/>
  <c r="BP268" i="50" s="1"/>
  <c r="AK279" i="50"/>
  <c r="BW279" i="50" s="1"/>
  <c r="AJ267" i="50"/>
  <c r="BV267" i="50" s="1"/>
  <c r="P256" i="50"/>
  <c r="Q256" i="50" s="1"/>
  <c r="BC256" i="50" s="1"/>
  <c r="AD163" i="50"/>
  <c r="AD183" i="50" s="1"/>
  <c r="BP183" i="50" s="1"/>
  <c r="BP234" i="50"/>
  <c r="AC269" i="50"/>
  <c r="BO269" i="50" s="1"/>
  <c r="O273" i="50"/>
  <c r="BA273" i="50" s="1"/>
  <c r="AJ275" i="50"/>
  <c r="BV275" i="50" s="1"/>
  <c r="O272" i="50"/>
  <c r="BA272" i="50" s="1"/>
  <c r="AF162" i="62"/>
  <c r="AF222" i="50" s="1"/>
  <c r="BR222" i="50" s="1"/>
  <c r="O264" i="50"/>
  <c r="BA264" i="50" s="1"/>
  <c r="O271" i="50"/>
  <c r="BA271" i="50" s="1"/>
  <c r="AK160" i="50"/>
  <c r="BW160" i="50" s="1"/>
  <c r="AJ265" i="50"/>
  <c r="BV265" i="50" s="1"/>
  <c r="O261" i="50"/>
  <c r="BA261" i="50" s="1"/>
  <c r="H261" i="50"/>
  <c r="AT261" i="50" s="1"/>
  <c r="AC259" i="50"/>
  <c r="BO259" i="50" s="1"/>
  <c r="AJ274" i="50"/>
  <c r="BV274" i="50" s="1"/>
  <c r="R174" i="62"/>
  <c r="V270" i="50"/>
  <c r="BH270" i="50" s="1"/>
  <c r="AC272" i="50"/>
  <c r="BO272" i="50" s="1"/>
  <c r="AU253" i="50"/>
  <c r="I275" i="50"/>
  <c r="AU275" i="50" s="1"/>
  <c r="BP244" i="50"/>
  <c r="AD266" i="50"/>
  <c r="BP266" i="50" s="1"/>
  <c r="BP254" i="50"/>
  <c r="AD276" i="50"/>
  <c r="BP276" i="50" s="1"/>
  <c r="BI81" i="62"/>
  <c r="AM50" i="50"/>
  <c r="BY50" i="50" s="1"/>
  <c r="CD100" i="62"/>
  <c r="E52" i="67"/>
  <c r="E123" i="67" s="1"/>
  <c r="BI192" i="50"/>
  <c r="E52" i="85" s="1"/>
  <c r="E123" i="85" s="1"/>
  <c r="AK248" i="50"/>
  <c r="BW248" i="50" s="1"/>
  <c r="BW226" i="50"/>
  <c r="W249" i="50"/>
  <c r="BI249" i="50" s="1"/>
  <c r="BI227" i="50"/>
  <c r="AM229" i="50"/>
  <c r="BY229" i="50" s="1"/>
  <c r="CD169" i="62"/>
  <c r="AD255" i="50"/>
  <c r="BP255" i="50" s="1"/>
  <c r="BP233" i="50"/>
  <c r="AE256" i="50"/>
  <c r="BQ256" i="50" s="1"/>
  <c r="BQ234" i="50"/>
  <c r="P254" i="50"/>
  <c r="BB232" i="50"/>
  <c r="Y202" i="50"/>
  <c r="BK202" i="50" s="1"/>
  <c r="BJ202" i="50"/>
  <c r="W251" i="50"/>
  <c r="BH251" i="50"/>
  <c r="V273" i="50"/>
  <c r="BH273" i="50" s="1"/>
  <c r="AF78" i="62"/>
  <c r="BW78" i="62" s="1"/>
  <c r="BV78" i="62"/>
  <c r="AF198" i="50"/>
  <c r="BR198" i="50" s="1"/>
  <c r="BQ198" i="50"/>
  <c r="BP74" i="50"/>
  <c r="AF70" i="62"/>
  <c r="BW70" i="62" s="1"/>
  <c r="BV70" i="62"/>
  <c r="AM63" i="62"/>
  <c r="AM61" i="62" s="1"/>
  <c r="CD61" i="62" s="1"/>
  <c r="CC63" i="62"/>
  <c r="AL132" i="50"/>
  <c r="BX132" i="50" s="1"/>
  <c r="Y63" i="62"/>
  <c r="BP63" i="62" s="1"/>
  <c r="BO63" i="62"/>
  <c r="K167" i="62"/>
  <c r="BA167" i="62"/>
  <c r="J227" i="50"/>
  <c r="AV227" i="50" s="1"/>
  <c r="AC274" i="50"/>
  <c r="BO274" i="50" s="1"/>
  <c r="BO252" i="50"/>
  <c r="R63" i="62"/>
  <c r="BI63" i="62" s="1"/>
  <c r="BH63" i="62"/>
  <c r="Y196" i="50"/>
  <c r="BK196" i="50" s="1"/>
  <c r="BJ196" i="50"/>
  <c r="AD81" i="50"/>
  <c r="AM202" i="50"/>
  <c r="BY202" i="50" s="1"/>
  <c r="BX202" i="50"/>
  <c r="BV152" i="50"/>
  <c r="AK152" i="50"/>
  <c r="R196" i="50"/>
  <c r="BD196" i="50" s="1"/>
  <c r="BC196" i="50"/>
  <c r="Y68" i="62"/>
  <c r="BP68" i="62" s="1"/>
  <c r="BO68" i="62"/>
  <c r="AF93" i="62"/>
  <c r="BV93" i="62"/>
  <c r="AE149" i="50"/>
  <c r="BQ149" i="50" s="1"/>
  <c r="AF79" i="50"/>
  <c r="BR79" i="50" s="1"/>
  <c r="BQ79" i="50"/>
  <c r="K82" i="62"/>
  <c r="BB82" i="62" s="1"/>
  <c r="BA82" i="62"/>
  <c r="AM78" i="62"/>
  <c r="CD78" i="62" s="1"/>
  <c r="CC78" i="62"/>
  <c r="AL139" i="50"/>
  <c r="BX139" i="50" s="1"/>
  <c r="CC81" i="62"/>
  <c r="AE132" i="50"/>
  <c r="BQ132" i="50" s="1"/>
  <c r="BV63" i="62"/>
  <c r="AM37" i="50"/>
  <c r="BY37" i="50" s="1"/>
  <c r="CD65" i="62"/>
  <c r="X61" i="62"/>
  <c r="BO61" i="62" s="1"/>
  <c r="AK246" i="50"/>
  <c r="BW246" i="50" s="1"/>
  <c r="BW224" i="50"/>
  <c r="I248" i="50"/>
  <c r="AU248" i="50" s="1"/>
  <c r="AU226" i="50"/>
  <c r="P252" i="50"/>
  <c r="BB252" i="50" s="1"/>
  <c r="BB230" i="50"/>
  <c r="AL257" i="50"/>
  <c r="BX257" i="50" s="1"/>
  <c r="BX235" i="50"/>
  <c r="W243" i="50"/>
  <c r="BI243" i="50" s="1"/>
  <c r="BI221" i="50"/>
  <c r="W246" i="50"/>
  <c r="BI224" i="50"/>
  <c r="AF234" i="50"/>
  <c r="BR234" i="50" s="1"/>
  <c r="BW174" i="62"/>
  <c r="AJ266" i="50"/>
  <c r="BV266" i="50" s="1"/>
  <c r="AC279" i="50"/>
  <c r="BO279" i="50" s="1"/>
  <c r="AK253" i="50"/>
  <c r="BW253" i="50" s="1"/>
  <c r="BW231" i="50"/>
  <c r="AF209" i="50"/>
  <c r="BR209" i="50" s="1"/>
  <c r="BQ209" i="50"/>
  <c r="Y103" i="62"/>
  <c r="BP103" i="62" s="1"/>
  <c r="BO103" i="62"/>
  <c r="AM106" i="62"/>
  <c r="CC106" i="62"/>
  <c r="AL56" i="50"/>
  <c r="BX56" i="50" s="1"/>
  <c r="AF196" i="50"/>
  <c r="BR196" i="50" s="1"/>
  <c r="BQ196" i="50"/>
  <c r="AF86" i="62"/>
  <c r="BV86" i="62"/>
  <c r="AE143" i="50"/>
  <c r="BQ143" i="50" s="1"/>
  <c r="W253" i="50"/>
  <c r="BI231" i="50"/>
  <c r="AD78" i="50"/>
  <c r="BO78" i="50"/>
  <c r="BV241" i="50"/>
  <c r="AJ263" i="50"/>
  <c r="BV263" i="50" s="1"/>
  <c r="AM211" i="50"/>
  <c r="BY211" i="50" s="1"/>
  <c r="BX211" i="50"/>
  <c r="K98" i="62"/>
  <c r="BB98" i="62" s="1"/>
  <c r="BA98" i="62"/>
  <c r="K91" i="62"/>
  <c r="BB91" i="62" s="1"/>
  <c r="BA91" i="62"/>
  <c r="AM194" i="50"/>
  <c r="BY194" i="50" s="1"/>
  <c r="BX194" i="50"/>
  <c r="AF203" i="50"/>
  <c r="BR203" i="50" s="1"/>
  <c r="BQ203" i="50"/>
  <c r="AM91" i="62"/>
  <c r="CC91" i="62"/>
  <c r="AL148" i="50"/>
  <c r="BX148" i="50" s="1"/>
  <c r="K173" i="62"/>
  <c r="BA173" i="62"/>
  <c r="J233" i="50"/>
  <c r="AV233" i="50" s="1"/>
  <c r="AK241" i="50"/>
  <c r="AF204" i="50"/>
  <c r="BR204" i="50" s="1"/>
  <c r="BQ204" i="50"/>
  <c r="Y201" i="50"/>
  <c r="BK201" i="50" s="1"/>
  <c r="BJ201" i="50"/>
  <c r="AF83" i="50"/>
  <c r="BR83" i="50" s="1"/>
  <c r="BQ83" i="50"/>
  <c r="AM193" i="50"/>
  <c r="BY193" i="50" s="1"/>
  <c r="BX193" i="50"/>
  <c r="AF206" i="50"/>
  <c r="BR206" i="50" s="1"/>
  <c r="BQ206" i="50"/>
  <c r="AM68" i="62"/>
  <c r="CC68" i="62"/>
  <c r="AL39" i="50"/>
  <c r="BX39" i="50" s="1"/>
  <c r="H279" i="50"/>
  <c r="AT279" i="50" s="1"/>
  <c r="AT257" i="50"/>
  <c r="J203" i="50"/>
  <c r="AU203" i="50"/>
  <c r="Y195" i="50"/>
  <c r="BK195" i="50" s="1"/>
  <c r="BJ195" i="50"/>
  <c r="K73" i="62"/>
  <c r="BB73" i="62" s="1"/>
  <c r="BA73" i="62"/>
  <c r="AF69" i="62"/>
  <c r="BW69" i="62" s="1"/>
  <c r="BV69" i="62"/>
  <c r="P79" i="62"/>
  <c r="BG79" i="62" s="1"/>
  <c r="BG83" i="62"/>
  <c r="BW72" i="62"/>
  <c r="BP75" i="62"/>
  <c r="I79" i="62"/>
  <c r="AZ79" i="62" s="1"/>
  <c r="AZ80" i="62"/>
  <c r="BI62" i="62"/>
  <c r="BP84" i="62"/>
  <c r="BP62" i="62"/>
  <c r="V236" i="50"/>
  <c r="G258" i="50"/>
  <c r="C36" i="67"/>
  <c r="AZ236" i="50"/>
  <c r="C36" i="85" s="1"/>
  <c r="AF232" i="50"/>
  <c r="BR232" i="50" s="1"/>
  <c r="BW172" i="62"/>
  <c r="AF160" i="62"/>
  <c r="W250" i="50"/>
  <c r="BI250" i="50" s="1"/>
  <c r="BI228" i="50"/>
  <c r="H236" i="50"/>
  <c r="AT240" i="50"/>
  <c r="P244" i="50"/>
  <c r="BB222" i="50"/>
  <c r="AB258" i="50"/>
  <c r="AD270" i="50"/>
  <c r="BP270" i="50" s="1"/>
  <c r="BP248" i="50"/>
  <c r="R206" i="50"/>
  <c r="BD206" i="50" s="1"/>
  <c r="BC206" i="50"/>
  <c r="AK169" i="50"/>
  <c r="BA84" i="62"/>
  <c r="K84" i="62"/>
  <c r="J83" i="62"/>
  <c r="BA83" i="62" s="1"/>
  <c r="Y91" i="62"/>
  <c r="BP91" i="62" s="1"/>
  <c r="BO91" i="62"/>
  <c r="AF106" i="62"/>
  <c r="BV106" i="62"/>
  <c r="AE56" i="50"/>
  <c r="BQ56" i="50" s="1"/>
  <c r="AM105" i="62"/>
  <c r="CC105" i="62"/>
  <c r="AL55" i="50"/>
  <c r="BX55" i="50" s="1"/>
  <c r="K206" i="50"/>
  <c r="AW206" i="50" s="1"/>
  <c r="AV206" i="50"/>
  <c r="O266" i="50"/>
  <c r="BA266" i="50" s="1"/>
  <c r="BA244" i="50"/>
  <c r="P253" i="50"/>
  <c r="BA253" i="50"/>
  <c r="AM103" i="62"/>
  <c r="CC103" i="62"/>
  <c r="AL49" i="50"/>
  <c r="BX49" i="50" s="1"/>
  <c r="Y92" i="62"/>
  <c r="BP92" i="62" s="1"/>
  <c r="BO92" i="62"/>
  <c r="Y87" i="62"/>
  <c r="BP87" i="62" s="1"/>
  <c r="BO87" i="62"/>
  <c r="AF211" i="50"/>
  <c r="BR211" i="50" s="1"/>
  <c r="BQ211" i="50"/>
  <c r="Y206" i="50"/>
  <c r="BK206" i="50" s="1"/>
  <c r="BJ206" i="50"/>
  <c r="K102" i="62"/>
  <c r="BB102" i="62" s="1"/>
  <c r="BA102" i="62"/>
  <c r="R68" i="62"/>
  <c r="BI68" i="62" s="1"/>
  <c r="BH68" i="62"/>
  <c r="AF82" i="62"/>
  <c r="BV82" i="62"/>
  <c r="AE140" i="50"/>
  <c r="BQ140" i="50" s="1"/>
  <c r="AE80" i="62"/>
  <c r="BA165" i="62"/>
  <c r="K165" i="62"/>
  <c r="J225" i="50"/>
  <c r="AV225" i="50" s="1"/>
  <c r="R105" i="62"/>
  <c r="BI105" i="62" s="1"/>
  <c r="BH105" i="62"/>
  <c r="Y213" i="50"/>
  <c r="BK213" i="50" s="1"/>
  <c r="BJ213" i="50"/>
  <c r="BP72" i="62"/>
  <c r="Q61" i="62"/>
  <c r="BH61" i="62" s="1"/>
  <c r="X83" i="62"/>
  <c r="I254" i="50"/>
  <c r="AU254" i="50" s="1"/>
  <c r="AU232" i="50"/>
  <c r="AE254" i="50"/>
  <c r="BQ254" i="50" s="1"/>
  <c r="BQ232" i="50"/>
  <c r="J253" i="50"/>
  <c r="AV253" i="50" s="1"/>
  <c r="AV231" i="50"/>
  <c r="AK256" i="50"/>
  <c r="BW256" i="50" s="1"/>
  <c r="BW234" i="50"/>
  <c r="AK238" i="50"/>
  <c r="BW238" i="50" s="1"/>
  <c r="BW216" i="50"/>
  <c r="R234" i="50"/>
  <c r="BD234" i="50" s="1"/>
  <c r="BI174" i="62"/>
  <c r="Y223" i="50"/>
  <c r="BK223" i="50" s="1"/>
  <c r="BP163" i="62"/>
  <c r="P249" i="50"/>
  <c r="BB249" i="50" s="1"/>
  <c r="BB227" i="50"/>
  <c r="P250" i="50"/>
  <c r="BB250" i="50" s="1"/>
  <c r="BB228" i="50"/>
  <c r="AK255" i="50"/>
  <c r="BW233" i="50"/>
  <c r="I267" i="50"/>
  <c r="AU267" i="50" s="1"/>
  <c r="AU245" i="50"/>
  <c r="R91" i="62"/>
  <c r="BI91" i="62" s="1"/>
  <c r="BH91" i="62"/>
  <c r="R98" i="62"/>
  <c r="BI98" i="62" s="1"/>
  <c r="BH98" i="62"/>
  <c r="AF89" i="62"/>
  <c r="BV89" i="62"/>
  <c r="AE146" i="50"/>
  <c r="BQ146" i="50" s="1"/>
  <c r="R97" i="62"/>
  <c r="BI97" i="62" s="1"/>
  <c r="BH97" i="62"/>
  <c r="Y76" i="62"/>
  <c r="BP76" i="62" s="1"/>
  <c r="BO76" i="62"/>
  <c r="Y96" i="62"/>
  <c r="BP96" i="62" s="1"/>
  <c r="BO96" i="62"/>
  <c r="K197" i="50"/>
  <c r="AW197" i="50" s="1"/>
  <c r="AV197" i="50"/>
  <c r="I252" i="50"/>
  <c r="I274" i="50" s="1"/>
  <c r="AU274" i="50" s="1"/>
  <c r="AT252" i="50"/>
  <c r="AE169" i="50"/>
  <c r="BP169" i="50"/>
  <c r="AD189" i="50"/>
  <c r="BP189" i="50" s="1"/>
  <c r="AM108" i="62"/>
  <c r="CC108" i="62"/>
  <c r="AL59" i="50"/>
  <c r="BX59" i="50" s="1"/>
  <c r="Y194" i="50"/>
  <c r="BK194" i="50" s="1"/>
  <c r="BJ194" i="50"/>
  <c r="R210" i="50"/>
  <c r="BD210" i="50" s="1"/>
  <c r="BC210" i="50"/>
  <c r="Y77" i="62"/>
  <c r="BP77" i="62" s="1"/>
  <c r="BO77" i="62"/>
  <c r="Y85" i="62"/>
  <c r="BP85" i="62" s="1"/>
  <c r="BO85" i="62"/>
  <c r="K63" i="62"/>
  <c r="BB63" i="62" s="1"/>
  <c r="BA63" i="62"/>
  <c r="AF92" i="62"/>
  <c r="BV92" i="62"/>
  <c r="AE43" i="50"/>
  <c r="BQ43" i="50" s="1"/>
  <c r="BA238" i="50"/>
  <c r="O260" i="50"/>
  <c r="BA260" i="50" s="1"/>
  <c r="Y89" i="62"/>
  <c r="BP89" i="62" s="1"/>
  <c r="BO89" i="62"/>
  <c r="AM200" i="50"/>
  <c r="BY200" i="50" s="1"/>
  <c r="BX200" i="50"/>
  <c r="K193" i="50"/>
  <c r="AW193" i="50" s="1"/>
  <c r="AV193" i="50"/>
  <c r="R202" i="50"/>
  <c r="BD202" i="50" s="1"/>
  <c r="BC202" i="50"/>
  <c r="R89" i="62"/>
  <c r="BI89" i="62" s="1"/>
  <c r="BH89" i="62"/>
  <c r="J207" i="50"/>
  <c r="AU207" i="50"/>
  <c r="R209" i="50"/>
  <c r="BD209" i="50" s="1"/>
  <c r="BC209" i="50"/>
  <c r="AM107" i="62"/>
  <c r="CD107" i="62" s="1"/>
  <c r="CC107" i="62"/>
  <c r="AM73" i="62"/>
  <c r="CC73" i="62"/>
  <c r="AL135" i="50"/>
  <c r="BX135" i="50" s="1"/>
  <c r="C18" i="67"/>
  <c r="AS236" i="50"/>
  <c r="C18" i="85" s="1"/>
  <c r="AF82" i="50"/>
  <c r="BQ82" i="50"/>
  <c r="AM86" i="62"/>
  <c r="CC86" i="62"/>
  <c r="AL143" i="50"/>
  <c r="BX143" i="50" s="1"/>
  <c r="Y205" i="50"/>
  <c r="BK205" i="50" s="1"/>
  <c r="BJ205" i="50"/>
  <c r="AE36" i="50"/>
  <c r="BQ36" i="50" s="1"/>
  <c r="BV62" i="62"/>
  <c r="AF62" i="62"/>
  <c r="AF90" i="62"/>
  <c r="BW90" i="62" s="1"/>
  <c r="BV90" i="62"/>
  <c r="AF103" i="62"/>
  <c r="BV103" i="62"/>
  <c r="AE49" i="50"/>
  <c r="BQ49" i="50" s="1"/>
  <c r="Y90" i="62"/>
  <c r="BP90" i="62" s="1"/>
  <c r="BO90" i="62"/>
  <c r="AF76" i="62"/>
  <c r="BW76" i="62" s="1"/>
  <c r="BV76" i="62"/>
  <c r="Y106" i="62"/>
  <c r="BP106" i="62" s="1"/>
  <c r="BO106" i="62"/>
  <c r="R82" i="62"/>
  <c r="BI82" i="62" s="1"/>
  <c r="BH82" i="62"/>
  <c r="H276" i="50"/>
  <c r="AT276" i="50" s="1"/>
  <c r="AT254" i="50"/>
  <c r="BB95" i="62"/>
  <c r="X216" i="50"/>
  <c r="BJ216" i="50" s="1"/>
  <c r="BO156" i="62"/>
  <c r="AC236" i="50"/>
  <c r="H274" i="50"/>
  <c r="AT274" i="50" s="1"/>
  <c r="W240" i="50"/>
  <c r="BI240" i="50" s="1"/>
  <c r="BI218" i="50"/>
  <c r="AD243" i="50"/>
  <c r="BP243" i="50" s="1"/>
  <c r="BP221" i="50"/>
  <c r="AF226" i="50"/>
  <c r="BR226" i="50" s="1"/>
  <c r="BW166" i="62"/>
  <c r="P247" i="50"/>
  <c r="BB247" i="50" s="1"/>
  <c r="BB225" i="50"/>
  <c r="P241" i="50"/>
  <c r="BB241" i="50" s="1"/>
  <c r="BB219" i="50"/>
  <c r="AK252" i="50"/>
  <c r="BW252" i="50" s="1"/>
  <c r="BW230" i="50"/>
  <c r="BX219" i="50"/>
  <c r="W248" i="50"/>
  <c r="BI248" i="50" s="1"/>
  <c r="BI226" i="50"/>
  <c r="BC234" i="50"/>
  <c r="AK242" i="50"/>
  <c r="BW242" i="50" s="1"/>
  <c r="BW220" i="50"/>
  <c r="P245" i="50"/>
  <c r="BB245" i="50" s="1"/>
  <c r="BB223" i="50"/>
  <c r="R224" i="50"/>
  <c r="BD224" i="50" s="1"/>
  <c r="BI164" i="62"/>
  <c r="AD237" i="50"/>
  <c r="BP237" i="50" s="1"/>
  <c r="BP215" i="50"/>
  <c r="AD241" i="50"/>
  <c r="BP241" i="50" s="1"/>
  <c r="BP219" i="50"/>
  <c r="AK254" i="50"/>
  <c r="BW254" i="50" s="1"/>
  <c r="BW232" i="50"/>
  <c r="O276" i="50"/>
  <c r="BA276" i="50" s="1"/>
  <c r="V274" i="50"/>
  <c r="BH274" i="50" s="1"/>
  <c r="H266" i="50"/>
  <c r="AT266" i="50" s="1"/>
  <c r="AK245" i="50"/>
  <c r="BW223" i="50"/>
  <c r="Y198" i="50"/>
  <c r="BK198" i="50" s="1"/>
  <c r="BJ198" i="50"/>
  <c r="AF201" i="50"/>
  <c r="BR201" i="50" s="1"/>
  <c r="BQ201" i="50"/>
  <c r="BH100" i="62"/>
  <c r="R100" i="62"/>
  <c r="BI100" i="62" s="1"/>
  <c r="AF91" i="62"/>
  <c r="BV91" i="62"/>
  <c r="AE148" i="50"/>
  <c r="BQ148" i="50" s="1"/>
  <c r="Y209" i="50"/>
  <c r="BK209" i="50" s="1"/>
  <c r="BJ209" i="50"/>
  <c r="W79" i="62"/>
  <c r="BN79" i="62" s="1"/>
  <c r="BN83" i="62"/>
  <c r="Y207" i="50"/>
  <c r="BK207" i="50" s="1"/>
  <c r="BJ207" i="50"/>
  <c r="CC84" i="62"/>
  <c r="AM84" i="62"/>
  <c r="AL83" i="62"/>
  <c r="CC83" i="62" s="1"/>
  <c r="AF210" i="50"/>
  <c r="BR210" i="50" s="1"/>
  <c r="BQ210" i="50"/>
  <c r="Y86" i="62"/>
  <c r="BP86" i="62" s="1"/>
  <c r="BO86" i="62"/>
  <c r="AM198" i="50"/>
  <c r="BY198" i="50" s="1"/>
  <c r="BX198" i="50"/>
  <c r="AM104" i="62"/>
  <c r="CC104" i="62"/>
  <c r="AL53" i="50"/>
  <c r="BX53" i="50" s="1"/>
  <c r="BH95" i="62"/>
  <c r="R95" i="62"/>
  <c r="Q94" i="62"/>
  <c r="BH94" i="62" s="1"/>
  <c r="BU80" i="62"/>
  <c r="AD79" i="62"/>
  <c r="BU79" i="62" s="1"/>
  <c r="AF105" i="62"/>
  <c r="BV105" i="62"/>
  <c r="AE55" i="50"/>
  <c r="BQ55" i="50" s="1"/>
  <c r="BV239" i="50"/>
  <c r="AJ261" i="50"/>
  <c r="BV261" i="50" s="1"/>
  <c r="Y107" i="62"/>
  <c r="BP107" i="62" s="1"/>
  <c r="BO107" i="62"/>
  <c r="AD84" i="50"/>
  <c r="BO84" i="50"/>
  <c r="R106" i="62"/>
  <c r="BI106" i="62" s="1"/>
  <c r="BH106" i="62"/>
  <c r="AF68" i="62"/>
  <c r="BV68" i="62"/>
  <c r="AE39" i="50"/>
  <c r="BQ39" i="50" s="1"/>
  <c r="J202" i="50"/>
  <c r="AU202" i="50"/>
  <c r="AK163" i="50"/>
  <c r="R203" i="50"/>
  <c r="BD203" i="50" s="1"/>
  <c r="BC203" i="50"/>
  <c r="K90" i="62"/>
  <c r="BB90" i="62" s="1"/>
  <c r="BA90" i="62"/>
  <c r="J94" i="62"/>
  <c r="BA94" i="62" s="1"/>
  <c r="K64" i="62"/>
  <c r="BB64" i="62" s="1"/>
  <c r="BB65" i="62"/>
  <c r="R65" i="62"/>
  <c r="AE51" i="50"/>
  <c r="BQ51" i="50" s="1"/>
  <c r="BV101" i="62"/>
  <c r="AL61" i="62"/>
  <c r="CC61" i="62" s="1"/>
  <c r="E94" i="67"/>
  <c r="E127" i="67" s="1"/>
  <c r="BW192" i="50"/>
  <c r="E94" i="85" s="1"/>
  <c r="E127" i="85" s="1"/>
  <c r="D16" i="67"/>
  <c r="D112" i="67" s="1"/>
  <c r="AT192" i="50"/>
  <c r="D16" i="85" s="1"/>
  <c r="E70" i="67"/>
  <c r="E125" i="67" s="1"/>
  <c r="BP192" i="50"/>
  <c r="E70" i="85" s="1"/>
  <c r="E125" i="85" s="1"/>
  <c r="I256" i="50"/>
  <c r="AU256" i="50" s="1"/>
  <c r="W252" i="50"/>
  <c r="BI252" i="50" s="1"/>
  <c r="BI230" i="50"/>
  <c r="H272" i="50"/>
  <c r="AT272" i="50" s="1"/>
  <c r="K223" i="50"/>
  <c r="AW223" i="50" s="1"/>
  <c r="BB163" i="62"/>
  <c r="AD250" i="50"/>
  <c r="BP250" i="50" s="1"/>
  <c r="BP228" i="50"/>
  <c r="AM219" i="50"/>
  <c r="BY219" i="50" s="1"/>
  <c r="CD159" i="62"/>
  <c r="Q240" i="50"/>
  <c r="BC240" i="50" s="1"/>
  <c r="BC218" i="50"/>
  <c r="AK243" i="50"/>
  <c r="BW243" i="50" s="1"/>
  <c r="BW221" i="50"/>
  <c r="AK250" i="50"/>
  <c r="BW250" i="50" s="1"/>
  <c r="BW228" i="50"/>
  <c r="W247" i="50"/>
  <c r="BI247" i="50" s="1"/>
  <c r="BI225" i="50"/>
  <c r="V271" i="50"/>
  <c r="BH271" i="50" s="1"/>
  <c r="AC275" i="50"/>
  <c r="BO275" i="50" s="1"/>
  <c r="AD278" i="50"/>
  <c r="BP278" i="50" s="1"/>
  <c r="V264" i="50"/>
  <c r="BH264" i="50" s="1"/>
  <c r="AJ268" i="50"/>
  <c r="BV268" i="50" s="1"/>
  <c r="V272" i="50"/>
  <c r="BH272" i="50" s="1"/>
  <c r="W237" i="50"/>
  <c r="BI237" i="50" s="1"/>
  <c r="BI215" i="50"/>
  <c r="I239" i="50"/>
  <c r="AU239" i="50" s="1"/>
  <c r="AU217" i="50"/>
  <c r="AL217" i="50"/>
  <c r="CC157" i="62"/>
  <c r="C112" i="67"/>
  <c r="AJ60" i="62"/>
  <c r="CA60" i="62" s="1"/>
  <c r="AD238" i="50"/>
  <c r="R66" i="62"/>
  <c r="BI66" i="62" s="1"/>
  <c r="BH66" i="62"/>
  <c r="AM205" i="50"/>
  <c r="BY205" i="50" s="1"/>
  <c r="BX205" i="50"/>
  <c r="K103" i="62"/>
  <c r="BB103" i="62" s="1"/>
  <c r="BA103" i="62"/>
  <c r="AF88" i="62"/>
  <c r="BW88" i="62" s="1"/>
  <c r="BV88" i="62"/>
  <c r="Y108" i="62"/>
  <c r="BP108" i="62" s="1"/>
  <c r="BO108" i="62"/>
  <c r="J199" i="50"/>
  <c r="AU199" i="50"/>
  <c r="Y203" i="50"/>
  <c r="BK203" i="50" s="1"/>
  <c r="BJ203" i="50"/>
  <c r="BV257" i="50"/>
  <c r="AJ279" i="50"/>
  <c r="BV279" i="50" s="1"/>
  <c r="AF200" i="50"/>
  <c r="BR200" i="50" s="1"/>
  <c r="BQ200" i="50"/>
  <c r="R207" i="50"/>
  <c r="BD207" i="50" s="1"/>
  <c r="BC207" i="50"/>
  <c r="AC270" i="50"/>
  <c r="BO270" i="50" s="1"/>
  <c r="BO248" i="50"/>
  <c r="R85" i="62"/>
  <c r="BI85" i="62" s="1"/>
  <c r="BH85" i="62"/>
  <c r="Y193" i="50"/>
  <c r="BK193" i="50" s="1"/>
  <c r="BJ193" i="50"/>
  <c r="K104" i="62"/>
  <c r="BB104" i="62" s="1"/>
  <c r="BA104" i="62"/>
  <c r="R77" i="62"/>
  <c r="BI77" i="62" s="1"/>
  <c r="BH77" i="62"/>
  <c r="K200" i="50"/>
  <c r="AW200" i="50" s="1"/>
  <c r="AV200" i="50"/>
  <c r="R198" i="50"/>
  <c r="BD198" i="50" s="1"/>
  <c r="BC198" i="50"/>
  <c r="R194" i="50"/>
  <c r="BD194" i="50" s="1"/>
  <c r="BC194" i="50"/>
  <c r="Y98" i="62"/>
  <c r="BP98" i="62" s="1"/>
  <c r="BO98" i="62"/>
  <c r="K196" i="50"/>
  <c r="AW196" i="50" s="1"/>
  <c r="AV196" i="50"/>
  <c r="Y197" i="50"/>
  <c r="BK197" i="50" s="1"/>
  <c r="BJ197" i="50"/>
  <c r="K86" i="62"/>
  <c r="BB86" i="62" s="1"/>
  <c r="BA86" i="62"/>
  <c r="R212" i="50"/>
  <c r="BD212" i="50" s="1"/>
  <c r="BC212" i="50"/>
  <c r="AK155" i="50"/>
  <c r="AM213" i="50"/>
  <c r="BY213" i="50" s="1"/>
  <c r="BX213" i="50"/>
  <c r="R104" i="62"/>
  <c r="BI104" i="62" s="1"/>
  <c r="BH104" i="62"/>
  <c r="K169" i="62"/>
  <c r="BA169" i="62"/>
  <c r="J229" i="50"/>
  <c r="AV229" i="50" s="1"/>
  <c r="K89" i="62"/>
  <c r="BB89" i="62" s="1"/>
  <c r="BA89" i="62"/>
  <c r="AM96" i="62"/>
  <c r="CD96" i="62" s="1"/>
  <c r="CC96" i="62"/>
  <c r="I242" i="50"/>
  <c r="I264" i="50" s="1"/>
  <c r="AU264" i="50" s="1"/>
  <c r="AM199" i="50"/>
  <c r="BY199" i="50" s="1"/>
  <c r="BX199" i="50"/>
  <c r="AM206" i="50"/>
  <c r="BY206" i="50" s="1"/>
  <c r="BX206" i="50"/>
  <c r="BV84" i="62"/>
  <c r="AF84" i="62"/>
  <c r="AE83" i="62"/>
  <c r="BV83" i="62" s="1"/>
  <c r="AF77" i="62"/>
  <c r="BW77" i="62" s="1"/>
  <c r="BV77" i="62"/>
  <c r="Y97" i="62"/>
  <c r="BP97" i="62" s="1"/>
  <c r="BO97" i="62"/>
  <c r="AM197" i="50"/>
  <c r="BY197" i="50" s="1"/>
  <c r="BX197" i="50"/>
  <c r="BV251" i="50"/>
  <c r="AJ273" i="50"/>
  <c r="BV273" i="50" s="1"/>
  <c r="AC262" i="50"/>
  <c r="BO262" i="50" s="1"/>
  <c r="BO240" i="50"/>
  <c r="AM210" i="50"/>
  <c r="BY210" i="50" s="1"/>
  <c r="BX210" i="50"/>
  <c r="K174" i="62"/>
  <c r="BA174" i="62"/>
  <c r="J234" i="50"/>
  <c r="AV234" i="50" s="1"/>
  <c r="AD73" i="50"/>
  <c r="R87" i="62"/>
  <c r="BI87" i="62" s="1"/>
  <c r="BH87" i="62"/>
  <c r="R69" i="62"/>
  <c r="BI69" i="62" s="1"/>
  <c r="BH69" i="62"/>
  <c r="I251" i="50"/>
  <c r="I273" i="50" s="1"/>
  <c r="AU273" i="50" s="1"/>
  <c r="AT251" i="50"/>
  <c r="H273" i="50"/>
  <c r="AT273" i="50" s="1"/>
  <c r="R93" i="62"/>
  <c r="BI93" i="62" s="1"/>
  <c r="BH93" i="62"/>
  <c r="AD168" i="50"/>
  <c r="AM207" i="50"/>
  <c r="BY207" i="50" s="1"/>
  <c r="BX207" i="50"/>
  <c r="Y66" i="62"/>
  <c r="BP66" i="62" s="1"/>
  <c r="BO66" i="62"/>
  <c r="V268" i="50"/>
  <c r="BH268" i="50" s="1"/>
  <c r="BH246" i="50"/>
  <c r="AK79" i="62"/>
  <c r="CB79" i="62" s="1"/>
  <c r="CB80" i="62"/>
  <c r="AK244" i="50"/>
  <c r="BW244" i="50" s="1"/>
  <c r="BW222" i="50"/>
  <c r="AD247" i="50"/>
  <c r="BP247" i="50" s="1"/>
  <c r="BP225" i="50"/>
  <c r="AM235" i="50"/>
  <c r="BY235" i="50" s="1"/>
  <c r="CD175" i="62"/>
  <c r="I257" i="50"/>
  <c r="AU235" i="50"/>
  <c r="I249" i="50"/>
  <c r="I271" i="50" s="1"/>
  <c r="AU271" i="50" s="1"/>
  <c r="AT249" i="50"/>
  <c r="AF193" i="50"/>
  <c r="BR193" i="50" s="1"/>
  <c r="BQ193" i="50"/>
  <c r="AM97" i="62"/>
  <c r="CD97" i="62" s="1"/>
  <c r="CC97" i="62"/>
  <c r="AM87" i="62"/>
  <c r="CD87" i="62" s="1"/>
  <c r="CC87" i="62"/>
  <c r="Y105" i="62"/>
  <c r="BP105" i="62" s="1"/>
  <c r="BO105" i="62"/>
  <c r="K77" i="62"/>
  <c r="BB77" i="62" s="1"/>
  <c r="BA77" i="62"/>
  <c r="AM195" i="50"/>
  <c r="BY195" i="50" s="1"/>
  <c r="BX195" i="50"/>
  <c r="AF97" i="62"/>
  <c r="BW97" i="62" s="1"/>
  <c r="BV97" i="62"/>
  <c r="R171" i="62"/>
  <c r="BH171" i="62"/>
  <c r="Q231" i="50"/>
  <c r="BC231" i="50" s="1"/>
  <c r="J201" i="50"/>
  <c r="AU201" i="50"/>
  <c r="I244" i="50"/>
  <c r="AU244" i="50" s="1"/>
  <c r="AU222" i="50"/>
  <c r="AL249" i="50"/>
  <c r="BX249" i="50" s="1"/>
  <c r="BX227" i="50"/>
  <c r="P251" i="50"/>
  <c r="BB251" i="50" s="1"/>
  <c r="BB229" i="50"/>
  <c r="W256" i="50"/>
  <c r="BI234" i="50"/>
  <c r="P248" i="50"/>
  <c r="BB248" i="50" s="1"/>
  <c r="BB226" i="50"/>
  <c r="BP242" i="50"/>
  <c r="K108" i="62"/>
  <c r="BB108" i="62" s="1"/>
  <c r="BA108" i="62"/>
  <c r="R208" i="50"/>
  <c r="BD208" i="50" s="1"/>
  <c r="BC208" i="50"/>
  <c r="AM88" i="62"/>
  <c r="CD88" i="62" s="1"/>
  <c r="CC88" i="62"/>
  <c r="AF98" i="62"/>
  <c r="BV98" i="62"/>
  <c r="AE48" i="50"/>
  <c r="BQ48" i="50" s="1"/>
  <c r="Y101" i="62"/>
  <c r="BP101" i="62" s="1"/>
  <c r="BO101" i="62"/>
  <c r="R205" i="50"/>
  <c r="BD205" i="50" s="1"/>
  <c r="BC205" i="50"/>
  <c r="AF202" i="50"/>
  <c r="BR202" i="50" s="1"/>
  <c r="BQ202" i="50"/>
  <c r="R86" i="62"/>
  <c r="BI86" i="62" s="1"/>
  <c r="BH86" i="62"/>
  <c r="AD80" i="50"/>
  <c r="BO80" i="50"/>
  <c r="K92" i="62"/>
  <c r="BB92" i="62" s="1"/>
  <c r="BA92" i="62"/>
  <c r="Y93" i="62"/>
  <c r="BP93" i="62" s="1"/>
  <c r="BO93" i="62"/>
  <c r="O270" i="50"/>
  <c r="BA270" i="50" s="1"/>
  <c r="BA248" i="50"/>
  <c r="AM82" i="62"/>
  <c r="CC82" i="62"/>
  <c r="AL140" i="50"/>
  <c r="BX140" i="50" s="1"/>
  <c r="AM102" i="62"/>
  <c r="CC102" i="62"/>
  <c r="AL52" i="50"/>
  <c r="BX52" i="50" s="1"/>
  <c r="AM69" i="62"/>
  <c r="CD69" i="62" s="1"/>
  <c r="CC69" i="62"/>
  <c r="AC276" i="50"/>
  <c r="BO276" i="50" s="1"/>
  <c r="BO254" i="50"/>
  <c r="K195" i="50"/>
  <c r="AW195" i="50" s="1"/>
  <c r="AV195" i="50"/>
  <c r="AM209" i="50"/>
  <c r="BY209" i="50" s="1"/>
  <c r="BX209" i="50"/>
  <c r="W244" i="50"/>
  <c r="BI244" i="50" s="1"/>
  <c r="BI222" i="50"/>
  <c r="K231" i="50"/>
  <c r="AW231" i="50" s="1"/>
  <c r="BB171" i="62"/>
  <c r="AM227" i="50"/>
  <c r="BY227" i="50" s="1"/>
  <c r="CD167" i="62"/>
  <c r="AD253" i="50"/>
  <c r="BP253" i="50" s="1"/>
  <c r="BP231" i="50"/>
  <c r="K161" i="62"/>
  <c r="BA161" i="62"/>
  <c r="J221" i="50"/>
  <c r="AV221" i="50" s="1"/>
  <c r="V277" i="50"/>
  <c r="BH277" i="50" s="1"/>
  <c r="BH255" i="50"/>
  <c r="K204" i="50"/>
  <c r="AW204" i="50" s="1"/>
  <c r="AV204" i="50"/>
  <c r="K93" i="62"/>
  <c r="BB93" i="62" s="1"/>
  <c r="BA93" i="62"/>
  <c r="AM92" i="62"/>
  <c r="CC92" i="62"/>
  <c r="AL43" i="50"/>
  <c r="BX43" i="50" s="1"/>
  <c r="BO169" i="62"/>
  <c r="Y169" i="62"/>
  <c r="X229" i="50"/>
  <c r="BJ229" i="50" s="1"/>
  <c r="I238" i="50"/>
  <c r="AT238" i="50"/>
  <c r="AM212" i="50"/>
  <c r="BY212" i="50" s="1"/>
  <c r="BX212" i="50"/>
  <c r="AE37" i="50"/>
  <c r="BQ37" i="50" s="1"/>
  <c r="BV65" i="62"/>
  <c r="AF65" i="62"/>
  <c r="AF208" i="50"/>
  <c r="BR208" i="50" s="1"/>
  <c r="BQ208" i="50"/>
  <c r="AM93" i="62"/>
  <c r="CC93" i="62"/>
  <c r="AL149" i="50"/>
  <c r="BX149" i="50" s="1"/>
  <c r="K68" i="62"/>
  <c r="BB68" i="62" s="1"/>
  <c r="BA68" i="62"/>
  <c r="AF107" i="62"/>
  <c r="BW107" i="62" s="1"/>
  <c r="BV107" i="62"/>
  <c r="C54" i="67"/>
  <c r="BG236" i="50"/>
  <c r="C54" i="85" s="1"/>
  <c r="AT255" i="50"/>
  <c r="I255" i="50"/>
  <c r="R108" i="62"/>
  <c r="BI108" i="62" s="1"/>
  <c r="BH108" i="62"/>
  <c r="R200" i="50"/>
  <c r="BD200" i="50" s="1"/>
  <c r="BC200" i="50"/>
  <c r="O60" i="62"/>
  <c r="BF60" i="62" s="1"/>
  <c r="BF67" i="62"/>
  <c r="P260" i="50"/>
  <c r="BB260" i="50" s="1"/>
  <c r="N258" i="50"/>
  <c r="AZ259" i="50"/>
  <c r="AD245" i="50"/>
  <c r="BP245" i="50" s="1"/>
  <c r="BP223" i="50"/>
  <c r="AE220" i="50"/>
  <c r="BQ220" i="50" s="1"/>
  <c r="P257" i="50"/>
  <c r="BB257" i="50" s="1"/>
  <c r="BB235" i="50"/>
  <c r="O265" i="50"/>
  <c r="BA265" i="50" s="1"/>
  <c r="O263" i="50"/>
  <c r="BA263" i="50" s="1"/>
  <c r="AF213" i="50"/>
  <c r="BR213" i="50" s="1"/>
  <c r="BQ213" i="50"/>
  <c r="AF87" i="62"/>
  <c r="BW87" i="62" s="1"/>
  <c r="BV87" i="62"/>
  <c r="Y212" i="50"/>
  <c r="BK212" i="50" s="1"/>
  <c r="BJ212" i="50"/>
  <c r="AM98" i="62"/>
  <c r="CC98" i="62"/>
  <c r="AL48" i="50"/>
  <c r="BX48" i="50" s="1"/>
  <c r="AF194" i="50"/>
  <c r="BR194" i="50" s="1"/>
  <c r="BQ194" i="50"/>
  <c r="AM101" i="62"/>
  <c r="CC101" i="62"/>
  <c r="AL51" i="50"/>
  <c r="BX51" i="50" s="1"/>
  <c r="AM208" i="50"/>
  <c r="BY208" i="50" s="1"/>
  <c r="BX208" i="50"/>
  <c r="R78" i="62"/>
  <c r="BI78" i="62" s="1"/>
  <c r="BH78" i="62"/>
  <c r="Y102" i="62"/>
  <c r="BP102" i="62" s="1"/>
  <c r="BO102" i="62"/>
  <c r="K170" i="62"/>
  <c r="BA170" i="62"/>
  <c r="J230" i="50"/>
  <c r="AV230" i="50" s="1"/>
  <c r="AF104" i="62"/>
  <c r="BV104" i="62"/>
  <c r="AE53" i="50"/>
  <c r="BQ53" i="50" s="1"/>
  <c r="K159" i="62"/>
  <c r="BA159" i="62"/>
  <c r="J219" i="50"/>
  <c r="AV219" i="50" s="1"/>
  <c r="J61" i="62"/>
  <c r="BA61" i="62" s="1"/>
  <c r="AD249" i="50"/>
  <c r="BP249" i="50" s="1"/>
  <c r="BP227" i="50"/>
  <c r="W254" i="50"/>
  <c r="BI254" i="50" s="1"/>
  <c r="BI232" i="50"/>
  <c r="AD239" i="50"/>
  <c r="BP239" i="50" s="1"/>
  <c r="BP217" i="50"/>
  <c r="AD257" i="50"/>
  <c r="BP257" i="50" s="1"/>
  <c r="BP235" i="50"/>
  <c r="AD76" i="50"/>
  <c r="BP76" i="50" s="1"/>
  <c r="AC263" i="50"/>
  <c r="BO263" i="50" s="1"/>
  <c r="C96" i="67"/>
  <c r="BU236" i="50"/>
  <c r="C96" i="85" s="1"/>
  <c r="R218" i="50"/>
  <c r="BD218" i="50" s="1"/>
  <c r="BI158" i="62"/>
  <c r="Q238" i="50"/>
  <c r="BC238" i="50" s="1"/>
  <c r="BC216" i="50"/>
  <c r="W242" i="50"/>
  <c r="BI242" i="50" s="1"/>
  <c r="BI220" i="50"/>
  <c r="W239" i="50"/>
  <c r="BI239" i="50" s="1"/>
  <c r="BI217" i="50"/>
  <c r="AD251" i="50"/>
  <c r="BP251" i="50" s="1"/>
  <c r="BP229" i="50"/>
  <c r="O269" i="50"/>
  <c r="BA269" i="50" s="1"/>
  <c r="AJ276" i="50"/>
  <c r="BV276" i="50" s="1"/>
  <c r="AJ269" i="50"/>
  <c r="BV269" i="50" s="1"/>
  <c r="V263" i="50"/>
  <c r="BH263" i="50" s="1"/>
  <c r="AC273" i="50"/>
  <c r="BO273" i="50" s="1"/>
  <c r="AD68" i="50"/>
  <c r="BO68" i="50"/>
  <c r="Y200" i="50"/>
  <c r="BK200" i="50" s="1"/>
  <c r="BJ200" i="50"/>
  <c r="AM66" i="62"/>
  <c r="CD66" i="62" s="1"/>
  <c r="CC66" i="62"/>
  <c r="K160" i="62"/>
  <c r="BA160" i="62"/>
  <c r="J220" i="50"/>
  <c r="AV220" i="50" s="1"/>
  <c r="BA75" i="62"/>
  <c r="K75" i="62"/>
  <c r="J74" i="62"/>
  <c r="BA74" i="62" s="1"/>
  <c r="R193" i="50"/>
  <c r="BD193" i="50" s="1"/>
  <c r="BC193" i="50"/>
  <c r="BO244" i="50"/>
  <c r="AC266" i="50"/>
  <c r="BO266" i="50" s="1"/>
  <c r="AM89" i="62"/>
  <c r="CC89" i="62"/>
  <c r="AL146" i="50"/>
  <c r="BX146" i="50" s="1"/>
  <c r="Y199" i="50"/>
  <c r="BK199" i="50" s="1"/>
  <c r="BJ199" i="50"/>
  <c r="AF195" i="50"/>
  <c r="BR195" i="50" s="1"/>
  <c r="BQ195" i="50"/>
  <c r="AJ278" i="50"/>
  <c r="BV278" i="50" s="1"/>
  <c r="BV256" i="50"/>
  <c r="R107" i="62"/>
  <c r="BI107" i="62" s="1"/>
  <c r="BH107" i="62"/>
  <c r="I241" i="50"/>
  <c r="I263" i="50" s="1"/>
  <c r="AU263" i="50" s="1"/>
  <c r="AT241" i="50"/>
  <c r="AF85" i="62"/>
  <c r="BW85" i="62" s="1"/>
  <c r="BV85" i="62"/>
  <c r="Y70" i="62"/>
  <c r="BP70" i="62" s="1"/>
  <c r="BO70" i="62"/>
  <c r="AF73" i="62"/>
  <c r="AF71" i="62" s="1"/>
  <c r="BW71" i="62" s="1"/>
  <c r="BV73" i="62"/>
  <c r="AE135" i="50"/>
  <c r="BQ135" i="50" s="1"/>
  <c r="AD160" i="50"/>
  <c r="K105" i="62"/>
  <c r="BB105" i="62" s="1"/>
  <c r="BA105" i="62"/>
  <c r="R92" i="62"/>
  <c r="BI92" i="62" s="1"/>
  <c r="BH92" i="62"/>
  <c r="AE50" i="50"/>
  <c r="BQ50" i="50" s="1"/>
  <c r="BV100" i="62"/>
  <c r="AF100" i="62"/>
  <c r="K209" i="50"/>
  <c r="AW209" i="50" s="1"/>
  <c r="AV209" i="50"/>
  <c r="R204" i="50"/>
  <c r="BD204" i="50" s="1"/>
  <c r="BC204" i="50"/>
  <c r="Y208" i="50"/>
  <c r="BK208" i="50" s="1"/>
  <c r="BJ208" i="50"/>
  <c r="R201" i="50"/>
  <c r="BD201" i="50" s="1"/>
  <c r="BC201" i="50"/>
  <c r="AF102" i="62"/>
  <c r="BV102" i="62"/>
  <c r="AE52" i="50"/>
  <c r="BQ52" i="50" s="1"/>
  <c r="BO81" i="62"/>
  <c r="Y81" i="62"/>
  <c r="X80" i="62"/>
  <c r="BO80" i="62" s="1"/>
  <c r="R76" i="62"/>
  <c r="BI76" i="62" s="1"/>
  <c r="BH76" i="62"/>
  <c r="R73" i="62"/>
  <c r="BI73" i="62" s="1"/>
  <c r="BH73" i="62"/>
  <c r="Y211" i="50"/>
  <c r="BK211" i="50" s="1"/>
  <c r="BJ211" i="50"/>
  <c r="R211" i="50"/>
  <c r="BD211" i="50" s="1"/>
  <c r="BC211" i="50"/>
  <c r="AM85" i="62"/>
  <c r="CD85" i="62" s="1"/>
  <c r="CC85" i="62"/>
  <c r="R197" i="50"/>
  <c r="BD197" i="50" s="1"/>
  <c r="BC197" i="50"/>
  <c r="W257" i="50"/>
  <c r="BI235" i="50"/>
  <c r="AD166" i="50"/>
  <c r="K88" i="62"/>
  <c r="BB88" i="62" s="1"/>
  <c r="BA88" i="62"/>
  <c r="I243" i="50"/>
  <c r="I265" i="50" s="1"/>
  <c r="AU265" i="50" s="1"/>
  <c r="AF205" i="50"/>
  <c r="BR205" i="50" s="1"/>
  <c r="BQ205" i="50"/>
  <c r="K96" i="62"/>
  <c r="BB96" i="62" s="1"/>
  <c r="BA96" i="62"/>
  <c r="O277" i="50"/>
  <c r="BA277" i="50" s="1"/>
  <c r="BA255" i="50"/>
  <c r="AF108" i="62"/>
  <c r="BV108" i="62"/>
  <c r="AE59" i="50"/>
  <c r="BQ59" i="50" s="1"/>
  <c r="AM77" i="62"/>
  <c r="CD77" i="62" s="1"/>
  <c r="CC77" i="62"/>
  <c r="J211" i="50"/>
  <c r="AU211" i="50"/>
  <c r="J205" i="50"/>
  <c r="AU205" i="50"/>
  <c r="R90" i="62"/>
  <c r="BI90" i="62" s="1"/>
  <c r="BH90" i="62"/>
  <c r="AF199" i="50"/>
  <c r="BR199" i="50" s="1"/>
  <c r="BQ199" i="50"/>
  <c r="K210" i="50"/>
  <c r="AW210" i="50" s="1"/>
  <c r="AV210" i="50"/>
  <c r="AM196" i="50"/>
  <c r="BY196" i="50" s="1"/>
  <c r="BX196" i="50"/>
  <c r="R88" i="62"/>
  <c r="BI88" i="62" s="1"/>
  <c r="BH88" i="62"/>
  <c r="Q64" i="62"/>
  <c r="BH64" i="62" s="1"/>
  <c r="AK67" i="62"/>
  <c r="CB67" i="62" s="1"/>
  <c r="CB74" i="62"/>
  <c r="AL71" i="62"/>
  <c r="CC71" i="62" s="1"/>
  <c r="AM36" i="50"/>
  <c r="BY36" i="50" s="1"/>
  <c r="CD62" i="62"/>
  <c r="AK273" i="50"/>
  <c r="BW273" i="50" s="1"/>
  <c r="H259" i="50"/>
  <c r="AT259" i="50" s="1"/>
  <c r="P243" i="50"/>
  <c r="BB243" i="50" s="1"/>
  <c r="BB221" i="50"/>
  <c r="W255" i="50"/>
  <c r="BI255" i="50" s="1"/>
  <c r="BI233" i="50"/>
  <c r="I246" i="50"/>
  <c r="AU246" i="50" s="1"/>
  <c r="AU224" i="50"/>
  <c r="P242" i="50"/>
  <c r="BB242" i="50" s="1"/>
  <c r="BB220" i="50"/>
  <c r="BW75" i="62"/>
  <c r="BP65" i="62"/>
  <c r="CD72" i="62"/>
  <c r="CD95" i="62"/>
  <c r="U258" i="50"/>
  <c r="I247" i="50"/>
  <c r="AU247" i="50" s="1"/>
  <c r="AK247" i="50"/>
  <c r="BW247" i="50" s="1"/>
  <c r="BW225" i="50"/>
  <c r="AL251" i="50"/>
  <c r="BX251" i="50" s="1"/>
  <c r="BX229" i="50"/>
  <c r="AK240" i="50"/>
  <c r="BW240" i="50" s="1"/>
  <c r="BW218" i="50"/>
  <c r="AF224" i="50"/>
  <c r="BR224" i="50" s="1"/>
  <c r="BW164" i="62"/>
  <c r="AI258" i="50"/>
  <c r="BU259" i="50"/>
  <c r="W241" i="50"/>
  <c r="BI241" i="50" s="1"/>
  <c r="BI219" i="50"/>
  <c r="P239" i="50"/>
  <c r="BB239" i="50" s="1"/>
  <c r="BB217" i="50"/>
  <c r="R216" i="50"/>
  <c r="BD216" i="50" s="1"/>
  <c r="BI156" i="62"/>
  <c r="I250" i="50"/>
  <c r="AU250" i="50" s="1"/>
  <c r="AU228" i="50"/>
  <c r="W238" i="50"/>
  <c r="P255" i="50"/>
  <c r="BB255" i="50" s="1"/>
  <c r="BB233" i="50"/>
  <c r="H270" i="50"/>
  <c r="AT270" i="50" s="1"/>
  <c r="H268" i="50"/>
  <c r="AT268" i="50" s="1"/>
  <c r="AC261" i="50"/>
  <c r="BO261" i="50" s="1"/>
  <c r="I237" i="50"/>
  <c r="AU237" i="50" s="1"/>
  <c r="AU215" i="50"/>
  <c r="AD240" i="50"/>
  <c r="BP218" i="50"/>
  <c r="AD252" i="50"/>
  <c r="BP230" i="50"/>
  <c r="AJ277" i="50"/>
  <c r="BV277" i="50" s="1"/>
  <c r="BA72" i="62"/>
  <c r="K72" i="62"/>
  <c r="J71" i="62"/>
  <c r="BA71" i="62" s="1"/>
  <c r="K198" i="50"/>
  <c r="AW198" i="50" s="1"/>
  <c r="AV198" i="50"/>
  <c r="Y104" i="62"/>
  <c r="BP104" i="62" s="1"/>
  <c r="BO104" i="62"/>
  <c r="AF197" i="50"/>
  <c r="BR197" i="50" s="1"/>
  <c r="BQ197" i="50"/>
  <c r="R199" i="50"/>
  <c r="BD199" i="50" s="1"/>
  <c r="BC199" i="50"/>
  <c r="J212" i="50"/>
  <c r="AU212" i="50"/>
  <c r="AF212" i="50"/>
  <c r="BR212" i="50" s="1"/>
  <c r="BQ212" i="50"/>
  <c r="K107" i="62"/>
  <c r="BB107" i="62" s="1"/>
  <c r="BA107" i="62"/>
  <c r="J208" i="50"/>
  <c r="AU208" i="50"/>
  <c r="Y78" i="62"/>
  <c r="BP78" i="62" s="1"/>
  <c r="BO78" i="62"/>
  <c r="AK168" i="50"/>
  <c r="BV168" i="50"/>
  <c r="Y88" i="62"/>
  <c r="BP88" i="62" s="1"/>
  <c r="BO88" i="62"/>
  <c r="AM201" i="50"/>
  <c r="BY201" i="50" s="1"/>
  <c r="BX201" i="50"/>
  <c r="AM76" i="62"/>
  <c r="CD76" i="62" s="1"/>
  <c r="CC76" i="62"/>
  <c r="K97" i="62"/>
  <c r="BB97" i="62" s="1"/>
  <c r="BA97" i="62"/>
  <c r="K213" i="50"/>
  <c r="AW213" i="50" s="1"/>
  <c r="AV213" i="50"/>
  <c r="K106" i="62"/>
  <c r="BB106" i="62" s="1"/>
  <c r="BA106" i="62"/>
  <c r="K76" i="62"/>
  <c r="BB76" i="62" s="1"/>
  <c r="BA76" i="62"/>
  <c r="J194" i="50"/>
  <c r="AU194" i="50"/>
  <c r="Y73" i="62"/>
  <c r="BP73" i="62" s="1"/>
  <c r="BO73" i="62"/>
  <c r="AK166" i="50"/>
  <c r="BV166" i="50"/>
  <c r="AT253" i="50"/>
  <c r="H275" i="50"/>
  <c r="AT275" i="50" s="1"/>
  <c r="W245" i="50"/>
  <c r="BI223" i="50"/>
  <c r="R213" i="50"/>
  <c r="BD213" i="50" s="1"/>
  <c r="BC213" i="50"/>
  <c r="R70" i="62"/>
  <c r="BI70" i="62" s="1"/>
  <c r="BH70" i="62"/>
  <c r="AM90" i="62"/>
  <c r="CD90" i="62" s="1"/>
  <c r="CC90" i="62"/>
  <c r="V278" i="50"/>
  <c r="BH278" i="50" s="1"/>
  <c r="BH256" i="50"/>
  <c r="K87" i="62"/>
  <c r="BB87" i="62" s="1"/>
  <c r="BA87" i="62"/>
  <c r="Y69" i="62"/>
  <c r="BP69" i="62" s="1"/>
  <c r="BO69" i="62"/>
  <c r="K85" i="62"/>
  <c r="BB85" i="62" s="1"/>
  <c r="BA85" i="62"/>
  <c r="BV95" i="62"/>
  <c r="AF95" i="62"/>
  <c r="BW95" i="62" s="1"/>
  <c r="AK239" i="50"/>
  <c r="BW217" i="50"/>
  <c r="R102" i="62"/>
  <c r="BI102" i="62" s="1"/>
  <c r="BH102" i="62"/>
  <c r="R103" i="62"/>
  <c r="BI103" i="62" s="1"/>
  <c r="BH103" i="62"/>
  <c r="Y204" i="50"/>
  <c r="BK204" i="50" s="1"/>
  <c r="BJ204" i="50"/>
  <c r="AM204" i="50"/>
  <c r="BY204" i="50" s="1"/>
  <c r="BX204" i="50"/>
  <c r="K156" i="62"/>
  <c r="BA156" i="62"/>
  <c r="J216" i="50"/>
  <c r="AV216" i="50" s="1"/>
  <c r="AF207" i="50"/>
  <c r="BR207" i="50" s="1"/>
  <c r="BQ207" i="50"/>
  <c r="BH257" i="50"/>
  <c r="V279" i="50"/>
  <c r="BH279" i="50" s="1"/>
  <c r="AM203" i="50"/>
  <c r="BY203" i="50" s="1"/>
  <c r="BX203" i="50"/>
  <c r="AM70" i="62"/>
  <c r="CD70" i="62" s="1"/>
  <c r="CC70" i="62"/>
  <c r="Y210" i="50"/>
  <c r="BK210" i="50" s="1"/>
  <c r="BJ210" i="50"/>
  <c r="R195" i="50"/>
  <c r="BD195" i="50" s="1"/>
  <c r="BC195" i="50"/>
  <c r="AJ80" i="50"/>
  <c r="BU80" i="50"/>
  <c r="BU62" i="50"/>
  <c r="AJ62" i="50"/>
  <c r="AJ73" i="50"/>
  <c r="BU73" i="50"/>
  <c r="AJ68" i="50"/>
  <c r="BU68" i="50"/>
  <c r="BU76" i="50"/>
  <c r="AJ76" i="50"/>
  <c r="BU75" i="50"/>
  <c r="AJ75" i="50"/>
  <c r="AM79" i="50"/>
  <c r="BY79" i="50" s="1"/>
  <c r="BX79" i="50"/>
  <c r="AM82" i="50"/>
  <c r="BX82" i="50"/>
  <c r="F71" i="49"/>
  <c r="L71" i="49" s="1"/>
  <c r="AJ78" i="50"/>
  <c r="BU78" i="50"/>
  <c r="BU84" i="50"/>
  <c r="AJ84" i="50"/>
  <c r="BU74" i="50"/>
  <c r="AJ74" i="50"/>
  <c r="AM83" i="50"/>
  <c r="BY83" i="50" s="1"/>
  <c r="BX83" i="50"/>
  <c r="AJ81" i="50"/>
  <c r="BU81" i="50"/>
  <c r="L8" i="82"/>
  <c r="P8" i="82" s="1"/>
  <c r="T8" i="82" s="1"/>
  <c r="X8" i="82" s="1"/>
  <c r="E10" i="51"/>
  <c r="AE246" i="50"/>
  <c r="AE268" i="50" s="1"/>
  <c r="BQ268" i="50" s="1"/>
  <c r="Q246" i="50"/>
  <c r="L58" i="7"/>
  <c r="L36" i="7"/>
  <c r="D69" i="7"/>
  <c r="D47" i="7"/>
  <c r="AE248" i="50"/>
  <c r="BQ248" i="50" s="1"/>
  <c r="J245" i="50"/>
  <c r="AT30" i="7"/>
  <c r="CQ30" i="7" s="1"/>
  <c r="O30" i="7"/>
  <c r="BL30" i="7" s="1"/>
  <c r="D35" i="67"/>
  <c r="AM30" i="7"/>
  <c r="CJ30" i="7" s="1"/>
  <c r="D95" i="67"/>
  <c r="C113" i="67"/>
  <c r="W30" i="7"/>
  <c r="BT30" i="7" s="1"/>
  <c r="D53" i="67"/>
  <c r="AE30" i="7"/>
  <c r="CB30" i="7" s="1"/>
  <c r="D71" i="67"/>
  <c r="G30" i="7"/>
  <c r="BD30" i="7" s="1"/>
  <c r="K132" i="67"/>
  <c r="D17" i="67"/>
  <c r="AE154" i="62"/>
  <c r="BV154" i="62" s="1"/>
  <c r="AL154" i="62"/>
  <c r="CC154" i="62" s="1"/>
  <c r="Q154" i="62"/>
  <c r="BH154" i="62" s="1"/>
  <c r="J215" i="50"/>
  <c r="K155" i="62"/>
  <c r="AF158" i="62"/>
  <c r="AE218" i="50"/>
  <c r="AF170" i="62"/>
  <c r="AE230" i="50"/>
  <c r="AL233" i="50"/>
  <c r="AM173" i="62"/>
  <c r="Q222" i="50"/>
  <c r="R162" i="62"/>
  <c r="X215" i="50"/>
  <c r="Y155" i="62"/>
  <c r="AM171" i="62"/>
  <c r="AL231" i="50"/>
  <c r="J217" i="50"/>
  <c r="K157" i="62"/>
  <c r="R166" i="62"/>
  <c r="Q226" i="50"/>
  <c r="AM163" i="62"/>
  <c r="AL223" i="50"/>
  <c r="J235" i="50"/>
  <c r="K175" i="62"/>
  <c r="W274" i="50"/>
  <c r="BI274" i="50" s="1"/>
  <c r="AL279" i="50"/>
  <c r="BX279" i="50" s="1"/>
  <c r="AD261" i="50"/>
  <c r="BP261" i="50" s="1"/>
  <c r="AK274" i="50"/>
  <c r="BW274" i="50" s="1"/>
  <c r="W264" i="50"/>
  <c r="BI264" i="50" s="1"/>
  <c r="O236" i="50"/>
  <c r="O259" i="50"/>
  <c r="P237" i="50"/>
  <c r="BB237" i="50" s="1"/>
  <c r="Y158" i="62"/>
  <c r="X218" i="50"/>
  <c r="AM162" i="62"/>
  <c r="AL222" i="50"/>
  <c r="AF161" i="62"/>
  <c r="AE221" i="50"/>
  <c r="AM166" i="62"/>
  <c r="AL226" i="50"/>
  <c r="R159" i="62"/>
  <c r="Q219" i="50"/>
  <c r="AF165" i="62"/>
  <c r="AE225" i="50"/>
  <c r="AF157" i="62"/>
  <c r="AE217" i="50"/>
  <c r="AM165" i="62"/>
  <c r="AL225" i="50"/>
  <c r="R175" i="62"/>
  <c r="Q235" i="50"/>
  <c r="AF173" i="62"/>
  <c r="AE233" i="50"/>
  <c r="AM158" i="62"/>
  <c r="AL218" i="50"/>
  <c r="AL215" i="50"/>
  <c r="BX215" i="50" s="1"/>
  <c r="AM155" i="62"/>
  <c r="Y166" i="62"/>
  <c r="X226" i="50"/>
  <c r="R167" i="62"/>
  <c r="Q227" i="50"/>
  <c r="R157" i="62"/>
  <c r="Q217" i="50"/>
  <c r="Y168" i="62"/>
  <c r="X228" i="50"/>
  <c r="R168" i="62"/>
  <c r="Q228" i="50"/>
  <c r="K168" i="62"/>
  <c r="J228" i="50"/>
  <c r="C72" i="49"/>
  <c r="C58" i="49"/>
  <c r="R215" i="50"/>
  <c r="BD215" i="50" s="1"/>
  <c r="AM217" i="50"/>
  <c r="AF216" i="50"/>
  <c r="K172" i="62"/>
  <c r="J232" i="50"/>
  <c r="AF163" i="62"/>
  <c r="AE223" i="50"/>
  <c r="Y167" i="62"/>
  <c r="X227" i="50"/>
  <c r="AM174" i="62"/>
  <c r="AL234" i="50"/>
  <c r="AM156" i="62"/>
  <c r="AL216" i="50"/>
  <c r="AK237" i="50"/>
  <c r="BW237" i="50" s="1"/>
  <c r="AJ259" i="50"/>
  <c r="AJ236" i="50"/>
  <c r="P214" i="50"/>
  <c r="BB214" i="50" s="1"/>
  <c r="E35" i="85" s="1"/>
  <c r="I240" i="50"/>
  <c r="H262" i="50"/>
  <c r="Y165" i="62"/>
  <c r="X225" i="50"/>
  <c r="AF159" i="62"/>
  <c r="AE219" i="50"/>
  <c r="Q232" i="50"/>
  <c r="R172" i="62"/>
  <c r="AM172" i="62"/>
  <c r="AL232" i="50"/>
  <c r="AE67" i="62"/>
  <c r="BV67" i="62" s="1"/>
  <c r="AF167" i="62"/>
  <c r="AE227" i="50"/>
  <c r="R161" i="62"/>
  <c r="Q221" i="50"/>
  <c r="Y162" i="62"/>
  <c r="X222" i="50"/>
  <c r="Y173" i="62"/>
  <c r="X233" i="50"/>
  <c r="Y172" i="62"/>
  <c r="X232" i="50"/>
  <c r="AM164" i="62"/>
  <c r="AL224" i="50"/>
  <c r="K164" i="62"/>
  <c r="J224" i="50"/>
  <c r="Q220" i="50"/>
  <c r="R160" i="62"/>
  <c r="I214" i="50"/>
  <c r="AU214" i="50" s="1"/>
  <c r="K166" i="62"/>
  <c r="J226" i="50"/>
  <c r="AF168" i="62"/>
  <c r="AE228" i="50"/>
  <c r="R169" i="62"/>
  <c r="Q229" i="50"/>
  <c r="Y159" i="62"/>
  <c r="X219" i="50"/>
  <c r="AM161" i="62"/>
  <c r="AL221" i="50"/>
  <c r="Y161" i="62"/>
  <c r="X221" i="50"/>
  <c r="Y174" i="62"/>
  <c r="X234" i="50"/>
  <c r="AM168" i="62"/>
  <c r="AL228" i="50"/>
  <c r="Y164" i="62"/>
  <c r="X224" i="50"/>
  <c r="Y160" i="62"/>
  <c r="X220" i="50"/>
  <c r="AF155" i="62"/>
  <c r="AE215" i="50"/>
  <c r="K162" i="62"/>
  <c r="J222" i="50"/>
  <c r="Y170" i="62"/>
  <c r="X230" i="50"/>
  <c r="R165" i="62"/>
  <c r="Q225" i="50"/>
  <c r="K158" i="62"/>
  <c r="BB158" i="62" s="1"/>
  <c r="J218" i="50"/>
  <c r="AV218" i="50" s="1"/>
  <c r="J154" i="62"/>
  <c r="BA154" i="62" s="1"/>
  <c r="W214" i="50"/>
  <c r="BI214" i="50" s="1"/>
  <c r="E53" i="85" s="1"/>
  <c r="AM170" i="62"/>
  <c r="AL230" i="50"/>
  <c r="AF175" i="62"/>
  <c r="AE235" i="50"/>
  <c r="R170" i="62"/>
  <c r="Q230" i="50"/>
  <c r="AK214" i="50"/>
  <c r="BW214" i="50" s="1"/>
  <c r="E95" i="85" s="1"/>
  <c r="AM160" i="62"/>
  <c r="AL220" i="50"/>
  <c r="R163" i="62"/>
  <c r="Q223" i="50"/>
  <c r="AD214" i="50"/>
  <c r="BP214" i="50" s="1"/>
  <c r="E71" i="85" s="1"/>
  <c r="R173" i="62"/>
  <c r="Q233" i="50"/>
  <c r="X217" i="50"/>
  <c r="Y157" i="62"/>
  <c r="AF171" i="62"/>
  <c r="AE231" i="50"/>
  <c r="AF169" i="62"/>
  <c r="AE229" i="50"/>
  <c r="AD62" i="50"/>
  <c r="BP62" i="50" s="1"/>
  <c r="AK64" i="50"/>
  <c r="BW64" i="50" s="1"/>
  <c r="AD64" i="50"/>
  <c r="BP64" i="50" s="1"/>
  <c r="AJ61" i="50"/>
  <c r="BV61" i="50" s="1"/>
  <c r="AC61" i="50"/>
  <c r="BO61" i="50" s="1"/>
  <c r="AC179" i="50"/>
  <c r="BO179" i="50" s="1"/>
  <c r="AC172" i="50"/>
  <c r="BO172" i="50" s="1"/>
  <c r="AD152" i="50"/>
  <c r="BP152" i="50" s="1"/>
  <c r="AD259" i="50"/>
  <c r="BP259" i="50" s="1"/>
  <c r="AE192" i="50"/>
  <c r="J256" i="50"/>
  <c r="AV256" i="50" s="1"/>
  <c r="P192" i="50"/>
  <c r="I192" i="50"/>
  <c r="Q192" i="50"/>
  <c r="AF96" i="62"/>
  <c r="AE94" i="62"/>
  <c r="BV94" i="62" s="1"/>
  <c r="AM75" i="62"/>
  <c r="AL74" i="62"/>
  <c r="AF101" i="62"/>
  <c r="BW101" i="62" s="1"/>
  <c r="AE99" i="62"/>
  <c r="BV99" i="62" s="1"/>
  <c r="Y156" i="62"/>
  <c r="BP156" i="62" s="1"/>
  <c r="X154" i="62"/>
  <c r="BO154" i="62" s="1"/>
  <c r="X94" i="62"/>
  <c r="BO94" i="62" s="1"/>
  <c r="Y95" i="62"/>
  <c r="AM81" i="62"/>
  <c r="CD81" i="62" s="1"/>
  <c r="AL80" i="62"/>
  <c r="AF63" i="62"/>
  <c r="BW63" i="62" s="1"/>
  <c r="AE61" i="62"/>
  <c r="BV61" i="62" s="1"/>
  <c r="AF66" i="62"/>
  <c r="AE64" i="62"/>
  <c r="BV64" i="62" s="1"/>
  <c r="Q71" i="62"/>
  <c r="BH71" i="62" s="1"/>
  <c r="R72" i="62"/>
  <c r="Q83" i="62"/>
  <c r="R84" i="62"/>
  <c r="X99" i="62"/>
  <c r="BO99" i="62" s="1"/>
  <c r="Y100" i="62"/>
  <c r="R101" i="62"/>
  <c r="Q99" i="62"/>
  <c r="BH99" i="62" s="1"/>
  <c r="K81" i="62"/>
  <c r="J80" i="62"/>
  <c r="P67" i="62"/>
  <c r="Q74" i="62"/>
  <c r="BH74" i="62" s="1"/>
  <c r="R75" i="62"/>
  <c r="AU65" i="73"/>
  <c r="CE65" i="73" s="1"/>
  <c r="AU61" i="73"/>
  <c r="CE61" i="73" s="1"/>
  <c r="AU48" i="73"/>
  <c r="CE48" i="73" s="1"/>
  <c r="AU24" i="73"/>
  <c r="CE24" i="73" s="1"/>
  <c r="X245" i="50" l="1"/>
  <c r="BB256" i="50"/>
  <c r="P278" i="50"/>
  <c r="BB278" i="50" s="1"/>
  <c r="BB246" i="50"/>
  <c r="AD75" i="50"/>
  <c r="BP75" i="50" s="1"/>
  <c r="AD159" i="50"/>
  <c r="BP159" i="50" s="1"/>
  <c r="W265" i="50"/>
  <c r="BI265" i="50" s="1"/>
  <c r="Q262" i="50"/>
  <c r="BC262" i="50" s="1"/>
  <c r="I261" i="50"/>
  <c r="AU261" i="50" s="1"/>
  <c r="AK275" i="50"/>
  <c r="BW275" i="50" s="1"/>
  <c r="BP171" i="62"/>
  <c r="W261" i="50"/>
  <c r="BI261" i="50" s="1"/>
  <c r="W60" i="62"/>
  <c r="BN60" i="62" s="1"/>
  <c r="W269" i="50"/>
  <c r="BI269" i="50" s="1"/>
  <c r="J267" i="50"/>
  <c r="AV267" i="50" s="1"/>
  <c r="L132" i="85"/>
  <c r="E17" i="85"/>
  <c r="E113" i="85" s="1"/>
  <c r="D112" i="85"/>
  <c r="D119" i="85"/>
  <c r="D129" i="85" s="1"/>
  <c r="AD267" i="50"/>
  <c r="BP267" i="50" s="1"/>
  <c r="C114" i="85"/>
  <c r="AM99" i="62"/>
  <c r="CD99" i="62" s="1"/>
  <c r="BV77" i="50"/>
  <c r="BP175" i="62"/>
  <c r="AL39" i="67"/>
  <c r="I72" i="49"/>
  <c r="AL39" i="85" s="1"/>
  <c r="AD275" i="50"/>
  <c r="BP275" i="50" s="1"/>
  <c r="AD271" i="50"/>
  <c r="BP271" i="50" s="1"/>
  <c r="AL31" i="67"/>
  <c r="I58" i="49"/>
  <c r="AL31" i="85" s="1"/>
  <c r="AF74" i="62"/>
  <c r="BW74" i="62" s="1"/>
  <c r="L10" i="51"/>
  <c r="S10" i="51" s="1"/>
  <c r="Z10" i="51" s="1"/>
  <c r="AG10" i="51" s="1"/>
  <c r="AV10" i="51"/>
  <c r="BC10" i="51" s="1"/>
  <c r="BJ10" i="51" s="1"/>
  <c r="AE244" i="50"/>
  <c r="BQ244" i="50" s="1"/>
  <c r="AM11" i="50"/>
  <c r="BY11" i="50" s="1"/>
  <c r="BX11" i="50"/>
  <c r="X67" i="62"/>
  <c r="BO67" i="62" s="1"/>
  <c r="R238" i="50"/>
  <c r="BD238" i="50" s="1"/>
  <c r="Q260" i="50"/>
  <c r="BC260" i="50" s="1"/>
  <c r="AE270" i="50"/>
  <c r="BQ270" i="50" s="1"/>
  <c r="AF248" i="50"/>
  <c r="BP163" i="50"/>
  <c r="BX192" i="50"/>
  <c r="F94" i="85" s="1"/>
  <c r="F127" i="85" s="1"/>
  <c r="P264" i="50"/>
  <c r="BB264" i="50" s="1"/>
  <c r="AD265" i="50"/>
  <c r="BP265" i="50" s="1"/>
  <c r="AE163" i="50"/>
  <c r="BQ163" i="50" s="1"/>
  <c r="AK268" i="50"/>
  <c r="BW268" i="50" s="1"/>
  <c r="AE278" i="50"/>
  <c r="BQ278" i="50" s="1"/>
  <c r="J275" i="50"/>
  <c r="AV275" i="50" s="1"/>
  <c r="AL159" i="50"/>
  <c r="BX159" i="50" s="1"/>
  <c r="AD263" i="50"/>
  <c r="BP263" i="50" s="1"/>
  <c r="AD279" i="50"/>
  <c r="BP279" i="50" s="1"/>
  <c r="K253" i="50"/>
  <c r="K275" i="50" s="1"/>
  <c r="AW275" i="50" s="1"/>
  <c r="BW162" i="62"/>
  <c r="AK272" i="50"/>
  <c r="BW272" i="50" s="1"/>
  <c r="P277" i="50"/>
  <c r="BB277" i="50" s="1"/>
  <c r="I268" i="50"/>
  <c r="AU268" i="50" s="1"/>
  <c r="AE242" i="50"/>
  <c r="BQ242" i="50" s="1"/>
  <c r="AD269" i="50"/>
  <c r="BP269" i="50" s="1"/>
  <c r="I272" i="50"/>
  <c r="AU272" i="50" s="1"/>
  <c r="P271" i="50"/>
  <c r="BB271" i="50" s="1"/>
  <c r="P270" i="50"/>
  <c r="BB270" i="50" s="1"/>
  <c r="K61" i="62"/>
  <c r="BB61" i="62" s="1"/>
  <c r="I259" i="50"/>
  <c r="AU259" i="50" s="1"/>
  <c r="I269" i="50"/>
  <c r="AU269" i="50" s="1"/>
  <c r="AL273" i="50"/>
  <c r="BX273" i="50" s="1"/>
  <c r="Y61" i="62"/>
  <c r="BP61" i="62" s="1"/>
  <c r="Y64" i="62"/>
  <c r="BP64" i="62" s="1"/>
  <c r="W266" i="50"/>
  <c r="BI266" i="50" s="1"/>
  <c r="AD272" i="50"/>
  <c r="BP272" i="50" s="1"/>
  <c r="I270" i="50"/>
  <c r="AU270" i="50" s="1"/>
  <c r="AE76" i="50"/>
  <c r="BQ76" i="50" s="1"/>
  <c r="P279" i="50"/>
  <c r="BB279" i="50" s="1"/>
  <c r="AL271" i="50"/>
  <c r="BX271" i="50" s="1"/>
  <c r="AD175" i="50"/>
  <c r="BP175" i="50" s="1"/>
  <c r="AK269" i="50"/>
  <c r="BW269" i="50" s="1"/>
  <c r="AM64" i="62"/>
  <c r="CD64" i="62" s="1"/>
  <c r="AD273" i="50"/>
  <c r="BP273" i="50" s="1"/>
  <c r="W263" i="50"/>
  <c r="BI263" i="50" s="1"/>
  <c r="W271" i="50"/>
  <c r="BI271" i="50" s="1"/>
  <c r="D119" i="67"/>
  <c r="D129" i="67" s="1"/>
  <c r="C114" i="67"/>
  <c r="BJ245" i="50"/>
  <c r="Y245" i="50"/>
  <c r="X267" i="50"/>
  <c r="BJ267" i="50" s="1"/>
  <c r="Y99" i="62"/>
  <c r="BP99" i="62" s="1"/>
  <c r="BP100" i="62"/>
  <c r="AF229" i="50"/>
  <c r="BR229" i="50" s="1"/>
  <c r="BW169" i="62"/>
  <c r="R230" i="50"/>
  <c r="BD230" i="50" s="1"/>
  <c r="BI170" i="62"/>
  <c r="J244" i="50"/>
  <c r="AV244" i="50" s="1"/>
  <c r="AV222" i="50"/>
  <c r="Y224" i="50"/>
  <c r="BK224" i="50" s="1"/>
  <c r="BP164" i="62"/>
  <c r="AM221" i="50"/>
  <c r="BY221" i="50" s="1"/>
  <c r="CD161" i="62"/>
  <c r="K226" i="50"/>
  <c r="AW226" i="50" s="1"/>
  <c r="BB166" i="62"/>
  <c r="AM224" i="50"/>
  <c r="BY224" i="50" s="1"/>
  <c r="CD164" i="62"/>
  <c r="R221" i="50"/>
  <c r="BD221" i="50" s="1"/>
  <c r="BI161" i="62"/>
  <c r="AL256" i="50"/>
  <c r="BX256" i="50" s="1"/>
  <c r="BX234" i="50"/>
  <c r="K228" i="50"/>
  <c r="AW228" i="50" s="1"/>
  <c r="BB168" i="62"/>
  <c r="AF225" i="50"/>
  <c r="BR225" i="50" s="1"/>
  <c r="BW165" i="62"/>
  <c r="AL255" i="50"/>
  <c r="BX233" i="50"/>
  <c r="AE166" i="50"/>
  <c r="BP166" i="50"/>
  <c r="AD186" i="50"/>
  <c r="BP186" i="50" s="1"/>
  <c r="Y80" i="62"/>
  <c r="BP80" i="62" s="1"/>
  <c r="BP81" i="62"/>
  <c r="AE68" i="50"/>
  <c r="BP68" i="50"/>
  <c r="CD108" i="62"/>
  <c r="AM59" i="50"/>
  <c r="BY59" i="50" s="1"/>
  <c r="BW89" i="62"/>
  <c r="AF146" i="50"/>
  <c r="BR146" i="50" s="1"/>
  <c r="CD103" i="62"/>
  <c r="AM49" i="50"/>
  <c r="BY49" i="50" s="1"/>
  <c r="D54" i="67"/>
  <c r="BH236" i="50"/>
  <c r="D54" i="85" s="1"/>
  <c r="BW241" i="50"/>
  <c r="AK263" i="50"/>
  <c r="BW263" i="50" s="1"/>
  <c r="AE253" i="50"/>
  <c r="BQ253" i="50" s="1"/>
  <c r="BQ231" i="50"/>
  <c r="X241" i="50"/>
  <c r="BJ241" i="50" s="1"/>
  <c r="BJ219" i="50"/>
  <c r="AE249" i="50"/>
  <c r="BQ249" i="50" s="1"/>
  <c r="BQ227" i="50"/>
  <c r="AM232" i="50"/>
  <c r="BY232" i="50" s="1"/>
  <c r="CD172" i="62"/>
  <c r="I236" i="50"/>
  <c r="AU240" i="50"/>
  <c r="AM234" i="50"/>
  <c r="BY234" i="50" s="1"/>
  <c r="CD174" i="62"/>
  <c r="X248" i="50"/>
  <c r="BJ248" i="50" s="1"/>
  <c r="BJ226" i="50"/>
  <c r="Q241" i="50"/>
  <c r="BC241" i="50" s="1"/>
  <c r="BC219" i="50"/>
  <c r="AM222" i="50"/>
  <c r="BY222" i="50" s="1"/>
  <c r="CD162" i="62"/>
  <c r="AF256" i="50"/>
  <c r="Y215" i="50"/>
  <c r="BK215" i="50" s="1"/>
  <c r="BP155" i="62"/>
  <c r="C55" i="67"/>
  <c r="BG258" i="50"/>
  <c r="C55" i="85" s="1"/>
  <c r="K211" i="50"/>
  <c r="AV211" i="50"/>
  <c r="Y229" i="50"/>
  <c r="BK229" i="50" s="1"/>
  <c r="BP169" i="62"/>
  <c r="AL239" i="50"/>
  <c r="AM239" i="50" s="1"/>
  <c r="BX217" i="50"/>
  <c r="K202" i="50"/>
  <c r="AW202" i="50" s="1"/>
  <c r="AV202" i="50"/>
  <c r="BW105" i="62"/>
  <c r="AF55" i="50"/>
  <c r="BR55" i="50" s="1"/>
  <c r="CD104" i="62"/>
  <c r="AM53" i="50"/>
  <c r="BY53" i="50" s="1"/>
  <c r="BW82" i="62"/>
  <c r="AF140" i="50"/>
  <c r="BR140" i="50" s="1"/>
  <c r="AF80" i="62"/>
  <c r="BW86" i="62"/>
  <c r="AF143" i="50"/>
  <c r="BR143" i="50" s="1"/>
  <c r="AE74" i="50"/>
  <c r="AF231" i="50"/>
  <c r="BR231" i="50" s="1"/>
  <c r="BW171" i="62"/>
  <c r="R223" i="50"/>
  <c r="BD223" i="50" s="1"/>
  <c r="BI163" i="62"/>
  <c r="AM228" i="50"/>
  <c r="BY228" i="50" s="1"/>
  <c r="CD168" i="62"/>
  <c r="Y232" i="50"/>
  <c r="BK232" i="50" s="1"/>
  <c r="BP172" i="62"/>
  <c r="AF227" i="50"/>
  <c r="BR227" i="50" s="1"/>
  <c r="BW167" i="62"/>
  <c r="R232" i="50"/>
  <c r="BD232" i="50" s="1"/>
  <c r="BI172" i="62"/>
  <c r="X240" i="50"/>
  <c r="BJ240" i="50" s="1"/>
  <c r="BJ218" i="50"/>
  <c r="W272" i="50"/>
  <c r="BI272" i="50" s="1"/>
  <c r="AM223" i="50"/>
  <c r="BY223" i="50" s="1"/>
  <c r="CD163" i="62"/>
  <c r="W260" i="50"/>
  <c r="BI260" i="50" s="1"/>
  <c r="BI238" i="50"/>
  <c r="BI257" i="50"/>
  <c r="W279" i="50"/>
  <c r="BI279" i="50" s="1"/>
  <c r="K199" i="50"/>
  <c r="AW199" i="50" s="1"/>
  <c r="AV199" i="50"/>
  <c r="Q253" i="50"/>
  <c r="BB253" i="50"/>
  <c r="AL169" i="50"/>
  <c r="BW169" i="50"/>
  <c r="AF220" i="50"/>
  <c r="BR220" i="50" s="1"/>
  <c r="BW160" i="62"/>
  <c r="W268" i="50"/>
  <c r="BI268" i="50" s="1"/>
  <c r="BI246" i="50"/>
  <c r="Q79" i="62"/>
  <c r="BH79" i="62" s="1"/>
  <c r="BH83" i="62"/>
  <c r="F70" i="67"/>
  <c r="F125" i="67" s="1"/>
  <c r="BQ192" i="50"/>
  <c r="F70" i="85" s="1"/>
  <c r="F125" i="85" s="1"/>
  <c r="P275" i="50"/>
  <c r="BB275" i="50" s="1"/>
  <c r="AF270" i="50"/>
  <c r="BR270" i="50" s="1"/>
  <c r="BR248" i="50"/>
  <c r="Y217" i="50"/>
  <c r="BK217" i="50" s="1"/>
  <c r="BP157" i="62"/>
  <c r="P272" i="50"/>
  <c r="BB272" i="50" s="1"/>
  <c r="Q251" i="50"/>
  <c r="BC229" i="50"/>
  <c r="R220" i="50"/>
  <c r="BD220" i="50" s="1"/>
  <c r="BI160" i="62"/>
  <c r="Q254" i="50"/>
  <c r="BC254" i="50" s="1"/>
  <c r="BC232" i="50"/>
  <c r="D96" i="67"/>
  <c r="BV236" i="50"/>
  <c r="D96" i="85" s="1"/>
  <c r="Y227" i="50"/>
  <c r="BK227" i="50" s="1"/>
  <c r="BP167" i="62"/>
  <c r="X250" i="50"/>
  <c r="BJ250" i="50" s="1"/>
  <c r="BJ228" i="50"/>
  <c r="AM215" i="50"/>
  <c r="BY215" i="50" s="1"/>
  <c r="CD155" i="62"/>
  <c r="I276" i="50"/>
  <c r="AU276" i="50" s="1"/>
  <c r="Q248" i="50"/>
  <c r="BC248" i="50" s="1"/>
  <c r="BC226" i="50"/>
  <c r="K245" i="50"/>
  <c r="AV245" i="50"/>
  <c r="K201" i="50"/>
  <c r="AW201" i="50" s="1"/>
  <c r="AV201" i="50"/>
  <c r="BW91" i="62"/>
  <c r="AF148" i="50"/>
  <c r="BR148" i="50" s="1"/>
  <c r="BW103" i="62"/>
  <c r="AF49" i="50"/>
  <c r="BR49" i="50" s="1"/>
  <c r="P266" i="50"/>
  <c r="BB266" i="50" s="1"/>
  <c r="BB244" i="50"/>
  <c r="BW152" i="50"/>
  <c r="AL152" i="50"/>
  <c r="AL79" i="62"/>
  <c r="CC79" i="62" s="1"/>
  <c r="CC80" i="62"/>
  <c r="AL242" i="50"/>
  <c r="BX242" i="50" s="1"/>
  <c r="BX220" i="50"/>
  <c r="Q242" i="50"/>
  <c r="BC242" i="50" s="1"/>
  <c r="BC220" i="50"/>
  <c r="Y233" i="50"/>
  <c r="BK233" i="50" s="1"/>
  <c r="BP173" i="62"/>
  <c r="AK60" i="62"/>
  <c r="CB60" i="62" s="1"/>
  <c r="AE245" i="50"/>
  <c r="BQ245" i="50" s="1"/>
  <c r="BQ223" i="50"/>
  <c r="Y228" i="50"/>
  <c r="BK228" i="50" s="1"/>
  <c r="BP168" i="62"/>
  <c r="AM225" i="50"/>
  <c r="BY225" i="50" s="1"/>
  <c r="CD165" i="62"/>
  <c r="R226" i="50"/>
  <c r="BD226" i="50" s="1"/>
  <c r="BI166" i="62"/>
  <c r="AF218" i="50"/>
  <c r="BR218" i="50" s="1"/>
  <c r="BW158" i="62"/>
  <c r="Q268" i="50"/>
  <c r="BC268" i="50" s="1"/>
  <c r="BC246" i="50"/>
  <c r="C37" i="67"/>
  <c r="AZ258" i="50"/>
  <c r="C37" i="85" s="1"/>
  <c r="J255" i="50"/>
  <c r="J277" i="50" s="1"/>
  <c r="AV277" i="50" s="1"/>
  <c r="AU255" i="50"/>
  <c r="I277" i="50"/>
  <c r="AU277" i="50" s="1"/>
  <c r="AL241" i="50"/>
  <c r="BW106" i="62"/>
  <c r="AF56" i="50"/>
  <c r="BR56" i="50" s="1"/>
  <c r="F34" i="67"/>
  <c r="F121" i="67" s="1"/>
  <c r="BC192" i="50"/>
  <c r="F34" i="85" s="1"/>
  <c r="F121" i="85" s="1"/>
  <c r="AL254" i="50"/>
  <c r="BX254" i="50" s="1"/>
  <c r="BX232" i="50"/>
  <c r="H258" i="50"/>
  <c r="AT262" i="50"/>
  <c r="R227" i="50"/>
  <c r="BD227" i="50" s="1"/>
  <c r="BI167" i="62"/>
  <c r="AF233" i="50"/>
  <c r="BR233" i="50" s="1"/>
  <c r="BW173" i="62"/>
  <c r="K194" i="50"/>
  <c r="AV194" i="50"/>
  <c r="AL168" i="50"/>
  <c r="BW168" i="50"/>
  <c r="AK277" i="50"/>
  <c r="BW277" i="50" s="1"/>
  <c r="BW255" i="50"/>
  <c r="AL250" i="50"/>
  <c r="BX250" i="50" s="1"/>
  <c r="BX228" i="50"/>
  <c r="Q250" i="50"/>
  <c r="BC250" i="50" s="1"/>
  <c r="BC228" i="50"/>
  <c r="AL245" i="50"/>
  <c r="AM245" i="50" s="1"/>
  <c r="BX223" i="50"/>
  <c r="BB169" i="62"/>
  <c r="K229" i="50"/>
  <c r="AW229" i="50" s="1"/>
  <c r="CD84" i="62"/>
  <c r="AM83" i="62"/>
  <c r="CD83" i="62" s="1"/>
  <c r="X249" i="50"/>
  <c r="BJ249" i="50" s="1"/>
  <c r="BJ227" i="50"/>
  <c r="R228" i="50"/>
  <c r="BD228" i="50" s="1"/>
  <c r="BI168" i="62"/>
  <c r="Y226" i="50"/>
  <c r="BK226" i="50" s="1"/>
  <c r="BP166" i="62"/>
  <c r="R219" i="50"/>
  <c r="BD219" i="50" s="1"/>
  <c r="BI159" i="62"/>
  <c r="Q278" i="50"/>
  <c r="BC278" i="50" s="1"/>
  <c r="K212" i="50"/>
  <c r="AW212" i="50" s="1"/>
  <c r="AV212" i="50"/>
  <c r="X256" i="50"/>
  <c r="BJ234" i="50"/>
  <c r="CD98" i="62"/>
  <c r="AM48" i="50"/>
  <c r="BY48" i="50" s="1"/>
  <c r="AE73" i="50"/>
  <c r="BP73" i="50"/>
  <c r="BW92" i="62"/>
  <c r="AF43" i="50"/>
  <c r="BR43" i="50" s="1"/>
  <c r="BQ169" i="50"/>
  <c r="AE189" i="50"/>
  <c r="BQ189" i="50" s="1"/>
  <c r="X79" i="62"/>
  <c r="BO79" i="62" s="1"/>
  <c r="BO83" i="62"/>
  <c r="CD68" i="62"/>
  <c r="AM39" i="50"/>
  <c r="BY39" i="50" s="1"/>
  <c r="J79" i="62"/>
  <c r="BA79" i="62" s="1"/>
  <c r="BA80" i="62"/>
  <c r="AL67" i="62"/>
  <c r="CC67" i="62" s="1"/>
  <c r="CC74" i="62"/>
  <c r="AE257" i="50"/>
  <c r="BQ257" i="50" s="1"/>
  <c r="BQ235" i="50"/>
  <c r="AF215" i="50"/>
  <c r="BR215" i="50" s="1"/>
  <c r="BW155" i="62"/>
  <c r="R229" i="50"/>
  <c r="BD229" i="50" s="1"/>
  <c r="BI169" i="62"/>
  <c r="AF244" i="50"/>
  <c r="K208" i="50"/>
  <c r="AW208" i="50" s="1"/>
  <c r="AV208" i="50"/>
  <c r="BW102" i="62"/>
  <c r="AF52" i="50"/>
  <c r="BR52" i="50" s="1"/>
  <c r="CD73" i="62"/>
  <c r="AM135" i="50"/>
  <c r="BY135" i="50" s="1"/>
  <c r="K225" i="50"/>
  <c r="AW225" i="50" s="1"/>
  <c r="BB165" i="62"/>
  <c r="Y83" i="62"/>
  <c r="AM74" i="62"/>
  <c r="CD75" i="62"/>
  <c r="E34" i="67"/>
  <c r="E121" i="67" s="1"/>
  <c r="BB192" i="50"/>
  <c r="E34" i="85" s="1"/>
  <c r="E121" i="85" s="1"/>
  <c r="AE276" i="50"/>
  <c r="BQ276" i="50" s="1"/>
  <c r="AF235" i="50"/>
  <c r="BR235" i="50" s="1"/>
  <c r="BW175" i="62"/>
  <c r="R225" i="50"/>
  <c r="BD225" i="50" s="1"/>
  <c r="BI165" i="62"/>
  <c r="AE250" i="50"/>
  <c r="BQ250" i="50" s="1"/>
  <c r="BQ228" i="50"/>
  <c r="AL240" i="50"/>
  <c r="BX240" i="50" s="1"/>
  <c r="BX218" i="50"/>
  <c r="J241" i="50"/>
  <c r="AU241" i="50"/>
  <c r="AD260" i="50"/>
  <c r="BP260" i="50" s="1"/>
  <c r="BP238" i="50"/>
  <c r="AE238" i="50"/>
  <c r="R94" i="62"/>
  <c r="BI94" i="62" s="1"/>
  <c r="BI95" i="62"/>
  <c r="J252" i="50"/>
  <c r="J274" i="50" s="1"/>
  <c r="AV274" i="50" s="1"/>
  <c r="AU252" i="50"/>
  <c r="AE77" i="50"/>
  <c r="Y94" i="62"/>
  <c r="BP94" i="62" s="1"/>
  <c r="BP95" i="62"/>
  <c r="J247" i="50"/>
  <c r="AV247" i="50" s="1"/>
  <c r="W276" i="50"/>
  <c r="BI276" i="50" s="1"/>
  <c r="W259" i="50"/>
  <c r="BI259" i="50" s="1"/>
  <c r="AE155" i="50"/>
  <c r="BQ155" i="50" s="1"/>
  <c r="AK276" i="50"/>
  <c r="BW276" i="50" s="1"/>
  <c r="R233" i="50"/>
  <c r="BD233" i="50" s="1"/>
  <c r="BI173" i="62"/>
  <c r="AL252" i="50"/>
  <c r="BX252" i="50" s="1"/>
  <c r="BX230" i="50"/>
  <c r="X252" i="50"/>
  <c r="BJ230" i="50"/>
  <c r="Y220" i="50"/>
  <c r="BK220" i="50" s="1"/>
  <c r="BP160" i="62"/>
  <c r="Y221" i="50"/>
  <c r="BK221" i="50" s="1"/>
  <c r="BP161" i="62"/>
  <c r="AF228" i="50"/>
  <c r="BR228" i="50" s="1"/>
  <c r="BW168" i="62"/>
  <c r="K224" i="50"/>
  <c r="AW224" i="50" s="1"/>
  <c r="BB164" i="62"/>
  <c r="Y222" i="50"/>
  <c r="BK222" i="50" s="1"/>
  <c r="BP162" i="62"/>
  <c r="AD60" i="62"/>
  <c r="BU60" i="62" s="1"/>
  <c r="X247" i="50"/>
  <c r="BJ247" i="50" s="1"/>
  <c r="BJ225" i="50"/>
  <c r="AL238" i="50"/>
  <c r="BX238" i="50" s="1"/>
  <c r="BX216" i="50"/>
  <c r="J254" i="50"/>
  <c r="AV254" i="50" s="1"/>
  <c r="AV232" i="50"/>
  <c r="X238" i="50"/>
  <c r="R217" i="50"/>
  <c r="BD217" i="50" s="1"/>
  <c r="BI157" i="62"/>
  <c r="AM218" i="50"/>
  <c r="BY218" i="50" s="1"/>
  <c r="CD158" i="62"/>
  <c r="AF217" i="50"/>
  <c r="BR217" i="50" s="1"/>
  <c r="BW157" i="62"/>
  <c r="AE243" i="50"/>
  <c r="BQ243" i="50" s="1"/>
  <c r="BQ221" i="50"/>
  <c r="D36" i="67"/>
  <c r="BA236" i="50"/>
  <c r="D36" i="85" s="1"/>
  <c r="AK262" i="50"/>
  <c r="BW262" i="50" s="1"/>
  <c r="P269" i="50"/>
  <c r="BB269" i="50" s="1"/>
  <c r="AM257" i="50"/>
  <c r="W270" i="50"/>
  <c r="BI270" i="50" s="1"/>
  <c r="W262" i="50"/>
  <c r="BI262" i="50" s="1"/>
  <c r="J239" i="50"/>
  <c r="AV239" i="50" s="1"/>
  <c r="AV217" i="50"/>
  <c r="Q244" i="50"/>
  <c r="BC244" i="50" s="1"/>
  <c r="BC222" i="50"/>
  <c r="J237" i="50"/>
  <c r="AV237" i="50" s="1"/>
  <c r="AV215" i="50"/>
  <c r="V258" i="50"/>
  <c r="BW239" i="50"/>
  <c r="AK261" i="50"/>
  <c r="BW261" i="50" s="1"/>
  <c r="C97" i="67"/>
  <c r="BU258" i="50"/>
  <c r="C97" i="85" s="1"/>
  <c r="BW108" i="62"/>
  <c r="AF59" i="50"/>
  <c r="BR59" i="50" s="1"/>
  <c r="K74" i="62"/>
  <c r="BB74" i="62" s="1"/>
  <c r="BB75" i="62"/>
  <c r="CD101" i="62"/>
  <c r="AM51" i="50"/>
  <c r="BY51" i="50" s="1"/>
  <c r="CD93" i="62"/>
  <c r="AM149" i="50"/>
  <c r="BY149" i="50" s="1"/>
  <c r="BB161" i="62"/>
  <c r="K221" i="50"/>
  <c r="AW221" i="50" s="1"/>
  <c r="BI171" i="62"/>
  <c r="R231" i="50"/>
  <c r="BD231" i="50" s="1"/>
  <c r="J249" i="50"/>
  <c r="AU249" i="50"/>
  <c r="J251" i="50"/>
  <c r="AU251" i="50"/>
  <c r="BB174" i="62"/>
  <c r="K234" i="50"/>
  <c r="AW234" i="50" s="1"/>
  <c r="AL155" i="50"/>
  <c r="BW155" i="50"/>
  <c r="BW68" i="62"/>
  <c r="AF39" i="50"/>
  <c r="BR39" i="50" s="1"/>
  <c r="K94" i="62"/>
  <c r="BB94" i="62" s="1"/>
  <c r="AF36" i="50"/>
  <c r="BR36" i="50" s="1"/>
  <c r="BW62" i="62"/>
  <c r="Y71" i="62"/>
  <c r="BV80" i="62"/>
  <c r="AE79" i="62"/>
  <c r="BV79" i="62" s="1"/>
  <c r="R61" i="62"/>
  <c r="BI61" i="62" s="1"/>
  <c r="K203" i="50"/>
  <c r="AW203" i="50" s="1"/>
  <c r="AV203" i="50"/>
  <c r="CD91" i="62"/>
  <c r="AM148" i="50"/>
  <c r="BY148" i="50" s="1"/>
  <c r="BI253" i="50"/>
  <c r="W275" i="50"/>
  <c r="BI275" i="50" s="1"/>
  <c r="CD106" i="62"/>
  <c r="AM56" i="50"/>
  <c r="BY56" i="50" s="1"/>
  <c r="BW93" i="62"/>
  <c r="AF149" i="50"/>
  <c r="BR149" i="50" s="1"/>
  <c r="X253" i="50"/>
  <c r="R80" i="62"/>
  <c r="BI80" i="62" s="1"/>
  <c r="AL244" i="50"/>
  <c r="BX244" i="50" s="1"/>
  <c r="BX222" i="50"/>
  <c r="J257" i="50"/>
  <c r="AV257" i="50" s="1"/>
  <c r="AV235" i="50"/>
  <c r="AM231" i="50"/>
  <c r="BY231" i="50" s="1"/>
  <c r="CD171" i="62"/>
  <c r="BI245" i="50"/>
  <c r="W267" i="50"/>
  <c r="BI267" i="50" s="1"/>
  <c r="AD274" i="50"/>
  <c r="BP274" i="50" s="1"/>
  <c r="BP252" i="50"/>
  <c r="CD89" i="62"/>
  <c r="AM146" i="50"/>
  <c r="BY146" i="50" s="1"/>
  <c r="I279" i="50"/>
  <c r="AU279" i="50" s="1"/>
  <c r="AU257" i="50"/>
  <c r="K83" i="62"/>
  <c r="BB83" i="62" s="1"/>
  <c r="BB84" i="62"/>
  <c r="BB167" i="62"/>
  <c r="K227" i="50"/>
  <c r="AW227" i="50" s="1"/>
  <c r="BI251" i="50"/>
  <c r="X251" i="50"/>
  <c r="W273" i="50"/>
  <c r="BI273" i="50" s="1"/>
  <c r="R74" i="62"/>
  <c r="BI74" i="62" s="1"/>
  <c r="BI75" i="62"/>
  <c r="Q245" i="50"/>
  <c r="BC245" i="50" s="1"/>
  <c r="BC223" i="50"/>
  <c r="K222" i="50"/>
  <c r="AW222" i="50" s="1"/>
  <c r="BB162" i="62"/>
  <c r="X254" i="50"/>
  <c r="BJ254" i="50" s="1"/>
  <c r="BJ232" i="50"/>
  <c r="BR216" i="50"/>
  <c r="Q257" i="50"/>
  <c r="BC257" i="50" s="1"/>
  <c r="BC235" i="50"/>
  <c r="AE252" i="50"/>
  <c r="BQ252" i="50" s="1"/>
  <c r="BQ230" i="50"/>
  <c r="AF37" i="50"/>
  <c r="BR37" i="50" s="1"/>
  <c r="BW65" i="62"/>
  <c r="CD102" i="62"/>
  <c r="AM52" i="50"/>
  <c r="BY52" i="50" s="1"/>
  <c r="AE168" i="50"/>
  <c r="BP168" i="50"/>
  <c r="AD188" i="50"/>
  <c r="BP188" i="50" s="1"/>
  <c r="CD105" i="62"/>
  <c r="AM55" i="50"/>
  <c r="BY55" i="50" s="1"/>
  <c r="C73" i="67"/>
  <c r="BN258" i="50"/>
  <c r="C73" i="85" s="1"/>
  <c r="R83" i="62"/>
  <c r="BI84" i="62"/>
  <c r="Y219" i="50"/>
  <c r="BK219" i="50" s="1"/>
  <c r="BP159" i="62"/>
  <c r="BY217" i="50"/>
  <c r="R235" i="50"/>
  <c r="BD235" i="50" s="1"/>
  <c r="BI175" i="62"/>
  <c r="X237" i="50"/>
  <c r="BJ237" i="50" s="1"/>
  <c r="BJ215" i="50"/>
  <c r="AF230" i="50"/>
  <c r="BR230" i="50" s="1"/>
  <c r="BW170" i="62"/>
  <c r="AD262" i="50"/>
  <c r="BP262" i="50" s="1"/>
  <c r="BP240" i="50"/>
  <c r="BB160" i="62"/>
  <c r="K220" i="50"/>
  <c r="AW220" i="50" s="1"/>
  <c r="BW104" i="62"/>
  <c r="AF53" i="50"/>
  <c r="BR53" i="50" s="1"/>
  <c r="J242" i="50"/>
  <c r="J264" i="50" s="1"/>
  <c r="AV264" i="50" s="1"/>
  <c r="AU242" i="50"/>
  <c r="AE84" i="50"/>
  <c r="BP84" i="50"/>
  <c r="D72" i="67"/>
  <c r="BO236" i="50"/>
  <c r="D72" i="85" s="1"/>
  <c r="K207" i="50"/>
  <c r="AV207" i="50"/>
  <c r="Y74" i="62"/>
  <c r="BP74" i="62" s="1"/>
  <c r="P60" i="62"/>
  <c r="BG60" i="62" s="1"/>
  <c r="BG67" i="62"/>
  <c r="E16" i="67"/>
  <c r="E119" i="67" s="1"/>
  <c r="AU192" i="50"/>
  <c r="E16" i="85" s="1"/>
  <c r="AE237" i="50"/>
  <c r="BQ237" i="50" s="1"/>
  <c r="BQ215" i="50"/>
  <c r="X255" i="50"/>
  <c r="BJ255" i="50" s="1"/>
  <c r="BJ233" i="50"/>
  <c r="AL247" i="50"/>
  <c r="BX247" i="50" s="1"/>
  <c r="BX225" i="50"/>
  <c r="Y218" i="50"/>
  <c r="BK218" i="50" s="1"/>
  <c r="BP158" i="62"/>
  <c r="R256" i="50"/>
  <c r="AE266" i="50"/>
  <c r="BQ266" i="50" s="1"/>
  <c r="P261" i="50"/>
  <c r="BB261" i="50" s="1"/>
  <c r="I266" i="50"/>
  <c r="AU266" i="50" s="1"/>
  <c r="AE240" i="50"/>
  <c r="AF240" i="50" s="1"/>
  <c r="BQ218" i="50"/>
  <c r="AM94" i="62"/>
  <c r="CD94" i="62" s="1"/>
  <c r="W278" i="50"/>
  <c r="BI278" i="50" s="1"/>
  <c r="BI256" i="50"/>
  <c r="AL160" i="50"/>
  <c r="BB173" i="62"/>
  <c r="K233" i="50"/>
  <c r="AW233" i="50" s="1"/>
  <c r="R71" i="62"/>
  <c r="BI71" i="62" s="1"/>
  <c r="BI72" i="62"/>
  <c r="X239" i="50"/>
  <c r="BJ239" i="50" s="1"/>
  <c r="BJ217" i="50"/>
  <c r="Q247" i="50"/>
  <c r="BC247" i="50" s="1"/>
  <c r="BC225" i="50"/>
  <c r="Y234" i="50"/>
  <c r="BK234" i="50" s="1"/>
  <c r="BP174" i="62"/>
  <c r="AE241" i="50"/>
  <c r="BQ241" i="50" s="1"/>
  <c r="BQ219" i="50"/>
  <c r="AJ258" i="50"/>
  <c r="BV259" i="50"/>
  <c r="AL248" i="50"/>
  <c r="BX248" i="50" s="1"/>
  <c r="BX226" i="50"/>
  <c r="P267" i="50"/>
  <c r="BB267" i="50" s="1"/>
  <c r="AD277" i="50"/>
  <c r="BP277" i="50" s="1"/>
  <c r="P263" i="50"/>
  <c r="BB263" i="50" s="1"/>
  <c r="R246" i="50"/>
  <c r="AK270" i="50"/>
  <c r="BW270" i="50" s="1"/>
  <c r="R240" i="50"/>
  <c r="AM251" i="50"/>
  <c r="BB156" i="62"/>
  <c r="K216" i="50"/>
  <c r="AW216" i="50" s="1"/>
  <c r="AL166" i="50"/>
  <c r="BW166" i="50"/>
  <c r="K71" i="62"/>
  <c r="BB71" i="62" s="1"/>
  <c r="BB72" i="62"/>
  <c r="AE160" i="50"/>
  <c r="BP160" i="50"/>
  <c r="AD180" i="50"/>
  <c r="BP180" i="50" s="1"/>
  <c r="CD82" i="62"/>
  <c r="AM140" i="50"/>
  <c r="BY140" i="50" s="1"/>
  <c r="AE80" i="50"/>
  <c r="BP80" i="50"/>
  <c r="AF83" i="62"/>
  <c r="BW83" i="62" s="1"/>
  <c r="BW84" i="62"/>
  <c r="AE78" i="50"/>
  <c r="BP78" i="50"/>
  <c r="P276" i="50"/>
  <c r="BB276" i="50" s="1"/>
  <c r="BB254" i="50"/>
  <c r="K80" i="62"/>
  <c r="BB81" i="62"/>
  <c r="Q255" i="50"/>
  <c r="BC255" i="50" s="1"/>
  <c r="BC233" i="50"/>
  <c r="AM220" i="50"/>
  <c r="BY220" i="50" s="1"/>
  <c r="CD160" i="62"/>
  <c r="X242" i="50"/>
  <c r="BJ242" i="50" s="1"/>
  <c r="BJ220" i="50"/>
  <c r="X243" i="50"/>
  <c r="BJ243" i="50" s="1"/>
  <c r="BJ221" i="50"/>
  <c r="J246" i="50"/>
  <c r="AV246" i="50" s="1"/>
  <c r="AV224" i="50"/>
  <c r="X244" i="50"/>
  <c r="BJ244" i="50" s="1"/>
  <c r="BJ222" i="50"/>
  <c r="AF219" i="50"/>
  <c r="BR219" i="50" s="1"/>
  <c r="BW159" i="62"/>
  <c r="AF223" i="50"/>
  <c r="BR223" i="50" s="1"/>
  <c r="BW163" i="62"/>
  <c r="Q239" i="50"/>
  <c r="BC239" i="50" s="1"/>
  <c r="BC217" i="50"/>
  <c r="AE239" i="50"/>
  <c r="BQ217" i="50"/>
  <c r="AM226" i="50"/>
  <c r="BY226" i="50" s="1"/>
  <c r="CD166" i="62"/>
  <c r="O258" i="50"/>
  <c r="BA259" i="50"/>
  <c r="AK260" i="50"/>
  <c r="BW260" i="50" s="1"/>
  <c r="P274" i="50"/>
  <c r="BB274" i="50" s="1"/>
  <c r="AK264" i="50"/>
  <c r="BW264" i="50" s="1"/>
  <c r="W277" i="50"/>
  <c r="BI277" i="50" s="1"/>
  <c r="AK265" i="50"/>
  <c r="BW265" i="50" s="1"/>
  <c r="K217" i="50"/>
  <c r="AW217" i="50" s="1"/>
  <c r="BB157" i="62"/>
  <c r="R222" i="50"/>
  <c r="BD222" i="50" s="1"/>
  <c r="BI162" i="62"/>
  <c r="K215" i="50"/>
  <c r="AW215" i="50" s="1"/>
  <c r="BB155" i="62"/>
  <c r="AC258" i="50"/>
  <c r="AM249" i="50"/>
  <c r="AF246" i="50"/>
  <c r="BQ246" i="50"/>
  <c r="AM71" i="62"/>
  <c r="CD71" i="62" s="1"/>
  <c r="J243" i="50"/>
  <c r="J265" i="50" s="1"/>
  <c r="AV265" i="50" s="1"/>
  <c r="AU243" i="50"/>
  <c r="AF50" i="50"/>
  <c r="BR50" i="50" s="1"/>
  <c r="BW100" i="62"/>
  <c r="BB170" i="62"/>
  <c r="K230" i="50"/>
  <c r="AW230" i="50" s="1"/>
  <c r="CD92" i="62"/>
  <c r="AM43" i="50"/>
  <c r="BY43" i="50" s="1"/>
  <c r="AK267" i="50"/>
  <c r="BW267" i="50" s="1"/>
  <c r="BW245" i="50"/>
  <c r="CD86" i="62"/>
  <c r="AM143" i="50"/>
  <c r="BY143" i="50" s="1"/>
  <c r="X257" i="50"/>
  <c r="CD63" i="62"/>
  <c r="AM132" i="50"/>
  <c r="BY132" i="50" s="1"/>
  <c r="R99" i="62"/>
  <c r="BI99" i="62" s="1"/>
  <c r="BI101" i="62"/>
  <c r="AF64" i="62"/>
  <c r="BW64" i="62" s="1"/>
  <c r="BW66" i="62"/>
  <c r="AF94" i="62"/>
  <c r="BW94" i="62" s="1"/>
  <c r="BW96" i="62"/>
  <c r="I278" i="50"/>
  <c r="AU278" i="50" s="1"/>
  <c r="W236" i="50"/>
  <c r="AE183" i="50"/>
  <c r="BQ183" i="50" s="1"/>
  <c r="AD236" i="50"/>
  <c r="AE251" i="50"/>
  <c r="BQ251" i="50" s="1"/>
  <c r="BQ229" i="50"/>
  <c r="Q252" i="50"/>
  <c r="BC252" i="50" s="1"/>
  <c r="BC230" i="50"/>
  <c r="AM230" i="50"/>
  <c r="BY230" i="50" s="1"/>
  <c r="CD170" i="62"/>
  <c r="Y230" i="50"/>
  <c r="BK230" i="50" s="1"/>
  <c r="BP170" i="62"/>
  <c r="X246" i="50"/>
  <c r="BJ224" i="50"/>
  <c r="AL243" i="50"/>
  <c r="BX243" i="50" s="1"/>
  <c r="BX221" i="50"/>
  <c r="J248" i="50"/>
  <c r="AV248" i="50" s="1"/>
  <c r="AV226" i="50"/>
  <c r="AL246" i="50"/>
  <c r="BX224" i="50"/>
  <c r="Q243" i="50"/>
  <c r="BC243" i="50" s="1"/>
  <c r="BC221" i="50"/>
  <c r="Y225" i="50"/>
  <c r="BK225" i="50" s="1"/>
  <c r="BP165" i="62"/>
  <c r="AM216" i="50"/>
  <c r="BY216" i="50" s="1"/>
  <c r="CD156" i="62"/>
  <c r="K232" i="50"/>
  <c r="AW232" i="50" s="1"/>
  <c r="BB172" i="62"/>
  <c r="J250" i="50"/>
  <c r="AV250" i="50" s="1"/>
  <c r="AV228" i="50"/>
  <c r="Q249" i="50"/>
  <c r="BC249" i="50" s="1"/>
  <c r="BC227" i="50"/>
  <c r="AE255" i="50"/>
  <c r="BQ255" i="50" s="1"/>
  <c r="BQ233" i="50"/>
  <c r="AE247" i="50"/>
  <c r="BQ225" i="50"/>
  <c r="AF221" i="50"/>
  <c r="BR221" i="50" s="1"/>
  <c r="BW161" i="62"/>
  <c r="AK278" i="50"/>
  <c r="BW278" i="50" s="1"/>
  <c r="AK266" i="50"/>
  <c r="BW266" i="50" s="1"/>
  <c r="P265" i="50"/>
  <c r="BB265" i="50" s="1"/>
  <c r="P273" i="50"/>
  <c r="BB273" i="50" s="1"/>
  <c r="K235" i="50"/>
  <c r="AW235" i="50" s="1"/>
  <c r="BB175" i="62"/>
  <c r="AL253" i="50"/>
  <c r="BX253" i="50" s="1"/>
  <c r="BX231" i="50"/>
  <c r="AM233" i="50"/>
  <c r="BY233" i="50" s="1"/>
  <c r="CD173" i="62"/>
  <c r="AF254" i="50"/>
  <c r="K205" i="50"/>
  <c r="AV205" i="50"/>
  <c r="BW73" i="62"/>
  <c r="AF135" i="50"/>
  <c r="BR135" i="50" s="1"/>
  <c r="BB159" i="62"/>
  <c r="K219" i="50"/>
  <c r="AW219" i="50" s="1"/>
  <c r="J238" i="50"/>
  <c r="AU238" i="50"/>
  <c r="I260" i="50"/>
  <c r="AU260" i="50" s="1"/>
  <c r="BW98" i="62"/>
  <c r="AF48" i="50"/>
  <c r="BR48" i="50" s="1"/>
  <c r="R64" i="62"/>
  <c r="BI64" i="62" s="1"/>
  <c r="BI65" i="62"/>
  <c r="AL163" i="50"/>
  <c r="BW163" i="50"/>
  <c r="BR82" i="50"/>
  <c r="G57" i="49"/>
  <c r="M57" i="49" s="1"/>
  <c r="D18" i="67"/>
  <c r="AT236" i="50"/>
  <c r="D18" i="85" s="1"/>
  <c r="C19" i="67"/>
  <c r="AS258" i="50"/>
  <c r="C19" i="85" s="1"/>
  <c r="AE81" i="50"/>
  <c r="BP81" i="50"/>
  <c r="AK68" i="50"/>
  <c r="BV68" i="50"/>
  <c r="BV84" i="50"/>
  <c r="AK84" i="50"/>
  <c r="AK73" i="50"/>
  <c r="BV73" i="50"/>
  <c r="AL77" i="50"/>
  <c r="BW77" i="50"/>
  <c r="AK75" i="50"/>
  <c r="BV75" i="50"/>
  <c r="AK62" i="50"/>
  <c r="BV62" i="50"/>
  <c r="BV74" i="50"/>
  <c r="AK74" i="50"/>
  <c r="BV76" i="50"/>
  <c r="AK76" i="50"/>
  <c r="G71" i="49"/>
  <c r="M71" i="49" s="1"/>
  <c r="BY82" i="50"/>
  <c r="AK81" i="50"/>
  <c r="BV81" i="50"/>
  <c r="AK78" i="50"/>
  <c r="BV78" i="50"/>
  <c r="AK80" i="50"/>
  <c r="BV80" i="50"/>
  <c r="AN10" i="51"/>
  <c r="T36" i="7"/>
  <c r="T58" i="7"/>
  <c r="L69" i="7"/>
  <c r="L47" i="7"/>
  <c r="AU30" i="7"/>
  <c r="CR30" i="7" s="1"/>
  <c r="AN30" i="7"/>
  <c r="CK30" i="7" s="1"/>
  <c r="E95" i="67"/>
  <c r="H30" i="7"/>
  <c r="BE30" i="7" s="1"/>
  <c r="L132" i="67"/>
  <c r="E17" i="67"/>
  <c r="D113" i="67"/>
  <c r="AF30" i="7"/>
  <c r="CC30" i="7" s="1"/>
  <c r="E71" i="67"/>
  <c r="P30" i="7"/>
  <c r="BM30" i="7" s="1"/>
  <c r="E35" i="67"/>
  <c r="X30" i="7"/>
  <c r="BU30" i="7" s="1"/>
  <c r="E53" i="67"/>
  <c r="AZ24" i="73"/>
  <c r="CH24" i="73" s="1"/>
  <c r="BA24" i="73"/>
  <c r="BD48" i="73"/>
  <c r="CJ48" i="73" s="1"/>
  <c r="BE48" i="73"/>
  <c r="AV65" i="73"/>
  <c r="CF65" i="73" s="1"/>
  <c r="AW65" i="73"/>
  <c r="BC24" i="73"/>
  <c r="BB24" i="73"/>
  <c r="CI24" i="73" s="1"/>
  <c r="AY48" i="73"/>
  <c r="AX48" i="73"/>
  <c r="CG48" i="73" s="1"/>
  <c r="BC61" i="73"/>
  <c r="BB61" i="73"/>
  <c r="CI61" i="73" s="1"/>
  <c r="AV24" i="73"/>
  <c r="CF24" i="73" s="1"/>
  <c r="AW24" i="73"/>
  <c r="AV61" i="73"/>
  <c r="CF61" i="73" s="1"/>
  <c r="AW61" i="73"/>
  <c r="AZ65" i="73"/>
  <c r="CH65" i="73" s="1"/>
  <c r="BA65" i="73"/>
  <c r="AV48" i="73"/>
  <c r="CF48" i="73" s="1"/>
  <c r="AW48" i="73"/>
  <c r="AZ61" i="73"/>
  <c r="CH61" i="73" s="1"/>
  <c r="BA61" i="73"/>
  <c r="BD65" i="73"/>
  <c r="CJ65" i="73" s="1"/>
  <c r="BE65" i="73"/>
  <c r="AY65" i="73"/>
  <c r="AX65" i="73"/>
  <c r="CG65" i="73" s="1"/>
  <c r="BD24" i="73"/>
  <c r="CJ24" i="73" s="1"/>
  <c r="BE24" i="73"/>
  <c r="AZ48" i="73"/>
  <c r="CH48" i="73" s="1"/>
  <c r="BA48" i="73"/>
  <c r="BD61" i="73"/>
  <c r="CJ61" i="73" s="1"/>
  <c r="BE61" i="73"/>
  <c r="AY24" i="73"/>
  <c r="AX24" i="73"/>
  <c r="CG24" i="73" s="1"/>
  <c r="BC48" i="73"/>
  <c r="BB48" i="73"/>
  <c r="CI48" i="73" s="1"/>
  <c r="AY61" i="73"/>
  <c r="AX61" i="73"/>
  <c r="CG61" i="73" s="1"/>
  <c r="BC65" i="73"/>
  <c r="BB65" i="73"/>
  <c r="CI65" i="73" s="1"/>
  <c r="J214" i="50"/>
  <c r="AV214" i="50" s="1"/>
  <c r="Q266" i="50"/>
  <c r="BC266" i="50" s="1"/>
  <c r="BC24" i="53"/>
  <c r="DE24" i="53" s="1"/>
  <c r="AW24" i="53"/>
  <c r="CY24" i="53" s="1"/>
  <c r="BG24" i="53"/>
  <c r="DI24" i="53" s="1"/>
  <c r="BA24" i="53"/>
  <c r="DC24" i="53" s="1"/>
  <c r="BE48" i="53"/>
  <c r="AY48" i="53"/>
  <c r="DA48" i="53" s="1"/>
  <c r="BC61" i="53"/>
  <c r="DE61" i="53" s="1"/>
  <c r="AW61" i="53"/>
  <c r="CY61" i="53" s="1"/>
  <c r="BG61" i="53"/>
  <c r="DI61" i="53" s="1"/>
  <c r="BA61" i="53"/>
  <c r="DC61" i="53" s="1"/>
  <c r="BE65" i="53"/>
  <c r="DG65" i="53" s="1"/>
  <c r="AY65" i="53"/>
  <c r="DA65" i="53" s="1"/>
  <c r="BD24" i="53"/>
  <c r="DF24" i="53" s="1"/>
  <c r="AX24" i="53"/>
  <c r="CZ24" i="53" s="1"/>
  <c r="BH24" i="53"/>
  <c r="DJ24" i="53" s="1"/>
  <c r="BB24" i="53"/>
  <c r="DD24" i="53" s="1"/>
  <c r="BF48" i="53"/>
  <c r="AZ48" i="53"/>
  <c r="DB48" i="53" s="1"/>
  <c r="BD61" i="53"/>
  <c r="DF61" i="53" s="1"/>
  <c r="AX61" i="53"/>
  <c r="CZ61" i="53" s="1"/>
  <c r="BH61" i="53"/>
  <c r="DJ61" i="53" s="1"/>
  <c r="BB61" i="53"/>
  <c r="DD61" i="53" s="1"/>
  <c r="BF65" i="53"/>
  <c r="DH65" i="53" s="1"/>
  <c r="AZ65" i="53"/>
  <c r="DB65" i="53" s="1"/>
  <c r="BE24" i="53"/>
  <c r="DG24" i="53" s="1"/>
  <c r="AY24" i="53"/>
  <c r="DA24" i="53" s="1"/>
  <c r="BC48" i="53"/>
  <c r="AW48" i="53"/>
  <c r="BG48" i="53"/>
  <c r="BA48" i="53"/>
  <c r="BE61" i="53"/>
  <c r="DG61" i="53" s="1"/>
  <c r="AY61" i="53"/>
  <c r="DA61" i="53" s="1"/>
  <c r="BC65" i="53"/>
  <c r="DE65" i="53" s="1"/>
  <c r="BG65" i="53"/>
  <c r="DI65" i="53" s="1"/>
  <c r="BA65" i="53"/>
  <c r="DC65" i="53" s="1"/>
  <c r="BF24" i="53"/>
  <c r="DH24" i="53" s="1"/>
  <c r="AZ24" i="53"/>
  <c r="DB24" i="53" s="1"/>
  <c r="BD48" i="53"/>
  <c r="AX48" i="53"/>
  <c r="CZ48" i="53" s="1"/>
  <c r="BH48" i="53"/>
  <c r="BB48" i="53"/>
  <c r="DD48" i="53" s="1"/>
  <c r="AZ61" i="53"/>
  <c r="DB61" i="53" s="1"/>
  <c r="BF61" i="53"/>
  <c r="DH61" i="53" s="1"/>
  <c r="BD65" i="53"/>
  <c r="DF65" i="53" s="1"/>
  <c r="BH65" i="53"/>
  <c r="DJ65" i="53" s="1"/>
  <c r="BB65" i="53"/>
  <c r="DD65" i="53" s="1"/>
  <c r="X270" i="50"/>
  <c r="BJ270" i="50" s="1"/>
  <c r="Q279" i="50"/>
  <c r="BC279" i="50" s="1"/>
  <c r="AF99" i="62"/>
  <c r="BW99" i="62" s="1"/>
  <c r="AF51" i="50"/>
  <c r="Q67" i="62"/>
  <c r="AM80" i="62"/>
  <c r="AM139" i="50"/>
  <c r="X272" i="50"/>
  <c r="BJ272" i="50" s="1"/>
  <c r="AF61" i="62"/>
  <c r="BW61" i="62" s="1"/>
  <c r="AF132" i="50"/>
  <c r="BR132" i="50" s="1"/>
  <c r="AE214" i="50"/>
  <c r="BQ214" i="50" s="1"/>
  <c r="F71" i="85" s="1"/>
  <c r="J240" i="50"/>
  <c r="I262" i="50"/>
  <c r="X214" i="50"/>
  <c r="BJ214" i="50" s="1"/>
  <c r="F53" i="85" s="1"/>
  <c r="AM154" i="62"/>
  <c r="CD154" i="62" s="1"/>
  <c r="Q237" i="50"/>
  <c r="BC237" i="50" s="1"/>
  <c r="P236" i="50"/>
  <c r="P259" i="50"/>
  <c r="Y154" i="62"/>
  <c r="BP154" i="62" s="1"/>
  <c r="Y216" i="50"/>
  <c r="Q214" i="50"/>
  <c r="BC214" i="50" s="1"/>
  <c r="F35" i="85" s="1"/>
  <c r="AL214" i="50"/>
  <c r="BX214" i="50" s="1"/>
  <c r="F95" i="85" s="1"/>
  <c r="AM254" i="50"/>
  <c r="K218" i="50"/>
  <c r="K154" i="62"/>
  <c r="BB154" i="62" s="1"/>
  <c r="AK259" i="50"/>
  <c r="AL237" i="50"/>
  <c r="BX237" i="50" s="1"/>
  <c r="AK236" i="50"/>
  <c r="AF154" i="62"/>
  <c r="BW154" i="62" s="1"/>
  <c r="R154" i="62"/>
  <c r="BI154" i="62" s="1"/>
  <c r="AE75" i="50"/>
  <c r="BQ75" i="50" s="1"/>
  <c r="AE152" i="50"/>
  <c r="BQ152" i="50" s="1"/>
  <c r="AD172" i="50"/>
  <c r="BP172" i="50" s="1"/>
  <c r="AE64" i="50"/>
  <c r="BQ64" i="50" s="1"/>
  <c r="AL64" i="50"/>
  <c r="BX64" i="50" s="1"/>
  <c r="AE62" i="50"/>
  <c r="BQ62" i="50" s="1"/>
  <c r="AK61" i="50"/>
  <c r="BW61" i="50" s="1"/>
  <c r="AE159" i="50"/>
  <c r="BQ159" i="50" s="1"/>
  <c r="AD179" i="50"/>
  <c r="BP179" i="50" s="1"/>
  <c r="AD61" i="50"/>
  <c r="BP61" i="50" s="1"/>
  <c r="AM192" i="50"/>
  <c r="Y192" i="50"/>
  <c r="J192" i="50"/>
  <c r="AF192" i="50"/>
  <c r="Q275" i="50"/>
  <c r="BC275" i="50" s="1"/>
  <c r="X192" i="50"/>
  <c r="R260" i="50"/>
  <c r="BD260" i="50" s="1"/>
  <c r="R192" i="50"/>
  <c r="J278" i="50"/>
  <c r="AV278" i="50" s="1"/>
  <c r="AF67" i="62" l="1"/>
  <c r="BW67" i="62" s="1"/>
  <c r="Q272" i="50"/>
  <c r="BC272" i="50" s="1"/>
  <c r="X269" i="50"/>
  <c r="BJ269" i="50" s="1"/>
  <c r="X277" i="50"/>
  <c r="BJ277" i="50" s="1"/>
  <c r="AL266" i="50"/>
  <c r="BX266" i="50" s="1"/>
  <c r="X60" i="62"/>
  <c r="BO60" i="62" s="1"/>
  <c r="AE279" i="50"/>
  <c r="BQ279" i="50" s="1"/>
  <c r="AM244" i="50"/>
  <c r="BY244" i="50" s="1"/>
  <c r="X259" i="50"/>
  <c r="BJ259" i="50" s="1"/>
  <c r="AL270" i="50"/>
  <c r="BX270" i="50" s="1"/>
  <c r="Q269" i="50"/>
  <c r="BC269" i="50" s="1"/>
  <c r="D114" i="85"/>
  <c r="E112" i="85"/>
  <c r="E119" i="85"/>
  <c r="E129" i="85" s="1"/>
  <c r="R247" i="50"/>
  <c r="R269" i="50" s="1"/>
  <c r="BD269" i="50" s="1"/>
  <c r="F17" i="85"/>
  <c r="F113" i="85" s="1"/>
  <c r="C115" i="85"/>
  <c r="X266" i="50"/>
  <c r="BJ266" i="50" s="1"/>
  <c r="AE259" i="50"/>
  <c r="BQ259" i="50" s="1"/>
  <c r="Y243" i="50"/>
  <c r="BK243" i="50" s="1"/>
  <c r="AL265" i="50"/>
  <c r="BX265" i="50" s="1"/>
  <c r="AM248" i="50"/>
  <c r="AM270" i="50" s="1"/>
  <c r="BY270" i="50" s="1"/>
  <c r="AF169" i="50"/>
  <c r="AF189" i="50" s="1"/>
  <c r="BR189" i="50" s="1"/>
  <c r="Y256" i="50"/>
  <c r="BK256" i="50" s="1"/>
  <c r="Q274" i="50"/>
  <c r="BC274" i="50" s="1"/>
  <c r="BQ10" i="51"/>
  <c r="BX10" i="51" s="1"/>
  <c r="CE10" i="51"/>
  <c r="BC29" i="53"/>
  <c r="DE29" i="53" s="1"/>
  <c r="DE48" i="53"/>
  <c r="BD29" i="53"/>
  <c r="DF29" i="53" s="1"/>
  <c r="DF48" i="53"/>
  <c r="BG29" i="53"/>
  <c r="DI29" i="53" s="1"/>
  <c r="DI48" i="53"/>
  <c r="BE29" i="53"/>
  <c r="DG29" i="53" s="1"/>
  <c r="DG48" i="53"/>
  <c r="BF29" i="53"/>
  <c r="DH29" i="53" s="1"/>
  <c r="DH48" i="53"/>
  <c r="BH29" i="53"/>
  <c r="DJ29" i="53" s="1"/>
  <c r="DJ48" i="53"/>
  <c r="BA29" i="53"/>
  <c r="DC29" i="53" s="1"/>
  <c r="DC48" i="53"/>
  <c r="AW29" i="53"/>
  <c r="CY29" i="53" s="1"/>
  <c r="CY48" i="53"/>
  <c r="AF243" i="50"/>
  <c r="BR243" i="50" s="1"/>
  <c r="AF247" i="50"/>
  <c r="AF269" i="50" s="1"/>
  <c r="BR269" i="50" s="1"/>
  <c r="AW253" i="50"/>
  <c r="R243" i="50"/>
  <c r="R265" i="50" s="1"/>
  <c r="BD265" i="50" s="1"/>
  <c r="R252" i="50"/>
  <c r="R274" i="50" s="1"/>
  <c r="BD274" i="50" s="1"/>
  <c r="AE236" i="50"/>
  <c r="BQ236" i="50" s="1"/>
  <c r="F72" i="85" s="1"/>
  <c r="K250" i="50"/>
  <c r="K272" i="50" s="1"/>
  <c r="AW272" i="50" s="1"/>
  <c r="J272" i="50"/>
  <c r="AV272" i="50" s="1"/>
  <c r="Y248" i="50"/>
  <c r="BK248" i="50" s="1"/>
  <c r="J276" i="50"/>
  <c r="AV276" i="50" s="1"/>
  <c r="J279" i="50"/>
  <c r="AV279" i="50" s="1"/>
  <c r="AM243" i="50"/>
  <c r="BY243" i="50" s="1"/>
  <c r="Y241" i="50"/>
  <c r="BK241" i="50" s="1"/>
  <c r="AE275" i="50"/>
  <c r="BQ275" i="50" s="1"/>
  <c r="AL276" i="50"/>
  <c r="BX276" i="50" s="1"/>
  <c r="Y247" i="50"/>
  <c r="Y269" i="50" s="1"/>
  <c r="BK269" i="50" s="1"/>
  <c r="X271" i="50"/>
  <c r="BJ271" i="50" s="1"/>
  <c r="J266" i="50"/>
  <c r="AV266" i="50" s="1"/>
  <c r="AM242" i="50"/>
  <c r="AM264" i="50" s="1"/>
  <c r="BY264" i="50" s="1"/>
  <c r="AL274" i="50"/>
  <c r="BX274" i="50" s="1"/>
  <c r="Q276" i="50"/>
  <c r="BC276" i="50" s="1"/>
  <c r="AE264" i="50"/>
  <c r="BQ264" i="50" s="1"/>
  <c r="R248" i="50"/>
  <c r="BD248" i="50" s="1"/>
  <c r="AF214" i="50"/>
  <c r="BR214" i="50" s="1"/>
  <c r="G71" i="85" s="1"/>
  <c r="AE267" i="50"/>
  <c r="BQ267" i="50" s="1"/>
  <c r="AL264" i="50"/>
  <c r="BX264" i="50" s="1"/>
  <c r="AM238" i="50"/>
  <c r="BY238" i="50" s="1"/>
  <c r="X264" i="50"/>
  <c r="BJ264" i="50" s="1"/>
  <c r="AE274" i="50"/>
  <c r="BQ274" i="50" s="1"/>
  <c r="E129" i="67"/>
  <c r="AF163" i="50"/>
  <c r="BR163" i="50" s="1"/>
  <c r="X263" i="50"/>
  <c r="BJ263" i="50" s="1"/>
  <c r="AL260" i="50"/>
  <c r="BX260" i="50" s="1"/>
  <c r="K244" i="50"/>
  <c r="K266" i="50" s="1"/>
  <c r="AW266" i="50" s="1"/>
  <c r="Q267" i="50"/>
  <c r="BC267" i="50" s="1"/>
  <c r="AD258" i="50"/>
  <c r="E73" i="67" s="1"/>
  <c r="AF237" i="50"/>
  <c r="BR237" i="50" s="1"/>
  <c r="R67" i="62"/>
  <c r="BI67" i="62" s="1"/>
  <c r="X265" i="50"/>
  <c r="BJ265" i="50" s="1"/>
  <c r="AL269" i="50"/>
  <c r="BX269" i="50" s="1"/>
  <c r="Q265" i="50"/>
  <c r="BC265" i="50" s="1"/>
  <c r="Y254" i="50"/>
  <c r="Y276" i="50" s="1"/>
  <c r="BK276" i="50" s="1"/>
  <c r="D114" i="67"/>
  <c r="R251" i="50"/>
  <c r="R273" i="50" s="1"/>
  <c r="BD273" i="50" s="1"/>
  <c r="AF262" i="50"/>
  <c r="BR262" i="50" s="1"/>
  <c r="BR240" i="50"/>
  <c r="E72" i="67"/>
  <c r="BP236" i="50"/>
  <c r="E72" i="85" s="1"/>
  <c r="X260" i="50"/>
  <c r="BJ260" i="50" s="1"/>
  <c r="BJ238" i="50"/>
  <c r="K241" i="50"/>
  <c r="AV241" i="50"/>
  <c r="AM159" i="50"/>
  <c r="BY159" i="50" s="1"/>
  <c r="BY139" i="50"/>
  <c r="K246" i="50"/>
  <c r="J261" i="50"/>
  <c r="AV261" i="50" s="1"/>
  <c r="AL268" i="50"/>
  <c r="BX268" i="50" s="1"/>
  <c r="BX246" i="50"/>
  <c r="R268" i="50"/>
  <c r="BD268" i="50" s="1"/>
  <c r="BD246" i="50"/>
  <c r="K267" i="50"/>
  <c r="AW267" i="50" s="1"/>
  <c r="AW245" i="50"/>
  <c r="AF79" i="62"/>
  <c r="BW79" i="62" s="1"/>
  <c r="BW80" i="62"/>
  <c r="AF166" i="50"/>
  <c r="BQ166" i="50"/>
  <c r="AE186" i="50"/>
  <c r="BQ186" i="50" s="1"/>
  <c r="J263" i="50"/>
  <c r="AV263" i="50" s="1"/>
  <c r="K214" i="50"/>
  <c r="AW214" i="50" s="1"/>
  <c r="AW218" i="50"/>
  <c r="P258" i="50"/>
  <c r="BB259" i="50"/>
  <c r="J236" i="50"/>
  <c r="AV240" i="50"/>
  <c r="AM79" i="62"/>
  <c r="CD80" i="62"/>
  <c r="AL272" i="50"/>
  <c r="BX272" i="50" s="1"/>
  <c r="K257" i="50"/>
  <c r="Y242" i="50"/>
  <c r="K239" i="50"/>
  <c r="X261" i="50"/>
  <c r="BJ261" i="50" s="1"/>
  <c r="E54" i="67"/>
  <c r="BI236" i="50"/>
  <c r="E54" i="85" s="1"/>
  <c r="D55" i="67"/>
  <c r="BH258" i="50"/>
  <c r="D55" i="85" s="1"/>
  <c r="G70" i="67"/>
  <c r="G125" i="67" s="1"/>
  <c r="BR192" i="50"/>
  <c r="G70" i="85" s="1"/>
  <c r="G125" i="85" s="1"/>
  <c r="AM250" i="50"/>
  <c r="Y252" i="50"/>
  <c r="AL60" i="62"/>
  <c r="CC60" i="62" s="1"/>
  <c r="R254" i="50"/>
  <c r="AF276" i="50"/>
  <c r="BR276" i="50" s="1"/>
  <c r="BR254" i="50"/>
  <c r="AF268" i="50"/>
  <c r="BR268" i="50" s="1"/>
  <c r="BR246" i="50"/>
  <c r="R244" i="50"/>
  <c r="BJ257" i="50"/>
  <c r="X279" i="50"/>
  <c r="BJ279" i="50" s="1"/>
  <c r="Y257" i="50"/>
  <c r="BQ238" i="50"/>
  <c r="AE260" i="50"/>
  <c r="BQ260" i="50" s="1"/>
  <c r="AF278" i="50"/>
  <c r="BR278" i="50" s="1"/>
  <c r="BR256" i="50"/>
  <c r="AK258" i="50"/>
  <c r="BW259" i="50"/>
  <c r="AM276" i="50"/>
  <c r="BY276" i="50" s="1"/>
  <c r="BY254" i="50"/>
  <c r="K243" i="50"/>
  <c r="AV243" i="50"/>
  <c r="D97" i="67"/>
  <c r="BV258" i="50"/>
  <c r="D97" i="85" s="1"/>
  <c r="I258" i="50"/>
  <c r="AU262" i="50"/>
  <c r="Y250" i="50"/>
  <c r="AM260" i="50"/>
  <c r="BY260" i="50" s="1"/>
  <c r="AM265" i="50"/>
  <c r="BY265" i="50" s="1"/>
  <c r="J268" i="50"/>
  <c r="AV268" i="50" s="1"/>
  <c r="AE269" i="50"/>
  <c r="BQ269" i="50" s="1"/>
  <c r="BQ247" i="50"/>
  <c r="K249" i="50"/>
  <c r="AW249" i="50" s="1"/>
  <c r="AV249" i="50"/>
  <c r="J271" i="50"/>
  <c r="AV271" i="50" s="1"/>
  <c r="X278" i="50"/>
  <c r="BJ278" i="50" s="1"/>
  <c r="BJ256" i="50"/>
  <c r="AF76" i="50"/>
  <c r="BR76" i="50" s="1"/>
  <c r="BR51" i="50"/>
  <c r="AW205" i="50"/>
  <c r="K79" i="62"/>
  <c r="BB79" i="62" s="1"/>
  <c r="BB80" i="62"/>
  <c r="AF80" i="50"/>
  <c r="BR80" i="50" s="1"/>
  <c r="BQ80" i="50"/>
  <c r="AF84" i="50"/>
  <c r="BR84" i="50" s="1"/>
  <c r="BQ84" i="50"/>
  <c r="AM261" i="50"/>
  <c r="BY261" i="50" s="1"/>
  <c r="BY239" i="50"/>
  <c r="X236" i="50"/>
  <c r="G34" i="67"/>
  <c r="G121" i="67" s="1"/>
  <c r="BD192" i="50"/>
  <c r="G34" i="85" s="1"/>
  <c r="G121" i="85" s="1"/>
  <c r="W258" i="50"/>
  <c r="AE263" i="50"/>
  <c r="BQ263" i="50" s="1"/>
  <c r="E36" i="67"/>
  <c r="BB236" i="50"/>
  <c r="E36" i="85" s="1"/>
  <c r="AM247" i="50"/>
  <c r="AE60" i="62"/>
  <c r="BV60" i="62" s="1"/>
  <c r="K254" i="50"/>
  <c r="AM166" i="50"/>
  <c r="BY166" i="50" s="1"/>
  <c r="BX166" i="50"/>
  <c r="BX155" i="50"/>
  <c r="AM155" i="50"/>
  <c r="BY155" i="50" s="1"/>
  <c r="AM279" i="50"/>
  <c r="BY279" i="50" s="1"/>
  <c r="BY257" i="50"/>
  <c r="BX241" i="50"/>
  <c r="AL263" i="50"/>
  <c r="BX263" i="50" s="1"/>
  <c r="AM241" i="50"/>
  <c r="AF242" i="50"/>
  <c r="AM169" i="50"/>
  <c r="BY169" i="50" s="1"/>
  <c r="BX169" i="50"/>
  <c r="BX239" i="50"/>
  <c r="AL261" i="50"/>
  <c r="BX261" i="50" s="1"/>
  <c r="AL277" i="50"/>
  <c r="BX277" i="50" s="1"/>
  <c r="BX255" i="50"/>
  <c r="Y237" i="50"/>
  <c r="BK237" i="50" s="1"/>
  <c r="AF241" i="50"/>
  <c r="AM266" i="50"/>
  <c r="BY266" i="50" s="1"/>
  <c r="Q261" i="50"/>
  <c r="BC261" i="50" s="1"/>
  <c r="AE277" i="50"/>
  <c r="BQ277" i="50" s="1"/>
  <c r="Q60" i="62"/>
  <c r="BH60" i="62" s="1"/>
  <c r="BH67" i="62"/>
  <c r="Q277" i="50"/>
  <c r="BC277" i="50" s="1"/>
  <c r="AF252" i="50"/>
  <c r="K238" i="50"/>
  <c r="AW238" i="50" s="1"/>
  <c r="AV238" i="50"/>
  <c r="AM271" i="50"/>
  <c r="BY271" i="50" s="1"/>
  <c r="BY249" i="50"/>
  <c r="K242" i="50"/>
  <c r="AV242" i="50"/>
  <c r="AL267" i="50"/>
  <c r="BX267" i="50" s="1"/>
  <c r="BX245" i="50"/>
  <c r="AM168" i="50"/>
  <c r="BY168" i="50" s="1"/>
  <c r="BX168" i="50"/>
  <c r="D19" i="67"/>
  <c r="AT258" i="50"/>
  <c r="D19" i="85" s="1"/>
  <c r="AF68" i="50"/>
  <c r="BR68" i="50" s="1"/>
  <c r="BQ68" i="50"/>
  <c r="J260" i="50"/>
  <c r="AV260" i="50" s="1"/>
  <c r="K237" i="50"/>
  <c r="AW237" i="50" s="1"/>
  <c r="F16" i="67"/>
  <c r="F119" i="67" s="1"/>
  <c r="AV192" i="50"/>
  <c r="F16" i="85" s="1"/>
  <c r="X276" i="50"/>
  <c r="BJ276" i="50" s="1"/>
  <c r="AE175" i="50"/>
  <c r="BQ175" i="50" s="1"/>
  <c r="AM214" i="50"/>
  <c r="BY214" i="50" s="1"/>
  <c r="G95" i="85" s="1"/>
  <c r="R239" i="50"/>
  <c r="AF255" i="50"/>
  <c r="AF245" i="50"/>
  <c r="Y255" i="50"/>
  <c r="R245" i="50"/>
  <c r="X262" i="50"/>
  <c r="BJ262" i="50" s="1"/>
  <c r="R257" i="50"/>
  <c r="Y244" i="50"/>
  <c r="AM252" i="50"/>
  <c r="R241" i="50"/>
  <c r="AL275" i="50"/>
  <c r="BX275" i="50" s="1"/>
  <c r="AM246" i="50"/>
  <c r="R255" i="50"/>
  <c r="AF81" i="50"/>
  <c r="BR81" i="50" s="1"/>
  <c r="BQ81" i="50"/>
  <c r="AM163" i="50"/>
  <c r="BY163" i="50" s="1"/>
  <c r="BX163" i="50"/>
  <c r="D73" i="67"/>
  <c r="BO258" i="50"/>
  <c r="D73" i="85" s="1"/>
  <c r="AM160" i="50"/>
  <c r="BY160" i="50" s="1"/>
  <c r="BX160" i="50"/>
  <c r="AF168" i="50"/>
  <c r="BQ168" i="50"/>
  <c r="AE188" i="50"/>
  <c r="BQ188" i="50" s="1"/>
  <c r="AF73" i="50"/>
  <c r="BR73" i="50" s="1"/>
  <c r="BQ73" i="50"/>
  <c r="R253" i="50"/>
  <c r="BC253" i="50"/>
  <c r="K256" i="50"/>
  <c r="F52" i="67"/>
  <c r="F123" i="67" s="1"/>
  <c r="BJ192" i="50"/>
  <c r="F52" i="85" s="1"/>
  <c r="F123" i="85" s="1"/>
  <c r="J259" i="50"/>
  <c r="AV259" i="50" s="1"/>
  <c r="J269" i="50"/>
  <c r="AV269" i="50" s="1"/>
  <c r="AF155" i="50"/>
  <c r="E96" i="67"/>
  <c r="BW236" i="50"/>
  <c r="E96" i="85" s="1"/>
  <c r="R250" i="50"/>
  <c r="AE271" i="50"/>
  <c r="BQ271" i="50" s="1"/>
  <c r="Q264" i="50"/>
  <c r="BC264" i="50" s="1"/>
  <c r="Q271" i="50"/>
  <c r="BC271" i="50" s="1"/>
  <c r="J270" i="50"/>
  <c r="AV270" i="50" s="1"/>
  <c r="Q263" i="50"/>
  <c r="BC263" i="50" s="1"/>
  <c r="Y240" i="50"/>
  <c r="AL262" i="50"/>
  <c r="BX262" i="50" s="1"/>
  <c r="AE272" i="50"/>
  <c r="BQ272" i="50" s="1"/>
  <c r="AE273" i="50"/>
  <c r="BQ273" i="50" s="1"/>
  <c r="AM255" i="50"/>
  <c r="AF239" i="50"/>
  <c r="AM253" i="50"/>
  <c r="AF253" i="50"/>
  <c r="E112" i="67"/>
  <c r="AE261" i="50"/>
  <c r="BQ261" i="50" s="1"/>
  <c r="BQ239" i="50"/>
  <c r="AF78" i="50"/>
  <c r="BR78" i="50" s="1"/>
  <c r="BQ78" i="50"/>
  <c r="AM273" i="50"/>
  <c r="BY273" i="50" s="1"/>
  <c r="BY251" i="50"/>
  <c r="R278" i="50"/>
  <c r="BD278" i="50" s="1"/>
  <c r="BD256" i="50"/>
  <c r="AW207" i="50"/>
  <c r="R79" i="62"/>
  <c r="BI79" i="62" s="1"/>
  <c r="BI83" i="62"/>
  <c r="BJ253" i="50"/>
  <c r="Y253" i="50"/>
  <c r="X275" i="50"/>
  <c r="BJ275" i="50" s="1"/>
  <c r="AM67" i="62"/>
  <c r="CD67" i="62" s="1"/>
  <c r="CD74" i="62"/>
  <c r="AW194" i="50"/>
  <c r="K255" i="50"/>
  <c r="AW255" i="50" s="1"/>
  <c r="AV255" i="50"/>
  <c r="BX152" i="50"/>
  <c r="AM152" i="50"/>
  <c r="BY152" i="50" s="1"/>
  <c r="AF74" i="50"/>
  <c r="BR74" i="50" s="1"/>
  <c r="BQ74" i="50"/>
  <c r="E18" i="67"/>
  <c r="AU236" i="50"/>
  <c r="E18" i="85" s="1"/>
  <c r="Y267" i="50"/>
  <c r="BK267" i="50" s="1"/>
  <c r="BK245" i="50"/>
  <c r="Y214" i="50"/>
  <c r="BK214" i="50" s="1"/>
  <c r="G53" i="85" s="1"/>
  <c r="BK216" i="50"/>
  <c r="AF266" i="50"/>
  <c r="BR266" i="50" s="1"/>
  <c r="BR244" i="50"/>
  <c r="Y251" i="50"/>
  <c r="BJ251" i="50"/>
  <c r="X273" i="50"/>
  <c r="BJ273" i="50" s="1"/>
  <c r="K252" i="50"/>
  <c r="AV252" i="50"/>
  <c r="G52" i="67"/>
  <c r="G123" i="67" s="1"/>
  <c r="BK192" i="50"/>
  <c r="G52" i="85" s="1"/>
  <c r="G123" i="85" s="1"/>
  <c r="D37" i="67"/>
  <c r="BA258" i="50"/>
  <c r="D37" i="85" s="1"/>
  <c r="AE262" i="50"/>
  <c r="BQ262" i="50" s="1"/>
  <c r="BQ240" i="50"/>
  <c r="Q273" i="50"/>
  <c r="BC273" i="50" s="1"/>
  <c r="BC251" i="50"/>
  <c r="X274" i="50"/>
  <c r="BJ274" i="50" s="1"/>
  <c r="BJ252" i="50"/>
  <c r="G94" i="67"/>
  <c r="G127" i="67" s="1"/>
  <c r="BY192" i="50"/>
  <c r="G94" i="85" s="1"/>
  <c r="G127" i="85" s="1"/>
  <c r="BP71" i="62"/>
  <c r="Y67" i="62"/>
  <c r="K247" i="50"/>
  <c r="R214" i="50"/>
  <c r="BD214" i="50" s="1"/>
  <c r="G35" i="85" s="1"/>
  <c r="AF249" i="50"/>
  <c r="R242" i="50"/>
  <c r="R249" i="50"/>
  <c r="Y249" i="50"/>
  <c r="K248" i="50"/>
  <c r="AF257" i="50"/>
  <c r="AL278" i="50"/>
  <c r="BX278" i="50" s="1"/>
  <c r="AE265" i="50"/>
  <c r="BQ265" i="50" s="1"/>
  <c r="AM240" i="50"/>
  <c r="AF250" i="50"/>
  <c r="AF251" i="50"/>
  <c r="AM267" i="50"/>
  <c r="BY267" i="50" s="1"/>
  <c r="BY245" i="50"/>
  <c r="AM256" i="50"/>
  <c r="Q270" i="50"/>
  <c r="BC270" i="50" s="1"/>
  <c r="Y246" i="50"/>
  <c r="Y239" i="50"/>
  <c r="C115" i="67"/>
  <c r="X268" i="50"/>
  <c r="BJ268" i="50" s="1"/>
  <c r="BJ246" i="50"/>
  <c r="AF160" i="50"/>
  <c r="BQ160" i="50"/>
  <c r="AE180" i="50"/>
  <c r="BQ180" i="50" s="1"/>
  <c r="R262" i="50"/>
  <c r="BD262" i="50" s="1"/>
  <c r="BD240" i="50"/>
  <c r="AF238" i="50"/>
  <c r="K251" i="50"/>
  <c r="AW251" i="50" s="1"/>
  <c r="AV251" i="50"/>
  <c r="J273" i="50"/>
  <c r="AV273" i="50" s="1"/>
  <c r="AF77" i="50"/>
  <c r="BR77" i="50" s="1"/>
  <c r="BQ77" i="50"/>
  <c r="Y79" i="62"/>
  <c r="BP79" i="62" s="1"/>
  <c r="BP83" i="62"/>
  <c r="AW211" i="50"/>
  <c r="AM77" i="50"/>
  <c r="BY77" i="50" s="1"/>
  <c r="BX77" i="50"/>
  <c r="BW74" i="50"/>
  <c r="AL74" i="50"/>
  <c r="AL78" i="50"/>
  <c r="BW78" i="50"/>
  <c r="AL73" i="50"/>
  <c r="BW73" i="50"/>
  <c r="BW84" i="50"/>
  <c r="AL84" i="50"/>
  <c r="BW76" i="50"/>
  <c r="AL76" i="50"/>
  <c r="AL80" i="50"/>
  <c r="BW80" i="50"/>
  <c r="AL81" i="50"/>
  <c r="BW81" i="50"/>
  <c r="BW62" i="50"/>
  <c r="AL62" i="50"/>
  <c r="BW75" i="50"/>
  <c r="AL75" i="50"/>
  <c r="AL68" i="50"/>
  <c r="BW68" i="50"/>
  <c r="BD90" i="53"/>
  <c r="DF90" i="53" s="1"/>
  <c r="AB36" i="7"/>
  <c r="AB58" i="7"/>
  <c r="T69" i="7"/>
  <c r="T47" i="7"/>
  <c r="AF60" i="62"/>
  <c r="BW60" i="62" s="1"/>
  <c r="AV30" i="7"/>
  <c r="CS30" i="7" s="1"/>
  <c r="Q30" i="7"/>
  <c r="BN30" i="7" s="1"/>
  <c r="F35" i="67"/>
  <c r="I30" i="7"/>
  <c r="BF30" i="7" s="1"/>
  <c r="F17" i="67"/>
  <c r="M132" i="67"/>
  <c r="Y30" i="7"/>
  <c r="BV30" i="7" s="1"/>
  <c r="F53" i="67"/>
  <c r="AG30" i="7"/>
  <c r="CD30" i="7" s="1"/>
  <c r="F71" i="67"/>
  <c r="AO30" i="7"/>
  <c r="CL30" i="7" s="1"/>
  <c r="F95" i="67"/>
  <c r="E113" i="67"/>
  <c r="Y238" i="50"/>
  <c r="AL259" i="50"/>
  <c r="AL236" i="50"/>
  <c r="AM237" i="50"/>
  <c r="BY237" i="50" s="1"/>
  <c r="K240" i="50"/>
  <c r="J262" i="50"/>
  <c r="R237" i="50"/>
  <c r="BD237" i="50" s="1"/>
  <c r="Q236" i="50"/>
  <c r="Q259" i="50"/>
  <c r="D72" i="49"/>
  <c r="D58" i="49"/>
  <c r="AE61" i="50"/>
  <c r="BQ61" i="50" s="1"/>
  <c r="AE172" i="50"/>
  <c r="BQ172" i="50" s="1"/>
  <c r="AF152" i="50"/>
  <c r="BR152" i="50" s="1"/>
  <c r="AF159" i="50"/>
  <c r="AE179" i="50"/>
  <c r="BQ179" i="50" s="1"/>
  <c r="AL61" i="50"/>
  <c r="BX61" i="50" s="1"/>
  <c r="AF64" i="50"/>
  <c r="BR64" i="50" s="1"/>
  <c r="AF62" i="50"/>
  <c r="BR62" i="50" s="1"/>
  <c r="AM64" i="50"/>
  <c r="BY64" i="50" s="1"/>
  <c r="AF75" i="50"/>
  <c r="BR75" i="50" s="1"/>
  <c r="K192" i="50"/>
  <c r="AF259" i="50"/>
  <c r="AA83" i="53"/>
  <c r="CE83" i="53" s="1"/>
  <c r="AA51" i="53"/>
  <c r="AA38" i="53"/>
  <c r="AV18" i="53"/>
  <c r="CX18" i="53" s="1"/>
  <c r="AU18" i="53"/>
  <c r="CW18" i="53" s="1"/>
  <c r="AT18" i="53"/>
  <c r="CV18" i="53" s="1"/>
  <c r="AS18" i="53"/>
  <c r="CU18" i="53" s="1"/>
  <c r="AR18" i="53"/>
  <c r="CT18" i="53" s="1"/>
  <c r="AQ18" i="53"/>
  <c r="CS18" i="53" s="1"/>
  <c r="AQ25" i="53"/>
  <c r="CS25" i="53" s="1"/>
  <c r="AN25" i="53"/>
  <c r="CQ25" i="53" s="1"/>
  <c r="AM25" i="53"/>
  <c r="CP25" i="53" s="1"/>
  <c r="AL25" i="53"/>
  <c r="CO25" i="53" s="1"/>
  <c r="AK25" i="53"/>
  <c r="CN25" i="53" s="1"/>
  <c r="AJ25" i="53"/>
  <c r="CM25" i="53" s="1"/>
  <c r="AI25" i="53"/>
  <c r="AF25" i="53"/>
  <c r="CJ25" i="53" s="1"/>
  <c r="AE25" i="53"/>
  <c r="CI25" i="53" s="1"/>
  <c r="AD25" i="53"/>
  <c r="CH25" i="53" s="1"/>
  <c r="AC25" i="53"/>
  <c r="CG25" i="53" s="1"/>
  <c r="AB25" i="53"/>
  <c r="CF25" i="53" s="1"/>
  <c r="AA25" i="53"/>
  <c r="AN83" i="53"/>
  <c r="CQ83" i="53" s="1"/>
  <c r="AM83" i="53"/>
  <c r="CP83" i="53" s="1"/>
  <c r="AL83" i="53"/>
  <c r="CO83" i="53" s="1"/>
  <c r="AK83" i="53"/>
  <c r="CN83" i="53" s="1"/>
  <c r="AJ83" i="53"/>
  <c r="CM83" i="53" s="1"/>
  <c r="AI83" i="53"/>
  <c r="CL83" i="53" s="1"/>
  <c r="AF83" i="53"/>
  <c r="CJ83" i="53" s="1"/>
  <c r="AE83" i="53"/>
  <c r="CI83" i="53" s="1"/>
  <c r="AD83" i="53"/>
  <c r="CH83" i="53" s="1"/>
  <c r="AC83" i="53"/>
  <c r="CG83" i="53" s="1"/>
  <c r="AB83" i="53"/>
  <c r="CF83" i="53" s="1"/>
  <c r="AN70" i="53"/>
  <c r="AM70" i="53"/>
  <c r="AL70" i="53"/>
  <c r="AK70" i="53"/>
  <c r="AJ70" i="53"/>
  <c r="CM70" i="53" s="1"/>
  <c r="U110" i="85" s="1"/>
  <c r="AI70" i="53"/>
  <c r="CL70" i="53" s="1"/>
  <c r="T110" i="85" s="1"/>
  <c r="AF70" i="53"/>
  <c r="AE70" i="53"/>
  <c r="AD70" i="53"/>
  <c r="AC70" i="53"/>
  <c r="AB70" i="53"/>
  <c r="CF70" i="53" s="1"/>
  <c r="U86" i="85" s="1"/>
  <c r="AA70" i="53"/>
  <c r="CE70" i="53" s="1"/>
  <c r="T86" i="85" s="1"/>
  <c r="AI55" i="53"/>
  <c r="CL55" i="53" s="1"/>
  <c r="T104" i="85" s="1"/>
  <c r="AA55" i="53"/>
  <c r="CE55" i="53" s="1"/>
  <c r="T80" i="85" s="1"/>
  <c r="AN51" i="53"/>
  <c r="CQ51" i="53" s="1"/>
  <c r="AM51" i="53"/>
  <c r="CP51" i="53" s="1"/>
  <c r="AL51" i="53"/>
  <c r="CO51" i="53" s="1"/>
  <c r="AK51" i="53"/>
  <c r="CN51" i="53" s="1"/>
  <c r="AJ51" i="53"/>
  <c r="CM51" i="53" s="1"/>
  <c r="AI51" i="53"/>
  <c r="AF51" i="53"/>
  <c r="CJ51" i="53" s="1"/>
  <c r="AE51" i="53"/>
  <c r="CI51" i="53" s="1"/>
  <c r="AD51" i="53"/>
  <c r="CH51" i="53" s="1"/>
  <c r="AC51" i="53"/>
  <c r="CG51" i="53" s="1"/>
  <c r="AB51" i="53"/>
  <c r="CF51" i="53" s="1"/>
  <c r="AN38" i="53"/>
  <c r="CQ38" i="53" s="1"/>
  <c r="AM38" i="53"/>
  <c r="CP38" i="53" s="1"/>
  <c r="AL38" i="53"/>
  <c r="CO38" i="53" s="1"/>
  <c r="AK38" i="53"/>
  <c r="CN38" i="53" s="1"/>
  <c r="AJ38" i="53"/>
  <c r="CM38" i="53" s="1"/>
  <c r="AI38" i="53"/>
  <c r="AF38" i="53"/>
  <c r="CJ38" i="53" s="1"/>
  <c r="AE38" i="53"/>
  <c r="CI38" i="53" s="1"/>
  <c r="AD38" i="53"/>
  <c r="CH38" i="53" s="1"/>
  <c r="AC38" i="53"/>
  <c r="CG38" i="53" s="1"/>
  <c r="AB38" i="53"/>
  <c r="CF38" i="53" s="1"/>
  <c r="AN18" i="53"/>
  <c r="CQ18" i="53" s="1"/>
  <c r="AM18" i="53"/>
  <c r="CP18" i="53" s="1"/>
  <c r="AL18" i="53"/>
  <c r="CO18" i="53" s="1"/>
  <c r="AK18" i="53"/>
  <c r="CN18" i="53" s="1"/>
  <c r="AJ18" i="53"/>
  <c r="CM18" i="53" s="1"/>
  <c r="AI18" i="53"/>
  <c r="AF18" i="53"/>
  <c r="CJ18" i="53" s="1"/>
  <c r="AE18" i="53"/>
  <c r="CI18" i="53" s="1"/>
  <c r="AD18" i="53"/>
  <c r="CH18" i="53" s="1"/>
  <c r="AC18" i="53"/>
  <c r="CG18" i="53" s="1"/>
  <c r="AB18" i="53"/>
  <c r="CF18" i="53" s="1"/>
  <c r="AA18" i="53"/>
  <c r="AI12" i="53"/>
  <c r="AF12" i="53"/>
  <c r="CJ12" i="53" s="1"/>
  <c r="AE12" i="53"/>
  <c r="CI12" i="53" s="1"/>
  <c r="AD12" i="53"/>
  <c r="CH12" i="53" s="1"/>
  <c r="AC12" i="53"/>
  <c r="CG12" i="53" s="1"/>
  <c r="AB12" i="53"/>
  <c r="CF12" i="53" s="1"/>
  <c r="AA12" i="53"/>
  <c r="BR169" i="50" l="1"/>
  <c r="Y265" i="50"/>
  <c r="BK265" i="50" s="1"/>
  <c r="Y270" i="50"/>
  <c r="BK270" i="50" s="1"/>
  <c r="AW244" i="50"/>
  <c r="BY242" i="50"/>
  <c r="BY248" i="50"/>
  <c r="E114" i="85"/>
  <c r="Z86" i="85"/>
  <c r="BD247" i="50"/>
  <c r="BD243" i="50"/>
  <c r="Y278" i="50"/>
  <c r="BK278" i="50" s="1"/>
  <c r="BD252" i="50"/>
  <c r="Y263" i="50"/>
  <c r="BK263" i="50" s="1"/>
  <c r="F112" i="85"/>
  <c r="F119" i="85"/>
  <c r="F129" i="85" s="1"/>
  <c r="Z110" i="85"/>
  <c r="M132" i="85"/>
  <c r="N132" i="85"/>
  <c r="G17" i="85"/>
  <c r="G113" i="85" s="1"/>
  <c r="D115" i="85"/>
  <c r="AF265" i="50"/>
  <c r="BR265" i="50" s="1"/>
  <c r="BR247" i="50"/>
  <c r="AM39" i="67"/>
  <c r="J72" i="49"/>
  <c r="AM39" i="85" s="1"/>
  <c r="F72" i="67"/>
  <c r="AM31" i="67"/>
  <c r="J58" i="49"/>
  <c r="AM31" i="85" s="1"/>
  <c r="BK247" i="50"/>
  <c r="K271" i="50"/>
  <c r="AW271" i="50" s="1"/>
  <c r="W110" i="67"/>
  <c r="CO70" i="53"/>
  <c r="W110" i="85" s="1"/>
  <c r="AU18" i="73"/>
  <c r="CE18" i="73" s="1"/>
  <c r="CL18" i="53"/>
  <c r="V86" i="67"/>
  <c r="CG70" i="53"/>
  <c r="V86" i="85" s="1"/>
  <c r="X110" i="67"/>
  <c r="CP70" i="53"/>
  <c r="X110" i="85" s="1"/>
  <c r="AJ38" i="73"/>
  <c r="BY38" i="73" s="1"/>
  <c r="CE38" i="53"/>
  <c r="W86" i="67"/>
  <c r="CH70" i="53"/>
  <c r="W86" i="85" s="1"/>
  <c r="Y110" i="67"/>
  <c r="CQ70" i="53"/>
  <c r="Y110" i="85" s="1"/>
  <c r="AA110" i="85" s="1"/>
  <c r="AJ51" i="73"/>
  <c r="BY51" i="73" s="1"/>
  <c r="CE51" i="53"/>
  <c r="AJ18" i="73"/>
  <c r="BY18" i="73" s="1"/>
  <c r="CE18" i="53"/>
  <c r="X86" i="67"/>
  <c r="CI70" i="53"/>
  <c r="X86" i="85" s="1"/>
  <c r="AU38" i="73"/>
  <c r="CE38" i="73" s="1"/>
  <c r="CL38" i="53"/>
  <c r="Y86" i="67"/>
  <c r="CJ70" i="53"/>
  <c r="Y86" i="85" s="1"/>
  <c r="AA86" i="85" s="1"/>
  <c r="AU25" i="73"/>
  <c r="CE25" i="73" s="1"/>
  <c r="CL25" i="53"/>
  <c r="AJ25" i="73"/>
  <c r="BY25" i="73" s="1"/>
  <c r="CE25" i="53"/>
  <c r="AU12" i="73"/>
  <c r="CE12" i="73" s="1"/>
  <c r="CL12" i="53"/>
  <c r="AJ12" i="73"/>
  <c r="BY12" i="73" s="1"/>
  <c r="CE12" i="53"/>
  <c r="AU51" i="73"/>
  <c r="CE51" i="73" s="1"/>
  <c r="CL51" i="53"/>
  <c r="V110" i="67"/>
  <c r="CN70" i="53"/>
  <c r="V110" i="85" s="1"/>
  <c r="G71" i="67"/>
  <c r="AW250" i="50"/>
  <c r="R270" i="50"/>
  <c r="BD270" i="50" s="1"/>
  <c r="AH30" i="7"/>
  <c r="CE30" i="7" s="1"/>
  <c r="G17" i="67"/>
  <c r="J30" i="7"/>
  <c r="BG30" i="7" s="1"/>
  <c r="Y259" i="50"/>
  <c r="BK259" i="50" s="1"/>
  <c r="X258" i="50"/>
  <c r="F55" i="67" s="1"/>
  <c r="G95" i="67"/>
  <c r="BP258" i="50"/>
  <c r="E73" i="85" s="1"/>
  <c r="K260" i="50"/>
  <c r="AW260" i="50" s="1"/>
  <c r="AF183" i="50"/>
  <c r="BR183" i="50" s="1"/>
  <c r="R30" i="7"/>
  <c r="BO30" i="7" s="1"/>
  <c r="N132" i="67"/>
  <c r="O132" i="67" s="1"/>
  <c r="E114" i="67"/>
  <c r="F112" i="67"/>
  <c r="BK254" i="50"/>
  <c r="BD251" i="50"/>
  <c r="G53" i="67"/>
  <c r="K259" i="50"/>
  <c r="AW259" i="50" s="1"/>
  <c r="AE258" i="50"/>
  <c r="BQ258" i="50" s="1"/>
  <c r="F73" i="85" s="1"/>
  <c r="Z30" i="7"/>
  <c r="BW30" i="7" s="1"/>
  <c r="AF179" i="50"/>
  <c r="BR179" i="50" s="1"/>
  <c r="BR159" i="50"/>
  <c r="Y271" i="50"/>
  <c r="BK271" i="50" s="1"/>
  <c r="BK249" i="50"/>
  <c r="BK251" i="50"/>
  <c r="Y273" i="50"/>
  <c r="BK273" i="50" s="1"/>
  <c r="AF263" i="50"/>
  <c r="BR263" i="50" s="1"/>
  <c r="BR241" i="50"/>
  <c r="AM269" i="50"/>
  <c r="BY269" i="50" s="1"/>
  <c r="BY247" i="50"/>
  <c r="K277" i="50"/>
  <c r="AW277" i="50" s="1"/>
  <c r="R271" i="50"/>
  <c r="BD271" i="50" s="1"/>
  <c r="BD249" i="50"/>
  <c r="BR168" i="50"/>
  <c r="AF188" i="50"/>
  <c r="BR188" i="50" s="1"/>
  <c r="AM263" i="50"/>
  <c r="BY263" i="50" s="1"/>
  <c r="BY241" i="50"/>
  <c r="F54" i="67"/>
  <c r="BJ236" i="50"/>
  <c r="F54" i="85" s="1"/>
  <c r="F18" i="67"/>
  <c r="AV236" i="50"/>
  <c r="F18" i="85" s="1"/>
  <c r="F129" i="67"/>
  <c r="R264" i="50"/>
  <c r="BD264" i="50" s="1"/>
  <c r="BD242" i="50"/>
  <c r="K278" i="50"/>
  <c r="AW278" i="50" s="1"/>
  <c r="AW256" i="50"/>
  <c r="R277" i="50"/>
  <c r="BD277" i="50" s="1"/>
  <c r="BD255" i="50"/>
  <c r="R261" i="50"/>
  <c r="BD261" i="50" s="1"/>
  <c r="BD239" i="50"/>
  <c r="K262" i="50"/>
  <c r="AW262" i="50" s="1"/>
  <c r="AW240" i="50"/>
  <c r="AM262" i="50"/>
  <c r="BY262" i="50" s="1"/>
  <c r="BY240" i="50"/>
  <c r="Y279" i="50"/>
  <c r="BK279" i="50" s="1"/>
  <c r="BK257" i="50"/>
  <c r="R276" i="50"/>
  <c r="BD276" i="50" s="1"/>
  <c r="BD254" i="50"/>
  <c r="Y264" i="50"/>
  <c r="BK264" i="50" s="1"/>
  <c r="BK242" i="50"/>
  <c r="E37" i="67"/>
  <c r="BB258" i="50"/>
  <c r="E37" i="85" s="1"/>
  <c r="BR166" i="50"/>
  <c r="AF186" i="50"/>
  <c r="BR186" i="50" s="1"/>
  <c r="Y268" i="50"/>
  <c r="BK268" i="50" s="1"/>
  <c r="BK246" i="50"/>
  <c r="Y262" i="50"/>
  <c r="BK262" i="50" s="1"/>
  <c r="BK240" i="50"/>
  <c r="BD253" i="50"/>
  <c r="R275" i="50"/>
  <c r="BD275" i="50" s="1"/>
  <c r="E19" i="67"/>
  <c r="AU258" i="50"/>
  <c r="E19" i="85" s="1"/>
  <c r="E97" i="67"/>
  <c r="BW258" i="50"/>
  <c r="E97" i="85" s="1"/>
  <c r="K279" i="50"/>
  <c r="AW279" i="50" s="1"/>
  <c r="AW257" i="50"/>
  <c r="BR259" i="50"/>
  <c r="F96" i="67"/>
  <c r="BX236" i="50"/>
  <c r="F96" i="85" s="1"/>
  <c r="K269" i="50"/>
  <c r="AW269" i="50" s="1"/>
  <c r="AW247" i="50"/>
  <c r="AW252" i="50"/>
  <c r="K274" i="50"/>
  <c r="AW274" i="50" s="1"/>
  <c r="AF275" i="50"/>
  <c r="BR275" i="50" s="1"/>
  <c r="BR253" i="50"/>
  <c r="AF175" i="50"/>
  <c r="BR175" i="50" s="1"/>
  <c r="BR155" i="50"/>
  <c r="R263" i="50"/>
  <c r="BD263" i="50" s="1"/>
  <c r="BD241" i="50"/>
  <c r="Y277" i="50"/>
  <c r="BK277" i="50" s="1"/>
  <c r="BK255" i="50"/>
  <c r="D115" i="67"/>
  <c r="Y274" i="50"/>
  <c r="BK274" i="50" s="1"/>
  <c r="BK252" i="50"/>
  <c r="R60" i="62"/>
  <c r="BI60" i="62" s="1"/>
  <c r="K268" i="50"/>
  <c r="AW268" i="50" s="1"/>
  <c r="AW246" i="50"/>
  <c r="AW241" i="50"/>
  <c r="K263" i="50"/>
  <c r="AW263" i="50" s="1"/>
  <c r="AM277" i="50"/>
  <c r="BY277" i="50" s="1"/>
  <c r="BY255" i="50"/>
  <c r="R279" i="50"/>
  <c r="BD279" i="50" s="1"/>
  <c r="BD257" i="50"/>
  <c r="AF274" i="50"/>
  <c r="BR274" i="50" s="1"/>
  <c r="BR252" i="50"/>
  <c r="AF264" i="50"/>
  <c r="BR264" i="50" s="1"/>
  <c r="BR242" i="50"/>
  <c r="Y272" i="50"/>
  <c r="BK272" i="50" s="1"/>
  <c r="BK250" i="50"/>
  <c r="AW243" i="50"/>
  <c r="K265" i="50"/>
  <c r="AW265" i="50" s="1"/>
  <c r="AF273" i="50"/>
  <c r="BR273" i="50" s="1"/>
  <c r="BR251" i="50"/>
  <c r="J258" i="50"/>
  <c r="AV262" i="50"/>
  <c r="BR238" i="50"/>
  <c r="AF260" i="50"/>
  <c r="BR260" i="50" s="1"/>
  <c r="AF272" i="50"/>
  <c r="BR272" i="50" s="1"/>
  <c r="BR250" i="50"/>
  <c r="K273" i="50"/>
  <c r="AW273" i="50" s="1"/>
  <c r="R272" i="50"/>
  <c r="BD272" i="50" s="1"/>
  <c r="BD250" i="50"/>
  <c r="R267" i="50"/>
  <c r="BD267" i="50" s="1"/>
  <c r="BD245" i="50"/>
  <c r="K276" i="50"/>
  <c r="AW276" i="50" s="1"/>
  <c r="AW254" i="50"/>
  <c r="K261" i="50"/>
  <c r="AW261" i="50" s="1"/>
  <c r="AW239" i="50"/>
  <c r="Y261" i="50"/>
  <c r="BK261" i="50" s="1"/>
  <c r="BK239" i="50"/>
  <c r="AF271" i="50"/>
  <c r="BR271" i="50" s="1"/>
  <c r="BR249" i="50"/>
  <c r="AM268" i="50"/>
  <c r="BY268" i="50" s="1"/>
  <c r="BY246" i="50"/>
  <c r="AW242" i="50"/>
  <c r="K264" i="50"/>
  <c r="AW264" i="50" s="1"/>
  <c r="AP30" i="7"/>
  <c r="CM30" i="7" s="1"/>
  <c r="AF236" i="50"/>
  <c r="Q258" i="50"/>
  <c r="BC259" i="50"/>
  <c r="AL258" i="50"/>
  <c r="BX259" i="50"/>
  <c r="AM278" i="50"/>
  <c r="BY278" i="50" s="1"/>
  <c r="BY256" i="50"/>
  <c r="AF279" i="50"/>
  <c r="BR279" i="50" s="1"/>
  <c r="BR257" i="50"/>
  <c r="BP67" i="62"/>
  <c r="Y60" i="62"/>
  <c r="BP60" i="62" s="1"/>
  <c r="Y275" i="50"/>
  <c r="BK275" i="50" s="1"/>
  <c r="BK253" i="50"/>
  <c r="AM275" i="50"/>
  <c r="BY275" i="50" s="1"/>
  <c r="BY253" i="50"/>
  <c r="AM274" i="50"/>
  <c r="BY274" i="50" s="1"/>
  <c r="BY252" i="50"/>
  <c r="AF267" i="50"/>
  <c r="BR267" i="50" s="1"/>
  <c r="BR245" i="50"/>
  <c r="E55" i="67"/>
  <c r="BI258" i="50"/>
  <c r="E55" i="85" s="1"/>
  <c r="R266" i="50"/>
  <c r="BD266" i="50" s="1"/>
  <c r="BD244" i="50"/>
  <c r="AM272" i="50"/>
  <c r="BY272" i="50" s="1"/>
  <c r="BY250" i="50"/>
  <c r="G16" i="67"/>
  <c r="G112" i="67" s="1"/>
  <c r="AW192" i="50"/>
  <c r="G16" i="85" s="1"/>
  <c r="F36" i="67"/>
  <c r="BC236" i="50"/>
  <c r="F36" i="85" s="1"/>
  <c r="Y260" i="50"/>
  <c r="BK260" i="50" s="1"/>
  <c r="BK238" i="50"/>
  <c r="G35" i="67"/>
  <c r="BR160" i="50"/>
  <c r="AF180" i="50"/>
  <c r="BR180" i="50" s="1"/>
  <c r="K270" i="50"/>
  <c r="AW270" i="50" s="1"/>
  <c r="AW248" i="50"/>
  <c r="AF261" i="50"/>
  <c r="BR261" i="50" s="1"/>
  <c r="BR239" i="50"/>
  <c r="Y266" i="50"/>
  <c r="BK266" i="50" s="1"/>
  <c r="BK244" i="50"/>
  <c r="AF277" i="50"/>
  <c r="BR277" i="50" s="1"/>
  <c r="BR255" i="50"/>
  <c r="AM60" i="62"/>
  <c r="CD60" i="62" s="1"/>
  <c r="CD79" i="62"/>
  <c r="AM68" i="50"/>
  <c r="BY68" i="50" s="1"/>
  <c r="BX68" i="50"/>
  <c r="AM80" i="50"/>
  <c r="BY80" i="50" s="1"/>
  <c r="BX80" i="50"/>
  <c r="AM78" i="50"/>
  <c r="BY78" i="50" s="1"/>
  <c r="BX78" i="50"/>
  <c r="BX75" i="50"/>
  <c r="AM75" i="50"/>
  <c r="BY75" i="50" s="1"/>
  <c r="BX76" i="50"/>
  <c r="AM76" i="50"/>
  <c r="BY76" i="50" s="1"/>
  <c r="BX74" i="50"/>
  <c r="AM74" i="50"/>
  <c r="BY74" i="50" s="1"/>
  <c r="AM81" i="50"/>
  <c r="BY81" i="50" s="1"/>
  <c r="BX81" i="50"/>
  <c r="AM73" i="50"/>
  <c r="BY73" i="50" s="1"/>
  <c r="BX73" i="50"/>
  <c r="BX62" i="50"/>
  <c r="AM62" i="50"/>
  <c r="BY62" i="50" s="1"/>
  <c r="BX84" i="50"/>
  <c r="AM84" i="50"/>
  <c r="BY84" i="50" s="1"/>
  <c r="AH83" i="53"/>
  <c r="AG83" i="53"/>
  <c r="CK83" i="53" s="1"/>
  <c r="AH18" i="53"/>
  <c r="AG18" i="53"/>
  <c r="CK18" i="53" s="1"/>
  <c r="AP83" i="53"/>
  <c r="AO83" i="53"/>
  <c r="CR83" i="53" s="1"/>
  <c r="AO18" i="53"/>
  <c r="CR18" i="53" s="1"/>
  <c r="AP18" i="53"/>
  <c r="U110" i="67"/>
  <c r="AP70" i="53"/>
  <c r="AO70" i="53"/>
  <c r="CR70" i="53" s="1"/>
  <c r="AH38" i="53"/>
  <c r="AG38" i="53"/>
  <c r="CK38" i="53" s="1"/>
  <c r="AH25" i="53"/>
  <c r="AG25" i="53"/>
  <c r="CK25" i="53" s="1"/>
  <c r="AH51" i="53"/>
  <c r="AG51" i="53"/>
  <c r="CK51" i="53" s="1"/>
  <c r="AO38" i="53"/>
  <c r="CR38" i="53" s="1"/>
  <c r="AP38" i="53"/>
  <c r="AP25" i="53"/>
  <c r="AO25" i="53"/>
  <c r="CR25" i="53" s="1"/>
  <c r="AG12" i="53"/>
  <c r="CK12" i="53" s="1"/>
  <c r="AH12" i="53"/>
  <c r="AP51" i="53"/>
  <c r="AO51" i="53"/>
  <c r="CR51" i="53" s="1"/>
  <c r="U86" i="67"/>
  <c r="AG70" i="53"/>
  <c r="CK70" i="53" s="1"/>
  <c r="AH70" i="53"/>
  <c r="AR8" i="7"/>
  <c r="AJ36" i="7"/>
  <c r="AJ58" i="7"/>
  <c r="AB69" i="7"/>
  <c r="AB47" i="7"/>
  <c r="AW30" i="7"/>
  <c r="CT30" i="7" s="1"/>
  <c r="AJ70" i="73"/>
  <c r="BY70" i="73" s="1"/>
  <c r="T86" i="67"/>
  <c r="F113" i="67"/>
  <c r="AU70" i="73"/>
  <c r="CE70" i="73" s="1"/>
  <c r="T110" i="67"/>
  <c r="AU55" i="73"/>
  <c r="CE55" i="73" s="1"/>
  <c r="T104" i="67"/>
  <c r="AJ55" i="73"/>
  <c r="BY55" i="73" s="1"/>
  <c r="T80" i="67"/>
  <c r="K236" i="50"/>
  <c r="Y236" i="50"/>
  <c r="AO12" i="73"/>
  <c r="CB12" i="73" s="1"/>
  <c r="AP12" i="73"/>
  <c r="AR12" i="73"/>
  <c r="AQ12" i="73"/>
  <c r="CC12" i="73" s="1"/>
  <c r="AK38" i="73"/>
  <c r="BZ38" i="73" s="1"/>
  <c r="AL38" i="73"/>
  <c r="AS38" i="73"/>
  <c r="CD38" i="73" s="1"/>
  <c r="AT38" i="73"/>
  <c r="BA38" i="73"/>
  <c r="AZ38" i="73"/>
  <c r="CH38" i="73" s="1"/>
  <c r="AN51" i="73"/>
  <c r="AM51" i="73"/>
  <c r="CA51" i="73" s="1"/>
  <c r="BB51" i="73"/>
  <c r="CI51" i="73" s="1"/>
  <c r="BC51" i="73"/>
  <c r="AQ70" i="73"/>
  <c r="CC70" i="73" s="1"/>
  <c r="AR70" i="73"/>
  <c r="AY70" i="73"/>
  <c r="AX70" i="73"/>
  <c r="CG70" i="73" s="1"/>
  <c r="AB76" i="53"/>
  <c r="CF76" i="53" s="1"/>
  <c r="U87" i="85" s="1"/>
  <c r="AK83" i="73"/>
  <c r="BZ83" i="73" s="1"/>
  <c r="AL83" i="73"/>
  <c r="AS83" i="73"/>
  <c r="CD83" i="73" s="1"/>
  <c r="AT83" i="73"/>
  <c r="AL76" i="53"/>
  <c r="BA83" i="73"/>
  <c r="AZ83" i="73"/>
  <c r="CH83" i="73" s="1"/>
  <c r="AK25" i="73"/>
  <c r="BZ25" i="73" s="1"/>
  <c r="AL25" i="73"/>
  <c r="AS25" i="73"/>
  <c r="CD25" i="73" s="1"/>
  <c r="AT25" i="73"/>
  <c r="BA25" i="73"/>
  <c r="AZ25" i="73"/>
  <c r="CH25" i="73" s="1"/>
  <c r="AA76" i="53"/>
  <c r="CE76" i="53" s="1"/>
  <c r="T87" i="85" s="1"/>
  <c r="AJ83" i="73"/>
  <c r="BY83" i="73" s="1"/>
  <c r="AS12" i="73"/>
  <c r="CD12" i="73" s="1"/>
  <c r="AT12" i="73"/>
  <c r="BB38" i="73"/>
  <c r="CI38" i="73" s="1"/>
  <c r="BC38" i="73"/>
  <c r="AW51" i="73"/>
  <c r="AV51" i="73"/>
  <c r="CF51" i="73" s="1"/>
  <c r="BE51" i="73"/>
  <c r="BD51" i="73"/>
  <c r="CJ51" i="73" s="1"/>
  <c r="AL70" i="73"/>
  <c r="AK70" i="73"/>
  <c r="BZ70" i="73" s="1"/>
  <c r="AT70" i="73"/>
  <c r="AS70" i="73"/>
  <c r="CD70" i="73" s="1"/>
  <c r="AZ70" i="73"/>
  <c r="CH70" i="73" s="1"/>
  <c r="BA70" i="73"/>
  <c r="AC76" i="53"/>
  <c r="AN83" i="73"/>
  <c r="AM83" i="73"/>
  <c r="CA83" i="73" s="1"/>
  <c r="AI76" i="53"/>
  <c r="CL76" i="53" s="1"/>
  <c r="T111" i="85" s="1"/>
  <c r="AU83" i="73"/>
  <c r="CE83" i="73" s="1"/>
  <c r="AM76" i="53"/>
  <c r="BB83" i="73"/>
  <c r="CI83" i="73" s="1"/>
  <c r="BC83" i="73"/>
  <c r="AN25" i="73"/>
  <c r="AM25" i="73"/>
  <c r="CA25" i="73" s="1"/>
  <c r="BB25" i="73"/>
  <c r="CI25" i="73" s="1"/>
  <c r="BC25" i="73"/>
  <c r="AK12" i="73"/>
  <c r="BZ12" i="73" s="1"/>
  <c r="AL12" i="73"/>
  <c r="AN38" i="73"/>
  <c r="AM38" i="73"/>
  <c r="CA38" i="73" s="1"/>
  <c r="AO51" i="73"/>
  <c r="CB51" i="73" s="1"/>
  <c r="AP51" i="73"/>
  <c r="AN12" i="73"/>
  <c r="AM12" i="73"/>
  <c r="CA12" i="73" s="1"/>
  <c r="AO38" i="73"/>
  <c r="CB38" i="73" s="1"/>
  <c r="AP38" i="73"/>
  <c r="AW38" i="73"/>
  <c r="AV38" i="73"/>
  <c r="CF38" i="73" s="1"/>
  <c r="BE38" i="73"/>
  <c r="BD38" i="73"/>
  <c r="CJ38" i="73" s="1"/>
  <c r="AR51" i="73"/>
  <c r="AQ51" i="73"/>
  <c r="CC51" i="73" s="1"/>
  <c r="AX51" i="73"/>
  <c r="CG51" i="73" s="1"/>
  <c r="AY51" i="73"/>
  <c r="AM70" i="73"/>
  <c r="CA70" i="73" s="1"/>
  <c r="AN70" i="73"/>
  <c r="BC70" i="73"/>
  <c r="BB70" i="73"/>
  <c r="CI70" i="73" s="1"/>
  <c r="AD76" i="53"/>
  <c r="AO83" i="73"/>
  <c r="CB83" i="73" s="1"/>
  <c r="AP83" i="73"/>
  <c r="AJ76" i="53"/>
  <c r="CM76" i="53" s="1"/>
  <c r="U111" i="85" s="1"/>
  <c r="AW83" i="73"/>
  <c r="AV83" i="73"/>
  <c r="CF83" i="73" s="1"/>
  <c r="BE83" i="73"/>
  <c r="BD83" i="73"/>
  <c r="CJ83" i="73" s="1"/>
  <c r="AO25" i="73"/>
  <c r="CB25" i="73" s="1"/>
  <c r="AP25" i="73"/>
  <c r="AW25" i="73"/>
  <c r="AV25" i="73"/>
  <c r="CF25" i="73" s="1"/>
  <c r="BE25" i="73"/>
  <c r="BD25" i="73"/>
  <c r="CJ25" i="73" s="1"/>
  <c r="AR38" i="73"/>
  <c r="AQ38" i="73"/>
  <c r="CC38" i="73" s="1"/>
  <c r="AX38" i="73"/>
  <c r="CG38" i="73" s="1"/>
  <c r="AY38" i="73"/>
  <c r="AK51" i="73"/>
  <c r="BZ51" i="73" s="1"/>
  <c r="AL51" i="73"/>
  <c r="AS51" i="73"/>
  <c r="CD51" i="73" s="1"/>
  <c r="AT51" i="73"/>
  <c r="BA51" i="73"/>
  <c r="AZ51" i="73"/>
  <c r="CH51" i="73" s="1"/>
  <c r="AP70" i="73"/>
  <c r="AO70" i="73"/>
  <c r="CB70" i="73" s="1"/>
  <c r="AV70" i="73"/>
  <c r="CF70" i="73" s="1"/>
  <c r="AW70" i="73"/>
  <c r="BD70" i="73"/>
  <c r="CJ70" i="73" s="1"/>
  <c r="BE70" i="73"/>
  <c r="AE76" i="53"/>
  <c r="AR83" i="73"/>
  <c r="AQ83" i="73"/>
  <c r="CC83" i="73" s="1"/>
  <c r="AK76" i="53"/>
  <c r="AX83" i="73"/>
  <c r="CG83" i="73" s="1"/>
  <c r="AY83" i="73"/>
  <c r="AR25" i="73"/>
  <c r="AQ25" i="73"/>
  <c r="CC25" i="73" s="1"/>
  <c r="AX25" i="73"/>
  <c r="CG25" i="73" s="1"/>
  <c r="AY25" i="73"/>
  <c r="AN18" i="73"/>
  <c r="AM18" i="73"/>
  <c r="CA18" i="73" s="1"/>
  <c r="BC18" i="73"/>
  <c r="BB18" i="73"/>
  <c r="CI18" i="73" s="1"/>
  <c r="AO18" i="73"/>
  <c r="CB18" i="73" s="1"/>
  <c r="AP18" i="73"/>
  <c r="AV18" i="73"/>
  <c r="CF18" i="73" s="1"/>
  <c r="AW18" i="73"/>
  <c r="BD18" i="73"/>
  <c r="CJ18" i="73" s="1"/>
  <c r="BE18" i="73"/>
  <c r="AR18" i="73"/>
  <c r="AQ18" i="73"/>
  <c r="CC18" i="73" s="1"/>
  <c r="AY18" i="73"/>
  <c r="AX18" i="73"/>
  <c r="CG18" i="73" s="1"/>
  <c r="AL18" i="73"/>
  <c r="AK18" i="73"/>
  <c r="BZ18" i="73" s="1"/>
  <c r="AT18" i="73"/>
  <c r="AS18" i="73"/>
  <c r="CD18" i="73" s="1"/>
  <c r="AZ18" i="73"/>
  <c r="CH18" i="73" s="1"/>
  <c r="BA18" i="73"/>
  <c r="AN76" i="53"/>
  <c r="AF76" i="53"/>
  <c r="AM29" i="53"/>
  <c r="R236" i="50"/>
  <c r="R259" i="50"/>
  <c r="AM236" i="50"/>
  <c r="AM259" i="50"/>
  <c r="AM61" i="50"/>
  <c r="BY61" i="50" s="1"/>
  <c r="AF172" i="50"/>
  <c r="BR172" i="50" s="1"/>
  <c r="AF61" i="50"/>
  <c r="BR61" i="50" s="1"/>
  <c r="AJ29" i="53"/>
  <c r="CM29" i="53" s="1"/>
  <c r="U103" i="85" s="1"/>
  <c r="AF29" i="53"/>
  <c r="AN29" i="53"/>
  <c r="AC29" i="53"/>
  <c r="AI29" i="53"/>
  <c r="CL29" i="53" s="1"/>
  <c r="T103" i="85" s="1"/>
  <c r="AL29" i="53"/>
  <c r="AA29" i="53"/>
  <c r="CE29" i="53" s="1"/>
  <c r="T79" i="85" s="1"/>
  <c r="AD29" i="53"/>
  <c r="AE29" i="53"/>
  <c r="AB29" i="53"/>
  <c r="CF29" i="53" s="1"/>
  <c r="U79" i="85" s="1"/>
  <c r="AK29" i="53"/>
  <c r="Z103" i="85" l="1"/>
  <c r="Z79" i="85"/>
  <c r="Z87" i="85"/>
  <c r="F114" i="85"/>
  <c r="E115" i="85"/>
  <c r="Z111" i="85"/>
  <c r="O132" i="85"/>
  <c r="G112" i="85"/>
  <c r="G119" i="85"/>
  <c r="G129" i="85" s="1"/>
  <c r="G113" i="67"/>
  <c r="F73" i="67"/>
  <c r="Y111" i="67"/>
  <c r="CQ76" i="53"/>
  <c r="Y111" i="85" s="1"/>
  <c r="AA111" i="85" s="1"/>
  <c r="W111" i="67"/>
  <c r="CO76" i="53"/>
  <c r="W111" i="85" s="1"/>
  <c r="V103" i="67"/>
  <c r="CN29" i="53"/>
  <c r="V103" i="85" s="1"/>
  <c r="X79" i="67"/>
  <c r="CI29" i="53"/>
  <c r="X79" i="85" s="1"/>
  <c r="X103" i="67"/>
  <c r="CP29" i="53"/>
  <c r="X103" i="85" s="1"/>
  <c r="X87" i="67"/>
  <c r="CI76" i="53"/>
  <c r="X87" i="85" s="1"/>
  <c r="W87" i="67"/>
  <c r="CH76" i="53"/>
  <c r="W87" i="85" s="1"/>
  <c r="W103" i="67"/>
  <c r="CO29" i="53"/>
  <c r="W103" i="85" s="1"/>
  <c r="V87" i="67"/>
  <c r="CG76" i="53"/>
  <c r="V87" i="85" s="1"/>
  <c r="V79" i="67"/>
  <c r="CG29" i="53"/>
  <c r="V79" i="85" s="1"/>
  <c r="V111" i="67"/>
  <c r="CN76" i="53"/>
  <c r="V111" i="85" s="1"/>
  <c r="Y103" i="67"/>
  <c r="CQ29" i="53"/>
  <c r="Y103" i="85" s="1"/>
  <c r="AA103" i="85" s="1"/>
  <c r="Y79" i="67"/>
  <c r="CJ29" i="53"/>
  <c r="Y79" i="85" s="1"/>
  <c r="AA79" i="85" s="1"/>
  <c r="X111" i="67"/>
  <c r="CP76" i="53"/>
  <c r="X111" i="85" s="1"/>
  <c r="W79" i="67"/>
  <c r="CH29" i="53"/>
  <c r="W79" i="85" s="1"/>
  <c r="Y87" i="67"/>
  <c r="CJ76" i="53"/>
  <c r="Y87" i="85" s="1"/>
  <c r="AA87" i="85" s="1"/>
  <c r="AX30" i="7"/>
  <c r="CU30" i="7" s="1"/>
  <c r="F114" i="67"/>
  <c r="BJ258" i="50"/>
  <c r="F55" i="85" s="1"/>
  <c r="Y258" i="50"/>
  <c r="G55" i="67" s="1"/>
  <c r="G119" i="67"/>
  <c r="G129" i="67" s="1"/>
  <c r="R258" i="50"/>
  <c r="BD259" i="50"/>
  <c r="K258" i="50"/>
  <c r="G36" i="67"/>
  <c r="BD236" i="50"/>
  <c r="G36" i="85" s="1"/>
  <c r="F97" i="67"/>
  <c r="BX258" i="50"/>
  <c r="F97" i="85" s="1"/>
  <c r="E115" i="67"/>
  <c r="F37" i="67"/>
  <c r="BC258" i="50"/>
  <c r="F37" i="85" s="1"/>
  <c r="G72" i="67"/>
  <c r="BR236" i="50"/>
  <c r="G72" i="85" s="1"/>
  <c r="F19" i="67"/>
  <c r="AV258" i="50"/>
  <c r="F19" i="85" s="1"/>
  <c r="AF258" i="50"/>
  <c r="G96" i="67"/>
  <c r="BY236" i="50"/>
  <c r="G96" i="85" s="1"/>
  <c r="G54" i="67"/>
  <c r="BK236" i="50"/>
  <c r="G54" i="85" s="1"/>
  <c r="AM258" i="50"/>
  <c r="BY259" i="50"/>
  <c r="G18" i="67"/>
  <c r="AW236" i="50"/>
  <c r="G18" i="85" s="1"/>
  <c r="Z110" i="67"/>
  <c r="Z86" i="67"/>
  <c r="U111" i="67"/>
  <c r="AP76" i="53"/>
  <c r="AO76" i="53"/>
  <c r="CR76" i="53" s="1"/>
  <c r="U103" i="67"/>
  <c r="AP29" i="53"/>
  <c r="AO29" i="53"/>
  <c r="CR29" i="53" s="1"/>
  <c r="U79" i="67"/>
  <c r="AH29" i="53"/>
  <c r="AG29" i="53"/>
  <c r="CK29" i="53" s="1"/>
  <c r="U87" i="67"/>
  <c r="AG76" i="53"/>
  <c r="CK76" i="53" s="1"/>
  <c r="AH76" i="53"/>
  <c r="AJ69" i="7"/>
  <c r="AJ47" i="7"/>
  <c r="AR36" i="7"/>
  <c r="AR58" i="7"/>
  <c r="AA110" i="67"/>
  <c r="AJ76" i="73"/>
  <c r="BY76" i="73" s="1"/>
  <c r="T87" i="67"/>
  <c r="AA86" i="67"/>
  <c r="AU76" i="73"/>
  <c r="CE76" i="73" s="1"/>
  <c r="T111" i="67"/>
  <c r="AU29" i="73"/>
  <c r="CE29" i="73" s="1"/>
  <c r="T103" i="67"/>
  <c r="AJ29" i="73"/>
  <c r="BY29" i="73" s="1"/>
  <c r="T79" i="67"/>
  <c r="BC76" i="73"/>
  <c r="BB76" i="73"/>
  <c r="CI76" i="73" s="1"/>
  <c r="AQ76" i="73"/>
  <c r="CC76" i="73" s="1"/>
  <c r="AR76" i="73"/>
  <c r="AP76" i="73"/>
  <c r="AO76" i="73"/>
  <c r="CB76" i="73" s="1"/>
  <c r="AM76" i="73"/>
  <c r="CA76" i="73" s="1"/>
  <c r="AN76" i="73"/>
  <c r="AT76" i="73"/>
  <c r="AS76" i="73"/>
  <c r="CD76" i="73" s="1"/>
  <c r="AY76" i="73"/>
  <c r="AX76" i="73"/>
  <c r="CG76" i="73" s="1"/>
  <c r="AV76" i="73"/>
  <c r="CF76" i="73" s="1"/>
  <c r="AW76" i="73"/>
  <c r="AZ76" i="73"/>
  <c r="CH76" i="73" s="1"/>
  <c r="BA76" i="73"/>
  <c r="BD76" i="73"/>
  <c r="CJ76" i="73" s="1"/>
  <c r="BE76" i="73"/>
  <c r="AL76" i="73"/>
  <c r="AK76" i="73"/>
  <c r="BZ76" i="73" s="1"/>
  <c r="AL29" i="73"/>
  <c r="AK29" i="73"/>
  <c r="BZ29" i="73" s="1"/>
  <c r="BA29" i="73"/>
  <c r="AZ29" i="73"/>
  <c r="CH29" i="73" s="1"/>
  <c r="AT29" i="73"/>
  <c r="AS29" i="73"/>
  <c r="CD29" i="73" s="1"/>
  <c r="BB29" i="73"/>
  <c r="CI29" i="73" s="1"/>
  <c r="BC29" i="73"/>
  <c r="AQ29" i="73"/>
  <c r="CC29" i="73" s="1"/>
  <c r="AR29" i="73"/>
  <c r="AW29" i="73"/>
  <c r="AV29" i="73"/>
  <c r="CF29" i="73" s="1"/>
  <c r="AP29" i="73"/>
  <c r="AO29" i="73"/>
  <c r="CB29" i="73" s="1"/>
  <c r="AN29" i="73"/>
  <c r="AM29" i="73"/>
  <c r="CA29" i="73" s="1"/>
  <c r="AX29" i="73"/>
  <c r="CG29" i="73" s="1"/>
  <c r="AY29" i="73"/>
  <c r="BE29" i="73"/>
  <c r="BD29" i="73"/>
  <c r="CJ29" i="73" s="1"/>
  <c r="E72" i="49"/>
  <c r="E58" i="49"/>
  <c r="G114" i="85" l="1"/>
  <c r="F115" i="85"/>
  <c r="AN31" i="67"/>
  <c r="K58" i="49"/>
  <c r="AN31" i="85" s="1"/>
  <c r="AN39" i="67"/>
  <c r="K72" i="49"/>
  <c r="AN39" i="85" s="1"/>
  <c r="AA87" i="67"/>
  <c r="G114" i="67"/>
  <c r="BK258" i="50"/>
  <c r="G55" i="85" s="1"/>
  <c r="G73" i="67"/>
  <c r="BR258" i="50"/>
  <c r="G73" i="85" s="1"/>
  <c r="G97" i="67"/>
  <c r="BY258" i="50"/>
  <c r="G97" i="85" s="1"/>
  <c r="F115" i="67"/>
  <c r="G19" i="67"/>
  <c r="AW258" i="50"/>
  <c r="G19" i="85" s="1"/>
  <c r="G37" i="67"/>
  <c r="BD258" i="50"/>
  <c r="G37" i="85" s="1"/>
  <c r="Z111" i="67"/>
  <c r="Z79" i="67"/>
  <c r="Z103" i="67"/>
  <c r="AR47" i="7"/>
  <c r="AR69" i="7"/>
  <c r="Z87" i="67"/>
  <c r="AA111" i="67"/>
  <c r="AA79" i="67"/>
  <c r="AA103" i="67"/>
  <c r="F72" i="49"/>
  <c r="F58" i="49"/>
  <c r="H101" i="39"/>
  <c r="G101" i="39"/>
  <c r="F101" i="39"/>
  <c r="E101" i="39"/>
  <c r="D101" i="39"/>
  <c r="C101" i="39"/>
  <c r="H92" i="39"/>
  <c r="G92" i="39"/>
  <c r="F92" i="39"/>
  <c r="E92" i="39"/>
  <c r="D92" i="39"/>
  <c r="I91" i="39"/>
  <c r="V91" i="39" s="1"/>
  <c r="H91" i="39"/>
  <c r="G91" i="39"/>
  <c r="F91" i="39"/>
  <c r="E91" i="39"/>
  <c r="D91" i="39"/>
  <c r="C91" i="39"/>
  <c r="H90" i="39"/>
  <c r="G90" i="39"/>
  <c r="F90" i="39"/>
  <c r="E90" i="39"/>
  <c r="D90" i="39"/>
  <c r="I89" i="39"/>
  <c r="V89" i="39" s="1"/>
  <c r="D89" i="39"/>
  <c r="H81" i="39"/>
  <c r="Q15" i="83" s="1"/>
  <c r="G81" i="39"/>
  <c r="P15" i="83" s="1"/>
  <c r="F81" i="39"/>
  <c r="O15" i="83" s="1"/>
  <c r="E81" i="39"/>
  <c r="N15" i="83" s="1"/>
  <c r="D81" i="39"/>
  <c r="M15" i="83" s="1"/>
  <c r="M81" i="39"/>
  <c r="Z81" i="39" s="1"/>
  <c r="L81" i="39"/>
  <c r="Y81" i="39" s="1"/>
  <c r="N72" i="39"/>
  <c r="M72" i="39"/>
  <c r="L72" i="39"/>
  <c r="K72" i="39"/>
  <c r="J72" i="39"/>
  <c r="I72" i="39"/>
  <c r="I65" i="39"/>
  <c r="H65" i="39"/>
  <c r="Q13" i="83" s="1"/>
  <c r="G65" i="39"/>
  <c r="P13" i="83" s="1"/>
  <c r="F65" i="39"/>
  <c r="O13" i="83" s="1"/>
  <c r="E65" i="39"/>
  <c r="N13" i="83" s="1"/>
  <c r="D65" i="39"/>
  <c r="M13" i="83" s="1"/>
  <c r="C65" i="39"/>
  <c r="L13" i="83" s="1"/>
  <c r="N65" i="39"/>
  <c r="AA65" i="39" s="1"/>
  <c r="N56" i="39"/>
  <c r="M56" i="39"/>
  <c r="L56" i="39"/>
  <c r="K56" i="39"/>
  <c r="J56" i="39"/>
  <c r="I56" i="39"/>
  <c r="D49" i="39"/>
  <c r="M10" i="83" s="1"/>
  <c r="I34" i="39"/>
  <c r="H34" i="39"/>
  <c r="G34" i="39"/>
  <c r="F34" i="39"/>
  <c r="E34" i="39"/>
  <c r="D34" i="39"/>
  <c r="C34" i="39"/>
  <c r="H40" i="39"/>
  <c r="G40" i="39"/>
  <c r="F40" i="39"/>
  <c r="D40" i="39"/>
  <c r="C40" i="39"/>
  <c r="I18" i="39"/>
  <c r="V18" i="39" s="1"/>
  <c r="R5" i="83" s="1"/>
  <c r="H18" i="39"/>
  <c r="Q5" i="83" s="1"/>
  <c r="G18" i="39"/>
  <c r="P5" i="83" s="1"/>
  <c r="F18" i="39"/>
  <c r="O5" i="83" s="1"/>
  <c r="D18" i="39"/>
  <c r="L5" i="78"/>
  <c r="N92" i="39"/>
  <c r="AA92" i="39" s="1"/>
  <c r="M92" i="39"/>
  <c r="Z92" i="39" s="1"/>
  <c r="L92" i="39"/>
  <c r="Y92" i="39" s="1"/>
  <c r="K92" i="39"/>
  <c r="X92" i="39" s="1"/>
  <c r="J92" i="39"/>
  <c r="W92" i="39" s="1"/>
  <c r="N91" i="39"/>
  <c r="AA91" i="39" s="1"/>
  <c r="M91" i="39"/>
  <c r="Z91" i="39" s="1"/>
  <c r="L91" i="39"/>
  <c r="Y91" i="39" s="1"/>
  <c r="K91" i="39"/>
  <c r="X91" i="39" s="1"/>
  <c r="J91" i="39"/>
  <c r="W91" i="39" s="1"/>
  <c r="N9" i="39"/>
  <c r="M9" i="39"/>
  <c r="L9" i="39"/>
  <c r="K9" i="39"/>
  <c r="J9" i="39"/>
  <c r="I9" i="39"/>
  <c r="Q8" i="78" l="1"/>
  <c r="Q8" i="83"/>
  <c r="V15" i="83"/>
  <c r="Z82" i="39"/>
  <c r="V16" i="83" s="1"/>
  <c r="M5" i="78"/>
  <c r="M5" i="83"/>
  <c r="W13" i="83"/>
  <c r="P8" i="78"/>
  <c r="P8" i="83"/>
  <c r="L8" i="78"/>
  <c r="L8" i="83"/>
  <c r="L18" i="83" s="1"/>
  <c r="M8" i="78"/>
  <c r="M8" i="83"/>
  <c r="G115" i="85"/>
  <c r="U15" i="83"/>
  <c r="N8" i="78"/>
  <c r="N8" i="83"/>
  <c r="O8" i="78"/>
  <c r="O8" i="83"/>
  <c r="AO31" i="67"/>
  <c r="L58" i="49"/>
  <c r="AO31" i="85" s="1"/>
  <c r="AO39" i="67"/>
  <c r="L72" i="49"/>
  <c r="AO39" i="85" s="1"/>
  <c r="G115" i="67"/>
  <c r="Q9" i="39"/>
  <c r="AD9" i="39" s="1"/>
  <c r="X9" i="39"/>
  <c r="P72" i="39"/>
  <c r="AC72" i="39" s="1"/>
  <c r="W72" i="39"/>
  <c r="R9" i="39"/>
  <c r="AE9" i="39" s="1"/>
  <c r="Y9" i="39"/>
  <c r="O56" i="39"/>
  <c r="AB56" i="39" s="1"/>
  <c r="V56" i="39"/>
  <c r="S56" i="39"/>
  <c r="AF56" i="39" s="1"/>
  <c r="Z56" i="39"/>
  <c r="Q72" i="39"/>
  <c r="AD72" i="39" s="1"/>
  <c r="X72" i="39"/>
  <c r="P56" i="39"/>
  <c r="AC56" i="39" s="1"/>
  <c r="W56" i="39"/>
  <c r="T56" i="39"/>
  <c r="AG56" i="39" s="1"/>
  <c r="AA56" i="39"/>
  <c r="R13" i="78"/>
  <c r="V65" i="39"/>
  <c r="R13" i="83" s="1"/>
  <c r="R72" i="39"/>
  <c r="AE72" i="39" s="1"/>
  <c r="Y72" i="39"/>
  <c r="R56" i="39"/>
  <c r="AE56" i="39" s="1"/>
  <c r="Y56" i="39"/>
  <c r="T72" i="39"/>
  <c r="AG72" i="39" s="1"/>
  <c r="AA72" i="39"/>
  <c r="O9" i="39"/>
  <c r="AB9" i="39" s="1"/>
  <c r="V9" i="39"/>
  <c r="S9" i="39"/>
  <c r="AF9" i="39" s="1"/>
  <c r="Z9" i="39"/>
  <c r="P9" i="39"/>
  <c r="AC9" i="39" s="1"/>
  <c r="W9" i="39"/>
  <c r="T9" i="39"/>
  <c r="AG9" i="39" s="1"/>
  <c r="AA9" i="39"/>
  <c r="R8" i="78"/>
  <c r="V34" i="39"/>
  <c r="R8" i="83" s="1"/>
  <c r="R18" i="83" s="1"/>
  <c r="Q56" i="39"/>
  <c r="AD56" i="39" s="1"/>
  <c r="X56" i="39"/>
  <c r="O72" i="39"/>
  <c r="AB72" i="39" s="1"/>
  <c r="V72" i="39"/>
  <c r="S72" i="39"/>
  <c r="AF72" i="39" s="1"/>
  <c r="Z72" i="39"/>
  <c r="D93" i="39"/>
  <c r="C96" i="39"/>
  <c r="C93" i="39"/>
  <c r="Q15" i="78"/>
  <c r="H84" i="39"/>
  <c r="D84" i="39"/>
  <c r="N15" i="78"/>
  <c r="E84" i="39"/>
  <c r="O15" i="78"/>
  <c r="F84" i="39"/>
  <c r="P15" i="78"/>
  <c r="G84" i="39"/>
  <c r="P13" i="78"/>
  <c r="G68" i="39"/>
  <c r="O13" i="78"/>
  <c r="F68" i="39"/>
  <c r="Q13" i="78"/>
  <c r="H68" i="39"/>
  <c r="N13" i="78"/>
  <c r="E68" i="39"/>
  <c r="M13" i="78"/>
  <c r="D68" i="39"/>
  <c r="L13" i="78"/>
  <c r="C68" i="39"/>
  <c r="F21" i="39"/>
  <c r="O5" i="78"/>
  <c r="AM17" i="53"/>
  <c r="CP17" i="53" s="1"/>
  <c r="AV31" i="85" s="1"/>
  <c r="V15" i="78"/>
  <c r="AS17" i="53"/>
  <c r="CU17" i="53" s="1"/>
  <c r="T21" i="78"/>
  <c r="D82" i="39"/>
  <c r="M15" i="78"/>
  <c r="H21" i="39"/>
  <c r="Q5" i="78"/>
  <c r="G21" i="39"/>
  <c r="P5" i="78"/>
  <c r="C51" i="39"/>
  <c r="L10" i="78"/>
  <c r="AF17" i="53"/>
  <c r="CJ17" i="53" s="1"/>
  <c r="AW25" i="85" s="1"/>
  <c r="W13" i="78"/>
  <c r="D51" i="39"/>
  <c r="M10" i="78"/>
  <c r="C17" i="53"/>
  <c r="R5" i="78"/>
  <c r="AL17" i="53"/>
  <c r="CO17" i="53" s="1"/>
  <c r="AU31" i="85" s="1"/>
  <c r="U15" i="78"/>
  <c r="O89" i="39"/>
  <c r="AB89" i="39" s="1"/>
  <c r="D50" i="39"/>
  <c r="D19" i="39"/>
  <c r="E19" i="39"/>
  <c r="D35" i="39"/>
  <c r="D66" i="39"/>
  <c r="AI17" i="53"/>
  <c r="CL17" i="53" s="1"/>
  <c r="AA17" i="53"/>
  <c r="CE17" i="53" s="1"/>
  <c r="P91" i="39"/>
  <c r="AC91" i="39" s="1"/>
  <c r="T91" i="39"/>
  <c r="AG91" i="39" s="1"/>
  <c r="S91" i="39"/>
  <c r="AF91" i="39" s="1"/>
  <c r="D96" i="39"/>
  <c r="P92" i="39"/>
  <c r="AC92" i="39" s="1"/>
  <c r="T92" i="39"/>
  <c r="AG92" i="39" s="1"/>
  <c r="S92" i="39"/>
  <c r="AF92" i="39" s="1"/>
  <c r="R91" i="39"/>
  <c r="AE91" i="39" s="1"/>
  <c r="H35" i="39"/>
  <c r="F66" i="39"/>
  <c r="G82" i="39"/>
  <c r="O92" i="39"/>
  <c r="AB92" i="39" s="1"/>
  <c r="G35" i="39"/>
  <c r="Q92" i="39"/>
  <c r="AD92" i="39" s="1"/>
  <c r="K17" i="53"/>
  <c r="R92" i="39"/>
  <c r="AE92" i="39" s="1"/>
  <c r="O34" i="39"/>
  <c r="AB34" i="39" s="1"/>
  <c r="H66" i="39"/>
  <c r="G66" i="39"/>
  <c r="H82" i="39"/>
  <c r="T17" i="78"/>
  <c r="E89" i="39"/>
  <c r="E93" i="39" s="1"/>
  <c r="O65" i="39"/>
  <c r="AB65" i="39" s="1"/>
  <c r="E35" i="39"/>
  <c r="F49" i="39"/>
  <c r="O10" i="83" s="1"/>
  <c r="O18" i="83" s="1"/>
  <c r="O91" i="39"/>
  <c r="AB91" i="39" s="1"/>
  <c r="Q91" i="39"/>
  <c r="AD91" i="39" s="1"/>
  <c r="I90" i="39"/>
  <c r="J25" i="39"/>
  <c r="N25" i="39"/>
  <c r="K18" i="39"/>
  <c r="L18" i="39"/>
  <c r="M18" i="39"/>
  <c r="F19" i="39"/>
  <c r="G88" i="39"/>
  <c r="M40" i="39"/>
  <c r="K34" i="39"/>
  <c r="X34" i="39" s="1"/>
  <c r="T65" i="39"/>
  <c r="AG65" i="39" s="1"/>
  <c r="G19" i="39"/>
  <c r="D88" i="39"/>
  <c r="J40" i="39"/>
  <c r="H88" i="39"/>
  <c r="N40" i="39"/>
  <c r="L25" i="39"/>
  <c r="H19" i="39"/>
  <c r="O18" i="39"/>
  <c r="AB18" i="39" s="1"/>
  <c r="K25" i="39"/>
  <c r="E40" i="39"/>
  <c r="I25" i="39"/>
  <c r="M25" i="39"/>
  <c r="M34" i="39"/>
  <c r="Z34" i="39" s="1"/>
  <c r="C88" i="39"/>
  <c r="I40" i="39"/>
  <c r="F88" i="39"/>
  <c r="L40" i="39"/>
  <c r="J34" i="39"/>
  <c r="W34" i="39" s="1"/>
  <c r="N34" i="39"/>
  <c r="AA34" i="39" s="1"/>
  <c r="F35" i="39"/>
  <c r="K65" i="39"/>
  <c r="X65" i="39" s="1"/>
  <c r="E66" i="39"/>
  <c r="K81" i="39"/>
  <c r="L65" i="39"/>
  <c r="Y65" i="39" s="1"/>
  <c r="R81" i="39"/>
  <c r="AE81" i="39" s="1"/>
  <c r="L34" i="39"/>
  <c r="Y34" i="39" s="1"/>
  <c r="M65" i="39"/>
  <c r="Z65" i="39" s="1"/>
  <c r="AA66" i="39" s="1"/>
  <c r="W14" i="83" s="1"/>
  <c r="S81" i="39"/>
  <c r="AF81" i="39" s="1"/>
  <c r="M82" i="39"/>
  <c r="V16" i="78" s="1"/>
  <c r="E49" i="39"/>
  <c r="J65" i="39"/>
  <c r="W65" i="39" s="1"/>
  <c r="E82" i="39"/>
  <c r="J81" i="39"/>
  <c r="N81" i="39"/>
  <c r="AA81" i="39" s="1"/>
  <c r="F82" i="39"/>
  <c r="O81" i="39"/>
  <c r="AB81" i="39" s="1"/>
  <c r="W81" i="39" l="1"/>
  <c r="AF82" i="39"/>
  <c r="M18" i="83"/>
  <c r="M20" i="83" s="1"/>
  <c r="O20" i="83"/>
  <c r="T13" i="83"/>
  <c r="X66" i="39"/>
  <c r="T14" i="83" s="1"/>
  <c r="V8" i="83"/>
  <c r="Z35" i="39"/>
  <c r="V9" i="83" s="1"/>
  <c r="P14" i="78"/>
  <c r="P14" i="83"/>
  <c r="P16" i="78"/>
  <c r="P16" i="83"/>
  <c r="M6" i="78"/>
  <c r="M6" i="83"/>
  <c r="M12" i="78"/>
  <c r="M12" i="83"/>
  <c r="O9" i="78"/>
  <c r="O9" i="83"/>
  <c r="O6" i="78"/>
  <c r="O6" i="83"/>
  <c r="Q14" i="78"/>
  <c r="Q14" i="83"/>
  <c r="O14" i="78"/>
  <c r="O14" i="83"/>
  <c r="M11" i="78"/>
  <c r="M11" i="83"/>
  <c r="N6" i="78"/>
  <c r="N6" i="83"/>
  <c r="W8" i="83"/>
  <c r="AA35" i="39"/>
  <c r="W9" i="83" s="1"/>
  <c r="Q9" i="78"/>
  <c r="Q9" i="83"/>
  <c r="M16" i="78"/>
  <c r="M16" i="83"/>
  <c r="V13" i="83"/>
  <c r="Z66" i="39"/>
  <c r="V14" i="83" s="1"/>
  <c r="Y35" i="39"/>
  <c r="U9" i="83" s="1"/>
  <c r="U8" i="83"/>
  <c r="W35" i="39"/>
  <c r="S9" i="83" s="1"/>
  <c r="S8" i="83"/>
  <c r="N9" i="78"/>
  <c r="N9" i="83"/>
  <c r="N10" i="78"/>
  <c r="N18" i="78" s="1"/>
  <c r="N10" i="83"/>
  <c r="N18" i="83" s="1"/>
  <c r="O16" i="78"/>
  <c r="O16" i="83"/>
  <c r="P6" i="78"/>
  <c r="P6" i="83"/>
  <c r="L12" i="78"/>
  <c r="L12" i="83"/>
  <c r="N14" i="78"/>
  <c r="N14" i="83"/>
  <c r="Q16" i="78"/>
  <c r="Q16" i="83"/>
  <c r="AA82" i="39"/>
  <c r="W16" i="83" s="1"/>
  <c r="W15" i="83"/>
  <c r="N16" i="78"/>
  <c r="N16" i="83"/>
  <c r="M14" i="78"/>
  <c r="M14" i="83"/>
  <c r="W82" i="39"/>
  <c r="S16" i="83" s="1"/>
  <c r="S15" i="83"/>
  <c r="U13" i="83"/>
  <c r="Y66" i="39"/>
  <c r="U14" i="83" s="1"/>
  <c r="S13" i="83"/>
  <c r="W66" i="39"/>
  <c r="S14" i="83" s="1"/>
  <c r="Q6" i="78"/>
  <c r="Q6" i="83"/>
  <c r="X35" i="39"/>
  <c r="T9" i="83" s="1"/>
  <c r="T8" i="83"/>
  <c r="P9" i="78"/>
  <c r="P9" i="83"/>
  <c r="M9" i="78"/>
  <c r="M9" i="83"/>
  <c r="C17" i="73"/>
  <c r="BG17" i="73" s="1"/>
  <c r="BJ17" i="53"/>
  <c r="N17" i="73"/>
  <c r="BM17" i="73" s="1"/>
  <c r="BQ17" i="53"/>
  <c r="T25" i="39"/>
  <c r="AG25" i="39" s="1"/>
  <c r="AA25" i="39"/>
  <c r="T15" i="78"/>
  <c r="X81" i="39"/>
  <c r="O40" i="39"/>
  <c r="AB40" i="39" s="1"/>
  <c r="V40" i="39"/>
  <c r="O25" i="39"/>
  <c r="AB25" i="39" s="1"/>
  <c r="V25" i="39"/>
  <c r="P40" i="39"/>
  <c r="AC40" i="39" s="1"/>
  <c r="W40" i="39"/>
  <c r="V5" i="78"/>
  <c r="Z18" i="39"/>
  <c r="P25" i="39"/>
  <c r="AC25" i="39" s="1"/>
  <c r="W25" i="39"/>
  <c r="R25" i="39"/>
  <c r="AE25" i="39" s="1"/>
  <c r="Y25" i="39"/>
  <c r="S40" i="39"/>
  <c r="AF40" i="39" s="1"/>
  <c r="Z40" i="39"/>
  <c r="U5" i="78"/>
  <c r="Y18" i="39"/>
  <c r="O90" i="39"/>
  <c r="AB90" i="39" s="1"/>
  <c r="V90" i="39"/>
  <c r="S25" i="39"/>
  <c r="AF25" i="39" s="1"/>
  <c r="Z25" i="39"/>
  <c r="R40" i="39"/>
  <c r="AE40" i="39" s="1"/>
  <c r="Y40" i="39"/>
  <c r="Q25" i="39"/>
  <c r="AD25" i="39" s="1"/>
  <c r="X25" i="39"/>
  <c r="T40" i="39"/>
  <c r="AG40" i="39" s="1"/>
  <c r="AA40" i="39"/>
  <c r="T5" i="78"/>
  <c r="X18" i="39"/>
  <c r="AF89" i="53"/>
  <c r="AW25" i="67"/>
  <c r="AV31" i="67"/>
  <c r="AU31" i="67"/>
  <c r="I93" i="39"/>
  <c r="AF11" i="53"/>
  <c r="L18" i="78"/>
  <c r="AS17" i="73"/>
  <c r="CD17" i="73" s="1"/>
  <c r="M18" i="78"/>
  <c r="AU17" i="53"/>
  <c r="CW17" i="53" s="1"/>
  <c r="V21" i="78"/>
  <c r="AT17" i="53"/>
  <c r="CV17" i="53" s="1"/>
  <c r="U21" i="78"/>
  <c r="N17" i="53"/>
  <c r="U8" i="78"/>
  <c r="L17" i="53"/>
  <c r="S8" i="78"/>
  <c r="AV17" i="53"/>
  <c r="CX17" i="53" s="1"/>
  <c r="W21" i="78"/>
  <c r="AC17" i="53"/>
  <c r="CG17" i="53" s="1"/>
  <c r="AT25" i="85" s="1"/>
  <c r="T13" i="78"/>
  <c r="O17" i="53"/>
  <c r="V8" i="78"/>
  <c r="AR17" i="53"/>
  <c r="CT17" i="53" s="1"/>
  <c r="S21" i="78"/>
  <c r="AN17" i="53"/>
  <c r="CQ17" i="53" s="1"/>
  <c r="AW31" i="85" s="1"/>
  <c r="W15" i="78"/>
  <c r="AB17" i="53"/>
  <c r="CF17" i="53" s="1"/>
  <c r="AS25" i="85" s="1"/>
  <c r="S13" i="78"/>
  <c r="AD17" i="53"/>
  <c r="CH17" i="53" s="1"/>
  <c r="AU25" i="85" s="1"/>
  <c r="U13" i="78"/>
  <c r="F51" i="39"/>
  <c r="O10" i="78"/>
  <c r="O18" i="78" s="1"/>
  <c r="E96" i="39"/>
  <c r="AJ17" i="53"/>
  <c r="CM17" i="53" s="1"/>
  <c r="AS31" i="85" s="1"/>
  <c r="S15" i="78"/>
  <c r="S17" i="53"/>
  <c r="R10" i="78"/>
  <c r="R18" i="78" s="1"/>
  <c r="AE17" i="53"/>
  <c r="CI17" i="53" s="1"/>
  <c r="AV25" i="85" s="1"/>
  <c r="V13" i="78"/>
  <c r="P17" i="53"/>
  <c r="W8" i="78"/>
  <c r="M17" i="53"/>
  <c r="T8" i="78"/>
  <c r="G17" i="53"/>
  <c r="F17" i="53"/>
  <c r="E17" i="53"/>
  <c r="AA11" i="53"/>
  <c r="CE11" i="53" s="1"/>
  <c r="T78" i="85" s="1"/>
  <c r="E50" i="39"/>
  <c r="E51" i="39"/>
  <c r="AT17" i="73"/>
  <c r="AI89" i="53"/>
  <c r="CL89" i="53" s="1"/>
  <c r="T118" i="85" s="1"/>
  <c r="AU17" i="73"/>
  <c r="CE17" i="73" s="1"/>
  <c r="BB17" i="73"/>
  <c r="CI17" i="73" s="1"/>
  <c r="BA17" i="73"/>
  <c r="AJ17" i="73"/>
  <c r="BY17" i="73" s="1"/>
  <c r="BC17" i="73"/>
  <c r="AZ17" i="73"/>
  <c r="CH17" i="73" s="1"/>
  <c r="AI11" i="53"/>
  <c r="CL11" i="53" s="1"/>
  <c r="T102" i="85" s="1"/>
  <c r="J66" i="39"/>
  <c r="S14" i="78" s="1"/>
  <c r="J35" i="39"/>
  <c r="S9" i="78" s="1"/>
  <c r="AK17" i="53"/>
  <c r="K82" i="39"/>
  <c r="T16" i="78" s="1"/>
  <c r="J82" i="39"/>
  <c r="S16" i="78" s="1"/>
  <c r="I96" i="39"/>
  <c r="AA89" i="53"/>
  <c r="CE89" i="53" s="1"/>
  <c r="T94" i="85" s="1"/>
  <c r="BC17" i="53"/>
  <c r="S82" i="39"/>
  <c r="U17" i="78"/>
  <c r="W17" i="78"/>
  <c r="V17" i="78"/>
  <c r="S17" i="78"/>
  <c r="G72" i="49"/>
  <c r="G58" i="49"/>
  <c r="L82" i="39"/>
  <c r="U16" i="78" s="1"/>
  <c r="F89" i="39"/>
  <c r="F93" i="39" s="1"/>
  <c r="P81" i="39"/>
  <c r="S18" i="39"/>
  <c r="AF18" i="39" s="1"/>
  <c r="M19" i="39"/>
  <c r="V6" i="78" s="1"/>
  <c r="T34" i="39"/>
  <c r="AG34" i="39" s="1"/>
  <c r="N35" i="39"/>
  <c r="W9" i="78" s="1"/>
  <c r="P34" i="39"/>
  <c r="L19" i="39"/>
  <c r="U6" i="78" s="1"/>
  <c r="R18" i="39"/>
  <c r="AE18" i="39" s="1"/>
  <c r="N82" i="39"/>
  <c r="W16" i="78" s="1"/>
  <c r="T81" i="39"/>
  <c r="L35" i="39"/>
  <c r="U9" i="78" s="1"/>
  <c r="R34" i="39"/>
  <c r="AE34" i="39" s="1"/>
  <c r="P65" i="39"/>
  <c r="J49" i="39"/>
  <c r="S65" i="39"/>
  <c r="AF65" i="39" s="1"/>
  <c r="AG66" i="39" s="1"/>
  <c r="M66" i="39"/>
  <c r="V14" i="78" s="1"/>
  <c r="Q81" i="39"/>
  <c r="Q65" i="39"/>
  <c r="AD65" i="39" s="1"/>
  <c r="K66" i="39"/>
  <c r="T14" i="78" s="1"/>
  <c r="J89" i="39"/>
  <c r="W89" i="39" s="1"/>
  <c r="D100" i="39"/>
  <c r="J88" i="39"/>
  <c r="O49" i="39"/>
  <c r="AB49" i="39" s="1"/>
  <c r="L66" i="39"/>
  <c r="U14" i="78" s="1"/>
  <c r="R65" i="39"/>
  <c r="AE65" i="39" s="1"/>
  <c r="N90" i="39"/>
  <c r="N66" i="39"/>
  <c r="W14" i="78" s="1"/>
  <c r="K35" i="39"/>
  <c r="T9" i="78" s="1"/>
  <c r="Q34" i="39"/>
  <c r="AD34" i="39" s="1"/>
  <c r="L90" i="39"/>
  <c r="C100" i="39"/>
  <c r="I88" i="39"/>
  <c r="H100" i="39"/>
  <c r="N88" i="39"/>
  <c r="J90" i="39"/>
  <c r="Q18" i="39"/>
  <c r="AD18" i="39" s="1"/>
  <c r="F50" i="39"/>
  <c r="F100" i="39"/>
  <c r="L88" i="39"/>
  <c r="M35" i="39"/>
  <c r="V9" i="78" s="1"/>
  <c r="S34" i="39"/>
  <c r="AF34" i="39" s="1"/>
  <c r="E88" i="39"/>
  <c r="K40" i="39"/>
  <c r="N18" i="39"/>
  <c r="G100" i="39"/>
  <c r="M88" i="39"/>
  <c r="M90" i="39"/>
  <c r="J18" i="39"/>
  <c r="K89" i="39"/>
  <c r="X89" i="39" s="1"/>
  <c r="AE66" i="39" l="1"/>
  <c r="AF35" i="39"/>
  <c r="BS17" i="53"/>
  <c r="AT13" i="85" s="1"/>
  <c r="BV17" i="53"/>
  <c r="AW13" i="85" s="1"/>
  <c r="BR17" i="53"/>
  <c r="AS13" i="85" s="1"/>
  <c r="BL17" i="53"/>
  <c r="AT7" i="85" s="1"/>
  <c r="M19" i="83"/>
  <c r="BM17" i="53"/>
  <c r="AU7" i="85" s="1"/>
  <c r="BU17" i="53"/>
  <c r="AV13" i="85" s="1"/>
  <c r="BT17" i="53"/>
  <c r="AE35" i="39"/>
  <c r="AG35" i="39"/>
  <c r="O12" i="78"/>
  <c r="O12" i="83"/>
  <c r="N20" i="83"/>
  <c r="N19" i="83"/>
  <c r="U5" i="83"/>
  <c r="Y19" i="39"/>
  <c r="U6" i="83" s="1"/>
  <c r="Z19" i="39"/>
  <c r="V6" i="83" s="1"/>
  <c r="V5" i="83"/>
  <c r="T15" i="83"/>
  <c r="X82" i="39"/>
  <c r="T16" i="83" s="1"/>
  <c r="Y82" i="39"/>
  <c r="U16" i="83" s="1"/>
  <c r="AF19" i="39"/>
  <c r="AU13" i="85"/>
  <c r="N11" i="78"/>
  <c r="N11" i="83"/>
  <c r="O11" i="78"/>
  <c r="O11" i="83"/>
  <c r="AE19" i="39"/>
  <c r="AF66" i="39"/>
  <c r="T5" i="83"/>
  <c r="O19" i="83"/>
  <c r="N12" i="78"/>
  <c r="N12" i="83"/>
  <c r="AP31" i="67"/>
  <c r="M58" i="49"/>
  <c r="AP31" i="85" s="1"/>
  <c r="AP39" i="67"/>
  <c r="M72" i="49"/>
  <c r="AP39" i="85" s="1"/>
  <c r="AT31" i="67"/>
  <c r="CN17" i="53"/>
  <c r="AT31" i="85" s="1"/>
  <c r="Y17" i="73"/>
  <c r="BS17" i="73" s="1"/>
  <c r="BX17" i="53"/>
  <c r="Y78" i="67"/>
  <c r="CJ11" i="53"/>
  <c r="Y78" i="85" s="1"/>
  <c r="AA78" i="85" s="1"/>
  <c r="AV7" i="67"/>
  <c r="BN17" i="53"/>
  <c r="Y94" i="67"/>
  <c r="CJ89" i="53"/>
  <c r="Y94" i="85" s="1"/>
  <c r="AA94" i="85" s="1"/>
  <c r="BC89" i="53"/>
  <c r="DE89" i="53" s="1"/>
  <c r="DE17" i="53"/>
  <c r="S90" i="39"/>
  <c r="AF90" i="39" s="1"/>
  <c r="Z90" i="39"/>
  <c r="R88" i="39"/>
  <c r="AE88" i="39" s="1"/>
  <c r="Y88" i="39"/>
  <c r="O93" i="39"/>
  <c r="AB93" i="39" s="1"/>
  <c r="V93" i="39"/>
  <c r="S88" i="39"/>
  <c r="AF88" i="39" s="1"/>
  <c r="Z88" i="39"/>
  <c r="T88" i="39"/>
  <c r="AG88" i="39" s="1"/>
  <c r="AA88" i="39"/>
  <c r="R90" i="39"/>
  <c r="AE90" i="39" s="1"/>
  <c r="Y90" i="39"/>
  <c r="T90" i="39"/>
  <c r="AG90" i="39" s="1"/>
  <c r="AA90" i="39"/>
  <c r="P88" i="39"/>
  <c r="AC88" i="39" s="1"/>
  <c r="W88" i="39"/>
  <c r="S10" i="78"/>
  <c r="W49" i="39"/>
  <c r="T82" i="39"/>
  <c r="AG81" i="39"/>
  <c r="AG82" i="39" s="1"/>
  <c r="P35" i="39"/>
  <c r="AC34" i="39"/>
  <c r="AC35" i="39" s="1"/>
  <c r="Q40" i="39"/>
  <c r="AD40" i="39" s="1"/>
  <c r="X40" i="39"/>
  <c r="R82" i="39"/>
  <c r="AD81" i="39"/>
  <c r="P66" i="39"/>
  <c r="AC65" i="39"/>
  <c r="AC66" i="39" s="1"/>
  <c r="P82" i="39"/>
  <c r="AC81" i="39"/>
  <c r="AC82" i="39" s="1"/>
  <c r="O96" i="39"/>
  <c r="AB96" i="39" s="1"/>
  <c r="V96" i="39"/>
  <c r="P90" i="39"/>
  <c r="AC90" i="39" s="1"/>
  <c r="W90" i="39"/>
  <c r="S5" i="78"/>
  <c r="W18" i="39"/>
  <c r="W5" i="78"/>
  <c r="AA18" i="39"/>
  <c r="O88" i="39"/>
  <c r="AB88" i="39" s="1"/>
  <c r="V88" i="39"/>
  <c r="R17" i="53"/>
  <c r="Q17" i="53"/>
  <c r="BW17" i="53" s="1"/>
  <c r="AP17" i="53"/>
  <c r="AO17" i="53"/>
  <c r="CR17" i="53" s="1"/>
  <c r="AH17" i="53"/>
  <c r="AG17" i="53"/>
  <c r="CK17" i="53" s="1"/>
  <c r="G17" i="73"/>
  <c r="AT7" i="67"/>
  <c r="Q17" i="73"/>
  <c r="BO17" i="73" s="1"/>
  <c r="AT13" i="67"/>
  <c r="AE89" i="53"/>
  <c r="AV25" i="67"/>
  <c r="AW17" i="73"/>
  <c r="AS31" i="67"/>
  <c r="BD17" i="73"/>
  <c r="CJ17" i="73" s="1"/>
  <c r="AW31" i="67"/>
  <c r="U17" i="73"/>
  <c r="BQ17" i="73" s="1"/>
  <c r="AV13" i="67"/>
  <c r="X17" i="73"/>
  <c r="AW13" i="67"/>
  <c r="I17" i="73"/>
  <c r="AU7" i="67"/>
  <c r="AO17" i="73"/>
  <c r="CB17" i="73" s="1"/>
  <c r="AU25" i="67"/>
  <c r="S17" i="73"/>
  <c r="BP17" i="73" s="1"/>
  <c r="AU13" i="67"/>
  <c r="AK17" i="73"/>
  <c r="BZ17" i="73" s="1"/>
  <c r="AS25" i="67"/>
  <c r="AN17" i="73"/>
  <c r="AT25" i="67"/>
  <c r="O17" i="73"/>
  <c r="BN17" i="73" s="1"/>
  <c r="AS13" i="67"/>
  <c r="AT11" i="73"/>
  <c r="BE17" i="73"/>
  <c r="M20" i="78"/>
  <c r="N20" i="78"/>
  <c r="J93" i="39"/>
  <c r="T17" i="73"/>
  <c r="W17" i="73"/>
  <c r="BR17" i="73" s="1"/>
  <c r="P17" i="73"/>
  <c r="N19" i="78"/>
  <c r="AC11" i="53"/>
  <c r="AM17" i="73"/>
  <c r="CA17" i="73" s="1"/>
  <c r="AD89" i="53"/>
  <c r="AP17" i="73"/>
  <c r="M19" i="78"/>
  <c r="AC89" i="53"/>
  <c r="AE11" i="53"/>
  <c r="AB89" i="53"/>
  <c r="CF89" i="53" s="1"/>
  <c r="U94" i="85" s="1"/>
  <c r="Z94" i="85" s="1"/>
  <c r="AQ17" i="73"/>
  <c r="CC17" i="73" s="1"/>
  <c r="H17" i="73"/>
  <c r="BJ17" i="73" s="1"/>
  <c r="AR17" i="73"/>
  <c r="AD11" i="53"/>
  <c r="AW17" i="53"/>
  <c r="AB11" i="53"/>
  <c r="CF11" i="53" s="1"/>
  <c r="U78" i="85" s="1"/>
  <c r="F17" i="73"/>
  <c r="BI17" i="73" s="1"/>
  <c r="R17" i="73"/>
  <c r="AU89" i="73"/>
  <c r="CE89" i="73" s="1"/>
  <c r="T118" i="67"/>
  <c r="AL17" i="73"/>
  <c r="V17" i="73"/>
  <c r="AV17" i="73"/>
  <c r="CF17" i="73" s="1"/>
  <c r="AT89" i="73"/>
  <c r="T94" i="67"/>
  <c r="O19" i="78"/>
  <c r="O20" i="78"/>
  <c r="BG17" i="53"/>
  <c r="AJ11" i="73"/>
  <c r="BY11" i="73" s="1"/>
  <c r="T78" i="67"/>
  <c r="AU11" i="73"/>
  <c r="CE11" i="73" s="1"/>
  <c r="T102" i="67"/>
  <c r="BF17" i="53"/>
  <c r="K17" i="73"/>
  <c r="J17" i="73"/>
  <c r="BK17" i="73" s="1"/>
  <c r="J19" i="39"/>
  <c r="S6" i="78" s="1"/>
  <c r="H17" i="53"/>
  <c r="AS11" i="73"/>
  <c r="CD11" i="73" s="1"/>
  <c r="AJ89" i="73"/>
  <c r="BY89" i="73" s="1"/>
  <c r="AS89" i="73"/>
  <c r="CD89" i="73" s="1"/>
  <c r="AY17" i="73"/>
  <c r="AX17" i="73"/>
  <c r="CG17" i="73" s="1"/>
  <c r="J96" i="39"/>
  <c r="BC11" i="53"/>
  <c r="DE11" i="53" s="1"/>
  <c r="BE17" i="53"/>
  <c r="T17" i="53"/>
  <c r="J50" i="39"/>
  <c r="S11" i="78" s="1"/>
  <c r="F96" i="39"/>
  <c r="L49" i="39"/>
  <c r="Y49" i="39" s="1"/>
  <c r="R66" i="39"/>
  <c r="Q35" i="39"/>
  <c r="G89" i="39"/>
  <c r="G93" i="39" s="1"/>
  <c r="G49" i="39"/>
  <c r="P10" i="83" s="1"/>
  <c r="P18" i="83" s="1"/>
  <c r="K19" i="39"/>
  <c r="T6" i="78" s="1"/>
  <c r="D17" i="53"/>
  <c r="L89" i="39"/>
  <c r="Q66" i="39"/>
  <c r="Q82" i="39"/>
  <c r="S35" i="39"/>
  <c r="J100" i="39"/>
  <c r="W100" i="39" s="1"/>
  <c r="S19" i="39"/>
  <c r="Q89" i="39"/>
  <c r="AD89" i="39" s="1"/>
  <c r="E100" i="39"/>
  <c r="K88" i="39"/>
  <c r="N100" i="39"/>
  <c r="AA100" i="39" s="1"/>
  <c r="P89" i="39"/>
  <c r="AC89" i="39" s="1"/>
  <c r="S66" i="39"/>
  <c r="P49" i="39"/>
  <c r="R19" i="39"/>
  <c r="M100" i="39"/>
  <c r="Z100" i="39" s="1"/>
  <c r="L100" i="39"/>
  <c r="Y100" i="39" s="1"/>
  <c r="T66" i="39"/>
  <c r="T35" i="39"/>
  <c r="P18" i="39"/>
  <c r="N19" i="39"/>
  <c r="W6" i="78" s="1"/>
  <c r="T18" i="39"/>
  <c r="I100" i="39"/>
  <c r="V100" i="39" s="1"/>
  <c r="K90" i="39"/>
  <c r="K49" i="39"/>
  <c r="X49" i="39" s="1"/>
  <c r="R35" i="39"/>
  <c r="AA94" i="67" l="1"/>
  <c r="BO17" i="53"/>
  <c r="AW7" i="85" s="1"/>
  <c r="BK17" i="53"/>
  <c r="AS7" i="85" s="1"/>
  <c r="BY17" i="53"/>
  <c r="AS19" i="85" s="1"/>
  <c r="P20" i="83"/>
  <c r="P19" i="83"/>
  <c r="AD82" i="39"/>
  <c r="AE82" i="39"/>
  <c r="S10" i="83"/>
  <c r="W50" i="39"/>
  <c r="S11" i="83" s="1"/>
  <c r="AD66" i="39"/>
  <c r="X50" i="39"/>
  <c r="T11" i="83" s="1"/>
  <c r="T10" i="83"/>
  <c r="S5" i="83"/>
  <c r="W19" i="39"/>
  <c r="S6" i="83" s="1"/>
  <c r="Z78" i="85"/>
  <c r="T18" i="83"/>
  <c r="T20" i="83" s="1"/>
  <c r="AV7" i="85"/>
  <c r="AD35" i="39"/>
  <c r="U10" i="83"/>
  <c r="U18" i="83" s="1"/>
  <c r="Y50" i="39"/>
  <c r="U11" i="83" s="1"/>
  <c r="AA19" i="39"/>
  <c r="W6" i="83" s="1"/>
  <c r="W5" i="83"/>
  <c r="X19" i="39"/>
  <c r="T6" i="83" s="1"/>
  <c r="DH17" i="53"/>
  <c r="W94" i="67"/>
  <c r="CH89" i="53"/>
  <c r="W94" i="85" s="1"/>
  <c r="X94" i="67"/>
  <c r="CI89" i="53"/>
  <c r="X94" i="85" s="1"/>
  <c r="AW11" i="53"/>
  <c r="CY11" i="53" s="1"/>
  <c r="CY17" i="53"/>
  <c r="DG17" i="53"/>
  <c r="X78" i="67"/>
  <c r="CI11" i="53"/>
  <c r="X78" i="85" s="1"/>
  <c r="V78" i="67"/>
  <c r="CG11" i="53"/>
  <c r="V78" i="85" s="1"/>
  <c r="V94" i="67"/>
  <c r="CG89" i="53"/>
  <c r="V94" i="85" s="1"/>
  <c r="W78" i="67"/>
  <c r="CH11" i="53"/>
  <c r="W78" i="85" s="1"/>
  <c r="DI17" i="53"/>
  <c r="S18" i="78"/>
  <c r="S19" i="78" s="1"/>
  <c r="P19" i="39"/>
  <c r="AC18" i="39"/>
  <c r="Q88" i="39"/>
  <c r="AD88" i="39" s="1"/>
  <c r="X88" i="39"/>
  <c r="L93" i="39"/>
  <c r="Y93" i="39" s="1"/>
  <c r="Y89" i="39"/>
  <c r="Q90" i="39"/>
  <c r="AD90" i="39" s="1"/>
  <c r="X90" i="39"/>
  <c r="P96" i="39"/>
  <c r="AC96" i="39" s="1"/>
  <c r="W96" i="39"/>
  <c r="T19" i="39"/>
  <c r="AG18" i="39"/>
  <c r="AG19" i="39" s="1"/>
  <c r="P50" i="39"/>
  <c r="AC49" i="39"/>
  <c r="AC50" i="39" s="1"/>
  <c r="P93" i="39"/>
  <c r="AC93" i="39" s="1"/>
  <c r="W93" i="39"/>
  <c r="AR89" i="73"/>
  <c r="AQ89" i="73"/>
  <c r="CC89" i="73" s="1"/>
  <c r="AS19" i="67"/>
  <c r="Z17" i="53"/>
  <c r="Y17" i="53"/>
  <c r="CD17" i="53" s="1"/>
  <c r="AS7" i="67"/>
  <c r="I17" i="53"/>
  <c r="BP17" i="53" s="1"/>
  <c r="J17" i="53"/>
  <c r="U78" i="67"/>
  <c r="Z78" i="67" s="1"/>
  <c r="AH11" i="53"/>
  <c r="AG11" i="53"/>
  <c r="CK11" i="53" s="1"/>
  <c r="U94" i="67"/>
  <c r="Z94" i="67" s="1"/>
  <c r="AH89" i="53"/>
  <c r="AG89" i="53"/>
  <c r="CK89" i="53" s="1"/>
  <c r="BH17" i="53"/>
  <c r="AW7" i="67"/>
  <c r="K93" i="39"/>
  <c r="AL89" i="73"/>
  <c r="AN11" i="73"/>
  <c r="AM11" i="73"/>
  <c r="CA11" i="73" s="1"/>
  <c r="AQ11" i="73"/>
  <c r="CC11" i="73" s="1"/>
  <c r="AR11" i="73"/>
  <c r="AO89" i="73"/>
  <c r="CB89" i="73" s="1"/>
  <c r="AP89" i="73"/>
  <c r="AM89" i="73"/>
  <c r="CA89" i="73" s="1"/>
  <c r="AN89" i="73"/>
  <c r="AL11" i="73"/>
  <c r="AK11" i="73"/>
  <c r="BZ11" i="73" s="1"/>
  <c r="AK89" i="73"/>
  <c r="BZ89" i="73" s="1"/>
  <c r="M17" i="73"/>
  <c r="AW89" i="53"/>
  <c r="CY89" i="53" s="1"/>
  <c r="L17" i="73"/>
  <c r="BL17" i="73" s="1"/>
  <c r="AP11" i="73"/>
  <c r="AO11" i="73"/>
  <c r="CB11" i="73" s="1"/>
  <c r="V17" i="53"/>
  <c r="U10" i="78"/>
  <c r="U18" i="78" s="1"/>
  <c r="G51" i="39"/>
  <c r="P10" i="78"/>
  <c r="P18" i="78" s="1"/>
  <c r="U17" i="53"/>
  <c r="T10" i="78"/>
  <c r="T18" i="78" s="1"/>
  <c r="L96" i="39"/>
  <c r="AA78" i="67"/>
  <c r="Z17" i="73"/>
  <c r="BT17" i="73" s="1"/>
  <c r="AA17" i="73"/>
  <c r="K96" i="39"/>
  <c r="R49" i="39"/>
  <c r="AE49" i="39" s="1"/>
  <c r="G96" i="39"/>
  <c r="R89" i="39"/>
  <c r="AE89" i="39" s="1"/>
  <c r="BD17" i="53"/>
  <c r="DF17" i="53" s="1"/>
  <c r="AX17" i="53"/>
  <c r="CZ17" i="53" s="1"/>
  <c r="E17" i="73"/>
  <c r="D17" i="73"/>
  <c r="BH17" i="73" s="1"/>
  <c r="H89" i="39"/>
  <c r="H93" i="39" s="1"/>
  <c r="H49" i="39"/>
  <c r="Q10" i="83" s="1"/>
  <c r="Q18" i="83" s="1"/>
  <c r="G50" i="39"/>
  <c r="M89" i="39"/>
  <c r="M49" i="39"/>
  <c r="K50" i="39"/>
  <c r="T11" i="78" s="1"/>
  <c r="Q49" i="39"/>
  <c r="L50" i="39"/>
  <c r="U11" i="78" s="1"/>
  <c r="Q19" i="39"/>
  <c r="K100" i="39"/>
  <c r="X100" i="39" s="1"/>
  <c r="BZ17" i="53" l="1"/>
  <c r="AT19" i="85" s="1"/>
  <c r="CA17" i="53"/>
  <c r="AU19" i="85" s="1"/>
  <c r="S18" i="83"/>
  <c r="S20" i="83" s="1"/>
  <c r="AC19" i="39"/>
  <c r="AD19" i="39"/>
  <c r="U19" i="83"/>
  <c r="U20" i="83"/>
  <c r="P11" i="78"/>
  <c r="P11" i="83"/>
  <c r="P12" i="78"/>
  <c r="P12" i="83"/>
  <c r="Q19" i="83"/>
  <c r="Q20" i="83"/>
  <c r="S20" i="78"/>
  <c r="R93" i="39"/>
  <c r="AE93" i="39" s="1"/>
  <c r="DJ17" i="53"/>
  <c r="Q93" i="39"/>
  <c r="AD93" i="39" s="1"/>
  <c r="X93" i="39"/>
  <c r="V10" i="78"/>
  <c r="V18" i="78" s="1"/>
  <c r="V19" i="78" s="1"/>
  <c r="Z49" i="39"/>
  <c r="Q96" i="39"/>
  <c r="AD96" i="39" s="1"/>
  <c r="X96" i="39"/>
  <c r="M93" i="39"/>
  <c r="Z93" i="39" s="1"/>
  <c r="Z89" i="39"/>
  <c r="R96" i="39"/>
  <c r="AE96" i="39" s="1"/>
  <c r="Y96" i="39"/>
  <c r="Q50" i="39"/>
  <c r="AD49" i="39"/>
  <c r="AD50" i="39" s="1"/>
  <c r="AZ17" i="53"/>
  <c r="AU19" i="67"/>
  <c r="AY17" i="53"/>
  <c r="AT19" i="67"/>
  <c r="AE17" i="73"/>
  <c r="AB17" i="73"/>
  <c r="BU17" i="73" s="1"/>
  <c r="AD17" i="73"/>
  <c r="BV17" i="73" s="1"/>
  <c r="H51" i="39"/>
  <c r="Q10" i="78"/>
  <c r="Q18" i="78" s="1"/>
  <c r="P19" i="78"/>
  <c r="P20" i="78"/>
  <c r="M96" i="39"/>
  <c r="AC17" i="73"/>
  <c r="T20" i="78"/>
  <c r="T19" i="78"/>
  <c r="U20" i="78"/>
  <c r="U19" i="78"/>
  <c r="H96" i="39"/>
  <c r="H50" i="39"/>
  <c r="S89" i="39"/>
  <c r="AF89" i="39" s="1"/>
  <c r="W17" i="53"/>
  <c r="S49" i="39"/>
  <c r="M50" i="39"/>
  <c r="V11" i="78" s="1"/>
  <c r="N49" i="39"/>
  <c r="N89" i="39"/>
  <c r="R50" i="39"/>
  <c r="T19" i="83" l="1"/>
  <c r="S19" i="83"/>
  <c r="V10" i="83"/>
  <c r="V18" i="83" s="1"/>
  <c r="Z50" i="39"/>
  <c r="V11" i="83" s="1"/>
  <c r="Q12" i="78"/>
  <c r="Q12" i="83"/>
  <c r="Q11" i="78"/>
  <c r="Q11" i="83"/>
  <c r="AE50" i="39"/>
  <c r="V20" i="78"/>
  <c r="AV19" i="67"/>
  <c r="CB17" i="53"/>
  <c r="DB17" i="53"/>
  <c r="DA17" i="53"/>
  <c r="S93" i="39"/>
  <c r="AF93" i="39" s="1"/>
  <c r="W10" i="78"/>
  <c r="W18" i="78" s="1"/>
  <c r="W20" i="78" s="1"/>
  <c r="AA49" i="39"/>
  <c r="N93" i="39"/>
  <c r="AA93" i="39" s="1"/>
  <c r="AA89" i="39"/>
  <c r="S50" i="39"/>
  <c r="AF49" i="39"/>
  <c r="AF50" i="39" s="1"/>
  <c r="S96" i="39"/>
  <c r="AF96" i="39" s="1"/>
  <c r="Z96" i="39"/>
  <c r="Q19" i="78"/>
  <c r="Q20" i="78"/>
  <c r="BA17" i="53"/>
  <c r="AF17" i="73"/>
  <c r="BW17" i="73" s="1"/>
  <c r="AG17" i="73"/>
  <c r="N96" i="39"/>
  <c r="T89" i="39"/>
  <c r="AG89" i="39" s="1"/>
  <c r="X17" i="53"/>
  <c r="T49" i="39"/>
  <c r="N50" i="39"/>
  <c r="W11" i="78" s="1"/>
  <c r="AM29" i="51"/>
  <c r="CD29" i="51" s="1"/>
  <c r="AL29" i="51"/>
  <c r="CC29" i="51" s="1"/>
  <c r="AK29" i="51"/>
  <c r="CB29" i="51" s="1"/>
  <c r="AJ29" i="51"/>
  <c r="CA29" i="51" s="1"/>
  <c r="AI29" i="51"/>
  <c r="BZ29" i="51" s="1"/>
  <c r="AH29" i="51"/>
  <c r="AM21" i="51"/>
  <c r="CD21" i="51" s="1"/>
  <c r="AL21" i="51"/>
  <c r="CC21" i="51" s="1"/>
  <c r="AK21" i="51"/>
  <c r="CB21" i="51" s="1"/>
  <c r="AJ21" i="51"/>
  <c r="CA21" i="51" s="1"/>
  <c r="AI21" i="51"/>
  <c r="BZ21" i="51" s="1"/>
  <c r="AH21" i="51"/>
  <c r="AM48" i="51"/>
  <c r="CD48" i="51" s="1"/>
  <c r="AL48" i="51"/>
  <c r="CC48" i="51" s="1"/>
  <c r="AK48" i="51"/>
  <c r="CB48" i="51" s="1"/>
  <c r="AJ48" i="51"/>
  <c r="CA48" i="51" s="1"/>
  <c r="AI48" i="51"/>
  <c r="BZ48" i="51" s="1"/>
  <c r="AH48" i="51"/>
  <c r="AM46" i="51"/>
  <c r="CD46" i="51" s="1"/>
  <c r="AL46" i="51"/>
  <c r="CC46" i="51" s="1"/>
  <c r="AK46" i="51"/>
  <c r="CB46" i="51" s="1"/>
  <c r="AJ46" i="51"/>
  <c r="CA46" i="51" s="1"/>
  <c r="AI46" i="51"/>
  <c r="BZ46" i="51" s="1"/>
  <c r="AH46" i="51"/>
  <c r="AM47" i="51"/>
  <c r="CD47" i="51" s="1"/>
  <c r="AL47" i="51"/>
  <c r="CC47" i="51" s="1"/>
  <c r="AK47" i="51"/>
  <c r="CB47" i="51" s="1"/>
  <c r="AJ47" i="51"/>
  <c r="CA47" i="51" s="1"/>
  <c r="AI47" i="51"/>
  <c r="BZ47" i="51" s="1"/>
  <c r="AH47" i="51"/>
  <c r="AM20" i="51"/>
  <c r="CD20" i="51" s="1"/>
  <c r="AL20" i="51"/>
  <c r="CC20" i="51" s="1"/>
  <c r="AK20" i="51"/>
  <c r="CB20" i="51" s="1"/>
  <c r="AJ20" i="51"/>
  <c r="CA20" i="51" s="1"/>
  <c r="AI20" i="51"/>
  <c r="BZ20" i="51" s="1"/>
  <c r="AH20" i="51"/>
  <c r="AM28" i="51"/>
  <c r="CD28" i="51" s="1"/>
  <c r="AL28" i="51"/>
  <c r="CC28" i="51" s="1"/>
  <c r="AK28" i="51"/>
  <c r="CB28" i="51" s="1"/>
  <c r="AJ28" i="51"/>
  <c r="CA28" i="51" s="1"/>
  <c r="AI28" i="51"/>
  <c r="BZ28" i="51" s="1"/>
  <c r="AH28" i="51"/>
  <c r="AM58" i="51"/>
  <c r="CD58" i="51" s="1"/>
  <c r="AL58" i="51"/>
  <c r="CC58" i="51" s="1"/>
  <c r="AK58" i="51"/>
  <c r="CB58" i="51" s="1"/>
  <c r="AJ58" i="51"/>
  <c r="CA58" i="51" s="1"/>
  <c r="AI58" i="51"/>
  <c r="BZ58" i="51" s="1"/>
  <c r="AH58" i="51"/>
  <c r="AK26" i="51"/>
  <c r="CB26" i="51" s="1"/>
  <c r="AL27" i="51"/>
  <c r="CC27" i="51" s="1"/>
  <c r="AH27" i="51"/>
  <c r="AM23" i="51"/>
  <c r="AL23" i="51"/>
  <c r="AK23" i="51"/>
  <c r="AJ23" i="51"/>
  <c r="AI23" i="51"/>
  <c r="AH23" i="51"/>
  <c r="AK39" i="51"/>
  <c r="CB39" i="51" s="1"/>
  <c r="AM17" i="51"/>
  <c r="AL17" i="51"/>
  <c r="AK17" i="51"/>
  <c r="AJ17" i="51"/>
  <c r="AI17" i="51"/>
  <c r="AH17" i="51"/>
  <c r="AM38" i="51"/>
  <c r="CD38" i="51" s="1"/>
  <c r="AL38" i="51"/>
  <c r="CC38" i="51" s="1"/>
  <c r="AK38" i="51"/>
  <c r="CB38" i="51" s="1"/>
  <c r="AJ38" i="51"/>
  <c r="CA38" i="51" s="1"/>
  <c r="AI38" i="51"/>
  <c r="BZ38" i="51" s="1"/>
  <c r="AH38" i="51"/>
  <c r="AM36" i="51"/>
  <c r="CD36" i="51" s="1"/>
  <c r="AL36" i="51"/>
  <c r="CC36" i="51" s="1"/>
  <c r="AK36" i="51"/>
  <c r="CB36" i="51" s="1"/>
  <c r="AJ36" i="51"/>
  <c r="CA36" i="51" s="1"/>
  <c r="AI36" i="51"/>
  <c r="BZ36" i="51" s="1"/>
  <c r="AH36" i="51"/>
  <c r="AM35" i="51"/>
  <c r="CD35" i="51" s="1"/>
  <c r="AL35" i="51"/>
  <c r="CC35" i="51" s="1"/>
  <c r="AK35" i="51"/>
  <c r="CB35" i="51" s="1"/>
  <c r="AJ35" i="51"/>
  <c r="CA35" i="51" s="1"/>
  <c r="AI35" i="51"/>
  <c r="BZ35" i="51" s="1"/>
  <c r="AH35" i="51"/>
  <c r="AF29" i="51"/>
  <c r="BW29" i="51" s="1"/>
  <c r="AE29" i="51"/>
  <c r="BV29" i="51" s="1"/>
  <c r="AD29" i="51"/>
  <c r="BU29" i="51" s="1"/>
  <c r="AC29" i="51"/>
  <c r="BT29" i="51" s="1"/>
  <c r="AB29" i="51"/>
  <c r="BS29" i="51" s="1"/>
  <c r="AA29" i="51"/>
  <c r="AF21" i="51"/>
  <c r="BW21" i="51" s="1"/>
  <c r="AE21" i="51"/>
  <c r="BV21" i="51" s="1"/>
  <c r="AD21" i="51"/>
  <c r="BU21" i="51" s="1"/>
  <c r="AC21" i="51"/>
  <c r="BT21" i="51" s="1"/>
  <c r="AB21" i="51"/>
  <c r="BS21" i="51" s="1"/>
  <c r="AA21" i="51"/>
  <c r="AF48" i="51"/>
  <c r="BW48" i="51" s="1"/>
  <c r="AE48" i="51"/>
  <c r="BV48" i="51" s="1"/>
  <c r="AD48" i="51"/>
  <c r="BU48" i="51" s="1"/>
  <c r="AC48" i="51"/>
  <c r="BT48" i="51" s="1"/>
  <c r="AB48" i="51"/>
  <c r="BS48" i="51" s="1"/>
  <c r="AA48" i="51"/>
  <c r="AF46" i="51"/>
  <c r="BW46" i="51" s="1"/>
  <c r="AE46" i="51"/>
  <c r="BV46" i="51" s="1"/>
  <c r="AD46" i="51"/>
  <c r="BU46" i="51" s="1"/>
  <c r="AC46" i="51"/>
  <c r="BT46" i="51" s="1"/>
  <c r="AB46" i="51"/>
  <c r="BS46" i="51" s="1"/>
  <c r="AA46" i="51"/>
  <c r="AF47" i="51"/>
  <c r="BW47" i="51" s="1"/>
  <c r="AE47" i="51"/>
  <c r="BV47" i="51" s="1"/>
  <c r="AD47" i="51"/>
  <c r="BU47" i="51" s="1"/>
  <c r="AC47" i="51"/>
  <c r="BT47" i="51" s="1"/>
  <c r="AB47" i="51"/>
  <c r="BS47" i="51" s="1"/>
  <c r="AA47" i="51"/>
  <c r="AF20" i="51"/>
  <c r="BW20" i="51" s="1"/>
  <c r="AE20" i="51"/>
  <c r="BV20" i="51" s="1"/>
  <c r="AD20" i="51"/>
  <c r="BU20" i="51" s="1"/>
  <c r="AC20" i="51"/>
  <c r="BT20" i="51" s="1"/>
  <c r="AB20" i="51"/>
  <c r="BS20" i="51" s="1"/>
  <c r="AA20" i="51"/>
  <c r="AF28" i="51"/>
  <c r="BW28" i="51" s="1"/>
  <c r="AE28" i="51"/>
  <c r="BV28" i="51" s="1"/>
  <c r="AD28" i="51"/>
  <c r="BU28" i="51" s="1"/>
  <c r="AC28" i="51"/>
  <c r="BT28" i="51" s="1"/>
  <c r="AB28" i="51"/>
  <c r="BS28" i="51" s="1"/>
  <c r="AA28" i="51"/>
  <c r="BR28" i="51" s="1"/>
  <c r="AF58" i="51"/>
  <c r="BW58" i="51" s="1"/>
  <c r="AE58" i="51"/>
  <c r="BV58" i="51" s="1"/>
  <c r="AD58" i="51"/>
  <c r="BU58" i="51" s="1"/>
  <c r="AC58" i="51"/>
  <c r="BT58" i="51" s="1"/>
  <c r="AB58" i="51"/>
  <c r="BS58" i="51" s="1"/>
  <c r="AA58" i="51"/>
  <c r="BR58" i="51" s="1"/>
  <c r="AA26" i="51"/>
  <c r="BR26" i="51" s="1"/>
  <c r="AF27" i="51"/>
  <c r="BW27" i="51" s="1"/>
  <c r="AB27" i="51"/>
  <c r="BS27" i="51" s="1"/>
  <c r="AF23" i="51"/>
  <c r="AE23" i="51"/>
  <c r="AD23" i="51"/>
  <c r="AC23" i="51"/>
  <c r="AB23" i="51"/>
  <c r="AA23" i="51"/>
  <c r="BR23" i="51" s="1"/>
  <c r="AE39" i="51"/>
  <c r="BV39" i="51" s="1"/>
  <c r="AD39" i="51"/>
  <c r="BU39" i="51" s="1"/>
  <c r="AF17" i="51"/>
  <c r="AE17" i="51"/>
  <c r="AD17" i="51"/>
  <c r="AC17" i="51"/>
  <c r="AB17" i="51"/>
  <c r="AA17" i="51"/>
  <c r="BR17" i="51" s="1"/>
  <c r="AF38" i="51"/>
  <c r="BW38" i="51" s="1"/>
  <c r="AE38" i="51"/>
  <c r="BV38" i="51" s="1"/>
  <c r="AD38" i="51"/>
  <c r="BU38" i="51" s="1"/>
  <c r="AC38" i="51"/>
  <c r="BT38" i="51" s="1"/>
  <c r="AB38" i="51"/>
  <c r="BS38" i="51" s="1"/>
  <c r="AA38" i="51"/>
  <c r="BR38" i="51" s="1"/>
  <c r="AF36" i="51"/>
  <c r="BW36" i="51" s="1"/>
  <c r="AE36" i="51"/>
  <c r="BV36" i="51" s="1"/>
  <c r="AD36" i="51"/>
  <c r="BU36" i="51" s="1"/>
  <c r="AC36" i="51"/>
  <c r="BT36" i="51" s="1"/>
  <c r="AB36" i="51"/>
  <c r="BS36" i="51" s="1"/>
  <c r="AA36" i="51"/>
  <c r="BR36" i="51" s="1"/>
  <c r="AF35" i="51"/>
  <c r="BW35" i="51" s="1"/>
  <c r="AE35" i="51"/>
  <c r="BV35" i="51" s="1"/>
  <c r="AD35" i="51"/>
  <c r="BU35" i="51" s="1"/>
  <c r="AC35" i="51"/>
  <c r="BT35" i="51" s="1"/>
  <c r="AB35" i="51"/>
  <c r="BS35" i="51" s="1"/>
  <c r="AA35" i="51"/>
  <c r="BR35" i="51" s="1"/>
  <c r="AO21" i="51"/>
  <c r="CF21" i="51" s="1"/>
  <c r="AP21" i="51"/>
  <c r="CG21" i="51" s="1"/>
  <c r="AQ21" i="51"/>
  <c r="CH21" i="51" s="1"/>
  <c r="AR21" i="51"/>
  <c r="CI21" i="51" s="1"/>
  <c r="AS21" i="51"/>
  <c r="CJ21" i="51" s="1"/>
  <c r="AT21" i="51"/>
  <c r="CK21" i="51" s="1"/>
  <c r="AO29" i="51"/>
  <c r="CF29" i="51" s="1"/>
  <c r="AP29" i="51"/>
  <c r="CG29" i="51" s="1"/>
  <c r="AQ29" i="51"/>
  <c r="CH29" i="51" s="1"/>
  <c r="AR29" i="51"/>
  <c r="CI29" i="51" s="1"/>
  <c r="AS29" i="51"/>
  <c r="CJ29" i="51" s="1"/>
  <c r="AT29" i="51"/>
  <c r="CK29" i="51" s="1"/>
  <c r="AV19" i="85" l="1"/>
  <c r="AA50" i="39"/>
  <c r="W11" i="83" s="1"/>
  <c r="W10" i="83"/>
  <c r="W18" i="83" s="1"/>
  <c r="V19" i="83"/>
  <c r="V20" i="83"/>
  <c r="AJ22" i="51"/>
  <c r="CA22" i="51" s="1"/>
  <c r="CA23" i="51"/>
  <c r="AF15" i="51"/>
  <c r="BW15" i="51" s="1"/>
  <c r="BW17" i="51"/>
  <c r="AF22" i="51"/>
  <c r="BW22" i="51" s="1"/>
  <c r="BW23" i="51"/>
  <c r="AA15" i="50"/>
  <c r="BM15" i="50" s="1"/>
  <c r="BR20" i="51"/>
  <c r="AA16" i="50"/>
  <c r="BM16" i="50" s="1"/>
  <c r="BR21" i="51"/>
  <c r="AH124" i="50"/>
  <c r="BT124" i="50" s="1"/>
  <c r="BY38" i="51"/>
  <c r="AJ15" i="51"/>
  <c r="CA15" i="51" s="1"/>
  <c r="CA17" i="51"/>
  <c r="AK22" i="51"/>
  <c r="CB22" i="51" s="1"/>
  <c r="CB23" i="51"/>
  <c r="AH21" i="50"/>
  <c r="BT21" i="50" s="1"/>
  <c r="BY47" i="51"/>
  <c r="AH17" i="50"/>
  <c r="BT17" i="50" s="1"/>
  <c r="BY29" i="51"/>
  <c r="AE15" i="51"/>
  <c r="BV15" i="51" s="1"/>
  <c r="BV17" i="51"/>
  <c r="AK15" i="51"/>
  <c r="CB15" i="51" s="1"/>
  <c r="CB17" i="51"/>
  <c r="AL22" i="51"/>
  <c r="CC22" i="51" s="1"/>
  <c r="CC23" i="51"/>
  <c r="AA22" i="50"/>
  <c r="BM22" i="50" s="1"/>
  <c r="BR48" i="51"/>
  <c r="AH122" i="50"/>
  <c r="BT122" i="50" s="1"/>
  <c r="BY36" i="51"/>
  <c r="AL15" i="51"/>
  <c r="CC15" i="51" s="1"/>
  <c r="CC17" i="51"/>
  <c r="AM22" i="51"/>
  <c r="CD22" i="51" s="1"/>
  <c r="CD23" i="51"/>
  <c r="AH15" i="50"/>
  <c r="BT15" i="50" s="1"/>
  <c r="BY20" i="51"/>
  <c r="AH16" i="50"/>
  <c r="BT16" i="50" s="1"/>
  <c r="BY21" i="51"/>
  <c r="AM15" i="51"/>
  <c r="CD15" i="51" s="1"/>
  <c r="CD17" i="51"/>
  <c r="AH117" i="50"/>
  <c r="BT117" i="50" s="1"/>
  <c r="BY27" i="51"/>
  <c r="AB15" i="51"/>
  <c r="BS15" i="51" s="1"/>
  <c r="BS17" i="51"/>
  <c r="AB22" i="51"/>
  <c r="BS22" i="51" s="1"/>
  <c r="BS23" i="51"/>
  <c r="AA20" i="50"/>
  <c r="BM20" i="50" s="1"/>
  <c r="BR46" i="51"/>
  <c r="AH121" i="50"/>
  <c r="BT121" i="50" s="1"/>
  <c r="BY35" i="51"/>
  <c r="AH118" i="50"/>
  <c r="BT118" i="50" s="1"/>
  <c r="BY28" i="51"/>
  <c r="AH22" i="50"/>
  <c r="BT22" i="50" s="1"/>
  <c r="BY48" i="51"/>
  <c r="AE22" i="51"/>
  <c r="BV22" i="51" s="1"/>
  <c r="BV23" i="51"/>
  <c r="AC15" i="51"/>
  <c r="BT15" i="51" s="1"/>
  <c r="BT17" i="51"/>
  <c r="AC22" i="51"/>
  <c r="BT22" i="51" s="1"/>
  <c r="BT23" i="51"/>
  <c r="AH114" i="50"/>
  <c r="BT114" i="50" s="1"/>
  <c r="BY23" i="51"/>
  <c r="AI15" i="51"/>
  <c r="BZ15" i="51" s="1"/>
  <c r="BZ17" i="51"/>
  <c r="AD15" i="51"/>
  <c r="BU15" i="51" s="1"/>
  <c r="BU17" i="51"/>
  <c r="AD22" i="51"/>
  <c r="BU22" i="51" s="1"/>
  <c r="BU23" i="51"/>
  <c r="AA21" i="50"/>
  <c r="BM21" i="50" s="1"/>
  <c r="BR47" i="51"/>
  <c r="AA17" i="50"/>
  <c r="BM17" i="50" s="1"/>
  <c r="BR29" i="51"/>
  <c r="AH113" i="50"/>
  <c r="BT113" i="50" s="1"/>
  <c r="BY17" i="51"/>
  <c r="AI22" i="51"/>
  <c r="BZ22" i="51" s="1"/>
  <c r="BZ23" i="51"/>
  <c r="AH130" i="50"/>
  <c r="BT130" i="50" s="1"/>
  <c r="BY58" i="51"/>
  <c r="AH20" i="50"/>
  <c r="BT20" i="50" s="1"/>
  <c r="BY46" i="51"/>
  <c r="AW19" i="67"/>
  <c r="CC17" i="53"/>
  <c r="DC17" i="53"/>
  <c r="W19" i="78"/>
  <c r="T93" i="39"/>
  <c r="AG93" i="39" s="1"/>
  <c r="T50" i="39"/>
  <c r="AG49" i="39"/>
  <c r="AG50" i="39" s="1"/>
  <c r="T96" i="39"/>
  <c r="AG96" i="39" s="1"/>
  <c r="AA96" i="39"/>
  <c r="BB17" i="53"/>
  <c r="AH17" i="73"/>
  <c r="BX17" i="73" s="1"/>
  <c r="AI17" i="73"/>
  <c r="AA27" i="51"/>
  <c r="BR27" i="51" s="1"/>
  <c r="AE27" i="51"/>
  <c r="BV27" i="51" s="1"/>
  <c r="AH41" i="51"/>
  <c r="BY41" i="51" s="1"/>
  <c r="AL41" i="51"/>
  <c r="CC41" i="51" s="1"/>
  <c r="AK27" i="51"/>
  <c r="AH26" i="51"/>
  <c r="BY26" i="51" s="1"/>
  <c r="AL26" i="51"/>
  <c r="AH39" i="51"/>
  <c r="AL39" i="51"/>
  <c r="CC39" i="51" s="1"/>
  <c r="AI27" i="51"/>
  <c r="AM27" i="51"/>
  <c r="CD27" i="51" s="1"/>
  <c r="AE26" i="51"/>
  <c r="BV26" i="51" s="1"/>
  <c r="AJ26" i="51"/>
  <c r="CA26" i="51" s="1"/>
  <c r="AC39" i="51"/>
  <c r="BT39" i="51" s="1"/>
  <c r="AK45" i="51"/>
  <c r="CB45" i="51" s="1"/>
  <c r="AH22" i="51"/>
  <c r="BY22" i="51" s="1"/>
  <c r="AM72" i="51"/>
  <c r="CD72" i="51" s="1"/>
  <c r="AJ72" i="51"/>
  <c r="CA72" i="51" s="1"/>
  <c r="AL72" i="51"/>
  <c r="CC72" i="51" s="1"/>
  <c r="AI72" i="51"/>
  <c r="BZ72" i="51" s="1"/>
  <c r="AH72" i="51"/>
  <c r="BY72" i="51" s="1"/>
  <c r="AK72" i="51"/>
  <c r="CB72" i="51" s="1"/>
  <c r="AM77" i="51"/>
  <c r="AI77" i="51"/>
  <c r="AH77" i="51"/>
  <c r="AL77" i="51"/>
  <c r="AJ77" i="51"/>
  <c r="AK77" i="51"/>
  <c r="AI97" i="51"/>
  <c r="AH97" i="51"/>
  <c r="BY97" i="51" s="1"/>
  <c r="AL97" i="51"/>
  <c r="AK97" i="51"/>
  <c r="AM97" i="51"/>
  <c r="AJ97" i="51"/>
  <c r="AC26" i="51"/>
  <c r="BT26" i="51" s="1"/>
  <c r="AB45" i="51"/>
  <c r="BS45" i="51" s="1"/>
  <c r="AH84" i="51"/>
  <c r="BY84" i="51" s="1"/>
  <c r="AJ84" i="51"/>
  <c r="CA84" i="51" s="1"/>
  <c r="AM84" i="51"/>
  <c r="CD84" i="51" s="1"/>
  <c r="AK84" i="51"/>
  <c r="CB84" i="51" s="1"/>
  <c r="AI84" i="51"/>
  <c r="BZ84" i="51" s="1"/>
  <c r="AL84" i="51"/>
  <c r="CC84" i="51" s="1"/>
  <c r="AI41" i="51"/>
  <c r="BZ41" i="51" s="1"/>
  <c r="AM41" i="51"/>
  <c r="CD41" i="51" s="1"/>
  <c r="AH76" i="51"/>
  <c r="AI26" i="51"/>
  <c r="BZ26" i="51" s="1"/>
  <c r="AM26" i="51"/>
  <c r="CD26" i="51" s="1"/>
  <c r="AL107" i="51"/>
  <c r="AI107" i="51"/>
  <c r="AH107" i="51"/>
  <c r="AM107" i="51"/>
  <c r="AK107" i="51"/>
  <c r="AJ107" i="51"/>
  <c r="AL95" i="51"/>
  <c r="AM95" i="51"/>
  <c r="AH95" i="51"/>
  <c r="AJ95" i="51"/>
  <c r="AK95" i="51"/>
  <c r="AH45" i="51"/>
  <c r="BY45" i="51" s="1"/>
  <c r="AI95" i="51"/>
  <c r="AL45" i="51"/>
  <c r="CC45" i="51" s="1"/>
  <c r="AJ85" i="51"/>
  <c r="AH85" i="51"/>
  <c r="AM85" i="51"/>
  <c r="AL85" i="51"/>
  <c r="AK85" i="51"/>
  <c r="AI85" i="51"/>
  <c r="AT70" i="51"/>
  <c r="CK70" i="51" s="1"/>
  <c r="AS70" i="51"/>
  <c r="CJ70" i="51" s="1"/>
  <c r="AP70" i="51"/>
  <c r="CG70" i="51" s="1"/>
  <c r="AQ70" i="51"/>
  <c r="CH70" i="51" s="1"/>
  <c r="AR70" i="51"/>
  <c r="CI70" i="51" s="1"/>
  <c r="AO70" i="51"/>
  <c r="CF70" i="51" s="1"/>
  <c r="AT78" i="51"/>
  <c r="CK78" i="51" s="1"/>
  <c r="AR78" i="51"/>
  <c r="CI78" i="51" s="1"/>
  <c r="AP78" i="51"/>
  <c r="CG78" i="51" s="1"/>
  <c r="AQ78" i="51"/>
  <c r="CH78" i="51" s="1"/>
  <c r="AS78" i="51"/>
  <c r="CJ78" i="51" s="1"/>
  <c r="AO78" i="51"/>
  <c r="CF78" i="51" s="1"/>
  <c r="AB39" i="51"/>
  <c r="BS39" i="51" s="1"/>
  <c r="AL66" i="51"/>
  <c r="CC66" i="51" s="1"/>
  <c r="AM66" i="51"/>
  <c r="CD66" i="51" s="1"/>
  <c r="AH15" i="51"/>
  <c r="BY15" i="51" s="1"/>
  <c r="AI66" i="51"/>
  <c r="BZ66" i="51" s="1"/>
  <c r="AH66" i="51"/>
  <c r="BY66" i="51" s="1"/>
  <c r="AK66" i="51"/>
  <c r="CB66" i="51" s="1"/>
  <c r="AJ66" i="51"/>
  <c r="CA66" i="51" s="1"/>
  <c r="AI39" i="51"/>
  <c r="BZ39" i="51" s="1"/>
  <c r="AM39" i="51"/>
  <c r="CD39" i="51" s="1"/>
  <c r="AJ41" i="51"/>
  <c r="CA41" i="51" s="1"/>
  <c r="AI96" i="51"/>
  <c r="AK96" i="51"/>
  <c r="AJ96" i="51"/>
  <c r="AH96" i="51"/>
  <c r="BY96" i="51" s="1"/>
  <c r="AM96" i="51"/>
  <c r="AL96" i="51"/>
  <c r="AI45" i="51"/>
  <c r="BZ45" i="51" s="1"/>
  <c r="AM45" i="51"/>
  <c r="CD45" i="51" s="1"/>
  <c r="AH78" i="51"/>
  <c r="BY78" i="51" s="1"/>
  <c r="AI78" i="51"/>
  <c r="AK78" i="51"/>
  <c r="AM78" i="51"/>
  <c r="AL78" i="51"/>
  <c r="AJ78" i="51"/>
  <c r="AD41" i="51"/>
  <c r="AD27" i="51"/>
  <c r="BU27" i="51" s="1"/>
  <c r="AD69" i="51"/>
  <c r="AD45" i="51"/>
  <c r="BU45" i="51" s="1"/>
  <c r="AH87" i="51"/>
  <c r="AK87" i="51"/>
  <c r="AI87" i="51"/>
  <c r="AJ87" i="51"/>
  <c r="AM87" i="51"/>
  <c r="AL87" i="51"/>
  <c r="AJ39" i="51"/>
  <c r="CA39" i="51" s="1"/>
  <c r="AK41" i="51"/>
  <c r="AJ27" i="51"/>
  <c r="CA27" i="51" s="1"/>
  <c r="AI69" i="51"/>
  <c r="AL69" i="51"/>
  <c r="AJ69" i="51"/>
  <c r="AK69" i="51"/>
  <c r="AM69" i="51"/>
  <c r="AH69" i="51"/>
  <c r="AJ45" i="51"/>
  <c r="CA45" i="51" s="1"/>
  <c r="AM70" i="51"/>
  <c r="AK70" i="51"/>
  <c r="AJ70" i="51"/>
  <c r="AL70" i="51"/>
  <c r="AI70" i="51"/>
  <c r="AH70" i="51"/>
  <c r="BY70" i="51" s="1"/>
  <c r="AA124" i="50"/>
  <c r="AF87" i="51"/>
  <c r="AA87" i="51"/>
  <c r="AB87" i="51"/>
  <c r="AE87" i="51"/>
  <c r="AC87" i="51"/>
  <c r="AD87" i="51"/>
  <c r="AA122" i="50"/>
  <c r="AF85" i="51"/>
  <c r="AB85" i="51"/>
  <c r="AE85" i="51"/>
  <c r="AC85" i="51"/>
  <c r="AA85" i="51"/>
  <c r="AD85" i="51"/>
  <c r="AA41" i="51"/>
  <c r="BR41" i="51" s="1"/>
  <c r="AE41" i="51"/>
  <c r="AA114" i="50"/>
  <c r="AA72" i="51"/>
  <c r="BR72" i="51" s="1"/>
  <c r="AE72" i="51"/>
  <c r="BV72" i="51" s="1"/>
  <c r="AA22" i="51"/>
  <c r="BR22" i="51" s="1"/>
  <c r="AD72" i="51"/>
  <c r="BU72" i="51" s="1"/>
  <c r="AC72" i="51"/>
  <c r="BT72" i="51" s="1"/>
  <c r="AF72" i="51"/>
  <c r="BW72" i="51" s="1"/>
  <c r="AB72" i="51"/>
  <c r="BS72" i="51" s="1"/>
  <c r="AB26" i="51"/>
  <c r="AF26" i="51"/>
  <c r="AA130" i="50"/>
  <c r="BM130" i="50" s="1"/>
  <c r="AD107" i="51"/>
  <c r="AA107" i="51"/>
  <c r="AC107" i="51"/>
  <c r="AF107" i="51"/>
  <c r="AE107" i="51"/>
  <c r="AB107" i="51"/>
  <c r="AB95" i="51"/>
  <c r="BS95" i="51" s="1"/>
  <c r="AE95" i="51"/>
  <c r="BV95" i="51" s="1"/>
  <c r="AA95" i="51"/>
  <c r="BR95" i="51" s="1"/>
  <c r="AD95" i="51"/>
  <c r="BU95" i="51" s="1"/>
  <c r="AF95" i="51"/>
  <c r="BW95" i="51" s="1"/>
  <c r="AC95" i="51"/>
  <c r="BT95" i="51" s="1"/>
  <c r="AA45" i="51"/>
  <c r="BR45" i="51" s="1"/>
  <c r="AE45" i="51"/>
  <c r="BV45" i="51" s="1"/>
  <c r="AA39" i="51"/>
  <c r="BR39" i="51" s="1"/>
  <c r="AB41" i="51"/>
  <c r="BS41" i="51" s="1"/>
  <c r="AF41" i="51"/>
  <c r="BW41" i="51" s="1"/>
  <c r="AE96" i="51"/>
  <c r="AA96" i="51"/>
  <c r="AF96" i="51"/>
  <c r="AC96" i="51"/>
  <c r="AD96" i="51"/>
  <c r="AB96" i="51"/>
  <c r="AF45" i="51"/>
  <c r="BW45" i="51" s="1"/>
  <c r="AF78" i="51"/>
  <c r="AE78" i="51"/>
  <c r="AD78" i="51"/>
  <c r="AB78" i="51"/>
  <c r="AA78" i="51"/>
  <c r="AC78" i="51"/>
  <c r="AA121" i="50"/>
  <c r="AD84" i="51"/>
  <c r="BU84" i="51" s="1"/>
  <c r="AF84" i="51"/>
  <c r="BW84" i="51" s="1"/>
  <c r="AE84" i="51"/>
  <c r="BV84" i="51" s="1"/>
  <c r="AC84" i="51"/>
  <c r="BT84" i="51" s="1"/>
  <c r="AA84" i="51"/>
  <c r="BR84" i="51" s="1"/>
  <c r="AB84" i="51"/>
  <c r="BS84" i="51" s="1"/>
  <c r="AA113" i="50"/>
  <c r="BM113" i="50" s="1"/>
  <c r="AE66" i="51"/>
  <c r="BV66" i="51" s="1"/>
  <c r="AC66" i="51"/>
  <c r="BT66" i="51" s="1"/>
  <c r="AA66" i="51"/>
  <c r="BR66" i="51" s="1"/>
  <c r="AD66" i="51"/>
  <c r="BU66" i="51" s="1"/>
  <c r="AA15" i="51"/>
  <c r="BR15" i="51" s="1"/>
  <c r="AF66" i="51"/>
  <c r="BW66" i="51" s="1"/>
  <c r="AB66" i="51"/>
  <c r="BS66" i="51" s="1"/>
  <c r="AF39" i="51"/>
  <c r="BW39" i="51" s="1"/>
  <c r="AC41" i="51"/>
  <c r="BT41" i="51" s="1"/>
  <c r="AC27" i="51"/>
  <c r="BT27" i="51" s="1"/>
  <c r="AD26" i="51"/>
  <c r="BU26" i="51" s="1"/>
  <c r="AF69" i="51"/>
  <c r="AE69" i="51"/>
  <c r="AB69" i="51"/>
  <c r="AC69" i="51"/>
  <c r="AA69" i="51"/>
  <c r="AC45" i="51"/>
  <c r="BT45" i="51" s="1"/>
  <c r="AD70" i="51"/>
  <c r="AC70" i="51"/>
  <c r="AF70" i="51"/>
  <c r="AB70" i="51"/>
  <c r="AA70" i="51"/>
  <c r="AE70" i="51"/>
  <c r="AA116" i="50"/>
  <c r="BM116" i="50" s="1"/>
  <c r="AA75" i="51"/>
  <c r="BR75" i="51" s="1"/>
  <c r="AA118" i="50"/>
  <c r="AA77" i="51"/>
  <c r="AF77" i="51"/>
  <c r="AD77" i="51"/>
  <c r="AB77" i="51"/>
  <c r="AC77" i="51"/>
  <c r="AE77" i="51"/>
  <c r="AF97" i="51"/>
  <c r="AE97" i="51"/>
  <c r="AD97" i="51"/>
  <c r="AA97" i="51"/>
  <c r="AC97" i="51"/>
  <c r="AB97" i="51"/>
  <c r="AI114" i="50" l="1"/>
  <c r="AB15" i="50"/>
  <c r="AC15" i="50" s="1"/>
  <c r="AI21" i="50"/>
  <c r="AI124" i="50"/>
  <c r="AJ124" i="50" s="1"/>
  <c r="AB17" i="50"/>
  <c r="AW19" i="85"/>
  <c r="AI121" i="50"/>
  <c r="AJ121" i="50" s="1"/>
  <c r="AI113" i="50"/>
  <c r="BU113" i="50" s="1"/>
  <c r="W19" i="83"/>
  <c r="W20" i="83"/>
  <c r="AB21" i="50"/>
  <c r="AI17" i="50"/>
  <c r="AJ17" i="50" s="1"/>
  <c r="AB22" i="50"/>
  <c r="AI20" i="50"/>
  <c r="AJ20" i="50" s="1"/>
  <c r="AB16" i="50"/>
  <c r="BN16" i="50" s="1"/>
  <c r="AB144" i="50"/>
  <c r="BN144" i="50" s="1"/>
  <c r="BS87" i="51"/>
  <c r="AB118" i="50"/>
  <c r="BN118" i="50" s="1"/>
  <c r="BM118" i="50"/>
  <c r="AD41" i="50"/>
  <c r="BP41" i="50" s="1"/>
  <c r="BU70" i="51"/>
  <c r="AH144" i="50"/>
  <c r="AH164" i="50" s="1"/>
  <c r="BT164" i="50" s="1"/>
  <c r="BY87" i="51"/>
  <c r="CB78" i="51"/>
  <c r="CA96" i="51"/>
  <c r="AJ150" i="50"/>
  <c r="BV150" i="50" s="1"/>
  <c r="CA107" i="51"/>
  <c r="AH137" i="50"/>
  <c r="AH157" i="50" s="1"/>
  <c r="BY76" i="51"/>
  <c r="AI47" i="50"/>
  <c r="BU47" i="50" s="1"/>
  <c r="BZ97" i="51"/>
  <c r="AK25" i="51"/>
  <c r="CB27" i="51"/>
  <c r="AJ114" i="50"/>
  <c r="BU114" i="50"/>
  <c r="CC95" i="51"/>
  <c r="AE47" i="50"/>
  <c r="BQ47" i="50" s="1"/>
  <c r="BV97" i="51"/>
  <c r="AE142" i="50"/>
  <c r="BQ142" i="50" s="1"/>
  <c r="BV85" i="51"/>
  <c r="AA144" i="50"/>
  <c r="BR87" i="51"/>
  <c r="CD70" i="51"/>
  <c r="AF47" i="50"/>
  <c r="BR47" i="50" s="1"/>
  <c r="BW97" i="51"/>
  <c r="AB121" i="50"/>
  <c r="BN121" i="50" s="1"/>
  <c r="BM121" i="50"/>
  <c r="AB46" i="50"/>
  <c r="BN46" i="50" s="1"/>
  <c r="BS96" i="51"/>
  <c r="AF25" i="51"/>
  <c r="BW26" i="51"/>
  <c r="AB142" i="50"/>
  <c r="BN142" i="50" s="1"/>
  <c r="BS85" i="51"/>
  <c r="AF144" i="50"/>
  <c r="BR144" i="50" s="1"/>
  <c r="BW87" i="51"/>
  <c r="AK34" i="51"/>
  <c r="CB41" i="51"/>
  <c r="AI42" i="50"/>
  <c r="BU42" i="50" s="1"/>
  <c r="BZ78" i="51"/>
  <c r="CB96" i="51"/>
  <c r="AI45" i="50"/>
  <c r="BU45" i="50" s="1"/>
  <c r="BZ95" i="51"/>
  <c r="AK150" i="50"/>
  <c r="BW150" i="50" s="1"/>
  <c r="CB107" i="51"/>
  <c r="AK138" i="50"/>
  <c r="BW138" i="50" s="1"/>
  <c r="CB77" i="51"/>
  <c r="AB20" i="50"/>
  <c r="AI16" i="50"/>
  <c r="AD47" i="50"/>
  <c r="BP47" i="50" s="1"/>
  <c r="BU97" i="51"/>
  <c r="AF42" i="50"/>
  <c r="BR42" i="50" s="1"/>
  <c r="BW78" i="51"/>
  <c r="CB70" i="51"/>
  <c r="AA40" i="50"/>
  <c r="BM40" i="50" s="1"/>
  <c r="BR69" i="51"/>
  <c r="AC42" i="50"/>
  <c r="BO42" i="50" s="1"/>
  <c r="BT78" i="51"/>
  <c r="AB124" i="50"/>
  <c r="BN124" i="50" s="1"/>
  <c r="BM124" i="50"/>
  <c r="BY69" i="51"/>
  <c r="AD40" i="50"/>
  <c r="BP40" i="50" s="1"/>
  <c r="BU69" i="51"/>
  <c r="AI46" i="50"/>
  <c r="BU46" i="50" s="1"/>
  <c r="BZ96" i="51"/>
  <c r="AI142" i="50"/>
  <c r="BU142" i="50" s="1"/>
  <c r="BZ85" i="51"/>
  <c r="AM150" i="50"/>
  <c r="BY150" i="50" s="1"/>
  <c r="CD107" i="51"/>
  <c r="AJ138" i="50"/>
  <c r="BV138" i="50" s="1"/>
  <c r="CA77" i="51"/>
  <c r="BN15" i="50"/>
  <c r="CD78" i="51"/>
  <c r="AC22" i="50"/>
  <c r="BN22" i="50"/>
  <c r="AD46" i="50"/>
  <c r="BP46" i="50" s="1"/>
  <c r="BU96" i="51"/>
  <c r="AB150" i="50"/>
  <c r="BN150" i="50" s="1"/>
  <c r="BS107" i="51"/>
  <c r="AF142" i="50"/>
  <c r="BR142" i="50" s="1"/>
  <c r="BW85" i="51"/>
  <c r="AC138" i="50"/>
  <c r="BO138" i="50" s="1"/>
  <c r="BT77" i="51"/>
  <c r="AE41" i="50"/>
  <c r="BQ41" i="50" s="1"/>
  <c r="BV70" i="51"/>
  <c r="AC40" i="50"/>
  <c r="BO40" i="50" s="1"/>
  <c r="BT69" i="51"/>
  <c r="AA42" i="50"/>
  <c r="AA67" i="50" s="1"/>
  <c r="BM67" i="50" s="1"/>
  <c r="BR78" i="51"/>
  <c r="AC46" i="50"/>
  <c r="BO46" i="50" s="1"/>
  <c r="BT96" i="51"/>
  <c r="AE150" i="50"/>
  <c r="BQ150" i="50" s="1"/>
  <c r="BV107" i="51"/>
  <c r="AE34" i="51"/>
  <c r="BV41" i="51"/>
  <c r="AB122" i="50"/>
  <c r="BN122" i="50" s="1"/>
  <c r="BM122" i="50"/>
  <c r="AM40" i="50"/>
  <c r="BY40" i="50" s="1"/>
  <c r="CD69" i="51"/>
  <c r="AL144" i="50"/>
  <c r="BX144" i="50" s="1"/>
  <c r="CC87" i="51"/>
  <c r="AK142" i="50"/>
  <c r="BW142" i="50" s="1"/>
  <c r="CB85" i="51"/>
  <c r="CB95" i="51"/>
  <c r="AH150" i="50"/>
  <c r="AH170" i="50" s="1"/>
  <c r="BY107" i="51"/>
  <c r="CA97" i="51"/>
  <c r="AL138" i="50"/>
  <c r="BX138" i="50" s="1"/>
  <c r="CC77" i="51"/>
  <c r="AI76" i="51"/>
  <c r="BZ27" i="51"/>
  <c r="AI22" i="50"/>
  <c r="AI130" i="50"/>
  <c r="AI15" i="50"/>
  <c r="AC142" i="50"/>
  <c r="BO142" i="50" s="1"/>
  <c r="BT85" i="51"/>
  <c r="AB25" i="51"/>
  <c r="BS26" i="51"/>
  <c r="AB47" i="50"/>
  <c r="BN47" i="50" s="1"/>
  <c r="BS97" i="51"/>
  <c r="AB42" i="50"/>
  <c r="BN42" i="50" s="1"/>
  <c r="BS78" i="51"/>
  <c r="AI41" i="50"/>
  <c r="BU41" i="50" s="1"/>
  <c r="BZ70" i="51"/>
  <c r="AM144" i="50"/>
  <c r="BY144" i="50" s="1"/>
  <c r="CD87" i="51"/>
  <c r="CA95" i="51"/>
  <c r="AH138" i="50"/>
  <c r="BT138" i="50" s="1"/>
  <c r="BY77" i="51"/>
  <c r="AJ21" i="50"/>
  <c r="BU21" i="50"/>
  <c r="AC21" i="50"/>
  <c r="BN21" i="50"/>
  <c r="AA138" i="50"/>
  <c r="BM138" i="50" s="1"/>
  <c r="BR77" i="51"/>
  <c r="AD150" i="50"/>
  <c r="BP150" i="50" s="1"/>
  <c r="BU107" i="51"/>
  <c r="AK144" i="50"/>
  <c r="BW144" i="50" s="1"/>
  <c r="CB87" i="51"/>
  <c r="AJ142" i="50"/>
  <c r="BV142" i="50" s="1"/>
  <c r="CA85" i="51"/>
  <c r="AE138" i="50"/>
  <c r="BQ138" i="50" s="1"/>
  <c r="BV77" i="51"/>
  <c r="AB114" i="50"/>
  <c r="BN114" i="50" s="1"/>
  <c r="BM114" i="50"/>
  <c r="AB138" i="50"/>
  <c r="BN138" i="50" s="1"/>
  <c r="BS77" i="51"/>
  <c r="AA41" i="50"/>
  <c r="AA66" i="50" s="1"/>
  <c r="BM66" i="50" s="1"/>
  <c r="BR70" i="51"/>
  <c r="AB40" i="50"/>
  <c r="BN40" i="50" s="1"/>
  <c r="BS69" i="51"/>
  <c r="AF46" i="50"/>
  <c r="BR46" i="50" s="1"/>
  <c r="BW96" i="51"/>
  <c r="AF150" i="50"/>
  <c r="BR150" i="50" s="1"/>
  <c r="BW107" i="51"/>
  <c r="AD144" i="50"/>
  <c r="BP144" i="50" s="1"/>
  <c r="BU87" i="51"/>
  <c r="AK40" i="50"/>
  <c r="BW40" i="50" s="1"/>
  <c r="CB69" i="51"/>
  <c r="AD34" i="51"/>
  <c r="BU41" i="51"/>
  <c r="AL142" i="50"/>
  <c r="BX142" i="50" s="1"/>
  <c r="CC85" i="51"/>
  <c r="AI150" i="50"/>
  <c r="BU150" i="50" s="1"/>
  <c r="BZ107" i="51"/>
  <c r="CD97" i="51"/>
  <c r="AC47" i="50"/>
  <c r="BO47" i="50" s="1"/>
  <c r="BT97" i="51"/>
  <c r="AD138" i="50"/>
  <c r="BP138" i="50" s="1"/>
  <c r="BU77" i="51"/>
  <c r="AB41" i="50"/>
  <c r="BN41" i="50" s="1"/>
  <c r="BS70" i="51"/>
  <c r="AE40" i="50"/>
  <c r="BQ40" i="50" s="1"/>
  <c r="BV69" i="51"/>
  <c r="AD42" i="50"/>
  <c r="BP42" i="50" s="1"/>
  <c r="BU78" i="51"/>
  <c r="AA46" i="50"/>
  <c r="BR96" i="51"/>
  <c r="AC150" i="50"/>
  <c r="BO150" i="50" s="1"/>
  <c r="BT107" i="51"/>
  <c r="AD142" i="50"/>
  <c r="BP142" i="50" s="1"/>
  <c r="BU85" i="51"/>
  <c r="AC144" i="50"/>
  <c r="BO144" i="50" s="1"/>
  <c r="BT87" i="51"/>
  <c r="CC70" i="51"/>
  <c r="AJ40" i="50"/>
  <c r="BV40" i="50" s="1"/>
  <c r="CA69" i="51"/>
  <c r="AJ144" i="50"/>
  <c r="BV144" i="50" s="1"/>
  <c r="CA87" i="51"/>
  <c r="CA78" i="51"/>
  <c r="CC96" i="51"/>
  <c r="AM142" i="50"/>
  <c r="BY142" i="50" s="1"/>
  <c r="CD85" i="51"/>
  <c r="BY95" i="51"/>
  <c r="AL150" i="50"/>
  <c r="BX150" i="50" s="1"/>
  <c r="CC107" i="51"/>
  <c r="CB97" i="51"/>
  <c r="AI138" i="50"/>
  <c r="BU138" i="50" s="1"/>
  <c r="BZ77" i="51"/>
  <c r="AH125" i="50"/>
  <c r="BT125" i="50" s="1"/>
  <c r="BY39" i="51"/>
  <c r="AI118" i="50"/>
  <c r="AI122" i="50"/>
  <c r="AC41" i="50"/>
  <c r="BO41" i="50" s="1"/>
  <c r="BT70" i="51"/>
  <c r="AI40" i="50"/>
  <c r="BU40" i="50" s="1"/>
  <c r="BZ69" i="51"/>
  <c r="AA47" i="50"/>
  <c r="AA72" i="50" s="1"/>
  <c r="BM72" i="50" s="1"/>
  <c r="BR97" i="51"/>
  <c r="AF138" i="50"/>
  <c r="BR138" i="50" s="1"/>
  <c r="BW77" i="51"/>
  <c r="AF41" i="50"/>
  <c r="BR41" i="50" s="1"/>
  <c r="BW70" i="51"/>
  <c r="AF40" i="50"/>
  <c r="BR40" i="50" s="1"/>
  <c r="BW69" i="51"/>
  <c r="AE42" i="50"/>
  <c r="BQ42" i="50" s="1"/>
  <c r="BV78" i="51"/>
  <c r="AE46" i="50"/>
  <c r="BQ46" i="50" s="1"/>
  <c r="BV96" i="51"/>
  <c r="AA150" i="50"/>
  <c r="BM150" i="50" s="1"/>
  <c r="BR107" i="51"/>
  <c r="AA142" i="50"/>
  <c r="BM142" i="50" s="1"/>
  <c r="BR85" i="51"/>
  <c r="AE144" i="50"/>
  <c r="BQ144" i="50" s="1"/>
  <c r="BV87" i="51"/>
  <c r="CA70" i="51"/>
  <c r="AL40" i="50"/>
  <c r="BX40" i="50" s="1"/>
  <c r="CC69" i="51"/>
  <c r="AI144" i="50"/>
  <c r="BU144" i="50" s="1"/>
  <c r="BZ87" i="51"/>
  <c r="CC78" i="51"/>
  <c r="CD96" i="51"/>
  <c r="AH142" i="50"/>
  <c r="AH162" i="50" s="1"/>
  <c r="BT162" i="50" s="1"/>
  <c r="BY85" i="51"/>
  <c r="CD95" i="51"/>
  <c r="CC97" i="51"/>
  <c r="AM138" i="50"/>
  <c r="BY138" i="50" s="1"/>
  <c r="CD77" i="51"/>
  <c r="AL25" i="51"/>
  <c r="CC26" i="51"/>
  <c r="BU124" i="50"/>
  <c r="AC17" i="50"/>
  <c r="BN17" i="50"/>
  <c r="DD17" i="53"/>
  <c r="AA71" i="50"/>
  <c r="BM71" i="50" s="1"/>
  <c r="BM46" i="50"/>
  <c r="AA164" i="50"/>
  <c r="BM164" i="50" s="1"/>
  <c r="BM144" i="50"/>
  <c r="AB34" i="51"/>
  <c r="AJ76" i="51"/>
  <c r="AC34" i="51"/>
  <c r="AA117" i="50"/>
  <c r="AE76" i="51"/>
  <c r="AA76" i="51"/>
  <c r="AC76" i="51"/>
  <c r="AB76" i="51"/>
  <c r="AD76" i="51"/>
  <c r="AF76" i="51"/>
  <c r="AH25" i="51"/>
  <c r="AH116" i="50"/>
  <c r="AI117" i="50"/>
  <c r="AH90" i="51"/>
  <c r="AH127" i="50"/>
  <c r="AA25" i="51"/>
  <c r="AD25" i="51"/>
  <c r="AI25" i="51"/>
  <c r="AM25" i="51"/>
  <c r="AB75" i="51"/>
  <c r="AE25" i="51"/>
  <c r="AH34" i="51"/>
  <c r="AL34" i="51"/>
  <c r="AH88" i="51"/>
  <c r="AC75" i="51"/>
  <c r="AF34" i="51"/>
  <c r="AD75" i="51"/>
  <c r="AJ34" i="51"/>
  <c r="AH75" i="51"/>
  <c r="AM34" i="51"/>
  <c r="AA34" i="51"/>
  <c r="AE75" i="51"/>
  <c r="BV75" i="51" s="1"/>
  <c r="AF75" i="51"/>
  <c r="BW75" i="51" s="1"/>
  <c r="AC25" i="51"/>
  <c r="AJ88" i="51"/>
  <c r="AI34" i="51"/>
  <c r="AJ90" i="51"/>
  <c r="C75" i="49"/>
  <c r="D75" i="49"/>
  <c r="AI133" i="50"/>
  <c r="BU133" i="50" s="1"/>
  <c r="AI64" i="51"/>
  <c r="BZ64" i="51" s="1"/>
  <c r="AI94" i="51"/>
  <c r="BZ94" i="51" s="1"/>
  <c r="AH94" i="51"/>
  <c r="BY94" i="51" s="1"/>
  <c r="AK76" i="51"/>
  <c r="AL76" i="51"/>
  <c r="AM88" i="51"/>
  <c r="AI88" i="51"/>
  <c r="AL141" i="50"/>
  <c r="BX141" i="50" s="1"/>
  <c r="AJ141" i="50"/>
  <c r="BV141" i="50" s="1"/>
  <c r="AK75" i="51"/>
  <c r="CB75" i="51" s="1"/>
  <c r="AI75" i="51"/>
  <c r="BZ75" i="51" s="1"/>
  <c r="AK71" i="51"/>
  <c r="CB71" i="51" s="1"/>
  <c r="AK134" i="50"/>
  <c r="BW134" i="50" s="1"/>
  <c r="AJ134" i="50"/>
  <c r="BV134" i="50" s="1"/>
  <c r="AJ71" i="51"/>
  <c r="CA71" i="51" s="1"/>
  <c r="AI90" i="51"/>
  <c r="G75" i="49"/>
  <c r="AJ133" i="50"/>
  <c r="BV133" i="50" s="1"/>
  <c r="AJ64" i="51"/>
  <c r="CA64" i="51" s="1"/>
  <c r="AM94" i="51"/>
  <c r="CD94" i="51" s="1"/>
  <c r="AM76" i="51"/>
  <c r="AI141" i="50"/>
  <c r="BU141" i="50" s="1"/>
  <c r="AH141" i="50"/>
  <c r="AJ75" i="51"/>
  <c r="CA75" i="51" s="1"/>
  <c r="AH71" i="51"/>
  <c r="BY71" i="51" s="1"/>
  <c r="AH134" i="50"/>
  <c r="AM134" i="50"/>
  <c r="BY134" i="50" s="1"/>
  <c r="AM71" i="51"/>
  <c r="CD71" i="51" s="1"/>
  <c r="AK90" i="51"/>
  <c r="AL90" i="51"/>
  <c r="AK133" i="50"/>
  <c r="BW133" i="50" s="1"/>
  <c r="AK64" i="51"/>
  <c r="CB64" i="51" s="1"/>
  <c r="AM133" i="50"/>
  <c r="BY133" i="50" s="1"/>
  <c r="AM64" i="51"/>
  <c r="CD64" i="51" s="1"/>
  <c r="AK94" i="51"/>
  <c r="CB94" i="51" s="1"/>
  <c r="AL94" i="51"/>
  <c r="CC94" i="51" s="1"/>
  <c r="AK141" i="50"/>
  <c r="BW141" i="50" s="1"/>
  <c r="AM75" i="51"/>
  <c r="CD75" i="51" s="1"/>
  <c r="AI71" i="51"/>
  <c r="BZ71" i="51" s="1"/>
  <c r="AI134" i="50"/>
  <c r="BU134" i="50" s="1"/>
  <c r="AM90" i="51"/>
  <c r="E75" i="49"/>
  <c r="AJ25" i="51"/>
  <c r="AH133" i="50"/>
  <c r="BT133" i="50" s="1"/>
  <c r="AH64" i="51"/>
  <c r="BY64" i="51" s="1"/>
  <c r="AL133" i="50"/>
  <c r="BX133" i="50" s="1"/>
  <c r="AL64" i="51"/>
  <c r="CC64" i="51" s="1"/>
  <c r="AJ94" i="51"/>
  <c r="CA94" i="51" s="1"/>
  <c r="AK88" i="51"/>
  <c r="AL88" i="51"/>
  <c r="AM141" i="50"/>
  <c r="BY141" i="50" s="1"/>
  <c r="AL75" i="51"/>
  <c r="CC75" i="51" s="1"/>
  <c r="AL71" i="51"/>
  <c r="CC71" i="51" s="1"/>
  <c r="AL134" i="50"/>
  <c r="BX134" i="50" s="1"/>
  <c r="AA136" i="50"/>
  <c r="AB133" i="50"/>
  <c r="BN133" i="50" s="1"/>
  <c r="AB64" i="51"/>
  <c r="BS64" i="51" s="1"/>
  <c r="AA133" i="50"/>
  <c r="BM133" i="50" s="1"/>
  <c r="AA64" i="51"/>
  <c r="BR64" i="51" s="1"/>
  <c r="AB141" i="50"/>
  <c r="BN141" i="50" s="1"/>
  <c r="AF141" i="50"/>
  <c r="BR141" i="50" s="1"/>
  <c r="AA125" i="50"/>
  <c r="BM125" i="50" s="1"/>
  <c r="AE88" i="51"/>
  <c r="AC88" i="51"/>
  <c r="AA88" i="51"/>
  <c r="AB88" i="51"/>
  <c r="AD88" i="51"/>
  <c r="AF88" i="51"/>
  <c r="AA45" i="50"/>
  <c r="BM45" i="50" s="1"/>
  <c r="AA94" i="51"/>
  <c r="BR94" i="51" s="1"/>
  <c r="AB71" i="51"/>
  <c r="BS71" i="51" s="1"/>
  <c r="AB134" i="50"/>
  <c r="BN134" i="50" s="1"/>
  <c r="F61" i="49"/>
  <c r="C61" i="49"/>
  <c r="AC118" i="50"/>
  <c r="BO118" i="50" s="1"/>
  <c r="AB116" i="50"/>
  <c r="BN116" i="50" s="1"/>
  <c r="AA65" i="50"/>
  <c r="BM65" i="50" s="1"/>
  <c r="AA38" i="50"/>
  <c r="BM38" i="50" s="1"/>
  <c r="AF133" i="50"/>
  <c r="BR133" i="50" s="1"/>
  <c r="AF64" i="51"/>
  <c r="BW64" i="51" s="1"/>
  <c r="AC133" i="50"/>
  <c r="BO133" i="50" s="1"/>
  <c r="AC64" i="51"/>
  <c r="BT64" i="51" s="1"/>
  <c r="AA141" i="50"/>
  <c r="AD141" i="50"/>
  <c r="BP141" i="50" s="1"/>
  <c r="AC45" i="50"/>
  <c r="AC94" i="51"/>
  <c r="BT94" i="51" s="1"/>
  <c r="AE45" i="50"/>
  <c r="AE94" i="51"/>
  <c r="BV94" i="51" s="1"/>
  <c r="AF134" i="50"/>
  <c r="BR134" i="50" s="1"/>
  <c r="AF71" i="51"/>
  <c r="BW71" i="51" s="1"/>
  <c r="AE134" i="50"/>
  <c r="BQ134" i="50" s="1"/>
  <c r="AE71" i="51"/>
  <c r="BV71" i="51" s="1"/>
  <c r="AA127" i="50"/>
  <c r="BM127" i="50" s="1"/>
  <c r="AE90" i="51"/>
  <c r="AC90" i="51"/>
  <c r="AB90" i="51"/>
  <c r="AA90" i="51"/>
  <c r="AD90" i="51"/>
  <c r="AF90" i="51"/>
  <c r="E61" i="49"/>
  <c r="AE133" i="50"/>
  <c r="BQ133" i="50" s="1"/>
  <c r="AE64" i="51"/>
  <c r="BV64" i="51" s="1"/>
  <c r="AC141" i="50"/>
  <c r="BO141" i="50" s="1"/>
  <c r="AF45" i="50"/>
  <c r="AF94" i="51"/>
  <c r="BW94" i="51" s="1"/>
  <c r="AB45" i="50"/>
  <c r="AB94" i="51"/>
  <c r="BS94" i="51" s="1"/>
  <c r="AB130" i="50"/>
  <c r="BN130" i="50" s="1"/>
  <c r="AC134" i="50"/>
  <c r="BO134" i="50" s="1"/>
  <c r="AC71" i="51"/>
  <c r="BT71" i="51" s="1"/>
  <c r="AA134" i="50"/>
  <c r="AA71" i="51"/>
  <c r="BR71" i="51" s="1"/>
  <c r="AC124" i="50"/>
  <c r="BO124" i="50" s="1"/>
  <c r="AD133" i="50"/>
  <c r="BP133" i="50" s="1"/>
  <c r="AD64" i="51"/>
  <c r="BU64" i="51" s="1"/>
  <c r="AB113" i="50"/>
  <c r="BN113" i="50" s="1"/>
  <c r="AE141" i="50"/>
  <c r="BQ141" i="50" s="1"/>
  <c r="AD45" i="50"/>
  <c r="AD94" i="51"/>
  <c r="BU94" i="51" s="1"/>
  <c r="AD71" i="51"/>
  <c r="BU71" i="51" s="1"/>
  <c r="AD134" i="50"/>
  <c r="BP134" i="50" s="1"/>
  <c r="AC114" i="50"/>
  <c r="BO114" i="50" s="1"/>
  <c r="D61" i="49"/>
  <c r="F75" i="49"/>
  <c r="G61" i="49"/>
  <c r="BU20" i="50" l="1"/>
  <c r="AJ113" i="50"/>
  <c r="BT142" i="50"/>
  <c r="BU17" i="50"/>
  <c r="AH158" i="50"/>
  <c r="BT158" i="50" s="1"/>
  <c r="BT150" i="50"/>
  <c r="AC122" i="50"/>
  <c r="BO122" i="50" s="1"/>
  <c r="AD38" i="50"/>
  <c r="BP38" i="50" s="1"/>
  <c r="BM42" i="50"/>
  <c r="AI38" i="50"/>
  <c r="BU38" i="50" s="1"/>
  <c r="AA162" i="50"/>
  <c r="BU121" i="50"/>
  <c r="AC16" i="50"/>
  <c r="AD16" i="50" s="1"/>
  <c r="AA170" i="50"/>
  <c r="BM170" i="50" s="1"/>
  <c r="AC38" i="50"/>
  <c r="BO38" i="50" s="1"/>
  <c r="BM41" i="50"/>
  <c r="AB162" i="50"/>
  <c r="AC162" i="50" s="1"/>
  <c r="AA190" i="50"/>
  <c r="BM190" i="50" s="1"/>
  <c r="AF38" i="50"/>
  <c r="BR38" i="50" s="1"/>
  <c r="BT170" i="50"/>
  <c r="AI170" i="50"/>
  <c r="BU170" i="50" s="1"/>
  <c r="BT157" i="50"/>
  <c r="AK147" i="50"/>
  <c r="BW147" i="50" s="1"/>
  <c r="CB90" i="51"/>
  <c r="AI145" i="50"/>
  <c r="BU145" i="50" s="1"/>
  <c r="BZ88" i="51"/>
  <c r="AC30" i="51"/>
  <c r="BT30" i="51" s="1"/>
  <c r="BT34" i="51"/>
  <c r="AB38" i="50"/>
  <c r="BN38" i="50" s="1"/>
  <c r="AE147" i="50"/>
  <c r="BQ147" i="50" s="1"/>
  <c r="BV90" i="51"/>
  <c r="AA145" i="50"/>
  <c r="BR88" i="51"/>
  <c r="AF137" i="50"/>
  <c r="BR137" i="50" s="1"/>
  <c r="BW76" i="51"/>
  <c r="AK17" i="50"/>
  <c r="BV17" i="50"/>
  <c r="AC145" i="50"/>
  <c r="BO145" i="50" s="1"/>
  <c r="BT88" i="51"/>
  <c r="AL137" i="50"/>
  <c r="BX137" i="50" s="1"/>
  <c r="CC76" i="51"/>
  <c r="AM40" i="67"/>
  <c r="J75" i="49"/>
  <c r="AM40" i="85" s="1"/>
  <c r="AC18" i="51"/>
  <c r="BT25" i="51"/>
  <c r="AJ30" i="51"/>
  <c r="CA30" i="51" s="1"/>
  <c r="CA34" i="51"/>
  <c r="AB136" i="50"/>
  <c r="BN136" i="50" s="1"/>
  <c r="BS75" i="51"/>
  <c r="AJ117" i="50"/>
  <c r="BU117" i="50"/>
  <c r="AD137" i="50"/>
  <c r="BP137" i="50" s="1"/>
  <c r="BU76" i="51"/>
  <c r="AB30" i="51"/>
  <c r="BS30" i="51" s="1"/>
  <c r="BS34" i="51"/>
  <c r="AA158" i="50"/>
  <c r="AK124" i="50"/>
  <c r="BV124" i="50"/>
  <c r="AD21" i="50"/>
  <c r="BO21" i="50"/>
  <c r="AJ16" i="50"/>
  <c r="BU16" i="50"/>
  <c r="AD17" i="50"/>
  <c r="BO17" i="50"/>
  <c r="AM145" i="50"/>
  <c r="BY145" i="50" s="1"/>
  <c r="CD88" i="51"/>
  <c r="AI125" i="50"/>
  <c r="AL145" i="50"/>
  <c r="BX145" i="50" s="1"/>
  <c r="CC88" i="51"/>
  <c r="AJ18" i="51"/>
  <c r="CA18" i="51" s="1"/>
  <c r="CA25" i="51"/>
  <c r="AP32" i="67"/>
  <c r="M61" i="49"/>
  <c r="AP32" i="85" s="1"/>
  <c r="AC121" i="50"/>
  <c r="BO121" i="50" s="1"/>
  <c r="AE145" i="50"/>
  <c r="BQ145" i="50" s="1"/>
  <c r="BV88" i="51"/>
  <c r="AE38" i="50"/>
  <c r="BQ38" i="50" s="1"/>
  <c r="AK145" i="50"/>
  <c r="BW145" i="50" s="1"/>
  <c r="CB88" i="51"/>
  <c r="AK137" i="50"/>
  <c r="BW137" i="50" s="1"/>
  <c r="CB76" i="51"/>
  <c r="AL40" i="67"/>
  <c r="I75" i="49"/>
  <c r="AL40" i="85" s="1"/>
  <c r="AD136" i="50"/>
  <c r="BP136" i="50" s="1"/>
  <c r="BU75" i="51"/>
  <c r="AM18" i="51"/>
  <c r="CD18" i="51" s="1"/>
  <c r="CD25" i="51"/>
  <c r="AB137" i="50"/>
  <c r="BN137" i="50" s="1"/>
  <c r="BS76" i="51"/>
  <c r="BT137" i="50"/>
  <c r="AI137" i="50"/>
  <c r="BU137" i="50" s="1"/>
  <c r="BZ76" i="51"/>
  <c r="BN20" i="50"/>
  <c r="AC20" i="50"/>
  <c r="AK114" i="50"/>
  <c r="BV114" i="50"/>
  <c r="AB145" i="50"/>
  <c r="BN145" i="50" s="1"/>
  <c r="BS88" i="51"/>
  <c r="AM137" i="50"/>
  <c r="BY137" i="50" s="1"/>
  <c r="CD76" i="51"/>
  <c r="AH30" i="51"/>
  <c r="BY30" i="51" s="1"/>
  <c r="BY34" i="51"/>
  <c r="AH136" i="50"/>
  <c r="AH156" i="50" s="1"/>
  <c r="BT156" i="50" s="1"/>
  <c r="BY75" i="51"/>
  <c r="AJ22" i="50"/>
  <c r="BU22" i="50"/>
  <c r="AJ147" i="50"/>
  <c r="BV147" i="50" s="1"/>
  <c r="CA90" i="51"/>
  <c r="AF30" i="51"/>
  <c r="BW34" i="51"/>
  <c r="AI18" i="51"/>
  <c r="BZ18" i="51" s="1"/>
  <c r="BZ25" i="51"/>
  <c r="AC137" i="50"/>
  <c r="BO137" i="50" s="1"/>
  <c r="BT76" i="51"/>
  <c r="AL18" i="51"/>
  <c r="CC18" i="51" s="1"/>
  <c r="CC25" i="51"/>
  <c r="AK113" i="50"/>
  <c r="BV113" i="50"/>
  <c r="AB18" i="51"/>
  <c r="BS25" i="51"/>
  <c r="AN32" i="67"/>
  <c r="K61" i="49"/>
  <c r="AN32" i="85" s="1"/>
  <c r="AO40" i="67"/>
  <c r="L75" i="49"/>
  <c r="AO40" i="85" s="1"/>
  <c r="AF147" i="50"/>
  <c r="BR147" i="50" s="1"/>
  <c r="BW90" i="51"/>
  <c r="AM32" i="67"/>
  <c r="J61" i="49"/>
  <c r="AM32" i="85" s="1"/>
  <c r="AD147" i="50"/>
  <c r="BP147" i="50" s="1"/>
  <c r="BU90" i="51"/>
  <c r="AB67" i="50"/>
  <c r="AC67" i="50" s="1"/>
  <c r="AI30" i="51"/>
  <c r="BZ30" i="51" s="1"/>
  <c r="BZ34" i="51"/>
  <c r="AA30" i="51"/>
  <c r="BR30" i="51" s="1"/>
  <c r="BR34" i="51"/>
  <c r="AC136" i="50"/>
  <c r="BO136" i="50" s="1"/>
  <c r="BT75" i="51"/>
  <c r="AD18" i="51"/>
  <c r="BU25" i="51"/>
  <c r="AA137" i="50"/>
  <c r="BM137" i="50" s="1"/>
  <c r="BR76" i="51"/>
  <c r="BM47" i="50"/>
  <c r="BT144" i="50"/>
  <c r="AJ122" i="50"/>
  <c r="BU122" i="50"/>
  <c r="AE30" i="51"/>
  <c r="BV30" i="51" s="1"/>
  <c r="BV34" i="51"/>
  <c r="AK20" i="50"/>
  <c r="BV20" i="50"/>
  <c r="AF18" i="51"/>
  <c r="BW18" i="51" s="1"/>
  <c r="BW25" i="51"/>
  <c r="AK121" i="50"/>
  <c r="BV121" i="50"/>
  <c r="AK18" i="51"/>
  <c r="CB25" i="51"/>
  <c r="AH147" i="50"/>
  <c r="AH167" i="50" s="1"/>
  <c r="BT167" i="50" s="1"/>
  <c r="BY90" i="51"/>
  <c r="AE18" i="51"/>
  <c r="BV25" i="51"/>
  <c r="AA147" i="50"/>
  <c r="AA167" i="50" s="1"/>
  <c r="BR90" i="51"/>
  <c r="AF145" i="50"/>
  <c r="BR145" i="50" s="1"/>
  <c r="BW88" i="51"/>
  <c r="AN40" i="67"/>
  <c r="K75" i="49"/>
  <c r="AN40" i="85" s="1"/>
  <c r="AP40" i="67"/>
  <c r="M75" i="49"/>
  <c r="AP40" i="85" s="1"/>
  <c r="AI44" i="50"/>
  <c r="BU44" i="50" s="1"/>
  <c r="AB66" i="50"/>
  <c r="AC66" i="50" s="1"/>
  <c r="AH145" i="50"/>
  <c r="AH165" i="50" s="1"/>
  <c r="BY88" i="51"/>
  <c r="AA18" i="51"/>
  <c r="BR18" i="51" s="1"/>
  <c r="BR25" i="51"/>
  <c r="AI116" i="50"/>
  <c r="BT116" i="50"/>
  <c r="AE137" i="50"/>
  <c r="BQ137" i="50" s="1"/>
  <c r="BV76" i="51"/>
  <c r="AJ118" i="50"/>
  <c r="BU118" i="50"/>
  <c r="AD30" i="51"/>
  <c r="BU30" i="51" s="1"/>
  <c r="BU34" i="51"/>
  <c r="AK21" i="50"/>
  <c r="BV21" i="50"/>
  <c r="AC147" i="50"/>
  <c r="BO147" i="50" s="1"/>
  <c r="BT90" i="51"/>
  <c r="AO32" i="67"/>
  <c r="L61" i="49"/>
  <c r="AO32" i="85" s="1"/>
  <c r="AJ130" i="50"/>
  <c r="BU130" i="50"/>
  <c r="AJ137" i="50"/>
  <c r="BV137" i="50" s="1"/>
  <c r="CA76" i="51"/>
  <c r="AD22" i="50"/>
  <c r="BO22" i="50"/>
  <c r="AB147" i="50"/>
  <c r="BN147" i="50" s="1"/>
  <c r="BS90" i="51"/>
  <c r="AL32" i="67"/>
  <c r="I61" i="49"/>
  <c r="AL32" i="85" s="1"/>
  <c r="AD145" i="50"/>
  <c r="BP145" i="50" s="1"/>
  <c r="BU88" i="51"/>
  <c r="AM147" i="50"/>
  <c r="BY147" i="50" s="1"/>
  <c r="CD90" i="51"/>
  <c r="AL147" i="50"/>
  <c r="BX147" i="50" s="1"/>
  <c r="CC90" i="51"/>
  <c r="AI147" i="50"/>
  <c r="BU147" i="50" s="1"/>
  <c r="BZ90" i="51"/>
  <c r="AJ145" i="50"/>
  <c r="BV145" i="50" s="1"/>
  <c r="CA88" i="51"/>
  <c r="AM30" i="51"/>
  <c r="CD30" i="51" s="1"/>
  <c r="CD34" i="51"/>
  <c r="AL30" i="51"/>
  <c r="CC34" i="51"/>
  <c r="AI127" i="50"/>
  <c r="BT127" i="50"/>
  <c r="AH18" i="51"/>
  <c r="BY18" i="51" s="1"/>
  <c r="BY25" i="51"/>
  <c r="AB117" i="50"/>
  <c r="BM117" i="50"/>
  <c r="AJ15" i="50"/>
  <c r="BU15" i="50"/>
  <c r="AD15" i="50"/>
  <c r="BO15" i="50"/>
  <c r="AK30" i="51"/>
  <c r="CB30" i="51" s="1"/>
  <c r="CB34" i="51"/>
  <c r="AI162" i="50"/>
  <c r="BU162" i="50" s="1"/>
  <c r="AB72" i="50"/>
  <c r="BN72" i="50" s="1"/>
  <c r="AA161" i="50"/>
  <c r="BM161" i="50" s="1"/>
  <c r="BM141" i="50"/>
  <c r="AC72" i="50"/>
  <c r="AH154" i="50"/>
  <c r="BT154" i="50" s="1"/>
  <c r="BT134" i="50"/>
  <c r="AI164" i="50"/>
  <c r="AD44" i="50"/>
  <c r="BP44" i="50" s="1"/>
  <c r="BP45" i="50"/>
  <c r="AC44" i="50"/>
  <c r="BO44" i="50" s="1"/>
  <c r="BO45" i="50"/>
  <c r="AA184" i="50"/>
  <c r="BM184" i="50" s="1"/>
  <c r="AF44" i="50"/>
  <c r="BR44" i="50" s="1"/>
  <c r="BR45" i="50"/>
  <c r="AA156" i="50"/>
  <c r="BM136" i="50"/>
  <c r="AE44" i="50"/>
  <c r="BQ44" i="50" s="1"/>
  <c r="BQ45" i="50"/>
  <c r="AB164" i="50"/>
  <c r="AB184" i="50" s="1"/>
  <c r="BN184" i="50" s="1"/>
  <c r="AH161" i="50"/>
  <c r="BT161" i="50" s="1"/>
  <c r="BT141" i="50"/>
  <c r="BT145" i="50"/>
  <c r="AB71" i="50"/>
  <c r="AB44" i="50"/>
  <c r="BN44" i="50" s="1"/>
  <c r="BN45" i="50"/>
  <c r="AA165" i="50"/>
  <c r="BM165" i="50" s="1"/>
  <c r="BM145" i="50"/>
  <c r="AA154" i="50"/>
  <c r="BM154" i="50" s="1"/>
  <c r="BM134" i="50"/>
  <c r="AE74" i="51"/>
  <c r="AC74" i="51"/>
  <c r="AA74" i="51"/>
  <c r="AF74" i="51"/>
  <c r="AH83" i="51"/>
  <c r="AJ11" i="51"/>
  <c r="CA11" i="51" s="1"/>
  <c r="AH74" i="51"/>
  <c r="AD74" i="51"/>
  <c r="AB74" i="51"/>
  <c r="AJ83" i="51"/>
  <c r="AE136" i="50"/>
  <c r="AA111" i="50"/>
  <c r="BM111" i="50" s="1"/>
  <c r="AF136" i="50"/>
  <c r="AC83" i="51"/>
  <c r="AI83" i="51"/>
  <c r="AB182" i="50"/>
  <c r="BN182" i="50" s="1"/>
  <c r="AK83" i="51"/>
  <c r="AI136" i="50"/>
  <c r="AI74" i="51"/>
  <c r="AE83" i="51"/>
  <c r="AL136" i="50"/>
  <c r="AL74" i="51"/>
  <c r="AK136" i="50"/>
  <c r="AK74" i="51"/>
  <c r="AL83" i="51"/>
  <c r="AJ136" i="50"/>
  <c r="AJ74" i="51"/>
  <c r="AM83" i="51"/>
  <c r="AH153" i="50"/>
  <c r="BT153" i="50" s="1"/>
  <c r="AM136" i="50"/>
  <c r="AM74" i="51"/>
  <c r="AD83" i="51"/>
  <c r="AC116" i="50"/>
  <c r="BO116" i="50" s="1"/>
  <c r="AD118" i="50"/>
  <c r="BP118" i="50" s="1"/>
  <c r="AA153" i="50"/>
  <c r="BM153" i="50" s="1"/>
  <c r="AD121" i="50"/>
  <c r="BP121" i="50" s="1"/>
  <c r="AD114" i="50"/>
  <c r="BP114" i="50" s="1"/>
  <c r="AC113" i="50"/>
  <c r="BO113" i="50" s="1"/>
  <c r="AB127" i="50"/>
  <c r="BN127" i="50" s="1"/>
  <c r="AB125" i="50"/>
  <c r="BN125" i="50" s="1"/>
  <c r="AB83" i="51"/>
  <c r="AD124" i="50"/>
  <c r="BP124" i="50" s="1"/>
  <c r="AC130" i="50"/>
  <c r="BO130" i="50" s="1"/>
  <c r="AA83" i="51"/>
  <c r="AB65" i="50"/>
  <c r="BN65" i="50" s="1"/>
  <c r="AA63" i="50"/>
  <c r="BM63" i="50" s="1"/>
  <c r="AA70" i="50"/>
  <c r="BM70" i="50" s="1"/>
  <c r="AA44" i="50"/>
  <c r="AD122" i="50"/>
  <c r="BP122" i="50" s="1"/>
  <c r="AF83" i="51"/>
  <c r="AT54" i="51"/>
  <c r="CK54" i="51" s="1"/>
  <c r="AS54" i="51"/>
  <c r="CJ54" i="51" s="1"/>
  <c r="AR54" i="51"/>
  <c r="CI54" i="51" s="1"/>
  <c r="AQ54" i="51"/>
  <c r="CH54" i="51" s="1"/>
  <c r="AP54" i="51"/>
  <c r="CG54" i="51" s="1"/>
  <c r="AO54" i="51"/>
  <c r="CF54" i="51" s="1"/>
  <c r="AT56" i="51"/>
  <c r="CK56" i="51" s="1"/>
  <c r="AS56" i="51"/>
  <c r="CJ56" i="51" s="1"/>
  <c r="AR56" i="51"/>
  <c r="CI56" i="51" s="1"/>
  <c r="AQ56" i="51"/>
  <c r="CH56" i="51" s="1"/>
  <c r="AP56" i="51"/>
  <c r="CG56" i="51" s="1"/>
  <c r="AO56" i="51"/>
  <c r="CF56" i="51" s="1"/>
  <c r="AT48" i="51"/>
  <c r="CK48" i="51" s="1"/>
  <c r="AS48" i="51"/>
  <c r="CJ48" i="51" s="1"/>
  <c r="AR48" i="51"/>
  <c r="CI48" i="51" s="1"/>
  <c r="AQ48" i="51"/>
  <c r="CH48" i="51" s="1"/>
  <c r="AP48" i="51"/>
  <c r="CG48" i="51" s="1"/>
  <c r="AO48" i="51"/>
  <c r="CF48" i="51" s="1"/>
  <c r="AT47" i="51"/>
  <c r="CK47" i="51" s="1"/>
  <c r="AS47" i="51"/>
  <c r="CJ47" i="51" s="1"/>
  <c r="AR47" i="51"/>
  <c r="CI47" i="51" s="1"/>
  <c r="AQ47" i="51"/>
  <c r="CH47" i="51" s="1"/>
  <c r="AP47" i="51"/>
  <c r="CG47" i="51" s="1"/>
  <c r="AO47" i="51"/>
  <c r="CF47" i="51" s="1"/>
  <c r="AT51" i="51"/>
  <c r="AS51" i="51"/>
  <c r="AR51" i="51"/>
  <c r="AQ51" i="51"/>
  <c r="AP51" i="51"/>
  <c r="AO51" i="51"/>
  <c r="CF51" i="51" s="1"/>
  <c r="AT16" i="51"/>
  <c r="AS16" i="51"/>
  <c r="AR16" i="51"/>
  <c r="AQ16" i="51"/>
  <c r="AP16" i="51"/>
  <c r="AO16" i="51"/>
  <c r="CF16" i="51" s="1"/>
  <c r="Y29" i="51"/>
  <c r="BP29" i="51" s="1"/>
  <c r="X29" i="51"/>
  <c r="BO29" i="51" s="1"/>
  <c r="W29" i="51"/>
  <c r="BN29" i="51" s="1"/>
  <c r="V29" i="51"/>
  <c r="BM29" i="51" s="1"/>
  <c r="U29" i="51"/>
  <c r="BL29" i="51" s="1"/>
  <c r="T29" i="51"/>
  <c r="BK29" i="51" s="1"/>
  <c r="Y21" i="51"/>
  <c r="BP21" i="51" s="1"/>
  <c r="X21" i="51"/>
  <c r="BO21" i="51" s="1"/>
  <c r="W21" i="51"/>
  <c r="BN21" i="51" s="1"/>
  <c r="V21" i="51"/>
  <c r="BM21" i="51" s="1"/>
  <c r="U21" i="51"/>
  <c r="BL21" i="51" s="1"/>
  <c r="T21" i="51"/>
  <c r="BK21" i="51" s="1"/>
  <c r="Y48" i="51"/>
  <c r="BP48" i="51" s="1"/>
  <c r="X48" i="51"/>
  <c r="BO48" i="51" s="1"/>
  <c r="W48" i="51"/>
  <c r="BN48" i="51" s="1"/>
  <c r="V48" i="51"/>
  <c r="BM48" i="51" s="1"/>
  <c r="U48" i="51"/>
  <c r="BL48" i="51" s="1"/>
  <c r="T48" i="51"/>
  <c r="BK48" i="51" s="1"/>
  <c r="Y46" i="51"/>
  <c r="BP46" i="51" s="1"/>
  <c r="X46" i="51"/>
  <c r="BO46" i="51" s="1"/>
  <c r="W46" i="51"/>
  <c r="BN46" i="51" s="1"/>
  <c r="V46" i="51"/>
  <c r="BM46" i="51" s="1"/>
  <c r="U46" i="51"/>
  <c r="BL46" i="51" s="1"/>
  <c r="T46" i="51"/>
  <c r="BK46" i="51" s="1"/>
  <c r="Y47" i="51"/>
  <c r="BP47" i="51" s="1"/>
  <c r="X47" i="51"/>
  <c r="BO47" i="51" s="1"/>
  <c r="W47" i="51"/>
  <c r="BN47" i="51" s="1"/>
  <c r="V47" i="51"/>
  <c r="BM47" i="51" s="1"/>
  <c r="U47" i="51"/>
  <c r="BL47" i="51" s="1"/>
  <c r="T47" i="51"/>
  <c r="BK47" i="51" s="1"/>
  <c r="Y28" i="51"/>
  <c r="X28" i="51"/>
  <c r="W28" i="51"/>
  <c r="V28" i="51"/>
  <c r="U28" i="51"/>
  <c r="T28" i="51"/>
  <c r="BK28" i="51" s="1"/>
  <c r="Y20" i="51"/>
  <c r="BP20" i="51" s="1"/>
  <c r="X20" i="51"/>
  <c r="BO20" i="51" s="1"/>
  <c r="W20" i="51"/>
  <c r="BN20" i="51" s="1"/>
  <c r="V20" i="51"/>
  <c r="BM20" i="51" s="1"/>
  <c r="U20" i="51"/>
  <c r="BL20" i="51" s="1"/>
  <c r="T20" i="51"/>
  <c r="BK20" i="51" s="1"/>
  <c r="Y41" i="51"/>
  <c r="X41" i="51"/>
  <c r="W41" i="51"/>
  <c r="V41" i="51"/>
  <c r="U41" i="51"/>
  <c r="T41" i="51"/>
  <c r="BK41" i="51" s="1"/>
  <c r="R29" i="51"/>
  <c r="BI29" i="51" s="1"/>
  <c r="Q29" i="51"/>
  <c r="BH29" i="51" s="1"/>
  <c r="P29" i="51"/>
  <c r="BG29" i="51" s="1"/>
  <c r="O29" i="51"/>
  <c r="BF29" i="51" s="1"/>
  <c r="N29" i="51"/>
  <c r="BE29" i="51" s="1"/>
  <c r="M29" i="51"/>
  <c r="BD29" i="51" s="1"/>
  <c r="R21" i="51"/>
  <c r="BI21" i="51" s="1"/>
  <c r="Q21" i="51"/>
  <c r="BH21" i="51" s="1"/>
  <c r="P21" i="51"/>
  <c r="BG21" i="51" s="1"/>
  <c r="O21" i="51"/>
  <c r="BF21" i="51" s="1"/>
  <c r="N21" i="51"/>
  <c r="BE21" i="51" s="1"/>
  <c r="M21" i="51"/>
  <c r="BD21" i="51" s="1"/>
  <c r="R48" i="51"/>
  <c r="BI48" i="51" s="1"/>
  <c r="Q48" i="51"/>
  <c r="BH48" i="51" s="1"/>
  <c r="P48" i="51"/>
  <c r="BG48" i="51" s="1"/>
  <c r="O48" i="51"/>
  <c r="BF48" i="51" s="1"/>
  <c r="N48" i="51"/>
  <c r="BE48" i="51" s="1"/>
  <c r="M48" i="51"/>
  <c r="BD48" i="51" s="1"/>
  <c r="R46" i="51"/>
  <c r="BI46" i="51" s="1"/>
  <c r="Q46" i="51"/>
  <c r="BH46" i="51" s="1"/>
  <c r="P46" i="51"/>
  <c r="BG46" i="51" s="1"/>
  <c r="O46" i="51"/>
  <c r="BF46" i="51" s="1"/>
  <c r="N46" i="51"/>
  <c r="BE46" i="51" s="1"/>
  <c r="M46" i="51"/>
  <c r="BD46" i="51" s="1"/>
  <c r="R47" i="51"/>
  <c r="BI47" i="51" s="1"/>
  <c r="Q47" i="51"/>
  <c r="BH47" i="51" s="1"/>
  <c r="P47" i="51"/>
  <c r="BG47" i="51" s="1"/>
  <c r="O47" i="51"/>
  <c r="BF47" i="51" s="1"/>
  <c r="N47" i="51"/>
  <c r="BE47" i="51" s="1"/>
  <c r="M47" i="51"/>
  <c r="BD47" i="51" s="1"/>
  <c r="R58" i="51"/>
  <c r="BI58" i="51" s="1"/>
  <c r="Q58" i="51"/>
  <c r="BH58" i="51" s="1"/>
  <c r="P58" i="51"/>
  <c r="BG58" i="51" s="1"/>
  <c r="O58" i="51"/>
  <c r="BF58" i="51" s="1"/>
  <c r="N58" i="51"/>
  <c r="BE58" i="51" s="1"/>
  <c r="M58" i="51"/>
  <c r="BD58" i="51" s="1"/>
  <c r="R28" i="51"/>
  <c r="Q28" i="51"/>
  <c r="P28" i="51"/>
  <c r="O28" i="51"/>
  <c r="N28" i="51"/>
  <c r="M28" i="51"/>
  <c r="BD28" i="51" s="1"/>
  <c r="R41" i="51"/>
  <c r="BI41" i="51" s="1"/>
  <c r="Q41" i="51"/>
  <c r="BH41" i="51" s="1"/>
  <c r="P41" i="51"/>
  <c r="BG41" i="51" s="1"/>
  <c r="O41" i="51"/>
  <c r="BF41" i="51" s="1"/>
  <c r="N41" i="51"/>
  <c r="BE41" i="51" s="1"/>
  <c r="M41" i="51"/>
  <c r="BD41" i="51" s="1"/>
  <c r="K29" i="51"/>
  <c r="BB29" i="51" s="1"/>
  <c r="J29" i="51"/>
  <c r="BA29" i="51" s="1"/>
  <c r="I29" i="51"/>
  <c r="AZ29" i="51" s="1"/>
  <c r="H29" i="51"/>
  <c r="AY29" i="51" s="1"/>
  <c r="G29" i="51"/>
  <c r="AX29" i="51" s="1"/>
  <c r="F29" i="51"/>
  <c r="AW29" i="51" s="1"/>
  <c r="K21" i="51"/>
  <c r="BB21" i="51" s="1"/>
  <c r="J21" i="51"/>
  <c r="BA21" i="51" s="1"/>
  <c r="I21" i="51"/>
  <c r="AZ21" i="51" s="1"/>
  <c r="H21" i="51"/>
  <c r="AY21" i="51" s="1"/>
  <c r="G21" i="51"/>
  <c r="AX21" i="51" s="1"/>
  <c r="F21" i="51"/>
  <c r="AW21" i="51" s="1"/>
  <c r="K48" i="51"/>
  <c r="BB48" i="51" s="1"/>
  <c r="J48" i="51"/>
  <c r="BA48" i="51" s="1"/>
  <c r="I48" i="51"/>
  <c r="AZ48" i="51" s="1"/>
  <c r="H48" i="51"/>
  <c r="AY48" i="51" s="1"/>
  <c r="G48" i="51"/>
  <c r="AX48" i="51" s="1"/>
  <c r="F48" i="51"/>
  <c r="AW48" i="51" s="1"/>
  <c r="K46" i="51"/>
  <c r="BB46" i="51" s="1"/>
  <c r="J46" i="51"/>
  <c r="BA46" i="51" s="1"/>
  <c r="I46" i="51"/>
  <c r="AZ46" i="51" s="1"/>
  <c r="H46" i="51"/>
  <c r="AY46" i="51" s="1"/>
  <c r="G46" i="51"/>
  <c r="AX46" i="51" s="1"/>
  <c r="F46" i="51"/>
  <c r="AW46" i="51" s="1"/>
  <c r="K47" i="51"/>
  <c r="BB47" i="51" s="1"/>
  <c r="J47" i="51"/>
  <c r="BA47" i="51" s="1"/>
  <c r="I47" i="51"/>
  <c r="AZ47" i="51" s="1"/>
  <c r="H47" i="51"/>
  <c r="AY47" i="51" s="1"/>
  <c r="G47" i="51"/>
  <c r="AX47" i="51" s="1"/>
  <c r="F47" i="51"/>
  <c r="AW47" i="51" s="1"/>
  <c r="K28" i="51"/>
  <c r="BB28" i="51" s="1"/>
  <c r="J28" i="51"/>
  <c r="BA28" i="51" s="1"/>
  <c r="I28" i="51"/>
  <c r="AZ28" i="51" s="1"/>
  <c r="H28" i="51"/>
  <c r="AY28" i="51" s="1"/>
  <c r="G28" i="51"/>
  <c r="AX28" i="51" s="1"/>
  <c r="F28" i="51"/>
  <c r="AW28" i="51" s="1"/>
  <c r="K58" i="51"/>
  <c r="BB58" i="51" s="1"/>
  <c r="J58" i="51"/>
  <c r="BA58" i="51" s="1"/>
  <c r="I58" i="51"/>
  <c r="AZ58" i="51" s="1"/>
  <c r="H58" i="51"/>
  <c r="AY58" i="51" s="1"/>
  <c r="G58" i="51"/>
  <c r="AX58" i="51" s="1"/>
  <c r="F58" i="51"/>
  <c r="AW58" i="51" s="1"/>
  <c r="J27" i="51"/>
  <c r="BA27" i="51" s="1"/>
  <c r="F27" i="51"/>
  <c r="AW27" i="51" s="1"/>
  <c r="K23" i="51"/>
  <c r="J23" i="51"/>
  <c r="I23" i="51"/>
  <c r="H23" i="51"/>
  <c r="G23" i="51"/>
  <c r="F23" i="51"/>
  <c r="AW23" i="51" s="1"/>
  <c r="K17" i="51"/>
  <c r="J17" i="51"/>
  <c r="I17" i="51"/>
  <c r="H17" i="51"/>
  <c r="G17" i="51"/>
  <c r="F17" i="51"/>
  <c r="AW17" i="51" s="1"/>
  <c r="K38" i="51"/>
  <c r="BB38" i="51" s="1"/>
  <c r="J38" i="51"/>
  <c r="BA38" i="51" s="1"/>
  <c r="I38" i="51"/>
  <c r="AZ38" i="51" s="1"/>
  <c r="H38" i="51"/>
  <c r="AY38" i="51" s="1"/>
  <c r="G38" i="51"/>
  <c r="AX38" i="51" s="1"/>
  <c r="F38" i="51"/>
  <c r="AW38" i="51" s="1"/>
  <c r="K36" i="51"/>
  <c r="BB36" i="51" s="1"/>
  <c r="J36" i="51"/>
  <c r="BA36" i="51" s="1"/>
  <c r="I36" i="51"/>
  <c r="AZ36" i="51" s="1"/>
  <c r="H36" i="51"/>
  <c r="AY36" i="51" s="1"/>
  <c r="G36" i="51"/>
  <c r="AX36" i="51" s="1"/>
  <c r="F36" i="51"/>
  <c r="AW36" i="51" s="1"/>
  <c r="BN162" i="50" l="1"/>
  <c r="BO16" i="50"/>
  <c r="AJ170" i="50"/>
  <c r="AI158" i="50"/>
  <c r="BU158" i="50" s="1"/>
  <c r="AA181" i="50"/>
  <c r="BM181" i="50" s="1"/>
  <c r="BN67" i="50"/>
  <c r="AB170" i="50"/>
  <c r="AD35" i="50"/>
  <c r="BP35" i="50" s="1"/>
  <c r="E61" i="85" s="1"/>
  <c r="BM162" i="50"/>
  <c r="AA182" i="50"/>
  <c r="BM182" i="50" s="1"/>
  <c r="AA157" i="50"/>
  <c r="BM157" i="50" s="1"/>
  <c r="BN66" i="50"/>
  <c r="AA131" i="50"/>
  <c r="BM131" i="50" s="1"/>
  <c r="AA11" i="51"/>
  <c r="BR11" i="51" s="1"/>
  <c r="AB161" i="50"/>
  <c r="BN161" i="50" s="1"/>
  <c r="AH131" i="50"/>
  <c r="BT131" i="50" s="1"/>
  <c r="AI35" i="50"/>
  <c r="C85" i="67" s="1"/>
  <c r="BT147" i="50"/>
  <c r="AC131" i="50"/>
  <c r="BO131" i="50" s="1"/>
  <c r="D66" i="85" s="1"/>
  <c r="BM147" i="50"/>
  <c r="BM167" i="50"/>
  <c r="AB167" i="50"/>
  <c r="BT165" i="50"/>
  <c r="AI165" i="50"/>
  <c r="BU165" i="50" s="1"/>
  <c r="I15" i="51"/>
  <c r="AZ15" i="51" s="1"/>
  <c r="AZ17" i="51"/>
  <c r="R25" i="51"/>
  <c r="BI25" i="51" s="1"/>
  <c r="BI28" i="51"/>
  <c r="AF67" i="51"/>
  <c r="BW67" i="51" s="1"/>
  <c r="BW74" i="51"/>
  <c r="AL21" i="50"/>
  <c r="BW21" i="50"/>
  <c r="AJ116" i="50"/>
  <c r="BU116" i="50"/>
  <c r="BS18" i="51"/>
  <c r="AB11" i="51"/>
  <c r="BS11" i="51" s="1"/>
  <c r="AL114" i="50"/>
  <c r="BW114" i="50"/>
  <c r="BM158" i="50"/>
  <c r="AB158" i="50"/>
  <c r="AT50" i="51"/>
  <c r="CK50" i="51" s="1"/>
  <c r="CK51" i="51"/>
  <c r="J15" i="51"/>
  <c r="BA15" i="51" s="1"/>
  <c r="BA17" i="51"/>
  <c r="AS15" i="51"/>
  <c r="CJ15" i="51" s="1"/>
  <c r="CJ16" i="51"/>
  <c r="AF79" i="51"/>
  <c r="BW79" i="51" s="1"/>
  <c r="BW83" i="51"/>
  <c r="AI154" i="50"/>
  <c r="BU154" i="50" s="1"/>
  <c r="AH11" i="51"/>
  <c r="BY11" i="51" s="1"/>
  <c r="AE11" i="51"/>
  <c r="BV11" i="51" s="1"/>
  <c r="BV18" i="51"/>
  <c r="AD20" i="50"/>
  <c r="BO20" i="50"/>
  <c r="AE17" i="50"/>
  <c r="BP17" i="50"/>
  <c r="K22" i="51"/>
  <c r="BB22" i="51" s="1"/>
  <c r="BB23" i="51"/>
  <c r="AC79" i="51"/>
  <c r="BT79" i="51" s="1"/>
  <c r="BT83" i="51"/>
  <c r="X34" i="51"/>
  <c r="BO41" i="51"/>
  <c r="Y34" i="51"/>
  <c r="BP41" i="51"/>
  <c r="U25" i="51"/>
  <c r="BL25" i="51" s="1"/>
  <c r="BL28" i="51"/>
  <c r="AT15" i="51"/>
  <c r="CK15" i="51" s="1"/>
  <c r="CK16" i="51"/>
  <c r="AA79" i="51"/>
  <c r="BR79" i="51" s="1"/>
  <c r="BR83" i="51"/>
  <c r="AD79" i="51"/>
  <c r="BU79" i="51" s="1"/>
  <c r="BU83" i="51"/>
  <c r="AM79" i="51"/>
  <c r="CD79" i="51" s="1"/>
  <c r="CD83" i="51"/>
  <c r="AL67" i="51"/>
  <c r="CC67" i="51" s="1"/>
  <c r="CC74" i="51"/>
  <c r="AK79" i="51"/>
  <c r="CB79" i="51" s="1"/>
  <c r="CB83" i="51"/>
  <c r="AA67" i="51"/>
  <c r="BR67" i="51" s="1"/>
  <c r="BR74" i="51"/>
  <c r="AE15" i="50"/>
  <c r="BP15" i="50"/>
  <c r="AJ127" i="50"/>
  <c r="BU127" i="50"/>
  <c r="AK130" i="50"/>
  <c r="BV130" i="50"/>
  <c r="AL113" i="50"/>
  <c r="BW113" i="50"/>
  <c r="AF11" i="51"/>
  <c r="BW11" i="51" s="1"/>
  <c r="BW30" i="51"/>
  <c r="AD67" i="51"/>
  <c r="BU67" i="51" s="1"/>
  <c r="BU74" i="51"/>
  <c r="K15" i="51"/>
  <c r="BB15" i="51" s="1"/>
  <c r="BB17" i="51"/>
  <c r="V25" i="51"/>
  <c r="BM25" i="51" s="1"/>
  <c r="BM28" i="51"/>
  <c r="AH67" i="51"/>
  <c r="BY67" i="51" s="1"/>
  <c r="BY74" i="51"/>
  <c r="AC67" i="51"/>
  <c r="BT67" i="51" s="1"/>
  <c r="BT74" i="51"/>
  <c r="AL20" i="50"/>
  <c r="BW20" i="50"/>
  <c r="AK16" i="50"/>
  <c r="BV16" i="50"/>
  <c r="W25" i="51"/>
  <c r="BN25" i="51" s="1"/>
  <c r="BN28" i="51"/>
  <c r="AE67" i="51"/>
  <c r="BV67" i="51" s="1"/>
  <c r="BV74" i="51"/>
  <c r="BT136" i="50"/>
  <c r="AA178" i="50"/>
  <c r="BM178" i="50" s="1"/>
  <c r="AK15" i="50"/>
  <c r="BV15" i="50"/>
  <c r="AL11" i="51"/>
  <c r="CC11" i="51" s="1"/>
  <c r="CC30" i="51"/>
  <c r="AK118" i="50"/>
  <c r="BV118" i="50"/>
  <c r="AC11" i="51"/>
  <c r="BT11" i="51" s="1"/>
  <c r="BT18" i="51"/>
  <c r="AE16" i="50"/>
  <c r="BP16" i="50"/>
  <c r="AI157" i="50"/>
  <c r="G22" i="51"/>
  <c r="AX22" i="51" s="1"/>
  <c r="AX23" i="51"/>
  <c r="N25" i="51"/>
  <c r="BE25" i="51" s="1"/>
  <c r="BE28" i="51"/>
  <c r="AP50" i="51"/>
  <c r="CG50" i="51" s="1"/>
  <c r="CG51" i="51"/>
  <c r="AJ67" i="51"/>
  <c r="CA67" i="51" s="1"/>
  <c r="CA74" i="51"/>
  <c r="AE79" i="51"/>
  <c r="BV79" i="51" s="1"/>
  <c r="BV83" i="51"/>
  <c r="AD131" i="50"/>
  <c r="BP131" i="50" s="1"/>
  <c r="E66" i="85" s="1"/>
  <c r="AI11" i="51"/>
  <c r="BZ11" i="51" s="1"/>
  <c r="H22" i="51"/>
  <c r="AY22" i="51" s="1"/>
  <c r="AY23" i="51"/>
  <c r="O25" i="51"/>
  <c r="BF25" i="51" s="1"/>
  <c r="BF28" i="51"/>
  <c r="X25" i="51"/>
  <c r="BO25" i="51" s="1"/>
  <c r="BO28" i="51"/>
  <c r="AQ50" i="51"/>
  <c r="CH50" i="51" s="1"/>
  <c r="CH51" i="51"/>
  <c r="AM67" i="51"/>
  <c r="CD67" i="51" s="1"/>
  <c r="CD74" i="51"/>
  <c r="AM11" i="51"/>
  <c r="CD11" i="51" s="1"/>
  <c r="CB18" i="51"/>
  <c r="AK11" i="51"/>
  <c r="CB11" i="51" s="1"/>
  <c r="AD11" i="51"/>
  <c r="BU11" i="51" s="1"/>
  <c r="BU18" i="51"/>
  <c r="AJ125" i="50"/>
  <c r="BU125" i="50"/>
  <c r="AE21" i="50"/>
  <c r="BP21" i="50"/>
  <c r="W34" i="51"/>
  <c r="BN41" i="51"/>
  <c r="AR15" i="51"/>
  <c r="CI15" i="51" s="1"/>
  <c r="CI16" i="51"/>
  <c r="AK67" i="51"/>
  <c r="CB67" i="51" s="1"/>
  <c r="CB74" i="51"/>
  <c r="G15" i="51"/>
  <c r="AX15" i="51" s="1"/>
  <c r="AX17" i="51"/>
  <c r="P25" i="51"/>
  <c r="BG25" i="51" s="1"/>
  <c r="BG28" i="51"/>
  <c r="U34" i="51"/>
  <c r="BL41" i="51"/>
  <c r="Y25" i="51"/>
  <c r="BP25" i="51" s="1"/>
  <c r="BP28" i="51"/>
  <c r="AP15" i="51"/>
  <c r="CG15" i="51" s="1"/>
  <c r="CG16" i="51"/>
  <c r="AR50" i="51"/>
  <c r="CI50" i="51" s="1"/>
  <c r="CI51" i="51"/>
  <c r="AB79" i="51"/>
  <c r="BS79" i="51" s="1"/>
  <c r="BS83" i="51"/>
  <c r="AI79" i="51"/>
  <c r="BZ79" i="51" s="1"/>
  <c r="BZ83" i="51"/>
  <c r="AJ79" i="51"/>
  <c r="CA79" i="51" s="1"/>
  <c r="CA83" i="51"/>
  <c r="BN117" i="50"/>
  <c r="AC117" i="50"/>
  <c r="AE22" i="50"/>
  <c r="BP22" i="50"/>
  <c r="AK22" i="50"/>
  <c r="BV22" i="50"/>
  <c r="AK117" i="50"/>
  <c r="BV117" i="50"/>
  <c r="AL17" i="50"/>
  <c r="BW17" i="50"/>
  <c r="I22" i="51"/>
  <c r="AZ22" i="51" s="1"/>
  <c r="AZ23" i="51"/>
  <c r="H15" i="51"/>
  <c r="AY15" i="51" s="1"/>
  <c r="AY17" i="51"/>
  <c r="J22" i="51"/>
  <c r="BA22" i="51" s="1"/>
  <c r="BA23" i="51"/>
  <c r="Q25" i="51"/>
  <c r="BH25" i="51" s="1"/>
  <c r="BH28" i="51"/>
  <c r="V34" i="51"/>
  <c r="BM41" i="51"/>
  <c r="AQ15" i="51"/>
  <c r="CH15" i="51" s="1"/>
  <c r="CH16" i="51"/>
  <c r="AS50" i="51"/>
  <c r="CJ50" i="51" s="1"/>
  <c r="CJ51" i="51"/>
  <c r="AB131" i="50"/>
  <c r="BN131" i="50" s="1"/>
  <c r="C66" i="85" s="1"/>
  <c r="AL79" i="51"/>
  <c r="CC79" i="51" s="1"/>
  <c r="CC83" i="51"/>
  <c r="AI67" i="51"/>
  <c r="BZ67" i="51" s="1"/>
  <c r="BZ74" i="51"/>
  <c r="AB67" i="51"/>
  <c r="BS67" i="51" s="1"/>
  <c r="BS74" i="51"/>
  <c r="AH79" i="51"/>
  <c r="BY79" i="51" s="1"/>
  <c r="BY83" i="51"/>
  <c r="AL121" i="50"/>
  <c r="BW121" i="50"/>
  <c r="AK122" i="50"/>
  <c r="BV122" i="50"/>
  <c r="AL124" i="50"/>
  <c r="BW124" i="50"/>
  <c r="AB154" i="50"/>
  <c r="BN154" i="50" s="1"/>
  <c r="AA187" i="50"/>
  <c r="BM187" i="50" s="1"/>
  <c r="AC35" i="50"/>
  <c r="BO35" i="50" s="1"/>
  <c r="D61" i="85" s="1"/>
  <c r="AJ162" i="50"/>
  <c r="AK162" i="50" s="1"/>
  <c r="AI161" i="50"/>
  <c r="AJ161" i="50" s="1"/>
  <c r="AI167" i="50"/>
  <c r="AF131" i="50"/>
  <c r="BR131" i="50" s="1"/>
  <c r="G66" i="85" s="1"/>
  <c r="BR136" i="50"/>
  <c r="AD162" i="50"/>
  <c r="BO162" i="50"/>
  <c r="AA176" i="50"/>
  <c r="BM176" i="50" s="1"/>
  <c r="BM156" i="50"/>
  <c r="AC182" i="50"/>
  <c r="BO182" i="50" s="1"/>
  <c r="AA174" i="50"/>
  <c r="BM174" i="50" s="1"/>
  <c r="AD67" i="50"/>
  <c r="BO67" i="50"/>
  <c r="AA35" i="50"/>
  <c r="BM35" i="50" s="1"/>
  <c r="BM44" i="50"/>
  <c r="AC167" i="50"/>
  <c r="BN167" i="50"/>
  <c r="AL131" i="50"/>
  <c r="BX131" i="50" s="1"/>
  <c r="F90" i="85" s="1"/>
  <c r="BX136" i="50"/>
  <c r="AJ131" i="50"/>
  <c r="BV131" i="50" s="1"/>
  <c r="D90" i="85" s="1"/>
  <c r="BV136" i="50"/>
  <c r="AC164" i="50"/>
  <c r="BN164" i="50"/>
  <c r="AE35" i="50"/>
  <c r="BQ35" i="50" s="1"/>
  <c r="F61" i="85" s="1"/>
  <c r="AF35" i="50"/>
  <c r="BR35" i="50" s="1"/>
  <c r="G61" i="85" s="1"/>
  <c r="AM131" i="50"/>
  <c r="BY131" i="50" s="1"/>
  <c r="G90" i="85" s="1"/>
  <c r="BY136" i="50"/>
  <c r="AB35" i="50"/>
  <c r="AK131" i="50"/>
  <c r="BW131" i="50" s="1"/>
  <c r="E90" i="85" s="1"/>
  <c r="BW136" i="50"/>
  <c r="AI156" i="50"/>
  <c r="BU156" i="50" s="1"/>
  <c r="BU136" i="50"/>
  <c r="AD66" i="50"/>
  <c r="BO66" i="50"/>
  <c r="AE131" i="50"/>
  <c r="BQ131" i="50" s="1"/>
  <c r="F66" i="85" s="1"/>
  <c r="BQ136" i="50"/>
  <c r="AC71" i="50"/>
  <c r="BN71" i="50"/>
  <c r="AD72" i="50"/>
  <c r="BO72" i="50"/>
  <c r="AA185" i="50"/>
  <c r="BM185" i="50" s="1"/>
  <c r="AB165" i="50"/>
  <c r="AB185" i="50" s="1"/>
  <c r="BN185" i="50" s="1"/>
  <c r="AK170" i="50"/>
  <c r="BV170" i="50"/>
  <c r="AB156" i="50"/>
  <c r="AJ158" i="50"/>
  <c r="AJ164" i="50"/>
  <c r="BU164" i="50"/>
  <c r="J39" i="51"/>
  <c r="BA39" i="51" s="1"/>
  <c r="G26" i="51"/>
  <c r="AX26" i="51" s="1"/>
  <c r="K26" i="51"/>
  <c r="BB26" i="51" s="1"/>
  <c r="J45" i="51"/>
  <c r="BA45" i="51" s="1"/>
  <c r="N40" i="51"/>
  <c r="R40" i="51"/>
  <c r="P45" i="51"/>
  <c r="BG45" i="51" s="1"/>
  <c r="W45" i="51"/>
  <c r="BN45" i="51" s="1"/>
  <c r="AR26" i="51"/>
  <c r="AQ58" i="51"/>
  <c r="CH58" i="51" s="1"/>
  <c r="F39" i="51"/>
  <c r="F35" i="51"/>
  <c r="AW35" i="51" s="1"/>
  <c r="J35" i="51"/>
  <c r="BA35" i="51" s="1"/>
  <c r="H35" i="51"/>
  <c r="AY35" i="51" s="1"/>
  <c r="F20" i="51"/>
  <c r="J20" i="51"/>
  <c r="BA20" i="51" s="1"/>
  <c r="I35" i="51"/>
  <c r="AZ35" i="51" s="1"/>
  <c r="I39" i="51"/>
  <c r="AZ39" i="51" s="1"/>
  <c r="F41" i="51"/>
  <c r="J41" i="51"/>
  <c r="BA41" i="51" s="1"/>
  <c r="I27" i="51"/>
  <c r="AZ27" i="51" s="1"/>
  <c r="F26" i="51"/>
  <c r="J26" i="51"/>
  <c r="G20" i="51"/>
  <c r="AX20" i="51" s="1"/>
  <c r="K20" i="51"/>
  <c r="BB20" i="51" s="1"/>
  <c r="M40" i="51"/>
  <c r="Q40" i="51"/>
  <c r="AQ26" i="51"/>
  <c r="AP58" i="51"/>
  <c r="CG58" i="51" s="1"/>
  <c r="AT58" i="51"/>
  <c r="CK58" i="51" s="1"/>
  <c r="H20" i="51"/>
  <c r="AY20" i="51" s="1"/>
  <c r="G35" i="51"/>
  <c r="AX35" i="51" s="1"/>
  <c r="K35" i="51"/>
  <c r="BB35" i="51" s="1"/>
  <c r="G27" i="51"/>
  <c r="K27" i="51"/>
  <c r="BB27" i="51" s="1"/>
  <c r="F69" i="62"/>
  <c r="AW69" i="62" s="1"/>
  <c r="I20" i="51"/>
  <c r="AZ20" i="51" s="1"/>
  <c r="G41" i="51"/>
  <c r="AX41" i="51" s="1"/>
  <c r="I107" i="51"/>
  <c r="AZ107" i="51" s="1"/>
  <c r="H107" i="51"/>
  <c r="AY107" i="51" s="1"/>
  <c r="J107" i="51"/>
  <c r="BA107" i="51" s="1"/>
  <c r="G107" i="51"/>
  <c r="AX107" i="51" s="1"/>
  <c r="F107" i="51"/>
  <c r="AW107" i="51" s="1"/>
  <c r="K107" i="51"/>
  <c r="BB107" i="51" s="1"/>
  <c r="G39" i="51"/>
  <c r="AX39" i="51" s="1"/>
  <c r="K39" i="51"/>
  <c r="BB39" i="51" s="1"/>
  <c r="H41" i="51"/>
  <c r="AY41" i="51" s="1"/>
  <c r="H26" i="51"/>
  <c r="AY26" i="51" s="1"/>
  <c r="H96" i="51"/>
  <c r="AY96" i="51" s="1"/>
  <c r="F96" i="51"/>
  <c r="AW96" i="51" s="1"/>
  <c r="K96" i="51"/>
  <c r="BB96" i="51" s="1"/>
  <c r="AH46" i="50" s="1"/>
  <c r="J96" i="51"/>
  <c r="BA96" i="51" s="1"/>
  <c r="G96" i="51"/>
  <c r="AX96" i="51" s="1"/>
  <c r="I96" i="51"/>
  <c r="AZ96" i="51" s="1"/>
  <c r="G45" i="51"/>
  <c r="AX45" i="51" s="1"/>
  <c r="K45" i="51"/>
  <c r="BB45" i="51" s="1"/>
  <c r="E21" i="51"/>
  <c r="AV21" i="51" s="1"/>
  <c r="F70" i="62"/>
  <c r="K78" i="51"/>
  <c r="BB78" i="51" s="1"/>
  <c r="AH42" i="50" s="1"/>
  <c r="J78" i="51"/>
  <c r="BA78" i="51" s="1"/>
  <c r="H78" i="51"/>
  <c r="AY78" i="51" s="1"/>
  <c r="F78" i="51"/>
  <c r="AW78" i="51" s="1"/>
  <c r="G78" i="51"/>
  <c r="AX78" i="51" s="1"/>
  <c r="I78" i="51"/>
  <c r="AZ78" i="51" s="1"/>
  <c r="O40" i="51"/>
  <c r="M45" i="51"/>
  <c r="BD45" i="51" s="1"/>
  <c r="P95" i="51"/>
  <c r="BG95" i="51" s="1"/>
  <c r="AM45" i="50" s="1"/>
  <c r="Q95" i="51"/>
  <c r="BH95" i="51" s="1"/>
  <c r="M95" i="51"/>
  <c r="BD95" i="51" s="1"/>
  <c r="AJ45" i="50" s="1"/>
  <c r="R95" i="51"/>
  <c r="BI95" i="51" s="1"/>
  <c r="O95" i="51"/>
  <c r="BF95" i="51" s="1"/>
  <c r="AL45" i="50" s="1"/>
  <c r="N95" i="51"/>
  <c r="BE95" i="51" s="1"/>
  <c r="AK45" i="50" s="1"/>
  <c r="Q45" i="51"/>
  <c r="BH45" i="51" s="1"/>
  <c r="P97" i="51"/>
  <c r="BG97" i="51" s="1"/>
  <c r="AM47" i="50" s="1"/>
  <c r="BY47" i="50" s="1"/>
  <c r="Y90" i="51"/>
  <c r="T34" i="51"/>
  <c r="X90" i="51"/>
  <c r="T90" i="51"/>
  <c r="W90" i="51"/>
  <c r="U90" i="51"/>
  <c r="V90" i="51"/>
  <c r="V18" i="51"/>
  <c r="BM18" i="51" s="1"/>
  <c r="T45" i="51"/>
  <c r="BK45" i="51" s="1"/>
  <c r="U95" i="51"/>
  <c r="BL95" i="51" s="1"/>
  <c r="W95" i="51"/>
  <c r="BN95" i="51" s="1"/>
  <c r="V95" i="51"/>
  <c r="BM95" i="51" s="1"/>
  <c r="T95" i="51"/>
  <c r="BK95" i="51" s="1"/>
  <c r="Y95" i="51"/>
  <c r="BP95" i="51" s="1"/>
  <c r="X95" i="51"/>
  <c r="BO95" i="51" s="1"/>
  <c r="X45" i="51"/>
  <c r="BO45" i="51" s="1"/>
  <c r="AO26" i="51"/>
  <c r="CF26" i="51" s="1"/>
  <c r="AS26" i="51"/>
  <c r="E52" i="51"/>
  <c r="F101" i="62"/>
  <c r="AW101" i="62" s="1"/>
  <c r="E50" i="62"/>
  <c r="AV50" i="62" s="1"/>
  <c r="AQ96" i="51"/>
  <c r="CH96" i="51" s="1"/>
  <c r="AS96" i="51"/>
  <c r="CJ96" i="51" s="1"/>
  <c r="AP96" i="51"/>
  <c r="CG96" i="51" s="1"/>
  <c r="AO96" i="51"/>
  <c r="CF96" i="51" s="1"/>
  <c r="AR96" i="51"/>
  <c r="CI96" i="51" s="1"/>
  <c r="AT96" i="51"/>
  <c r="CK96" i="51" s="1"/>
  <c r="AR58" i="51"/>
  <c r="CI58" i="51" s="1"/>
  <c r="AI131" i="50"/>
  <c r="BU131" i="50" s="1"/>
  <c r="C90" i="85" s="1"/>
  <c r="K41" i="51"/>
  <c r="BB41" i="51" s="1"/>
  <c r="F76" i="51"/>
  <c r="AW76" i="51" s="1"/>
  <c r="G95" i="51"/>
  <c r="AX95" i="51" s="1"/>
  <c r="J95" i="51"/>
  <c r="BA95" i="51" s="1"/>
  <c r="K95" i="51"/>
  <c r="BB95" i="51" s="1"/>
  <c r="AH45" i="50" s="1"/>
  <c r="F95" i="51"/>
  <c r="AW95" i="51" s="1"/>
  <c r="H95" i="51"/>
  <c r="AY95" i="51" s="1"/>
  <c r="I95" i="51"/>
  <c r="AZ95" i="51" s="1"/>
  <c r="F45" i="51"/>
  <c r="AW45" i="51" s="1"/>
  <c r="J66" i="51"/>
  <c r="F15" i="51"/>
  <c r="AW15" i="51" s="1"/>
  <c r="K66" i="51"/>
  <c r="G66" i="51"/>
  <c r="F66" i="51"/>
  <c r="I66" i="51"/>
  <c r="H66" i="51"/>
  <c r="K87" i="51"/>
  <c r="BB87" i="51" s="1"/>
  <c r="J87" i="51"/>
  <c r="BA87" i="51" s="1"/>
  <c r="I87" i="51"/>
  <c r="AZ87" i="51" s="1"/>
  <c r="G87" i="51"/>
  <c r="AX87" i="51" s="1"/>
  <c r="H87" i="51"/>
  <c r="AY87" i="51" s="1"/>
  <c r="F87" i="51"/>
  <c r="AW87" i="51" s="1"/>
  <c r="H39" i="51"/>
  <c r="AY39" i="51" s="1"/>
  <c r="I41" i="51"/>
  <c r="AZ41" i="51" s="1"/>
  <c r="H27" i="51"/>
  <c r="AY27" i="51" s="1"/>
  <c r="I26" i="51"/>
  <c r="AZ26" i="51" s="1"/>
  <c r="H45" i="51"/>
  <c r="AY45" i="51" s="1"/>
  <c r="H70" i="51"/>
  <c r="AY70" i="51" s="1"/>
  <c r="K70" i="51"/>
  <c r="BB70" i="51" s="1"/>
  <c r="AH41" i="50" s="1"/>
  <c r="J70" i="51"/>
  <c r="BA70" i="51" s="1"/>
  <c r="I70" i="51"/>
  <c r="AZ70" i="51" s="1"/>
  <c r="F70" i="51"/>
  <c r="AW70" i="51" s="1"/>
  <c r="G70" i="51"/>
  <c r="AX70" i="51" s="1"/>
  <c r="P40" i="51"/>
  <c r="M96" i="51"/>
  <c r="BD96" i="51" s="1"/>
  <c r="AJ46" i="50" s="1"/>
  <c r="BV46" i="50" s="1"/>
  <c r="P96" i="51"/>
  <c r="BG96" i="51" s="1"/>
  <c r="AM46" i="50" s="1"/>
  <c r="BY46" i="50" s="1"/>
  <c r="R96" i="51"/>
  <c r="BI96" i="51" s="1"/>
  <c r="O96" i="51"/>
  <c r="BF96" i="51" s="1"/>
  <c r="AL46" i="50" s="1"/>
  <c r="BX46" i="50" s="1"/>
  <c r="Q96" i="51"/>
  <c r="BH96" i="51" s="1"/>
  <c r="N96" i="51"/>
  <c r="BE96" i="51" s="1"/>
  <c r="AK46" i="50" s="1"/>
  <c r="BW46" i="50" s="1"/>
  <c r="N45" i="51"/>
  <c r="BE45" i="51" s="1"/>
  <c r="R45" i="51"/>
  <c r="BI45" i="51" s="1"/>
  <c r="Q78" i="51"/>
  <c r="BH78" i="51" s="1"/>
  <c r="M78" i="51"/>
  <c r="BD78" i="51" s="1"/>
  <c r="AJ42" i="50" s="1"/>
  <c r="BV42" i="50" s="1"/>
  <c r="R78" i="51"/>
  <c r="BI78" i="51" s="1"/>
  <c r="P78" i="51"/>
  <c r="BG78" i="51" s="1"/>
  <c r="AM42" i="50" s="1"/>
  <c r="BY42" i="50" s="1"/>
  <c r="N78" i="51"/>
  <c r="BE78" i="51" s="1"/>
  <c r="AK42" i="50" s="1"/>
  <c r="BW42" i="50" s="1"/>
  <c r="O78" i="51"/>
  <c r="BF78" i="51" s="1"/>
  <c r="AL42" i="50" s="1"/>
  <c r="BX42" i="50" s="1"/>
  <c r="T96" i="51"/>
  <c r="BK96" i="51" s="1"/>
  <c r="V96" i="51"/>
  <c r="BM96" i="51" s="1"/>
  <c r="W96" i="51"/>
  <c r="BN96" i="51" s="1"/>
  <c r="U96" i="51"/>
  <c r="BL96" i="51" s="1"/>
  <c r="X96" i="51"/>
  <c r="BO96" i="51" s="1"/>
  <c r="Y96" i="51"/>
  <c r="BP96" i="51" s="1"/>
  <c r="U45" i="51"/>
  <c r="BL45" i="51" s="1"/>
  <c r="Y45" i="51"/>
  <c r="BP45" i="51" s="1"/>
  <c r="V78" i="51"/>
  <c r="BM78" i="51" s="1"/>
  <c r="W78" i="51"/>
  <c r="BN78" i="51" s="1"/>
  <c r="Y78" i="51"/>
  <c r="BP78" i="51" s="1"/>
  <c r="T78" i="51"/>
  <c r="BK78" i="51" s="1"/>
  <c r="U78" i="51"/>
  <c r="BL78" i="51" s="1"/>
  <c r="X78" i="51"/>
  <c r="BO78" i="51" s="1"/>
  <c r="AP26" i="51"/>
  <c r="AT26" i="51"/>
  <c r="AQ100" i="51"/>
  <c r="AO50" i="51"/>
  <c r="CF50" i="51" s="1"/>
  <c r="AT100" i="51"/>
  <c r="AR100" i="51"/>
  <c r="AO100" i="51"/>
  <c r="AS100" i="51"/>
  <c r="AP100" i="51"/>
  <c r="AO58" i="51"/>
  <c r="CF58" i="51" s="1"/>
  <c r="AS58" i="51"/>
  <c r="CJ58" i="51" s="1"/>
  <c r="F22" i="51"/>
  <c r="AW22" i="51" s="1"/>
  <c r="H72" i="51"/>
  <c r="J72" i="51"/>
  <c r="I72" i="51"/>
  <c r="F72" i="51"/>
  <c r="G72" i="51"/>
  <c r="K72" i="51"/>
  <c r="G77" i="51"/>
  <c r="AX77" i="51" s="1"/>
  <c r="F77" i="51"/>
  <c r="AW77" i="51" s="1"/>
  <c r="J77" i="51"/>
  <c r="BA77" i="51" s="1"/>
  <c r="H77" i="51"/>
  <c r="AY77" i="51" s="1"/>
  <c r="I77" i="51"/>
  <c r="AZ77" i="51" s="1"/>
  <c r="K77" i="51"/>
  <c r="BB77" i="51" s="1"/>
  <c r="I45" i="51"/>
  <c r="AZ45" i="51" s="1"/>
  <c r="G97" i="51"/>
  <c r="AX97" i="51" s="1"/>
  <c r="J97" i="51"/>
  <c r="BA97" i="51" s="1"/>
  <c r="K97" i="51"/>
  <c r="BB97" i="51" s="1"/>
  <c r="AH47" i="50" s="1"/>
  <c r="F97" i="51"/>
  <c r="AW97" i="51" s="1"/>
  <c r="H97" i="51"/>
  <c r="AY97" i="51" s="1"/>
  <c r="I97" i="51"/>
  <c r="AZ97" i="51" s="1"/>
  <c r="M107" i="51"/>
  <c r="BD107" i="51" s="1"/>
  <c r="R107" i="51"/>
  <c r="BI107" i="51" s="1"/>
  <c r="P107" i="51"/>
  <c r="BG107" i="51" s="1"/>
  <c r="N107" i="51"/>
  <c r="BE107" i="51" s="1"/>
  <c r="O107" i="51"/>
  <c r="BF107" i="51" s="1"/>
  <c r="Q107" i="51"/>
  <c r="BH107" i="51" s="1"/>
  <c r="O45" i="51"/>
  <c r="BF45" i="51" s="1"/>
  <c r="M70" i="51"/>
  <c r="BD70" i="51" s="1"/>
  <c r="AJ41" i="50" s="1"/>
  <c r="R70" i="51"/>
  <c r="BI70" i="51" s="1"/>
  <c r="O70" i="51"/>
  <c r="BF70" i="51" s="1"/>
  <c r="AL41" i="50" s="1"/>
  <c r="N70" i="51"/>
  <c r="BE70" i="51" s="1"/>
  <c r="AK41" i="50" s="1"/>
  <c r="Q70" i="51"/>
  <c r="BH70" i="51" s="1"/>
  <c r="P70" i="51"/>
  <c r="BG70" i="51" s="1"/>
  <c r="AM41" i="50" s="1"/>
  <c r="T77" i="51"/>
  <c r="U77" i="51"/>
  <c r="T25" i="51"/>
  <c r="W77" i="51"/>
  <c r="Y77" i="51"/>
  <c r="X77" i="51"/>
  <c r="V77" i="51"/>
  <c r="V45" i="51"/>
  <c r="BM45" i="51" s="1"/>
  <c r="X70" i="51"/>
  <c r="BO70" i="51" s="1"/>
  <c r="U70" i="51"/>
  <c r="BL70" i="51" s="1"/>
  <c r="Y70" i="51"/>
  <c r="BP70" i="51" s="1"/>
  <c r="V70" i="51"/>
  <c r="BM70" i="51" s="1"/>
  <c r="T70" i="51"/>
  <c r="BK70" i="51" s="1"/>
  <c r="W70" i="51"/>
  <c r="BN70" i="51" s="1"/>
  <c r="AQ65" i="51"/>
  <c r="AO65" i="51"/>
  <c r="AR65" i="51"/>
  <c r="AT65" i="51"/>
  <c r="AO15" i="51"/>
  <c r="CF15" i="51" s="1"/>
  <c r="AP65" i="51"/>
  <c r="AS65" i="51"/>
  <c r="AQ105" i="51"/>
  <c r="CH105" i="51" s="1"/>
  <c r="AT105" i="51"/>
  <c r="CK105" i="51" s="1"/>
  <c r="AS105" i="51"/>
  <c r="CJ105" i="51" s="1"/>
  <c r="AR105" i="51"/>
  <c r="CI105" i="51" s="1"/>
  <c r="AP105" i="51"/>
  <c r="CG105" i="51" s="1"/>
  <c r="AO105" i="51"/>
  <c r="CF105" i="51" s="1"/>
  <c r="K85" i="51"/>
  <c r="BB85" i="51" s="1"/>
  <c r="J85" i="51"/>
  <c r="BA85" i="51" s="1"/>
  <c r="I85" i="51"/>
  <c r="AZ85" i="51" s="1"/>
  <c r="G85" i="51"/>
  <c r="AX85" i="51" s="1"/>
  <c r="F85" i="51"/>
  <c r="AW85" i="51" s="1"/>
  <c r="H85" i="51"/>
  <c r="AY85" i="51" s="1"/>
  <c r="E29" i="51"/>
  <c r="AV29" i="51" s="1"/>
  <c r="F78" i="62"/>
  <c r="O90" i="51"/>
  <c r="BF90" i="51" s="1"/>
  <c r="P90" i="51"/>
  <c r="BG90" i="51" s="1"/>
  <c r="R90" i="51"/>
  <c r="BI90" i="51" s="1"/>
  <c r="N90" i="51"/>
  <c r="BE90" i="51" s="1"/>
  <c r="Q90" i="51"/>
  <c r="BH90" i="51" s="1"/>
  <c r="M90" i="51"/>
  <c r="BD90" i="51" s="1"/>
  <c r="P77" i="51"/>
  <c r="N77" i="51"/>
  <c r="R77" i="51"/>
  <c r="Q77" i="51"/>
  <c r="M25" i="51"/>
  <c r="M77" i="51"/>
  <c r="O77" i="51"/>
  <c r="R97" i="51"/>
  <c r="BI97" i="51" s="1"/>
  <c r="O97" i="51"/>
  <c r="BF97" i="51" s="1"/>
  <c r="AL47" i="50" s="1"/>
  <c r="BX47" i="50" s="1"/>
  <c r="N97" i="51"/>
  <c r="BE97" i="51" s="1"/>
  <c r="AK47" i="50" s="1"/>
  <c r="BW47" i="50" s="1"/>
  <c r="Q97" i="51"/>
  <c r="BH97" i="51" s="1"/>
  <c r="M97" i="51"/>
  <c r="BD97" i="51" s="1"/>
  <c r="AJ47" i="50" s="1"/>
  <c r="BV47" i="50" s="1"/>
  <c r="Y69" i="51"/>
  <c r="BP69" i="51" s="1"/>
  <c r="X69" i="51"/>
  <c r="BO69" i="51" s="1"/>
  <c r="U69" i="51"/>
  <c r="BL69" i="51" s="1"/>
  <c r="T69" i="51"/>
  <c r="BK69" i="51" s="1"/>
  <c r="W69" i="51"/>
  <c r="BN69" i="51" s="1"/>
  <c r="V69" i="51"/>
  <c r="BM69" i="51" s="1"/>
  <c r="W97" i="51"/>
  <c r="BN97" i="51" s="1"/>
  <c r="T97" i="51"/>
  <c r="BK97" i="51" s="1"/>
  <c r="V97" i="51"/>
  <c r="BM97" i="51" s="1"/>
  <c r="Y97" i="51"/>
  <c r="BP97" i="51" s="1"/>
  <c r="U97" i="51"/>
  <c r="BL97" i="51" s="1"/>
  <c r="X97" i="51"/>
  <c r="BO97" i="51" s="1"/>
  <c r="AT97" i="51"/>
  <c r="CK97" i="51" s="1"/>
  <c r="AS97" i="51"/>
  <c r="CJ97" i="51" s="1"/>
  <c r="AQ97" i="51"/>
  <c r="CH97" i="51" s="1"/>
  <c r="AR97" i="51"/>
  <c r="CI97" i="51" s="1"/>
  <c r="AO97" i="51"/>
  <c r="CF97" i="51" s="1"/>
  <c r="AP97" i="51"/>
  <c r="CG97" i="51" s="1"/>
  <c r="AP103" i="51"/>
  <c r="CG103" i="51" s="1"/>
  <c r="AR103" i="51"/>
  <c r="CI103" i="51" s="1"/>
  <c r="AO103" i="51"/>
  <c r="CF103" i="51" s="1"/>
  <c r="AQ103" i="51"/>
  <c r="CH103" i="51" s="1"/>
  <c r="AS103" i="51"/>
  <c r="CJ103" i="51" s="1"/>
  <c r="AT103" i="51"/>
  <c r="CK103" i="51" s="1"/>
  <c r="AI153" i="50"/>
  <c r="BU153" i="50" s="1"/>
  <c r="AH151" i="50"/>
  <c r="BT151" i="50" s="1"/>
  <c r="AE121" i="50"/>
  <c r="BQ121" i="50" s="1"/>
  <c r="AC161" i="50"/>
  <c r="BO161" i="50" s="1"/>
  <c r="AB181" i="50"/>
  <c r="BN181" i="50" s="1"/>
  <c r="AC65" i="50"/>
  <c r="BO65" i="50" s="1"/>
  <c r="AB63" i="50"/>
  <c r="BN63" i="50" s="1"/>
  <c r="AE124" i="50"/>
  <c r="BQ124" i="50" s="1"/>
  <c r="AE118" i="50"/>
  <c r="BQ118" i="50" s="1"/>
  <c r="AA69" i="50"/>
  <c r="AB70" i="50"/>
  <c r="BN70" i="50" s="1"/>
  <c r="AD113" i="50"/>
  <c r="BP113" i="50" s="1"/>
  <c r="AE114" i="50"/>
  <c r="BQ114" i="50" s="1"/>
  <c r="AE122" i="50"/>
  <c r="BQ122" i="50" s="1"/>
  <c r="AD182" i="50"/>
  <c r="BP182" i="50" s="1"/>
  <c r="AD130" i="50"/>
  <c r="BP130" i="50" s="1"/>
  <c r="AC125" i="50"/>
  <c r="BO125" i="50" s="1"/>
  <c r="AC127" i="50"/>
  <c r="BO127" i="50" s="1"/>
  <c r="AB187" i="50"/>
  <c r="BN187" i="50" s="1"/>
  <c r="AB111" i="50"/>
  <c r="AB153" i="50"/>
  <c r="BN153" i="50" s="1"/>
  <c r="AA151" i="50"/>
  <c r="BM151" i="50" s="1"/>
  <c r="AA173" i="50"/>
  <c r="AD116" i="50"/>
  <c r="BP116" i="50" s="1"/>
  <c r="C14" i="60"/>
  <c r="C5" i="84" s="1"/>
  <c r="AD56" i="53" l="1"/>
  <c r="AB174" i="50"/>
  <c r="BN174" i="50" s="1"/>
  <c r="O18" i="51"/>
  <c r="BF18" i="51" s="1"/>
  <c r="AJ60" i="51"/>
  <c r="CA60" i="51" s="1"/>
  <c r="AJ154" i="50"/>
  <c r="BV154" i="50" s="1"/>
  <c r="Y18" i="51"/>
  <c r="BP18" i="51" s="1"/>
  <c r="E61" i="67"/>
  <c r="AF26" i="7"/>
  <c r="AF27" i="7" s="1"/>
  <c r="CC27" i="7" s="1"/>
  <c r="AA177" i="50"/>
  <c r="BM177" i="50" s="1"/>
  <c r="AJ165" i="50"/>
  <c r="AK165" i="50" s="1"/>
  <c r="AA60" i="51"/>
  <c r="BR60" i="51" s="1"/>
  <c r="AB157" i="50"/>
  <c r="AB177" i="50" s="1"/>
  <c r="BN177" i="50" s="1"/>
  <c r="AF60" i="51"/>
  <c r="BW60" i="51" s="1"/>
  <c r="AK60" i="51"/>
  <c r="CB60" i="51" s="1"/>
  <c r="AC154" i="50"/>
  <c r="BO154" i="50" s="1"/>
  <c r="W18" i="51"/>
  <c r="BN18" i="51" s="1"/>
  <c r="U18" i="51"/>
  <c r="BL18" i="51" s="1"/>
  <c r="AM60" i="51"/>
  <c r="CD60" i="51" s="1"/>
  <c r="AL26" i="7"/>
  <c r="CI26" i="7" s="1"/>
  <c r="BU35" i="50"/>
  <c r="C85" i="85" s="1"/>
  <c r="AC170" i="50"/>
  <c r="BN170" i="50"/>
  <c r="AB190" i="50"/>
  <c r="BN190" i="50" s="1"/>
  <c r="AI60" i="51"/>
  <c r="BZ60" i="51" s="1"/>
  <c r="AJ56" i="53"/>
  <c r="CM56" i="53" s="1"/>
  <c r="U105" i="85" s="1"/>
  <c r="Z105" i="85" s="1"/>
  <c r="AC60" i="51"/>
  <c r="BT60" i="51" s="1"/>
  <c r="D66" i="67"/>
  <c r="AC57" i="53"/>
  <c r="AE28" i="7"/>
  <c r="CB28" i="7" s="1"/>
  <c r="AJ156" i="50"/>
  <c r="BV156" i="50" s="1"/>
  <c r="AH60" i="51"/>
  <c r="BY60" i="51" s="1"/>
  <c r="X18" i="51"/>
  <c r="BO18" i="51" s="1"/>
  <c r="P18" i="51"/>
  <c r="BG18" i="51" s="1"/>
  <c r="AB57" i="53"/>
  <c r="CF57" i="53" s="1"/>
  <c r="U82" i="85" s="1"/>
  <c r="Z82" i="85" s="1"/>
  <c r="Q18" i="51"/>
  <c r="BH18" i="51" s="1"/>
  <c r="F61" i="67"/>
  <c r="AD28" i="7"/>
  <c r="CA28" i="7" s="1"/>
  <c r="C66" i="67"/>
  <c r="AS25" i="51"/>
  <c r="CJ26" i="51"/>
  <c r="AR25" i="51"/>
  <c r="CI26" i="51"/>
  <c r="Y83" i="51"/>
  <c r="BP90" i="51"/>
  <c r="F25" i="51"/>
  <c r="AW25" i="51" s="1"/>
  <c r="AW26" i="51"/>
  <c r="BY41" i="50"/>
  <c r="AM38" i="50"/>
  <c r="BT47" i="50"/>
  <c r="AH72" i="50"/>
  <c r="AS99" i="51"/>
  <c r="CJ99" i="51" s="1"/>
  <c r="CJ100" i="51"/>
  <c r="H64" i="51"/>
  <c r="AY64" i="51" s="1"/>
  <c r="AY66" i="51"/>
  <c r="AD281" i="50"/>
  <c r="BP281" i="50" s="1"/>
  <c r="AM17" i="50"/>
  <c r="BY17" i="50" s="1"/>
  <c r="BX17" i="50"/>
  <c r="W30" i="51"/>
  <c r="BN30" i="51" s="1"/>
  <c r="BN34" i="51"/>
  <c r="P34" i="51"/>
  <c r="BG40" i="51"/>
  <c r="AF22" i="50"/>
  <c r="BR22" i="50" s="1"/>
  <c r="BQ22" i="50"/>
  <c r="AO64" i="51"/>
  <c r="CF64" i="51" s="1"/>
  <c r="CF65" i="51"/>
  <c r="AP25" i="51"/>
  <c r="CG26" i="51"/>
  <c r="AM121" i="50"/>
  <c r="BY121" i="50" s="1"/>
  <c r="BX121" i="50"/>
  <c r="AL118" i="50"/>
  <c r="BW118" i="50"/>
  <c r="M74" i="51"/>
  <c r="BD74" i="51" s="1"/>
  <c r="BD77" i="51"/>
  <c r="AQ64" i="51"/>
  <c r="CH64" i="51" s="1"/>
  <c r="CH65" i="51"/>
  <c r="I64" i="51"/>
  <c r="AZ64" i="51" s="1"/>
  <c r="AZ66" i="51"/>
  <c r="V83" i="51"/>
  <c r="BM90" i="51"/>
  <c r="R18" i="51"/>
  <c r="BI18" i="51" s="1"/>
  <c r="AH67" i="50"/>
  <c r="BT42" i="50"/>
  <c r="AH71" i="50"/>
  <c r="BT46" i="50"/>
  <c r="AQ25" i="51"/>
  <c r="CH26" i="51"/>
  <c r="AB60" i="51"/>
  <c r="BS60" i="51" s="1"/>
  <c r="D61" i="67"/>
  <c r="BU157" i="50"/>
  <c r="AJ157" i="50"/>
  <c r="AF15" i="50"/>
  <c r="BR15" i="50" s="1"/>
  <c r="BQ15" i="50"/>
  <c r="AK116" i="50"/>
  <c r="BV116" i="50"/>
  <c r="U74" i="51"/>
  <c r="BL74" i="51" s="1"/>
  <c r="BL77" i="51"/>
  <c r="J71" i="51"/>
  <c r="BA71" i="51" s="1"/>
  <c r="BA72" i="51"/>
  <c r="J25" i="51"/>
  <c r="BA25" i="51" s="1"/>
  <c r="BA26" i="51"/>
  <c r="V30" i="51"/>
  <c r="BM30" i="51" s="1"/>
  <c r="BM34" i="51"/>
  <c r="U30" i="51"/>
  <c r="BL30" i="51" s="1"/>
  <c r="BL34" i="51"/>
  <c r="BY45" i="50"/>
  <c r="AM44" i="50"/>
  <c r="BY44" i="50" s="1"/>
  <c r="BO117" i="50"/>
  <c r="AD117" i="50"/>
  <c r="AK127" i="50"/>
  <c r="BV127" i="50"/>
  <c r="C65" i="67"/>
  <c r="BN111" i="50"/>
  <c r="C65" i="85" s="1"/>
  <c r="M18" i="51"/>
  <c r="BD18" i="51" s="1"/>
  <c r="BD25" i="51"/>
  <c r="V74" i="51"/>
  <c r="BM74" i="51" s="1"/>
  <c r="BM77" i="51"/>
  <c r="AL60" i="51"/>
  <c r="CC60" i="51" s="1"/>
  <c r="AO99" i="51"/>
  <c r="CF99" i="51" s="1"/>
  <c r="CF100" i="51"/>
  <c r="Q74" i="51"/>
  <c r="BH74" i="51" s="1"/>
  <c r="BH77" i="51"/>
  <c r="AS64" i="51"/>
  <c r="CJ64" i="51" s="1"/>
  <c r="CJ65" i="51"/>
  <c r="X74" i="51"/>
  <c r="BO74" i="51" s="1"/>
  <c r="BO77" i="51"/>
  <c r="BW41" i="50"/>
  <c r="AK38" i="50"/>
  <c r="K71" i="51"/>
  <c r="BB71" i="51" s="1"/>
  <c r="BB72" i="51"/>
  <c r="AR99" i="51"/>
  <c r="CI99" i="51" s="1"/>
  <c r="CI100" i="51"/>
  <c r="F64" i="51"/>
  <c r="AW64" i="51" s="1"/>
  <c r="AW66" i="51"/>
  <c r="U83" i="51"/>
  <c r="BL90" i="51"/>
  <c r="BW45" i="50"/>
  <c r="AK44" i="50"/>
  <c r="BW44" i="50" s="1"/>
  <c r="N18" i="51"/>
  <c r="BE18" i="51" s="1"/>
  <c r="Q34" i="51"/>
  <c r="BH40" i="51"/>
  <c r="F90" i="51"/>
  <c r="AW90" i="51" s="1"/>
  <c r="AW41" i="51"/>
  <c r="F88" i="51"/>
  <c r="AW88" i="51" s="1"/>
  <c r="AW39" i="51"/>
  <c r="AE26" i="7"/>
  <c r="AE27" i="7" s="1"/>
  <c r="CB27" i="7" s="1"/>
  <c r="AL117" i="50"/>
  <c r="BW117" i="50"/>
  <c r="AF21" i="50"/>
  <c r="BR21" i="50" s="1"/>
  <c r="BQ21" i="50"/>
  <c r="AB178" i="50"/>
  <c r="BN178" i="50" s="1"/>
  <c r="AC158" i="50"/>
  <c r="BN158" i="50"/>
  <c r="AR64" i="51"/>
  <c r="CI64" i="51" s="1"/>
  <c r="CI65" i="51"/>
  <c r="J64" i="51"/>
  <c r="BA64" i="51" s="1"/>
  <c r="BA66" i="51"/>
  <c r="R74" i="51"/>
  <c r="BI74" i="51" s="1"/>
  <c r="BI77" i="51"/>
  <c r="AP64" i="51"/>
  <c r="CG64" i="51" s="1"/>
  <c r="CG65" i="51"/>
  <c r="Y74" i="51"/>
  <c r="BP74" i="51" s="1"/>
  <c r="BP77" i="51"/>
  <c r="AT99" i="51"/>
  <c r="CK99" i="51" s="1"/>
  <c r="CK100" i="51"/>
  <c r="AH66" i="50"/>
  <c r="BT41" i="50"/>
  <c r="G64" i="51"/>
  <c r="AX64" i="51" s="1"/>
  <c r="AX66" i="51"/>
  <c r="BT45" i="50"/>
  <c r="AH44" i="50"/>
  <c r="BT44" i="50" s="1"/>
  <c r="AH70" i="50"/>
  <c r="W83" i="51"/>
  <c r="BN90" i="51"/>
  <c r="BX45" i="50"/>
  <c r="AL44" i="50"/>
  <c r="BX44" i="50" s="1"/>
  <c r="O34" i="51"/>
  <c r="BF40" i="51"/>
  <c r="G76" i="51"/>
  <c r="AX76" i="51" s="1"/>
  <c r="AX27" i="51"/>
  <c r="M34" i="51"/>
  <c r="BD40" i="51"/>
  <c r="AD57" i="53"/>
  <c r="AO57" i="73" s="1"/>
  <c r="CB57" i="73" s="1"/>
  <c r="AM124" i="50"/>
  <c r="BY124" i="50" s="1"/>
  <c r="BX124" i="50"/>
  <c r="AF16" i="50"/>
  <c r="BR16" i="50" s="1"/>
  <c r="BQ16" i="50"/>
  <c r="AL15" i="50"/>
  <c r="BW15" i="50"/>
  <c r="AL16" i="50"/>
  <c r="BW16" i="50"/>
  <c r="AM113" i="50"/>
  <c r="BY113" i="50" s="1"/>
  <c r="BX113" i="50"/>
  <c r="Y30" i="51"/>
  <c r="BP30" i="51" s="1"/>
  <c r="BP34" i="51"/>
  <c r="AF17" i="50"/>
  <c r="BR17" i="50" s="1"/>
  <c r="BQ17" i="50"/>
  <c r="AM21" i="50"/>
  <c r="BY21" i="50" s="1"/>
  <c r="BX21" i="50"/>
  <c r="AT25" i="51"/>
  <c r="CK26" i="51"/>
  <c r="T30" i="51"/>
  <c r="BK30" i="51" s="1"/>
  <c r="BK34" i="51"/>
  <c r="AP99" i="51"/>
  <c r="CG99" i="51" s="1"/>
  <c r="CG100" i="51"/>
  <c r="BX41" i="50"/>
  <c r="AL38" i="50"/>
  <c r="G71" i="51"/>
  <c r="AX71" i="51" s="1"/>
  <c r="AX72" i="51"/>
  <c r="N74" i="51"/>
  <c r="BE74" i="51" s="1"/>
  <c r="BE77" i="51"/>
  <c r="W74" i="51"/>
  <c r="BN74" i="51" s="1"/>
  <c r="BN77" i="51"/>
  <c r="F71" i="51"/>
  <c r="AW71" i="51" s="1"/>
  <c r="AW72" i="51"/>
  <c r="K64" i="51"/>
  <c r="BB64" i="51" s="1"/>
  <c r="BB66" i="51"/>
  <c r="T83" i="51"/>
  <c r="BK90" i="51"/>
  <c r="R34" i="51"/>
  <c r="BI40" i="51"/>
  <c r="AD60" i="51"/>
  <c r="BU60" i="51" s="1"/>
  <c r="E66" i="67"/>
  <c r="AL22" i="50"/>
  <c r="BW22" i="50"/>
  <c r="AK125" i="50"/>
  <c r="BV125" i="50"/>
  <c r="F69" i="51"/>
  <c r="AW69" i="51" s="1"/>
  <c r="AW20" i="51"/>
  <c r="O74" i="51"/>
  <c r="BF74" i="51" s="1"/>
  <c r="BF77" i="51"/>
  <c r="T74" i="51"/>
  <c r="BK74" i="51" s="1"/>
  <c r="BK77" i="51"/>
  <c r="H71" i="51"/>
  <c r="AY71" i="51" s="1"/>
  <c r="AY72" i="51"/>
  <c r="P74" i="51"/>
  <c r="BG74" i="51" s="1"/>
  <c r="BG77" i="51"/>
  <c r="AT64" i="51"/>
  <c r="CK64" i="51" s="1"/>
  <c r="CK65" i="51"/>
  <c r="T18" i="51"/>
  <c r="BK18" i="51" s="1"/>
  <c r="BK25" i="51"/>
  <c r="BV41" i="50"/>
  <c r="AJ38" i="50"/>
  <c r="I71" i="51"/>
  <c r="AZ71" i="51" s="1"/>
  <c r="AZ72" i="51"/>
  <c r="AQ99" i="51"/>
  <c r="CH99" i="51" s="1"/>
  <c r="CH100" i="51"/>
  <c r="X83" i="51"/>
  <c r="BO90" i="51"/>
  <c r="BV45" i="50"/>
  <c r="AJ44" i="50"/>
  <c r="BV44" i="50" s="1"/>
  <c r="N34" i="51"/>
  <c r="BE40" i="51"/>
  <c r="AE60" i="51"/>
  <c r="BV60" i="51" s="1"/>
  <c r="AF28" i="7"/>
  <c r="CC28" i="7" s="1"/>
  <c r="AL122" i="50"/>
  <c r="BW122" i="50"/>
  <c r="AM20" i="50"/>
  <c r="BY20" i="50" s="1"/>
  <c r="BX20" i="50"/>
  <c r="AL130" i="50"/>
  <c r="BW130" i="50"/>
  <c r="X30" i="51"/>
  <c r="BO30" i="51" s="1"/>
  <c r="BO34" i="51"/>
  <c r="AE20" i="50"/>
  <c r="BP20" i="50"/>
  <c r="AM114" i="50"/>
  <c r="BY114" i="50" s="1"/>
  <c r="BX114" i="50"/>
  <c r="W81" i="67"/>
  <c r="CH56" i="53"/>
  <c r="W81" i="85" s="1"/>
  <c r="V82" i="67"/>
  <c r="CG57" i="53"/>
  <c r="V82" i="85" s="1"/>
  <c r="G66" i="67"/>
  <c r="AF57" i="53"/>
  <c r="AT57" i="73" s="1"/>
  <c r="AE57" i="53"/>
  <c r="AQ57" i="73" s="1"/>
  <c r="CC57" i="73" s="1"/>
  <c r="AE281" i="50"/>
  <c r="BQ281" i="50" s="1"/>
  <c r="AC56" i="53"/>
  <c r="E90" i="67"/>
  <c r="AE56" i="53"/>
  <c r="AF281" i="50"/>
  <c r="BR281" i="50" s="1"/>
  <c r="AL57" i="53"/>
  <c r="AC281" i="50"/>
  <c r="BO281" i="50" s="1"/>
  <c r="G61" i="67"/>
  <c r="AG26" i="7"/>
  <c r="CD26" i="7" s="1"/>
  <c r="BV162" i="50"/>
  <c r="AH26" i="7"/>
  <c r="CE26" i="7" s="1"/>
  <c r="F66" i="67"/>
  <c r="BU161" i="50"/>
  <c r="AA281" i="50"/>
  <c r="BM281" i="50" s="1"/>
  <c r="AM57" i="53"/>
  <c r="BB57" i="73" s="1"/>
  <c r="CI57" i="73" s="1"/>
  <c r="BU167" i="50"/>
  <c r="AJ167" i="50"/>
  <c r="AC156" i="50"/>
  <c r="BN156" i="50"/>
  <c r="AD71" i="50"/>
  <c r="BO71" i="50"/>
  <c r="C61" i="67"/>
  <c r="BN35" i="50"/>
  <c r="C61" i="85" s="1"/>
  <c r="AB176" i="50"/>
  <c r="BN176" i="50" s="1"/>
  <c r="AD26" i="7"/>
  <c r="CA26" i="7" s="1"/>
  <c r="AL170" i="50"/>
  <c r="BW170" i="50"/>
  <c r="E50" i="51"/>
  <c r="AV50" i="51" s="1"/>
  <c r="AV52" i="51"/>
  <c r="AB56" i="53"/>
  <c r="AN28" i="7"/>
  <c r="CK28" i="7" s="1"/>
  <c r="AH28" i="7"/>
  <c r="CE28" i="7" s="1"/>
  <c r="AG28" i="7"/>
  <c r="CD28" i="7" s="1"/>
  <c r="AC165" i="50"/>
  <c r="AC185" i="50" s="1"/>
  <c r="BO185" i="50" s="1"/>
  <c r="BN165" i="50"/>
  <c r="AF56" i="53"/>
  <c r="D90" i="67"/>
  <c r="F90" i="67"/>
  <c r="G90" i="67"/>
  <c r="AK164" i="50"/>
  <c r="BV164" i="50"/>
  <c r="AE66" i="50"/>
  <c r="BP66" i="50"/>
  <c r="AA171" i="50"/>
  <c r="BM171" i="50" s="1"/>
  <c r="BM173" i="50"/>
  <c r="AN57" i="53"/>
  <c r="BE57" i="73" s="1"/>
  <c r="AB281" i="50"/>
  <c r="BN281" i="50" s="1"/>
  <c r="AM28" i="7"/>
  <c r="CJ28" i="7" s="1"/>
  <c r="AO28" i="7"/>
  <c r="CL28" i="7" s="1"/>
  <c r="AP28" i="7"/>
  <c r="CM28" i="7" s="1"/>
  <c r="AD167" i="50"/>
  <c r="BO167" i="50"/>
  <c r="AE67" i="50"/>
  <c r="BP67" i="50"/>
  <c r="AE162" i="50"/>
  <c r="AE182" i="50" s="1"/>
  <c r="BQ182" i="50" s="1"/>
  <c r="BP162" i="50"/>
  <c r="G78" i="62"/>
  <c r="AW78" i="62"/>
  <c r="AK158" i="50"/>
  <c r="BV158" i="50"/>
  <c r="AE72" i="50"/>
  <c r="BP72" i="50"/>
  <c r="AL162" i="50"/>
  <c r="BW162" i="50"/>
  <c r="AD164" i="50"/>
  <c r="BO164" i="50"/>
  <c r="AC184" i="50"/>
  <c r="BO184" i="50" s="1"/>
  <c r="G70" i="62"/>
  <c r="AW70" i="62"/>
  <c r="AA60" i="50"/>
  <c r="BM60" i="50" s="1"/>
  <c r="BM69" i="50"/>
  <c r="AK57" i="53"/>
  <c r="AK161" i="50"/>
  <c r="BV161" i="50"/>
  <c r="CB26" i="7"/>
  <c r="AG27" i="7"/>
  <c r="CD27" i="7" s="1"/>
  <c r="U82" i="67"/>
  <c r="Z82" i="67" s="1"/>
  <c r="AH57" i="53"/>
  <c r="AG57" i="53"/>
  <c r="CK57" i="53" s="1"/>
  <c r="AP56" i="73"/>
  <c r="C5" i="79"/>
  <c r="C25" i="60"/>
  <c r="AO56" i="73"/>
  <c r="CB56" i="73" s="1"/>
  <c r="F75" i="51"/>
  <c r="H88" i="51"/>
  <c r="AY88" i="51" s="1"/>
  <c r="G90" i="51"/>
  <c r="AX90" i="51" s="1"/>
  <c r="F34" i="51"/>
  <c r="AL28" i="7"/>
  <c r="CI28" i="7" s="1"/>
  <c r="C90" i="67"/>
  <c r="M89" i="51"/>
  <c r="I25" i="51"/>
  <c r="H84" i="51"/>
  <c r="AY84" i="51" s="1"/>
  <c r="AK57" i="73"/>
  <c r="BZ57" i="73" s="1"/>
  <c r="AL57" i="73"/>
  <c r="AN57" i="73"/>
  <c r="AM57" i="73"/>
  <c r="CA57" i="73" s="1"/>
  <c r="N89" i="51"/>
  <c r="I69" i="51"/>
  <c r="AZ69" i="51" s="1"/>
  <c r="I75" i="51"/>
  <c r="AZ75" i="51" s="1"/>
  <c r="G84" i="51"/>
  <c r="AX84" i="51" s="1"/>
  <c r="H90" i="51"/>
  <c r="AY90" i="51" s="1"/>
  <c r="G88" i="51"/>
  <c r="AX88" i="51" s="1"/>
  <c r="E18" i="62"/>
  <c r="F84" i="51"/>
  <c r="I90" i="51"/>
  <c r="AZ90" i="51" s="1"/>
  <c r="G34" i="51"/>
  <c r="H75" i="51"/>
  <c r="AY75" i="51" s="1"/>
  <c r="J69" i="51"/>
  <c r="BA69" i="51" s="1"/>
  <c r="J34" i="51"/>
  <c r="G75" i="51"/>
  <c r="I84" i="51"/>
  <c r="AZ84" i="51" s="1"/>
  <c r="K76" i="51"/>
  <c r="BB76" i="51" s="1"/>
  <c r="J84" i="51"/>
  <c r="BA84" i="51" s="1"/>
  <c r="K84" i="51"/>
  <c r="BB84" i="51" s="1"/>
  <c r="P89" i="51"/>
  <c r="Q89" i="51"/>
  <c r="K69" i="51"/>
  <c r="BB69" i="51" s="1"/>
  <c r="AH40" i="50" s="1"/>
  <c r="H69" i="51"/>
  <c r="AY69" i="51" s="1"/>
  <c r="I34" i="51"/>
  <c r="E20" i="51"/>
  <c r="K25" i="51"/>
  <c r="O89" i="51"/>
  <c r="R89" i="51"/>
  <c r="K75" i="51"/>
  <c r="BB75" i="51" s="1"/>
  <c r="G69" i="51"/>
  <c r="AX69" i="51" s="1"/>
  <c r="G25" i="51"/>
  <c r="F94" i="51"/>
  <c r="AW94" i="51" s="1"/>
  <c r="H76" i="51"/>
  <c r="AY76" i="51" s="1"/>
  <c r="K34" i="51"/>
  <c r="J76" i="51"/>
  <c r="BA76" i="51" s="1"/>
  <c r="K88" i="51"/>
  <c r="BB88" i="51" s="1"/>
  <c r="I76" i="51"/>
  <c r="AZ76" i="51" s="1"/>
  <c r="H25" i="51"/>
  <c r="F18" i="51"/>
  <c r="AW18" i="51" s="1"/>
  <c r="J75" i="51"/>
  <c r="BA75" i="51" s="1"/>
  <c r="J90" i="51"/>
  <c r="BA90" i="51" s="1"/>
  <c r="H34" i="51"/>
  <c r="H94" i="51"/>
  <c r="AY94" i="51" s="1"/>
  <c r="G94" i="51"/>
  <c r="AX94" i="51" s="1"/>
  <c r="Y94" i="51"/>
  <c r="BP94" i="51" s="1"/>
  <c r="U94" i="51"/>
  <c r="BL94" i="51" s="1"/>
  <c r="M94" i="51"/>
  <c r="BD94" i="51" s="1"/>
  <c r="J88" i="51"/>
  <c r="BA88" i="51" s="1"/>
  <c r="AQ75" i="51"/>
  <c r="AS75" i="51"/>
  <c r="AR75" i="51"/>
  <c r="AT75" i="51"/>
  <c r="AO25" i="51"/>
  <c r="AP75" i="51"/>
  <c r="AO75" i="51"/>
  <c r="T94" i="51"/>
  <c r="BK94" i="51" s="1"/>
  <c r="N94" i="51"/>
  <c r="BE94" i="51" s="1"/>
  <c r="Q94" i="51"/>
  <c r="BH94" i="51" s="1"/>
  <c r="G69" i="62"/>
  <c r="AX69" i="62" s="1"/>
  <c r="F67" i="62"/>
  <c r="AW67" i="62" s="1"/>
  <c r="AJ153" i="50"/>
  <c r="BV153" i="50" s="1"/>
  <c r="AI151" i="50"/>
  <c r="K94" i="51"/>
  <c r="BB94" i="51" s="1"/>
  <c r="I88" i="51"/>
  <c r="AZ88" i="51" s="1"/>
  <c r="AJ57" i="53"/>
  <c r="CM57" i="53" s="1"/>
  <c r="U106" i="85" s="1"/>
  <c r="Z106" i="85" s="1"/>
  <c r="AI281" i="50"/>
  <c r="BU281" i="50" s="1"/>
  <c r="G101" i="62"/>
  <c r="AX101" i="62" s="1"/>
  <c r="F99" i="62"/>
  <c r="AW99" i="62" s="1"/>
  <c r="V94" i="51"/>
  <c r="BM94" i="51" s="1"/>
  <c r="V11" i="51"/>
  <c r="BM11" i="51" s="1"/>
  <c r="O94" i="51"/>
  <c r="BF94" i="51" s="1"/>
  <c r="P94" i="51"/>
  <c r="BG94" i="51" s="1"/>
  <c r="K90" i="51"/>
  <c r="BB90" i="51" s="1"/>
  <c r="AP107" i="51"/>
  <c r="CG107" i="51" s="1"/>
  <c r="AQ107" i="51"/>
  <c r="CH107" i="51" s="1"/>
  <c r="AS107" i="51"/>
  <c r="CJ107" i="51" s="1"/>
  <c r="AO107" i="51"/>
  <c r="CF107" i="51" s="1"/>
  <c r="AT107" i="51"/>
  <c r="CK107" i="51" s="1"/>
  <c r="AR107" i="51"/>
  <c r="CI107" i="51" s="1"/>
  <c r="I94" i="51"/>
  <c r="AZ94" i="51" s="1"/>
  <c r="J94" i="51"/>
  <c r="BA94" i="51" s="1"/>
  <c r="X94" i="51"/>
  <c r="BO94" i="51" s="1"/>
  <c r="W94" i="51"/>
  <c r="BN94" i="51" s="1"/>
  <c r="R94" i="51"/>
  <c r="BI94" i="51" s="1"/>
  <c r="AC153" i="50"/>
  <c r="BO153" i="50" s="1"/>
  <c r="AB173" i="50"/>
  <c r="AF114" i="50"/>
  <c r="BR114" i="50" s="1"/>
  <c r="AD65" i="50"/>
  <c r="BP65" i="50" s="1"/>
  <c r="AC63" i="50"/>
  <c r="BO63" i="50" s="1"/>
  <c r="AE116" i="50"/>
  <c r="BQ116" i="50" s="1"/>
  <c r="AD125" i="50"/>
  <c r="BP125" i="50" s="1"/>
  <c r="AE130" i="50"/>
  <c r="BQ130" i="50" s="1"/>
  <c r="AC111" i="50"/>
  <c r="AC70" i="50"/>
  <c r="BO70" i="50" s="1"/>
  <c r="AB69" i="50"/>
  <c r="AF118" i="50"/>
  <c r="BR118" i="50" s="1"/>
  <c r="AF124" i="50"/>
  <c r="BR124" i="50" s="1"/>
  <c r="AD161" i="50"/>
  <c r="BP161" i="50" s="1"/>
  <c r="AC181" i="50"/>
  <c r="BO181" i="50" s="1"/>
  <c r="AD154" i="50"/>
  <c r="BP154" i="50" s="1"/>
  <c r="AC174" i="50"/>
  <c r="BO174" i="50" s="1"/>
  <c r="AD127" i="50"/>
  <c r="BP127" i="50" s="1"/>
  <c r="AC187" i="50"/>
  <c r="BO187" i="50" s="1"/>
  <c r="AF122" i="50"/>
  <c r="BR122" i="50" s="1"/>
  <c r="AE113" i="50"/>
  <c r="BQ113" i="50" s="1"/>
  <c r="AF121" i="50"/>
  <c r="BR121" i="50" s="1"/>
  <c r="CJ69" i="60"/>
  <c r="AT61" i="60"/>
  <c r="AS61" i="60"/>
  <c r="AR61" i="60"/>
  <c r="AQ61" i="60"/>
  <c r="AP61" i="60"/>
  <c r="AT60" i="60"/>
  <c r="AS60" i="60"/>
  <c r="AR60" i="60"/>
  <c r="AQ60" i="60"/>
  <c r="AP60" i="60"/>
  <c r="AT59" i="60"/>
  <c r="AS59" i="60"/>
  <c r="AR59" i="60"/>
  <c r="AQ59" i="60"/>
  <c r="AP59" i="60"/>
  <c r="AT58" i="60"/>
  <c r="AS58" i="60"/>
  <c r="AR58" i="60"/>
  <c r="AQ58" i="60"/>
  <c r="AT57" i="60"/>
  <c r="AS57" i="60"/>
  <c r="AR57" i="60"/>
  <c r="AQ57" i="60"/>
  <c r="AP57" i="60"/>
  <c r="AT56" i="60"/>
  <c r="AS56" i="60"/>
  <c r="AR56" i="60"/>
  <c r="AQ56" i="60"/>
  <c r="AP56" i="60"/>
  <c r="AT55" i="60"/>
  <c r="AS55" i="60"/>
  <c r="AR55" i="60"/>
  <c r="AQ55" i="60"/>
  <c r="AP55" i="60"/>
  <c r="AT54" i="60"/>
  <c r="AS54" i="60"/>
  <c r="AR54" i="60"/>
  <c r="AQ54" i="60"/>
  <c r="AS53" i="60"/>
  <c r="AR53" i="60"/>
  <c r="AQ53" i="60"/>
  <c r="AL29" i="60"/>
  <c r="CI29" i="60" s="1"/>
  <c r="AK29" i="60"/>
  <c r="AJ29" i="60"/>
  <c r="AI29" i="60"/>
  <c r="AH29" i="60"/>
  <c r="AG29" i="60"/>
  <c r="AF29" i="60"/>
  <c r="AE29" i="60"/>
  <c r="AD29" i="60"/>
  <c r="AC29" i="60"/>
  <c r="AB29" i="60"/>
  <c r="AA29" i="60"/>
  <c r="Z29" i="60"/>
  <c r="Y29" i="60"/>
  <c r="X29" i="60"/>
  <c r="W29" i="60"/>
  <c r="V29" i="60"/>
  <c r="U29" i="60"/>
  <c r="T29" i="60"/>
  <c r="BQ29" i="60" s="1"/>
  <c r="S29" i="60"/>
  <c r="BP29" i="60" s="1"/>
  <c r="R29" i="60"/>
  <c r="BO29" i="60" s="1"/>
  <c r="Q29" i="60"/>
  <c r="BN29" i="60" s="1"/>
  <c r="P29" i="60"/>
  <c r="BM29" i="60" s="1"/>
  <c r="O29" i="60"/>
  <c r="N29" i="60"/>
  <c r="M29" i="60"/>
  <c r="L29" i="60"/>
  <c r="K29" i="60"/>
  <c r="J29" i="60"/>
  <c r="I29" i="60"/>
  <c r="H29" i="60"/>
  <c r="G29" i="60"/>
  <c r="F29" i="60"/>
  <c r="E29" i="60"/>
  <c r="D29" i="60"/>
  <c r="C29" i="60"/>
  <c r="AL14" i="60"/>
  <c r="AL25" i="60" s="1"/>
  <c r="AK14" i="60"/>
  <c r="AK25" i="60" s="1"/>
  <c r="AJ14" i="60"/>
  <c r="AJ25" i="60" s="1"/>
  <c r="AI14" i="60"/>
  <c r="AI25" i="60" s="1"/>
  <c r="AH14" i="60"/>
  <c r="AH25" i="60" s="1"/>
  <c r="AG14" i="60"/>
  <c r="AG25" i="60" s="1"/>
  <c r="AF14" i="60"/>
  <c r="AE14" i="60"/>
  <c r="AD14" i="60"/>
  <c r="AC14" i="60"/>
  <c r="AB14" i="60"/>
  <c r="AA14" i="60"/>
  <c r="Z14" i="60"/>
  <c r="Y14" i="60"/>
  <c r="X14" i="60"/>
  <c r="W14" i="60"/>
  <c r="V14" i="60"/>
  <c r="U14" i="60"/>
  <c r="T14" i="60"/>
  <c r="H16" i="84" s="1"/>
  <c r="S14" i="60"/>
  <c r="G16" i="84" s="1"/>
  <c r="R14" i="60"/>
  <c r="F16" i="84" s="1"/>
  <c r="Q14" i="60"/>
  <c r="E16" i="84" s="1"/>
  <c r="P14" i="60"/>
  <c r="D16" i="84" s="1"/>
  <c r="O14" i="60"/>
  <c r="C16" i="84" s="1"/>
  <c r="N14" i="60"/>
  <c r="N5" i="84" s="1"/>
  <c r="M14" i="60"/>
  <c r="M5" i="84" s="1"/>
  <c r="L14" i="60"/>
  <c r="L5" i="84" s="1"/>
  <c r="K14" i="60"/>
  <c r="K5" i="84" s="1"/>
  <c r="J14" i="60"/>
  <c r="J5" i="84" s="1"/>
  <c r="I14" i="60"/>
  <c r="I5" i="84" s="1"/>
  <c r="H14" i="60"/>
  <c r="H5" i="84" s="1"/>
  <c r="G14" i="60"/>
  <c r="G5" i="84" s="1"/>
  <c r="F14" i="60"/>
  <c r="F5" i="84" s="1"/>
  <c r="E14" i="60"/>
  <c r="E5" i="84" s="1"/>
  <c r="D14" i="60"/>
  <c r="D5" i="84" s="1"/>
  <c r="AT65" i="60"/>
  <c r="AS65" i="60"/>
  <c r="AR65" i="60"/>
  <c r="AQ65" i="60"/>
  <c r="AP65" i="60"/>
  <c r="N9" i="60"/>
  <c r="T9" i="60" s="1"/>
  <c r="AL9" i="60" s="1"/>
  <c r="M9" i="60"/>
  <c r="S9" i="60" s="1"/>
  <c r="AK9" i="60" s="1"/>
  <c r="L9" i="60"/>
  <c r="R9" i="60" s="1"/>
  <c r="AJ9" i="60" s="1"/>
  <c r="K9" i="60"/>
  <c r="Q9" i="60" s="1"/>
  <c r="AI9" i="60" s="1"/>
  <c r="J9" i="60"/>
  <c r="P9" i="60" s="1"/>
  <c r="AH9" i="60" s="1"/>
  <c r="I9" i="60"/>
  <c r="O9" i="60" s="1"/>
  <c r="AG9" i="60" s="1"/>
  <c r="CQ54" i="60" l="1"/>
  <c r="CP60" i="60"/>
  <c r="CO61" i="60"/>
  <c r="CN54" i="60"/>
  <c r="CQ55" i="60"/>
  <c r="CP56" i="60"/>
  <c r="CO57" i="60"/>
  <c r="CO58" i="60"/>
  <c r="CN59" i="60"/>
  <c r="CQ60" i="60"/>
  <c r="CP61" i="60"/>
  <c r="CC26" i="7"/>
  <c r="AR69" i="60"/>
  <c r="CP53" i="60"/>
  <c r="CP55" i="60"/>
  <c r="CN57" i="60"/>
  <c r="CN58" i="60"/>
  <c r="CQ59" i="60"/>
  <c r="CO54" i="60"/>
  <c r="CN55" i="60"/>
  <c r="CN60" i="60"/>
  <c r="AB151" i="50"/>
  <c r="CO56" i="60"/>
  <c r="AS69" i="60"/>
  <c r="AT69" i="60"/>
  <c r="CN53" i="60"/>
  <c r="CQ56" i="60"/>
  <c r="CP57" i="60"/>
  <c r="CP58" i="60"/>
  <c r="CO59" i="60"/>
  <c r="CQ61" i="60"/>
  <c r="AQ69" i="60"/>
  <c r="CO53" i="60"/>
  <c r="CP54" i="60"/>
  <c r="CO55" i="60"/>
  <c r="CN56" i="60"/>
  <c r="CQ57" i="60"/>
  <c r="CQ58" i="60"/>
  <c r="CP59" i="60"/>
  <c r="CO60" i="60"/>
  <c r="CN61" i="60"/>
  <c r="AK154" i="50"/>
  <c r="BW154" i="50" s="1"/>
  <c r="AK156" i="50"/>
  <c r="AL156" i="50" s="1"/>
  <c r="O67" i="51"/>
  <c r="BF67" i="51" s="1"/>
  <c r="AL27" i="7"/>
  <c r="CI27" i="7" s="1"/>
  <c r="U105" i="67"/>
  <c r="Z105" i="67" s="1"/>
  <c r="AP56" i="53"/>
  <c r="AV56" i="73"/>
  <c r="CF56" i="73" s="1"/>
  <c r="AO56" i="53"/>
  <c r="CR56" i="53" s="1"/>
  <c r="AW56" i="73"/>
  <c r="X11" i="51"/>
  <c r="BO11" i="51" s="1"/>
  <c r="T11" i="51"/>
  <c r="BK11" i="51" s="1"/>
  <c r="Y11" i="51"/>
  <c r="BP11" i="51" s="1"/>
  <c r="BV165" i="50"/>
  <c r="BN157" i="50"/>
  <c r="AC157" i="50"/>
  <c r="Y67" i="51"/>
  <c r="BP67" i="51" s="1"/>
  <c r="N67" i="51"/>
  <c r="BE67" i="51" s="1"/>
  <c r="E18" i="84"/>
  <c r="X67" i="51"/>
  <c r="BO67" i="51" s="1"/>
  <c r="R67" i="51"/>
  <c r="BI67" i="51" s="1"/>
  <c r="AD27" i="7"/>
  <c r="CA27" i="7" s="1"/>
  <c r="V67" i="51"/>
  <c r="BM67" i="51" s="1"/>
  <c r="U67" i="51"/>
  <c r="BL67" i="51" s="1"/>
  <c r="W11" i="51"/>
  <c r="BN11" i="51" s="1"/>
  <c r="U11" i="51"/>
  <c r="BL11" i="51" s="1"/>
  <c r="T67" i="51"/>
  <c r="BK67" i="51" s="1"/>
  <c r="AD170" i="50"/>
  <c r="AC190" i="50"/>
  <c r="BO190" i="50" s="1"/>
  <c r="BO170" i="50"/>
  <c r="I16" i="84"/>
  <c r="Q67" i="51"/>
  <c r="BH67" i="51" s="1"/>
  <c r="M67" i="51"/>
  <c r="BD67" i="51" s="1"/>
  <c r="O5" i="84"/>
  <c r="H6" i="84"/>
  <c r="N16" i="84"/>
  <c r="H7" i="84"/>
  <c r="F6" i="84"/>
  <c r="F7" i="84"/>
  <c r="L16" i="84"/>
  <c r="V24" i="60"/>
  <c r="D27" i="84"/>
  <c r="AD24" i="60"/>
  <c r="L27" i="84"/>
  <c r="BG29" i="60"/>
  <c r="J45" i="84"/>
  <c r="J44" i="84"/>
  <c r="D17" i="84"/>
  <c r="D18" i="84"/>
  <c r="BI29" i="60"/>
  <c r="L45" i="84"/>
  <c r="L44" i="84"/>
  <c r="N38" i="84"/>
  <c r="P5" i="84"/>
  <c r="N7" i="84"/>
  <c r="N6" i="84"/>
  <c r="G7" i="84"/>
  <c r="M16" i="84"/>
  <c r="G6" i="84"/>
  <c r="W24" i="60"/>
  <c r="E27" i="84"/>
  <c r="AE24" i="60"/>
  <c r="M27" i="84"/>
  <c r="AZ29" i="60"/>
  <c r="C45" i="84"/>
  <c r="I22" i="84"/>
  <c r="C44" i="84"/>
  <c r="I23" i="84"/>
  <c r="BH29" i="60"/>
  <c r="K45" i="84"/>
  <c r="K44" i="84"/>
  <c r="BA29" i="60"/>
  <c r="D45" i="84"/>
  <c r="J22" i="84"/>
  <c r="D44" i="84"/>
  <c r="J23" i="84"/>
  <c r="I38" i="84"/>
  <c r="E17" i="84"/>
  <c r="Y24" i="60"/>
  <c r="G27" i="84"/>
  <c r="BB29" i="60"/>
  <c r="E45" i="84"/>
  <c r="K22" i="84"/>
  <c r="E44" i="84"/>
  <c r="K23" i="84"/>
  <c r="BJ29" i="60"/>
  <c r="M45" i="84"/>
  <c r="M44" i="84"/>
  <c r="J18" i="51"/>
  <c r="BA18" i="51" s="1"/>
  <c r="J6" i="84"/>
  <c r="J7" i="84"/>
  <c r="P7" i="84" s="1"/>
  <c r="J38" i="84"/>
  <c r="F17" i="84"/>
  <c r="F18" i="84"/>
  <c r="Z24" i="60"/>
  <c r="H27" i="84"/>
  <c r="BC29" i="60"/>
  <c r="F45" i="84"/>
  <c r="L22" i="84"/>
  <c r="F44" i="84"/>
  <c r="L23" i="84"/>
  <c r="BK29" i="60"/>
  <c r="N45" i="84"/>
  <c r="N44" i="84"/>
  <c r="W67" i="51"/>
  <c r="BN67" i="51" s="1"/>
  <c r="K7" i="84"/>
  <c r="K38" i="84"/>
  <c r="K6" i="84"/>
  <c r="G17" i="84"/>
  <c r="G18" i="84"/>
  <c r="AA24" i="60"/>
  <c r="I27" i="84"/>
  <c r="BD29" i="60"/>
  <c r="M22" i="84"/>
  <c r="G44" i="84"/>
  <c r="M23" i="84"/>
  <c r="G45" i="84"/>
  <c r="P67" i="51"/>
  <c r="BG67" i="51" s="1"/>
  <c r="X24" i="60"/>
  <c r="F27" i="84"/>
  <c r="D7" i="84"/>
  <c r="J16" i="84"/>
  <c r="D6" i="84"/>
  <c r="O16" i="84"/>
  <c r="H17" i="84"/>
  <c r="O17" i="84" s="1"/>
  <c r="H18" i="84"/>
  <c r="BE29" i="60"/>
  <c r="H44" i="84"/>
  <c r="N23" i="84"/>
  <c r="H45" i="84"/>
  <c r="N22" i="84"/>
  <c r="AF24" i="60"/>
  <c r="AT24" i="60" s="1"/>
  <c r="N27" i="84"/>
  <c r="L38" i="84"/>
  <c r="L6" i="84"/>
  <c r="L7" i="84"/>
  <c r="AB24" i="60"/>
  <c r="J27" i="84"/>
  <c r="E7" i="84"/>
  <c r="K16" i="84"/>
  <c r="E6" i="84"/>
  <c r="M38" i="84"/>
  <c r="M7" i="84"/>
  <c r="M6" i="84"/>
  <c r="U24" i="60"/>
  <c r="C27" i="84"/>
  <c r="AC24" i="60"/>
  <c r="K27" i="84"/>
  <c r="BF29" i="60"/>
  <c r="I45" i="84"/>
  <c r="I44" i="84"/>
  <c r="AU65" i="60"/>
  <c r="AP69" i="60"/>
  <c r="AR57" i="73"/>
  <c r="BC57" i="73"/>
  <c r="G74" i="51"/>
  <c r="AX74" i="51" s="1"/>
  <c r="AX75" i="51"/>
  <c r="U79" i="51"/>
  <c r="BL79" i="51" s="1"/>
  <c r="BL83" i="51"/>
  <c r="AE60" i="53"/>
  <c r="CI60" i="53" s="1"/>
  <c r="BV29" i="60"/>
  <c r="AQ60" i="53"/>
  <c r="CS60" i="53" s="1"/>
  <c r="CD29" i="60"/>
  <c r="AU59" i="60"/>
  <c r="CM59" i="60"/>
  <c r="AP74" i="51"/>
  <c r="CG75" i="51"/>
  <c r="K30" i="51"/>
  <c r="BB30" i="51" s="1"/>
  <c r="BB34" i="51"/>
  <c r="O83" i="51"/>
  <c r="BF89" i="51"/>
  <c r="Q83" i="51"/>
  <c r="BH89" i="51"/>
  <c r="J30" i="51"/>
  <c r="BA30" i="51" s="1"/>
  <c r="BA34" i="51"/>
  <c r="F83" i="51"/>
  <c r="AW84" i="51"/>
  <c r="AM16" i="50"/>
  <c r="BY16" i="50" s="1"/>
  <c r="BX16" i="50"/>
  <c r="AI66" i="50"/>
  <c r="BT66" i="50"/>
  <c r="AL127" i="50"/>
  <c r="BW127" i="50"/>
  <c r="AL116" i="50"/>
  <c r="BW116" i="50"/>
  <c r="AQ18" i="51"/>
  <c r="CH18" i="51" s="1"/>
  <c r="CH25" i="51"/>
  <c r="AF60" i="53"/>
  <c r="CJ60" i="53" s="1"/>
  <c r="BW29" i="60"/>
  <c r="AR60" i="53"/>
  <c r="CT60" i="53" s="1"/>
  <c r="CE29" i="60"/>
  <c r="AO18" i="51"/>
  <c r="CF18" i="51" s="1"/>
  <c r="CF25" i="51"/>
  <c r="P83" i="51"/>
  <c r="BG89" i="51"/>
  <c r="CH57" i="53"/>
  <c r="W82" i="85" s="1"/>
  <c r="M30" i="51"/>
  <c r="BD34" i="51"/>
  <c r="W79" i="51"/>
  <c r="BN79" i="51" s="1"/>
  <c r="BN83" i="51"/>
  <c r="BP117" i="50"/>
  <c r="AE117" i="50"/>
  <c r="P30" i="51"/>
  <c r="BG34" i="51"/>
  <c r="AN60" i="53"/>
  <c r="CQ60" i="53" s="1"/>
  <c r="CC29" i="60"/>
  <c r="AU57" i="60"/>
  <c r="CM57" i="60"/>
  <c r="V79" i="51"/>
  <c r="BM79" i="51" s="1"/>
  <c r="BM83" i="51"/>
  <c r="D65" i="67"/>
  <c r="BO111" i="50"/>
  <c r="D65" i="85" s="1"/>
  <c r="AT74" i="51"/>
  <c r="CK75" i="51"/>
  <c r="H18" i="51"/>
  <c r="AY18" i="51" s="1"/>
  <c r="AY25" i="51"/>
  <c r="K18" i="51"/>
  <c r="BB18" i="51" s="1"/>
  <c r="BB25" i="51"/>
  <c r="W82" i="67"/>
  <c r="AM130" i="50"/>
  <c r="BY130" i="50" s="1"/>
  <c r="BX130" i="50"/>
  <c r="N30" i="51"/>
  <c r="BE34" i="51"/>
  <c r="R30" i="51"/>
  <c r="BI34" i="51"/>
  <c r="AM15" i="50"/>
  <c r="BY15" i="50" s="1"/>
  <c r="BX15" i="50"/>
  <c r="BT70" i="50"/>
  <c r="AH69" i="50"/>
  <c r="BT69" i="50" s="1"/>
  <c r="AI70" i="50"/>
  <c r="Q30" i="51"/>
  <c r="BH34" i="51"/>
  <c r="AI71" i="50"/>
  <c r="BT71" i="50"/>
  <c r="Y79" i="51"/>
  <c r="BP79" i="51" s="1"/>
  <c r="BP83" i="51"/>
  <c r="BX38" i="50"/>
  <c r="AL35" i="50"/>
  <c r="AI60" i="53"/>
  <c r="BX29" i="60"/>
  <c r="AS60" i="53"/>
  <c r="CU60" i="53" s="1"/>
  <c r="CF29" i="60"/>
  <c r="AU56" i="60"/>
  <c r="CM56" i="60"/>
  <c r="AU61" i="60"/>
  <c r="CM61" i="60"/>
  <c r="BY29" i="60"/>
  <c r="AT60" i="53"/>
  <c r="CV60" i="53" s="1"/>
  <c r="CG29" i="60"/>
  <c r="AR74" i="51"/>
  <c r="CI75" i="51"/>
  <c r="H30" i="51"/>
  <c r="AY30" i="51" s="1"/>
  <c r="AY34" i="51"/>
  <c r="G18" i="51"/>
  <c r="AX18" i="51" s="1"/>
  <c r="AX25" i="51"/>
  <c r="AP57" i="73"/>
  <c r="F30" i="51"/>
  <c r="AW30" i="51" s="1"/>
  <c r="AW34" i="51"/>
  <c r="BV38" i="50"/>
  <c r="AJ35" i="50"/>
  <c r="AM117" i="50"/>
  <c r="BY117" i="50" s="1"/>
  <c r="BX117" i="50"/>
  <c r="BV157" i="50"/>
  <c r="AK157" i="50"/>
  <c r="AP18" i="51"/>
  <c r="CG18" i="51" s="1"/>
  <c r="CG25" i="51"/>
  <c r="AI72" i="50"/>
  <c r="BT72" i="50"/>
  <c r="AO74" i="51"/>
  <c r="CF75" i="51"/>
  <c r="AA60" i="53"/>
  <c r="AJ60" i="73" s="1"/>
  <c r="BY60" i="73" s="1"/>
  <c r="BR29" i="60"/>
  <c r="AK60" i="53"/>
  <c r="CN60" i="53" s="1"/>
  <c r="BZ29" i="60"/>
  <c r="AU60" i="53"/>
  <c r="CW60" i="53" s="1"/>
  <c r="CH29" i="60"/>
  <c r="AS74" i="51"/>
  <c r="CJ75" i="51"/>
  <c r="I30" i="51"/>
  <c r="AZ30" i="51" s="1"/>
  <c r="AZ34" i="51"/>
  <c r="G30" i="51"/>
  <c r="AX30" i="51" s="1"/>
  <c r="AX34" i="51"/>
  <c r="I18" i="51"/>
  <c r="AZ18" i="51" s="1"/>
  <c r="AZ25" i="51"/>
  <c r="AL125" i="50"/>
  <c r="BW125" i="50"/>
  <c r="T79" i="51"/>
  <c r="BK79" i="51" s="1"/>
  <c r="BK83" i="51"/>
  <c r="AI67" i="50"/>
  <c r="BT67" i="50"/>
  <c r="AR18" i="51"/>
  <c r="CI18" i="51" s="1"/>
  <c r="CI25" i="51"/>
  <c r="AD60" i="53"/>
  <c r="CH60" i="53" s="1"/>
  <c r="BU29" i="60"/>
  <c r="AM118" i="50"/>
  <c r="BY118" i="50" s="1"/>
  <c r="BX118" i="50"/>
  <c r="AB60" i="53"/>
  <c r="CF60" i="53" s="1"/>
  <c r="BS29" i="60"/>
  <c r="AL60" i="53"/>
  <c r="CO60" i="53" s="1"/>
  <c r="CA29" i="60"/>
  <c r="AU55" i="60"/>
  <c r="CM55" i="60"/>
  <c r="AU60" i="60"/>
  <c r="CM60" i="60"/>
  <c r="AQ74" i="51"/>
  <c r="CH75" i="51"/>
  <c r="N83" i="51"/>
  <c r="BE89" i="51"/>
  <c r="AH27" i="7"/>
  <c r="CE27" i="7" s="1"/>
  <c r="O30" i="51"/>
  <c r="BF34" i="51"/>
  <c r="BY38" i="50"/>
  <c r="AM35" i="50"/>
  <c r="S60" i="53"/>
  <c r="Y60" i="73" s="1"/>
  <c r="BS60" i="73" s="1"/>
  <c r="BL29" i="60"/>
  <c r="AC60" i="53"/>
  <c r="CG60" i="53" s="1"/>
  <c r="BT29" i="60"/>
  <c r="AM60" i="53"/>
  <c r="CP60" i="53" s="1"/>
  <c r="CB29" i="60"/>
  <c r="R83" i="51"/>
  <c r="BI89" i="51"/>
  <c r="BT40" i="50"/>
  <c r="AH65" i="50"/>
  <c r="AH38" i="50"/>
  <c r="M83" i="51"/>
  <c r="BD89" i="51"/>
  <c r="F74" i="51"/>
  <c r="AW75" i="51"/>
  <c r="AF20" i="50"/>
  <c r="BR20" i="50" s="1"/>
  <c r="BQ20" i="50"/>
  <c r="AM122" i="50"/>
  <c r="BY122" i="50" s="1"/>
  <c r="BX122" i="50"/>
  <c r="X79" i="51"/>
  <c r="BO79" i="51" s="1"/>
  <c r="BO83" i="51"/>
  <c r="AM22" i="50"/>
  <c r="BY22" i="50" s="1"/>
  <c r="BX22" i="50"/>
  <c r="AT18" i="51"/>
  <c r="CK18" i="51" s="1"/>
  <c r="CK25" i="51"/>
  <c r="AC178" i="50"/>
  <c r="BO178" i="50" s="1"/>
  <c r="BO158" i="50"/>
  <c r="AD158" i="50"/>
  <c r="BW38" i="50"/>
  <c r="AK35" i="50"/>
  <c r="AS18" i="51"/>
  <c r="CJ18" i="51" s="1"/>
  <c r="CJ25" i="51"/>
  <c r="Y81" i="67"/>
  <c r="AA81" i="67" s="1"/>
  <c r="CJ56" i="53"/>
  <c r="Y81" i="85" s="1"/>
  <c r="AA81" i="85" s="1"/>
  <c r="V81" i="67"/>
  <c r="CG56" i="53"/>
  <c r="V81" i="85" s="1"/>
  <c r="Y106" i="67"/>
  <c r="AA106" i="67" s="1"/>
  <c r="CQ57" i="53"/>
  <c r="Y106" i="85" s="1"/>
  <c r="AA106" i="85" s="1"/>
  <c r="X106" i="67"/>
  <c r="CP57" i="53"/>
  <c r="X106" i="85" s="1"/>
  <c r="Y82" i="67"/>
  <c r="AA82" i="67" s="1"/>
  <c r="CJ57" i="53"/>
  <c r="Y82" i="85" s="1"/>
  <c r="AA82" i="85" s="1"/>
  <c r="AS57" i="73"/>
  <c r="CD57" i="73" s="1"/>
  <c r="W106" i="67"/>
  <c r="CO57" i="53"/>
  <c r="W106" i="85" s="1"/>
  <c r="AH56" i="53"/>
  <c r="CF56" i="53"/>
  <c r="U81" i="85" s="1"/>
  <c r="Z81" i="85" s="1"/>
  <c r="X81" i="67"/>
  <c r="CI56" i="53"/>
  <c r="X81" i="85" s="1"/>
  <c r="V106" i="67"/>
  <c r="CN57" i="53"/>
  <c r="V106" i="85" s="1"/>
  <c r="X82" i="67"/>
  <c r="CI57" i="53"/>
  <c r="X82" i="85" s="1"/>
  <c r="AS56" i="73"/>
  <c r="CD56" i="73" s="1"/>
  <c r="AQ56" i="73"/>
  <c r="CC56" i="73" s="1"/>
  <c r="AN56" i="73"/>
  <c r="AX57" i="73"/>
  <c r="CG57" i="73" s="1"/>
  <c r="AM56" i="73"/>
  <c r="CA56" i="73" s="1"/>
  <c r="BD57" i="73"/>
  <c r="CJ57" i="73" s="1"/>
  <c r="AZ57" i="73"/>
  <c r="CH57" i="73" s="1"/>
  <c r="AR56" i="73"/>
  <c r="AK167" i="50"/>
  <c r="BV167" i="50"/>
  <c r="BA57" i="73"/>
  <c r="AF66" i="50"/>
  <c r="BR66" i="50" s="1"/>
  <c r="BQ66" i="50"/>
  <c r="E11" i="62"/>
  <c r="AV11" i="62" s="1"/>
  <c r="AV18" i="62"/>
  <c r="AL161" i="50"/>
  <c r="BW161" i="50"/>
  <c r="AF162" i="50"/>
  <c r="BR162" i="50" s="1"/>
  <c r="BQ162" i="50"/>
  <c r="AB171" i="50"/>
  <c r="BN173" i="50"/>
  <c r="H70" i="62"/>
  <c r="AX70" i="62"/>
  <c r="AL164" i="50"/>
  <c r="BW164" i="50"/>
  <c r="AD165" i="50"/>
  <c r="BO165" i="50"/>
  <c r="AM170" i="50"/>
  <c r="BY170" i="50" s="1"/>
  <c r="BX170" i="50"/>
  <c r="C67" i="67"/>
  <c r="BN151" i="50"/>
  <c r="C67" i="85" s="1"/>
  <c r="AA282" i="50"/>
  <c r="BM282" i="50" s="1"/>
  <c r="E18" i="51"/>
  <c r="AV20" i="51"/>
  <c r="C56" i="49"/>
  <c r="I56" i="49" s="1"/>
  <c r="AL165" i="50"/>
  <c r="BW165" i="50"/>
  <c r="AF72" i="50"/>
  <c r="BR72" i="50" s="1"/>
  <c r="BQ72" i="50"/>
  <c r="AF67" i="50"/>
  <c r="BR67" i="50" s="1"/>
  <c r="BQ67" i="50"/>
  <c r="AE71" i="50"/>
  <c r="BP71" i="50"/>
  <c r="AL56" i="73"/>
  <c r="U81" i="67"/>
  <c r="Z81" i="67" s="1"/>
  <c r="AG56" i="53"/>
  <c r="CK56" i="53" s="1"/>
  <c r="AB60" i="50"/>
  <c r="BN60" i="50" s="1"/>
  <c r="C62" i="85" s="1"/>
  <c r="BN69" i="50"/>
  <c r="AK56" i="73"/>
  <c r="BZ56" i="73" s="1"/>
  <c r="AE164" i="50"/>
  <c r="BP164" i="50"/>
  <c r="AD184" i="50"/>
  <c r="BP184" i="50" s="1"/>
  <c r="AL158" i="50"/>
  <c r="BW158" i="50"/>
  <c r="AE167" i="50"/>
  <c r="BP167" i="50"/>
  <c r="AD156" i="50"/>
  <c r="BO156" i="50"/>
  <c r="AC176" i="50"/>
  <c r="BO176" i="50" s="1"/>
  <c r="C91" i="67"/>
  <c r="BU151" i="50"/>
  <c r="C91" i="85" s="1"/>
  <c r="AY57" i="73"/>
  <c r="AT56" i="73"/>
  <c r="AM162" i="50"/>
  <c r="BY162" i="50" s="1"/>
  <c r="BX162" i="50"/>
  <c r="H78" i="62"/>
  <c r="AX78" i="62"/>
  <c r="BW156" i="50"/>
  <c r="AW14" i="60"/>
  <c r="AW29" i="60"/>
  <c r="AV14" i="60"/>
  <c r="AV29" i="60"/>
  <c r="U106" i="67"/>
  <c r="Z106" i="67" s="1"/>
  <c r="AP57" i="53"/>
  <c r="AO57" i="53"/>
  <c r="CR57" i="53" s="1"/>
  <c r="AP29" i="60"/>
  <c r="AQ29" i="60"/>
  <c r="AT29" i="60"/>
  <c r="AR29" i="60"/>
  <c r="AM29" i="60"/>
  <c r="AS29" i="60"/>
  <c r="N27" i="79"/>
  <c r="K27" i="79"/>
  <c r="H5" i="79"/>
  <c r="H25" i="60"/>
  <c r="D16" i="79"/>
  <c r="P25" i="60"/>
  <c r="F27" i="79"/>
  <c r="J27" i="79"/>
  <c r="D44" i="79"/>
  <c r="D45" i="79"/>
  <c r="J23" i="79"/>
  <c r="J22" i="79"/>
  <c r="N60" i="53"/>
  <c r="BT60" i="53" s="1"/>
  <c r="L44" i="79"/>
  <c r="L45" i="79"/>
  <c r="I5" i="79"/>
  <c r="I25" i="60"/>
  <c r="C27" i="79"/>
  <c r="E45" i="79"/>
  <c r="K23" i="79"/>
  <c r="K22" i="79"/>
  <c r="E44" i="79"/>
  <c r="O60" i="53"/>
  <c r="BU60" i="53" s="1"/>
  <c r="M44" i="79"/>
  <c r="M45" i="79"/>
  <c r="F5" i="79"/>
  <c r="F25" i="60"/>
  <c r="J5" i="79"/>
  <c r="J25" i="60"/>
  <c r="N5" i="79"/>
  <c r="N25" i="60"/>
  <c r="F16" i="79"/>
  <c r="R25" i="60"/>
  <c r="D27" i="79"/>
  <c r="H27" i="79"/>
  <c r="L27" i="79"/>
  <c r="F45" i="79"/>
  <c r="F44" i="79"/>
  <c r="L22" i="79"/>
  <c r="L23" i="79"/>
  <c r="L60" i="53"/>
  <c r="BR60" i="53" s="1"/>
  <c r="J45" i="79"/>
  <c r="J44" i="79"/>
  <c r="N45" i="79"/>
  <c r="N44" i="79"/>
  <c r="D27" i="60"/>
  <c r="AV27" i="60" s="1"/>
  <c r="D5" i="79"/>
  <c r="D25" i="60"/>
  <c r="AV25" i="60" s="1"/>
  <c r="L5" i="79"/>
  <c r="L25" i="60"/>
  <c r="H16" i="79"/>
  <c r="T25" i="60"/>
  <c r="H45" i="79"/>
  <c r="N23" i="79"/>
  <c r="N22" i="79"/>
  <c r="H44" i="79"/>
  <c r="E5" i="79"/>
  <c r="E25" i="60"/>
  <c r="M5" i="79"/>
  <c r="M25" i="60"/>
  <c r="Q25" i="60"/>
  <c r="E16" i="79"/>
  <c r="G27" i="79"/>
  <c r="K60" i="53"/>
  <c r="I45" i="79"/>
  <c r="I44" i="79"/>
  <c r="G27" i="60"/>
  <c r="G5" i="79"/>
  <c r="G25" i="60"/>
  <c r="K27" i="60"/>
  <c r="K5" i="79"/>
  <c r="K25" i="60"/>
  <c r="O27" i="60"/>
  <c r="C16" i="79"/>
  <c r="O25" i="60"/>
  <c r="G16" i="79"/>
  <c r="S25" i="60"/>
  <c r="E27" i="79"/>
  <c r="I27" i="79"/>
  <c r="M27" i="79"/>
  <c r="C60" i="53"/>
  <c r="C45" i="79"/>
  <c r="I23" i="79"/>
  <c r="C44" i="79"/>
  <c r="I22" i="79"/>
  <c r="G44" i="79"/>
  <c r="M22" i="79"/>
  <c r="G45" i="79"/>
  <c r="M23" i="79"/>
  <c r="M60" i="53"/>
  <c r="BS60" i="53" s="1"/>
  <c r="K44" i="79"/>
  <c r="K45" i="79"/>
  <c r="J74" i="51"/>
  <c r="I74" i="51"/>
  <c r="L27" i="60"/>
  <c r="H27" i="60"/>
  <c r="P27" i="60"/>
  <c r="E27" i="60"/>
  <c r="I27" i="60"/>
  <c r="M27" i="60"/>
  <c r="Q27" i="60"/>
  <c r="AG27" i="60"/>
  <c r="AK27" i="60"/>
  <c r="S27" i="60"/>
  <c r="AI27" i="60"/>
  <c r="T27" i="60"/>
  <c r="AJ27" i="60"/>
  <c r="F27" i="60"/>
  <c r="J27" i="60"/>
  <c r="N27" i="60"/>
  <c r="R27" i="60"/>
  <c r="AH27" i="60"/>
  <c r="AL27" i="60"/>
  <c r="H83" i="51"/>
  <c r="C50" i="60"/>
  <c r="AR24" i="60"/>
  <c r="AW57" i="73"/>
  <c r="AV57" i="73"/>
  <c r="CF57" i="73" s="1"/>
  <c r="H74" i="51"/>
  <c r="T60" i="51"/>
  <c r="BK60" i="51" s="1"/>
  <c r="Q62" i="60"/>
  <c r="P60" i="53"/>
  <c r="BV60" i="53" s="1"/>
  <c r="R62" i="60"/>
  <c r="AL63" i="60"/>
  <c r="AV60" i="53"/>
  <c r="CX60" i="53" s="1"/>
  <c r="S62" i="60"/>
  <c r="P62" i="60"/>
  <c r="T62" i="60"/>
  <c r="AL50" i="60"/>
  <c r="CI50" i="60" s="1"/>
  <c r="F63" i="60"/>
  <c r="F62" i="60"/>
  <c r="J63" i="60"/>
  <c r="J62" i="60"/>
  <c r="N63" i="60"/>
  <c r="N62" i="60"/>
  <c r="R63" i="60"/>
  <c r="V63" i="60"/>
  <c r="V62" i="60"/>
  <c r="Z63" i="60"/>
  <c r="Z62" i="60"/>
  <c r="AD63" i="60"/>
  <c r="AD62" i="60"/>
  <c r="AK63" i="60"/>
  <c r="AK62" i="60"/>
  <c r="C63" i="60"/>
  <c r="C62" i="60"/>
  <c r="G63" i="60"/>
  <c r="G62" i="60"/>
  <c r="K63" i="60"/>
  <c r="K62" i="60"/>
  <c r="O63" i="60"/>
  <c r="O62" i="60"/>
  <c r="S63" i="60"/>
  <c r="W63" i="60"/>
  <c r="W62" i="60"/>
  <c r="AA63" i="60"/>
  <c r="AA62" i="60"/>
  <c r="AE63" i="60"/>
  <c r="AE62" i="60"/>
  <c r="AH63" i="60"/>
  <c r="AH62" i="60"/>
  <c r="AL62" i="60"/>
  <c r="D62" i="60"/>
  <c r="D63" i="60"/>
  <c r="H62" i="60"/>
  <c r="H63" i="60"/>
  <c r="L62" i="60"/>
  <c r="L63" i="60"/>
  <c r="P63" i="60"/>
  <c r="T63" i="60"/>
  <c r="X62" i="60"/>
  <c r="X63" i="60"/>
  <c r="AB62" i="60"/>
  <c r="AB63" i="60"/>
  <c r="AF62" i="60"/>
  <c r="AF63" i="60"/>
  <c r="AI62" i="60"/>
  <c r="AI63" i="60"/>
  <c r="E63" i="60"/>
  <c r="E62" i="60"/>
  <c r="I63" i="60"/>
  <c r="I62" i="60"/>
  <c r="M63" i="60"/>
  <c r="M62" i="60"/>
  <c r="Q63" i="60"/>
  <c r="U63" i="60"/>
  <c r="U62" i="60"/>
  <c r="Y63" i="60"/>
  <c r="Y62" i="60"/>
  <c r="AC63" i="60"/>
  <c r="AC62" i="60"/>
  <c r="AG63" i="60"/>
  <c r="AG62" i="60"/>
  <c r="AJ63" i="60"/>
  <c r="AJ62" i="60"/>
  <c r="AP54" i="60"/>
  <c r="AT53" i="60"/>
  <c r="D50" i="60"/>
  <c r="H50" i="60"/>
  <c r="K50" i="60"/>
  <c r="O50" i="60"/>
  <c r="R50" i="60"/>
  <c r="Y50" i="60"/>
  <c r="AB50" i="60"/>
  <c r="AF50" i="60"/>
  <c r="F50" i="60"/>
  <c r="M50" i="60"/>
  <c r="P50" i="60"/>
  <c r="T50" i="60"/>
  <c r="W50" i="60"/>
  <c r="AA50" i="60"/>
  <c r="AD50" i="60"/>
  <c r="G50" i="60"/>
  <c r="J50" i="60"/>
  <c r="N50" i="60"/>
  <c r="Q50" i="60"/>
  <c r="U50" i="60"/>
  <c r="X50" i="60"/>
  <c r="AE50" i="60"/>
  <c r="AH50" i="60"/>
  <c r="CE50" i="60" s="1"/>
  <c r="AI50" i="60"/>
  <c r="CF50" i="60" s="1"/>
  <c r="E50" i="60"/>
  <c r="I50" i="60"/>
  <c r="L50" i="60"/>
  <c r="S50" i="60"/>
  <c r="V50" i="60"/>
  <c r="Z50" i="60"/>
  <c r="AC50" i="60"/>
  <c r="AG50" i="60"/>
  <c r="CD50" i="60" s="1"/>
  <c r="AJ50" i="60"/>
  <c r="CG50" i="60" s="1"/>
  <c r="AK50" i="60"/>
  <c r="CH50" i="60" s="1"/>
  <c r="E114" i="1"/>
  <c r="E38" i="2" s="1"/>
  <c r="H114" i="1"/>
  <c r="H38" i="2" s="1"/>
  <c r="I113" i="1"/>
  <c r="I37" i="2" s="1"/>
  <c r="AQ14" i="60"/>
  <c r="G83" i="51"/>
  <c r="I83" i="51"/>
  <c r="K74" i="51"/>
  <c r="J83" i="51"/>
  <c r="K83" i="51"/>
  <c r="E113" i="1"/>
  <c r="E37" i="2" s="1"/>
  <c r="G113" i="1"/>
  <c r="G37" i="2" s="1"/>
  <c r="AI59" i="53"/>
  <c r="CL59" i="53" s="1"/>
  <c r="T108" i="85" s="1"/>
  <c r="AS14" i="60"/>
  <c r="H101" i="62"/>
  <c r="AY101" i="62" s="1"/>
  <c r="G99" i="62"/>
  <c r="AX99" i="62" s="1"/>
  <c r="F60" i="62"/>
  <c r="AW60" i="62" s="1"/>
  <c r="H69" i="62"/>
  <c r="AY69" i="62" s="1"/>
  <c r="G67" i="62"/>
  <c r="AX67" i="62" s="1"/>
  <c r="AK153" i="50"/>
  <c r="BW153" i="50" s="1"/>
  <c r="AJ151" i="50"/>
  <c r="C55" i="49"/>
  <c r="AE127" i="50"/>
  <c r="BQ127" i="50" s="1"/>
  <c r="AD187" i="50"/>
  <c r="BP187" i="50" s="1"/>
  <c r="AD111" i="50"/>
  <c r="AF130" i="50"/>
  <c r="BR130" i="50" s="1"/>
  <c r="AF116" i="50"/>
  <c r="BR116" i="50" s="1"/>
  <c r="AE65" i="50"/>
  <c r="BQ65" i="50" s="1"/>
  <c r="AD63" i="50"/>
  <c r="BP63" i="50" s="1"/>
  <c r="AF113" i="50"/>
  <c r="BR113" i="50" s="1"/>
  <c r="AE154" i="50"/>
  <c r="BQ154" i="50" s="1"/>
  <c r="AD174" i="50"/>
  <c r="BP174" i="50" s="1"/>
  <c r="AE161" i="50"/>
  <c r="BQ161" i="50" s="1"/>
  <c r="AD181" i="50"/>
  <c r="BP181" i="50" s="1"/>
  <c r="AD70" i="50"/>
  <c r="BP70" i="50" s="1"/>
  <c r="AC69" i="50"/>
  <c r="AD153" i="50"/>
  <c r="BP153" i="50" s="1"/>
  <c r="AC151" i="50"/>
  <c r="AC173" i="50"/>
  <c r="AE125" i="50"/>
  <c r="BQ125" i="50" s="1"/>
  <c r="G114" i="1"/>
  <c r="G38" i="2" s="1"/>
  <c r="H113" i="1"/>
  <c r="I114" i="1"/>
  <c r="F114" i="1"/>
  <c r="J114" i="1"/>
  <c r="J38" i="2" s="1"/>
  <c r="AP14" i="60"/>
  <c r="AU14" i="60" s="1"/>
  <c r="AT14" i="60"/>
  <c r="AR14" i="60"/>
  <c r="F113" i="1"/>
  <c r="F37" i="2" s="1"/>
  <c r="AC32" i="83" s="1"/>
  <c r="J113" i="1"/>
  <c r="J37" i="2" s="1"/>
  <c r="AP9" i="60"/>
  <c r="CM9" i="60" s="1"/>
  <c r="V9" i="60"/>
  <c r="AB9" i="60" s="1"/>
  <c r="AR9" i="60"/>
  <c r="CO9" i="60" s="1"/>
  <c r="X9" i="60"/>
  <c r="AD9" i="60" s="1"/>
  <c r="AM9" i="60"/>
  <c r="CJ9" i="60" s="1"/>
  <c r="U9" i="60"/>
  <c r="AA9" i="60" s="1"/>
  <c r="AQ9" i="60"/>
  <c r="CN9" i="60" s="1"/>
  <c r="W9" i="60"/>
  <c r="AC9" i="60" s="1"/>
  <c r="Y9" i="60"/>
  <c r="AE9" i="60" s="1"/>
  <c r="AS9" i="60"/>
  <c r="CP9" i="60" s="1"/>
  <c r="AT9" i="60"/>
  <c r="CQ9" i="60" s="1"/>
  <c r="Z9" i="60"/>
  <c r="AF9" i="60" s="1"/>
  <c r="AL154" i="50" l="1"/>
  <c r="BX154" i="50" s="1"/>
  <c r="AA59" i="53"/>
  <c r="CE59" i="53" s="1"/>
  <c r="T84" i="85" s="1"/>
  <c r="AR60" i="73"/>
  <c r="BX60" i="53"/>
  <c r="P23" i="79"/>
  <c r="O44" i="84"/>
  <c r="P44" i="84"/>
  <c r="AP24" i="60"/>
  <c r="CO69" i="60"/>
  <c r="AC59" i="53"/>
  <c r="V84" i="67" s="1"/>
  <c r="E38" i="84"/>
  <c r="E41" i="84" s="1"/>
  <c r="F28" i="84"/>
  <c r="CQ69" i="60"/>
  <c r="CM69" i="60"/>
  <c r="AB282" i="50"/>
  <c r="BN282" i="50" s="1"/>
  <c r="AS60" i="73"/>
  <c r="CD60" i="73" s="1"/>
  <c r="CQ53" i="60"/>
  <c r="C62" i="67"/>
  <c r="O18" i="84"/>
  <c r="CN69" i="60"/>
  <c r="CP69" i="60"/>
  <c r="AN60" i="73"/>
  <c r="AL59" i="53"/>
  <c r="W108" i="67" s="1"/>
  <c r="AE59" i="53"/>
  <c r="X84" i="67" s="1"/>
  <c r="AM60" i="73"/>
  <c r="CA60" i="73" s="1"/>
  <c r="AT60" i="73"/>
  <c r="O45" i="79"/>
  <c r="AQ60" i="73"/>
  <c r="CC60" i="73" s="1"/>
  <c r="O45" i="84"/>
  <c r="G67" i="51"/>
  <c r="AX67" i="51" s="1"/>
  <c r="I11" i="51"/>
  <c r="AZ11" i="51" s="1"/>
  <c r="Y60" i="51"/>
  <c r="BP60" i="51" s="1"/>
  <c r="AS24" i="60"/>
  <c r="BC60" i="73"/>
  <c r="AB59" i="53"/>
  <c r="CF59" i="53" s="1"/>
  <c r="U84" i="85" s="1"/>
  <c r="Z84" i="85" s="1"/>
  <c r="AO60" i="73"/>
  <c r="CB60" i="73" s="1"/>
  <c r="F11" i="51"/>
  <c r="AW11" i="51" s="1"/>
  <c r="BO157" i="50"/>
  <c r="AC177" i="50"/>
  <c r="BO177" i="50" s="1"/>
  <c r="AD157" i="50"/>
  <c r="AP60" i="73"/>
  <c r="AK60" i="73"/>
  <c r="BZ60" i="73" s="1"/>
  <c r="AM24" i="60"/>
  <c r="AD59" i="53"/>
  <c r="W84" i="67" s="1"/>
  <c r="X60" i="51"/>
  <c r="BO60" i="51" s="1"/>
  <c r="U60" i="51"/>
  <c r="BL60" i="51" s="1"/>
  <c r="AL60" i="73"/>
  <c r="G38" i="84"/>
  <c r="G41" i="84" s="1"/>
  <c r="AE170" i="50"/>
  <c r="BP170" i="50"/>
  <c r="AD190" i="50"/>
  <c r="BP190" i="50" s="1"/>
  <c r="AK59" i="53"/>
  <c r="CN59" i="53" s="1"/>
  <c r="V108" i="85" s="1"/>
  <c r="J11" i="51"/>
  <c r="BA11" i="51" s="1"/>
  <c r="P22" i="84"/>
  <c r="P45" i="84"/>
  <c r="CJ29" i="60"/>
  <c r="AM62" i="60"/>
  <c r="CO29" i="60"/>
  <c r="AR62" i="60"/>
  <c r="CE60" i="53"/>
  <c r="I19" i="84"/>
  <c r="F38" i="84"/>
  <c r="F39" i="84" s="1"/>
  <c r="CQ29" i="60"/>
  <c r="AT62" i="60"/>
  <c r="AQ24" i="60"/>
  <c r="CN29" i="60"/>
  <c r="AQ62" i="60"/>
  <c r="CM29" i="60"/>
  <c r="AP62" i="60"/>
  <c r="H38" i="84"/>
  <c r="H41" i="84" s="1"/>
  <c r="CP29" i="60"/>
  <c r="AS62" i="60"/>
  <c r="N33" i="79"/>
  <c r="N33" i="84"/>
  <c r="H22" i="79"/>
  <c r="H22" i="84"/>
  <c r="N40" i="84"/>
  <c r="N39" i="84"/>
  <c r="P38" i="84"/>
  <c r="AE33" i="78"/>
  <c r="AE33" i="83"/>
  <c r="E23" i="79"/>
  <c r="E23" i="84"/>
  <c r="D23" i="79"/>
  <c r="D23" i="84"/>
  <c r="G23" i="79"/>
  <c r="G23" i="84"/>
  <c r="C12" i="79"/>
  <c r="C12" i="84"/>
  <c r="D34" i="79"/>
  <c r="D34" i="84"/>
  <c r="K18" i="84"/>
  <c r="K17" i="84"/>
  <c r="N41" i="84"/>
  <c r="M41" i="84"/>
  <c r="M33" i="79"/>
  <c r="M33" i="84"/>
  <c r="V60" i="51"/>
  <c r="BM60" i="51" s="1"/>
  <c r="AB33" i="78"/>
  <c r="AB33" i="83"/>
  <c r="M11" i="79"/>
  <c r="M11" i="84"/>
  <c r="N34" i="79"/>
  <c r="N34" i="84"/>
  <c r="L12" i="79"/>
  <c r="L12" i="84"/>
  <c r="C22" i="79"/>
  <c r="C22" i="84"/>
  <c r="F23" i="79"/>
  <c r="F23" i="84"/>
  <c r="O27" i="79"/>
  <c r="F29" i="84"/>
  <c r="C38" i="84"/>
  <c r="C41" i="84" s="1"/>
  <c r="I41" i="84"/>
  <c r="K41" i="84"/>
  <c r="E29" i="84"/>
  <c r="E28" i="84"/>
  <c r="L11" i="79"/>
  <c r="L11" i="84"/>
  <c r="N11" i="79"/>
  <c r="N11" i="84"/>
  <c r="J28" i="84"/>
  <c r="J29" i="84"/>
  <c r="AD33" i="78"/>
  <c r="AD33" i="83"/>
  <c r="AB32" i="78"/>
  <c r="AB32" i="83"/>
  <c r="K34" i="79"/>
  <c r="K34" i="84"/>
  <c r="I11" i="79"/>
  <c r="I11" i="84"/>
  <c r="J34" i="79"/>
  <c r="J34" i="84"/>
  <c r="H12" i="79"/>
  <c r="H12" i="84"/>
  <c r="M34" i="79"/>
  <c r="M34" i="84"/>
  <c r="K11" i="79"/>
  <c r="K11" i="84"/>
  <c r="L33" i="79"/>
  <c r="L33" i="84"/>
  <c r="N12" i="79"/>
  <c r="N12" i="84"/>
  <c r="P23" i="84"/>
  <c r="D38" i="84"/>
  <c r="L29" i="84"/>
  <c r="L28" i="84"/>
  <c r="O7" i="84"/>
  <c r="C23" i="79"/>
  <c r="C23" i="84"/>
  <c r="L39" i="84"/>
  <c r="K39" i="84"/>
  <c r="K40" i="84"/>
  <c r="J41" i="84"/>
  <c r="J39" i="84"/>
  <c r="J40" i="84"/>
  <c r="G33" i="79"/>
  <c r="G33" i="84"/>
  <c r="I12" i="79"/>
  <c r="I12" i="84"/>
  <c r="J33" i="79"/>
  <c r="J33" i="84"/>
  <c r="H11" i="79"/>
  <c r="H11" i="84"/>
  <c r="I33" i="79"/>
  <c r="I33" i="84"/>
  <c r="K12" i="79"/>
  <c r="K12" i="84"/>
  <c r="L34" i="79"/>
  <c r="L34" i="84"/>
  <c r="J11" i="79"/>
  <c r="J11" i="84"/>
  <c r="D22" i="79"/>
  <c r="D22" i="84"/>
  <c r="BA60" i="73"/>
  <c r="M19" i="84"/>
  <c r="M18" i="84"/>
  <c r="M17" i="84"/>
  <c r="N17" i="84"/>
  <c r="N18" i="84"/>
  <c r="P16" i="84"/>
  <c r="M12" i="79"/>
  <c r="M12" i="84"/>
  <c r="K11" i="51"/>
  <c r="BB11" i="51" s="1"/>
  <c r="G34" i="79"/>
  <c r="G34" i="84"/>
  <c r="E11" i="79"/>
  <c r="E11" i="84"/>
  <c r="F34" i="79"/>
  <c r="F34" i="84"/>
  <c r="D12" i="79"/>
  <c r="D12" i="84"/>
  <c r="I34" i="79"/>
  <c r="I34" i="84"/>
  <c r="G11" i="79"/>
  <c r="G11" i="84"/>
  <c r="H33" i="79"/>
  <c r="H33" i="84"/>
  <c r="J12" i="79"/>
  <c r="J12" i="84"/>
  <c r="E22" i="79"/>
  <c r="E22" i="84"/>
  <c r="AV24" i="60"/>
  <c r="M39" i="84"/>
  <c r="M40" i="84"/>
  <c r="N19" i="84"/>
  <c r="N29" i="84"/>
  <c r="L19" i="84"/>
  <c r="K19" i="84"/>
  <c r="D29" i="84"/>
  <c r="D28" i="84"/>
  <c r="AG32" i="78"/>
  <c r="AG32" i="83"/>
  <c r="K33" i="79"/>
  <c r="K33" i="84"/>
  <c r="F22" i="79"/>
  <c r="F22" i="84"/>
  <c r="C33" i="79"/>
  <c r="C33" i="84"/>
  <c r="E12" i="79"/>
  <c r="E12" i="84"/>
  <c r="F33" i="79"/>
  <c r="F33" i="84"/>
  <c r="D11" i="79"/>
  <c r="D11" i="84"/>
  <c r="E33" i="79"/>
  <c r="E33" i="84"/>
  <c r="G12" i="79"/>
  <c r="G12" i="84"/>
  <c r="H34" i="79"/>
  <c r="H34" i="84"/>
  <c r="F11" i="79"/>
  <c r="F11" i="84"/>
  <c r="G22" i="79"/>
  <c r="G22" i="84"/>
  <c r="AH60" i="53"/>
  <c r="L41" i="84"/>
  <c r="L40" i="84"/>
  <c r="H28" i="84"/>
  <c r="O28" i="84" s="1"/>
  <c r="H29" i="84"/>
  <c r="O27" i="84"/>
  <c r="G28" i="84"/>
  <c r="G29" i="84"/>
  <c r="J19" i="84"/>
  <c r="O6" i="84"/>
  <c r="J17" i="84"/>
  <c r="J18" i="84"/>
  <c r="AG33" i="78"/>
  <c r="AG33" i="83"/>
  <c r="AD32" i="78"/>
  <c r="AD32" i="83"/>
  <c r="AF32" i="78"/>
  <c r="AF32" i="83"/>
  <c r="C34" i="79"/>
  <c r="C34" i="84"/>
  <c r="H23" i="79"/>
  <c r="H23" i="84"/>
  <c r="E34" i="79"/>
  <c r="E34" i="84"/>
  <c r="C11" i="79"/>
  <c r="C11" i="84"/>
  <c r="D33" i="79"/>
  <c r="D33" i="84"/>
  <c r="F12" i="79"/>
  <c r="F12" i="84"/>
  <c r="K28" i="84"/>
  <c r="K29" i="84"/>
  <c r="P27" i="84"/>
  <c r="N28" i="84"/>
  <c r="M28" i="84"/>
  <c r="M29" i="84"/>
  <c r="P6" i="84"/>
  <c r="L18" i="84"/>
  <c r="L17" i="84"/>
  <c r="AM59" i="53"/>
  <c r="CP59" i="53" s="1"/>
  <c r="X108" i="85" s="1"/>
  <c r="W60" i="51"/>
  <c r="BN60" i="51" s="1"/>
  <c r="BB60" i="73"/>
  <c r="CI60" i="73" s="1"/>
  <c r="CL60" i="53"/>
  <c r="BD60" i="73"/>
  <c r="CJ60" i="73" s="1"/>
  <c r="AU60" i="73"/>
  <c r="CE60" i="73" s="1"/>
  <c r="BE60" i="73"/>
  <c r="AY60" i="73"/>
  <c r="G11" i="51"/>
  <c r="AX11" i="51" s="1"/>
  <c r="AX60" i="73"/>
  <c r="CG60" i="73" s="1"/>
  <c r="H11" i="51"/>
  <c r="AY11" i="51" s="1"/>
  <c r="AZ60" i="73"/>
  <c r="CH60" i="73" s="1"/>
  <c r="L8" i="79"/>
  <c r="BI50" i="60"/>
  <c r="L8" i="84" s="1"/>
  <c r="E19" i="79"/>
  <c r="BN50" i="60"/>
  <c r="E19" i="84" s="1"/>
  <c r="D19" i="79"/>
  <c r="BM50" i="60"/>
  <c r="D19" i="84" s="1"/>
  <c r="K8" i="79"/>
  <c r="BH50" i="60"/>
  <c r="K8" i="84" s="1"/>
  <c r="BY35" i="50"/>
  <c r="G85" i="85" s="1"/>
  <c r="AP26" i="7"/>
  <c r="AN56" i="53"/>
  <c r="G85" i="67"/>
  <c r="AM281" i="50"/>
  <c r="BY281" i="50" s="1"/>
  <c r="AQ67" i="51"/>
  <c r="CH67" i="51" s="1"/>
  <c r="CH74" i="51"/>
  <c r="BU67" i="50"/>
  <c r="AJ67" i="50"/>
  <c r="BQ117" i="50"/>
  <c r="AF117" i="50"/>
  <c r="BR117" i="50" s="1"/>
  <c r="P79" i="51"/>
  <c r="BG83" i="51"/>
  <c r="O79" i="51"/>
  <c r="BF83" i="51"/>
  <c r="H19" i="79"/>
  <c r="BQ50" i="60"/>
  <c r="H19" i="84" s="1"/>
  <c r="J79" i="51"/>
  <c r="BA79" i="51" s="1"/>
  <c r="BA83" i="51"/>
  <c r="K67" i="51"/>
  <c r="BB67" i="51" s="1"/>
  <c r="BB74" i="51"/>
  <c r="I8" i="79"/>
  <c r="BF50" i="60"/>
  <c r="I8" i="84" s="1"/>
  <c r="N8" i="79"/>
  <c r="BK50" i="60"/>
  <c r="N8" i="84" s="1"/>
  <c r="M8" i="79"/>
  <c r="M10" i="79" s="1"/>
  <c r="BJ50" i="60"/>
  <c r="M8" i="84" s="1"/>
  <c r="H8" i="79"/>
  <c r="BE50" i="60"/>
  <c r="H8" i="84" s="1"/>
  <c r="AG60" i="53"/>
  <c r="CK60" i="53" s="1"/>
  <c r="R79" i="51"/>
  <c r="BI83" i="51"/>
  <c r="AL157" i="50"/>
  <c r="BW157" i="50"/>
  <c r="AJ71" i="50"/>
  <c r="BU71" i="50"/>
  <c r="C19" i="79"/>
  <c r="BL50" i="60"/>
  <c r="C19" i="84" s="1"/>
  <c r="H67" i="51"/>
  <c r="AY67" i="51" s="1"/>
  <c r="AY74" i="51"/>
  <c r="AR67" i="51"/>
  <c r="CI67" i="51" s="1"/>
  <c r="CI74" i="51"/>
  <c r="BG30" i="51"/>
  <c r="P11" i="51"/>
  <c r="BG11" i="51" s="1"/>
  <c r="I79" i="51"/>
  <c r="AZ79" i="51" s="1"/>
  <c r="AZ83" i="51"/>
  <c r="E8" i="79"/>
  <c r="BB50" i="60"/>
  <c r="E8" i="84" s="1"/>
  <c r="J8" i="79"/>
  <c r="BG50" i="60"/>
  <c r="J8" i="84" s="1"/>
  <c r="F8" i="79"/>
  <c r="BC50" i="60"/>
  <c r="F8" i="84" s="1"/>
  <c r="D8" i="79"/>
  <c r="BA50" i="60"/>
  <c r="D8" i="84" s="1"/>
  <c r="BW35" i="50"/>
  <c r="E85" i="85" s="1"/>
  <c r="AL56" i="53"/>
  <c r="AK281" i="50"/>
  <c r="BW281" i="50" s="1"/>
  <c r="AN26" i="7"/>
  <c r="E85" i="67"/>
  <c r="F67" i="51"/>
  <c r="AW74" i="51"/>
  <c r="BI30" i="51"/>
  <c r="R11" i="51"/>
  <c r="BI11" i="51" s="1"/>
  <c r="AM116" i="50"/>
  <c r="BY116" i="50" s="1"/>
  <c r="BX116" i="50"/>
  <c r="F79" i="51"/>
  <c r="AW79" i="51" s="1"/>
  <c r="AW83" i="51"/>
  <c r="G79" i="51"/>
  <c r="AX79" i="51" s="1"/>
  <c r="AX83" i="51"/>
  <c r="G8" i="79"/>
  <c r="BD50" i="60"/>
  <c r="G8" i="84" s="1"/>
  <c r="N30" i="79"/>
  <c r="CC50" i="60"/>
  <c r="N30" i="84" s="1"/>
  <c r="C8" i="79"/>
  <c r="AZ50" i="60"/>
  <c r="C8" i="84" s="1"/>
  <c r="I67" i="51"/>
  <c r="AZ67" i="51" s="1"/>
  <c r="AZ74" i="51"/>
  <c r="BF30" i="51"/>
  <c r="O11" i="51"/>
  <c r="BF11" i="51" s="1"/>
  <c r="BH30" i="51"/>
  <c r="Q11" i="51"/>
  <c r="BH11" i="51" s="1"/>
  <c r="AL30" i="67"/>
  <c r="I55" i="49"/>
  <c r="AL30" i="85" s="1"/>
  <c r="G19" i="79"/>
  <c r="H20" i="79" s="1"/>
  <c r="BP50" i="60"/>
  <c r="G19" i="84" s="1"/>
  <c r="E65" i="67"/>
  <c r="BP111" i="50"/>
  <c r="E65" i="85" s="1"/>
  <c r="K30" i="79"/>
  <c r="BZ50" i="60"/>
  <c r="K30" i="84" s="1"/>
  <c r="L30" i="79"/>
  <c r="CA50" i="60"/>
  <c r="L30" i="84" s="1"/>
  <c r="J30" i="79"/>
  <c r="P30" i="79" s="1"/>
  <c r="BY50" i="60"/>
  <c r="J30" i="84" s="1"/>
  <c r="AU54" i="60"/>
  <c r="CM54" i="60"/>
  <c r="H79" i="51"/>
  <c r="AY79" i="51" s="1"/>
  <c r="AY83" i="51"/>
  <c r="J67" i="51"/>
  <c r="BA67" i="51" s="1"/>
  <c r="BA74" i="51"/>
  <c r="AE158" i="50"/>
  <c r="BP158" i="50"/>
  <c r="AD178" i="50"/>
  <c r="BP178" i="50" s="1"/>
  <c r="M79" i="51"/>
  <c r="BD83" i="51"/>
  <c r="AM125" i="50"/>
  <c r="BY125" i="50" s="1"/>
  <c r="BX125" i="50"/>
  <c r="AS67" i="51"/>
  <c r="CJ67" i="51" s="1"/>
  <c r="CJ74" i="51"/>
  <c r="AO67" i="51"/>
  <c r="CF67" i="51" s="1"/>
  <c r="CF74" i="51"/>
  <c r="F85" i="67"/>
  <c r="AM56" i="53"/>
  <c r="BX35" i="50"/>
  <c r="F85" i="85" s="1"/>
  <c r="AO26" i="7"/>
  <c r="AL281" i="50"/>
  <c r="BX281" i="50" s="1"/>
  <c r="BU70" i="50"/>
  <c r="AJ70" i="50"/>
  <c r="AI69" i="50"/>
  <c r="BU69" i="50" s="1"/>
  <c r="BE30" i="51"/>
  <c r="N11" i="51"/>
  <c r="BE11" i="51" s="1"/>
  <c r="AM127" i="50"/>
  <c r="BY127" i="50" s="1"/>
  <c r="BX127" i="50"/>
  <c r="AP67" i="51"/>
  <c r="CG67" i="51" s="1"/>
  <c r="CG74" i="51"/>
  <c r="H30" i="79"/>
  <c r="BW50" i="60"/>
  <c r="H30" i="84" s="1"/>
  <c r="M30" i="79"/>
  <c r="CB50" i="60"/>
  <c r="M30" i="84" s="1"/>
  <c r="I30" i="79"/>
  <c r="BX50" i="60"/>
  <c r="I30" i="84" s="1"/>
  <c r="G30" i="79"/>
  <c r="BV50" i="60"/>
  <c r="G30" i="84" s="1"/>
  <c r="BT38" i="50"/>
  <c r="AH35" i="50"/>
  <c r="BV35" i="50"/>
  <c r="D85" i="85" s="1"/>
  <c r="AK56" i="53"/>
  <c r="AM26" i="7"/>
  <c r="AJ281" i="50"/>
  <c r="BV281" i="50" s="1"/>
  <c r="D85" i="67"/>
  <c r="AT67" i="51"/>
  <c r="CK67" i="51" s="1"/>
  <c r="CK74" i="51"/>
  <c r="BD30" i="51"/>
  <c r="M11" i="51"/>
  <c r="BD11" i="51" s="1"/>
  <c r="C30" i="79"/>
  <c r="BR50" i="60"/>
  <c r="C30" i="84" s="1"/>
  <c r="K79" i="51"/>
  <c r="BB79" i="51" s="1"/>
  <c r="BB83" i="51"/>
  <c r="D30" i="79"/>
  <c r="BS50" i="60"/>
  <c r="D30" i="84" s="1"/>
  <c r="F30" i="79"/>
  <c r="BU50" i="60"/>
  <c r="F30" i="84" s="1"/>
  <c r="E30" i="79"/>
  <c r="E31" i="79" s="1"/>
  <c r="BT50" i="60"/>
  <c r="E30" i="84" s="1"/>
  <c r="F19" i="79"/>
  <c r="BO50" i="60"/>
  <c r="F19" i="84" s="1"/>
  <c r="BT65" i="50"/>
  <c r="AI65" i="50"/>
  <c r="AH63" i="50"/>
  <c r="N79" i="51"/>
  <c r="BE83" i="51"/>
  <c r="BU72" i="50"/>
  <c r="AJ72" i="50"/>
  <c r="AJ66" i="50"/>
  <c r="BU66" i="50"/>
  <c r="Q79" i="51"/>
  <c r="BH83" i="51"/>
  <c r="C60" i="73"/>
  <c r="BG60" i="73" s="1"/>
  <c r="BJ60" i="53"/>
  <c r="N60" i="73"/>
  <c r="BM60" i="73" s="1"/>
  <c r="BQ60" i="53"/>
  <c r="AL167" i="50"/>
  <c r="BW167" i="50"/>
  <c r="AF182" i="50"/>
  <c r="BR182" i="50" s="1"/>
  <c r="D56" i="49"/>
  <c r="D67" i="67"/>
  <c r="BO151" i="50"/>
  <c r="D67" i="85" s="1"/>
  <c r="AF164" i="50"/>
  <c r="BQ164" i="50"/>
  <c r="AE184" i="50"/>
  <c r="BQ184" i="50" s="1"/>
  <c r="BP156" i="50"/>
  <c r="AE156" i="50"/>
  <c r="AD176" i="50"/>
  <c r="BP176" i="50" s="1"/>
  <c r="AM165" i="50"/>
  <c r="BY165" i="50" s="1"/>
  <c r="BX165" i="50"/>
  <c r="C68" i="67"/>
  <c r="BN171" i="50"/>
  <c r="C68" i="85" s="1"/>
  <c r="AM161" i="50"/>
  <c r="BY161" i="50" s="1"/>
  <c r="BX161" i="50"/>
  <c r="AC60" i="50"/>
  <c r="BO60" i="50" s="1"/>
  <c r="D62" i="85" s="1"/>
  <c r="BO69" i="50"/>
  <c r="AM156" i="50"/>
  <c r="BY156" i="50" s="1"/>
  <c r="BX156" i="50"/>
  <c r="AF167" i="50"/>
  <c r="BR167" i="50" s="1"/>
  <c r="BQ167" i="50"/>
  <c r="AF71" i="50"/>
  <c r="BR71" i="50" s="1"/>
  <c r="BQ71" i="50"/>
  <c r="AE165" i="50"/>
  <c r="BP165" i="50"/>
  <c r="I78" i="62"/>
  <c r="AY78" i="62"/>
  <c r="E11" i="51"/>
  <c r="AV11" i="51" s="1"/>
  <c r="AV18" i="51"/>
  <c r="AD185" i="50"/>
  <c r="BP185" i="50" s="1"/>
  <c r="D91" i="67"/>
  <c r="BV151" i="50"/>
  <c r="D91" i="85" s="1"/>
  <c r="AM158" i="50"/>
  <c r="BY158" i="50" s="1"/>
  <c r="BX158" i="50"/>
  <c r="AM164" i="50"/>
  <c r="BY164" i="50" s="1"/>
  <c r="BX164" i="50"/>
  <c r="AM154" i="50"/>
  <c r="BY154" i="50" s="1"/>
  <c r="AC171" i="50"/>
  <c r="BO173" i="50"/>
  <c r="I70" i="62"/>
  <c r="AY70" i="62"/>
  <c r="P45" i="79"/>
  <c r="P27" i="79"/>
  <c r="AW27" i="60"/>
  <c r="AU29" i="60"/>
  <c r="P44" i="79"/>
  <c r="P5" i="79"/>
  <c r="P22" i="79"/>
  <c r="O5" i="79"/>
  <c r="AW25" i="60"/>
  <c r="AU9" i="60"/>
  <c r="O16" i="79"/>
  <c r="O44" i="79"/>
  <c r="R60" i="53"/>
  <c r="Q60" i="53"/>
  <c r="BW60" i="53" s="1"/>
  <c r="R60" i="73"/>
  <c r="D28" i="79"/>
  <c r="C38" i="79"/>
  <c r="C41" i="79" s="1"/>
  <c r="AM25" i="60"/>
  <c r="Q60" i="73"/>
  <c r="BO60" i="73" s="1"/>
  <c r="V60" i="73"/>
  <c r="S60" i="73"/>
  <c r="BP60" i="73" s="1"/>
  <c r="U60" i="73"/>
  <c r="BQ60" i="73" s="1"/>
  <c r="P60" i="73"/>
  <c r="T60" i="73"/>
  <c r="I16" i="79"/>
  <c r="I19" i="79" s="1"/>
  <c r="G29" i="79"/>
  <c r="G28" i="79"/>
  <c r="N6" i="79"/>
  <c r="N7" i="79"/>
  <c r="N38" i="79"/>
  <c r="L16" i="79"/>
  <c r="F38" i="79"/>
  <c r="F7" i="79"/>
  <c r="F6" i="79"/>
  <c r="J28" i="79"/>
  <c r="J29" i="79"/>
  <c r="K28" i="79"/>
  <c r="K29" i="79"/>
  <c r="O60" i="73"/>
  <c r="BN60" i="73" s="1"/>
  <c r="AS25" i="60"/>
  <c r="M7" i="79"/>
  <c r="M6" i="79"/>
  <c r="M38" i="79"/>
  <c r="L7" i="79"/>
  <c r="L6" i="79"/>
  <c r="L38" i="79"/>
  <c r="H29" i="79"/>
  <c r="H28" i="79"/>
  <c r="I38" i="79"/>
  <c r="I41" i="79" s="1"/>
  <c r="D17" i="79"/>
  <c r="D18" i="79"/>
  <c r="Q37" i="2"/>
  <c r="AC32" i="78"/>
  <c r="G17" i="79"/>
  <c r="G18" i="79"/>
  <c r="G6" i="79"/>
  <c r="G7" i="79"/>
  <c r="M16" i="79"/>
  <c r="G38" i="79"/>
  <c r="E18" i="79"/>
  <c r="E17" i="79"/>
  <c r="AQ25" i="60"/>
  <c r="AP25" i="60"/>
  <c r="F17" i="79"/>
  <c r="F18" i="79"/>
  <c r="J38" i="79"/>
  <c r="J6" i="79"/>
  <c r="J7" i="79"/>
  <c r="D29" i="79"/>
  <c r="F28" i="79"/>
  <c r="F29" i="79"/>
  <c r="AT25" i="60"/>
  <c r="N28" i="79"/>
  <c r="N29" i="79"/>
  <c r="M29" i="79"/>
  <c r="M28" i="79"/>
  <c r="E29" i="79"/>
  <c r="E28" i="79"/>
  <c r="K6" i="79"/>
  <c r="K7" i="79"/>
  <c r="K38" i="79"/>
  <c r="K16" i="79"/>
  <c r="E38" i="79"/>
  <c r="E6" i="79"/>
  <c r="E7" i="79"/>
  <c r="H17" i="79"/>
  <c r="H18" i="79"/>
  <c r="D7" i="79"/>
  <c r="J16" i="79"/>
  <c r="D38" i="79"/>
  <c r="D6" i="79"/>
  <c r="L29" i="79"/>
  <c r="L28" i="79"/>
  <c r="AR25" i="60"/>
  <c r="N16" i="79"/>
  <c r="H6" i="79"/>
  <c r="H38" i="79"/>
  <c r="H7" i="79"/>
  <c r="AU59" i="73"/>
  <c r="CE59" i="73" s="1"/>
  <c r="T108" i="67"/>
  <c r="AJ59" i="73"/>
  <c r="BY59" i="73" s="1"/>
  <c r="T84" i="67"/>
  <c r="R37" i="2"/>
  <c r="V38" i="2"/>
  <c r="U37" i="2"/>
  <c r="V37" i="2"/>
  <c r="S38" i="2"/>
  <c r="H37" i="2"/>
  <c r="AE32" i="83" s="1"/>
  <c r="F38" i="2"/>
  <c r="AC33" i="83" s="1"/>
  <c r="I38" i="2"/>
  <c r="AF33" i="83" s="1"/>
  <c r="D51" i="60"/>
  <c r="AR27" i="60"/>
  <c r="AT27" i="60"/>
  <c r="X60" i="73"/>
  <c r="W60" i="73"/>
  <c r="BR60" i="73" s="1"/>
  <c r="AI51" i="60"/>
  <c r="AI52" i="60"/>
  <c r="G52" i="60"/>
  <c r="G51" i="60"/>
  <c r="T52" i="60"/>
  <c r="T51" i="60"/>
  <c r="AF51" i="60"/>
  <c r="AF52" i="60"/>
  <c r="AL51" i="60"/>
  <c r="AL52" i="60"/>
  <c r="AK51" i="60"/>
  <c r="AK52" i="60"/>
  <c r="L52" i="60"/>
  <c r="L51" i="60"/>
  <c r="Q51" i="60"/>
  <c r="Q52" i="60"/>
  <c r="AD52" i="60"/>
  <c r="AD51" i="60"/>
  <c r="P52" i="60"/>
  <c r="P51" i="60"/>
  <c r="K52" i="60"/>
  <c r="K51" i="60"/>
  <c r="S51" i="60"/>
  <c r="S52" i="60"/>
  <c r="AC51" i="60"/>
  <c r="AC52" i="60"/>
  <c r="AH52" i="60"/>
  <c r="AH51" i="60"/>
  <c r="AB51" i="60"/>
  <c r="AB52" i="60"/>
  <c r="Z52" i="60"/>
  <c r="Z51" i="60"/>
  <c r="AE51" i="60"/>
  <c r="AE52" i="60"/>
  <c r="N51" i="60"/>
  <c r="N52" i="60"/>
  <c r="M52" i="60"/>
  <c r="M51" i="60"/>
  <c r="Y52" i="60"/>
  <c r="Y51" i="60"/>
  <c r="H51" i="60"/>
  <c r="H52" i="60"/>
  <c r="D52" i="60"/>
  <c r="AJ52" i="60"/>
  <c r="AJ51" i="60"/>
  <c r="V52" i="60"/>
  <c r="V51" i="60"/>
  <c r="E51" i="60"/>
  <c r="E52" i="60"/>
  <c r="X52" i="60"/>
  <c r="X51" i="60"/>
  <c r="J52" i="60"/>
  <c r="J51" i="60"/>
  <c r="W51" i="60"/>
  <c r="W52" i="60"/>
  <c r="F51" i="60"/>
  <c r="F52" i="60"/>
  <c r="R51" i="60"/>
  <c r="R52" i="60"/>
  <c r="AR50" i="60"/>
  <c r="AR63" i="60"/>
  <c r="AM50" i="60"/>
  <c r="AM63" i="60"/>
  <c r="AS50" i="60"/>
  <c r="AS63" i="60"/>
  <c r="AT50" i="60"/>
  <c r="AT63" i="60"/>
  <c r="AP50" i="60"/>
  <c r="AP63" i="60"/>
  <c r="AQ50" i="60"/>
  <c r="AQ63" i="60"/>
  <c r="BC60" i="53"/>
  <c r="AW60" i="53"/>
  <c r="AN59" i="53"/>
  <c r="AF59" i="53"/>
  <c r="AL153" i="50"/>
  <c r="BX153" i="50" s="1"/>
  <c r="AK151" i="50"/>
  <c r="G60" i="62"/>
  <c r="AX60" i="62" s="1"/>
  <c r="I69" i="62"/>
  <c r="AZ69" i="62" s="1"/>
  <c r="H67" i="62"/>
  <c r="AY67" i="62" s="1"/>
  <c r="H99" i="62"/>
  <c r="AY99" i="62" s="1"/>
  <c r="I101" i="62"/>
  <c r="AZ101" i="62" s="1"/>
  <c r="AF125" i="50"/>
  <c r="BR125" i="50" s="1"/>
  <c r="AE153" i="50"/>
  <c r="BQ153" i="50" s="1"/>
  <c r="AD151" i="50"/>
  <c r="AD173" i="50"/>
  <c r="AD69" i="50"/>
  <c r="AE70" i="50"/>
  <c r="BQ70" i="50" s="1"/>
  <c r="AF161" i="50"/>
  <c r="AE181" i="50"/>
  <c r="BQ181" i="50" s="1"/>
  <c r="AF127" i="50"/>
  <c r="AE187" i="50"/>
  <c r="BQ187" i="50" s="1"/>
  <c r="AF154" i="50"/>
  <c r="AE174" i="50"/>
  <c r="BQ174" i="50" s="1"/>
  <c r="AE111" i="50"/>
  <c r="AF65" i="50"/>
  <c r="AE63" i="50"/>
  <c r="BQ63" i="50" s="1"/>
  <c r="F40" i="84" l="1"/>
  <c r="O38" i="84"/>
  <c r="AP27" i="60"/>
  <c r="AK59" i="73"/>
  <c r="BZ59" i="73" s="1"/>
  <c r="AG59" i="53"/>
  <c r="CK59" i="53" s="1"/>
  <c r="AL59" i="73"/>
  <c r="BA59" i="73"/>
  <c r="U84" i="67"/>
  <c r="CO59" i="53"/>
  <c r="W108" i="85" s="1"/>
  <c r="P12" i="79"/>
  <c r="O12" i="79"/>
  <c r="AH59" i="53"/>
  <c r="AZ59" i="73"/>
  <c r="CH59" i="73" s="1"/>
  <c r="F20" i="79"/>
  <c r="AQ59" i="73"/>
  <c r="CC59" i="73" s="1"/>
  <c r="AR59" i="73"/>
  <c r="V108" i="67"/>
  <c r="AN59" i="73"/>
  <c r="G21" i="79"/>
  <c r="CI59" i="53"/>
  <c r="X84" i="85" s="1"/>
  <c r="CG59" i="53"/>
  <c r="V84" i="85" s="1"/>
  <c r="P16" i="79"/>
  <c r="AM59" i="73"/>
  <c r="CA59" i="73" s="1"/>
  <c r="D20" i="79"/>
  <c r="O20" i="79" s="1"/>
  <c r="BB59" i="73"/>
  <c r="CI59" i="73" s="1"/>
  <c r="O34" i="79"/>
  <c r="AQ27" i="60"/>
  <c r="O23" i="84"/>
  <c r="X108" i="67"/>
  <c r="M31" i="79"/>
  <c r="AS27" i="60"/>
  <c r="CP50" i="60"/>
  <c r="CN50" i="60"/>
  <c r="CQ50" i="60"/>
  <c r="CJ50" i="60"/>
  <c r="K9" i="79"/>
  <c r="E21" i="79"/>
  <c r="CO50" i="60"/>
  <c r="AM27" i="60"/>
  <c r="P11" i="79"/>
  <c r="AU24" i="60"/>
  <c r="K60" i="51"/>
  <c r="BB60" i="51" s="1"/>
  <c r="G32" i="79"/>
  <c r="L31" i="79"/>
  <c r="H21" i="79"/>
  <c r="O19" i="79"/>
  <c r="O29" i="84"/>
  <c r="BC59" i="73"/>
  <c r="L42" i="84"/>
  <c r="O11" i="79"/>
  <c r="I60" i="51"/>
  <c r="AZ60" i="51" s="1"/>
  <c r="G20" i="79"/>
  <c r="D21" i="79"/>
  <c r="G60" i="51"/>
  <c r="AX60" i="51" s="1"/>
  <c r="F21" i="79"/>
  <c r="F41" i="84"/>
  <c r="F43" i="84" s="1"/>
  <c r="O23" i="79"/>
  <c r="BP157" i="50"/>
  <c r="AD177" i="50"/>
  <c r="BP177" i="50" s="1"/>
  <c r="AE157" i="50"/>
  <c r="E20" i="79"/>
  <c r="H31" i="79"/>
  <c r="N10" i="79"/>
  <c r="AP59" i="73"/>
  <c r="AX59" i="73"/>
  <c r="CG59" i="73" s="1"/>
  <c r="CH59" i="53"/>
  <c r="W84" i="85" s="1"/>
  <c r="M9" i="79"/>
  <c r="AO59" i="73"/>
  <c r="CB59" i="73" s="1"/>
  <c r="AY59" i="73"/>
  <c r="P18" i="84"/>
  <c r="H39" i="84"/>
  <c r="G39" i="84"/>
  <c r="D9" i="79"/>
  <c r="G10" i="79"/>
  <c r="F10" i="79"/>
  <c r="BQ170" i="50"/>
  <c r="AF170" i="50"/>
  <c r="AE190" i="50"/>
  <c r="BQ190" i="50" s="1"/>
  <c r="AC282" i="50"/>
  <c r="BO282" i="50" s="1"/>
  <c r="D10" i="79"/>
  <c r="J60" i="51"/>
  <c r="H10" i="79"/>
  <c r="K31" i="79"/>
  <c r="N31" i="79"/>
  <c r="G31" i="79"/>
  <c r="H9" i="79"/>
  <c r="E32" i="79"/>
  <c r="F32" i="84"/>
  <c r="L10" i="84"/>
  <c r="CM50" i="60"/>
  <c r="AU51" i="60"/>
  <c r="K32" i="79"/>
  <c r="P28" i="84"/>
  <c r="J10" i="79"/>
  <c r="J9" i="79"/>
  <c r="P33" i="79"/>
  <c r="L10" i="79"/>
  <c r="D32" i="79"/>
  <c r="G20" i="84"/>
  <c r="O22" i="79"/>
  <c r="P12" i="84"/>
  <c r="O12" i="84"/>
  <c r="P34" i="79"/>
  <c r="D31" i="79"/>
  <c r="H32" i="79"/>
  <c r="O34" i="84"/>
  <c r="L32" i="79"/>
  <c r="N9" i="79"/>
  <c r="M32" i="84"/>
  <c r="M31" i="84"/>
  <c r="P8" i="84"/>
  <c r="N10" i="84"/>
  <c r="N9" i="84"/>
  <c r="H20" i="84"/>
  <c r="O19" i="84"/>
  <c r="H21" i="84"/>
  <c r="P17" i="84"/>
  <c r="O11" i="84"/>
  <c r="E40" i="84"/>
  <c r="P30" i="84"/>
  <c r="N31" i="84"/>
  <c r="N32" i="84"/>
  <c r="F31" i="84"/>
  <c r="G10" i="84"/>
  <c r="G9" i="84"/>
  <c r="E10" i="84"/>
  <c r="E9" i="84"/>
  <c r="L9" i="84"/>
  <c r="K9" i="84"/>
  <c r="K10" i="84"/>
  <c r="M42" i="84"/>
  <c r="M43" i="84"/>
  <c r="E39" i="84"/>
  <c r="L21" i="84"/>
  <c r="L20" i="84"/>
  <c r="H32" i="84"/>
  <c r="H31" i="84"/>
  <c r="O30" i="84"/>
  <c r="E10" i="79"/>
  <c r="M10" i="84"/>
  <c r="K10" i="79"/>
  <c r="J21" i="84"/>
  <c r="J20" i="84"/>
  <c r="H43" i="84"/>
  <c r="H42" i="84"/>
  <c r="M21" i="84"/>
  <c r="M20" i="84"/>
  <c r="P41" i="84"/>
  <c r="N42" i="84"/>
  <c r="N43" i="84"/>
  <c r="P39" i="84"/>
  <c r="G40" i="84"/>
  <c r="D31" i="84"/>
  <c r="O31" i="84" s="1"/>
  <c r="D32" i="84"/>
  <c r="J31" i="84"/>
  <c r="J32" i="84"/>
  <c r="D9" i="84"/>
  <c r="D10" i="84"/>
  <c r="G21" i="84"/>
  <c r="D20" i="84"/>
  <c r="D21" i="84"/>
  <c r="P19" i="84"/>
  <c r="N21" i="84"/>
  <c r="N20" i="84"/>
  <c r="O33" i="84"/>
  <c r="G43" i="84"/>
  <c r="P29" i="84"/>
  <c r="K43" i="84"/>
  <c r="K42" i="84"/>
  <c r="P40" i="84"/>
  <c r="J10" i="84"/>
  <c r="J9" i="84"/>
  <c r="J32" i="79"/>
  <c r="G32" i="84"/>
  <c r="G31" i="84"/>
  <c r="H9" i="84"/>
  <c r="H10" i="84"/>
  <c r="O8" i="84"/>
  <c r="O33" i="79"/>
  <c r="J43" i="84"/>
  <c r="J42" i="84"/>
  <c r="L43" i="84"/>
  <c r="O22" i="84"/>
  <c r="J31" i="79"/>
  <c r="N32" i="79"/>
  <c r="P32" i="79" s="1"/>
  <c r="F20" i="84"/>
  <c r="F21" i="84"/>
  <c r="L32" i="84"/>
  <c r="L31" i="84"/>
  <c r="F10" i="84"/>
  <c r="F9" i="84"/>
  <c r="E20" i="84"/>
  <c r="E21" i="84"/>
  <c r="E43" i="84"/>
  <c r="D41" i="84"/>
  <c r="O41" i="84" s="1"/>
  <c r="D39" i="84"/>
  <c r="D40" i="84"/>
  <c r="P11" i="84"/>
  <c r="H40" i="84"/>
  <c r="E31" i="84"/>
  <c r="E32" i="84"/>
  <c r="K32" i="84"/>
  <c r="K31" i="84"/>
  <c r="M9" i="84"/>
  <c r="K20" i="84"/>
  <c r="K21" i="84"/>
  <c r="P34" i="84"/>
  <c r="P33" i="84"/>
  <c r="L9" i="79"/>
  <c r="G9" i="79"/>
  <c r="F32" i="79"/>
  <c r="F31" i="79"/>
  <c r="E9" i="79"/>
  <c r="F9" i="79"/>
  <c r="H60" i="51"/>
  <c r="AY60" i="51" s="1"/>
  <c r="M32" i="79"/>
  <c r="P8" i="79"/>
  <c r="BE79" i="51"/>
  <c r="N60" i="51"/>
  <c r="BE60" i="51" s="1"/>
  <c r="BD79" i="51"/>
  <c r="M60" i="51"/>
  <c r="BT63" i="50"/>
  <c r="AH60" i="50"/>
  <c r="BT35" i="50"/>
  <c r="AH281" i="50"/>
  <c r="BT281" i="50" s="1"/>
  <c r="BI79" i="51"/>
  <c r="R60" i="51"/>
  <c r="BI60" i="51" s="1"/>
  <c r="D55" i="49"/>
  <c r="J56" i="49"/>
  <c r="BH79" i="51"/>
  <c r="Q60" i="51"/>
  <c r="BH60" i="51" s="1"/>
  <c r="BU65" i="50"/>
  <c r="AJ65" i="50"/>
  <c r="AJ63" i="50" s="1"/>
  <c r="AI63" i="50"/>
  <c r="O30" i="79"/>
  <c r="BV70" i="50"/>
  <c r="AK70" i="50"/>
  <c r="AJ69" i="50"/>
  <c r="BV69" i="50" s="1"/>
  <c r="BF79" i="51"/>
  <c r="O60" i="51"/>
  <c r="BF60" i="51" s="1"/>
  <c r="F65" i="67"/>
  <c r="BQ111" i="50"/>
  <c r="F65" i="85" s="1"/>
  <c r="AE178" i="50"/>
  <c r="BQ178" i="50" s="1"/>
  <c r="AF158" i="50"/>
  <c r="BQ158" i="50"/>
  <c r="AW67" i="51"/>
  <c r="F60" i="51"/>
  <c r="AK66" i="50"/>
  <c r="BV66" i="50"/>
  <c r="O8" i="79"/>
  <c r="BG79" i="51"/>
  <c r="P60" i="51"/>
  <c r="BG60" i="51" s="1"/>
  <c r="AK72" i="50"/>
  <c r="BV72" i="50"/>
  <c r="CL26" i="7"/>
  <c r="AO27" i="7"/>
  <c r="CL27" i="7" s="1"/>
  <c r="AN27" i="7"/>
  <c r="CK27" i="7" s="1"/>
  <c r="CK26" i="7"/>
  <c r="BV71" i="50"/>
  <c r="AK71" i="50"/>
  <c r="BD56" i="73"/>
  <c r="CJ56" i="73" s="1"/>
  <c r="Y105" i="67"/>
  <c r="AA105" i="67" s="1"/>
  <c r="CQ56" i="53"/>
  <c r="Y105" i="85" s="1"/>
  <c r="AA105" i="85" s="1"/>
  <c r="BE56" i="73"/>
  <c r="AF187" i="50"/>
  <c r="BR187" i="50" s="1"/>
  <c r="BR127" i="50"/>
  <c r="CJ26" i="7"/>
  <c r="AM27" i="7"/>
  <c r="CJ27" i="7" s="1"/>
  <c r="CM26" i="7"/>
  <c r="AP27" i="7"/>
  <c r="CM27" i="7" s="1"/>
  <c r="V105" i="67"/>
  <c r="CN56" i="53"/>
  <c r="V105" i="85" s="1"/>
  <c r="AY56" i="73"/>
  <c r="AX56" i="73"/>
  <c r="CG56" i="73" s="1"/>
  <c r="BB56" i="73"/>
  <c r="CI56" i="73" s="1"/>
  <c r="CP56" i="53"/>
  <c r="X105" i="85" s="1"/>
  <c r="BC56" i="73"/>
  <c r="X105" i="67"/>
  <c r="BA56" i="73"/>
  <c r="AZ56" i="73"/>
  <c r="CH56" i="73" s="1"/>
  <c r="W105" i="67"/>
  <c r="CO56" i="53"/>
  <c r="W105" i="85" s="1"/>
  <c r="AM157" i="50"/>
  <c r="BY157" i="50" s="1"/>
  <c r="BX157" i="50"/>
  <c r="AK67" i="50"/>
  <c r="BV67" i="50"/>
  <c r="Y84" i="67"/>
  <c r="AA84" i="67" s="1"/>
  <c r="CJ59" i="53"/>
  <c r="Y84" i="85" s="1"/>
  <c r="AA84" i="85" s="1"/>
  <c r="Y108" i="67"/>
  <c r="AA108" i="67" s="1"/>
  <c r="CQ59" i="53"/>
  <c r="Y108" i="85" s="1"/>
  <c r="AA108" i="85" s="1"/>
  <c r="AW59" i="53"/>
  <c r="CY59" i="53" s="1"/>
  <c r="CY60" i="53"/>
  <c r="BC59" i="53"/>
  <c r="DE59" i="53" s="1"/>
  <c r="DE60" i="53"/>
  <c r="AM167" i="50"/>
  <c r="BY167" i="50" s="1"/>
  <c r="BX167" i="50"/>
  <c r="AF181" i="50"/>
  <c r="BR181" i="50" s="1"/>
  <c r="BR161" i="50"/>
  <c r="AF63" i="50"/>
  <c r="BR63" i="50" s="1"/>
  <c r="BR65" i="50"/>
  <c r="D68" i="67"/>
  <c r="BO171" i="50"/>
  <c r="D68" i="85" s="1"/>
  <c r="AD60" i="50"/>
  <c r="BP60" i="50" s="1"/>
  <c r="E62" i="85" s="1"/>
  <c r="BP69" i="50"/>
  <c r="AF165" i="50"/>
  <c r="BR165" i="50" s="1"/>
  <c r="BQ165" i="50"/>
  <c r="AF156" i="50"/>
  <c r="BQ156" i="50"/>
  <c r="AE176" i="50"/>
  <c r="BQ176" i="50" s="1"/>
  <c r="BP173" i="50"/>
  <c r="D62" i="67"/>
  <c r="AF174" i="50"/>
  <c r="BR174" i="50" s="1"/>
  <c r="BR154" i="50"/>
  <c r="E67" i="67"/>
  <c r="BP151" i="50"/>
  <c r="E67" i="85" s="1"/>
  <c r="E56" i="49"/>
  <c r="AE185" i="50"/>
  <c r="BQ185" i="50" s="1"/>
  <c r="J70" i="62"/>
  <c r="AZ70" i="62"/>
  <c r="BR164" i="50"/>
  <c r="AF184" i="50"/>
  <c r="BR184" i="50" s="1"/>
  <c r="E91" i="67"/>
  <c r="BW151" i="50"/>
  <c r="E91" i="85" s="1"/>
  <c r="J78" i="62"/>
  <c r="AZ78" i="62"/>
  <c r="Z84" i="67"/>
  <c r="O38" i="79"/>
  <c r="AU25" i="60"/>
  <c r="O7" i="79"/>
  <c r="O28" i="79"/>
  <c r="P28" i="79"/>
  <c r="O29" i="79"/>
  <c r="O18" i="79"/>
  <c r="P29" i="79"/>
  <c r="AW9" i="60"/>
  <c r="AV9" i="60"/>
  <c r="O6" i="79"/>
  <c r="P38" i="79"/>
  <c r="P7" i="79"/>
  <c r="P6" i="79"/>
  <c r="AS51" i="60"/>
  <c r="O17" i="79"/>
  <c r="AR51" i="60"/>
  <c r="AT51" i="60"/>
  <c r="AQ51" i="60"/>
  <c r="AP51" i="60"/>
  <c r="AP52" i="60"/>
  <c r="AQ52" i="60"/>
  <c r="AN51" i="60"/>
  <c r="AN52" i="60"/>
  <c r="AO52" i="60"/>
  <c r="N19" i="79"/>
  <c r="N17" i="79"/>
  <c r="N18" i="79"/>
  <c r="D41" i="79"/>
  <c r="D39" i="79"/>
  <c r="D40" i="79"/>
  <c r="K19" i="79"/>
  <c r="K17" i="79"/>
  <c r="K18" i="79"/>
  <c r="G40" i="79"/>
  <c r="G39" i="79"/>
  <c r="G41" i="79"/>
  <c r="L19" i="79"/>
  <c r="L18" i="79"/>
  <c r="L17" i="79"/>
  <c r="J19" i="79"/>
  <c r="J17" i="79"/>
  <c r="J18" i="79"/>
  <c r="K39" i="79"/>
  <c r="K40" i="79"/>
  <c r="K41" i="79"/>
  <c r="J41" i="79"/>
  <c r="J43" i="79" s="1"/>
  <c r="J39" i="79"/>
  <c r="J40" i="79"/>
  <c r="M17" i="79"/>
  <c r="M18" i="79"/>
  <c r="M19" i="79"/>
  <c r="N39" i="79"/>
  <c r="N40" i="79"/>
  <c r="N41" i="79"/>
  <c r="S37" i="2"/>
  <c r="AE32" i="78"/>
  <c r="T38" i="2"/>
  <c r="AF33" i="78"/>
  <c r="T37" i="2"/>
  <c r="H39" i="79"/>
  <c r="H40" i="79"/>
  <c r="H41" i="79"/>
  <c r="M41" i="79"/>
  <c r="M39" i="79"/>
  <c r="M40" i="79"/>
  <c r="Q38" i="2"/>
  <c r="AC33" i="78"/>
  <c r="E39" i="79"/>
  <c r="E40" i="79"/>
  <c r="E41" i="79"/>
  <c r="L41" i="79"/>
  <c r="L40" i="79"/>
  <c r="L39" i="79"/>
  <c r="F39" i="79"/>
  <c r="F40" i="79"/>
  <c r="F41" i="79"/>
  <c r="U38" i="2"/>
  <c r="R38" i="2"/>
  <c r="BD59" i="73"/>
  <c r="CJ59" i="73" s="1"/>
  <c r="BE59" i="73"/>
  <c r="AT59" i="73"/>
  <c r="AS59" i="73"/>
  <c r="CD59" i="73" s="1"/>
  <c r="H60" i="62"/>
  <c r="AY60" i="62" s="1"/>
  <c r="AS52" i="60"/>
  <c r="AR52" i="60"/>
  <c r="AT52" i="60"/>
  <c r="J101" i="62"/>
  <c r="BA101" i="62" s="1"/>
  <c r="I99" i="62"/>
  <c r="AZ99" i="62" s="1"/>
  <c r="J69" i="62"/>
  <c r="BA69" i="62" s="1"/>
  <c r="I67" i="62"/>
  <c r="AZ67" i="62" s="1"/>
  <c r="AM153" i="50"/>
  <c r="AL151" i="50"/>
  <c r="AF70" i="50"/>
  <c r="BR70" i="50" s="1"/>
  <c r="AE69" i="50"/>
  <c r="AF153" i="50"/>
  <c r="BR153" i="50" s="1"/>
  <c r="AE151" i="50"/>
  <c r="AE173" i="50"/>
  <c r="AF111" i="50"/>
  <c r="O39" i="84" l="1"/>
  <c r="AU27" i="60"/>
  <c r="P10" i="79"/>
  <c r="O9" i="79"/>
  <c r="O21" i="79"/>
  <c r="I111" i="51"/>
  <c r="P54" i="50" s="1"/>
  <c r="BB54" i="50" s="1"/>
  <c r="J112" i="51"/>
  <c r="X43" i="50" s="1"/>
  <c r="BJ43" i="50" s="1"/>
  <c r="BA60" i="51"/>
  <c r="O39" i="79"/>
  <c r="AD171" i="50"/>
  <c r="E68" i="67" s="1"/>
  <c r="F42" i="84"/>
  <c r="G42" i="84"/>
  <c r="J111" i="51"/>
  <c r="Q140" i="50" s="1"/>
  <c r="BC140" i="50" s="1"/>
  <c r="O32" i="79"/>
  <c r="BQ157" i="50"/>
  <c r="AF157" i="50"/>
  <c r="AE177" i="50"/>
  <c r="BQ177" i="50" s="1"/>
  <c r="G110" i="51"/>
  <c r="G43" i="50" s="1"/>
  <c r="AS43" i="50" s="1"/>
  <c r="G112" i="51"/>
  <c r="U134" i="50" s="1"/>
  <c r="BG134" i="50" s="1"/>
  <c r="O31" i="79"/>
  <c r="O10" i="79"/>
  <c r="I110" i="51"/>
  <c r="I137" i="50" s="1"/>
  <c r="AU137" i="50" s="1"/>
  <c r="P31" i="79"/>
  <c r="BR170" i="50"/>
  <c r="AF190" i="50"/>
  <c r="BR190" i="50" s="1"/>
  <c r="O32" i="84"/>
  <c r="P20" i="84"/>
  <c r="O10" i="84"/>
  <c r="P9" i="79"/>
  <c r="H110" i="51"/>
  <c r="H142" i="50" s="1"/>
  <c r="AT142" i="50" s="1"/>
  <c r="H111" i="51"/>
  <c r="O37" i="50" s="1"/>
  <c r="BA37" i="50" s="1"/>
  <c r="P32" i="84"/>
  <c r="O20" i="84"/>
  <c r="P31" i="84"/>
  <c r="P9" i="84"/>
  <c r="P10" i="84"/>
  <c r="D42" i="84"/>
  <c r="O42" i="84" s="1"/>
  <c r="D43" i="84"/>
  <c r="O43" i="84" s="1"/>
  <c r="P43" i="84"/>
  <c r="E42" i="84"/>
  <c r="O9" i="84"/>
  <c r="P42" i="84"/>
  <c r="P21" i="84"/>
  <c r="O21" i="84"/>
  <c r="I112" i="51"/>
  <c r="O40" i="84"/>
  <c r="O40" i="79"/>
  <c r="BD60" i="51"/>
  <c r="F111" i="51"/>
  <c r="AL67" i="50"/>
  <c r="BW67" i="50"/>
  <c r="K110" i="51"/>
  <c r="BU63" i="50"/>
  <c r="AI60" i="50"/>
  <c r="E55" i="49"/>
  <c r="K56" i="49"/>
  <c r="AL66" i="50"/>
  <c r="BW66" i="50"/>
  <c r="BV65" i="50"/>
  <c r="AK65" i="50"/>
  <c r="G65" i="67"/>
  <c r="BR111" i="50"/>
  <c r="G65" i="85" s="1"/>
  <c r="K111" i="51"/>
  <c r="R143" i="50" s="1"/>
  <c r="BD143" i="50" s="1"/>
  <c r="BV63" i="50"/>
  <c r="AJ60" i="50"/>
  <c r="P145" i="50"/>
  <c r="BB145" i="50" s="1"/>
  <c r="AW60" i="51"/>
  <c r="F112" i="51"/>
  <c r="F110" i="51"/>
  <c r="BT60" i="50"/>
  <c r="C70" i="49"/>
  <c r="AH282" i="50"/>
  <c r="BT282" i="50" s="1"/>
  <c r="BW72" i="50"/>
  <c r="AL72" i="50"/>
  <c r="J110" i="51"/>
  <c r="J42" i="50" s="1"/>
  <c r="AV42" i="50" s="1"/>
  <c r="K112" i="51"/>
  <c r="Y149" i="50" s="1"/>
  <c r="BK149" i="50" s="1"/>
  <c r="AL71" i="50"/>
  <c r="BW71" i="50"/>
  <c r="BW70" i="50"/>
  <c r="AL70" i="50"/>
  <c r="AK69" i="50"/>
  <c r="BW69" i="50" s="1"/>
  <c r="BR158" i="50"/>
  <c r="AF178" i="50"/>
  <c r="BR178" i="50" s="1"/>
  <c r="AM30" i="67"/>
  <c r="J55" i="49"/>
  <c r="AM30" i="85" s="1"/>
  <c r="H112" i="51"/>
  <c r="G111" i="51"/>
  <c r="AF185" i="50"/>
  <c r="BR185" i="50" s="1"/>
  <c r="AD282" i="50"/>
  <c r="BP282" i="50" s="1"/>
  <c r="BR156" i="50"/>
  <c r="AF176" i="50"/>
  <c r="BR176" i="50" s="1"/>
  <c r="F56" i="49"/>
  <c r="K78" i="62"/>
  <c r="BA78" i="62"/>
  <c r="BQ173" i="50"/>
  <c r="AE60" i="50"/>
  <c r="BQ60" i="50" s="1"/>
  <c r="F62" i="85" s="1"/>
  <c r="BQ69" i="50"/>
  <c r="F67" i="67"/>
  <c r="BQ151" i="50"/>
  <c r="F67" i="85" s="1"/>
  <c r="K70" i="62"/>
  <c r="BA70" i="62"/>
  <c r="E62" i="67"/>
  <c r="F91" i="67"/>
  <c r="BX151" i="50"/>
  <c r="F91" i="85" s="1"/>
  <c r="AM151" i="50"/>
  <c r="BY153" i="50"/>
  <c r="X59" i="50"/>
  <c r="BJ59" i="50" s="1"/>
  <c r="X137" i="50"/>
  <c r="BJ137" i="50" s="1"/>
  <c r="X141" i="50"/>
  <c r="BJ141" i="50" s="1"/>
  <c r="P37" i="50"/>
  <c r="BB37" i="50" s="1"/>
  <c r="X41" i="50"/>
  <c r="BJ41" i="50" s="1"/>
  <c r="X138" i="50"/>
  <c r="BJ138" i="50" s="1"/>
  <c r="X142" i="50"/>
  <c r="BJ142" i="50" s="1"/>
  <c r="X140" i="50"/>
  <c r="BJ140" i="50" s="1"/>
  <c r="P41" i="79"/>
  <c r="X148" i="50"/>
  <c r="BJ148" i="50" s="1"/>
  <c r="X42" i="50"/>
  <c r="BJ42" i="50" s="1"/>
  <c r="X36" i="50"/>
  <c r="BJ36" i="50" s="1"/>
  <c r="X51" i="50"/>
  <c r="BJ51" i="50" s="1"/>
  <c r="X53" i="50"/>
  <c r="BJ53" i="50" s="1"/>
  <c r="P150" i="50"/>
  <c r="BB150" i="50" s="1"/>
  <c r="P36" i="50"/>
  <c r="BB36" i="50" s="1"/>
  <c r="P140" i="50"/>
  <c r="BB140" i="50" s="1"/>
  <c r="X54" i="50"/>
  <c r="BJ54" i="50" s="1"/>
  <c r="X48" i="50"/>
  <c r="BJ48" i="50" s="1"/>
  <c r="X57" i="50"/>
  <c r="BJ57" i="50" s="1"/>
  <c r="X56" i="50"/>
  <c r="BJ56" i="50" s="1"/>
  <c r="X146" i="50"/>
  <c r="BJ146" i="50" s="1"/>
  <c r="P46" i="50"/>
  <c r="BB46" i="50" s="1"/>
  <c r="O41" i="79"/>
  <c r="P18" i="79"/>
  <c r="P17" i="79"/>
  <c r="P19" i="79"/>
  <c r="P40" i="79"/>
  <c r="P39" i="79"/>
  <c r="P42" i="50"/>
  <c r="BB42" i="50" s="1"/>
  <c r="I132" i="50"/>
  <c r="AU132" i="50" s="1"/>
  <c r="O145" i="50"/>
  <c r="BA145" i="50" s="1"/>
  <c r="I42" i="50"/>
  <c r="AU42" i="50" s="1"/>
  <c r="U136" i="50"/>
  <c r="I40" i="50"/>
  <c r="AU40" i="50" s="1"/>
  <c r="I135" i="50"/>
  <c r="AU135" i="50" s="1"/>
  <c r="I37" i="50"/>
  <c r="AU37" i="50" s="1"/>
  <c r="I54" i="50"/>
  <c r="AU54" i="50" s="1"/>
  <c r="I53" i="50"/>
  <c r="AU53" i="50" s="1"/>
  <c r="I139" i="50"/>
  <c r="AU139" i="50" s="1"/>
  <c r="I36" i="50"/>
  <c r="AU36" i="50" s="1"/>
  <c r="I49" i="50"/>
  <c r="AU49" i="50" s="1"/>
  <c r="I134" i="50"/>
  <c r="AU134" i="50" s="1"/>
  <c r="I51" i="50"/>
  <c r="AU51" i="50" s="1"/>
  <c r="I48" i="50"/>
  <c r="AU48" i="50" s="1"/>
  <c r="I59" i="50"/>
  <c r="AU59" i="50" s="1"/>
  <c r="I46" i="50"/>
  <c r="AU46" i="50" s="1"/>
  <c r="I143" i="50"/>
  <c r="AU143" i="50" s="1"/>
  <c r="I47" i="50"/>
  <c r="AU47" i="50" s="1"/>
  <c r="P137" i="50"/>
  <c r="BB137" i="50" s="1"/>
  <c r="P139" i="50"/>
  <c r="BB139" i="50" s="1"/>
  <c r="P51" i="50"/>
  <c r="BB51" i="50" s="1"/>
  <c r="P52" i="50"/>
  <c r="BB52" i="50" s="1"/>
  <c r="P39" i="50"/>
  <c r="BB39" i="50" s="1"/>
  <c r="P50" i="50"/>
  <c r="BB50" i="50" s="1"/>
  <c r="P59" i="50"/>
  <c r="BB59" i="50" s="1"/>
  <c r="P41" i="50"/>
  <c r="BB41" i="50" s="1"/>
  <c r="P146" i="50"/>
  <c r="BB146" i="50" s="1"/>
  <c r="P56" i="50"/>
  <c r="BB56" i="50" s="1"/>
  <c r="P58" i="50"/>
  <c r="BB58" i="50" s="1"/>
  <c r="P142" i="50"/>
  <c r="BB142" i="50" s="1"/>
  <c r="P132" i="50"/>
  <c r="BB132" i="50" s="1"/>
  <c r="P136" i="50"/>
  <c r="BB136" i="50" s="1"/>
  <c r="P138" i="50"/>
  <c r="BB138" i="50" s="1"/>
  <c r="P149" i="50"/>
  <c r="BB149" i="50" s="1"/>
  <c r="P141" i="50"/>
  <c r="BB141" i="50" s="1"/>
  <c r="P43" i="50"/>
  <c r="BB43" i="50" s="1"/>
  <c r="P57" i="50"/>
  <c r="BB57" i="50" s="1"/>
  <c r="P49" i="50"/>
  <c r="BB49" i="50" s="1"/>
  <c r="P48" i="50"/>
  <c r="BB48" i="50" s="1"/>
  <c r="P135" i="50"/>
  <c r="BB135" i="50" s="1"/>
  <c r="P147" i="50"/>
  <c r="BB147" i="50" s="1"/>
  <c r="P53" i="50"/>
  <c r="BB53" i="50" s="1"/>
  <c r="P55" i="50"/>
  <c r="BB55" i="50" s="1"/>
  <c r="P47" i="50"/>
  <c r="BB47" i="50" s="1"/>
  <c r="P133" i="50"/>
  <c r="BB133" i="50" s="1"/>
  <c r="P134" i="50"/>
  <c r="BB134" i="50" s="1"/>
  <c r="P148" i="50"/>
  <c r="BB148" i="50" s="1"/>
  <c r="P143" i="50"/>
  <c r="BB143" i="50" s="1"/>
  <c r="P40" i="50"/>
  <c r="BB40" i="50" s="1"/>
  <c r="I142" i="50"/>
  <c r="AU142" i="50" s="1"/>
  <c r="L42" i="79"/>
  <c r="L43" i="79"/>
  <c r="H43" i="79"/>
  <c r="H42" i="79"/>
  <c r="N43" i="79"/>
  <c r="P43" i="79" s="1"/>
  <c r="N42" i="79"/>
  <c r="G42" i="79"/>
  <c r="G43" i="79"/>
  <c r="D43" i="79"/>
  <c r="D42" i="79"/>
  <c r="E42" i="79"/>
  <c r="E43" i="79"/>
  <c r="K42" i="79"/>
  <c r="K43" i="79"/>
  <c r="K21" i="79"/>
  <c r="K20" i="79"/>
  <c r="J21" i="79"/>
  <c r="J20" i="79"/>
  <c r="L21" i="79"/>
  <c r="L20" i="79"/>
  <c r="F42" i="79"/>
  <c r="F43" i="79"/>
  <c r="M42" i="79"/>
  <c r="M43" i="79"/>
  <c r="M20" i="79"/>
  <c r="M21" i="79"/>
  <c r="J42" i="79"/>
  <c r="N21" i="79"/>
  <c r="N20" i="79"/>
  <c r="O139" i="50"/>
  <c r="BA139" i="50" s="1"/>
  <c r="O57" i="50"/>
  <c r="BA57" i="50" s="1"/>
  <c r="O150" i="50"/>
  <c r="BA150" i="50" s="1"/>
  <c r="O143" i="50"/>
  <c r="BA143" i="50" s="1"/>
  <c r="H59" i="50"/>
  <c r="AT59" i="50" s="1"/>
  <c r="O54" i="50"/>
  <c r="BA54" i="50" s="1"/>
  <c r="O138" i="50"/>
  <c r="BA138" i="50" s="1"/>
  <c r="O56" i="50"/>
  <c r="BA56" i="50" s="1"/>
  <c r="H49" i="50"/>
  <c r="AT49" i="50" s="1"/>
  <c r="O43" i="50"/>
  <c r="BA43" i="50" s="1"/>
  <c r="O51" i="50"/>
  <c r="BA51" i="50" s="1"/>
  <c r="O136" i="50"/>
  <c r="O48" i="50"/>
  <c r="BA48" i="50" s="1"/>
  <c r="O53" i="50"/>
  <c r="BA53" i="50" s="1"/>
  <c r="H50" i="50"/>
  <c r="AT50" i="50" s="1"/>
  <c r="H43" i="50"/>
  <c r="AT43" i="50" s="1"/>
  <c r="H138" i="50"/>
  <c r="AT138" i="50" s="1"/>
  <c r="H36" i="50"/>
  <c r="AT36" i="50" s="1"/>
  <c r="H147" i="50"/>
  <c r="AT147" i="50" s="1"/>
  <c r="H144" i="50"/>
  <c r="AT144" i="50" s="1"/>
  <c r="H58" i="50"/>
  <c r="AT58" i="50" s="1"/>
  <c r="H51" i="50"/>
  <c r="AT51" i="50" s="1"/>
  <c r="H139" i="50"/>
  <c r="AT139" i="50" s="1"/>
  <c r="H56" i="50"/>
  <c r="AT56" i="50" s="1"/>
  <c r="H133" i="50"/>
  <c r="AT133" i="50" s="1"/>
  <c r="H52" i="50"/>
  <c r="AT52" i="50" s="1"/>
  <c r="H54" i="50"/>
  <c r="AT54" i="50" s="1"/>
  <c r="H134" i="50"/>
  <c r="AT134" i="50" s="1"/>
  <c r="H48" i="50"/>
  <c r="AT48" i="50" s="1"/>
  <c r="H137" i="50"/>
  <c r="AT137" i="50" s="1"/>
  <c r="H55" i="50"/>
  <c r="AT55" i="50" s="1"/>
  <c r="H135" i="50"/>
  <c r="AT135" i="50" s="1"/>
  <c r="U149" i="50"/>
  <c r="U143" i="50"/>
  <c r="R137" i="50"/>
  <c r="BD137" i="50" s="1"/>
  <c r="R42" i="50"/>
  <c r="BD42" i="50" s="1"/>
  <c r="R141" i="50"/>
  <c r="BD141" i="50" s="1"/>
  <c r="R145" i="50"/>
  <c r="BD145" i="50" s="1"/>
  <c r="R37" i="50"/>
  <c r="BD37" i="50" s="1"/>
  <c r="R52" i="50"/>
  <c r="BD52" i="50" s="1"/>
  <c r="R50" i="50"/>
  <c r="BD50" i="50" s="1"/>
  <c r="R40" i="50"/>
  <c r="BD40" i="50" s="1"/>
  <c r="R48" i="50"/>
  <c r="BD48" i="50" s="1"/>
  <c r="R49" i="50"/>
  <c r="BD49" i="50" s="1"/>
  <c r="U54" i="50"/>
  <c r="R144" i="50"/>
  <c r="BD144" i="50" s="1"/>
  <c r="R139" i="50"/>
  <c r="BD139" i="50" s="1"/>
  <c r="R133" i="50"/>
  <c r="BD133" i="50" s="1"/>
  <c r="R46" i="50"/>
  <c r="BD46" i="50" s="1"/>
  <c r="R132" i="50"/>
  <c r="BD132" i="50" s="1"/>
  <c r="U142" i="50"/>
  <c r="U37" i="50"/>
  <c r="R136" i="50"/>
  <c r="BD136" i="50" s="1"/>
  <c r="R150" i="50"/>
  <c r="BD150" i="50" s="1"/>
  <c r="R53" i="50"/>
  <c r="BD53" i="50" s="1"/>
  <c r="R134" i="50"/>
  <c r="BD134" i="50" s="1"/>
  <c r="U43" i="50"/>
  <c r="U53" i="50"/>
  <c r="U59" i="50"/>
  <c r="U139" i="50"/>
  <c r="U132" i="50"/>
  <c r="G113" i="51"/>
  <c r="G53" i="50"/>
  <c r="G36" i="50"/>
  <c r="G51" i="50"/>
  <c r="G42" i="50"/>
  <c r="G145" i="50"/>
  <c r="Y138" i="50"/>
  <c r="BK138" i="50" s="1"/>
  <c r="U36" i="50"/>
  <c r="U145" i="50"/>
  <c r="U140" i="50"/>
  <c r="U150" i="50"/>
  <c r="U55" i="50"/>
  <c r="U148" i="50"/>
  <c r="G39" i="50"/>
  <c r="G149" i="50"/>
  <c r="G141" i="50"/>
  <c r="G144" i="50"/>
  <c r="G46" i="50"/>
  <c r="G37" i="50"/>
  <c r="U138" i="50"/>
  <c r="U137" i="50"/>
  <c r="U52" i="50"/>
  <c r="U51" i="50"/>
  <c r="G52" i="50"/>
  <c r="G142" i="50"/>
  <c r="G55" i="50"/>
  <c r="G148" i="50"/>
  <c r="G138" i="50"/>
  <c r="G134" i="50"/>
  <c r="G146" i="50"/>
  <c r="Y57" i="50"/>
  <c r="BK57" i="50" s="1"/>
  <c r="Y150" i="50"/>
  <c r="BK150" i="50" s="1"/>
  <c r="Y142" i="50"/>
  <c r="BK142" i="50" s="1"/>
  <c r="Y47" i="50"/>
  <c r="BK47" i="50" s="1"/>
  <c r="Y54" i="50"/>
  <c r="BK54" i="50" s="1"/>
  <c r="K69" i="62"/>
  <c r="BB69" i="62" s="1"/>
  <c r="J67" i="62"/>
  <c r="BA67" i="62" s="1"/>
  <c r="I60" i="62"/>
  <c r="AZ60" i="62" s="1"/>
  <c r="J51" i="50"/>
  <c r="AV51" i="50" s="1"/>
  <c r="J99" i="62"/>
  <c r="BA99" i="62" s="1"/>
  <c r="K101" i="62"/>
  <c r="BB101" i="62" s="1"/>
  <c r="AF151" i="50"/>
  <c r="AF173" i="50"/>
  <c r="AF69" i="50"/>
  <c r="D35" i="58"/>
  <c r="AE171" i="50" l="1"/>
  <c r="F68" i="67" s="1"/>
  <c r="X143" i="50"/>
  <c r="BJ143" i="50" s="1"/>
  <c r="X150" i="50"/>
  <c r="BJ150" i="50" s="1"/>
  <c r="X134" i="50"/>
  <c r="BJ134" i="50" s="1"/>
  <c r="X40" i="50"/>
  <c r="BJ40" i="50" s="1"/>
  <c r="X133" i="50"/>
  <c r="BJ133" i="50" s="1"/>
  <c r="X149" i="50"/>
  <c r="BJ149" i="50" s="1"/>
  <c r="X49" i="50"/>
  <c r="BJ49" i="50" s="1"/>
  <c r="X50" i="50"/>
  <c r="BJ50" i="50" s="1"/>
  <c r="X39" i="50"/>
  <c r="BJ39" i="50" s="1"/>
  <c r="X37" i="50"/>
  <c r="BJ37" i="50" s="1"/>
  <c r="X147" i="50"/>
  <c r="BJ147" i="50" s="1"/>
  <c r="X46" i="50"/>
  <c r="BJ46" i="50" s="1"/>
  <c r="X145" i="50"/>
  <c r="BJ145" i="50" s="1"/>
  <c r="X55" i="50"/>
  <c r="BJ55" i="50" s="1"/>
  <c r="X132" i="50"/>
  <c r="BJ132" i="50" s="1"/>
  <c r="X47" i="50"/>
  <c r="BJ47" i="50" s="1"/>
  <c r="X52" i="50"/>
  <c r="BJ52" i="50" s="1"/>
  <c r="X144" i="50"/>
  <c r="BJ144" i="50" s="1"/>
  <c r="Q139" i="50"/>
  <c r="BC139" i="50" s="1"/>
  <c r="Q133" i="50"/>
  <c r="BC133" i="50" s="1"/>
  <c r="Q50" i="50"/>
  <c r="BC50" i="50" s="1"/>
  <c r="Y43" i="50"/>
  <c r="BK43" i="50" s="1"/>
  <c r="Y53" i="50"/>
  <c r="BK53" i="50" s="1"/>
  <c r="Y132" i="50"/>
  <c r="BK132" i="50" s="1"/>
  <c r="Q41" i="50"/>
  <c r="BC41" i="50" s="1"/>
  <c r="Q47" i="50"/>
  <c r="BC47" i="50" s="1"/>
  <c r="X135" i="50"/>
  <c r="BJ135" i="50" s="1"/>
  <c r="X139" i="50"/>
  <c r="BJ139" i="50" s="1"/>
  <c r="X58" i="50"/>
  <c r="BJ58" i="50" s="1"/>
  <c r="X136" i="50"/>
  <c r="BJ136" i="50" s="1"/>
  <c r="P144" i="50"/>
  <c r="BB144" i="50" s="1"/>
  <c r="Q43" i="50"/>
  <c r="BC43" i="50" s="1"/>
  <c r="Q37" i="50"/>
  <c r="BC37" i="50" s="1"/>
  <c r="Q39" i="50"/>
  <c r="BC39" i="50" s="1"/>
  <c r="Q147" i="50"/>
  <c r="BC147" i="50" s="1"/>
  <c r="Q137" i="50"/>
  <c r="BC137" i="50" s="1"/>
  <c r="Y55" i="50"/>
  <c r="BK55" i="50" s="1"/>
  <c r="Y46" i="50"/>
  <c r="BK46" i="50" s="1"/>
  <c r="Y48" i="50"/>
  <c r="BK48" i="50" s="1"/>
  <c r="Q56" i="50"/>
  <c r="BC56" i="50" s="1"/>
  <c r="Q136" i="50"/>
  <c r="BC136" i="50" s="1"/>
  <c r="Q58" i="50"/>
  <c r="BC58" i="50" s="1"/>
  <c r="Q145" i="50"/>
  <c r="BC145" i="50" s="1"/>
  <c r="Q135" i="50"/>
  <c r="BC135" i="50" s="1"/>
  <c r="Q42" i="50"/>
  <c r="BC42" i="50" s="1"/>
  <c r="Q48" i="50"/>
  <c r="BC48" i="50" s="1"/>
  <c r="Q132" i="50"/>
  <c r="BC132" i="50" s="1"/>
  <c r="Q134" i="50"/>
  <c r="BC134" i="50" s="1"/>
  <c r="Q51" i="50"/>
  <c r="BC51" i="50" s="1"/>
  <c r="Y39" i="50"/>
  <c r="BK39" i="50" s="1"/>
  <c r="Y146" i="50"/>
  <c r="BK146" i="50" s="1"/>
  <c r="Y141" i="50"/>
  <c r="BK141" i="50" s="1"/>
  <c r="Y41" i="50"/>
  <c r="BK41" i="50" s="1"/>
  <c r="Y134" i="50"/>
  <c r="BK134" i="50" s="1"/>
  <c r="Y144" i="50"/>
  <c r="BK144" i="50" s="1"/>
  <c r="Y140" i="50"/>
  <c r="BK140" i="50" s="1"/>
  <c r="Y148" i="50"/>
  <c r="BK148" i="50" s="1"/>
  <c r="Y52" i="50"/>
  <c r="BK52" i="50" s="1"/>
  <c r="Y136" i="50"/>
  <c r="BK136" i="50" s="1"/>
  <c r="Y42" i="50"/>
  <c r="BK42" i="50" s="1"/>
  <c r="Y145" i="50"/>
  <c r="BK145" i="50" s="1"/>
  <c r="Y51" i="50"/>
  <c r="BK51" i="50" s="1"/>
  <c r="Y40" i="50"/>
  <c r="BK40" i="50" s="1"/>
  <c r="Q144" i="50"/>
  <c r="BC144" i="50" s="1"/>
  <c r="Q148" i="50"/>
  <c r="BC148" i="50" s="1"/>
  <c r="Q138" i="50"/>
  <c r="BC138" i="50" s="1"/>
  <c r="Q54" i="50"/>
  <c r="BC54" i="50" s="1"/>
  <c r="Q36" i="50"/>
  <c r="BC36" i="50" s="1"/>
  <c r="Q150" i="50"/>
  <c r="BC150" i="50" s="1"/>
  <c r="Q49" i="50"/>
  <c r="BC49" i="50" s="1"/>
  <c r="Q40" i="50"/>
  <c r="BC40" i="50" s="1"/>
  <c r="Q59" i="50"/>
  <c r="BC59" i="50" s="1"/>
  <c r="Q46" i="50"/>
  <c r="BC46" i="50" s="1"/>
  <c r="Y137" i="50"/>
  <c r="BK137" i="50" s="1"/>
  <c r="Y139" i="50"/>
  <c r="BK139" i="50" s="1"/>
  <c r="Y49" i="50"/>
  <c r="BK49" i="50" s="1"/>
  <c r="Y59" i="50"/>
  <c r="BK59" i="50" s="1"/>
  <c r="Y135" i="50"/>
  <c r="BK135" i="50" s="1"/>
  <c r="Y133" i="50"/>
  <c r="BK133" i="50" s="1"/>
  <c r="Y37" i="50"/>
  <c r="BK37" i="50" s="1"/>
  <c r="Y143" i="50"/>
  <c r="BK143" i="50" s="1"/>
  <c r="Y147" i="50"/>
  <c r="BK147" i="50" s="1"/>
  <c r="Y58" i="50"/>
  <c r="BK58" i="50" s="1"/>
  <c r="Y50" i="50"/>
  <c r="BK50" i="50" s="1"/>
  <c r="Y36" i="50"/>
  <c r="BK36" i="50" s="1"/>
  <c r="Y56" i="50"/>
  <c r="BK56" i="50" s="1"/>
  <c r="Q53" i="50"/>
  <c r="BC53" i="50" s="1"/>
  <c r="Q146" i="50"/>
  <c r="BC146" i="50" s="1"/>
  <c r="Q57" i="50"/>
  <c r="BC57" i="50" s="1"/>
  <c r="Q55" i="50"/>
  <c r="BC55" i="50" s="1"/>
  <c r="Q149" i="50"/>
  <c r="BC149" i="50" s="1"/>
  <c r="Q142" i="50"/>
  <c r="BC142" i="50" s="1"/>
  <c r="Q143" i="50"/>
  <c r="BC143" i="50" s="1"/>
  <c r="Q141" i="50"/>
  <c r="BC141" i="50" s="1"/>
  <c r="Q52" i="50"/>
  <c r="BC52" i="50" s="1"/>
  <c r="G47" i="50"/>
  <c r="AS47" i="50" s="1"/>
  <c r="G57" i="50"/>
  <c r="AS57" i="50" s="1"/>
  <c r="G56" i="50"/>
  <c r="U58" i="50"/>
  <c r="BG58" i="50" s="1"/>
  <c r="U133" i="50"/>
  <c r="BG133" i="50" s="1"/>
  <c r="U39" i="50"/>
  <c r="BG39" i="50" s="1"/>
  <c r="G140" i="50"/>
  <c r="AS140" i="50" s="1"/>
  <c r="G41" i="50"/>
  <c r="AS41" i="50" s="1"/>
  <c r="G59" i="50"/>
  <c r="AS59" i="50" s="1"/>
  <c r="G147" i="50"/>
  <c r="AS147" i="50" s="1"/>
  <c r="U57" i="50"/>
  <c r="BG57" i="50" s="1"/>
  <c r="U47" i="50"/>
  <c r="G133" i="50"/>
  <c r="G49" i="50"/>
  <c r="G54" i="50"/>
  <c r="AS54" i="50" s="1"/>
  <c r="U50" i="50"/>
  <c r="BG50" i="50" s="1"/>
  <c r="U146" i="50"/>
  <c r="BG146" i="50" s="1"/>
  <c r="U42" i="50"/>
  <c r="BG42" i="50" s="1"/>
  <c r="R147" i="50"/>
  <c r="BD147" i="50" s="1"/>
  <c r="R58" i="50"/>
  <c r="BD58" i="50" s="1"/>
  <c r="U41" i="50"/>
  <c r="BG41" i="50" s="1"/>
  <c r="R41" i="50"/>
  <c r="BD41" i="50" s="1"/>
  <c r="R57" i="50"/>
  <c r="BD57" i="50" s="1"/>
  <c r="U135" i="50"/>
  <c r="BG135" i="50" s="1"/>
  <c r="R55" i="50"/>
  <c r="BD55" i="50" s="1"/>
  <c r="R43" i="50"/>
  <c r="BD43" i="50" s="1"/>
  <c r="R146" i="50"/>
  <c r="BD146" i="50" s="1"/>
  <c r="R59" i="50"/>
  <c r="BD59" i="50" s="1"/>
  <c r="H136" i="50"/>
  <c r="AT136" i="50" s="1"/>
  <c r="H40" i="50"/>
  <c r="AT40" i="50" s="1"/>
  <c r="H41" i="50"/>
  <c r="AT41" i="50" s="1"/>
  <c r="H150" i="50"/>
  <c r="AT150" i="50" s="1"/>
  <c r="H46" i="50"/>
  <c r="AT46" i="50" s="1"/>
  <c r="H39" i="50"/>
  <c r="AT39" i="50" s="1"/>
  <c r="H143" i="50"/>
  <c r="AT143" i="50" s="1"/>
  <c r="H53" i="50"/>
  <c r="AT53" i="50" s="1"/>
  <c r="H141" i="50"/>
  <c r="AT141" i="50" s="1"/>
  <c r="H148" i="50"/>
  <c r="AT148" i="50" s="1"/>
  <c r="O142" i="50"/>
  <c r="BA142" i="50" s="1"/>
  <c r="O41" i="50"/>
  <c r="BA41" i="50" s="1"/>
  <c r="O141" i="50"/>
  <c r="BA141" i="50" s="1"/>
  <c r="O59" i="50"/>
  <c r="BA59" i="50" s="1"/>
  <c r="O149" i="50"/>
  <c r="BA149" i="50" s="1"/>
  <c r="O137" i="50"/>
  <c r="BA137" i="50" s="1"/>
  <c r="I145" i="50"/>
  <c r="AU145" i="50" s="1"/>
  <c r="I56" i="50"/>
  <c r="AU56" i="50" s="1"/>
  <c r="I133" i="50"/>
  <c r="AU133" i="50" s="1"/>
  <c r="I144" i="50"/>
  <c r="AU144" i="50" s="1"/>
  <c r="I52" i="50"/>
  <c r="AU52" i="50" s="1"/>
  <c r="I140" i="50"/>
  <c r="AU140" i="50" s="1"/>
  <c r="I141" i="50"/>
  <c r="AU141" i="50" s="1"/>
  <c r="R39" i="50"/>
  <c r="BD39" i="50" s="1"/>
  <c r="I55" i="50"/>
  <c r="AU55" i="50" s="1"/>
  <c r="I150" i="50"/>
  <c r="AU150" i="50" s="1"/>
  <c r="O147" i="50"/>
  <c r="BA147" i="50" s="1"/>
  <c r="O47" i="50"/>
  <c r="BA47" i="50" s="1"/>
  <c r="I146" i="50"/>
  <c r="AU146" i="50" s="1"/>
  <c r="BP171" i="50"/>
  <c r="E68" i="85" s="1"/>
  <c r="I113" i="51"/>
  <c r="R142" i="50"/>
  <c r="BD142" i="50" s="1"/>
  <c r="O52" i="50"/>
  <c r="BA52" i="50" s="1"/>
  <c r="O40" i="50"/>
  <c r="BA40" i="50" s="1"/>
  <c r="G139" i="50"/>
  <c r="AS139" i="50" s="1"/>
  <c r="G136" i="50"/>
  <c r="AS136" i="50" s="1"/>
  <c r="G135" i="50"/>
  <c r="AS135" i="50" s="1"/>
  <c r="U144" i="50"/>
  <c r="U48" i="50"/>
  <c r="BG48" i="50" s="1"/>
  <c r="G48" i="50"/>
  <c r="AS48" i="50" s="1"/>
  <c r="G58" i="50"/>
  <c r="AS58" i="50" s="1"/>
  <c r="G137" i="50"/>
  <c r="G132" i="50"/>
  <c r="AS132" i="50" s="1"/>
  <c r="U147" i="50"/>
  <c r="BG147" i="50" s="1"/>
  <c r="U46" i="50"/>
  <c r="BG46" i="50" s="1"/>
  <c r="G40" i="50"/>
  <c r="G150" i="50"/>
  <c r="AS150" i="50" s="1"/>
  <c r="G143" i="50"/>
  <c r="AS143" i="50" s="1"/>
  <c r="G50" i="50"/>
  <c r="AS50" i="50" s="1"/>
  <c r="U49" i="50"/>
  <c r="BG49" i="50" s="1"/>
  <c r="U56" i="50"/>
  <c r="BG56" i="50" s="1"/>
  <c r="R51" i="50"/>
  <c r="BD51" i="50" s="1"/>
  <c r="R47" i="50"/>
  <c r="BD47" i="50" s="1"/>
  <c r="R140" i="50"/>
  <c r="BD140" i="50" s="1"/>
  <c r="R36" i="50"/>
  <c r="BD36" i="50" s="1"/>
  <c r="R56" i="50"/>
  <c r="BD56" i="50" s="1"/>
  <c r="R135" i="50"/>
  <c r="BD135" i="50" s="1"/>
  <c r="U40" i="50"/>
  <c r="BG40" i="50" s="1"/>
  <c r="R148" i="50"/>
  <c r="BD148" i="50" s="1"/>
  <c r="R149" i="50"/>
  <c r="BD149" i="50" s="1"/>
  <c r="R54" i="50"/>
  <c r="BD54" i="50" s="1"/>
  <c r="R138" i="50"/>
  <c r="BD138" i="50" s="1"/>
  <c r="U141" i="50"/>
  <c r="BG141" i="50" s="1"/>
  <c r="H42" i="50"/>
  <c r="AT42" i="50" s="1"/>
  <c r="H145" i="50"/>
  <c r="AT145" i="50" s="1"/>
  <c r="H47" i="50"/>
  <c r="AT47" i="50" s="1"/>
  <c r="H37" i="50"/>
  <c r="AT37" i="50" s="1"/>
  <c r="H140" i="50"/>
  <c r="AT140" i="50" s="1"/>
  <c r="H57" i="50"/>
  <c r="AT57" i="50" s="1"/>
  <c r="H132" i="50"/>
  <c r="AT132" i="50" s="1"/>
  <c r="H113" i="51"/>
  <c r="H149" i="50"/>
  <c r="AT149" i="50" s="1"/>
  <c r="H146" i="50"/>
  <c r="AT146" i="50" s="1"/>
  <c r="O55" i="50"/>
  <c r="BA55" i="50" s="1"/>
  <c r="O146" i="50"/>
  <c r="BA146" i="50" s="1"/>
  <c r="O140" i="50"/>
  <c r="BA140" i="50" s="1"/>
  <c r="O133" i="50"/>
  <c r="BA133" i="50" s="1"/>
  <c r="O39" i="50"/>
  <c r="BA39" i="50" s="1"/>
  <c r="O36" i="50"/>
  <c r="BA36" i="50" s="1"/>
  <c r="I136" i="50"/>
  <c r="AU136" i="50" s="1"/>
  <c r="I43" i="50"/>
  <c r="AU43" i="50" s="1"/>
  <c r="I147" i="50"/>
  <c r="AU147" i="50" s="1"/>
  <c r="I50" i="50"/>
  <c r="AU50" i="50" s="1"/>
  <c r="I138" i="50"/>
  <c r="AU138" i="50" s="1"/>
  <c r="I57" i="50"/>
  <c r="AU57" i="50" s="1"/>
  <c r="I58" i="50"/>
  <c r="AU58" i="50" s="1"/>
  <c r="I41" i="50"/>
  <c r="AU41" i="50" s="1"/>
  <c r="I148" i="50"/>
  <c r="AU148" i="50" s="1"/>
  <c r="O134" i="50"/>
  <c r="BA134" i="50" s="1"/>
  <c r="O132" i="50"/>
  <c r="BA132" i="50" s="1"/>
  <c r="I39" i="50"/>
  <c r="AU39" i="50" s="1"/>
  <c r="O50" i="50"/>
  <c r="BA50" i="50" s="1"/>
  <c r="I149" i="50"/>
  <c r="AU149" i="50" s="1"/>
  <c r="BR157" i="50"/>
  <c r="AF177" i="50"/>
  <c r="BR177" i="50" s="1"/>
  <c r="K113" i="51"/>
  <c r="O144" i="50"/>
  <c r="BA144" i="50" s="1"/>
  <c r="O135" i="50"/>
  <c r="BA135" i="50" s="1"/>
  <c r="O49" i="50"/>
  <c r="BA49" i="50" s="1"/>
  <c r="O42" i="50"/>
  <c r="BA42" i="50" s="1"/>
  <c r="O46" i="50"/>
  <c r="BA46" i="50" s="1"/>
  <c r="O58" i="50"/>
  <c r="BA58" i="50" s="1"/>
  <c r="O148" i="50"/>
  <c r="BA148" i="50" s="1"/>
  <c r="J40" i="50"/>
  <c r="AV40" i="50" s="1"/>
  <c r="F62" i="67"/>
  <c r="J113" i="51"/>
  <c r="G56" i="49"/>
  <c r="M56" i="49" s="1"/>
  <c r="AE282" i="50"/>
  <c r="BQ282" i="50" s="1"/>
  <c r="W132" i="50"/>
  <c r="W54" i="50"/>
  <c r="BI54" i="50" s="1"/>
  <c r="W133" i="50"/>
  <c r="BI133" i="50" s="1"/>
  <c r="W57" i="50"/>
  <c r="BI57" i="50" s="1"/>
  <c r="W55" i="50"/>
  <c r="BI55" i="50" s="1"/>
  <c r="W52" i="50"/>
  <c r="BI52" i="50" s="1"/>
  <c r="W144" i="50"/>
  <c r="BI144" i="50" s="1"/>
  <c r="W137" i="50"/>
  <c r="BI137" i="50" s="1"/>
  <c r="W150" i="50"/>
  <c r="BI150" i="50" s="1"/>
  <c r="W58" i="50"/>
  <c r="BI58" i="50" s="1"/>
  <c r="W136" i="50"/>
  <c r="BI136" i="50" s="1"/>
  <c r="W138" i="50"/>
  <c r="BI138" i="50" s="1"/>
  <c r="W40" i="50"/>
  <c r="BI40" i="50" s="1"/>
  <c r="W145" i="50"/>
  <c r="BI145" i="50" s="1"/>
  <c r="W139" i="50"/>
  <c r="BI139" i="50" s="1"/>
  <c r="W46" i="50"/>
  <c r="BI46" i="50" s="1"/>
  <c r="W134" i="50"/>
  <c r="BI134" i="50" s="1"/>
  <c r="W36" i="50"/>
  <c r="BI36" i="50" s="1"/>
  <c r="W42" i="50"/>
  <c r="BI42" i="50" s="1"/>
  <c r="W149" i="50"/>
  <c r="BI149" i="50" s="1"/>
  <c r="W51" i="50"/>
  <c r="BI51" i="50" s="1"/>
  <c r="W49" i="50"/>
  <c r="BI49" i="50" s="1"/>
  <c r="W56" i="50"/>
  <c r="BI56" i="50" s="1"/>
  <c r="W146" i="50"/>
  <c r="BI146" i="50" s="1"/>
  <c r="W141" i="50"/>
  <c r="BI141" i="50" s="1"/>
  <c r="W140" i="50"/>
  <c r="BI140" i="50" s="1"/>
  <c r="W59" i="50"/>
  <c r="BI59" i="50" s="1"/>
  <c r="W41" i="50"/>
  <c r="BI41" i="50" s="1"/>
  <c r="W39" i="50"/>
  <c r="W43" i="50"/>
  <c r="BI43" i="50" s="1"/>
  <c r="W135" i="50"/>
  <c r="BI135" i="50" s="1"/>
  <c r="W47" i="50"/>
  <c r="BI47" i="50" s="1"/>
  <c r="W143" i="50"/>
  <c r="BI143" i="50" s="1"/>
  <c r="W53" i="50"/>
  <c r="BI53" i="50" s="1"/>
  <c r="W142" i="50"/>
  <c r="BI142" i="50" s="1"/>
  <c r="W147" i="50"/>
  <c r="BI147" i="50" s="1"/>
  <c r="W48" i="50"/>
  <c r="BI48" i="50" s="1"/>
  <c r="W50" i="50"/>
  <c r="BI50" i="50" s="1"/>
  <c r="W148" i="50"/>
  <c r="BI148" i="50" s="1"/>
  <c r="W37" i="50"/>
  <c r="BI37" i="50" s="1"/>
  <c r="F39" i="50"/>
  <c r="F140" i="50"/>
  <c r="F132" i="50"/>
  <c r="F144" i="50"/>
  <c r="F36" i="50"/>
  <c r="F139" i="50"/>
  <c r="F56" i="50"/>
  <c r="F40" i="50"/>
  <c r="F135" i="50"/>
  <c r="F145" i="50"/>
  <c r="F48" i="50"/>
  <c r="F51" i="50"/>
  <c r="F47" i="50"/>
  <c r="F37" i="50"/>
  <c r="F142" i="50"/>
  <c r="F137" i="50"/>
  <c r="F141" i="50"/>
  <c r="F138" i="50"/>
  <c r="F54" i="50"/>
  <c r="F49" i="50"/>
  <c r="F146" i="50"/>
  <c r="F150" i="50"/>
  <c r="F113" i="51"/>
  <c r="F55" i="50"/>
  <c r="F136" i="50"/>
  <c r="F148" i="50"/>
  <c r="F52" i="50"/>
  <c r="F50" i="50"/>
  <c r="F46" i="50"/>
  <c r="F41" i="50"/>
  <c r="F43" i="50"/>
  <c r="F149" i="50"/>
  <c r="F134" i="50"/>
  <c r="F58" i="50"/>
  <c r="F143" i="50"/>
  <c r="F147" i="50"/>
  <c r="F133" i="50"/>
  <c r="F42" i="50"/>
  <c r="F53" i="50"/>
  <c r="F59" i="50"/>
  <c r="F57" i="50"/>
  <c r="BU60" i="50"/>
  <c r="C86" i="85" s="1"/>
  <c r="AI282" i="50"/>
  <c r="BU282" i="50" s="1"/>
  <c r="C86" i="67"/>
  <c r="D70" i="49"/>
  <c r="T141" i="50"/>
  <c r="T40" i="50"/>
  <c r="T148" i="50"/>
  <c r="T43" i="50"/>
  <c r="T136" i="50"/>
  <c r="T39" i="50"/>
  <c r="T135" i="50"/>
  <c r="T145" i="50"/>
  <c r="T48" i="50"/>
  <c r="T144" i="50"/>
  <c r="T37" i="50"/>
  <c r="T146" i="50"/>
  <c r="T52" i="50"/>
  <c r="T138" i="50"/>
  <c r="T57" i="50"/>
  <c r="T147" i="50"/>
  <c r="T143" i="50"/>
  <c r="T133" i="50"/>
  <c r="T137" i="50"/>
  <c r="T36" i="50"/>
  <c r="T54" i="50"/>
  <c r="T58" i="50"/>
  <c r="T47" i="50"/>
  <c r="T59" i="50"/>
  <c r="T51" i="50"/>
  <c r="T134" i="50"/>
  <c r="T149" i="50"/>
  <c r="T49" i="50"/>
  <c r="T42" i="50"/>
  <c r="T46" i="50"/>
  <c r="T132" i="50"/>
  <c r="T50" i="50"/>
  <c r="T41" i="50"/>
  <c r="T142" i="50"/>
  <c r="T56" i="50"/>
  <c r="T150" i="50"/>
  <c r="T139" i="50"/>
  <c r="T55" i="50"/>
  <c r="T140" i="50"/>
  <c r="T53" i="50"/>
  <c r="BW65" i="50"/>
  <c r="AL65" i="50"/>
  <c r="AN30" i="67"/>
  <c r="K55" i="49"/>
  <c r="AN30" i="85" s="1"/>
  <c r="J145" i="50"/>
  <c r="AV145" i="50" s="1"/>
  <c r="J150" i="50"/>
  <c r="AV150" i="50" s="1"/>
  <c r="J52" i="50"/>
  <c r="AV52" i="50" s="1"/>
  <c r="J147" i="50"/>
  <c r="AV147" i="50" s="1"/>
  <c r="J141" i="50"/>
  <c r="AV141" i="50" s="1"/>
  <c r="J136" i="50"/>
  <c r="AV136" i="50" s="1"/>
  <c r="J142" i="50"/>
  <c r="AV142" i="50" s="1"/>
  <c r="J132" i="50"/>
  <c r="J48" i="50"/>
  <c r="AV48" i="50" s="1"/>
  <c r="J36" i="50"/>
  <c r="AV36" i="50" s="1"/>
  <c r="J140" i="50"/>
  <c r="AV140" i="50" s="1"/>
  <c r="J50" i="50"/>
  <c r="AV50" i="50" s="1"/>
  <c r="J46" i="50"/>
  <c r="AV46" i="50" s="1"/>
  <c r="J148" i="50"/>
  <c r="AV148" i="50" s="1"/>
  <c r="J139" i="50"/>
  <c r="AV139" i="50" s="1"/>
  <c r="J59" i="50"/>
  <c r="AV59" i="50" s="1"/>
  <c r="J149" i="50"/>
  <c r="AV149" i="50" s="1"/>
  <c r="J57" i="50"/>
  <c r="AV57" i="50" s="1"/>
  <c r="J41" i="50"/>
  <c r="AV41" i="50" s="1"/>
  <c r="J53" i="50"/>
  <c r="AV53" i="50" s="1"/>
  <c r="J49" i="50"/>
  <c r="AV49" i="50" s="1"/>
  <c r="J144" i="50"/>
  <c r="AV144" i="50" s="1"/>
  <c r="J54" i="50"/>
  <c r="AV54" i="50" s="1"/>
  <c r="J143" i="50"/>
  <c r="AV143" i="50" s="1"/>
  <c r="J47" i="50"/>
  <c r="AV47" i="50" s="1"/>
  <c r="J137" i="50"/>
  <c r="AV137" i="50" s="1"/>
  <c r="J133" i="50"/>
  <c r="AV133" i="50" s="1"/>
  <c r="J37" i="50"/>
  <c r="AV37" i="50" s="1"/>
  <c r="J134" i="50"/>
  <c r="AV134" i="50" s="1"/>
  <c r="J138" i="50"/>
  <c r="AV138" i="50" s="1"/>
  <c r="J55" i="50"/>
  <c r="AV55" i="50" s="1"/>
  <c r="J39" i="50"/>
  <c r="AV39" i="50" s="1"/>
  <c r="J56" i="50"/>
  <c r="AV56" i="50" s="1"/>
  <c r="J43" i="50"/>
  <c r="AV43" i="50" s="1"/>
  <c r="J146" i="50"/>
  <c r="AV146" i="50" s="1"/>
  <c r="J135" i="50"/>
  <c r="AV135" i="50" s="1"/>
  <c r="J58" i="50"/>
  <c r="AV58" i="50" s="1"/>
  <c r="K37" i="50"/>
  <c r="AW37" i="50" s="1"/>
  <c r="K55" i="50"/>
  <c r="AW55" i="50" s="1"/>
  <c r="K144" i="50"/>
  <c r="AW144" i="50" s="1"/>
  <c r="K147" i="50"/>
  <c r="AW147" i="50" s="1"/>
  <c r="K59" i="50"/>
  <c r="AW59" i="50" s="1"/>
  <c r="K53" i="50"/>
  <c r="AW53" i="50" s="1"/>
  <c r="K138" i="50"/>
  <c r="AW138" i="50" s="1"/>
  <c r="K143" i="50"/>
  <c r="AW143" i="50" s="1"/>
  <c r="K54" i="50"/>
  <c r="AW54" i="50" s="1"/>
  <c r="K47" i="50"/>
  <c r="AW47" i="50" s="1"/>
  <c r="K48" i="50"/>
  <c r="AW48" i="50" s="1"/>
  <c r="K43" i="50"/>
  <c r="AW43" i="50" s="1"/>
  <c r="K57" i="50"/>
  <c r="AW57" i="50" s="1"/>
  <c r="K141" i="50"/>
  <c r="AW141" i="50" s="1"/>
  <c r="K150" i="50"/>
  <c r="AW150" i="50" s="1"/>
  <c r="K46" i="50"/>
  <c r="AW46" i="50" s="1"/>
  <c r="K36" i="50"/>
  <c r="AW36" i="50" s="1"/>
  <c r="K136" i="50"/>
  <c r="AW136" i="50" s="1"/>
  <c r="K140" i="50"/>
  <c r="AW140" i="50" s="1"/>
  <c r="K134" i="50"/>
  <c r="AW134" i="50" s="1"/>
  <c r="K146" i="50"/>
  <c r="AW146" i="50" s="1"/>
  <c r="K58" i="50"/>
  <c r="AW58" i="50" s="1"/>
  <c r="K50" i="50"/>
  <c r="AW50" i="50" s="1"/>
  <c r="K56" i="50"/>
  <c r="AW56" i="50" s="1"/>
  <c r="K49" i="50"/>
  <c r="AW49" i="50" s="1"/>
  <c r="K137" i="50"/>
  <c r="AW137" i="50" s="1"/>
  <c r="K149" i="50"/>
  <c r="AW149" i="50" s="1"/>
  <c r="K142" i="50"/>
  <c r="AW142" i="50" s="1"/>
  <c r="K135" i="50"/>
  <c r="AW135" i="50" s="1"/>
  <c r="K139" i="50"/>
  <c r="AW139" i="50" s="1"/>
  <c r="K132" i="50"/>
  <c r="K133" i="50"/>
  <c r="AW133" i="50" s="1"/>
  <c r="K145" i="50"/>
  <c r="AW145" i="50" s="1"/>
  <c r="K39" i="50"/>
  <c r="AW39" i="50" s="1"/>
  <c r="K52" i="50"/>
  <c r="AW52" i="50" s="1"/>
  <c r="K148" i="50"/>
  <c r="AW148" i="50" s="1"/>
  <c r="F55" i="49"/>
  <c r="L56" i="49"/>
  <c r="BX70" i="50"/>
  <c r="AL69" i="50"/>
  <c r="BX69" i="50" s="1"/>
  <c r="AM70" i="50"/>
  <c r="BX72" i="50"/>
  <c r="AM72" i="50"/>
  <c r="BY72" i="50" s="1"/>
  <c r="N144" i="50"/>
  <c r="AZ144" i="50" s="1"/>
  <c r="N136" i="50"/>
  <c r="AZ136" i="50" s="1"/>
  <c r="N133" i="50"/>
  <c r="AZ133" i="50" s="1"/>
  <c r="N137" i="50"/>
  <c r="AZ137" i="50" s="1"/>
  <c r="N51" i="50"/>
  <c r="AZ51" i="50" s="1"/>
  <c r="N46" i="50"/>
  <c r="AZ46" i="50" s="1"/>
  <c r="N36" i="50"/>
  <c r="AZ36" i="50" s="1"/>
  <c r="N147" i="50"/>
  <c r="AZ147" i="50" s="1"/>
  <c r="N135" i="50"/>
  <c r="AZ135" i="50" s="1"/>
  <c r="N54" i="50"/>
  <c r="AZ54" i="50" s="1"/>
  <c r="N139" i="50"/>
  <c r="AZ139" i="50" s="1"/>
  <c r="N43" i="50"/>
  <c r="AZ43" i="50" s="1"/>
  <c r="N55" i="50"/>
  <c r="AZ55" i="50" s="1"/>
  <c r="N146" i="50"/>
  <c r="AZ146" i="50" s="1"/>
  <c r="N138" i="50"/>
  <c r="AZ138" i="50" s="1"/>
  <c r="N57" i="50"/>
  <c r="AZ57" i="50" s="1"/>
  <c r="N56" i="50"/>
  <c r="AZ56" i="50" s="1"/>
  <c r="N47" i="50"/>
  <c r="AZ47" i="50" s="1"/>
  <c r="N145" i="50"/>
  <c r="AZ145" i="50" s="1"/>
  <c r="N41" i="50"/>
  <c r="AZ41" i="50" s="1"/>
  <c r="N149" i="50"/>
  <c r="AZ149" i="50" s="1"/>
  <c r="N40" i="50"/>
  <c r="AZ40" i="50" s="1"/>
  <c r="N150" i="50"/>
  <c r="AZ150" i="50" s="1"/>
  <c r="N50" i="50"/>
  <c r="AZ50" i="50" s="1"/>
  <c r="N37" i="50"/>
  <c r="AZ37" i="50" s="1"/>
  <c r="N143" i="50"/>
  <c r="AZ143" i="50" s="1"/>
  <c r="N48" i="50"/>
  <c r="AZ48" i="50" s="1"/>
  <c r="N148" i="50"/>
  <c r="AZ148" i="50" s="1"/>
  <c r="N59" i="50"/>
  <c r="AZ59" i="50" s="1"/>
  <c r="N52" i="50"/>
  <c r="AZ52" i="50" s="1"/>
  <c r="N134" i="50"/>
  <c r="AZ134" i="50" s="1"/>
  <c r="N49" i="50"/>
  <c r="AZ49" i="50" s="1"/>
  <c r="N140" i="50"/>
  <c r="AZ140" i="50" s="1"/>
  <c r="N42" i="50"/>
  <c r="AZ42" i="50" s="1"/>
  <c r="N53" i="50"/>
  <c r="AZ53" i="50" s="1"/>
  <c r="N132" i="50"/>
  <c r="N58" i="50"/>
  <c r="AZ58" i="50" s="1"/>
  <c r="N39" i="50"/>
  <c r="N141" i="50"/>
  <c r="AZ141" i="50" s="1"/>
  <c r="N142" i="50"/>
  <c r="AZ142" i="50" s="1"/>
  <c r="BV60" i="50"/>
  <c r="D86" i="85" s="1"/>
  <c r="AJ282" i="50"/>
  <c r="BV282" i="50" s="1"/>
  <c r="E70" i="49"/>
  <c r="D86" i="67"/>
  <c r="AM66" i="50"/>
  <c r="BY66" i="50" s="1"/>
  <c r="BX66" i="50"/>
  <c r="AM67" i="50"/>
  <c r="BY67" i="50" s="1"/>
  <c r="BX67" i="50"/>
  <c r="V136" i="50"/>
  <c r="BH136" i="50" s="1"/>
  <c r="V144" i="50"/>
  <c r="BH144" i="50" s="1"/>
  <c r="V143" i="50"/>
  <c r="BH143" i="50" s="1"/>
  <c r="V50" i="50"/>
  <c r="BH50" i="50" s="1"/>
  <c r="V132" i="50"/>
  <c r="V137" i="50"/>
  <c r="BH137" i="50" s="1"/>
  <c r="V43" i="50"/>
  <c r="BH43" i="50" s="1"/>
  <c r="V36" i="50"/>
  <c r="BH36" i="50" s="1"/>
  <c r="V148" i="50"/>
  <c r="BH148" i="50" s="1"/>
  <c r="V51" i="50"/>
  <c r="BH51" i="50" s="1"/>
  <c r="V145" i="50"/>
  <c r="BH145" i="50" s="1"/>
  <c r="V53" i="50"/>
  <c r="BH53" i="50" s="1"/>
  <c r="V140" i="50"/>
  <c r="BH140" i="50" s="1"/>
  <c r="V150" i="50"/>
  <c r="BH150" i="50" s="1"/>
  <c r="V135" i="50"/>
  <c r="BH135" i="50" s="1"/>
  <c r="V56" i="50"/>
  <c r="BH56" i="50" s="1"/>
  <c r="V40" i="50"/>
  <c r="BH40" i="50" s="1"/>
  <c r="V39" i="50"/>
  <c r="V58" i="50"/>
  <c r="BH58" i="50" s="1"/>
  <c r="V142" i="50"/>
  <c r="BH142" i="50" s="1"/>
  <c r="V41" i="50"/>
  <c r="BH41" i="50" s="1"/>
  <c r="V149" i="50"/>
  <c r="BH149" i="50" s="1"/>
  <c r="V57" i="50"/>
  <c r="BH57" i="50" s="1"/>
  <c r="V138" i="50"/>
  <c r="BH138" i="50" s="1"/>
  <c r="V133" i="50"/>
  <c r="BH133" i="50" s="1"/>
  <c r="V147" i="50"/>
  <c r="BH147" i="50" s="1"/>
  <c r="V49" i="50"/>
  <c r="BH49" i="50" s="1"/>
  <c r="V46" i="50"/>
  <c r="BH46" i="50" s="1"/>
  <c r="V139" i="50"/>
  <c r="BH139" i="50" s="1"/>
  <c r="V47" i="50"/>
  <c r="BH47" i="50" s="1"/>
  <c r="V59" i="50"/>
  <c r="BH59" i="50" s="1"/>
  <c r="V37" i="50"/>
  <c r="BH37" i="50" s="1"/>
  <c r="V55" i="50"/>
  <c r="BH55" i="50" s="1"/>
  <c r="V141" i="50"/>
  <c r="BH141" i="50" s="1"/>
  <c r="V48" i="50"/>
  <c r="BH48" i="50" s="1"/>
  <c r="V146" i="50"/>
  <c r="BH146" i="50" s="1"/>
  <c r="V134" i="50"/>
  <c r="BH134" i="50" s="1"/>
  <c r="V54" i="50"/>
  <c r="BH54" i="50" s="1"/>
  <c r="V52" i="50"/>
  <c r="BH52" i="50" s="1"/>
  <c r="V42" i="50"/>
  <c r="BH42" i="50" s="1"/>
  <c r="AK63" i="50"/>
  <c r="M136" i="50"/>
  <c r="M143" i="50"/>
  <c r="M42" i="50"/>
  <c r="M52" i="50"/>
  <c r="M139" i="50"/>
  <c r="M53" i="50"/>
  <c r="M137" i="50"/>
  <c r="M134" i="50"/>
  <c r="M59" i="50"/>
  <c r="M48" i="50"/>
  <c r="M51" i="50"/>
  <c r="M132" i="50"/>
  <c r="M46" i="50"/>
  <c r="M58" i="50"/>
  <c r="M47" i="50"/>
  <c r="M40" i="50"/>
  <c r="M149" i="50"/>
  <c r="M56" i="50"/>
  <c r="M54" i="50"/>
  <c r="M140" i="50"/>
  <c r="M138" i="50"/>
  <c r="M135" i="50"/>
  <c r="M144" i="50"/>
  <c r="M39" i="50"/>
  <c r="M146" i="50"/>
  <c r="M142" i="50"/>
  <c r="M37" i="50"/>
  <c r="M41" i="50"/>
  <c r="M55" i="50"/>
  <c r="M43" i="50"/>
  <c r="M50" i="50"/>
  <c r="M147" i="50"/>
  <c r="M57" i="50"/>
  <c r="M36" i="50"/>
  <c r="M150" i="50"/>
  <c r="M133" i="50"/>
  <c r="M145" i="50"/>
  <c r="M141" i="50"/>
  <c r="M49" i="50"/>
  <c r="M148" i="50"/>
  <c r="BX71" i="50"/>
  <c r="AM71" i="50"/>
  <c r="BY71" i="50" s="1"/>
  <c r="C69" i="49"/>
  <c r="I70" i="49"/>
  <c r="BG51" i="50"/>
  <c r="AS138" i="50"/>
  <c r="AS37" i="50"/>
  <c r="BG148" i="50"/>
  <c r="BG139" i="50"/>
  <c r="BG55" i="50"/>
  <c r="BG59" i="50"/>
  <c r="AS146" i="50"/>
  <c r="BG149" i="50"/>
  <c r="BQ171" i="50"/>
  <c r="F68" i="85" s="1"/>
  <c r="AS46" i="50"/>
  <c r="BB70" i="62"/>
  <c r="K41" i="50"/>
  <c r="AW41" i="50" s="1"/>
  <c r="BG138" i="50"/>
  <c r="AS149" i="50"/>
  <c r="BG150" i="50"/>
  <c r="AS145" i="50"/>
  <c r="BG53" i="50"/>
  <c r="BG37" i="50"/>
  <c r="G91" i="67"/>
  <c r="BY151" i="50"/>
  <c r="G91" i="85" s="1"/>
  <c r="BB78" i="62"/>
  <c r="K42" i="50"/>
  <c r="AW42" i="50" s="1"/>
  <c r="G67" i="67"/>
  <c r="BR151" i="50"/>
  <c r="G67" i="85" s="1"/>
  <c r="AS56" i="50"/>
  <c r="BG52" i="50"/>
  <c r="AS141" i="50"/>
  <c r="BG54" i="50"/>
  <c r="AS52" i="50"/>
  <c r="AS137" i="50"/>
  <c r="BG140" i="50"/>
  <c r="BG132" i="50"/>
  <c r="AS134" i="50"/>
  <c r="AS40" i="50"/>
  <c r="AS49" i="50"/>
  <c r="BA136" i="50"/>
  <c r="AS144" i="50"/>
  <c r="BG145" i="50"/>
  <c r="BG36" i="50"/>
  <c r="AS51" i="50"/>
  <c r="BG143" i="50"/>
  <c r="AS142" i="50"/>
  <c r="AS36" i="50"/>
  <c r="BG137" i="50"/>
  <c r="AF60" i="50"/>
  <c r="BR69" i="50"/>
  <c r="AS148" i="50"/>
  <c r="AS39" i="50"/>
  <c r="AS42" i="50"/>
  <c r="BG43" i="50"/>
  <c r="BG142" i="50"/>
  <c r="AF171" i="50"/>
  <c r="BR173" i="50"/>
  <c r="AS55" i="50"/>
  <c r="BG144" i="50"/>
  <c r="BG47" i="50"/>
  <c r="AS53" i="50"/>
  <c r="BG136" i="50"/>
  <c r="P42" i="79"/>
  <c r="P20" i="79"/>
  <c r="P21" i="79"/>
  <c r="O42" i="79"/>
  <c r="O43" i="79"/>
  <c r="P38" i="50"/>
  <c r="BB38" i="50" s="1"/>
  <c r="J60" i="62"/>
  <c r="BA60" i="62" s="1"/>
  <c r="K99" i="62"/>
  <c r="BB99" i="62" s="1"/>
  <c r="K51" i="50"/>
  <c r="AW51" i="50" s="1"/>
  <c r="K67" i="62"/>
  <c r="BB67" i="62" s="1"/>
  <c r="K40" i="50"/>
  <c r="G55" i="49"/>
  <c r="G36" i="58"/>
  <c r="H36" i="58"/>
  <c r="I36" i="58"/>
  <c r="J36" i="58"/>
  <c r="K36" i="58"/>
  <c r="D36" i="58"/>
  <c r="D34" i="58"/>
  <c r="R38" i="50" l="1"/>
  <c r="BD38" i="50" s="1"/>
  <c r="P131" i="50"/>
  <c r="P28" i="7" s="1"/>
  <c r="BM28" i="7" s="1"/>
  <c r="X38" i="50"/>
  <c r="BJ38" i="50" s="1"/>
  <c r="G38" i="50"/>
  <c r="AS38" i="50" s="1"/>
  <c r="Y38" i="50"/>
  <c r="BK38" i="50" s="1"/>
  <c r="X131" i="50"/>
  <c r="Y28" i="7" s="1"/>
  <c r="BV28" i="7" s="1"/>
  <c r="I38" i="50"/>
  <c r="AU38" i="50" s="1"/>
  <c r="H38" i="50"/>
  <c r="AT38" i="50" s="1"/>
  <c r="Q38" i="50"/>
  <c r="BC38" i="50" s="1"/>
  <c r="Y131" i="50"/>
  <c r="BK131" i="50" s="1"/>
  <c r="G48" i="85" s="1"/>
  <c r="Q131" i="50"/>
  <c r="F30" i="67" s="1"/>
  <c r="G131" i="50"/>
  <c r="AS131" i="50" s="1"/>
  <c r="C12" i="85" s="1"/>
  <c r="J38" i="50"/>
  <c r="AV38" i="50" s="1"/>
  <c r="U38" i="50"/>
  <c r="BG38" i="50" s="1"/>
  <c r="U131" i="50"/>
  <c r="BG131" i="50" s="1"/>
  <c r="C48" i="85" s="1"/>
  <c r="R131" i="50"/>
  <c r="G30" i="67" s="1"/>
  <c r="AS133" i="50"/>
  <c r="O38" i="50"/>
  <c r="BA38" i="50" s="1"/>
  <c r="H131" i="50"/>
  <c r="G28" i="7" s="1"/>
  <c r="BD28" i="7" s="1"/>
  <c r="I131" i="50"/>
  <c r="E12" i="67" s="1"/>
  <c r="O131" i="50"/>
  <c r="D30" i="67" s="1"/>
  <c r="BI132" i="50"/>
  <c r="W131" i="50"/>
  <c r="BI39" i="50"/>
  <c r="W38" i="50"/>
  <c r="BI38" i="50" s="1"/>
  <c r="T62" i="50"/>
  <c r="BF37" i="50"/>
  <c r="T168" i="50"/>
  <c r="BF148" i="50"/>
  <c r="F84" i="50"/>
  <c r="AR59" i="50"/>
  <c r="F169" i="50"/>
  <c r="AR149" i="50"/>
  <c r="F80" i="50"/>
  <c r="AR55" i="50"/>
  <c r="F157" i="50"/>
  <c r="AR137" i="50"/>
  <c r="F65" i="50"/>
  <c r="AR40" i="50"/>
  <c r="M68" i="50"/>
  <c r="AY43" i="50"/>
  <c r="T157" i="50"/>
  <c r="BF137" i="50"/>
  <c r="AY145" i="50"/>
  <c r="M165" i="50"/>
  <c r="M80" i="50"/>
  <c r="AY55" i="50"/>
  <c r="M158" i="50"/>
  <c r="AY138" i="50"/>
  <c r="M71" i="50"/>
  <c r="AY46" i="50"/>
  <c r="M159" i="50"/>
  <c r="AY139" i="50"/>
  <c r="AZ39" i="50"/>
  <c r="N38" i="50"/>
  <c r="AZ38" i="50" s="1"/>
  <c r="AM69" i="50"/>
  <c r="BY69" i="50" s="1"/>
  <c r="BY70" i="50"/>
  <c r="BX65" i="50"/>
  <c r="AM65" i="50"/>
  <c r="AL63" i="50"/>
  <c r="T162" i="50"/>
  <c r="BF142" i="50"/>
  <c r="T154" i="50"/>
  <c r="BF134" i="50"/>
  <c r="BF133" i="50"/>
  <c r="T153" i="50"/>
  <c r="T164" i="50"/>
  <c r="BF144" i="50"/>
  <c r="T65" i="50"/>
  <c r="BF40" i="50"/>
  <c r="F78" i="50"/>
  <c r="AR53" i="50"/>
  <c r="F68" i="50"/>
  <c r="AR43" i="50"/>
  <c r="F162" i="50"/>
  <c r="AR142" i="50"/>
  <c r="AR56" i="50"/>
  <c r="F81" i="50"/>
  <c r="M83" i="50"/>
  <c r="AY58" i="50"/>
  <c r="BF56" i="50"/>
  <c r="T81" i="50"/>
  <c r="AP30" i="67"/>
  <c r="M55" i="49"/>
  <c r="AP30" i="85" s="1"/>
  <c r="AY140" i="50"/>
  <c r="M160" i="50"/>
  <c r="M152" i="50"/>
  <c r="AY132" i="50"/>
  <c r="M131" i="50"/>
  <c r="AY131" i="50" s="1"/>
  <c r="M77" i="50"/>
  <c r="AY52" i="50"/>
  <c r="BH132" i="50"/>
  <c r="V131" i="50"/>
  <c r="T66" i="50"/>
  <c r="BF41" i="50"/>
  <c r="BF51" i="50"/>
  <c r="T76" i="50"/>
  <c r="T163" i="50"/>
  <c r="BF143" i="50"/>
  <c r="T73" i="50"/>
  <c r="BF48" i="50"/>
  <c r="T161" i="50"/>
  <c r="BF141" i="50"/>
  <c r="F67" i="50"/>
  <c r="AR42" i="50"/>
  <c r="AR41" i="50"/>
  <c r="F66" i="50"/>
  <c r="F170" i="50"/>
  <c r="AR150" i="50"/>
  <c r="F62" i="50"/>
  <c r="AR37" i="50"/>
  <c r="F159" i="50"/>
  <c r="AR139" i="50"/>
  <c r="T169" i="50"/>
  <c r="BF149" i="50"/>
  <c r="M62" i="50"/>
  <c r="AY37" i="50"/>
  <c r="M76" i="50"/>
  <c r="AY51" i="50"/>
  <c r="AZ132" i="50"/>
  <c r="N131" i="50"/>
  <c r="AW132" i="50"/>
  <c r="K131" i="50"/>
  <c r="BF53" i="50"/>
  <c r="T78" i="50"/>
  <c r="T75" i="50"/>
  <c r="BF50" i="50"/>
  <c r="T84" i="50"/>
  <c r="BF59" i="50"/>
  <c r="T167" i="50"/>
  <c r="BF147" i="50"/>
  <c r="T165" i="50"/>
  <c r="BF145" i="50"/>
  <c r="J70" i="49"/>
  <c r="D69" i="49"/>
  <c r="F153" i="50"/>
  <c r="AR133" i="50"/>
  <c r="F71" i="50"/>
  <c r="AR46" i="50"/>
  <c r="AR146" i="50"/>
  <c r="F166" i="50"/>
  <c r="F72" i="50"/>
  <c r="AR47" i="50"/>
  <c r="AR36" i="50"/>
  <c r="F61" i="50"/>
  <c r="M155" i="50"/>
  <c r="AY135" i="50"/>
  <c r="AY41" i="50"/>
  <c r="M66" i="50"/>
  <c r="AL38" i="67"/>
  <c r="I69" i="49"/>
  <c r="AL38" i="85" s="1"/>
  <c r="AY150" i="50"/>
  <c r="M170" i="50"/>
  <c r="M79" i="50"/>
  <c r="AY54" i="50"/>
  <c r="M67" i="50"/>
  <c r="AY42" i="50"/>
  <c r="M61" i="50"/>
  <c r="AY36" i="50"/>
  <c r="M162" i="50"/>
  <c r="AY142" i="50"/>
  <c r="M81" i="50"/>
  <c r="AY56" i="50"/>
  <c r="AY48" i="50"/>
  <c r="M73" i="50"/>
  <c r="M163" i="50"/>
  <c r="AY143" i="50"/>
  <c r="E69" i="49"/>
  <c r="K70" i="49"/>
  <c r="T160" i="50"/>
  <c r="BF140" i="50"/>
  <c r="T152" i="50"/>
  <c r="BF132" i="50"/>
  <c r="T131" i="50"/>
  <c r="BF131" i="50" s="1"/>
  <c r="BF47" i="50"/>
  <c r="T72" i="50"/>
  <c r="T82" i="50"/>
  <c r="BF57" i="50"/>
  <c r="T155" i="50"/>
  <c r="BF135" i="50"/>
  <c r="F167" i="50"/>
  <c r="AR147" i="50"/>
  <c r="AR50" i="50"/>
  <c r="F75" i="50"/>
  <c r="F74" i="50"/>
  <c r="AR49" i="50"/>
  <c r="F76" i="50"/>
  <c r="AR51" i="50"/>
  <c r="F164" i="50"/>
  <c r="AR144" i="50"/>
  <c r="M153" i="50"/>
  <c r="AY133" i="50"/>
  <c r="M82" i="50"/>
  <c r="AY57" i="50"/>
  <c r="M166" i="50"/>
  <c r="AY146" i="50"/>
  <c r="M169" i="50"/>
  <c r="AY149" i="50"/>
  <c r="M84" i="50"/>
  <c r="AY59" i="50"/>
  <c r="AY136" i="50"/>
  <c r="M156" i="50"/>
  <c r="BH39" i="50"/>
  <c r="V38" i="50"/>
  <c r="BH38" i="50" s="1"/>
  <c r="AO30" i="67"/>
  <c r="L55" i="49"/>
  <c r="AO30" i="85" s="1"/>
  <c r="T80" i="50"/>
  <c r="BF55" i="50"/>
  <c r="T71" i="50"/>
  <c r="BF46" i="50"/>
  <c r="T83" i="50"/>
  <c r="BF58" i="50"/>
  <c r="T158" i="50"/>
  <c r="BF138" i="50"/>
  <c r="T64" i="50"/>
  <c r="BF39" i="50"/>
  <c r="T38" i="50"/>
  <c r="BF38" i="50" s="1"/>
  <c r="F163" i="50"/>
  <c r="AR143" i="50"/>
  <c r="F77" i="50"/>
  <c r="AR52" i="50"/>
  <c r="F79" i="50"/>
  <c r="AR54" i="50"/>
  <c r="F73" i="50"/>
  <c r="AR48" i="50"/>
  <c r="F131" i="50"/>
  <c r="AR131" i="50" s="1"/>
  <c r="F152" i="50"/>
  <c r="AR132" i="50"/>
  <c r="M78" i="50"/>
  <c r="AY53" i="50"/>
  <c r="M168" i="50"/>
  <c r="AY148" i="50"/>
  <c r="M167" i="50"/>
  <c r="AY147" i="50"/>
  <c r="AY39" i="50"/>
  <c r="M38" i="50"/>
  <c r="AY38" i="50" s="1"/>
  <c r="M64" i="50"/>
  <c r="M65" i="50"/>
  <c r="AY40" i="50"/>
  <c r="M154" i="50"/>
  <c r="AY134" i="50"/>
  <c r="BW63" i="50"/>
  <c r="AK60" i="50"/>
  <c r="T159" i="50"/>
  <c r="BF139" i="50"/>
  <c r="T67" i="50"/>
  <c r="BF42" i="50"/>
  <c r="T79" i="50"/>
  <c r="BF54" i="50"/>
  <c r="T77" i="50"/>
  <c r="BF52" i="50"/>
  <c r="BF136" i="50"/>
  <c r="T156" i="50"/>
  <c r="F83" i="50"/>
  <c r="AR58" i="50"/>
  <c r="F168" i="50"/>
  <c r="AR148" i="50"/>
  <c r="F158" i="50"/>
  <c r="AR138" i="50"/>
  <c r="F165" i="50"/>
  <c r="AR145" i="50"/>
  <c r="F160" i="50"/>
  <c r="AR140" i="50"/>
  <c r="M161" i="50"/>
  <c r="AY141" i="50"/>
  <c r="M74" i="50"/>
  <c r="AY49" i="50"/>
  <c r="M75" i="50"/>
  <c r="AY50" i="50"/>
  <c r="M164" i="50"/>
  <c r="AY144" i="50"/>
  <c r="M72" i="50"/>
  <c r="AY47" i="50"/>
  <c r="M157" i="50"/>
  <c r="AY137" i="50"/>
  <c r="AV132" i="50"/>
  <c r="J131" i="50"/>
  <c r="T170" i="50"/>
  <c r="BF150" i="50"/>
  <c r="BF49" i="50"/>
  <c r="T74" i="50"/>
  <c r="T61" i="50"/>
  <c r="BF36" i="50"/>
  <c r="T166" i="50"/>
  <c r="BF146" i="50"/>
  <c r="T68" i="50"/>
  <c r="BF43" i="50"/>
  <c r="F82" i="50"/>
  <c r="AR57" i="50"/>
  <c r="F154" i="50"/>
  <c r="AR134" i="50"/>
  <c r="F156" i="50"/>
  <c r="AR136" i="50"/>
  <c r="F161" i="50"/>
  <c r="AR141" i="50"/>
  <c r="AR135" i="50"/>
  <c r="F155" i="50"/>
  <c r="F64" i="50"/>
  <c r="AR39" i="50"/>
  <c r="F38" i="50"/>
  <c r="AR38" i="50" s="1"/>
  <c r="G62" i="67"/>
  <c r="BR60" i="50"/>
  <c r="G62" i="85" s="1"/>
  <c r="BB131" i="50"/>
  <c r="E30" i="85" s="1"/>
  <c r="AF282" i="50"/>
  <c r="BR282" i="50" s="1"/>
  <c r="G68" i="67"/>
  <c r="BR171" i="50"/>
  <c r="G68" i="85" s="1"/>
  <c r="K38" i="50"/>
  <c r="AW38" i="50" s="1"/>
  <c r="AW40" i="50"/>
  <c r="F48" i="67"/>
  <c r="K60" i="62"/>
  <c r="BB60" i="62" s="1"/>
  <c r="C32" i="5"/>
  <c r="E30" i="67" l="1"/>
  <c r="BD40" i="60"/>
  <c r="G60" i="53"/>
  <c r="BC40" i="60"/>
  <c r="F60" i="53"/>
  <c r="BN48" i="60"/>
  <c r="AR40" i="60"/>
  <c r="BO48" i="60"/>
  <c r="BP48" i="60"/>
  <c r="BB40" i="60"/>
  <c r="AQ40" i="60"/>
  <c r="E60" i="53"/>
  <c r="Z28" i="7"/>
  <c r="BW28" i="7" s="1"/>
  <c r="X57" i="53"/>
  <c r="CC57" i="53" s="1"/>
  <c r="Y51" i="85" s="1"/>
  <c r="BJ131" i="50"/>
  <c r="F48" i="85" s="1"/>
  <c r="G48" i="67"/>
  <c r="R28" i="7"/>
  <c r="BO28" i="7" s="1"/>
  <c r="AT131" i="50"/>
  <c r="D12" i="85" s="1"/>
  <c r="F28" i="7"/>
  <c r="BC28" i="7" s="1"/>
  <c r="V28" i="7"/>
  <c r="BS28" i="7" s="1"/>
  <c r="H28" i="7"/>
  <c r="BE28" i="7" s="1"/>
  <c r="BD131" i="50"/>
  <c r="G30" i="85" s="1"/>
  <c r="BC131" i="50"/>
  <c r="F30" i="85" s="1"/>
  <c r="D12" i="67"/>
  <c r="Q28" i="7"/>
  <c r="BN28" i="7" s="1"/>
  <c r="C48" i="67"/>
  <c r="AU131" i="50"/>
  <c r="E12" i="85" s="1"/>
  <c r="C12" i="67"/>
  <c r="O28" i="7"/>
  <c r="BL28" i="7" s="1"/>
  <c r="BA131" i="50"/>
  <c r="D30" i="85" s="1"/>
  <c r="BI131" i="50"/>
  <c r="E48" i="85" s="1"/>
  <c r="X28" i="7"/>
  <c r="BU28" i="7" s="1"/>
  <c r="E48" i="67"/>
  <c r="E108" i="67" s="1"/>
  <c r="BF74" i="50"/>
  <c r="U74" i="50"/>
  <c r="AY82" i="50"/>
  <c r="N82" i="50"/>
  <c r="BF82" i="50"/>
  <c r="U82" i="50"/>
  <c r="AR61" i="50"/>
  <c r="G61" i="50"/>
  <c r="AZ131" i="50"/>
  <c r="C30" i="85" s="1"/>
  <c r="C108" i="85" s="1"/>
  <c r="C30" i="67"/>
  <c r="N28" i="7"/>
  <c r="BK28" i="7" s="1"/>
  <c r="BF76" i="50"/>
  <c r="U76" i="50"/>
  <c r="AR82" i="50"/>
  <c r="G82" i="50"/>
  <c r="AY72" i="50"/>
  <c r="N72" i="50"/>
  <c r="AY161" i="50"/>
  <c r="N161" i="50"/>
  <c r="AR168" i="50"/>
  <c r="G168" i="50"/>
  <c r="BF79" i="50"/>
  <c r="U79" i="50"/>
  <c r="AY154" i="50"/>
  <c r="N154" i="50"/>
  <c r="AR73" i="50"/>
  <c r="G73" i="50"/>
  <c r="AR75" i="50"/>
  <c r="G75" i="50"/>
  <c r="BF72" i="50"/>
  <c r="U72" i="50"/>
  <c r="AN38" i="67"/>
  <c r="K69" i="49"/>
  <c r="AN38" i="85" s="1"/>
  <c r="AY162" i="50"/>
  <c r="N162" i="50"/>
  <c r="AR153" i="50"/>
  <c r="G153" i="50"/>
  <c r="BF84" i="50"/>
  <c r="U84" i="50"/>
  <c r="AR159" i="50"/>
  <c r="G159" i="50"/>
  <c r="AR67" i="50"/>
  <c r="G67" i="50"/>
  <c r="AY158" i="50"/>
  <c r="N158" i="50"/>
  <c r="AY68" i="50"/>
  <c r="N68" i="50"/>
  <c r="AR169" i="50"/>
  <c r="G169" i="50"/>
  <c r="AR68" i="50"/>
  <c r="G68" i="50"/>
  <c r="AY168" i="50"/>
  <c r="N168" i="50"/>
  <c r="BF64" i="50"/>
  <c r="T63" i="50"/>
  <c r="BF63" i="50" s="1"/>
  <c r="U64" i="50"/>
  <c r="BF80" i="50"/>
  <c r="U80" i="50"/>
  <c r="AY84" i="50"/>
  <c r="N84" i="50"/>
  <c r="AY153" i="50"/>
  <c r="N153" i="50"/>
  <c r="AM38" i="67"/>
  <c r="J69" i="49"/>
  <c r="AM38" i="85" s="1"/>
  <c r="AY152" i="50"/>
  <c r="N152" i="50"/>
  <c r="M151" i="50"/>
  <c r="AY151" i="50" s="1"/>
  <c r="AY83" i="50"/>
  <c r="N83" i="50"/>
  <c r="AR78" i="50"/>
  <c r="G78" i="50"/>
  <c r="BF154" i="50"/>
  <c r="U154" i="50"/>
  <c r="AY167" i="50"/>
  <c r="N167" i="50"/>
  <c r="AR161" i="50"/>
  <c r="G161" i="50"/>
  <c r="BF68" i="50"/>
  <c r="U68" i="50"/>
  <c r="BF170" i="50"/>
  <c r="U170" i="50"/>
  <c r="AY164" i="50"/>
  <c r="N164" i="50"/>
  <c r="AR160" i="50"/>
  <c r="G160" i="50"/>
  <c r="AR83" i="50"/>
  <c r="G83" i="50"/>
  <c r="BF67" i="50"/>
  <c r="U67" i="50"/>
  <c r="AY65" i="50"/>
  <c r="N65" i="50"/>
  <c r="AR79" i="50"/>
  <c r="G79" i="50"/>
  <c r="AY163" i="50"/>
  <c r="N163" i="50"/>
  <c r="AY61" i="50"/>
  <c r="N61" i="50"/>
  <c r="AR72" i="50"/>
  <c r="G72" i="50"/>
  <c r="BF75" i="50"/>
  <c r="U75" i="50"/>
  <c r="AY76" i="50"/>
  <c r="N76" i="50"/>
  <c r="AR62" i="50"/>
  <c r="G62" i="50"/>
  <c r="BF161" i="50"/>
  <c r="U161" i="50"/>
  <c r="BF66" i="50"/>
  <c r="U66" i="50"/>
  <c r="AY160" i="50"/>
  <c r="N160" i="50"/>
  <c r="AR81" i="50"/>
  <c r="G81" i="50"/>
  <c r="AY80" i="50"/>
  <c r="N80" i="50"/>
  <c r="AR65" i="50"/>
  <c r="G65" i="50"/>
  <c r="AR84" i="50"/>
  <c r="G84" i="50"/>
  <c r="BF71" i="50"/>
  <c r="U71" i="50"/>
  <c r="AV131" i="50"/>
  <c r="F12" i="85" s="1"/>
  <c r="F108" i="85" s="1"/>
  <c r="I28" i="7"/>
  <c r="BF28" i="7" s="1"/>
  <c r="F12" i="67"/>
  <c r="F108" i="67" s="1"/>
  <c r="BF156" i="50"/>
  <c r="U156" i="50"/>
  <c r="N64" i="50"/>
  <c r="AY64" i="50"/>
  <c r="M63" i="50"/>
  <c r="AY63" i="50" s="1"/>
  <c r="AY78" i="50"/>
  <c r="N78" i="50"/>
  <c r="BF158" i="50"/>
  <c r="U158" i="50"/>
  <c r="AY169" i="50"/>
  <c r="N169" i="50"/>
  <c r="AR164" i="50"/>
  <c r="G164" i="50"/>
  <c r="AR167" i="50"/>
  <c r="G167" i="50"/>
  <c r="AY73" i="50"/>
  <c r="N73" i="50"/>
  <c r="AY66" i="50"/>
  <c r="N66" i="50"/>
  <c r="AR166" i="50"/>
  <c r="G166" i="50"/>
  <c r="BF78" i="50"/>
  <c r="U78" i="50"/>
  <c r="BH131" i="50"/>
  <c r="D48" i="85" s="1"/>
  <c r="W28" i="7"/>
  <c r="BT28" i="7" s="1"/>
  <c r="D48" i="67"/>
  <c r="BF65" i="50"/>
  <c r="U65" i="50"/>
  <c r="BF162" i="50"/>
  <c r="U162" i="50"/>
  <c r="AY165" i="50"/>
  <c r="N165" i="50"/>
  <c r="AR155" i="50"/>
  <c r="G155" i="50"/>
  <c r="AR74" i="50"/>
  <c r="G74" i="50"/>
  <c r="AY170" i="50"/>
  <c r="N170" i="50"/>
  <c r="AR156" i="50"/>
  <c r="G156" i="50"/>
  <c r="BF166" i="50"/>
  <c r="U166" i="50"/>
  <c r="AY75" i="50"/>
  <c r="N75" i="50"/>
  <c r="AR165" i="50"/>
  <c r="G165" i="50"/>
  <c r="BF159" i="50"/>
  <c r="U159" i="50"/>
  <c r="AR77" i="50"/>
  <c r="G77" i="50"/>
  <c r="BF152" i="50"/>
  <c r="U152" i="50"/>
  <c r="T151" i="50"/>
  <c r="BF151" i="50" s="1"/>
  <c r="AY67" i="50"/>
  <c r="N67" i="50"/>
  <c r="BF165" i="50"/>
  <c r="U165" i="50"/>
  <c r="AY62" i="50"/>
  <c r="N62" i="50"/>
  <c r="AR170" i="50"/>
  <c r="G170" i="50"/>
  <c r="BF73" i="50"/>
  <c r="U73" i="50"/>
  <c r="BX63" i="50"/>
  <c r="AL60" i="50"/>
  <c r="AY159" i="50"/>
  <c r="N159" i="50"/>
  <c r="AR157" i="50"/>
  <c r="G157" i="50"/>
  <c r="BF168" i="50"/>
  <c r="U168" i="50"/>
  <c r="BW60" i="50"/>
  <c r="E86" i="85" s="1"/>
  <c r="AK282" i="50"/>
  <c r="BW282" i="50" s="1"/>
  <c r="F70" i="49"/>
  <c r="E86" i="67"/>
  <c r="AR152" i="50"/>
  <c r="F151" i="50"/>
  <c r="AR151" i="50" s="1"/>
  <c r="G152" i="50"/>
  <c r="BF83" i="50"/>
  <c r="U83" i="50"/>
  <c r="AY166" i="50"/>
  <c r="N166" i="50"/>
  <c r="AR76" i="50"/>
  <c r="G76" i="50"/>
  <c r="BF155" i="50"/>
  <c r="U155" i="50"/>
  <c r="AW131" i="50"/>
  <c r="G12" i="85" s="1"/>
  <c r="J28" i="7"/>
  <c r="BG28" i="7" s="1"/>
  <c r="G12" i="67"/>
  <c r="AR66" i="50"/>
  <c r="G66" i="50"/>
  <c r="AR162" i="50"/>
  <c r="G162" i="50"/>
  <c r="BF164" i="50"/>
  <c r="U164" i="50"/>
  <c r="BY65" i="50"/>
  <c r="AM63" i="50"/>
  <c r="AR64" i="50"/>
  <c r="F63" i="50"/>
  <c r="AR63" i="50" s="1"/>
  <c r="G64" i="50"/>
  <c r="AR154" i="50"/>
  <c r="G154" i="50"/>
  <c r="BF61" i="50"/>
  <c r="U61" i="50"/>
  <c r="AY157" i="50"/>
  <c r="N157" i="50"/>
  <c r="AY74" i="50"/>
  <c r="N74" i="50"/>
  <c r="AR158" i="50"/>
  <c r="G158" i="50"/>
  <c r="BF77" i="50"/>
  <c r="U77" i="50"/>
  <c r="AR163" i="50"/>
  <c r="G163" i="50"/>
  <c r="AY156" i="50"/>
  <c r="N156" i="50"/>
  <c r="BF160" i="50"/>
  <c r="U160" i="50"/>
  <c r="AY81" i="50"/>
  <c r="N81" i="50"/>
  <c r="AY79" i="50"/>
  <c r="N79" i="50"/>
  <c r="AY155" i="50"/>
  <c r="N155" i="50"/>
  <c r="AR71" i="50"/>
  <c r="G71" i="50"/>
  <c r="BF167" i="50"/>
  <c r="U167" i="50"/>
  <c r="BF169" i="50"/>
  <c r="U169" i="50"/>
  <c r="BF163" i="50"/>
  <c r="U163" i="50"/>
  <c r="AY77" i="50"/>
  <c r="N77" i="50"/>
  <c r="BF81" i="50"/>
  <c r="U81" i="50"/>
  <c r="BF153" i="50"/>
  <c r="U153" i="50"/>
  <c r="AY71" i="50"/>
  <c r="N71" i="50"/>
  <c r="BF157" i="50"/>
  <c r="U157" i="50"/>
  <c r="AR80" i="50"/>
  <c r="G80" i="50"/>
  <c r="BF62" i="50"/>
  <c r="U62" i="50"/>
  <c r="CO40" i="60" l="1"/>
  <c r="CN40" i="60"/>
  <c r="BB48" i="60"/>
  <c r="AQ48" i="60"/>
  <c r="BO44" i="60"/>
  <c r="V64" i="53"/>
  <c r="BD48" i="60"/>
  <c r="AS48" i="60"/>
  <c r="BP40" i="60"/>
  <c r="W60" i="53"/>
  <c r="BA60" i="53" s="1"/>
  <c r="BO40" i="60"/>
  <c r="V60" i="53"/>
  <c r="BN40" i="60"/>
  <c r="U60" i="53"/>
  <c r="BN60" i="53"/>
  <c r="J60" i="73"/>
  <c r="BK60" i="73" s="1"/>
  <c r="K60" i="73"/>
  <c r="BG60" i="53"/>
  <c r="BB44" i="60"/>
  <c r="AQ44" i="60"/>
  <c r="E64" i="53"/>
  <c r="BL60" i="53"/>
  <c r="F60" i="73"/>
  <c r="BI60" i="73" s="1"/>
  <c r="AY60" i="53"/>
  <c r="G60" i="73"/>
  <c r="BE60" i="53"/>
  <c r="BD44" i="60"/>
  <c r="AS44" i="60"/>
  <c r="G64" i="53"/>
  <c r="BP44" i="60"/>
  <c r="W64" i="53"/>
  <c r="BN44" i="60"/>
  <c r="U64" i="53"/>
  <c r="BM60" i="53"/>
  <c r="AZ60" i="53"/>
  <c r="H60" i="73"/>
  <c r="BJ60" i="73" s="1"/>
  <c r="I60" i="73"/>
  <c r="BF60" i="53"/>
  <c r="BC48" i="60"/>
  <c r="AR48" i="60"/>
  <c r="BC44" i="60"/>
  <c r="AR44" i="60"/>
  <c r="F64" i="53"/>
  <c r="AS40" i="60"/>
  <c r="G108" i="85"/>
  <c r="E108" i="85"/>
  <c r="G108" i="67"/>
  <c r="D108" i="67"/>
  <c r="C108" i="67"/>
  <c r="D108" i="85"/>
  <c r="AX28" i="7"/>
  <c r="CU28" i="7" s="1"/>
  <c r="AV28" i="7"/>
  <c r="CS28" i="7" s="1"/>
  <c r="AT28" i="7"/>
  <c r="CQ28" i="7" s="1"/>
  <c r="AW28" i="7"/>
  <c r="CT28" i="7" s="1"/>
  <c r="AU28" i="7"/>
  <c r="CR28" i="7" s="1"/>
  <c r="V163" i="50"/>
  <c r="BG163" i="50"/>
  <c r="AZ74" i="50"/>
  <c r="O74" i="50"/>
  <c r="V65" i="50"/>
  <c r="BG65" i="50"/>
  <c r="AS61" i="50"/>
  <c r="H61" i="50"/>
  <c r="AS66" i="50"/>
  <c r="H66" i="50"/>
  <c r="AZ159" i="50"/>
  <c r="O159" i="50"/>
  <c r="AZ62" i="50"/>
  <c r="O62" i="50"/>
  <c r="AZ66" i="50"/>
  <c r="O66" i="50"/>
  <c r="AZ169" i="50"/>
  <c r="O169" i="50"/>
  <c r="AZ64" i="50"/>
  <c r="O64" i="50"/>
  <c r="N63" i="50"/>
  <c r="AZ63" i="50" s="1"/>
  <c r="AS84" i="50"/>
  <c r="H84" i="50"/>
  <c r="AZ160" i="50"/>
  <c r="O160" i="50"/>
  <c r="AZ76" i="50"/>
  <c r="O76" i="50"/>
  <c r="AZ163" i="50"/>
  <c r="O163" i="50"/>
  <c r="AS83" i="50"/>
  <c r="H83" i="50"/>
  <c r="V68" i="50"/>
  <c r="BG68" i="50"/>
  <c r="AS78" i="50"/>
  <c r="H78" i="50"/>
  <c r="AZ68" i="50"/>
  <c r="O68" i="50"/>
  <c r="V84" i="50"/>
  <c r="BG84" i="50"/>
  <c r="BG72" i="50"/>
  <c r="V72" i="50"/>
  <c r="V79" i="50"/>
  <c r="BG79" i="50"/>
  <c r="AS82" i="50"/>
  <c r="C15" i="49"/>
  <c r="I15" i="49" s="1"/>
  <c r="H82" i="50"/>
  <c r="AZ156" i="50"/>
  <c r="O156" i="50"/>
  <c r="V62" i="50"/>
  <c r="BG62" i="50"/>
  <c r="V153" i="50"/>
  <c r="BG153" i="50"/>
  <c r="BG169" i="50"/>
  <c r="V169" i="50"/>
  <c r="AZ79" i="50"/>
  <c r="O79" i="50"/>
  <c r="AS163" i="50"/>
  <c r="H163" i="50"/>
  <c r="AZ157" i="50"/>
  <c r="O157" i="50"/>
  <c r="AZ166" i="50"/>
  <c r="O166" i="50"/>
  <c r="L70" i="49"/>
  <c r="F69" i="49"/>
  <c r="AS77" i="50"/>
  <c r="H77" i="50"/>
  <c r="V166" i="50"/>
  <c r="BG166" i="50"/>
  <c r="AS155" i="50"/>
  <c r="H155" i="50"/>
  <c r="V156" i="50"/>
  <c r="BG156" i="50"/>
  <c r="AZ153" i="50"/>
  <c r="O153" i="50"/>
  <c r="V82" i="50"/>
  <c r="BG82" i="50"/>
  <c r="U63" i="50"/>
  <c r="BG63" i="50" s="1"/>
  <c r="BG64" i="50"/>
  <c r="V64" i="50"/>
  <c r="BY63" i="50"/>
  <c r="AM60" i="50"/>
  <c r="BX60" i="50"/>
  <c r="F86" i="85" s="1"/>
  <c r="F86" i="67"/>
  <c r="AL282" i="50"/>
  <c r="BX282" i="50" s="1"/>
  <c r="G70" i="49"/>
  <c r="BG165" i="50"/>
  <c r="V165" i="50"/>
  <c r="AZ73" i="50"/>
  <c r="O73" i="50"/>
  <c r="V158" i="50"/>
  <c r="BG158" i="50"/>
  <c r="AS65" i="50"/>
  <c r="H65" i="50"/>
  <c r="V66" i="50"/>
  <c r="BG66" i="50"/>
  <c r="BG75" i="50"/>
  <c r="V75" i="50"/>
  <c r="AS79" i="50"/>
  <c r="H79" i="50"/>
  <c r="AS160" i="50"/>
  <c r="H160" i="50"/>
  <c r="AS161" i="50"/>
  <c r="H161" i="50"/>
  <c r="O83" i="50"/>
  <c r="AZ83" i="50"/>
  <c r="AZ168" i="50"/>
  <c r="O168" i="50"/>
  <c r="AZ158" i="50"/>
  <c r="O158" i="50"/>
  <c r="AS153" i="50"/>
  <c r="H153" i="50"/>
  <c r="AS75" i="50"/>
  <c r="H75" i="50"/>
  <c r="AS168" i="50"/>
  <c r="H168" i="50"/>
  <c r="V76" i="50"/>
  <c r="BG76" i="50"/>
  <c r="O71" i="50"/>
  <c r="AZ71" i="50"/>
  <c r="BG152" i="50"/>
  <c r="V152" i="50"/>
  <c r="U151" i="50"/>
  <c r="AS80" i="50"/>
  <c r="H80" i="50"/>
  <c r="V81" i="50"/>
  <c r="BG81" i="50"/>
  <c r="V167" i="50"/>
  <c r="BG167" i="50"/>
  <c r="AZ81" i="50"/>
  <c r="O81" i="50"/>
  <c r="V77" i="50"/>
  <c r="BG77" i="50"/>
  <c r="V61" i="50"/>
  <c r="BG61" i="50"/>
  <c r="BG83" i="50"/>
  <c r="V83" i="50"/>
  <c r="V159" i="50"/>
  <c r="BG159" i="50"/>
  <c r="AS156" i="50"/>
  <c r="H156" i="50"/>
  <c r="O165" i="50"/>
  <c r="AZ165" i="50"/>
  <c r="AZ84" i="50"/>
  <c r="O84" i="50"/>
  <c r="AZ82" i="50"/>
  <c r="O82" i="50"/>
  <c r="O155" i="50"/>
  <c r="AZ155" i="50"/>
  <c r="AS76" i="50"/>
  <c r="H76" i="50"/>
  <c r="AS74" i="50"/>
  <c r="H74" i="50"/>
  <c r="BG164" i="50"/>
  <c r="V164" i="50"/>
  <c r="V168" i="50"/>
  <c r="BG168" i="50"/>
  <c r="V73" i="50"/>
  <c r="BG73" i="50"/>
  <c r="O67" i="50"/>
  <c r="AZ67" i="50"/>
  <c r="V78" i="50"/>
  <c r="BG78" i="50"/>
  <c r="AS167" i="50"/>
  <c r="H167" i="50"/>
  <c r="AZ78" i="50"/>
  <c r="O78" i="50"/>
  <c r="AZ80" i="50"/>
  <c r="O80" i="50"/>
  <c r="V161" i="50"/>
  <c r="BG161" i="50"/>
  <c r="AS72" i="50"/>
  <c r="H72" i="50"/>
  <c r="AZ65" i="50"/>
  <c r="O65" i="50"/>
  <c r="O164" i="50"/>
  <c r="AZ164" i="50"/>
  <c r="AZ167" i="50"/>
  <c r="O167" i="50"/>
  <c r="AS68" i="50"/>
  <c r="H68" i="50"/>
  <c r="AS67" i="50"/>
  <c r="H67" i="50"/>
  <c r="AZ162" i="50"/>
  <c r="O162" i="50"/>
  <c r="AS73" i="50"/>
  <c r="H73" i="50"/>
  <c r="AZ161" i="50"/>
  <c r="O161" i="50"/>
  <c r="AS64" i="50"/>
  <c r="G63" i="50"/>
  <c r="AS63" i="50" s="1"/>
  <c r="H64" i="50"/>
  <c r="O75" i="50"/>
  <c r="AZ75" i="50"/>
  <c r="V157" i="50"/>
  <c r="BG157" i="50"/>
  <c r="AZ77" i="50"/>
  <c r="O77" i="50"/>
  <c r="AS71" i="50"/>
  <c r="H71" i="50"/>
  <c r="V160" i="50"/>
  <c r="BG160" i="50"/>
  <c r="AS158" i="50"/>
  <c r="H158" i="50"/>
  <c r="AS154" i="50"/>
  <c r="H154" i="50"/>
  <c r="V155" i="50"/>
  <c r="BG155" i="50"/>
  <c r="AS152" i="50"/>
  <c r="H152" i="50"/>
  <c r="G151" i="50"/>
  <c r="AS165" i="50"/>
  <c r="H165" i="50"/>
  <c r="AZ170" i="50"/>
  <c r="O170" i="50"/>
  <c r="V162" i="50"/>
  <c r="BG162" i="50"/>
  <c r="AZ152" i="50"/>
  <c r="O152" i="50"/>
  <c r="N151" i="50"/>
  <c r="V80" i="50"/>
  <c r="BG80" i="50"/>
  <c r="V74" i="50"/>
  <c r="BG74" i="50"/>
  <c r="H162" i="50"/>
  <c r="AS162" i="50"/>
  <c r="AS157" i="50"/>
  <c r="H157" i="50"/>
  <c r="AS170" i="50"/>
  <c r="H170" i="50"/>
  <c r="AS166" i="50"/>
  <c r="H166" i="50"/>
  <c r="AS164" i="50"/>
  <c r="H164" i="50"/>
  <c r="BG71" i="50"/>
  <c r="V71" i="50"/>
  <c r="AS81" i="50"/>
  <c r="H81" i="50"/>
  <c r="AS62" i="50"/>
  <c r="H62" i="50"/>
  <c r="AZ61" i="50"/>
  <c r="O61" i="50"/>
  <c r="BG67" i="50"/>
  <c r="V67" i="50"/>
  <c r="V170" i="50"/>
  <c r="BG170" i="50"/>
  <c r="V154" i="50"/>
  <c r="BG154" i="50"/>
  <c r="AS169" i="50"/>
  <c r="H169" i="50"/>
  <c r="AS159" i="50"/>
  <c r="H159" i="50"/>
  <c r="AZ154" i="50"/>
  <c r="O154" i="50"/>
  <c r="AZ72" i="50"/>
  <c r="O72" i="50"/>
  <c r="BF59" i="53" l="1"/>
  <c r="DH59" i="53" s="1"/>
  <c r="DH60" i="53"/>
  <c r="CB64" i="53"/>
  <c r="AG64" i="73"/>
  <c r="AF64" i="73"/>
  <c r="BW64" i="73" s="1"/>
  <c r="AY59" i="53"/>
  <c r="DA59" i="53" s="1"/>
  <c r="DA60" i="53"/>
  <c r="BZ64" i="53"/>
  <c r="AB64" i="73"/>
  <c r="BU64" i="73" s="1"/>
  <c r="AC64" i="73"/>
  <c r="BZ60" i="53"/>
  <c r="AB60" i="73"/>
  <c r="BU60" i="73" s="1"/>
  <c r="AC60" i="73"/>
  <c r="CB60" i="53"/>
  <c r="AF60" i="73"/>
  <c r="BW60" i="73" s="1"/>
  <c r="AG60" i="73"/>
  <c r="CA64" i="53"/>
  <c r="AD64" i="73"/>
  <c r="BV64" i="73" s="1"/>
  <c r="AE64" i="73"/>
  <c r="CO44" i="60"/>
  <c r="CP44" i="60"/>
  <c r="CN44" i="60"/>
  <c r="CP40" i="60"/>
  <c r="CO48" i="60"/>
  <c r="DG60" i="53"/>
  <c r="BE59" i="53"/>
  <c r="DG59" i="53" s="1"/>
  <c r="DI60" i="53"/>
  <c r="BG59" i="53"/>
  <c r="DI59" i="53" s="1"/>
  <c r="BM64" i="53"/>
  <c r="BF64" i="53"/>
  <c r="DH64" i="53" s="1"/>
  <c r="AZ64" i="53"/>
  <c r="DB64" i="53" s="1"/>
  <c r="I64" i="73"/>
  <c r="H64" i="73"/>
  <c r="BJ64" i="73" s="1"/>
  <c r="DB60" i="53"/>
  <c r="AZ59" i="53"/>
  <c r="DB59" i="53" s="1"/>
  <c r="BN64" i="53"/>
  <c r="BG64" i="53"/>
  <c r="DI64" i="53" s="1"/>
  <c r="J64" i="73"/>
  <c r="BK64" i="73" s="1"/>
  <c r="K64" i="73"/>
  <c r="BA64" i="53"/>
  <c r="DC64" i="53" s="1"/>
  <c r="BL64" i="53"/>
  <c r="BE64" i="53"/>
  <c r="DG64" i="53" s="1"/>
  <c r="G64" i="73"/>
  <c r="AY64" i="53"/>
  <c r="DA64" i="53" s="1"/>
  <c r="F64" i="73"/>
  <c r="BI64" i="73" s="1"/>
  <c r="BA59" i="53"/>
  <c r="DC59" i="53" s="1"/>
  <c r="DC60" i="53"/>
  <c r="CA60" i="53"/>
  <c r="AD60" i="73"/>
  <c r="BV60" i="73" s="1"/>
  <c r="AE60" i="73"/>
  <c r="CP48" i="60"/>
  <c r="CN48" i="60"/>
  <c r="BE40" i="60"/>
  <c r="H60" i="53"/>
  <c r="BQ48" i="60"/>
  <c r="AT40" i="60"/>
  <c r="P72" i="50"/>
  <c r="BA72" i="50"/>
  <c r="I62" i="50"/>
  <c r="AT62" i="50"/>
  <c r="I166" i="50"/>
  <c r="AT166" i="50"/>
  <c r="W162" i="50"/>
  <c r="BH162" i="50"/>
  <c r="I71" i="50"/>
  <c r="AT71" i="50"/>
  <c r="I64" i="50"/>
  <c r="AT64" i="50"/>
  <c r="P164" i="50"/>
  <c r="BA164" i="50"/>
  <c r="P67" i="50"/>
  <c r="BA67" i="50"/>
  <c r="W167" i="50"/>
  <c r="BH167" i="50"/>
  <c r="I153" i="50"/>
  <c r="AT153" i="50"/>
  <c r="AT161" i="50"/>
  <c r="I161" i="50"/>
  <c r="W165" i="50"/>
  <c r="BH165" i="50"/>
  <c r="W64" i="50"/>
  <c r="BH64" i="50"/>
  <c r="V63" i="50"/>
  <c r="BH63" i="50" s="1"/>
  <c r="W156" i="50"/>
  <c r="BH156" i="50"/>
  <c r="I83" i="50"/>
  <c r="AT83" i="50"/>
  <c r="AT84" i="50"/>
  <c r="I84" i="50"/>
  <c r="W83" i="50"/>
  <c r="BH83" i="50"/>
  <c r="BA156" i="50"/>
  <c r="P156" i="50"/>
  <c r="W154" i="50"/>
  <c r="BH154" i="50"/>
  <c r="P71" i="50"/>
  <c r="BA71" i="50"/>
  <c r="P154" i="50"/>
  <c r="BA154" i="50"/>
  <c r="AT81" i="50"/>
  <c r="I81" i="50"/>
  <c r="I170" i="50"/>
  <c r="AT170" i="50"/>
  <c r="AT154" i="50"/>
  <c r="I154" i="50"/>
  <c r="BA77" i="50"/>
  <c r="P77" i="50"/>
  <c r="W73" i="50"/>
  <c r="BH73" i="50"/>
  <c r="P165" i="50"/>
  <c r="BA165" i="50"/>
  <c r="W61" i="50"/>
  <c r="BH61" i="50"/>
  <c r="W81" i="50"/>
  <c r="BH81" i="50"/>
  <c r="P158" i="50"/>
  <c r="BA158" i="50"/>
  <c r="I160" i="50"/>
  <c r="AT160" i="50"/>
  <c r="I65" i="50"/>
  <c r="AT65" i="50"/>
  <c r="M70" i="49"/>
  <c r="G69" i="49"/>
  <c r="P68" i="50"/>
  <c r="BA68" i="50"/>
  <c r="P163" i="50"/>
  <c r="BA163" i="50"/>
  <c r="BH65" i="50"/>
  <c r="W65" i="50"/>
  <c r="P162" i="50"/>
  <c r="BA162" i="50"/>
  <c r="P84" i="50"/>
  <c r="BA84" i="50"/>
  <c r="P83" i="50"/>
  <c r="BA83" i="50"/>
  <c r="AO38" i="67"/>
  <c r="L69" i="49"/>
  <c r="AO38" i="85" s="1"/>
  <c r="W74" i="50"/>
  <c r="BH74" i="50"/>
  <c r="W155" i="50"/>
  <c r="BH155" i="50"/>
  <c r="P78" i="50"/>
  <c r="BA78" i="50"/>
  <c r="W66" i="50"/>
  <c r="BH66" i="50"/>
  <c r="BA166" i="50"/>
  <c r="P166" i="50"/>
  <c r="W170" i="50"/>
  <c r="BH170" i="50"/>
  <c r="W80" i="50"/>
  <c r="BH80" i="50"/>
  <c r="I165" i="50"/>
  <c r="AT165" i="50"/>
  <c r="BA161" i="50"/>
  <c r="P161" i="50"/>
  <c r="I68" i="50"/>
  <c r="AT68" i="50"/>
  <c r="AT72" i="50"/>
  <c r="I72" i="50"/>
  <c r="AT167" i="50"/>
  <c r="I167" i="50"/>
  <c r="AT156" i="50"/>
  <c r="I156" i="50"/>
  <c r="AT80" i="50"/>
  <c r="I80" i="50"/>
  <c r="W76" i="50"/>
  <c r="BH76" i="50"/>
  <c r="P157" i="50"/>
  <c r="BA157" i="50"/>
  <c r="BA64" i="50"/>
  <c r="P64" i="50"/>
  <c r="O63" i="50"/>
  <c r="BA63" i="50" s="1"/>
  <c r="P159" i="50"/>
  <c r="BA159" i="50"/>
  <c r="BA74" i="50"/>
  <c r="P74" i="50"/>
  <c r="W160" i="50"/>
  <c r="BH160" i="50"/>
  <c r="BA79" i="50"/>
  <c r="P79" i="50"/>
  <c r="W68" i="50"/>
  <c r="BH68" i="50"/>
  <c r="I76" i="50"/>
  <c r="AT76" i="50"/>
  <c r="AT155" i="50"/>
  <c r="I155" i="50"/>
  <c r="BA62" i="50"/>
  <c r="P62" i="50"/>
  <c r="I159" i="50"/>
  <c r="AT159" i="50"/>
  <c r="W67" i="50"/>
  <c r="BH67" i="50"/>
  <c r="W71" i="50"/>
  <c r="BH71" i="50"/>
  <c r="I157" i="50"/>
  <c r="AT157" i="50"/>
  <c r="C31" i="67"/>
  <c r="AZ151" i="50"/>
  <c r="C31" i="85" s="1"/>
  <c r="I158" i="50"/>
  <c r="AT158" i="50"/>
  <c r="W168" i="50"/>
  <c r="BH168" i="50"/>
  <c r="BA155" i="50"/>
  <c r="P155" i="50"/>
  <c r="W77" i="50"/>
  <c r="BH77" i="50"/>
  <c r="I168" i="50"/>
  <c r="AT168" i="50"/>
  <c r="BA168" i="50"/>
  <c r="P168" i="50"/>
  <c r="I79" i="50"/>
  <c r="AT79" i="50"/>
  <c r="W82" i="50"/>
  <c r="BH82" i="50"/>
  <c r="BH166" i="50"/>
  <c r="W166" i="50"/>
  <c r="BH153" i="50"/>
  <c r="W153" i="50"/>
  <c r="I78" i="50"/>
  <c r="AT78" i="50"/>
  <c r="P76" i="50"/>
  <c r="BA76" i="50"/>
  <c r="AT162" i="50"/>
  <c r="I162" i="50"/>
  <c r="BA75" i="50"/>
  <c r="P75" i="50"/>
  <c r="I74" i="50"/>
  <c r="AT74" i="50"/>
  <c r="AT61" i="50"/>
  <c r="I61" i="50"/>
  <c r="BA170" i="50"/>
  <c r="P170" i="50"/>
  <c r="P65" i="50"/>
  <c r="BA65" i="50"/>
  <c r="W169" i="50"/>
  <c r="BH169" i="50"/>
  <c r="I82" i="50"/>
  <c r="AT82" i="50"/>
  <c r="BA152" i="50"/>
  <c r="P152" i="50"/>
  <c r="O151" i="50"/>
  <c r="C13" i="67"/>
  <c r="AS151" i="50"/>
  <c r="C13" i="85" s="1"/>
  <c r="W157" i="50"/>
  <c r="BH157" i="50"/>
  <c r="I73" i="50"/>
  <c r="AT73" i="50"/>
  <c r="BA167" i="50"/>
  <c r="P167" i="50"/>
  <c r="W164" i="50"/>
  <c r="BH164" i="50"/>
  <c r="P82" i="50"/>
  <c r="BA82" i="50"/>
  <c r="P81" i="50"/>
  <c r="BA81" i="50"/>
  <c r="C49" i="67"/>
  <c r="BG151" i="50"/>
  <c r="C49" i="85" s="1"/>
  <c r="BH158" i="50"/>
  <c r="W158" i="50"/>
  <c r="BA153" i="50"/>
  <c r="P153" i="50"/>
  <c r="I77" i="50"/>
  <c r="AT77" i="50"/>
  <c r="I163" i="50"/>
  <c r="AT163" i="50"/>
  <c r="W79" i="50"/>
  <c r="BH79" i="50"/>
  <c r="P169" i="50"/>
  <c r="BA169" i="50"/>
  <c r="H63" i="50"/>
  <c r="AT63" i="50" s="1"/>
  <c r="I66" i="50"/>
  <c r="AT66" i="50"/>
  <c r="P80" i="50"/>
  <c r="BA80" i="50"/>
  <c r="BA66" i="50"/>
  <c r="P66" i="50"/>
  <c r="I67" i="50"/>
  <c r="AT67" i="50"/>
  <c r="W84" i="50"/>
  <c r="BH84" i="50"/>
  <c r="I169" i="50"/>
  <c r="AT169" i="50"/>
  <c r="P61" i="50"/>
  <c r="BA61" i="50"/>
  <c r="I164" i="50"/>
  <c r="AT164" i="50"/>
  <c r="AT152" i="50"/>
  <c r="I152" i="50"/>
  <c r="H151" i="50"/>
  <c r="BH161" i="50"/>
  <c r="W161" i="50"/>
  <c r="BH78" i="50"/>
  <c r="W78" i="50"/>
  <c r="BH159" i="50"/>
  <c r="W159" i="50"/>
  <c r="BH152" i="50"/>
  <c r="W152" i="50"/>
  <c r="V151" i="50"/>
  <c r="AT75" i="50"/>
  <c r="I75" i="50"/>
  <c r="BH75" i="50"/>
  <c r="W75" i="50"/>
  <c r="P73" i="50"/>
  <c r="BA73" i="50"/>
  <c r="BY60" i="50"/>
  <c r="G86" i="85" s="1"/>
  <c r="G86" i="67"/>
  <c r="AM282" i="50"/>
  <c r="BY282" i="50" s="1"/>
  <c r="BH62" i="50"/>
  <c r="W62" i="50"/>
  <c r="W72" i="50"/>
  <c r="BH72" i="50"/>
  <c r="P160" i="50"/>
  <c r="BA160" i="50"/>
  <c r="W163" i="50"/>
  <c r="BH163" i="50"/>
  <c r="D33" i="58"/>
  <c r="CQ40" i="60" l="1"/>
  <c r="BE48" i="60"/>
  <c r="AT48" i="60"/>
  <c r="BQ44" i="60"/>
  <c r="X64" i="53"/>
  <c r="BQ40" i="60"/>
  <c r="X60" i="53"/>
  <c r="BO60" i="53"/>
  <c r="M60" i="73"/>
  <c r="L60" i="73"/>
  <c r="BL60" i="73" s="1"/>
  <c r="BB60" i="53"/>
  <c r="BH60" i="53"/>
  <c r="BE44" i="60"/>
  <c r="AT44" i="60"/>
  <c r="H64" i="53"/>
  <c r="C109" i="85"/>
  <c r="BB170" i="50"/>
  <c r="Q170" i="50"/>
  <c r="AU165" i="50"/>
  <c r="J165" i="50"/>
  <c r="Q73" i="50"/>
  <c r="BB73" i="50"/>
  <c r="X159" i="50"/>
  <c r="BI159" i="50"/>
  <c r="BI84" i="50"/>
  <c r="X84" i="50"/>
  <c r="J66" i="50"/>
  <c r="AU66" i="50"/>
  <c r="J168" i="50"/>
  <c r="AU168" i="50"/>
  <c r="AU158" i="50"/>
  <c r="J158" i="50"/>
  <c r="BI67" i="50"/>
  <c r="X67" i="50"/>
  <c r="J76" i="50"/>
  <c r="AU76" i="50"/>
  <c r="J72" i="50"/>
  <c r="AU72" i="50"/>
  <c r="BI165" i="50"/>
  <c r="X165" i="50"/>
  <c r="BB67" i="50"/>
  <c r="Q67" i="50"/>
  <c r="BI162" i="50"/>
  <c r="X162" i="50"/>
  <c r="AU152" i="50"/>
  <c r="J152" i="50"/>
  <c r="I151" i="50"/>
  <c r="X166" i="50"/>
  <c r="BI166" i="50"/>
  <c r="BB74" i="50"/>
  <c r="Q74" i="50"/>
  <c r="BI72" i="50"/>
  <c r="X72" i="50"/>
  <c r="BI75" i="50"/>
  <c r="X75" i="50"/>
  <c r="J77" i="50"/>
  <c r="AU77" i="50"/>
  <c r="Q81" i="50"/>
  <c r="BB81" i="50"/>
  <c r="J73" i="50"/>
  <c r="AU73" i="50"/>
  <c r="AU61" i="50"/>
  <c r="J61" i="50"/>
  <c r="X76" i="50"/>
  <c r="BI76" i="50"/>
  <c r="X80" i="50"/>
  <c r="BI80" i="50"/>
  <c r="Q78" i="50"/>
  <c r="BB78" i="50"/>
  <c r="BB83" i="50"/>
  <c r="Q83" i="50"/>
  <c r="Q163" i="50"/>
  <c r="BB163" i="50"/>
  <c r="J160" i="50"/>
  <c r="AU160" i="50"/>
  <c r="BB165" i="50"/>
  <c r="Q165" i="50"/>
  <c r="J170" i="50"/>
  <c r="AU170" i="50"/>
  <c r="BI154" i="50"/>
  <c r="X154" i="50"/>
  <c r="AU83" i="50"/>
  <c r="J83" i="50"/>
  <c r="AU161" i="50"/>
  <c r="J161" i="50"/>
  <c r="J162" i="50"/>
  <c r="AU162" i="50"/>
  <c r="BB157" i="50"/>
  <c r="Q157" i="50"/>
  <c r="BI61" i="50"/>
  <c r="X61" i="50"/>
  <c r="BI62" i="50"/>
  <c r="X62" i="50"/>
  <c r="BI78" i="50"/>
  <c r="X78" i="50"/>
  <c r="AU164" i="50"/>
  <c r="J164" i="50"/>
  <c r="J67" i="50"/>
  <c r="AU67" i="50"/>
  <c r="Q153" i="50"/>
  <c r="BB153" i="50"/>
  <c r="J82" i="50"/>
  <c r="AU82" i="50"/>
  <c r="BB76" i="50"/>
  <c r="Q76" i="50"/>
  <c r="BI82" i="50"/>
  <c r="X82" i="50"/>
  <c r="X77" i="50"/>
  <c r="BI77" i="50"/>
  <c r="J159" i="50"/>
  <c r="AU159" i="50"/>
  <c r="BI68" i="50"/>
  <c r="X68" i="50"/>
  <c r="Q159" i="50"/>
  <c r="BB159" i="50"/>
  <c r="J80" i="50"/>
  <c r="AU80" i="50"/>
  <c r="J81" i="50"/>
  <c r="AU81" i="50"/>
  <c r="Q156" i="50"/>
  <c r="BB156" i="50"/>
  <c r="BB164" i="50"/>
  <c r="Q164" i="50"/>
  <c r="J166" i="50"/>
  <c r="AU166" i="50"/>
  <c r="BB71" i="50"/>
  <c r="Q71" i="50"/>
  <c r="J75" i="50"/>
  <c r="AU75" i="50"/>
  <c r="Q66" i="50"/>
  <c r="BB66" i="50"/>
  <c r="Q169" i="50"/>
  <c r="BB169" i="50"/>
  <c r="BB82" i="50"/>
  <c r="Q82" i="50"/>
  <c r="X157" i="50"/>
  <c r="BI157" i="50"/>
  <c r="BB155" i="50"/>
  <c r="Q155" i="50"/>
  <c r="BB62" i="50"/>
  <c r="Q62" i="50"/>
  <c r="Q79" i="50"/>
  <c r="BB79" i="50"/>
  <c r="J68" i="50"/>
  <c r="AU68" i="50"/>
  <c r="BI170" i="50"/>
  <c r="X170" i="50"/>
  <c r="BI155" i="50"/>
  <c r="X155" i="50"/>
  <c r="Q84" i="50"/>
  <c r="BB84" i="50"/>
  <c r="Q68" i="50"/>
  <c r="BB68" i="50"/>
  <c r="Q158" i="50"/>
  <c r="BB158" i="50"/>
  <c r="BI73" i="50"/>
  <c r="X73" i="50"/>
  <c r="BI156" i="50"/>
  <c r="X156" i="50"/>
  <c r="Q160" i="50"/>
  <c r="BB160" i="50"/>
  <c r="X161" i="50"/>
  <c r="BI161" i="50"/>
  <c r="Q61" i="50"/>
  <c r="BB61" i="50"/>
  <c r="BI158" i="50"/>
  <c r="X158" i="50"/>
  <c r="X169" i="50"/>
  <c r="BI169" i="50"/>
  <c r="AU74" i="50"/>
  <c r="J74" i="50"/>
  <c r="J78" i="50"/>
  <c r="AU78" i="50"/>
  <c r="J79" i="50"/>
  <c r="AU79" i="50"/>
  <c r="AU157" i="50"/>
  <c r="J157" i="50"/>
  <c r="BB64" i="50"/>
  <c r="Q64" i="50"/>
  <c r="P63" i="50"/>
  <c r="BB63" i="50" s="1"/>
  <c r="J156" i="50"/>
  <c r="AU156" i="50"/>
  <c r="BB161" i="50"/>
  <c r="Q161" i="50"/>
  <c r="Q166" i="50"/>
  <c r="BB166" i="50"/>
  <c r="AP38" i="67"/>
  <c r="M69" i="49"/>
  <c r="AP38" i="85" s="1"/>
  <c r="Q77" i="50"/>
  <c r="BB77" i="50"/>
  <c r="J153" i="50"/>
  <c r="AU153" i="50"/>
  <c r="AU64" i="50"/>
  <c r="J64" i="50"/>
  <c r="I63" i="50"/>
  <c r="AU63" i="50" s="1"/>
  <c r="J62" i="50"/>
  <c r="AU62" i="50"/>
  <c r="BB152" i="50"/>
  <c r="Q152" i="50"/>
  <c r="P151" i="50"/>
  <c r="BI66" i="50"/>
  <c r="X66" i="50"/>
  <c r="J65" i="50"/>
  <c r="AU65" i="50"/>
  <c r="BI163" i="50"/>
  <c r="X163" i="50"/>
  <c r="D49" i="67"/>
  <c r="BH151" i="50"/>
  <c r="D49" i="85" s="1"/>
  <c r="BI79" i="50"/>
  <c r="X79" i="50"/>
  <c r="BI164" i="50"/>
  <c r="X164" i="50"/>
  <c r="C109" i="67"/>
  <c r="Q75" i="50"/>
  <c r="BB75" i="50"/>
  <c r="X153" i="50"/>
  <c r="BI153" i="50"/>
  <c r="Q168" i="50"/>
  <c r="BB168" i="50"/>
  <c r="AU155" i="50"/>
  <c r="J155" i="50"/>
  <c r="BI74" i="50"/>
  <c r="X74" i="50"/>
  <c r="BB162" i="50"/>
  <c r="Q162" i="50"/>
  <c r="X81" i="50"/>
  <c r="BI81" i="50"/>
  <c r="Q154" i="50"/>
  <c r="BB154" i="50"/>
  <c r="X83" i="50"/>
  <c r="BI83" i="50"/>
  <c r="J163" i="50"/>
  <c r="AU163" i="50"/>
  <c r="BI152" i="50"/>
  <c r="X152" i="50"/>
  <c r="W151" i="50"/>
  <c r="D13" i="67"/>
  <c r="AT151" i="50"/>
  <c r="D13" i="85" s="1"/>
  <c r="J169" i="50"/>
  <c r="AU169" i="50"/>
  <c r="Q80" i="50"/>
  <c r="BB80" i="50"/>
  <c r="Q167" i="50"/>
  <c r="BB167" i="50"/>
  <c r="BA151" i="50"/>
  <c r="D31" i="85" s="1"/>
  <c r="D31" i="67"/>
  <c r="Q65" i="50"/>
  <c r="BB65" i="50"/>
  <c r="X168" i="50"/>
  <c r="BI168" i="50"/>
  <c r="BI71" i="50"/>
  <c r="X71" i="50"/>
  <c r="X160" i="50"/>
  <c r="BI160" i="50"/>
  <c r="J167" i="50"/>
  <c r="AU167" i="50"/>
  <c r="X65" i="50"/>
  <c r="BI65" i="50"/>
  <c r="J154" i="50"/>
  <c r="AU154" i="50"/>
  <c r="J84" i="50"/>
  <c r="AU84" i="50"/>
  <c r="BI64" i="50"/>
  <c r="W63" i="50"/>
  <c r="BI63" i="50" s="1"/>
  <c r="X64" i="50"/>
  <c r="BI167" i="50"/>
  <c r="X167" i="50"/>
  <c r="AU71" i="50"/>
  <c r="J71" i="50"/>
  <c r="BB72" i="50"/>
  <c r="Q72" i="50"/>
  <c r="I113" i="65"/>
  <c r="H113" i="65"/>
  <c r="G113" i="65"/>
  <c r="F113" i="65"/>
  <c r="E113" i="65"/>
  <c r="D113" i="65"/>
  <c r="I93" i="65"/>
  <c r="H93" i="65"/>
  <c r="G93" i="65"/>
  <c r="F93" i="65"/>
  <c r="E93" i="65"/>
  <c r="D93" i="65"/>
  <c r="I82" i="65"/>
  <c r="H82" i="65"/>
  <c r="G82" i="65"/>
  <c r="F82" i="65"/>
  <c r="E82" i="65"/>
  <c r="D82" i="65"/>
  <c r="I78" i="65"/>
  <c r="H78" i="65"/>
  <c r="G78" i="65"/>
  <c r="F78" i="65"/>
  <c r="E78" i="65"/>
  <c r="D78" i="65"/>
  <c r="I71" i="65"/>
  <c r="H71" i="65"/>
  <c r="G71" i="65"/>
  <c r="F71" i="65"/>
  <c r="E71" i="65"/>
  <c r="D71" i="65"/>
  <c r="I128" i="1"/>
  <c r="G128" i="1"/>
  <c r="I62" i="65"/>
  <c r="H62" i="65"/>
  <c r="G62" i="65"/>
  <c r="F62" i="65"/>
  <c r="E62" i="65"/>
  <c r="D62" i="65"/>
  <c r="CQ48" i="60" l="1"/>
  <c r="BH59" i="53"/>
  <c r="DJ59" i="53" s="1"/>
  <c r="DJ60" i="53"/>
  <c r="BO64" i="53"/>
  <c r="BH64" i="53"/>
  <c r="DJ64" i="53" s="1"/>
  <c r="M64" i="73"/>
  <c r="BB64" i="53"/>
  <c r="DD64" i="53" s="1"/>
  <c r="L64" i="73"/>
  <c r="BL64" i="73" s="1"/>
  <c r="BB59" i="53"/>
  <c r="DD59" i="53" s="1"/>
  <c r="DD60" i="53"/>
  <c r="CC60" i="53"/>
  <c r="AI60" i="73"/>
  <c r="AH60" i="73"/>
  <c r="BX60" i="73" s="1"/>
  <c r="CC64" i="53"/>
  <c r="AH64" i="73"/>
  <c r="BX64" i="73" s="1"/>
  <c r="AI64" i="73"/>
  <c r="CQ44" i="60"/>
  <c r="G83" i="39"/>
  <c r="G70" i="83"/>
  <c r="H83" i="39"/>
  <c r="H70" i="83"/>
  <c r="D109" i="85"/>
  <c r="C67" i="39"/>
  <c r="C63" i="83"/>
  <c r="D67" i="39"/>
  <c r="D63" i="83"/>
  <c r="C83" i="39"/>
  <c r="C70" i="83"/>
  <c r="E67" i="39"/>
  <c r="E63" i="83"/>
  <c r="F67" i="39"/>
  <c r="F63" i="83"/>
  <c r="D83" i="39"/>
  <c r="D70" i="83"/>
  <c r="G67" i="39"/>
  <c r="G63" i="83"/>
  <c r="E83" i="39"/>
  <c r="E70" i="83"/>
  <c r="H67" i="39"/>
  <c r="H63" i="83"/>
  <c r="F83" i="39"/>
  <c r="F70" i="83"/>
  <c r="K68" i="50"/>
  <c r="AW68" i="50" s="1"/>
  <c r="AV68" i="50"/>
  <c r="AV77" i="50"/>
  <c r="K77" i="50"/>
  <c r="AW77" i="50" s="1"/>
  <c r="R72" i="50"/>
  <c r="BD72" i="50" s="1"/>
  <c r="BC72" i="50"/>
  <c r="AV167" i="50"/>
  <c r="K167" i="50"/>
  <c r="AW167" i="50" s="1"/>
  <c r="BC65" i="50"/>
  <c r="R65" i="50"/>
  <c r="BD65" i="50" s="1"/>
  <c r="AV169" i="50"/>
  <c r="K169" i="50"/>
  <c r="AW169" i="50" s="1"/>
  <c r="Y74" i="50"/>
  <c r="BK74" i="50" s="1"/>
  <c r="BJ74" i="50"/>
  <c r="BC152" i="50"/>
  <c r="R152" i="50"/>
  <c r="Q151" i="50"/>
  <c r="K153" i="50"/>
  <c r="AW153" i="50" s="1"/>
  <c r="AV153" i="50"/>
  <c r="Y158" i="50"/>
  <c r="BK158" i="50" s="1"/>
  <c r="BJ158" i="50"/>
  <c r="BJ156" i="50"/>
  <c r="Y156" i="50"/>
  <c r="BK156" i="50" s="1"/>
  <c r="BC82" i="50"/>
  <c r="R82" i="50"/>
  <c r="BD82" i="50" s="1"/>
  <c r="BC71" i="50"/>
  <c r="R71" i="50"/>
  <c r="BD71" i="50" s="1"/>
  <c r="Y78" i="50"/>
  <c r="BK78" i="50" s="1"/>
  <c r="BJ78" i="50"/>
  <c r="R83" i="50"/>
  <c r="BD83" i="50" s="1"/>
  <c r="BC83" i="50"/>
  <c r="AV61" i="50"/>
  <c r="K61" i="50"/>
  <c r="AW61" i="50" s="1"/>
  <c r="Y75" i="50"/>
  <c r="BK75" i="50" s="1"/>
  <c r="BJ75" i="50"/>
  <c r="E13" i="67"/>
  <c r="AU151" i="50"/>
  <c r="E13" i="85" s="1"/>
  <c r="Y159" i="50"/>
  <c r="BK159" i="50" s="1"/>
  <c r="BJ159" i="50"/>
  <c r="E31" i="67"/>
  <c r="BB151" i="50"/>
  <c r="E31" i="85" s="1"/>
  <c r="BJ169" i="50"/>
  <c r="Y169" i="50"/>
  <c r="BK169" i="50" s="1"/>
  <c r="AV75" i="50"/>
  <c r="K75" i="50"/>
  <c r="AW75" i="50" s="1"/>
  <c r="Y165" i="50"/>
  <c r="BK165" i="50" s="1"/>
  <c r="BJ165" i="50"/>
  <c r="BJ83" i="50"/>
  <c r="Y83" i="50"/>
  <c r="BK83" i="50" s="1"/>
  <c r="R75" i="50"/>
  <c r="BD75" i="50" s="1"/>
  <c r="BC75" i="50"/>
  <c r="Y163" i="50"/>
  <c r="BK163" i="50" s="1"/>
  <c r="BJ163" i="50"/>
  <c r="K79" i="50"/>
  <c r="AW79" i="50" s="1"/>
  <c r="AV79" i="50"/>
  <c r="R84" i="50"/>
  <c r="BD84" i="50" s="1"/>
  <c r="BC84" i="50"/>
  <c r="BC79" i="50"/>
  <c r="R79" i="50"/>
  <c r="BD79" i="50" s="1"/>
  <c r="K81" i="50"/>
  <c r="AW81" i="50" s="1"/>
  <c r="AV81" i="50"/>
  <c r="AV159" i="50"/>
  <c r="K159" i="50"/>
  <c r="AW159" i="50" s="1"/>
  <c r="AV82" i="50"/>
  <c r="K82" i="50"/>
  <c r="AW82" i="50" s="1"/>
  <c r="K162" i="50"/>
  <c r="AW162" i="50" s="1"/>
  <c r="AV162" i="50"/>
  <c r="K170" i="50"/>
  <c r="AW170" i="50" s="1"/>
  <c r="AV170" i="50"/>
  <c r="AV152" i="50"/>
  <c r="K152" i="50"/>
  <c r="J151" i="50"/>
  <c r="R160" i="50"/>
  <c r="BD160" i="50" s="1"/>
  <c r="BC160" i="50"/>
  <c r="R163" i="50"/>
  <c r="BD163" i="50" s="1"/>
  <c r="BC163" i="50"/>
  <c r="K71" i="50"/>
  <c r="AW71" i="50" s="1"/>
  <c r="AV71" i="50"/>
  <c r="K84" i="50"/>
  <c r="AW84" i="50" s="1"/>
  <c r="AV84" i="50"/>
  <c r="Y160" i="50"/>
  <c r="BK160" i="50" s="1"/>
  <c r="BJ160" i="50"/>
  <c r="D109" i="67"/>
  <c r="K155" i="50"/>
  <c r="AW155" i="50" s="1"/>
  <c r="AV155" i="50"/>
  <c r="R77" i="50"/>
  <c r="BD77" i="50" s="1"/>
  <c r="BC77" i="50"/>
  <c r="AV156" i="50"/>
  <c r="K156" i="50"/>
  <c r="AW156" i="50" s="1"/>
  <c r="BJ73" i="50"/>
  <c r="Y73" i="50"/>
  <c r="BK73" i="50" s="1"/>
  <c r="Y155" i="50"/>
  <c r="BK155" i="50" s="1"/>
  <c r="BJ155" i="50"/>
  <c r="R62" i="50"/>
  <c r="BD62" i="50" s="1"/>
  <c r="BC62" i="50"/>
  <c r="Y62" i="50"/>
  <c r="BK62" i="50" s="1"/>
  <c r="BJ62" i="50"/>
  <c r="K161" i="50"/>
  <c r="AW161" i="50" s="1"/>
  <c r="AV161" i="50"/>
  <c r="R165" i="50"/>
  <c r="BD165" i="50" s="1"/>
  <c r="BC165" i="50"/>
  <c r="BJ72" i="50"/>
  <c r="Y72" i="50"/>
  <c r="BK72" i="50" s="1"/>
  <c r="K72" i="50"/>
  <c r="AW72" i="50" s="1"/>
  <c r="AV72" i="50"/>
  <c r="K168" i="50"/>
  <c r="AW168" i="50" s="1"/>
  <c r="AV168" i="50"/>
  <c r="BC73" i="50"/>
  <c r="R73" i="50"/>
  <c r="BD73" i="50" s="1"/>
  <c r="R161" i="50"/>
  <c r="BD161" i="50" s="1"/>
  <c r="BC161" i="50"/>
  <c r="Y71" i="50"/>
  <c r="BK71" i="50" s="1"/>
  <c r="BJ71" i="50"/>
  <c r="E49" i="67"/>
  <c r="BI151" i="50"/>
  <c r="E49" i="85" s="1"/>
  <c r="R154" i="50"/>
  <c r="BD154" i="50" s="1"/>
  <c r="BC154" i="50"/>
  <c r="Y164" i="50"/>
  <c r="BK164" i="50" s="1"/>
  <c r="BJ164" i="50"/>
  <c r="AV62" i="50"/>
  <c r="K62" i="50"/>
  <c r="AW62" i="50" s="1"/>
  <c r="AV78" i="50"/>
  <c r="K78" i="50"/>
  <c r="AW78" i="50" s="1"/>
  <c r="R61" i="50"/>
  <c r="BD61" i="50" s="1"/>
  <c r="BC61" i="50"/>
  <c r="R169" i="50"/>
  <c r="BD169" i="50" s="1"/>
  <c r="BC169" i="50"/>
  <c r="K166" i="50"/>
  <c r="AW166" i="50" s="1"/>
  <c r="AV166" i="50"/>
  <c r="K80" i="50"/>
  <c r="AW80" i="50" s="1"/>
  <c r="AV80" i="50"/>
  <c r="Y77" i="50"/>
  <c r="BK77" i="50" s="1"/>
  <c r="BJ77" i="50"/>
  <c r="R153" i="50"/>
  <c r="BD153" i="50" s="1"/>
  <c r="BC153" i="50"/>
  <c r="R78" i="50"/>
  <c r="BD78" i="50" s="1"/>
  <c r="BC78" i="50"/>
  <c r="K73" i="50"/>
  <c r="AW73" i="50" s="1"/>
  <c r="AV73" i="50"/>
  <c r="BJ162" i="50"/>
  <c r="Y162" i="50"/>
  <c r="BK162" i="50" s="1"/>
  <c r="K165" i="50"/>
  <c r="AW165" i="50" s="1"/>
  <c r="AV165" i="50"/>
  <c r="AV163" i="50"/>
  <c r="K163" i="50"/>
  <c r="AW163" i="50" s="1"/>
  <c r="BC68" i="50"/>
  <c r="R68" i="50"/>
  <c r="BD68" i="50" s="1"/>
  <c r="Y166" i="50"/>
  <c r="BK166" i="50" s="1"/>
  <c r="BJ166" i="50"/>
  <c r="BJ167" i="50"/>
  <c r="Y167" i="50"/>
  <c r="BK167" i="50" s="1"/>
  <c r="K154" i="50"/>
  <c r="AW154" i="50" s="1"/>
  <c r="AV154" i="50"/>
  <c r="R167" i="50"/>
  <c r="BD167" i="50" s="1"/>
  <c r="BC167" i="50"/>
  <c r="BJ152" i="50"/>
  <c r="Y152" i="50"/>
  <c r="X151" i="50"/>
  <c r="AV65" i="50"/>
  <c r="K65" i="50"/>
  <c r="AW65" i="50" s="1"/>
  <c r="BC64" i="50"/>
  <c r="R64" i="50"/>
  <c r="Q63" i="50"/>
  <c r="BC63" i="50" s="1"/>
  <c r="K74" i="50"/>
  <c r="AW74" i="50" s="1"/>
  <c r="AV74" i="50"/>
  <c r="BJ170" i="50"/>
  <c r="Y170" i="50"/>
  <c r="BK170" i="50" s="1"/>
  <c r="R155" i="50"/>
  <c r="BD155" i="50" s="1"/>
  <c r="BC155" i="50"/>
  <c r="R164" i="50"/>
  <c r="BD164" i="50" s="1"/>
  <c r="BC164" i="50"/>
  <c r="Y82" i="50"/>
  <c r="BK82" i="50" s="1"/>
  <c r="BJ82" i="50"/>
  <c r="Y61" i="50"/>
  <c r="BK61" i="50" s="1"/>
  <c r="BJ61" i="50"/>
  <c r="K83" i="50"/>
  <c r="AW83" i="50" s="1"/>
  <c r="AV83" i="50"/>
  <c r="R74" i="50"/>
  <c r="BD74" i="50" s="1"/>
  <c r="BC74" i="50"/>
  <c r="AV76" i="50"/>
  <c r="K76" i="50"/>
  <c r="AW76" i="50" s="1"/>
  <c r="K66" i="50"/>
  <c r="AW66" i="50" s="1"/>
  <c r="AV66" i="50"/>
  <c r="BJ153" i="50"/>
  <c r="Y153" i="50"/>
  <c r="BK153" i="50" s="1"/>
  <c r="BJ157" i="50"/>
  <c r="Y157" i="50"/>
  <c r="BK157" i="50" s="1"/>
  <c r="Y76" i="50"/>
  <c r="BK76" i="50" s="1"/>
  <c r="BJ76" i="50"/>
  <c r="Y81" i="50"/>
  <c r="BK81" i="50" s="1"/>
  <c r="BJ81" i="50"/>
  <c r="R168" i="50"/>
  <c r="BD168" i="50" s="1"/>
  <c r="BC168" i="50"/>
  <c r="Y79" i="50"/>
  <c r="BK79" i="50" s="1"/>
  <c r="BJ79" i="50"/>
  <c r="BJ66" i="50"/>
  <c r="Y66" i="50"/>
  <c r="BK66" i="50" s="1"/>
  <c r="AV64" i="50"/>
  <c r="K64" i="50"/>
  <c r="J63" i="50"/>
  <c r="AV63" i="50" s="1"/>
  <c r="BJ161" i="50"/>
  <c r="Y161" i="50"/>
  <c r="BK161" i="50" s="1"/>
  <c r="BC158" i="50"/>
  <c r="R158" i="50"/>
  <c r="BD158" i="50" s="1"/>
  <c r="BC66" i="50"/>
  <c r="R66" i="50"/>
  <c r="BD66" i="50" s="1"/>
  <c r="BC159" i="50"/>
  <c r="R159" i="50"/>
  <c r="BD159" i="50" s="1"/>
  <c r="K67" i="50"/>
  <c r="AW67" i="50" s="1"/>
  <c r="AV67" i="50"/>
  <c r="K160" i="50"/>
  <c r="AW160" i="50" s="1"/>
  <c r="AV160" i="50"/>
  <c r="Y80" i="50"/>
  <c r="BK80" i="50" s="1"/>
  <c r="BJ80" i="50"/>
  <c r="BC81" i="50"/>
  <c r="R81" i="50"/>
  <c r="BD81" i="50" s="1"/>
  <c r="BC67" i="50"/>
  <c r="R67" i="50"/>
  <c r="BD67" i="50" s="1"/>
  <c r="Y67" i="50"/>
  <c r="BK67" i="50" s="1"/>
  <c r="BJ67" i="50"/>
  <c r="BJ84" i="50"/>
  <c r="Y84" i="50"/>
  <c r="BK84" i="50" s="1"/>
  <c r="R170" i="50"/>
  <c r="BD170" i="50" s="1"/>
  <c r="BC170" i="50"/>
  <c r="R156" i="50"/>
  <c r="BD156" i="50" s="1"/>
  <c r="BC156" i="50"/>
  <c r="K158" i="50"/>
  <c r="AW158" i="50" s="1"/>
  <c r="AV158" i="50"/>
  <c r="BJ64" i="50"/>
  <c r="Y64" i="50"/>
  <c r="X63" i="50"/>
  <c r="BJ63" i="50" s="1"/>
  <c r="Y65" i="50"/>
  <c r="BK65" i="50" s="1"/>
  <c r="BJ65" i="50"/>
  <c r="Y168" i="50"/>
  <c r="BK168" i="50" s="1"/>
  <c r="BJ168" i="50"/>
  <c r="R80" i="50"/>
  <c r="BD80" i="50" s="1"/>
  <c r="BC80" i="50"/>
  <c r="R162" i="50"/>
  <c r="BD162" i="50" s="1"/>
  <c r="BC162" i="50"/>
  <c r="R166" i="50"/>
  <c r="BD166" i="50" s="1"/>
  <c r="BC166" i="50"/>
  <c r="K157" i="50"/>
  <c r="AW157" i="50" s="1"/>
  <c r="AV157" i="50"/>
  <c r="BJ68" i="50"/>
  <c r="Y68" i="50"/>
  <c r="BK68" i="50" s="1"/>
  <c r="R76" i="50"/>
  <c r="BD76" i="50" s="1"/>
  <c r="BC76" i="50"/>
  <c r="K164" i="50"/>
  <c r="AW164" i="50" s="1"/>
  <c r="AV164" i="50"/>
  <c r="BC157" i="50"/>
  <c r="R157" i="50"/>
  <c r="BD157" i="50" s="1"/>
  <c r="Y154" i="50"/>
  <c r="BK154" i="50" s="1"/>
  <c r="BJ154" i="50"/>
  <c r="E63" i="78"/>
  <c r="F63" i="78"/>
  <c r="D70" i="78"/>
  <c r="H70" i="78"/>
  <c r="C70" i="78"/>
  <c r="C63" i="78"/>
  <c r="G63" i="78"/>
  <c r="E70" i="78"/>
  <c r="G70" i="78"/>
  <c r="D63" i="78"/>
  <c r="H63" i="78"/>
  <c r="F70" i="78"/>
  <c r="G79" i="65"/>
  <c r="C31" i="5"/>
  <c r="F104" i="65"/>
  <c r="F110" i="65" s="1"/>
  <c r="F17" i="65" s="1"/>
  <c r="G67" i="65"/>
  <c r="G68" i="65" s="1"/>
  <c r="I75" i="65"/>
  <c r="I77" i="65" s="1"/>
  <c r="D67" i="65"/>
  <c r="D68" i="65" s="1"/>
  <c r="E75" i="65"/>
  <c r="E77" i="65" s="1"/>
  <c r="E127" i="1"/>
  <c r="I104" i="65"/>
  <c r="H127" i="1"/>
  <c r="I127" i="1"/>
  <c r="I83" i="65"/>
  <c r="F109" i="65"/>
  <c r="G127" i="1"/>
  <c r="F75" i="65"/>
  <c r="F77" i="65" s="1"/>
  <c r="H98" i="65"/>
  <c r="H99" i="65" s="1"/>
  <c r="F103" i="65"/>
  <c r="F98" i="65"/>
  <c r="F99" i="65" s="1"/>
  <c r="H128" i="1"/>
  <c r="I98" i="65"/>
  <c r="I99" i="65" s="1"/>
  <c r="E67" i="65"/>
  <c r="E68" i="65" s="1"/>
  <c r="I67" i="65"/>
  <c r="I68" i="65" s="1"/>
  <c r="F67" i="65"/>
  <c r="F68" i="65" s="1"/>
  <c r="D75" i="65"/>
  <c r="D77" i="65" s="1"/>
  <c r="G75" i="65"/>
  <c r="D101" i="65"/>
  <c r="G101" i="65"/>
  <c r="E128" i="1"/>
  <c r="J128" i="1"/>
  <c r="F128" i="1"/>
  <c r="J127" i="1"/>
  <c r="F127" i="1"/>
  <c r="H104" i="65"/>
  <c r="D103" i="65"/>
  <c r="G103" i="65"/>
  <c r="F107" i="65"/>
  <c r="F70" i="65"/>
  <c r="E70" i="65"/>
  <c r="F72" i="65"/>
  <c r="I72" i="65"/>
  <c r="F79" i="65"/>
  <c r="I79" i="65"/>
  <c r="F83" i="65"/>
  <c r="F101" i="65"/>
  <c r="D107" i="65"/>
  <c r="G107" i="65"/>
  <c r="D109" i="65"/>
  <c r="G109" i="65"/>
  <c r="H70" i="65"/>
  <c r="H72" i="65"/>
  <c r="H79" i="65"/>
  <c r="H83" i="65"/>
  <c r="E107" i="65"/>
  <c r="I107" i="65"/>
  <c r="E109" i="65"/>
  <c r="I109" i="65"/>
  <c r="E101" i="65"/>
  <c r="I101" i="65"/>
  <c r="E103" i="65"/>
  <c r="I103" i="65"/>
  <c r="G72" i="65"/>
  <c r="G70" i="65"/>
  <c r="D83" i="65"/>
  <c r="E98" i="65"/>
  <c r="E99" i="65" s="1"/>
  <c r="H107" i="65"/>
  <c r="H67" i="65"/>
  <c r="H68" i="65" s="1"/>
  <c r="I70" i="65"/>
  <c r="D72" i="65"/>
  <c r="H75" i="65"/>
  <c r="H77" i="65" s="1"/>
  <c r="D79" i="65"/>
  <c r="E83" i="65"/>
  <c r="G98" i="65"/>
  <c r="G99" i="65" s="1"/>
  <c r="H101" i="65"/>
  <c r="D70" i="65"/>
  <c r="E72" i="65"/>
  <c r="E79" i="65"/>
  <c r="G83" i="65"/>
  <c r="D98" i="65"/>
  <c r="D99" i="65" s="1"/>
  <c r="H103" i="65"/>
  <c r="G104" i="65"/>
  <c r="H109" i="65"/>
  <c r="D104" i="65"/>
  <c r="E104" i="65"/>
  <c r="E65" i="78" l="1"/>
  <c r="E65" i="83"/>
  <c r="F65" i="78"/>
  <c r="F65" i="83"/>
  <c r="E72" i="78"/>
  <c r="E72" i="83"/>
  <c r="E109" i="85"/>
  <c r="H65" i="78"/>
  <c r="H65" i="83"/>
  <c r="F72" i="78"/>
  <c r="F72" i="83"/>
  <c r="E73" i="78"/>
  <c r="E73" i="83"/>
  <c r="H72" i="78"/>
  <c r="H72" i="83"/>
  <c r="G72" i="78"/>
  <c r="G72" i="83"/>
  <c r="D72" i="78"/>
  <c r="D72" i="83"/>
  <c r="G65" i="78"/>
  <c r="G65" i="83"/>
  <c r="D65" i="78"/>
  <c r="D65" i="83"/>
  <c r="C65" i="78"/>
  <c r="C65" i="83"/>
  <c r="C72" i="78"/>
  <c r="C72" i="83"/>
  <c r="BD152" i="50"/>
  <c r="R151" i="50"/>
  <c r="K63" i="50"/>
  <c r="AW63" i="50" s="1"/>
  <c r="AW64" i="50"/>
  <c r="AW152" i="50"/>
  <c r="K151" i="50"/>
  <c r="BK64" i="50"/>
  <c r="Y63" i="50"/>
  <c r="BK63" i="50" s="1"/>
  <c r="BJ151" i="50"/>
  <c r="F49" i="85" s="1"/>
  <c r="F49" i="67"/>
  <c r="BK152" i="50"/>
  <c r="Y151" i="50"/>
  <c r="F13" i="67"/>
  <c r="AV151" i="50"/>
  <c r="F13" i="85" s="1"/>
  <c r="E109" i="67"/>
  <c r="BD64" i="50"/>
  <c r="R63" i="50"/>
  <c r="BD63" i="50" s="1"/>
  <c r="BC151" i="50"/>
  <c r="F31" i="85" s="1"/>
  <c r="F31" i="67"/>
  <c r="F105" i="65"/>
  <c r="G76" i="65"/>
  <c r="G77" i="65"/>
  <c r="D76" i="65"/>
  <c r="I76" i="65"/>
  <c r="F88" i="65"/>
  <c r="H110" i="65"/>
  <c r="D110" i="65"/>
  <c r="E76" i="65"/>
  <c r="I110" i="65"/>
  <c r="E110" i="65"/>
  <c r="G110" i="65"/>
  <c r="H105" i="65"/>
  <c r="I105" i="65"/>
  <c r="I88" i="65"/>
  <c r="F76" i="65"/>
  <c r="E43" i="17"/>
  <c r="E88" i="65"/>
  <c r="D88" i="65"/>
  <c r="G88" i="65"/>
  <c r="E105" i="65"/>
  <c r="D105" i="65"/>
  <c r="G105" i="65"/>
  <c r="H76" i="65"/>
  <c r="H88" i="65"/>
  <c r="H73" i="83" l="1"/>
  <c r="I17" i="65"/>
  <c r="F73" i="83"/>
  <c r="G17" i="65"/>
  <c r="G114" i="65" s="1"/>
  <c r="C73" i="83"/>
  <c r="D17" i="65"/>
  <c r="D114" i="65" s="1"/>
  <c r="D73" i="83"/>
  <c r="E17" i="65"/>
  <c r="E114" i="65" s="1"/>
  <c r="G73" i="83"/>
  <c r="H17" i="65"/>
  <c r="H66" i="78"/>
  <c r="H66" i="83"/>
  <c r="G66" i="78"/>
  <c r="G66" i="83"/>
  <c r="D66" i="78"/>
  <c r="D66" i="83"/>
  <c r="F66" i="78"/>
  <c r="F66" i="83"/>
  <c r="E66" i="78"/>
  <c r="E66" i="83"/>
  <c r="C66" i="78"/>
  <c r="C66" i="83"/>
  <c r="F109" i="85"/>
  <c r="F109" i="67"/>
  <c r="AW151" i="50"/>
  <c r="G13" i="85" s="1"/>
  <c r="G13" i="67"/>
  <c r="G49" i="67"/>
  <c r="BK151" i="50"/>
  <c r="G49" i="85" s="1"/>
  <c r="G31" i="67"/>
  <c r="BD151" i="50"/>
  <c r="G31" i="85" s="1"/>
  <c r="F89" i="65"/>
  <c r="F91" i="65"/>
  <c r="I111" i="65"/>
  <c r="H73" i="78"/>
  <c r="D73" i="78"/>
  <c r="H114" i="65"/>
  <c r="G73" i="78"/>
  <c r="G129" i="1"/>
  <c r="G40" i="2" s="1"/>
  <c r="AD37" i="83" s="1"/>
  <c r="F73" i="78"/>
  <c r="C73" i="78"/>
  <c r="I112" i="65"/>
  <c r="F37" i="17"/>
  <c r="G90" i="65"/>
  <c r="E129" i="1"/>
  <c r="D90" i="65"/>
  <c r="H37" i="17"/>
  <c r="I90" i="65"/>
  <c r="G37" i="17"/>
  <c r="H90" i="65"/>
  <c r="E89" i="65"/>
  <c r="E90" i="65"/>
  <c r="E37" i="17"/>
  <c r="F90" i="65"/>
  <c r="I91" i="65"/>
  <c r="H112" i="65"/>
  <c r="H111" i="65"/>
  <c r="H43" i="17"/>
  <c r="G43" i="17"/>
  <c r="I114" i="65"/>
  <c r="J129" i="1"/>
  <c r="I89" i="65"/>
  <c r="F112" i="65"/>
  <c r="F114" i="65"/>
  <c r="F111" i="65"/>
  <c r="D91" i="65"/>
  <c r="E91" i="65"/>
  <c r="D37" i="17"/>
  <c r="F129" i="1"/>
  <c r="D89" i="65"/>
  <c r="D43" i="17"/>
  <c r="F43" i="17"/>
  <c r="G89" i="65"/>
  <c r="H129" i="1"/>
  <c r="G91" i="65"/>
  <c r="I129" i="1"/>
  <c r="H89" i="65"/>
  <c r="H91" i="65"/>
  <c r="G111" i="65"/>
  <c r="G112" i="65"/>
  <c r="D111" i="65"/>
  <c r="D112" i="65"/>
  <c r="E111" i="65"/>
  <c r="E112" i="65"/>
  <c r="G41" i="2" l="1"/>
  <c r="AD38" i="83" s="1"/>
  <c r="G109" i="85"/>
  <c r="C67" i="78"/>
  <c r="C67" i="83"/>
  <c r="H67" i="78"/>
  <c r="H67" i="83"/>
  <c r="E68" i="78"/>
  <c r="E68" i="83"/>
  <c r="C68" i="78"/>
  <c r="C68" i="83"/>
  <c r="H74" i="78"/>
  <c r="H74" i="83"/>
  <c r="G67" i="78"/>
  <c r="G67" i="83"/>
  <c r="E67" i="78"/>
  <c r="E67" i="83"/>
  <c r="D67" i="78"/>
  <c r="D67" i="83"/>
  <c r="F68" i="78"/>
  <c r="F68" i="83"/>
  <c r="D68" i="78"/>
  <c r="D68" i="83"/>
  <c r="D74" i="78"/>
  <c r="D74" i="83"/>
  <c r="G68" i="78"/>
  <c r="G68" i="83"/>
  <c r="F74" i="78"/>
  <c r="F74" i="83"/>
  <c r="F67" i="78"/>
  <c r="F67" i="83"/>
  <c r="E74" i="78"/>
  <c r="E74" i="83"/>
  <c r="G74" i="78"/>
  <c r="G74" i="83"/>
  <c r="C74" i="78"/>
  <c r="C74" i="83"/>
  <c r="H68" i="78"/>
  <c r="H68" i="83"/>
  <c r="G109" i="67"/>
  <c r="AD37" i="78"/>
  <c r="AD38" i="78"/>
  <c r="I40" i="2"/>
  <c r="AF37" i="83" s="1"/>
  <c r="I41" i="2"/>
  <c r="AF38" i="83" s="1"/>
  <c r="H40" i="2"/>
  <c r="H41" i="2"/>
  <c r="F41" i="2"/>
  <c r="F40" i="2"/>
  <c r="AC37" i="83" s="1"/>
  <c r="J41" i="2"/>
  <c r="AG38" i="83" s="1"/>
  <c r="J40" i="2"/>
  <c r="AG37" i="83" s="1"/>
  <c r="E40" i="2"/>
  <c r="E41" i="2"/>
  <c r="AB38" i="83" s="1"/>
  <c r="AB37" i="78" l="1"/>
  <c r="AB37" i="83"/>
  <c r="R41" i="2"/>
  <c r="AC38" i="83"/>
  <c r="S41" i="2"/>
  <c r="AE38" i="83"/>
  <c r="S40" i="2"/>
  <c r="AE37" i="83"/>
  <c r="U41" i="2"/>
  <c r="AC37" i="78"/>
  <c r="Q40" i="2"/>
  <c r="AF38" i="78"/>
  <c r="T41" i="2"/>
  <c r="R40" i="2"/>
  <c r="AG37" i="78"/>
  <c r="U40" i="2"/>
  <c r="AC38" i="78"/>
  <c r="Q41" i="2"/>
  <c r="AF37" i="78"/>
  <c r="T40" i="2"/>
  <c r="AB38" i="78"/>
  <c r="AE38" i="78"/>
  <c r="AG38" i="78"/>
  <c r="AE37" i="78"/>
  <c r="AA67" i="53" l="1"/>
  <c r="CE67" i="53" s="1"/>
  <c r="AA90" i="53"/>
  <c r="CE90" i="53" s="1"/>
  <c r="T93" i="85" s="1"/>
  <c r="AJ67" i="73" l="1"/>
  <c r="BY67" i="73" s="1"/>
  <c r="AA63" i="53"/>
  <c r="AJ90" i="73"/>
  <c r="BY90" i="73" s="1"/>
  <c r="T93" i="67"/>
  <c r="AI67" i="53"/>
  <c r="CL67" i="53" s="1"/>
  <c r="AJ90" i="53"/>
  <c r="CM90" i="53" s="1"/>
  <c r="U117" i="85" s="1"/>
  <c r="AI90" i="53"/>
  <c r="CL90" i="53" s="1"/>
  <c r="T117" i="85" s="1"/>
  <c r="AL90" i="53"/>
  <c r="AC67" i="53"/>
  <c r="AL67" i="53"/>
  <c r="AF67" i="53"/>
  <c r="CJ67" i="53" s="1"/>
  <c r="AE67" i="53"/>
  <c r="AB67" i="53"/>
  <c r="CF67" i="53" s="1"/>
  <c r="AK67" i="53"/>
  <c r="AM67" i="53"/>
  <c r="AN67" i="53"/>
  <c r="CQ67" i="53" s="1"/>
  <c r="AD90" i="53"/>
  <c r="AE90" i="53"/>
  <c r="AF90" i="53"/>
  <c r="Z117" i="85" l="1"/>
  <c r="W117" i="67"/>
  <c r="CO90" i="53"/>
  <c r="W117" i="85" s="1"/>
  <c r="Y93" i="67"/>
  <c r="AA93" i="67" s="1"/>
  <c r="CJ90" i="53"/>
  <c r="Y93" i="85" s="1"/>
  <c r="AA93" i="85" s="1"/>
  <c r="AM63" i="53"/>
  <c r="CP63" i="53" s="1"/>
  <c r="X109" i="85" s="1"/>
  <c r="CP67" i="53"/>
  <c r="AK63" i="53"/>
  <c r="CN63" i="53" s="1"/>
  <c r="V109" i="85" s="1"/>
  <c r="CN67" i="53"/>
  <c r="AE63" i="53"/>
  <c r="CI63" i="53" s="1"/>
  <c r="X85" i="85" s="1"/>
  <c r="CI67" i="53"/>
  <c r="X93" i="67"/>
  <c r="CI90" i="53"/>
  <c r="X93" i="85" s="1"/>
  <c r="AL63" i="53"/>
  <c r="CO63" i="53" s="1"/>
  <c r="W109" i="85" s="1"/>
  <c r="CO67" i="53"/>
  <c r="T85" i="67"/>
  <c r="T88" i="67" s="1"/>
  <c r="CE63" i="53"/>
  <c r="T85" i="85" s="1"/>
  <c r="T88" i="85" s="1"/>
  <c r="W93" i="67"/>
  <c r="CH90" i="53"/>
  <c r="W93" i="85" s="1"/>
  <c r="AC63" i="53"/>
  <c r="CG63" i="53" s="1"/>
  <c r="V85" i="85" s="1"/>
  <c r="CG67" i="53"/>
  <c r="U117" i="67"/>
  <c r="AO90" i="53"/>
  <c r="CR90" i="53" s="1"/>
  <c r="AP90" i="53"/>
  <c r="AB63" i="53"/>
  <c r="AH67" i="53"/>
  <c r="AG67" i="53"/>
  <c r="CK67" i="53" s="1"/>
  <c r="AF63" i="53"/>
  <c r="AU67" i="73"/>
  <c r="CE67" i="73" s="1"/>
  <c r="AI63" i="53"/>
  <c r="AN63" i="53"/>
  <c r="AJ63" i="73"/>
  <c r="BY63" i="73" s="1"/>
  <c r="AA88" i="53"/>
  <c r="AD67" i="53"/>
  <c r="CH67" i="53" s="1"/>
  <c r="AU90" i="73"/>
  <c r="CE90" i="73" s="1"/>
  <c r="T117" i="67"/>
  <c r="AN90" i="53"/>
  <c r="CQ90" i="53" s="1"/>
  <c r="Y117" i="85" s="1"/>
  <c r="AA117" i="85" s="1"/>
  <c r="AX67" i="73"/>
  <c r="CG67" i="73" s="1"/>
  <c r="AY67" i="73"/>
  <c r="AM67" i="73"/>
  <c r="CA67" i="73" s="1"/>
  <c r="AN67" i="73"/>
  <c r="AS90" i="73"/>
  <c r="CD90" i="73" s="1"/>
  <c r="AT90" i="73"/>
  <c r="AR90" i="73"/>
  <c r="AQ90" i="73"/>
  <c r="CC90" i="73" s="1"/>
  <c r="BE67" i="73"/>
  <c r="BD67" i="73"/>
  <c r="CJ67" i="73" s="1"/>
  <c r="AB90" i="53"/>
  <c r="CF90" i="53" s="1"/>
  <c r="U93" i="85" s="1"/>
  <c r="Z93" i="85" s="1"/>
  <c r="AR67" i="73"/>
  <c r="AQ67" i="73"/>
  <c r="CC67" i="73" s="1"/>
  <c r="AT67" i="73"/>
  <c r="AS67" i="73"/>
  <c r="CD67" i="73" s="1"/>
  <c r="AM90" i="53"/>
  <c r="AZ90" i="73"/>
  <c r="CH90" i="73" s="1"/>
  <c r="BA90" i="73"/>
  <c r="AL67" i="73"/>
  <c r="AK67" i="73"/>
  <c r="BZ67" i="73" s="1"/>
  <c r="BA67" i="73"/>
  <c r="AZ67" i="73"/>
  <c r="CH67" i="73" s="1"/>
  <c r="AP90" i="73"/>
  <c r="AO90" i="73"/>
  <c r="CB90" i="73" s="1"/>
  <c r="BB67" i="73"/>
  <c r="CI67" i="73" s="1"/>
  <c r="BC67" i="73"/>
  <c r="AK90" i="53"/>
  <c r="AV90" i="73"/>
  <c r="CF90" i="73" s="1"/>
  <c r="AW90" i="73"/>
  <c r="AC90" i="53"/>
  <c r="X85" i="67" l="1"/>
  <c r="V85" i="67"/>
  <c r="X109" i="67"/>
  <c r="Z117" i="67"/>
  <c r="W109" i="67"/>
  <c r="V109" i="67"/>
  <c r="V117" i="67"/>
  <c r="CN90" i="53"/>
  <c r="V117" i="85" s="1"/>
  <c r="Y85" i="67"/>
  <c r="AA85" i="67" s="1"/>
  <c r="CJ63" i="53"/>
  <c r="Y85" i="85" s="1"/>
  <c r="AA85" i="85" s="1"/>
  <c r="X117" i="67"/>
  <c r="CP90" i="53"/>
  <c r="X117" i="85" s="1"/>
  <c r="AJ88" i="73"/>
  <c r="BY88" i="73" s="1"/>
  <c r="CE88" i="53"/>
  <c r="U85" i="67"/>
  <c r="Z85" i="67" s="1"/>
  <c r="CF63" i="53"/>
  <c r="U85" i="85" s="1"/>
  <c r="Z85" i="85" s="1"/>
  <c r="Y109" i="67"/>
  <c r="CQ63" i="53"/>
  <c r="Y109" i="85" s="1"/>
  <c r="AU63" i="73"/>
  <c r="CE63" i="73" s="1"/>
  <c r="CL63" i="53"/>
  <c r="T109" i="85" s="1"/>
  <c r="T112" i="85" s="1"/>
  <c r="V93" i="67"/>
  <c r="CG90" i="53"/>
  <c r="V93" i="85" s="1"/>
  <c r="AI88" i="53"/>
  <c r="U93" i="67"/>
  <c r="Z93" i="67" s="1"/>
  <c r="AH90" i="53"/>
  <c r="AG90" i="53"/>
  <c r="CK90" i="53" s="1"/>
  <c r="AH63" i="53"/>
  <c r="AG63" i="53"/>
  <c r="CK63" i="53" s="1"/>
  <c r="T109" i="67"/>
  <c r="T112" i="67" s="1"/>
  <c r="AP67" i="73"/>
  <c r="AD63" i="53"/>
  <c r="AA91" i="53"/>
  <c r="E133" i="1"/>
  <c r="AA95" i="53"/>
  <c r="AO67" i="73"/>
  <c r="CB67" i="73" s="1"/>
  <c r="BD90" i="73"/>
  <c r="CJ90" i="73" s="1"/>
  <c r="Y117" i="67"/>
  <c r="AA117" i="67" s="1"/>
  <c r="BE90" i="73"/>
  <c r="AJ92" i="73"/>
  <c r="BY92" i="73" s="1"/>
  <c r="AN90" i="73"/>
  <c r="AM90" i="73"/>
  <c r="CA90" i="73" s="1"/>
  <c r="AS63" i="73"/>
  <c r="CD63" i="73" s="1"/>
  <c r="AT63" i="73"/>
  <c r="AY90" i="73"/>
  <c r="AX90" i="73"/>
  <c r="CG90" i="73" s="1"/>
  <c r="BD63" i="73"/>
  <c r="CJ63" i="73" s="1"/>
  <c r="BE63" i="73"/>
  <c r="BC63" i="73"/>
  <c r="BB63" i="73"/>
  <c r="CI63" i="73" s="1"/>
  <c r="BC90" i="73"/>
  <c r="BB90" i="73"/>
  <c r="CI90" i="73" s="1"/>
  <c r="AN63" i="73"/>
  <c r="AM63" i="73"/>
  <c r="CA63" i="73" s="1"/>
  <c r="AK63" i="73"/>
  <c r="BZ63" i="73" s="1"/>
  <c r="AL63" i="73"/>
  <c r="AK90" i="73"/>
  <c r="BZ90" i="73" s="1"/>
  <c r="AL90" i="73"/>
  <c r="AY63" i="73"/>
  <c r="AX63" i="73"/>
  <c r="CG63" i="73" s="1"/>
  <c r="AZ63" i="73"/>
  <c r="CH63" i="73" s="1"/>
  <c r="BA63" i="73"/>
  <c r="AR63" i="73"/>
  <c r="AQ63" i="73"/>
  <c r="CC63" i="73" s="1"/>
  <c r="X49" i="53"/>
  <c r="AA109" i="85" l="1"/>
  <c r="AJ95" i="73"/>
  <c r="BY95" i="73" s="1"/>
  <c r="CE95" i="53"/>
  <c r="BB49" i="53"/>
  <c r="DD49" i="53" s="1"/>
  <c r="CC49" i="53"/>
  <c r="AA93" i="53"/>
  <c r="CE93" i="53" s="1"/>
  <c r="T91" i="85" s="1"/>
  <c r="CE91" i="53"/>
  <c r="W85" i="67"/>
  <c r="CH63" i="53"/>
  <c r="W85" i="85" s="1"/>
  <c r="AI95" i="53"/>
  <c r="CL88" i="53"/>
  <c r="E44" i="2"/>
  <c r="U133" i="1"/>
  <c r="AU88" i="73"/>
  <c r="CE88" i="73" s="1"/>
  <c r="AI91" i="53"/>
  <c r="AA109" i="67"/>
  <c r="AJ91" i="73"/>
  <c r="BY91" i="73" s="1"/>
  <c r="AU92" i="73"/>
  <c r="CE92" i="73" s="1"/>
  <c r="AO63" i="73"/>
  <c r="CB63" i="73" s="1"/>
  <c r="AP63" i="73"/>
  <c r="AH49" i="73"/>
  <c r="BX49" i="73" s="1"/>
  <c r="AI49" i="73"/>
  <c r="AJ93" i="73" l="1"/>
  <c r="BY93" i="73" s="1"/>
  <c r="AB41" i="78"/>
  <c r="AB41" i="83"/>
  <c r="T91" i="67"/>
  <c r="AI93" i="53"/>
  <c r="AU93" i="73" s="1"/>
  <c r="CE93" i="73" s="1"/>
  <c r="CL91" i="53"/>
  <c r="AU95" i="73"/>
  <c r="CE95" i="73" s="1"/>
  <c r="CL95" i="53"/>
  <c r="AU91" i="73"/>
  <c r="CE91" i="73" s="1"/>
  <c r="T50" i="53"/>
  <c r="BY50" i="53" s="1"/>
  <c r="U50" i="53"/>
  <c r="V50" i="53"/>
  <c r="X50" i="53"/>
  <c r="AY50" i="53" l="1"/>
  <c r="DA50" i="53" s="1"/>
  <c r="BZ50" i="53"/>
  <c r="BB50" i="53"/>
  <c r="DD50" i="53" s="1"/>
  <c r="CC50" i="53"/>
  <c r="AZ50" i="53"/>
  <c r="DB50" i="53" s="1"/>
  <c r="CA50" i="53"/>
  <c r="T115" i="67"/>
  <c r="CL93" i="53"/>
  <c r="T115" i="85" s="1"/>
  <c r="AX50" i="53"/>
  <c r="CZ50" i="53" s="1"/>
  <c r="Z50" i="53"/>
  <c r="Y50" i="53"/>
  <c r="CD50" i="53" s="1"/>
  <c r="AH50" i="73"/>
  <c r="BX50" i="73" s="1"/>
  <c r="AI50" i="73"/>
  <c r="AD50" i="73"/>
  <c r="BV50" i="73" s="1"/>
  <c r="AE50" i="73"/>
  <c r="AB50" i="73"/>
  <c r="BU50" i="73" s="1"/>
  <c r="AC50" i="73"/>
  <c r="Z50" i="73"/>
  <c r="BT50" i="73" s="1"/>
  <c r="AA50" i="73"/>
  <c r="AZ29" i="53" l="1"/>
  <c r="DB29" i="53" s="1"/>
  <c r="AX29" i="53"/>
  <c r="CZ29" i="53" s="1"/>
  <c r="AY29" i="53"/>
  <c r="DA29" i="53" s="1"/>
  <c r="BB29" i="53"/>
  <c r="DD29" i="53" s="1"/>
  <c r="C67" i="53"/>
  <c r="BJ67" i="53" s="1"/>
  <c r="G67" i="53"/>
  <c r="BN67" i="53" s="1"/>
  <c r="BG67" i="53" l="1"/>
  <c r="DI67" i="53" s="1"/>
  <c r="G63" i="53"/>
  <c r="BN63" i="53" s="1"/>
  <c r="X12" i="85" s="1"/>
  <c r="C67" i="73"/>
  <c r="BG67" i="73" s="1"/>
  <c r="BC67" i="53"/>
  <c r="DE67" i="53" s="1"/>
  <c r="C63" i="53"/>
  <c r="BJ63" i="53" s="1"/>
  <c r="T12" i="85" s="1"/>
  <c r="K67" i="53"/>
  <c r="BQ67" i="53" s="1"/>
  <c r="E67" i="53"/>
  <c r="BL67" i="53" s="1"/>
  <c r="F67" i="53"/>
  <c r="BM67" i="53" s="1"/>
  <c r="H67" i="53"/>
  <c r="BO67" i="53" s="1"/>
  <c r="Y27" i="79"/>
  <c r="Y24" i="79"/>
  <c r="Y21" i="79"/>
  <c r="Y29" i="79"/>
  <c r="Y18" i="79"/>
  <c r="Y26" i="79"/>
  <c r="Y10" i="79"/>
  <c r="Y23" i="79"/>
  <c r="Y20" i="79"/>
  <c r="Y28" i="79"/>
  <c r="Y25" i="79"/>
  <c r="Y22" i="79"/>
  <c r="Y30" i="79"/>
  <c r="Y19" i="79"/>
  <c r="K90" i="53"/>
  <c r="K67" i="73"/>
  <c r="J67" i="73"/>
  <c r="BK67" i="73" s="1"/>
  <c r="C90" i="53"/>
  <c r="BJ90" i="53" s="1"/>
  <c r="T20" i="85" s="1"/>
  <c r="BC90" i="53"/>
  <c r="DE90" i="53" s="1"/>
  <c r="O67" i="53"/>
  <c r="L67" i="53"/>
  <c r="BR67" i="53" s="1"/>
  <c r="P67" i="53"/>
  <c r="BV67" i="53" s="1"/>
  <c r="M67" i="53"/>
  <c r="N67" i="53"/>
  <c r="R35" i="2"/>
  <c r="S35" i="2"/>
  <c r="T35" i="2"/>
  <c r="E97" i="1"/>
  <c r="E34" i="2" s="1"/>
  <c r="AB29" i="78" l="1"/>
  <c r="AB29" i="83"/>
  <c r="O63" i="53"/>
  <c r="BU63" i="53" s="1"/>
  <c r="X33" i="85" s="1"/>
  <c r="BU67" i="53"/>
  <c r="N63" i="53"/>
  <c r="BT63" i="53" s="1"/>
  <c r="W33" i="85" s="1"/>
  <c r="BT67" i="53"/>
  <c r="M63" i="53"/>
  <c r="BS63" i="53" s="1"/>
  <c r="V33" i="85" s="1"/>
  <c r="BS67" i="53"/>
  <c r="T41" i="67"/>
  <c r="BQ90" i="53"/>
  <c r="T41" i="85" s="1"/>
  <c r="L63" i="53"/>
  <c r="BR63" i="53" s="1"/>
  <c r="U33" i="85" s="1"/>
  <c r="R67" i="53"/>
  <c r="Q67" i="53"/>
  <c r="BW67" i="53" s="1"/>
  <c r="P63" i="53"/>
  <c r="BV63" i="53" s="1"/>
  <c r="Y33" i="85" s="1"/>
  <c r="N67" i="73"/>
  <c r="BM67" i="73" s="1"/>
  <c r="K63" i="53"/>
  <c r="BQ63" i="53" s="1"/>
  <c r="T33" i="85" s="1"/>
  <c r="BF67" i="53"/>
  <c r="DH67" i="53" s="1"/>
  <c r="F63" i="53"/>
  <c r="BM63" i="53" s="1"/>
  <c r="W12" i="85" s="1"/>
  <c r="L67" i="73"/>
  <c r="BL67" i="73" s="1"/>
  <c r="BH67" i="53"/>
  <c r="DJ67" i="53" s="1"/>
  <c r="H63" i="53"/>
  <c r="BO63" i="53" s="1"/>
  <c r="Y12" i="85" s="1"/>
  <c r="F67" i="73"/>
  <c r="BI67" i="73" s="1"/>
  <c r="BE67" i="53"/>
  <c r="DG67" i="53" s="1"/>
  <c r="E63" i="53"/>
  <c r="BL63" i="53" s="1"/>
  <c r="V12" i="85" s="1"/>
  <c r="G67" i="73"/>
  <c r="C101" i="53"/>
  <c r="T20" i="67"/>
  <c r="M67" i="73"/>
  <c r="H67" i="73"/>
  <c r="BJ67" i="73" s="1"/>
  <c r="I67" i="73"/>
  <c r="F97" i="1"/>
  <c r="F34" i="2" s="1"/>
  <c r="V35" i="2"/>
  <c r="U35" i="2"/>
  <c r="Q35" i="2"/>
  <c r="R67" i="73"/>
  <c r="Q67" i="73"/>
  <c r="BO67" i="73" s="1"/>
  <c r="O67" i="73"/>
  <c r="BN67" i="73" s="1"/>
  <c r="P67" i="73"/>
  <c r="G90" i="53"/>
  <c r="F90" i="53"/>
  <c r="M90" i="53"/>
  <c r="L90" i="53"/>
  <c r="BR90" i="53" s="1"/>
  <c r="U41" i="85" s="1"/>
  <c r="T67" i="73"/>
  <c r="S67" i="73"/>
  <c r="BP67" i="73" s="1"/>
  <c r="W67" i="73"/>
  <c r="BR67" i="73" s="1"/>
  <c r="X67" i="73"/>
  <c r="V67" i="73"/>
  <c r="U67" i="73"/>
  <c r="BQ67" i="73" s="1"/>
  <c r="N90" i="53"/>
  <c r="O90" i="53"/>
  <c r="D90" i="53"/>
  <c r="BK90" i="53" s="1"/>
  <c r="U20" i="85" s="1"/>
  <c r="E90" i="53"/>
  <c r="K101" i="53"/>
  <c r="N90" i="73"/>
  <c r="BM90" i="73" s="1"/>
  <c r="BC63" i="53"/>
  <c r="DE63" i="53" s="1"/>
  <c r="C90" i="73"/>
  <c r="BG90" i="73" s="1"/>
  <c r="BE90" i="53"/>
  <c r="DG90" i="53" s="1"/>
  <c r="BG63" i="53"/>
  <c r="DI63" i="53" s="1"/>
  <c r="P90" i="53"/>
  <c r="Z41" i="85" l="1"/>
  <c r="Z33" i="85"/>
  <c r="Z20" i="85"/>
  <c r="AC29" i="78"/>
  <c r="AC29" i="83"/>
  <c r="AA33" i="85"/>
  <c r="Y41" i="67"/>
  <c r="BV90" i="53"/>
  <c r="Y41" i="85" s="1"/>
  <c r="AA41" i="85" s="1"/>
  <c r="X41" i="67"/>
  <c r="BU90" i="53"/>
  <c r="X41" i="85" s="1"/>
  <c r="C112" i="53"/>
  <c r="BJ112" i="53" s="1"/>
  <c r="BJ101" i="53"/>
  <c r="W41" i="67"/>
  <c r="BT90" i="53"/>
  <c r="W41" i="85" s="1"/>
  <c r="W20" i="67"/>
  <c r="BM90" i="53"/>
  <c r="W20" i="85" s="1"/>
  <c r="X20" i="67"/>
  <c r="BN90" i="53"/>
  <c r="X20" i="85" s="1"/>
  <c r="V20" i="67"/>
  <c r="BL90" i="53"/>
  <c r="V20" i="85" s="1"/>
  <c r="V41" i="67"/>
  <c r="BS90" i="53"/>
  <c r="V41" i="85" s="1"/>
  <c r="K112" i="53"/>
  <c r="BQ112" i="53" s="1"/>
  <c r="BQ101" i="53"/>
  <c r="U20" i="67"/>
  <c r="Z20" i="67" s="1"/>
  <c r="J90" i="53"/>
  <c r="I90" i="53"/>
  <c r="BP90" i="53" s="1"/>
  <c r="U41" i="67"/>
  <c r="Z41" i="67" s="1"/>
  <c r="Q90" i="53"/>
  <c r="BW90" i="53" s="1"/>
  <c r="R90" i="53"/>
  <c r="R63" i="53"/>
  <c r="Q63" i="53"/>
  <c r="BW63" i="53" s="1"/>
  <c r="BF90" i="53"/>
  <c r="DH90" i="53" s="1"/>
  <c r="BH90" i="53"/>
  <c r="DJ90" i="53" s="1"/>
  <c r="H90" i="53"/>
  <c r="F101" i="53"/>
  <c r="BM101" i="53" s="1"/>
  <c r="I90" i="73"/>
  <c r="H90" i="73"/>
  <c r="BJ90" i="73" s="1"/>
  <c r="O101" i="53"/>
  <c r="V90" i="73"/>
  <c r="U90" i="73"/>
  <c r="BQ90" i="73" s="1"/>
  <c r="D101" i="53"/>
  <c r="BK101" i="53" s="1"/>
  <c r="E90" i="73"/>
  <c r="D90" i="73"/>
  <c r="BH90" i="73" s="1"/>
  <c r="N101" i="53"/>
  <c r="S90" i="73"/>
  <c r="BP90" i="73" s="1"/>
  <c r="T90" i="73"/>
  <c r="M101" i="53"/>
  <c r="R90" i="73"/>
  <c r="Q90" i="73"/>
  <c r="BO90" i="73" s="1"/>
  <c r="W90" i="73"/>
  <c r="BR90" i="73" s="1"/>
  <c r="X90" i="73"/>
  <c r="E101" i="53"/>
  <c r="BL101" i="53" s="1"/>
  <c r="G90" i="73"/>
  <c r="F90" i="73"/>
  <c r="BI90" i="73" s="1"/>
  <c r="L101" i="53"/>
  <c r="P90" i="73"/>
  <c r="O90" i="73"/>
  <c r="BN90" i="73" s="1"/>
  <c r="G101" i="53"/>
  <c r="BN101" i="53" s="1"/>
  <c r="K90" i="73"/>
  <c r="J90" i="73"/>
  <c r="BK90" i="73" s="1"/>
  <c r="BE63" i="53"/>
  <c r="DG63" i="53" s="1"/>
  <c r="BG90" i="53"/>
  <c r="DI90" i="53" s="1"/>
  <c r="P101" i="53"/>
  <c r="L112" i="53" l="1"/>
  <c r="BR112" i="53" s="1"/>
  <c r="BR101" i="53"/>
  <c r="M112" i="53"/>
  <c r="BS112" i="53" s="1"/>
  <c r="BS101" i="53"/>
  <c r="O112" i="53"/>
  <c r="BU112" i="53" s="1"/>
  <c r="BU101" i="53"/>
  <c r="P112" i="53"/>
  <c r="BV112" i="53" s="1"/>
  <c r="BV101" i="53"/>
  <c r="N112" i="53"/>
  <c r="BT112" i="53" s="1"/>
  <c r="BT101" i="53"/>
  <c r="L90" i="73"/>
  <c r="BL90" i="73" s="1"/>
  <c r="BO90" i="53"/>
  <c r="Y20" i="85" s="1"/>
  <c r="AA41" i="67"/>
  <c r="BH63" i="53"/>
  <c r="DJ63" i="53" s="1"/>
  <c r="Y20" i="67"/>
  <c r="AA20" i="67" s="1"/>
  <c r="BF63" i="53"/>
  <c r="DH63" i="53" s="1"/>
  <c r="H101" i="53"/>
  <c r="BO101" i="53" s="1"/>
  <c r="M90" i="73"/>
  <c r="D104" i="53"/>
  <c r="D112" i="53" s="1"/>
  <c r="BK112" i="53" s="1"/>
  <c r="E104" i="53"/>
  <c r="E112" i="53" s="1"/>
  <c r="BL112" i="53" s="1"/>
  <c r="AA20" i="85" l="1"/>
  <c r="F104" i="53"/>
  <c r="F112" i="53" s="1"/>
  <c r="BM112" i="53" s="1"/>
  <c r="G104" i="53" l="1"/>
  <c r="G112" i="53" s="1"/>
  <c r="BN112" i="53" s="1"/>
  <c r="H104" i="53" l="1"/>
  <c r="H112" i="53" s="1"/>
  <c r="BO112" i="53" s="1"/>
  <c r="C35" i="78" l="1"/>
  <c r="D21" i="39" l="1"/>
  <c r="AC4" i="79"/>
  <c r="D35" i="78"/>
  <c r="C21" i="39"/>
  <c r="S13" i="2"/>
  <c r="R13" i="2"/>
  <c r="Q13" i="2"/>
  <c r="T13" i="2" l="1"/>
  <c r="V13" i="2" l="1"/>
  <c r="U13" i="2"/>
  <c r="G19" i="58"/>
  <c r="D19" i="58"/>
  <c r="C78" i="83" s="1"/>
  <c r="K14" i="58"/>
  <c r="H79" i="83" s="1"/>
  <c r="J14" i="58"/>
  <c r="I14" i="58"/>
  <c r="H14" i="58"/>
  <c r="G14" i="58"/>
  <c r="D14" i="58"/>
  <c r="C79" i="83" s="1"/>
  <c r="C80" i="83" l="1"/>
  <c r="E79" i="78"/>
  <c r="E79" i="83"/>
  <c r="G79" i="78"/>
  <c r="G79" i="83"/>
  <c r="D78" i="78"/>
  <c r="D78" i="83"/>
  <c r="F79" i="78"/>
  <c r="F79" i="83"/>
  <c r="D79" i="78"/>
  <c r="D79" i="83"/>
  <c r="K38" i="58"/>
  <c r="H86" i="83" s="1"/>
  <c r="H79" i="78"/>
  <c r="D39" i="58"/>
  <c r="C84" i="83" s="1"/>
  <c r="C78" i="78"/>
  <c r="H38" i="58"/>
  <c r="I38" i="58"/>
  <c r="G39" i="58"/>
  <c r="D84" i="83" s="1"/>
  <c r="D38" i="58"/>
  <c r="C79" i="78"/>
  <c r="J38" i="58"/>
  <c r="G38" i="58"/>
  <c r="L7" i="2"/>
  <c r="D80" i="78" l="1"/>
  <c r="D80" i="83"/>
  <c r="D86" i="78"/>
  <c r="D86" i="83"/>
  <c r="E86" i="78"/>
  <c r="E86" i="83"/>
  <c r="G86" i="78"/>
  <c r="G86" i="83"/>
  <c r="C86" i="78"/>
  <c r="C86" i="83"/>
  <c r="F86" i="78"/>
  <c r="F86" i="83"/>
  <c r="G41" i="58"/>
  <c r="C80" i="78"/>
  <c r="G42" i="58"/>
  <c r="D84" i="78"/>
  <c r="K41" i="58"/>
  <c r="H86" i="78"/>
  <c r="D37" i="58"/>
  <c r="D41" i="58"/>
  <c r="J41" i="58"/>
  <c r="H41" i="58"/>
  <c r="I41" i="58"/>
  <c r="D42" i="58"/>
  <c r="C84" i="78"/>
  <c r="G37" i="58"/>
  <c r="E9" i="65"/>
  <c r="D32" i="83" s="1"/>
  <c r="F9" i="65"/>
  <c r="E32" i="83" s="1"/>
  <c r="G9" i="65"/>
  <c r="F32" i="83" s="1"/>
  <c r="H9" i="65"/>
  <c r="G32" i="83" s="1"/>
  <c r="I9" i="65"/>
  <c r="H32" i="83" s="1"/>
  <c r="D9" i="65"/>
  <c r="C32" i="83" s="1"/>
  <c r="H87" i="78" l="1"/>
  <c r="U41" i="58"/>
  <c r="H87" i="83" s="1"/>
  <c r="F87" i="78"/>
  <c r="S41" i="58"/>
  <c r="F87" i="83" s="1"/>
  <c r="D85" i="78"/>
  <c r="Q42" i="58"/>
  <c r="D85" i="83" s="1"/>
  <c r="E87" i="78"/>
  <c r="R41" i="58"/>
  <c r="E87" i="83" s="1"/>
  <c r="G87" i="78"/>
  <c r="T41" i="58"/>
  <c r="G87" i="83" s="1"/>
  <c r="D87" i="78"/>
  <c r="Q41" i="58"/>
  <c r="D87" i="83" s="1"/>
  <c r="C87" i="78"/>
  <c r="N41" i="58"/>
  <c r="C87" i="83" s="1"/>
  <c r="C85" i="78"/>
  <c r="N42" i="58"/>
  <c r="C85" i="83" s="1"/>
  <c r="G40" i="58"/>
  <c r="Q40" i="58" s="1"/>
  <c r="G32" i="78"/>
  <c r="D40" i="58"/>
  <c r="N40" i="58" s="1"/>
  <c r="F32" i="78"/>
  <c r="H32" i="78"/>
  <c r="C32" i="78"/>
  <c r="E32" i="78"/>
  <c r="D32" i="78"/>
  <c r="C20" i="39"/>
  <c r="D34" i="65"/>
  <c r="D21" i="65"/>
  <c r="H20" i="39"/>
  <c r="I21" i="65"/>
  <c r="G20" i="39"/>
  <c r="H21" i="65"/>
  <c r="F20" i="39"/>
  <c r="G21" i="65"/>
  <c r="E20" i="39"/>
  <c r="F21" i="65"/>
  <c r="D20" i="39"/>
  <c r="E21" i="65"/>
  <c r="G106" i="53"/>
  <c r="F106" i="53"/>
  <c r="E106" i="53"/>
  <c r="C28" i="5"/>
  <c r="C106" i="53"/>
  <c r="H106" i="53"/>
  <c r="D106" i="53"/>
  <c r="N7" i="78" l="1"/>
  <c r="N7" i="83"/>
  <c r="C43" i="78"/>
  <c r="C43" i="83"/>
  <c r="F36" i="78"/>
  <c r="F36" i="83"/>
  <c r="C36" i="78"/>
  <c r="C36" i="83"/>
  <c r="L7" i="78"/>
  <c r="L7" i="83"/>
  <c r="O7" i="78"/>
  <c r="O7" i="83"/>
  <c r="E36" i="78"/>
  <c r="E36" i="83"/>
  <c r="D36" i="78"/>
  <c r="D36" i="83"/>
  <c r="H36" i="78"/>
  <c r="H36" i="83"/>
  <c r="G36" i="78"/>
  <c r="G36" i="83"/>
  <c r="P7" i="78"/>
  <c r="P7" i="83"/>
  <c r="M7" i="78"/>
  <c r="M7" i="83"/>
  <c r="Q7" i="78"/>
  <c r="Q7" i="83"/>
  <c r="E34" i="1"/>
  <c r="F34" i="1"/>
  <c r="F71" i="1" l="1"/>
  <c r="G71" i="1"/>
  <c r="H71" i="1"/>
  <c r="I71" i="1"/>
  <c r="J71" i="1"/>
  <c r="E71" i="1"/>
  <c r="D29" i="17" l="1"/>
  <c r="E29" i="17"/>
  <c r="F29" i="17"/>
  <c r="G29" i="17"/>
  <c r="H29" i="17"/>
  <c r="D30" i="17"/>
  <c r="E30" i="17"/>
  <c r="F30" i="17"/>
  <c r="G30" i="17"/>
  <c r="H30" i="17"/>
  <c r="D31" i="17"/>
  <c r="E31" i="17"/>
  <c r="F31" i="17"/>
  <c r="G31" i="17"/>
  <c r="H31" i="17"/>
  <c r="G98" i="1" l="1"/>
  <c r="H98" i="1"/>
  <c r="I98" i="1"/>
  <c r="J98" i="1"/>
  <c r="V67" i="53" l="1"/>
  <c r="CA67" i="53" s="1"/>
  <c r="W67" i="53"/>
  <c r="CB67" i="53" s="1"/>
  <c r="U67" i="53"/>
  <c r="BZ67" i="53" s="1"/>
  <c r="X67" i="53"/>
  <c r="CC67" i="53" s="1"/>
  <c r="AR47" i="60"/>
  <c r="AP47" i="60"/>
  <c r="V90" i="53"/>
  <c r="W90" i="53"/>
  <c r="P8" i="1"/>
  <c r="R8" i="1" s="1"/>
  <c r="O8" i="1"/>
  <c r="N8" i="1"/>
  <c r="M8" i="1"/>
  <c r="L8" i="1"/>
  <c r="CO47" i="60" l="1"/>
  <c r="CM47" i="60"/>
  <c r="X62" i="67"/>
  <c r="X137" i="67" s="1"/>
  <c r="CB90" i="53"/>
  <c r="X62" i="85" s="1"/>
  <c r="X137" i="85" s="1"/>
  <c r="W62" i="67"/>
  <c r="W137" i="67" s="1"/>
  <c r="CA90" i="53"/>
  <c r="W62" i="85" s="1"/>
  <c r="W137" i="85" s="1"/>
  <c r="K8" i="1"/>
  <c r="Q8" i="1" s="1"/>
  <c r="A142" i="1"/>
  <c r="W63" i="53"/>
  <c r="CB63" i="53" s="1"/>
  <c r="X54" i="85" s="1"/>
  <c r="X129" i="85" s="1"/>
  <c r="BA67" i="53"/>
  <c r="X63" i="53"/>
  <c r="CC63" i="53" s="1"/>
  <c r="Y54" i="85" s="1"/>
  <c r="BB67" i="53"/>
  <c r="DD67" i="53" s="1"/>
  <c r="V63" i="53"/>
  <c r="CA63" i="53" s="1"/>
  <c r="W54" i="85" s="1"/>
  <c r="W129" i="85" s="1"/>
  <c r="AZ67" i="53"/>
  <c r="U63" i="53"/>
  <c r="BZ63" i="53" s="1"/>
  <c r="V54" i="85" s="1"/>
  <c r="V129" i="85" s="1"/>
  <c r="AY67" i="53"/>
  <c r="AQ47" i="60"/>
  <c r="AM47" i="60"/>
  <c r="S67" i="53"/>
  <c r="BX67" i="53" s="1"/>
  <c r="V101" i="53"/>
  <c r="BB90" i="53"/>
  <c r="DD90" i="53" s="1"/>
  <c r="T90" i="53"/>
  <c r="BY90" i="53" s="1"/>
  <c r="U62" i="85" s="1"/>
  <c r="W101" i="53"/>
  <c r="AW90" i="53"/>
  <c r="CY90" i="53" s="1"/>
  <c r="U90" i="53"/>
  <c r="AT47" i="60"/>
  <c r="AS47" i="60"/>
  <c r="S90" i="53"/>
  <c r="BX90" i="53" s="1"/>
  <c r="T62" i="85" s="1"/>
  <c r="T137" i="85" s="1"/>
  <c r="X90" i="53"/>
  <c r="AX90" i="53"/>
  <c r="CZ90" i="53" s="1"/>
  <c r="BA90" i="53"/>
  <c r="DC90" i="53" s="1"/>
  <c r="AZ90" i="53"/>
  <c r="DB90" i="53" s="1"/>
  <c r="AY90" i="53"/>
  <c r="DA90" i="53" s="1"/>
  <c r="CN47" i="60" l="1"/>
  <c r="CP47" i="60"/>
  <c r="CQ47" i="60"/>
  <c r="Y129" i="85"/>
  <c r="Z62" i="85"/>
  <c r="U137" i="85"/>
  <c r="Z137" i="85" s="1"/>
  <c r="BA63" i="53"/>
  <c r="DC63" i="53" s="1"/>
  <c r="DC67" i="53"/>
  <c r="V62" i="67"/>
  <c r="V137" i="67" s="1"/>
  <c r="BZ90" i="53"/>
  <c r="V62" i="85" s="1"/>
  <c r="V137" i="85" s="1"/>
  <c r="AY63" i="53"/>
  <c r="DA63" i="53" s="1"/>
  <c r="DA67" i="53"/>
  <c r="W112" i="53"/>
  <c r="CB112" i="53" s="1"/>
  <c r="CB101" i="53"/>
  <c r="AZ63" i="53"/>
  <c r="DB63" i="53" s="1"/>
  <c r="DB67" i="53"/>
  <c r="Y62" i="67"/>
  <c r="Y137" i="67" s="1"/>
  <c r="CC90" i="53"/>
  <c r="Y62" i="85" s="1"/>
  <c r="V112" i="53"/>
  <c r="CA112" i="53" s="1"/>
  <c r="CA101" i="53"/>
  <c r="AU47" i="60"/>
  <c r="CJ47" i="60"/>
  <c r="U62" i="67"/>
  <c r="U137" i="67" s="1"/>
  <c r="Z90" i="53"/>
  <c r="Y90" i="53"/>
  <c r="CD90" i="53" s="1"/>
  <c r="AC67" i="73"/>
  <c r="S63" i="53"/>
  <c r="BX63" i="53" s="1"/>
  <c r="T54" i="85" s="1"/>
  <c r="AW67" i="53"/>
  <c r="AE90" i="73"/>
  <c r="T62" i="67"/>
  <c r="T137" i="67" s="1"/>
  <c r="AE67" i="73"/>
  <c r="AF67" i="73"/>
  <c r="BW67" i="73" s="1"/>
  <c r="AF90" i="73"/>
  <c r="BW90" i="73" s="1"/>
  <c r="AH67" i="73"/>
  <c r="BX67" i="73" s="1"/>
  <c r="BB63" i="53"/>
  <c r="DD63" i="53" s="1"/>
  <c r="Y67" i="73"/>
  <c r="BS67" i="73" s="1"/>
  <c r="U101" i="53"/>
  <c r="AC90" i="73"/>
  <c r="AB90" i="73"/>
  <c r="BU90" i="73" s="1"/>
  <c r="AG67" i="73"/>
  <c r="AD67" i="73"/>
  <c r="BV67" i="73" s="1"/>
  <c r="X101" i="53"/>
  <c r="AI90" i="73"/>
  <c r="AH90" i="73"/>
  <c r="BX90" i="73" s="1"/>
  <c r="AG90" i="73"/>
  <c r="S101" i="53"/>
  <c r="Y90" i="73"/>
  <c r="BS90" i="73" s="1"/>
  <c r="AB67" i="73"/>
  <c r="BU67" i="73" s="1"/>
  <c r="AI67" i="73"/>
  <c r="T101" i="53"/>
  <c r="Z90" i="73"/>
  <c r="BT90" i="73" s="1"/>
  <c r="AA90" i="73"/>
  <c r="AD90" i="73"/>
  <c r="BV90" i="73" s="1"/>
  <c r="C16" i="16"/>
  <c r="T129" i="85" l="1"/>
  <c r="AA62" i="85"/>
  <c r="Y137" i="85"/>
  <c r="AA137" i="85" s="1"/>
  <c r="AM25" i="79"/>
  <c r="L16" i="16"/>
  <c r="AM25" i="84" s="1"/>
  <c r="X112" i="53"/>
  <c r="CC112" i="53" s="1"/>
  <c r="CC101" i="53"/>
  <c r="AW63" i="53"/>
  <c r="CY63" i="53" s="1"/>
  <c r="CY67" i="53"/>
  <c r="S112" i="53"/>
  <c r="BX112" i="53" s="1"/>
  <c r="BX101" i="53"/>
  <c r="U112" i="53"/>
  <c r="BZ112" i="53" s="1"/>
  <c r="BZ101" i="53"/>
  <c r="T112" i="53"/>
  <c r="BY112" i="53" s="1"/>
  <c r="BY101" i="53"/>
  <c r="AA62" i="67"/>
  <c r="Z137" i="67"/>
  <c r="AA137" i="67"/>
  <c r="Z62" i="67"/>
  <c r="G27" i="58"/>
  <c r="Q27" i="58" s="1"/>
  <c r="H27" i="58"/>
  <c r="R27" i="58" s="1"/>
  <c r="I27" i="58"/>
  <c r="S27" i="58" s="1"/>
  <c r="J27" i="58"/>
  <c r="T27" i="58" s="1"/>
  <c r="K27" i="58"/>
  <c r="U27" i="58" s="1"/>
  <c r="D27" i="58"/>
  <c r="N27" i="58" s="1"/>
  <c r="AA129" i="85" l="1"/>
  <c r="H8" i="22"/>
  <c r="G8" i="22"/>
  <c r="F8" i="22"/>
  <c r="D8" i="22"/>
  <c r="G9" i="49"/>
  <c r="F9" i="49"/>
  <c r="E9" i="49"/>
  <c r="D9" i="49"/>
  <c r="C9" i="49"/>
  <c r="K7" i="58"/>
  <c r="U7" i="58" s="1"/>
  <c r="J7" i="58"/>
  <c r="T7" i="58" s="1"/>
  <c r="I7" i="58"/>
  <c r="S7" i="58" s="1"/>
  <c r="H7" i="58"/>
  <c r="R7" i="58" s="1"/>
  <c r="G7" i="58"/>
  <c r="Q7" i="58" s="1"/>
  <c r="D7" i="58"/>
  <c r="N7" i="58" s="1"/>
  <c r="B34" i="58" l="1"/>
  <c r="B15" i="58"/>
  <c r="B26" i="58"/>
  <c r="B11" i="58"/>
  <c r="B25" i="58"/>
  <c r="B10" i="58"/>
  <c r="B35" i="58"/>
  <c r="B20" i="58"/>
  <c r="I7" i="65"/>
  <c r="H7" i="65"/>
  <c r="G7" i="65"/>
  <c r="F7" i="65"/>
  <c r="E7" i="65"/>
  <c r="D7" i="65"/>
  <c r="E20" i="17"/>
  <c r="F20" i="17"/>
  <c r="G20" i="17"/>
  <c r="H20" i="17"/>
  <c r="D20" i="17"/>
  <c r="D19" i="17"/>
  <c r="E19" i="17"/>
  <c r="F19" i="17"/>
  <c r="G19" i="17"/>
  <c r="H19" i="17"/>
  <c r="H27" i="17"/>
  <c r="G27" i="17"/>
  <c r="F27" i="17"/>
  <c r="E27" i="17"/>
  <c r="D27" i="17"/>
  <c r="I37" i="65"/>
  <c r="H44" i="83" s="1"/>
  <c r="H37" i="65"/>
  <c r="G44" i="83" s="1"/>
  <c r="G37" i="65"/>
  <c r="F44" i="83" s="1"/>
  <c r="F37" i="65"/>
  <c r="E44" i="83" s="1"/>
  <c r="E37" i="65"/>
  <c r="D44" i="83" s="1"/>
  <c r="D37" i="65"/>
  <c r="C44" i="83" s="1"/>
  <c r="I33" i="65"/>
  <c r="H42" i="83" s="1"/>
  <c r="H33" i="65"/>
  <c r="G42" i="83" s="1"/>
  <c r="G33" i="65"/>
  <c r="F42" i="83" s="1"/>
  <c r="F33" i="65"/>
  <c r="E42" i="83" s="1"/>
  <c r="E33" i="65"/>
  <c r="D42" i="83" s="1"/>
  <c r="I26" i="65"/>
  <c r="H37" i="83" s="1"/>
  <c r="H26" i="65"/>
  <c r="G37" i="83" s="1"/>
  <c r="G26" i="65"/>
  <c r="F37" i="83" s="1"/>
  <c r="F26" i="65"/>
  <c r="E37" i="83" s="1"/>
  <c r="E26" i="65"/>
  <c r="D37" i="83" s="1"/>
  <c r="D26" i="65"/>
  <c r="C37" i="83" s="1"/>
  <c r="AR57" i="79" l="1"/>
  <c r="AR54" i="79" s="1"/>
  <c r="AL54" i="79" s="1"/>
  <c r="AR57" i="84"/>
  <c r="AR54" i="84" s="1"/>
  <c r="AL54" i="84" s="1"/>
  <c r="AS57" i="79"/>
  <c r="AS54" i="79" s="1"/>
  <c r="AM54" i="79" s="1"/>
  <c r="AS57" i="84"/>
  <c r="AS54" i="84" s="1"/>
  <c r="AM54" i="84" s="1"/>
  <c r="AT57" i="84"/>
  <c r="AT54" i="84" s="1"/>
  <c r="AN54" i="84" s="1"/>
  <c r="AT57" i="79"/>
  <c r="AT54" i="79" s="1"/>
  <c r="AN54" i="79" s="1"/>
  <c r="AU57" i="84"/>
  <c r="AU54" i="84" s="1"/>
  <c r="AO54" i="84" s="1"/>
  <c r="AU57" i="79"/>
  <c r="AU54" i="79" s="1"/>
  <c r="AO54" i="79" s="1"/>
  <c r="AV57" i="79"/>
  <c r="AV54" i="79" s="1"/>
  <c r="AP54" i="79" s="1"/>
  <c r="AV57" i="84"/>
  <c r="AV54" i="84" s="1"/>
  <c r="AP54" i="84" s="1"/>
  <c r="F34" i="65"/>
  <c r="E42" i="78"/>
  <c r="H38" i="65"/>
  <c r="G44" i="78"/>
  <c r="H27" i="65"/>
  <c r="G37" i="78"/>
  <c r="E38" i="65"/>
  <c r="D44" i="78"/>
  <c r="E34" i="65"/>
  <c r="D42" i="78"/>
  <c r="I34" i="65"/>
  <c r="H42" i="78"/>
  <c r="G38" i="65"/>
  <c r="F44" i="78"/>
  <c r="G27" i="65"/>
  <c r="F37" i="78"/>
  <c r="G34" i="65"/>
  <c r="F42" i="78"/>
  <c r="I38" i="65"/>
  <c r="H44" i="78"/>
  <c r="E27" i="65"/>
  <c r="D37" i="78"/>
  <c r="I27" i="65"/>
  <c r="H37" i="78"/>
  <c r="H34" i="65"/>
  <c r="G42" i="78"/>
  <c r="F38" i="65"/>
  <c r="E44" i="78"/>
  <c r="D27" i="65"/>
  <c r="C37" i="78"/>
  <c r="F27" i="65"/>
  <c r="E37" i="78"/>
  <c r="D38" i="65"/>
  <c r="C44" i="78"/>
  <c r="F57" i="65"/>
  <c r="G57" i="65"/>
  <c r="H57" i="65"/>
  <c r="I57" i="65"/>
  <c r="J40" i="74"/>
  <c r="H40" i="74"/>
  <c r="I40" i="74"/>
  <c r="K40" i="74"/>
  <c r="D28" i="17"/>
  <c r="E53" i="65"/>
  <c r="D55" i="83" s="1"/>
  <c r="H28" i="17"/>
  <c r="I53" i="65"/>
  <c r="H55" i="83" s="1"/>
  <c r="E28" i="17"/>
  <c r="F53" i="65"/>
  <c r="E55" i="83" s="1"/>
  <c r="F28" i="17"/>
  <c r="G53" i="65"/>
  <c r="F55" i="83" s="1"/>
  <c r="G28" i="17"/>
  <c r="H53" i="65"/>
  <c r="G55" i="83" s="1"/>
  <c r="E30" i="65"/>
  <c r="D30" i="65"/>
  <c r="I48" i="65"/>
  <c r="E48" i="65"/>
  <c r="D50" i="83" s="1"/>
  <c r="F48" i="65"/>
  <c r="E50" i="83" s="1"/>
  <c r="I30" i="65"/>
  <c r="G30" i="65"/>
  <c r="D53" i="65"/>
  <c r="C55" i="83" s="1"/>
  <c r="D48" i="65"/>
  <c r="G48" i="65"/>
  <c r="H48" i="65"/>
  <c r="G50" i="83" s="1"/>
  <c r="H30" i="65"/>
  <c r="F30" i="65"/>
  <c r="C50" i="83" l="1"/>
  <c r="F130" i="41"/>
  <c r="H130" i="41"/>
  <c r="G130" i="41"/>
  <c r="E38" i="78"/>
  <c r="E38" i="83"/>
  <c r="H38" i="78"/>
  <c r="H38" i="83"/>
  <c r="F38" i="78"/>
  <c r="F38" i="83"/>
  <c r="D45" i="78"/>
  <c r="D45" i="83"/>
  <c r="G39" i="78"/>
  <c r="G39" i="83"/>
  <c r="C39" i="78"/>
  <c r="C39" i="83"/>
  <c r="C38" i="78"/>
  <c r="C38" i="83"/>
  <c r="D38" i="78"/>
  <c r="D38" i="83"/>
  <c r="F45" i="78"/>
  <c r="F45" i="83"/>
  <c r="G38" i="78"/>
  <c r="G38" i="83"/>
  <c r="M130" i="41"/>
  <c r="M147" i="41" s="1"/>
  <c r="BG147" i="41" s="1"/>
  <c r="N29" i="85" s="1"/>
  <c r="H50" i="83"/>
  <c r="F39" i="78"/>
  <c r="F39" i="83"/>
  <c r="E45" i="78"/>
  <c r="E45" i="83"/>
  <c r="H45" i="78"/>
  <c r="H45" i="83"/>
  <c r="H43" i="78"/>
  <c r="H43" i="83"/>
  <c r="G45" i="78"/>
  <c r="G45" i="83"/>
  <c r="D39" i="78"/>
  <c r="D39" i="83"/>
  <c r="H39" i="78"/>
  <c r="H39" i="83"/>
  <c r="K130" i="41"/>
  <c r="K147" i="41" s="1"/>
  <c r="BE147" i="41" s="1"/>
  <c r="L29" i="85" s="1"/>
  <c r="F50" i="83"/>
  <c r="E39" i="78"/>
  <c r="E39" i="83"/>
  <c r="C45" i="78"/>
  <c r="C45" i="83"/>
  <c r="G43" i="78"/>
  <c r="G43" i="83"/>
  <c r="F43" i="78"/>
  <c r="F43" i="83"/>
  <c r="D43" i="78"/>
  <c r="D43" i="83"/>
  <c r="E43" i="78"/>
  <c r="E43" i="83"/>
  <c r="F132" i="41"/>
  <c r="AE132" i="41" s="1"/>
  <c r="AE149" i="41" s="1"/>
  <c r="BY149" i="41" s="1"/>
  <c r="H132" i="41"/>
  <c r="G132" i="41"/>
  <c r="G149" i="41" s="1"/>
  <c r="BA149" i="41" s="1"/>
  <c r="F131" i="41"/>
  <c r="W136" i="41" s="1"/>
  <c r="H131" i="41"/>
  <c r="G131" i="41"/>
  <c r="G148" i="41" s="1"/>
  <c r="BA148" i="41" s="1"/>
  <c r="J130" i="41"/>
  <c r="S130" i="41" s="1"/>
  <c r="S147" i="41" s="1"/>
  <c r="BM147" i="41" s="1"/>
  <c r="L130" i="41"/>
  <c r="L147" i="41" s="1"/>
  <c r="BF147" i="41" s="1"/>
  <c r="M29" i="85" s="1"/>
  <c r="K131" i="41"/>
  <c r="F50" i="78"/>
  <c r="K132" i="41"/>
  <c r="K149" i="41" s="1"/>
  <c r="BE149" i="41" s="1"/>
  <c r="L35" i="85" s="1"/>
  <c r="F55" i="78"/>
  <c r="M132" i="41"/>
  <c r="M149" i="41" s="1"/>
  <c r="BG149" i="41" s="1"/>
  <c r="N35" i="85" s="1"/>
  <c r="H55" i="78"/>
  <c r="C55" i="78"/>
  <c r="L132" i="41"/>
  <c r="L149" i="41" s="1"/>
  <c r="BF149" i="41" s="1"/>
  <c r="M35" i="85" s="1"/>
  <c r="G55" i="78"/>
  <c r="J132" i="41"/>
  <c r="J149" i="41" s="1"/>
  <c r="BD149" i="41" s="1"/>
  <c r="K35" i="85" s="1"/>
  <c r="E55" i="78"/>
  <c r="L131" i="41"/>
  <c r="G50" i="78"/>
  <c r="M131" i="41"/>
  <c r="H50" i="78"/>
  <c r="C50" i="78"/>
  <c r="J131" i="41"/>
  <c r="E50" i="78"/>
  <c r="I132" i="41"/>
  <c r="I149" i="41" s="1"/>
  <c r="BC149" i="41" s="1"/>
  <c r="J35" i="85" s="1"/>
  <c r="D55" i="78"/>
  <c r="I131" i="41"/>
  <c r="D50" i="78"/>
  <c r="I130" i="41"/>
  <c r="I147" i="41" s="1"/>
  <c r="BC147" i="41" s="1"/>
  <c r="J29" i="85" s="1"/>
  <c r="E36" i="39"/>
  <c r="F49" i="65"/>
  <c r="F36" i="39"/>
  <c r="G49" i="65"/>
  <c r="I32" i="65"/>
  <c r="I31" i="65"/>
  <c r="D32" i="65"/>
  <c r="D31" i="65"/>
  <c r="F52" i="39"/>
  <c r="G54" i="65"/>
  <c r="H52" i="39"/>
  <c r="I54" i="65"/>
  <c r="F32" i="65"/>
  <c r="F31" i="65"/>
  <c r="C36" i="39"/>
  <c r="D49" i="65"/>
  <c r="C52" i="39"/>
  <c r="D54" i="65"/>
  <c r="D36" i="39"/>
  <c r="E49" i="65"/>
  <c r="G52" i="39"/>
  <c r="H54" i="65"/>
  <c r="E52" i="39"/>
  <c r="F54" i="65"/>
  <c r="D52" i="39"/>
  <c r="E54" i="65"/>
  <c r="H32" i="65"/>
  <c r="H31" i="65"/>
  <c r="G36" i="39"/>
  <c r="H49" i="65"/>
  <c r="G32" i="65"/>
  <c r="G31" i="65"/>
  <c r="H36" i="39"/>
  <c r="I49" i="65"/>
  <c r="E32" i="65"/>
  <c r="E31" i="65"/>
  <c r="C29" i="5"/>
  <c r="K107" i="53"/>
  <c r="BQ107" i="53" s="1"/>
  <c r="C30" i="5"/>
  <c r="P107" i="53"/>
  <c r="BV107" i="53" s="1"/>
  <c r="O107" i="53"/>
  <c r="BU107" i="53" s="1"/>
  <c r="M107" i="53"/>
  <c r="BS107" i="53" s="1"/>
  <c r="N107" i="53"/>
  <c r="BT107" i="53" s="1"/>
  <c r="L107" i="53"/>
  <c r="BR107" i="53" s="1"/>
  <c r="I64" i="1"/>
  <c r="G64" i="1"/>
  <c r="J64" i="1"/>
  <c r="E64" i="1"/>
  <c r="H64" i="1"/>
  <c r="F64" i="1"/>
  <c r="D43" i="65"/>
  <c r="G18" i="65"/>
  <c r="F33" i="83" s="1"/>
  <c r="F18" i="65"/>
  <c r="E33" i="83" s="1"/>
  <c r="H18" i="65"/>
  <c r="G33" i="83" s="1"/>
  <c r="G43" i="65"/>
  <c r="I43" i="65"/>
  <c r="E43" i="65"/>
  <c r="E18" i="65"/>
  <c r="D33" i="83" s="1"/>
  <c r="H63" i="1"/>
  <c r="J63" i="1"/>
  <c r="I63" i="1"/>
  <c r="E63" i="1"/>
  <c r="F63" i="1"/>
  <c r="G63" i="1"/>
  <c r="I18" i="65"/>
  <c r="H33" i="83" s="1"/>
  <c r="D18" i="65"/>
  <c r="C33" i="83" s="1"/>
  <c r="H43" i="65"/>
  <c r="F43" i="65"/>
  <c r="O132" i="41" l="1"/>
  <c r="O149" i="41" s="1"/>
  <c r="BI149" i="41" s="1"/>
  <c r="F137" i="41"/>
  <c r="W137" i="41"/>
  <c r="W142" i="41" s="1"/>
  <c r="BQ142" i="41" s="1"/>
  <c r="G147" i="41"/>
  <c r="BA147" i="41" s="1"/>
  <c r="AF130" i="41"/>
  <c r="AF147" i="41" s="1"/>
  <c r="BZ147" i="41" s="1"/>
  <c r="X130" i="41"/>
  <c r="X147" i="41" s="1"/>
  <c r="BR147" i="41" s="1"/>
  <c r="Q130" i="41"/>
  <c r="Q147" i="41" s="1"/>
  <c r="BK147" i="41" s="1"/>
  <c r="H147" i="41"/>
  <c r="BB147" i="41" s="1"/>
  <c r="Q135" i="41"/>
  <c r="BK135" i="41" s="1"/>
  <c r="H135" i="41"/>
  <c r="BB135" i="41" s="1"/>
  <c r="Y130" i="41"/>
  <c r="Y147" i="41" s="1"/>
  <c r="BS147" i="41" s="1"/>
  <c r="AG130" i="41"/>
  <c r="AG147" i="41" s="1"/>
  <c r="CA147" i="41" s="1"/>
  <c r="AG135" i="41"/>
  <c r="CA135" i="41" s="1"/>
  <c r="O130" i="41"/>
  <c r="O147" i="41" s="1"/>
  <c r="BI147" i="41" s="1"/>
  <c r="AE130" i="41"/>
  <c r="AE147" i="41" s="1"/>
  <c r="BY147" i="41" s="1"/>
  <c r="F135" i="41"/>
  <c r="W135" i="41"/>
  <c r="F147" i="41"/>
  <c r="AZ147" i="41" s="1"/>
  <c r="W130" i="41"/>
  <c r="W147" i="41" s="1"/>
  <c r="BQ147" i="41" s="1"/>
  <c r="AE135" i="41"/>
  <c r="O135" i="41"/>
  <c r="O137" i="41"/>
  <c r="O142" i="41" s="1"/>
  <c r="AE137" i="41"/>
  <c r="BY137" i="41" s="1"/>
  <c r="F149" i="41"/>
  <c r="AZ149" i="41" s="1"/>
  <c r="G51" i="78"/>
  <c r="G51" i="83"/>
  <c r="G56" i="78"/>
  <c r="G56" i="83"/>
  <c r="E40" i="78"/>
  <c r="E40" i="83"/>
  <c r="H40" i="78"/>
  <c r="H40" i="83"/>
  <c r="E41" i="78"/>
  <c r="E41" i="83"/>
  <c r="H41" i="78"/>
  <c r="H41" i="83"/>
  <c r="F41" i="78"/>
  <c r="F41" i="83"/>
  <c r="D51" i="78"/>
  <c r="D51" i="83"/>
  <c r="O35" i="85"/>
  <c r="C41" i="78"/>
  <c r="C41" i="83"/>
  <c r="H56" i="78"/>
  <c r="H56" i="83"/>
  <c r="G41" i="78"/>
  <c r="G41" i="83"/>
  <c r="D41" i="78"/>
  <c r="D41" i="83"/>
  <c r="H51" i="78"/>
  <c r="H51" i="83"/>
  <c r="D56" i="78"/>
  <c r="D56" i="83"/>
  <c r="C56" i="78"/>
  <c r="C56" i="83"/>
  <c r="F56" i="78"/>
  <c r="F56" i="83"/>
  <c r="E51" i="78"/>
  <c r="E51" i="83"/>
  <c r="G40" i="78"/>
  <c r="G40" i="83"/>
  <c r="F51" i="78"/>
  <c r="F51" i="83"/>
  <c r="G46" i="78"/>
  <c r="G46" i="83"/>
  <c r="W132" i="41"/>
  <c r="W149" i="41" s="1"/>
  <c r="BQ149" i="41" s="1"/>
  <c r="F46" i="78"/>
  <c r="F46" i="83"/>
  <c r="E46" i="78"/>
  <c r="E46" i="83"/>
  <c r="D40" i="78"/>
  <c r="D40" i="83"/>
  <c r="C46" i="78"/>
  <c r="C46" i="83"/>
  <c r="D46" i="78"/>
  <c r="D46" i="83"/>
  <c r="H46" i="78"/>
  <c r="H46" i="83"/>
  <c r="F40" i="78"/>
  <c r="F40" i="83"/>
  <c r="E56" i="78"/>
  <c r="E56" i="83"/>
  <c r="C51" i="78"/>
  <c r="C51" i="83"/>
  <c r="C40" i="78"/>
  <c r="C40" i="83"/>
  <c r="AE142" i="41"/>
  <c r="BY142" i="41" s="1"/>
  <c r="W141" i="41"/>
  <c r="BQ141" i="41" s="1"/>
  <c r="BQ136" i="41"/>
  <c r="F142" i="41"/>
  <c r="AZ137" i="41"/>
  <c r="BI137" i="41"/>
  <c r="F148" i="41"/>
  <c r="AZ148" i="41" s="1"/>
  <c r="O131" i="41"/>
  <c r="O129" i="41" s="1"/>
  <c r="F129" i="41"/>
  <c r="AE136" i="41"/>
  <c r="W131" i="41"/>
  <c r="W148" i="41" s="1"/>
  <c r="BQ148" i="41" s="1"/>
  <c r="F136" i="41"/>
  <c r="AE131" i="41"/>
  <c r="AE148" i="41" s="1"/>
  <c r="H149" i="41"/>
  <c r="BB149" i="41" s="1"/>
  <c r="Q132" i="41"/>
  <c r="Q149" i="41" s="1"/>
  <c r="BK149" i="41" s="1"/>
  <c r="Y132" i="41"/>
  <c r="Y149" i="41" s="1"/>
  <c r="BS149" i="41" s="1"/>
  <c r="AG132" i="41"/>
  <c r="AG149" i="41" s="1"/>
  <c r="CA149" i="41" s="1"/>
  <c r="O136" i="41"/>
  <c r="Y131" i="41"/>
  <c r="Q131" i="41"/>
  <c r="AG131" i="41"/>
  <c r="J147" i="41"/>
  <c r="G19" i="65"/>
  <c r="F33" i="78"/>
  <c r="H19" i="65"/>
  <c r="G33" i="78"/>
  <c r="I19" i="65"/>
  <c r="H33" i="78"/>
  <c r="R135" i="41"/>
  <c r="BL135" i="41" s="1"/>
  <c r="R130" i="41"/>
  <c r="R147" i="41" s="1"/>
  <c r="BL147" i="41" s="1"/>
  <c r="Z130" i="41"/>
  <c r="Z147" i="41" s="1"/>
  <c r="BT147" i="41" s="1"/>
  <c r="I135" i="41"/>
  <c r="BC135" i="41" s="1"/>
  <c r="AH130" i="41"/>
  <c r="AH147" i="41" s="1"/>
  <c r="CB147" i="41" s="1"/>
  <c r="E19" i="65"/>
  <c r="D33" i="78"/>
  <c r="D19" i="65"/>
  <c r="C33" i="78"/>
  <c r="F19" i="65"/>
  <c r="E33" i="78"/>
  <c r="D46" i="65"/>
  <c r="G129" i="74"/>
  <c r="G128" i="74"/>
  <c r="G12" i="17"/>
  <c r="H45" i="65"/>
  <c r="H44" i="65"/>
  <c r="F12" i="17"/>
  <c r="G45" i="65"/>
  <c r="G44" i="65"/>
  <c r="D45" i="65"/>
  <c r="D44" i="65"/>
  <c r="F45" i="65"/>
  <c r="F44" i="65"/>
  <c r="I45" i="65"/>
  <c r="I44" i="65"/>
  <c r="D12" i="17"/>
  <c r="E44" i="65"/>
  <c r="E45" i="65"/>
  <c r="I129" i="74"/>
  <c r="I128" i="74"/>
  <c r="J129" i="74"/>
  <c r="J128" i="74"/>
  <c r="H129" i="74"/>
  <c r="H128" i="74"/>
  <c r="K129" i="74"/>
  <c r="K128" i="74"/>
  <c r="E65" i="1"/>
  <c r="H65" i="1"/>
  <c r="H15" i="2" s="1"/>
  <c r="G46" i="65"/>
  <c r="E46" i="65"/>
  <c r="F46" i="65"/>
  <c r="E12" i="17"/>
  <c r="H12" i="17"/>
  <c r="J65" i="1"/>
  <c r="J14" i="2" s="1"/>
  <c r="I46" i="65"/>
  <c r="I65" i="1"/>
  <c r="I15" i="2" s="1"/>
  <c r="G65" i="1"/>
  <c r="G14" i="2" s="1"/>
  <c r="H46" i="65"/>
  <c r="F65" i="1"/>
  <c r="AZ142" i="41" l="1"/>
  <c r="BQ137" i="41"/>
  <c r="AE155" i="41"/>
  <c r="BY155" i="41" s="1"/>
  <c r="F155" i="41"/>
  <c r="AZ155" i="41" s="1"/>
  <c r="O140" i="41"/>
  <c r="BI135" i="41"/>
  <c r="W140" i="41"/>
  <c r="W139" i="41" s="1"/>
  <c r="BQ139" i="41" s="1"/>
  <c r="BQ135" i="41"/>
  <c r="AE140" i="41"/>
  <c r="BY135" i="41"/>
  <c r="F140" i="41"/>
  <c r="AZ135" i="41"/>
  <c r="BI142" i="41"/>
  <c r="O155" i="41"/>
  <c r="BI155" i="41" s="1"/>
  <c r="F146" i="41"/>
  <c r="AZ146" i="41" s="1"/>
  <c r="AV38" i="84"/>
  <c r="AP38" i="84" s="1"/>
  <c r="AV38" i="79"/>
  <c r="AP38" i="79" s="1"/>
  <c r="AS38" i="84"/>
  <c r="AM38" i="84" s="1"/>
  <c r="AS38" i="79"/>
  <c r="AM38" i="79" s="1"/>
  <c r="AR38" i="84"/>
  <c r="AL38" i="84" s="1"/>
  <c r="AR38" i="79"/>
  <c r="AL38" i="79" s="1"/>
  <c r="AT38" i="84"/>
  <c r="AN38" i="84" s="1"/>
  <c r="AT38" i="79"/>
  <c r="AN38" i="79" s="1"/>
  <c r="AU38" i="84"/>
  <c r="AO38" i="84" s="1"/>
  <c r="AU38" i="79"/>
  <c r="AO38" i="79" s="1"/>
  <c r="AF10" i="78"/>
  <c r="AF10" i="83"/>
  <c r="H34" i="78"/>
  <c r="H34" i="83"/>
  <c r="C47" i="78"/>
  <c r="C47" i="83"/>
  <c r="D34" i="78"/>
  <c r="D34" i="83"/>
  <c r="C48" i="78"/>
  <c r="C48" i="83"/>
  <c r="G34" i="78"/>
  <c r="G34" i="83"/>
  <c r="AE10" i="78"/>
  <c r="AE10" i="83"/>
  <c r="D48" i="78"/>
  <c r="D48" i="83"/>
  <c r="D47" i="78"/>
  <c r="D47" i="83"/>
  <c r="F47" i="78"/>
  <c r="F47" i="83"/>
  <c r="F34" i="78"/>
  <c r="F34" i="83"/>
  <c r="E48" i="78"/>
  <c r="E48" i="83"/>
  <c r="AG9" i="78"/>
  <c r="AG9" i="83"/>
  <c r="F48" i="78"/>
  <c r="F48" i="83"/>
  <c r="H47" i="78"/>
  <c r="H47" i="83"/>
  <c r="E34" i="78"/>
  <c r="E34" i="83"/>
  <c r="H48" i="78"/>
  <c r="H48" i="83"/>
  <c r="G47" i="78"/>
  <c r="G47" i="83"/>
  <c r="AD9" i="78"/>
  <c r="AD9" i="83"/>
  <c r="E47" i="78"/>
  <c r="E47" i="83"/>
  <c r="G48" i="78"/>
  <c r="G48" i="83"/>
  <c r="C34" i="78"/>
  <c r="C34" i="83"/>
  <c r="W155" i="41"/>
  <c r="BQ155" i="41" s="1"/>
  <c r="Q21" i="85"/>
  <c r="N147" i="41"/>
  <c r="BH147" i="41" s="1"/>
  <c r="BD147" i="41"/>
  <c r="K29" i="85" s="1"/>
  <c r="AE141" i="41"/>
  <c r="AE154" i="41" s="1"/>
  <c r="BY136" i="41"/>
  <c r="AE146" i="41"/>
  <c r="BY146" i="41" s="1"/>
  <c r="BY148" i="41"/>
  <c r="O141" i="41"/>
  <c r="BI136" i="41"/>
  <c r="F141" i="41"/>
  <c r="AZ136" i="41"/>
  <c r="O148" i="41"/>
  <c r="AE129" i="41"/>
  <c r="W129" i="41"/>
  <c r="W154" i="41"/>
  <c r="BQ154" i="41" s="1"/>
  <c r="W146" i="41"/>
  <c r="BQ146" i="41" s="1"/>
  <c r="E14" i="2"/>
  <c r="E15" i="2"/>
  <c r="G15" i="2"/>
  <c r="AD10" i="83" s="1"/>
  <c r="I14" i="2"/>
  <c r="AF9" i="83" s="1"/>
  <c r="H14" i="2"/>
  <c r="AE9" i="83" s="1"/>
  <c r="J15" i="2"/>
  <c r="F14" i="2"/>
  <c r="AC9" i="83" s="1"/>
  <c r="F15" i="2"/>
  <c r="V14" i="2"/>
  <c r="Z132" i="41"/>
  <c r="Z149" i="41" s="1"/>
  <c r="BT149" i="41" s="1"/>
  <c r="AH137" i="41"/>
  <c r="R137" i="41"/>
  <c r="Z137" i="41"/>
  <c r="J35" i="67"/>
  <c r="AH132" i="41"/>
  <c r="AH149" i="41" s="1"/>
  <c r="CB149" i="41" s="1"/>
  <c r="R132" i="41"/>
  <c r="I137" i="41"/>
  <c r="BC137" i="41" s="1"/>
  <c r="L129" i="41"/>
  <c r="U130" i="41"/>
  <c r="U147" i="41" s="1"/>
  <c r="BO147" i="41" s="1"/>
  <c r="AK135" i="41"/>
  <c r="AK130" i="41"/>
  <c r="AK147" i="41" s="1"/>
  <c r="CE147" i="41" s="1"/>
  <c r="AC135" i="41"/>
  <c r="M29" i="67"/>
  <c r="U135" i="41"/>
  <c r="L135" i="41"/>
  <c r="AC130" i="41"/>
  <c r="AC147" i="41" s="1"/>
  <c r="BW147" i="41" s="1"/>
  <c r="X137" i="41"/>
  <c r="P137" i="41"/>
  <c r="P132" i="41"/>
  <c r="AF137" i="41"/>
  <c r="AF132" i="41"/>
  <c r="AF149" i="41" s="1"/>
  <c r="BZ149" i="41" s="1"/>
  <c r="X132" i="41"/>
  <c r="X149" i="41" s="1"/>
  <c r="BR149" i="41" s="1"/>
  <c r="G137" i="41"/>
  <c r="I148" i="41"/>
  <c r="AH131" i="41"/>
  <c r="AH148" i="41" s="1"/>
  <c r="CB148" i="41" s="1"/>
  <c r="Z131" i="41"/>
  <c r="Z148" i="41" s="1"/>
  <c r="BT148" i="41" s="1"/>
  <c r="AH136" i="41"/>
  <c r="Z136" i="41"/>
  <c r="R131" i="41"/>
  <c r="R148" i="41" s="1"/>
  <c r="I136" i="41"/>
  <c r="BC136" i="41" s="1"/>
  <c r="R136" i="41"/>
  <c r="AG137" i="41"/>
  <c r="Y137" i="41"/>
  <c r="H137" i="41"/>
  <c r="Q137" i="41"/>
  <c r="AG136" i="41"/>
  <c r="Y148" i="41"/>
  <c r="BS148" i="41" s="1"/>
  <c r="Q148" i="41"/>
  <c r="BK148" i="41" s="1"/>
  <c r="AG148" i="41"/>
  <c r="CA148" i="41" s="1"/>
  <c r="H148" i="41"/>
  <c r="BB148" i="41" s="1"/>
  <c r="Y136" i="41"/>
  <c r="H136" i="41"/>
  <c r="Q136" i="41"/>
  <c r="I129" i="41"/>
  <c r="AH135" i="41"/>
  <c r="J29" i="67"/>
  <c r="Z135" i="41"/>
  <c r="R140" i="41"/>
  <c r="BL140" i="41" s="1"/>
  <c r="G129" i="41"/>
  <c r="P130" i="41"/>
  <c r="P147" i="41" s="1"/>
  <c r="BJ147" i="41" s="1"/>
  <c r="G135" i="41"/>
  <c r="X135" i="41"/>
  <c r="P135" i="41"/>
  <c r="AF135" i="41"/>
  <c r="J129" i="41"/>
  <c r="AA135" i="41"/>
  <c r="AA130" i="41"/>
  <c r="AA147" i="41" s="1"/>
  <c r="BU147" i="41" s="1"/>
  <c r="AI135" i="41"/>
  <c r="K29" i="67"/>
  <c r="S135" i="41"/>
  <c r="AI130" i="41"/>
  <c r="AI147" i="41" s="1"/>
  <c r="CC147" i="41" s="1"/>
  <c r="J135" i="41"/>
  <c r="AL131" i="41"/>
  <c r="AL148" i="41" s="1"/>
  <c r="CF148" i="41" s="1"/>
  <c r="AD131" i="41"/>
  <c r="AD148" i="41" s="1"/>
  <c r="BX148" i="41" s="1"/>
  <c r="V131" i="41"/>
  <c r="V148" i="41" s="1"/>
  <c r="V136" i="41"/>
  <c r="M148" i="41"/>
  <c r="BG148" i="41" s="1"/>
  <c r="N32" i="85" s="1"/>
  <c r="M136" i="41"/>
  <c r="AL136" i="41"/>
  <c r="AD136" i="41"/>
  <c r="V130" i="41"/>
  <c r="V147" i="41" s="1"/>
  <c r="BP147" i="41" s="1"/>
  <c r="M129" i="41"/>
  <c r="AL135" i="41"/>
  <c r="V135" i="41"/>
  <c r="AL130" i="41"/>
  <c r="AL147" i="41" s="1"/>
  <c r="CF147" i="41" s="1"/>
  <c r="AD135" i="41"/>
  <c r="AD130" i="41"/>
  <c r="AD147" i="41" s="1"/>
  <c r="BX147" i="41" s="1"/>
  <c r="N29" i="67"/>
  <c r="M135" i="41"/>
  <c r="K129" i="41"/>
  <c r="AB130" i="41"/>
  <c r="AB147" i="41" s="1"/>
  <c r="BV147" i="41" s="1"/>
  <c r="T135" i="41"/>
  <c r="K135" i="41"/>
  <c r="L29" i="67"/>
  <c r="AB135" i="41"/>
  <c r="T130" i="41"/>
  <c r="T147" i="41" s="1"/>
  <c r="BN147" i="41" s="1"/>
  <c r="AJ130" i="41"/>
  <c r="AJ147" i="41" s="1"/>
  <c r="CD147" i="41" s="1"/>
  <c r="AJ135" i="41"/>
  <c r="S131" i="41"/>
  <c r="S148" i="41" s="1"/>
  <c r="S136" i="41"/>
  <c r="J148" i="41"/>
  <c r="BD148" i="41" s="1"/>
  <c r="K32" i="85" s="1"/>
  <c r="AI131" i="41"/>
  <c r="AI148" i="41" s="1"/>
  <c r="CC148" i="41" s="1"/>
  <c r="AA131" i="41"/>
  <c r="AA148" i="41" s="1"/>
  <c r="BU148" i="41" s="1"/>
  <c r="AA136" i="41"/>
  <c r="AI136" i="41"/>
  <c r="J136" i="41"/>
  <c r="H129" i="41"/>
  <c r="Y135" i="41"/>
  <c r="AG140" i="41"/>
  <c r="CA140" i="41" s="1"/>
  <c r="H140" i="41"/>
  <c r="Q140" i="41"/>
  <c r="BK140" i="41" s="1"/>
  <c r="L148" i="41"/>
  <c r="BF148" i="41" s="1"/>
  <c r="M32" i="85" s="1"/>
  <c r="M44" i="85" s="1"/>
  <c r="L136" i="41"/>
  <c r="U131" i="41"/>
  <c r="U148" i="41" s="1"/>
  <c r="AC131" i="41"/>
  <c r="AC148" i="41" s="1"/>
  <c r="BW148" i="41" s="1"/>
  <c r="AK136" i="41"/>
  <c r="AC136" i="41"/>
  <c r="U136" i="41"/>
  <c r="AK131" i="41"/>
  <c r="AK148" i="41" s="1"/>
  <c r="CE148" i="41" s="1"/>
  <c r="AC132" i="41"/>
  <c r="AC149" i="41" s="1"/>
  <c r="BW149" i="41" s="1"/>
  <c r="U137" i="41"/>
  <c r="U132" i="41"/>
  <c r="AK137" i="41"/>
  <c r="AC137" i="41"/>
  <c r="AK132" i="41"/>
  <c r="AK149" i="41" s="1"/>
  <c r="CE149" i="41" s="1"/>
  <c r="L137" i="41"/>
  <c r="AB132" i="41"/>
  <c r="AB149" i="41" s="1"/>
  <c r="BV149" i="41" s="1"/>
  <c r="AB137" i="41"/>
  <c r="T137" i="41"/>
  <c r="AJ137" i="41"/>
  <c r="AJ132" i="41"/>
  <c r="AJ149" i="41" s="1"/>
  <c r="CD149" i="41" s="1"/>
  <c r="K137" i="41"/>
  <c r="T132" i="41"/>
  <c r="X131" i="41"/>
  <c r="X148" i="41" s="1"/>
  <c r="BR148" i="41" s="1"/>
  <c r="X136" i="41"/>
  <c r="P131" i="41"/>
  <c r="P148" i="41" s="1"/>
  <c r="BJ148" i="41" s="1"/>
  <c r="G136" i="41"/>
  <c r="AF131" i="41"/>
  <c r="AF148" i="41" s="1"/>
  <c r="BZ148" i="41" s="1"/>
  <c r="P136" i="41"/>
  <c r="AF136" i="41"/>
  <c r="V132" i="41"/>
  <c r="M137" i="41"/>
  <c r="AD132" i="41"/>
  <c r="AD149" i="41" s="1"/>
  <c r="BX149" i="41" s="1"/>
  <c r="AL137" i="41"/>
  <c r="V137" i="41"/>
  <c r="AL132" i="41"/>
  <c r="AL149" i="41" s="1"/>
  <c r="CF149" i="41" s="1"/>
  <c r="AD137" i="41"/>
  <c r="AB136" i="41"/>
  <c r="T136" i="41"/>
  <c r="AB131" i="41"/>
  <c r="AB148" i="41" s="1"/>
  <c r="BV148" i="41" s="1"/>
  <c r="AJ136" i="41"/>
  <c r="K148" i="41"/>
  <c r="BE148" i="41" s="1"/>
  <c r="L32" i="85" s="1"/>
  <c r="L44" i="85" s="1"/>
  <c r="K136" i="41"/>
  <c r="AJ131" i="41"/>
  <c r="AJ148" i="41" s="1"/>
  <c r="CD148" i="41" s="1"/>
  <c r="T131" i="41"/>
  <c r="T148" i="41" s="1"/>
  <c r="AA137" i="41"/>
  <c r="AA132" i="41"/>
  <c r="AA149" i="41" s="1"/>
  <c r="BU149" i="41" s="1"/>
  <c r="AI132" i="41"/>
  <c r="AI149" i="41" s="1"/>
  <c r="CC149" i="41" s="1"/>
  <c r="S132" i="41"/>
  <c r="S149" i="41" s="1"/>
  <c r="BM149" i="41" s="1"/>
  <c r="S137" i="41"/>
  <c r="J137" i="41"/>
  <c r="AI137" i="41"/>
  <c r="BB140" i="41" l="1"/>
  <c r="AZ141" i="41"/>
  <c r="F153" i="41"/>
  <c r="AZ153" i="41" s="1"/>
  <c r="AZ140" i="41"/>
  <c r="BQ140" i="41"/>
  <c r="W153" i="41"/>
  <c r="BQ153" i="41" s="1"/>
  <c r="BY140" i="41"/>
  <c r="AE153" i="41"/>
  <c r="BY153" i="41" s="1"/>
  <c r="BI140" i="41"/>
  <c r="O153" i="41"/>
  <c r="BI153" i="41" s="1"/>
  <c r="AG10" i="78"/>
  <c r="AG10" i="83"/>
  <c r="AC10" i="78"/>
  <c r="AC10" i="83"/>
  <c r="N44" i="85"/>
  <c r="AB10" i="78"/>
  <c r="AB10" i="83"/>
  <c r="K44" i="85"/>
  <c r="O29" i="85"/>
  <c r="AB9" i="78"/>
  <c r="AB9" i="83"/>
  <c r="AA141" i="41"/>
  <c r="BU141" i="41" s="1"/>
  <c r="BU136" i="41"/>
  <c r="AF140" i="41"/>
  <c r="BZ140" i="41" s="1"/>
  <c r="BZ135" i="41"/>
  <c r="AB140" i="41"/>
  <c r="BV140" i="41" s="1"/>
  <c r="BV135" i="41"/>
  <c r="AL141" i="41"/>
  <c r="CF141" i="41" s="1"/>
  <c r="CF136" i="41"/>
  <c r="P140" i="41"/>
  <c r="BJ140" i="41" s="1"/>
  <c r="BJ135" i="41"/>
  <c r="AH140" i="41"/>
  <c r="CB140" i="41" s="1"/>
  <c r="CB135" i="41"/>
  <c r="N15" i="7"/>
  <c r="BK15" i="7" s="1"/>
  <c r="BL148" i="41"/>
  <c r="AD141" i="41"/>
  <c r="BX141" i="41" s="1"/>
  <c r="BX136" i="41"/>
  <c r="U140" i="41"/>
  <c r="BO140" i="41" s="1"/>
  <c r="BO135" i="41"/>
  <c r="M142" i="41"/>
  <c r="Z9" i="7" s="1"/>
  <c r="BW9" i="7" s="1"/>
  <c r="BG137" i="41"/>
  <c r="L142" i="41"/>
  <c r="BF137" i="41"/>
  <c r="U141" i="41"/>
  <c r="BO141" i="41" s="1"/>
  <c r="BO136" i="41"/>
  <c r="AD140" i="41"/>
  <c r="BX140" i="41" s="1"/>
  <c r="BX135" i="41"/>
  <c r="M141" i="41"/>
  <c r="R9" i="7" s="1"/>
  <c r="BO9" i="7" s="1"/>
  <c r="BG136" i="41"/>
  <c r="S140" i="41"/>
  <c r="BM140" i="41" s="1"/>
  <c r="BM135" i="41"/>
  <c r="X140" i="41"/>
  <c r="BR140" i="41" s="1"/>
  <c r="BR135" i="41"/>
  <c r="AG141" i="41"/>
  <c r="CA141" i="41" s="1"/>
  <c r="CA136" i="41"/>
  <c r="Z141" i="41"/>
  <c r="BT141" i="41" s="1"/>
  <c r="BT136" i="41"/>
  <c r="AF142" i="41"/>
  <c r="BZ142" i="41" s="1"/>
  <c r="BZ137" i="41"/>
  <c r="AC140" i="41"/>
  <c r="BW140" i="41" s="1"/>
  <c r="BW135" i="41"/>
  <c r="BY154" i="41"/>
  <c r="X141" i="41"/>
  <c r="BR141" i="41" s="1"/>
  <c r="BR136" i="41"/>
  <c r="AC141" i="41"/>
  <c r="BW141" i="41" s="1"/>
  <c r="BW136" i="41"/>
  <c r="K140" i="41"/>
  <c r="H9" i="7" s="1"/>
  <c r="BE9" i="7" s="1"/>
  <c r="BE135" i="41"/>
  <c r="G140" i="41"/>
  <c r="BA135" i="41"/>
  <c r="Q141" i="41"/>
  <c r="BK141" i="41" s="1"/>
  <c r="BK136" i="41"/>
  <c r="Q142" i="41"/>
  <c r="BK142" i="41" s="1"/>
  <c r="BK137" i="41"/>
  <c r="AH141" i="41"/>
  <c r="CB141" i="41" s="1"/>
  <c r="CB136" i="41"/>
  <c r="Z142" i="41"/>
  <c r="BT142" i="41" s="1"/>
  <c r="BT137" i="41"/>
  <c r="S142" i="41"/>
  <c r="BM142" i="41" s="1"/>
  <c r="BM137" i="41"/>
  <c r="AB142" i="41"/>
  <c r="BV142" i="41" s="1"/>
  <c r="BV137" i="41"/>
  <c r="T141" i="41"/>
  <c r="BN141" i="41" s="1"/>
  <c r="BN136" i="41"/>
  <c r="AA142" i="41"/>
  <c r="BU142" i="41" s="1"/>
  <c r="BU137" i="41"/>
  <c r="AB141" i="41"/>
  <c r="BV141" i="41" s="1"/>
  <c r="BV136" i="41"/>
  <c r="AF141" i="41"/>
  <c r="BZ141" i="41" s="1"/>
  <c r="BZ136" i="41"/>
  <c r="K142" i="41"/>
  <c r="BE137" i="41"/>
  <c r="AC142" i="41"/>
  <c r="BW142" i="41" s="1"/>
  <c r="BW137" i="41"/>
  <c r="AK141" i="41"/>
  <c r="CE141" i="41" s="1"/>
  <c r="CE136" i="41"/>
  <c r="Y140" i="41"/>
  <c r="BS140" i="41" s="1"/>
  <c r="BS135" i="41"/>
  <c r="S141" i="41"/>
  <c r="BM141" i="41" s="1"/>
  <c r="BM136" i="41"/>
  <c r="T140" i="41"/>
  <c r="BN140" i="41" s="1"/>
  <c r="BN135" i="41"/>
  <c r="V140" i="41"/>
  <c r="BP140" i="41" s="1"/>
  <c r="BP135" i="41"/>
  <c r="V141" i="41"/>
  <c r="BP141" i="41" s="1"/>
  <c r="BP136" i="41"/>
  <c r="AI140" i="41"/>
  <c r="CC140" i="41" s="1"/>
  <c r="CC135" i="41"/>
  <c r="H141" i="41"/>
  <c r="BB136" i="41"/>
  <c r="H142" i="41"/>
  <c r="H155" i="41" s="1"/>
  <c r="BB155" i="41" s="1"/>
  <c r="BB137" i="41"/>
  <c r="P142" i="41"/>
  <c r="BJ142" i="41" s="1"/>
  <c r="BJ137" i="41"/>
  <c r="AK140" i="41"/>
  <c r="CE140" i="41" s="1"/>
  <c r="CE135" i="41"/>
  <c r="R142" i="41"/>
  <c r="BL142" i="41" s="1"/>
  <c r="BL137" i="41"/>
  <c r="AJ141" i="41"/>
  <c r="CD141" i="41" s="1"/>
  <c r="CD136" i="41"/>
  <c r="AK142" i="41"/>
  <c r="CE142" i="41" s="1"/>
  <c r="CE137" i="41"/>
  <c r="O15" i="7"/>
  <c r="BL15" i="7" s="1"/>
  <c r="BM148" i="41"/>
  <c r="AL140" i="41"/>
  <c r="CF140" i="41" s="1"/>
  <c r="CF135" i="41"/>
  <c r="R15" i="7"/>
  <c r="BO15" i="7" s="1"/>
  <c r="BP148" i="41"/>
  <c r="Y141" i="41"/>
  <c r="BS141" i="41" s="1"/>
  <c r="BS136" i="41"/>
  <c r="Y142" i="41"/>
  <c r="BS142" i="41" s="1"/>
  <c r="BS137" i="41"/>
  <c r="X142" i="41"/>
  <c r="BR142" i="41" s="1"/>
  <c r="BR137" i="41"/>
  <c r="AH142" i="41"/>
  <c r="CB142" i="41" s="1"/>
  <c r="CB137" i="41"/>
  <c r="AE139" i="41"/>
  <c r="BY139" i="41" s="1"/>
  <c r="BY141" i="41"/>
  <c r="AL142" i="41"/>
  <c r="CF142" i="41" s="1"/>
  <c r="CF137" i="41"/>
  <c r="AD142" i="41"/>
  <c r="BX142" i="41" s="1"/>
  <c r="BX137" i="41"/>
  <c r="AJ142" i="41"/>
  <c r="CD142" i="41" s="1"/>
  <c r="CD137" i="41"/>
  <c r="Q15" i="7"/>
  <c r="BN15" i="7" s="1"/>
  <c r="BO148" i="41"/>
  <c r="J141" i="41"/>
  <c r="BD136" i="41"/>
  <c r="AJ140" i="41"/>
  <c r="CD140" i="41" s="1"/>
  <c r="CD135" i="41"/>
  <c r="AA140" i="41"/>
  <c r="BU140" i="41" s="1"/>
  <c r="BU135" i="41"/>
  <c r="AG142" i="41"/>
  <c r="CA142" i="41" s="1"/>
  <c r="CA137" i="41"/>
  <c r="J32" i="67"/>
  <c r="J44" i="67" s="1"/>
  <c r="BC148" i="41"/>
  <c r="J32" i="85" s="1"/>
  <c r="J140" i="41"/>
  <c r="BD135" i="41"/>
  <c r="P15" i="7"/>
  <c r="BM15" i="7" s="1"/>
  <c r="BN148" i="41"/>
  <c r="P141" i="41"/>
  <c r="BJ141" i="41" s="1"/>
  <c r="BJ136" i="41"/>
  <c r="AI142" i="41"/>
  <c r="CC142" i="41" s="1"/>
  <c r="CC137" i="41"/>
  <c r="J142" i="41"/>
  <c r="BD137" i="41"/>
  <c r="K141" i="41"/>
  <c r="BE136" i="41"/>
  <c r="V142" i="41"/>
  <c r="BP142" i="41" s="1"/>
  <c r="BP137" i="41"/>
  <c r="G141" i="41"/>
  <c r="BA136" i="41"/>
  <c r="T142" i="41"/>
  <c r="BN142" i="41" s="1"/>
  <c r="BN137" i="41"/>
  <c r="U142" i="41"/>
  <c r="BO142" i="41" s="1"/>
  <c r="BO137" i="41"/>
  <c r="L141" i="41"/>
  <c r="BF136" i="41"/>
  <c r="AI141" i="41"/>
  <c r="CC141" i="41" s="1"/>
  <c r="CC136" i="41"/>
  <c r="M140" i="41"/>
  <c r="BG135" i="41"/>
  <c r="Z140" i="41"/>
  <c r="BT140" i="41" s="1"/>
  <c r="BT135" i="41"/>
  <c r="R141" i="41"/>
  <c r="BL141" i="41" s="1"/>
  <c r="BL136" i="41"/>
  <c r="G142" i="41"/>
  <c r="G155" i="41" s="1"/>
  <c r="BA155" i="41" s="1"/>
  <c r="BA137" i="41"/>
  <c r="L140" i="41"/>
  <c r="BF135" i="41"/>
  <c r="F154" i="41"/>
  <c r="AZ154" i="41" s="1"/>
  <c r="O146" i="41"/>
  <c r="BI146" i="41" s="1"/>
  <c r="BI148" i="41"/>
  <c r="F139" i="41"/>
  <c r="AZ139" i="41" s="1"/>
  <c r="O154" i="41"/>
  <c r="O139" i="41"/>
  <c r="BI139" i="41" s="1"/>
  <c r="BI141" i="41"/>
  <c r="T149" i="41"/>
  <c r="R149" i="41"/>
  <c r="V149" i="41"/>
  <c r="U149" i="41"/>
  <c r="P149" i="41"/>
  <c r="U14" i="2"/>
  <c r="AF9" i="78"/>
  <c r="Q14" i="2"/>
  <c r="AC9" i="78"/>
  <c r="S14" i="2"/>
  <c r="AE9" i="78"/>
  <c r="S15" i="2"/>
  <c r="AD10" i="78"/>
  <c r="Z10" i="7"/>
  <c r="BW10" i="7" s="1"/>
  <c r="N35" i="67"/>
  <c r="O29" i="67"/>
  <c r="Q19" i="67" s="1"/>
  <c r="W10" i="7"/>
  <c r="BT10" i="7" s="1"/>
  <c r="K35" i="67"/>
  <c r="Y10" i="7"/>
  <c r="BV10" i="7" s="1"/>
  <c r="M35" i="67"/>
  <c r="O10" i="7"/>
  <c r="BL10" i="7" s="1"/>
  <c r="K32" i="67"/>
  <c r="R10" i="7"/>
  <c r="BO10" i="7" s="1"/>
  <c r="N32" i="67"/>
  <c r="P10" i="7"/>
  <c r="BM10" i="7" s="1"/>
  <c r="L32" i="67"/>
  <c r="X10" i="7"/>
  <c r="BU10" i="7" s="1"/>
  <c r="L35" i="67"/>
  <c r="Q10" i="7"/>
  <c r="BN10" i="7" s="1"/>
  <c r="M32" i="67"/>
  <c r="R14" i="2"/>
  <c r="Q15" i="2"/>
  <c r="T14" i="2"/>
  <c r="R15" i="2"/>
  <c r="T15" i="2"/>
  <c r="V15" i="2"/>
  <c r="U15" i="2"/>
  <c r="R16" i="7"/>
  <c r="BO16" i="7" s="1"/>
  <c r="E71" i="7"/>
  <c r="BB71" i="7" s="1"/>
  <c r="AI129" i="41"/>
  <c r="AA129" i="41"/>
  <c r="AG129" i="41"/>
  <c r="H10" i="7"/>
  <c r="BE10" i="7" s="1"/>
  <c r="K146" i="41"/>
  <c r="G146" i="41"/>
  <c r="BA146" i="41" s="1"/>
  <c r="P129" i="41"/>
  <c r="F10" i="7"/>
  <c r="BC10" i="7" s="1"/>
  <c r="I146" i="41"/>
  <c r="R153" i="41"/>
  <c r="BL153" i="41" s="1"/>
  <c r="R129" i="41"/>
  <c r="S129" i="41"/>
  <c r="W15" i="7"/>
  <c r="BT15" i="7" s="1"/>
  <c r="P60" i="7"/>
  <c r="BM60" i="7" s="1"/>
  <c r="Y16" i="7"/>
  <c r="BV16" i="7" s="1"/>
  <c r="Y129" i="41"/>
  <c r="T129" i="41"/>
  <c r="J10" i="7"/>
  <c r="BG10" i="7" s="1"/>
  <c r="M146" i="41"/>
  <c r="AD154" i="41"/>
  <c r="BX154" i="41" s="1"/>
  <c r="G15" i="7"/>
  <c r="BD15" i="7" s="1"/>
  <c r="AF146" i="41"/>
  <c r="BZ146" i="41" s="1"/>
  <c r="AF129" i="41"/>
  <c r="AH129" i="41"/>
  <c r="Z129" i="41"/>
  <c r="N136" i="41"/>
  <c r="BH136" i="41" s="1"/>
  <c r="I141" i="41"/>
  <c r="N16" i="7"/>
  <c r="BK16" i="7" s="1"/>
  <c r="AK129" i="41"/>
  <c r="AK153" i="41"/>
  <c r="CE153" i="41" s="1"/>
  <c r="I142" i="41"/>
  <c r="N137" i="41"/>
  <c r="BH137" i="41" s="1"/>
  <c r="AI155" i="41"/>
  <c r="CC155" i="41" s="1"/>
  <c r="I71" i="7"/>
  <c r="BF71" i="7" s="1"/>
  <c r="N10" i="7"/>
  <c r="BK10" i="7" s="1"/>
  <c r="N148" i="41"/>
  <c r="BH148" i="41" s="1"/>
  <c r="I10" i="7"/>
  <c r="BF10" i="7" s="1"/>
  <c r="L146" i="41"/>
  <c r="U129" i="41"/>
  <c r="AH155" i="41"/>
  <c r="CB155" i="41" s="1"/>
  <c r="Q16" i="7"/>
  <c r="BN16" i="7" s="1"/>
  <c r="Q129" i="41"/>
  <c r="O16" i="7"/>
  <c r="BL16" i="7" s="1"/>
  <c r="AB129" i="41"/>
  <c r="AD129" i="41"/>
  <c r="R71" i="7"/>
  <c r="BO71" i="7" s="1"/>
  <c r="W16" i="7"/>
  <c r="BT16" i="7" s="1"/>
  <c r="P16" i="7"/>
  <c r="BM16" i="7" s="1"/>
  <c r="Z16" i="7"/>
  <c r="BW16" i="7" s="1"/>
  <c r="H146" i="41"/>
  <c r="BB146" i="41" s="1"/>
  <c r="Z154" i="41"/>
  <c r="BT154" i="41" s="1"/>
  <c r="X16" i="7"/>
  <c r="BU16" i="7" s="1"/>
  <c r="H153" i="41"/>
  <c r="BB153" i="41" s="1"/>
  <c r="O71" i="7"/>
  <c r="BL71" i="7" s="1"/>
  <c r="AJ129" i="41"/>
  <c r="K153" i="41"/>
  <c r="AL129" i="41"/>
  <c r="V129" i="41"/>
  <c r="G10" i="7"/>
  <c r="BD10" i="7" s="1"/>
  <c r="J146" i="41"/>
  <c r="X129" i="41"/>
  <c r="N135" i="41"/>
  <c r="BH135" i="41" s="1"/>
  <c r="I140" i="41"/>
  <c r="F71" i="7"/>
  <c r="BC71" i="7" s="1"/>
  <c r="U60" i="7"/>
  <c r="BR60" i="7" s="1"/>
  <c r="AC129" i="41"/>
  <c r="V10" i="7"/>
  <c r="BS10" i="7" s="1"/>
  <c r="N149" i="41"/>
  <c r="BH149" i="41" s="1"/>
  <c r="V16" i="7"/>
  <c r="BS16" i="7" s="1"/>
  <c r="Y155" i="41" l="1"/>
  <c r="BS155" i="41" s="1"/>
  <c r="N60" i="7"/>
  <c r="BK60" i="7" s="1"/>
  <c r="V71" i="7"/>
  <c r="BS71" i="7" s="1"/>
  <c r="W71" i="7"/>
  <c r="BT71" i="7" s="1"/>
  <c r="R60" i="7"/>
  <c r="BO60" i="7" s="1"/>
  <c r="AJ155" i="41"/>
  <c r="CD155" i="41" s="1"/>
  <c r="AH154" i="41"/>
  <c r="CB154" i="41" s="1"/>
  <c r="AL155" i="41"/>
  <c r="CF155" i="41" s="1"/>
  <c r="X71" i="7"/>
  <c r="BU71" i="7" s="1"/>
  <c r="AE152" i="41"/>
  <c r="BY152" i="41" s="1"/>
  <c r="Q154" i="41"/>
  <c r="BK154" i="41" s="1"/>
  <c r="AJ154" i="41"/>
  <c r="CD154" i="41" s="1"/>
  <c r="AK154" i="41"/>
  <c r="CE154" i="41" s="1"/>
  <c r="I60" i="7"/>
  <c r="BF60" i="7" s="1"/>
  <c r="N71" i="7"/>
  <c r="BK71" i="7" s="1"/>
  <c r="AH139" i="41"/>
  <c r="CB139" i="41" s="1"/>
  <c r="AI154" i="41"/>
  <c r="CC154" i="41" s="1"/>
  <c r="AL154" i="41"/>
  <c r="CF154" i="41" s="1"/>
  <c r="Z71" i="7"/>
  <c r="BW71" i="7" s="1"/>
  <c r="G60" i="7"/>
  <c r="BD60" i="7" s="1"/>
  <c r="P71" i="7"/>
  <c r="BM71" i="7" s="1"/>
  <c r="AH153" i="41"/>
  <c r="CB153" i="41" s="1"/>
  <c r="G71" i="7"/>
  <c r="BD71" i="7" s="1"/>
  <c r="Q71" i="7"/>
  <c r="BN71" i="7" s="1"/>
  <c r="AB154" i="41"/>
  <c r="BV154" i="41" s="1"/>
  <c r="X154" i="41"/>
  <c r="BR154" i="41" s="1"/>
  <c r="BF140" i="41"/>
  <c r="BG140" i="41"/>
  <c r="BF141" i="41"/>
  <c r="BD142" i="41"/>
  <c r="BD140" i="41"/>
  <c r="BB141" i="41"/>
  <c r="BA140" i="41"/>
  <c r="BF142" i="41"/>
  <c r="BC142" i="41"/>
  <c r="BC141" i="41"/>
  <c r="BA142" i="41"/>
  <c r="BA141" i="41"/>
  <c r="BE141" i="41"/>
  <c r="BD141" i="41"/>
  <c r="BB142" i="41"/>
  <c r="BE142" i="41"/>
  <c r="BE140" i="41"/>
  <c r="BG141" i="41"/>
  <c r="BG142" i="41"/>
  <c r="BC140" i="41"/>
  <c r="P9" i="7"/>
  <c r="BM9" i="7" s="1"/>
  <c r="K155" i="41"/>
  <c r="BE155" i="41" s="1"/>
  <c r="L34" i="85" s="1"/>
  <c r="L33" i="85" s="1"/>
  <c r="L21" i="85" s="1"/>
  <c r="M155" i="41"/>
  <c r="BG155" i="41" s="1"/>
  <c r="N34" i="85" s="1"/>
  <c r="N12" i="85" s="1"/>
  <c r="K154" i="41"/>
  <c r="BE154" i="41" s="1"/>
  <c r="L31" i="85" s="1"/>
  <c r="L11" i="85" s="1"/>
  <c r="M154" i="41"/>
  <c r="BG154" i="41" s="1"/>
  <c r="N31" i="85" s="1"/>
  <c r="N11" i="85" s="1"/>
  <c r="J154" i="41"/>
  <c r="BD154" i="41" s="1"/>
  <c r="K31" i="85" s="1"/>
  <c r="K11" i="85" s="1"/>
  <c r="S154" i="41"/>
  <c r="O18" i="7" s="1"/>
  <c r="BL18" i="7" s="1"/>
  <c r="T154" i="41"/>
  <c r="P18" i="7" s="1"/>
  <c r="BM18" i="7" s="1"/>
  <c r="O9" i="7"/>
  <c r="BL9" i="7" s="1"/>
  <c r="U154" i="41"/>
  <c r="Q18" i="7" s="1"/>
  <c r="BN18" i="7" s="1"/>
  <c r="X9" i="7"/>
  <c r="BU9" i="7" s="1"/>
  <c r="K139" i="41"/>
  <c r="BE139" i="41" s="1"/>
  <c r="Y60" i="7"/>
  <c r="BV60" i="7" s="1"/>
  <c r="P153" i="41"/>
  <c r="BJ153" i="41" s="1"/>
  <c r="J60" i="7"/>
  <c r="BG60" i="7" s="1"/>
  <c r="I9" i="7"/>
  <c r="BF9" i="7" s="1"/>
  <c r="H154" i="41"/>
  <c r="BB154" i="41" s="1"/>
  <c r="W152" i="41"/>
  <c r="BQ152" i="41" s="1"/>
  <c r="AI139" i="41"/>
  <c r="CC139" i="41" s="1"/>
  <c r="M153" i="41"/>
  <c r="J11" i="7" s="1"/>
  <c r="BG11" i="7" s="1"/>
  <c r="S153" i="41"/>
  <c r="BM153" i="41" s="1"/>
  <c r="G9" i="7"/>
  <c r="BD9" i="7" s="1"/>
  <c r="AA139" i="41"/>
  <c r="BU139" i="41" s="1"/>
  <c r="Z155" i="41"/>
  <c r="BT155" i="41" s="1"/>
  <c r="J155" i="41"/>
  <c r="BD155" i="41" s="1"/>
  <c r="K34" i="85" s="1"/>
  <c r="K33" i="85" s="1"/>
  <c r="K21" i="85" s="1"/>
  <c r="M139" i="41"/>
  <c r="BG139" i="41" s="1"/>
  <c r="H139" i="41"/>
  <c r="BB139" i="41" s="1"/>
  <c r="X155" i="41"/>
  <c r="BR155" i="41" s="1"/>
  <c r="AJ139" i="41"/>
  <c r="CD139" i="41" s="1"/>
  <c r="G139" i="41"/>
  <c r="BA139" i="41" s="1"/>
  <c r="AF139" i="41"/>
  <c r="BZ139" i="41" s="1"/>
  <c r="V60" i="7"/>
  <c r="BS60" i="7" s="1"/>
  <c r="T139" i="41"/>
  <c r="BN139" i="41" s="1"/>
  <c r="AA154" i="41"/>
  <c r="BU154" i="41" s="1"/>
  <c r="AA155" i="41"/>
  <c r="BU155" i="41" s="1"/>
  <c r="AG154" i="41"/>
  <c r="CA154" i="41" s="1"/>
  <c r="F60" i="7"/>
  <c r="BC60" i="7" s="1"/>
  <c r="AD155" i="41"/>
  <c r="BX155" i="41" s="1"/>
  <c r="H71" i="7"/>
  <c r="BE71" i="7" s="1"/>
  <c r="X139" i="41"/>
  <c r="BR139" i="41" s="1"/>
  <c r="O60" i="7"/>
  <c r="BL60" i="7" s="1"/>
  <c r="W60" i="7"/>
  <c r="BT60" i="7" s="1"/>
  <c r="M71" i="7"/>
  <c r="BJ71" i="7" s="1"/>
  <c r="Z60" i="7"/>
  <c r="BW60" i="7" s="1"/>
  <c r="J9" i="7"/>
  <c r="BG9" i="7" s="1"/>
  <c r="G153" i="41"/>
  <c r="BA153" i="41" s="1"/>
  <c r="AL139" i="41"/>
  <c r="CF139" i="41" s="1"/>
  <c r="L153" i="41"/>
  <c r="M28" i="67" s="1"/>
  <c r="M10" i="67" s="1"/>
  <c r="J153" i="41"/>
  <c r="K28" i="67" s="1"/>
  <c r="K10" i="67" s="1"/>
  <c r="P139" i="41"/>
  <c r="BJ139" i="41" s="1"/>
  <c r="AD139" i="41"/>
  <c r="BX139" i="41" s="1"/>
  <c r="H60" i="7"/>
  <c r="BE60" i="7" s="1"/>
  <c r="U139" i="41"/>
  <c r="BO139" i="41" s="1"/>
  <c r="J71" i="7"/>
  <c r="BG71" i="7" s="1"/>
  <c r="L139" i="41"/>
  <c r="BF139" i="41" s="1"/>
  <c r="J139" i="41"/>
  <c r="BD139" i="41" s="1"/>
  <c r="T153" i="41"/>
  <c r="BN153" i="41" s="1"/>
  <c r="AC155" i="41"/>
  <c r="BW155" i="41" s="1"/>
  <c r="W9" i="7"/>
  <c r="BT9" i="7" s="1"/>
  <c r="AA153" i="41"/>
  <c r="BU153" i="41" s="1"/>
  <c r="Z139" i="41"/>
  <c r="BT139" i="41" s="1"/>
  <c r="Q9" i="7"/>
  <c r="BN9" i="7" s="1"/>
  <c r="AK139" i="41"/>
  <c r="CE139" i="41" s="1"/>
  <c r="V154" i="41"/>
  <c r="R18" i="7" s="1"/>
  <c r="BO18" i="7" s="1"/>
  <c r="L154" i="41"/>
  <c r="BF154" i="41" s="1"/>
  <c r="M31" i="85" s="1"/>
  <c r="M30" i="85" s="1"/>
  <c r="M20" i="85" s="1"/>
  <c r="AB155" i="41"/>
  <c r="BV155" i="41" s="1"/>
  <c r="Q139" i="41"/>
  <c r="BK139" i="41" s="1"/>
  <c r="AK155" i="41"/>
  <c r="CE155" i="41" s="1"/>
  <c r="AF155" i="41"/>
  <c r="BZ155" i="41" s="1"/>
  <c r="AC154" i="41"/>
  <c r="BW154" i="41" s="1"/>
  <c r="X60" i="7"/>
  <c r="BU60" i="7" s="1"/>
  <c r="Y71" i="7"/>
  <c r="BV71" i="7" s="1"/>
  <c r="AF154" i="41"/>
  <c r="BZ154" i="41" s="1"/>
  <c r="Q155" i="41"/>
  <c r="BK155" i="41" s="1"/>
  <c r="Q60" i="7"/>
  <c r="BN60" i="7" s="1"/>
  <c r="L155" i="41"/>
  <c r="BF155" i="41" s="1"/>
  <c r="M34" i="85" s="1"/>
  <c r="M12" i="85" s="1"/>
  <c r="V139" i="41"/>
  <c r="BP139" i="41" s="1"/>
  <c r="AB153" i="41"/>
  <c r="BV153" i="41" s="1"/>
  <c r="Y154" i="41"/>
  <c r="BS154" i="41" s="1"/>
  <c r="Y153" i="41"/>
  <c r="BS153" i="41" s="1"/>
  <c r="AG155" i="41"/>
  <c r="CA155" i="41" s="1"/>
  <c r="P154" i="41"/>
  <c r="BJ154" i="41" s="1"/>
  <c r="AG139" i="41"/>
  <c r="CA139" i="41" s="1"/>
  <c r="S139" i="41"/>
  <c r="BM139" i="41" s="1"/>
  <c r="R154" i="41"/>
  <c r="N18" i="7" s="1"/>
  <c r="BK18" i="7" s="1"/>
  <c r="Y139" i="41"/>
  <c r="BS139" i="41" s="1"/>
  <c r="Y9" i="7"/>
  <c r="BV9" i="7" s="1"/>
  <c r="AC139" i="41"/>
  <c r="BW139" i="41" s="1"/>
  <c r="E60" i="7"/>
  <c r="BB60" i="7" s="1"/>
  <c r="R139" i="41"/>
  <c r="BL139" i="41" s="1"/>
  <c r="AB139" i="41"/>
  <c r="BV139" i="41" s="1"/>
  <c r="M60" i="7"/>
  <c r="BJ60" i="7" s="1"/>
  <c r="G154" i="41"/>
  <c r="BA154" i="41" s="1"/>
  <c r="U71" i="7"/>
  <c r="BR71" i="7" s="1"/>
  <c r="N30" i="85"/>
  <c r="N20" i="85" s="1"/>
  <c r="O32" i="85"/>
  <c r="O44" i="85" s="1"/>
  <c r="J44" i="85"/>
  <c r="Q19" i="85"/>
  <c r="N33" i="85"/>
  <c r="N21" i="85" s="1"/>
  <c r="Y15" i="7"/>
  <c r="BV15" i="7" s="1"/>
  <c r="BO149" i="41"/>
  <c r="L28" i="67"/>
  <c r="L10" i="67" s="1"/>
  <c r="BE153" i="41"/>
  <c r="L28" i="85" s="1"/>
  <c r="Z15" i="7"/>
  <c r="BW15" i="7" s="1"/>
  <c r="BP149" i="41"/>
  <c r="K98" i="67"/>
  <c r="BD146" i="41"/>
  <c r="K98" i="85" s="1"/>
  <c r="L98" i="67"/>
  <c r="BE146" i="41"/>
  <c r="L98" i="85" s="1"/>
  <c r="V15" i="7"/>
  <c r="BS15" i="7" s="1"/>
  <c r="BL149" i="41"/>
  <c r="F152" i="41"/>
  <c r="AZ152" i="41" s="1"/>
  <c r="X15" i="7"/>
  <c r="BU15" i="7" s="1"/>
  <c r="BN149" i="41"/>
  <c r="BO154" i="41"/>
  <c r="M98" i="67"/>
  <c r="BF146" i="41"/>
  <c r="M98" i="85" s="1"/>
  <c r="J98" i="67"/>
  <c r="BC146" i="41"/>
  <c r="J98" i="85" s="1"/>
  <c r="N98" i="67"/>
  <c r="BG146" i="41"/>
  <c r="N98" i="85" s="1"/>
  <c r="P155" i="41"/>
  <c r="BJ155" i="41" s="1"/>
  <c r="BJ149" i="41"/>
  <c r="O152" i="41"/>
  <c r="BI152" i="41" s="1"/>
  <c r="BI154" i="41"/>
  <c r="R155" i="41"/>
  <c r="K44" i="67"/>
  <c r="T155" i="41"/>
  <c r="X77" i="7"/>
  <c r="X78" i="7" s="1"/>
  <c r="F77" i="7"/>
  <c r="G77" i="7"/>
  <c r="G78" i="7" s="1"/>
  <c r="U155" i="41"/>
  <c r="V155" i="41"/>
  <c r="AU10" i="7"/>
  <c r="CR10" i="7" s="1"/>
  <c r="AX10" i="7"/>
  <c r="CU10" i="7" s="1"/>
  <c r="AW10" i="7"/>
  <c r="CT10" i="7" s="1"/>
  <c r="AV10" i="7"/>
  <c r="CS10" i="7" s="1"/>
  <c r="N44" i="67"/>
  <c r="M44" i="67"/>
  <c r="L44" i="67"/>
  <c r="O35" i="67"/>
  <c r="Q21" i="67" s="1"/>
  <c r="O32" i="67"/>
  <c r="Q20" i="67" s="1"/>
  <c r="R11" i="7"/>
  <c r="BO11" i="7" s="1"/>
  <c r="N31" i="67"/>
  <c r="R14" i="7"/>
  <c r="BO14" i="7" s="1"/>
  <c r="Q14" i="7"/>
  <c r="BN14" i="7" s="1"/>
  <c r="AF153" i="41"/>
  <c r="S155" i="41"/>
  <c r="S146" i="41"/>
  <c r="BM146" i="41" s="1"/>
  <c r="I16" i="7"/>
  <c r="BF16" i="7" s="1"/>
  <c r="AC146" i="41"/>
  <c r="BW146" i="41" s="1"/>
  <c r="U66" i="7"/>
  <c r="U67" i="7" s="1"/>
  <c r="I139" i="41"/>
  <c r="N140" i="41"/>
  <c r="BH140" i="41" s="1"/>
  <c r="F9" i="7"/>
  <c r="BC9" i="7" s="1"/>
  <c r="I153" i="41"/>
  <c r="AD146" i="41"/>
  <c r="BX146" i="41" s="1"/>
  <c r="J16" i="7"/>
  <c r="BG16" i="7" s="1"/>
  <c r="I15" i="7"/>
  <c r="BF15" i="7" s="1"/>
  <c r="U146" i="41"/>
  <c r="BO146" i="41" s="1"/>
  <c r="AC153" i="41"/>
  <c r="BW153" i="41" s="1"/>
  <c r="AH152" i="41"/>
  <c r="CB152" i="41" s="1"/>
  <c r="J15" i="7"/>
  <c r="BG15" i="7" s="1"/>
  <c r="V146" i="41"/>
  <c r="BP146" i="41" s="1"/>
  <c r="F18" i="7"/>
  <c r="BC18" i="7" s="1"/>
  <c r="Q146" i="41"/>
  <c r="BK146" i="41" s="1"/>
  <c r="U153" i="41"/>
  <c r="BO153" i="41" s="1"/>
  <c r="AH146" i="41"/>
  <c r="CB146" i="41" s="1"/>
  <c r="AT10" i="7"/>
  <c r="CQ10" i="7" s="1"/>
  <c r="AG146" i="41"/>
  <c r="CA146" i="41" s="1"/>
  <c r="E77" i="7"/>
  <c r="AI146" i="41"/>
  <c r="CC146" i="41" s="1"/>
  <c r="AL146" i="41"/>
  <c r="CF146" i="41" s="1"/>
  <c r="H152" i="41"/>
  <c r="BB152" i="41" s="1"/>
  <c r="H16" i="7"/>
  <c r="BE16" i="7" s="1"/>
  <c r="AB146" i="41"/>
  <c r="BV146" i="41" s="1"/>
  <c r="Q153" i="41"/>
  <c r="BK153" i="41" s="1"/>
  <c r="AL153" i="41"/>
  <c r="CF153" i="41" s="1"/>
  <c r="V9" i="7"/>
  <c r="BS9" i="7" s="1"/>
  <c r="I155" i="41"/>
  <c r="N142" i="41"/>
  <c r="BH142" i="41" s="1"/>
  <c r="V153" i="41"/>
  <c r="BP153" i="41" s="1"/>
  <c r="F15" i="7"/>
  <c r="BC15" i="7" s="1"/>
  <c r="R146" i="41"/>
  <c r="BL146" i="41" s="1"/>
  <c r="AA146" i="41"/>
  <c r="BU146" i="41" s="1"/>
  <c r="G16" i="7"/>
  <c r="BD16" i="7" s="1"/>
  <c r="O14" i="7"/>
  <c r="BL14" i="7" s="1"/>
  <c r="AT71" i="7"/>
  <c r="CQ71" i="7" s="1"/>
  <c r="X146" i="41"/>
  <c r="BR146" i="41" s="1"/>
  <c r="H11" i="7"/>
  <c r="BE11" i="7" s="1"/>
  <c r="AJ146" i="41"/>
  <c r="CD146" i="41" s="1"/>
  <c r="N19" i="7"/>
  <c r="AD153" i="41"/>
  <c r="BX153" i="41" s="1"/>
  <c r="AJ153" i="41"/>
  <c r="CD153" i="41" s="1"/>
  <c r="AK146" i="41"/>
  <c r="CE146" i="41" s="1"/>
  <c r="Z146" i="41"/>
  <c r="BT146" i="41" s="1"/>
  <c r="F16" i="7"/>
  <c r="BC16" i="7" s="1"/>
  <c r="AU15" i="7"/>
  <c r="R19" i="7"/>
  <c r="W14" i="7"/>
  <c r="BT14" i="7" s="1"/>
  <c r="N146" i="41"/>
  <c r="BH146" i="41" s="1"/>
  <c r="P146" i="41"/>
  <c r="BJ146" i="41" s="1"/>
  <c r="AG153" i="41"/>
  <c r="CA153" i="41" s="1"/>
  <c r="N14" i="7"/>
  <c r="BK14" i="7" s="1"/>
  <c r="N9" i="7"/>
  <c r="BK9" i="7" s="1"/>
  <c r="I154" i="41"/>
  <c r="N141" i="41"/>
  <c r="BH141" i="41" s="1"/>
  <c r="X153" i="41"/>
  <c r="BR153" i="41" s="1"/>
  <c r="AI153" i="41"/>
  <c r="H15" i="7"/>
  <c r="BE15" i="7" s="1"/>
  <c r="T146" i="41"/>
  <c r="BN146" i="41" s="1"/>
  <c r="E66" i="7"/>
  <c r="E67" i="7" s="1"/>
  <c r="Y146" i="41"/>
  <c r="BS146" i="41" s="1"/>
  <c r="Z153" i="41"/>
  <c r="BT153" i="41" s="1"/>
  <c r="P14" i="7"/>
  <c r="BM14" i="7" s="1"/>
  <c r="E81" i="1"/>
  <c r="E24" i="2" s="1"/>
  <c r="J81" i="1"/>
  <c r="J24" i="2" s="1"/>
  <c r="AG19" i="83" s="1"/>
  <c r="F81" i="1"/>
  <c r="I81" i="1"/>
  <c r="H81" i="1"/>
  <c r="G81" i="1"/>
  <c r="G24" i="2" s="1"/>
  <c r="AD19" i="83" s="1"/>
  <c r="G80" i="1"/>
  <c r="J80" i="1"/>
  <c r="J23" i="2" s="1"/>
  <c r="F80" i="1"/>
  <c r="F23" i="2" s="1"/>
  <c r="I80" i="1"/>
  <c r="I23" i="2" s="1"/>
  <c r="H80" i="1"/>
  <c r="H10" i="53"/>
  <c r="BO10" i="53" s="1"/>
  <c r="BV10" i="53" s="1"/>
  <c r="CC10" i="53" s="1"/>
  <c r="G10" i="53"/>
  <c r="F10" i="53"/>
  <c r="E10" i="53"/>
  <c r="D10" i="53"/>
  <c r="C10" i="53"/>
  <c r="AX71" i="7" l="1"/>
  <c r="CU71" i="7" s="1"/>
  <c r="AU60" i="7"/>
  <c r="CR60" i="7" s="1"/>
  <c r="Z19" i="7"/>
  <c r="BW19" i="7" s="1"/>
  <c r="AU71" i="7"/>
  <c r="CR71" i="7" s="1"/>
  <c r="Q19" i="7"/>
  <c r="V77" i="7"/>
  <c r="V78" i="7" s="1"/>
  <c r="K30" i="85"/>
  <c r="K20" i="85" s="1"/>
  <c r="K31" i="67"/>
  <c r="K30" i="67" s="1"/>
  <c r="K20" i="67" s="1"/>
  <c r="U77" i="7"/>
  <c r="U78" i="7" s="1"/>
  <c r="L12" i="85"/>
  <c r="P19" i="7"/>
  <c r="O19" i="7"/>
  <c r="O17" i="7" s="1"/>
  <c r="BL17" i="7" s="1"/>
  <c r="X19" i="7"/>
  <c r="BU19" i="7" s="1"/>
  <c r="AB152" i="41"/>
  <c r="BV152" i="41" s="1"/>
  <c r="O11" i="7"/>
  <c r="BL11" i="7" s="1"/>
  <c r="W77" i="7"/>
  <c r="W78" i="7" s="1"/>
  <c r="N34" i="67"/>
  <c r="BM154" i="41"/>
  <c r="Z11" i="7"/>
  <c r="BW11" i="7" s="1"/>
  <c r="V66" i="7"/>
  <c r="V67" i="7" s="1"/>
  <c r="M152" i="41"/>
  <c r="N122" i="67" s="1"/>
  <c r="L30" i="85"/>
  <c r="L20" i="85" s="1"/>
  <c r="AV9" i="7"/>
  <c r="CS9" i="7" s="1"/>
  <c r="L31" i="67"/>
  <c r="L11" i="67" s="1"/>
  <c r="BN154" i="41"/>
  <c r="P11" i="7"/>
  <c r="BM11" i="7" s="1"/>
  <c r="X11" i="7"/>
  <c r="BU11" i="7" s="1"/>
  <c r="K34" i="67"/>
  <c r="K33" i="67" s="1"/>
  <c r="K21" i="67" s="1"/>
  <c r="K152" i="41"/>
  <c r="BE152" i="41" s="1"/>
  <c r="L122" i="85" s="1"/>
  <c r="L34" i="67"/>
  <c r="L33" i="67" s="1"/>
  <c r="L21" i="67" s="1"/>
  <c r="K12" i="85"/>
  <c r="I11" i="7"/>
  <c r="BF11" i="7" s="1"/>
  <c r="BG153" i="41"/>
  <c r="N28" i="85" s="1"/>
  <c r="N27" i="85" s="1"/>
  <c r="BP154" i="41"/>
  <c r="V19" i="7"/>
  <c r="V22" i="7" s="1"/>
  <c r="BS22" i="7" s="1"/>
  <c r="AX60" i="7"/>
  <c r="CU60" i="7" s="1"/>
  <c r="BF153" i="41"/>
  <c r="M28" i="85" s="1"/>
  <c r="M27" i="85" s="1"/>
  <c r="N28" i="67"/>
  <c r="N10" i="67" s="1"/>
  <c r="Z14" i="7"/>
  <c r="BW14" i="7" s="1"/>
  <c r="M34" i="67"/>
  <c r="M33" i="67" s="1"/>
  <c r="M21" i="67" s="1"/>
  <c r="W66" i="7"/>
  <c r="W67" i="7" s="1"/>
  <c r="M27" i="67"/>
  <c r="M19" i="67" s="1"/>
  <c r="Q11" i="7"/>
  <c r="BN11" i="7" s="1"/>
  <c r="O77" i="7"/>
  <c r="O78" i="7" s="1"/>
  <c r="AS60" i="7"/>
  <c r="CP60" i="7" s="1"/>
  <c r="Q77" i="7"/>
  <c r="Q78" i="7" s="1"/>
  <c r="J152" i="41"/>
  <c r="K122" i="67" s="1"/>
  <c r="AW9" i="7"/>
  <c r="CT9" i="7" s="1"/>
  <c r="AW60" i="7"/>
  <c r="CT60" i="7" s="1"/>
  <c r="V14" i="7"/>
  <c r="BS14" i="7" s="1"/>
  <c r="G18" i="7"/>
  <c r="BD18" i="7" s="1"/>
  <c r="AT60" i="7"/>
  <c r="CQ60" i="7" s="1"/>
  <c r="Y14" i="7"/>
  <c r="BV14" i="7" s="1"/>
  <c r="W11" i="7"/>
  <c r="BT11" i="7" s="1"/>
  <c r="Y66" i="7"/>
  <c r="Y67" i="7" s="1"/>
  <c r="M33" i="85"/>
  <c r="M21" i="85" s="1"/>
  <c r="J66" i="7"/>
  <c r="W19" i="7"/>
  <c r="W22" i="7" s="1"/>
  <c r="BT22" i="7" s="1"/>
  <c r="AV71" i="7"/>
  <c r="CS71" i="7" s="1"/>
  <c r="R77" i="7"/>
  <c r="R78" i="7" s="1"/>
  <c r="Z66" i="7"/>
  <c r="Z67" i="7" s="1"/>
  <c r="M77" i="7"/>
  <c r="M78" i="7" s="1"/>
  <c r="AU9" i="7"/>
  <c r="CR9" i="7" s="1"/>
  <c r="J77" i="7"/>
  <c r="J78" i="7" s="1"/>
  <c r="H77" i="7"/>
  <c r="H78" i="7" s="1"/>
  <c r="X66" i="7"/>
  <c r="X67" i="7" s="1"/>
  <c r="P77" i="7"/>
  <c r="P78" i="7" s="1"/>
  <c r="AS71" i="7"/>
  <c r="CP71" i="7" s="1"/>
  <c r="AA152" i="41"/>
  <c r="BU152" i="41" s="1"/>
  <c r="AV60" i="7"/>
  <c r="CS60" i="7" s="1"/>
  <c r="I77" i="7"/>
  <c r="I78" i="7" s="1"/>
  <c r="N77" i="7"/>
  <c r="N78" i="7" s="1"/>
  <c r="M11" i="85"/>
  <c r="G11" i="7"/>
  <c r="BD11" i="7" s="1"/>
  <c r="AX9" i="7"/>
  <c r="CU9" i="7" s="1"/>
  <c r="H18" i="7"/>
  <c r="BE18" i="7" s="1"/>
  <c r="G66" i="7"/>
  <c r="BD153" i="41"/>
  <c r="K28" i="85" s="1"/>
  <c r="K27" i="85" s="1"/>
  <c r="I66" i="7"/>
  <c r="Q66" i="7"/>
  <c r="Q67" i="7" s="1"/>
  <c r="M31" i="67"/>
  <c r="F66" i="7"/>
  <c r="H66" i="7"/>
  <c r="AK152" i="41"/>
  <c r="CE152" i="41" s="1"/>
  <c r="Y11" i="7"/>
  <c r="BV11" i="7" s="1"/>
  <c r="N66" i="7"/>
  <c r="N67" i="7" s="1"/>
  <c r="Y77" i="7"/>
  <c r="Y78" i="7" s="1"/>
  <c r="Z77" i="7"/>
  <c r="Z78" i="7" s="1"/>
  <c r="M66" i="7"/>
  <c r="M67" i="7" s="1"/>
  <c r="Y19" i="7"/>
  <c r="BV19" i="7" s="1"/>
  <c r="L152" i="41"/>
  <c r="M122" i="67" s="1"/>
  <c r="L27" i="67"/>
  <c r="L19" i="67" s="1"/>
  <c r="AW71" i="7"/>
  <c r="CT71" i="7" s="1"/>
  <c r="Y152" i="41"/>
  <c r="BS152" i="41" s="1"/>
  <c r="O98" i="67"/>
  <c r="R152" i="41"/>
  <c r="BL152" i="41" s="1"/>
  <c r="O66" i="7"/>
  <c r="O67" i="7" s="1"/>
  <c r="BL154" i="41"/>
  <c r="P66" i="7"/>
  <c r="P67" i="7" s="1"/>
  <c r="G152" i="41"/>
  <c r="BA152" i="41" s="1"/>
  <c r="R66" i="7"/>
  <c r="R67" i="7" s="1"/>
  <c r="P152" i="41"/>
  <c r="BJ152" i="41" s="1"/>
  <c r="Q24" i="85"/>
  <c r="AB19" i="78"/>
  <c r="AB19" i="83"/>
  <c r="M43" i="85"/>
  <c r="AF18" i="78"/>
  <c r="AF18" i="83"/>
  <c r="AG18" i="78"/>
  <c r="AG18" i="83"/>
  <c r="Q20" i="85"/>
  <c r="L10" i="85"/>
  <c r="L15" i="85" s="1"/>
  <c r="L16" i="85" s="1"/>
  <c r="L27" i="85"/>
  <c r="L43" i="85"/>
  <c r="AC18" i="78"/>
  <c r="AC18" i="83"/>
  <c r="X14" i="7"/>
  <c r="BU14" i="7" s="1"/>
  <c r="O98" i="85"/>
  <c r="W18" i="7"/>
  <c r="BT18" i="7" s="1"/>
  <c r="BM155" i="41"/>
  <c r="J31" i="67"/>
  <c r="J11" i="67" s="1"/>
  <c r="BC154" i="41"/>
  <c r="J31" i="85" s="1"/>
  <c r="P17" i="7"/>
  <c r="BM17" i="7" s="1"/>
  <c r="BM19" i="7"/>
  <c r="BT19" i="7"/>
  <c r="R22" i="7"/>
  <c r="BO22" i="7" s="1"/>
  <c r="BO19" i="7"/>
  <c r="N22" i="7"/>
  <c r="BK22" i="7" s="1"/>
  <c r="BK19" i="7"/>
  <c r="N139" i="41"/>
  <c r="BH139" i="41" s="1"/>
  <c r="BC139" i="41"/>
  <c r="X18" i="7"/>
  <c r="BU18" i="7" s="1"/>
  <c r="BN155" i="41"/>
  <c r="Q22" i="7"/>
  <c r="BN22" i="7" s="1"/>
  <c r="BN19" i="7"/>
  <c r="J28" i="67"/>
  <c r="J10" i="67" s="1"/>
  <c r="BC153" i="41"/>
  <c r="J28" i="85" s="1"/>
  <c r="K99" i="67"/>
  <c r="CR15" i="7"/>
  <c r="K99" i="85" s="1"/>
  <c r="J34" i="67"/>
  <c r="J12" i="67" s="1"/>
  <c r="BC155" i="41"/>
  <c r="J34" i="85" s="1"/>
  <c r="AF152" i="41"/>
  <c r="BZ152" i="41" s="1"/>
  <c r="BZ153" i="41"/>
  <c r="K27" i="67"/>
  <c r="K19" i="67" s="1"/>
  <c r="Z18" i="7"/>
  <c r="BW18" i="7" s="1"/>
  <c r="BP155" i="41"/>
  <c r="V18" i="7"/>
  <c r="BS18" i="7" s="1"/>
  <c r="BL155" i="41"/>
  <c r="G19" i="7"/>
  <c r="BD19" i="7" s="1"/>
  <c r="CC153" i="41"/>
  <c r="Y18" i="7"/>
  <c r="BV18" i="7" s="1"/>
  <c r="BO155" i="41"/>
  <c r="F98" i="53"/>
  <c r="BM10" i="53"/>
  <c r="BT10" i="53" s="1"/>
  <c r="CA10" i="53" s="1"/>
  <c r="G98" i="53"/>
  <c r="BN10" i="53"/>
  <c r="BU10" i="53" s="1"/>
  <c r="CB10" i="53" s="1"/>
  <c r="C98" i="53"/>
  <c r="BJ10" i="53"/>
  <c r="BQ10" i="53" s="1"/>
  <c r="BX10" i="53" s="1"/>
  <c r="BK10" i="53"/>
  <c r="BR10" i="53" s="1"/>
  <c r="BY10" i="53" s="1"/>
  <c r="BP10" i="53"/>
  <c r="BW10" i="53" s="1"/>
  <c r="CD10" i="53" s="1"/>
  <c r="CK10" i="53" s="1"/>
  <c r="CR10" i="53" s="1"/>
  <c r="CX10" i="53"/>
  <c r="DD10" i="53" s="1"/>
  <c r="DJ10" i="53" s="1"/>
  <c r="CJ10" i="53"/>
  <c r="CQ10" i="53" s="1"/>
  <c r="E98" i="53"/>
  <c r="BL10" i="53"/>
  <c r="BS10" i="53" s="1"/>
  <c r="BZ10" i="53" s="1"/>
  <c r="D98" i="53"/>
  <c r="J10" i="53"/>
  <c r="R10" i="53" s="1"/>
  <c r="Z10" i="53" s="1"/>
  <c r="AH10" i="53" s="1"/>
  <c r="AP10" i="53" s="1"/>
  <c r="I10" i="53"/>
  <c r="Q10" i="53" s="1"/>
  <c r="Y10" i="53" s="1"/>
  <c r="AG10" i="53" s="1"/>
  <c r="AO10" i="53" s="1"/>
  <c r="H98" i="53"/>
  <c r="T152" i="41"/>
  <c r="BN152" i="41" s="1"/>
  <c r="AU77" i="7"/>
  <c r="E78" i="7"/>
  <c r="F78" i="7"/>
  <c r="G67" i="7"/>
  <c r="I67" i="7"/>
  <c r="H67" i="7"/>
  <c r="J67" i="7"/>
  <c r="F67" i="7"/>
  <c r="AX11" i="7"/>
  <c r="CU11" i="7" s="1"/>
  <c r="AD19" i="78"/>
  <c r="AG19" i="78"/>
  <c r="V24" i="2"/>
  <c r="N30" i="67"/>
  <c r="N20" i="67" s="1"/>
  <c r="N11" i="67"/>
  <c r="M11" i="67"/>
  <c r="K11" i="67"/>
  <c r="N33" i="67"/>
  <c r="N21" i="67" s="1"/>
  <c r="N12" i="67"/>
  <c r="O44" i="67"/>
  <c r="Q24" i="67" s="1"/>
  <c r="I24" i="2"/>
  <c r="F24" i="2"/>
  <c r="AC19" i="83" s="1"/>
  <c r="H24" i="2"/>
  <c r="AE19" i="83" s="1"/>
  <c r="H23" i="2"/>
  <c r="G23" i="2"/>
  <c r="AD18" i="83" s="1"/>
  <c r="P22" i="7"/>
  <c r="BM22" i="7" s="1"/>
  <c r="Z22" i="7"/>
  <c r="BW22" i="7" s="1"/>
  <c r="G14" i="7"/>
  <c r="BD14" i="7" s="1"/>
  <c r="AW16" i="7"/>
  <c r="Y22" i="7"/>
  <c r="BV22" i="7" s="1"/>
  <c r="X22" i="7"/>
  <c r="BU22" i="7" s="1"/>
  <c r="V23" i="2"/>
  <c r="U23" i="2"/>
  <c r="S152" i="41"/>
  <c r="BM152" i="41" s="1"/>
  <c r="V61" i="7"/>
  <c r="BS61" i="7" s="1"/>
  <c r="V17" i="7"/>
  <c r="M61" i="7"/>
  <c r="BJ61" i="7" s="1"/>
  <c r="R17" i="7"/>
  <c r="Z152" i="41"/>
  <c r="BT152" i="41" s="1"/>
  <c r="F19" i="7"/>
  <c r="X152" i="41"/>
  <c r="BR152" i="41" s="1"/>
  <c r="AT16" i="7"/>
  <c r="AJ152" i="41"/>
  <c r="CD152" i="41" s="1"/>
  <c r="N17" i="7"/>
  <c r="N155" i="41"/>
  <c r="BH155" i="41" s="1"/>
  <c r="V11" i="7"/>
  <c r="BS11" i="7" s="1"/>
  <c r="U152" i="41"/>
  <c r="BO152" i="41" s="1"/>
  <c r="I18" i="7"/>
  <c r="BF18" i="7" s="1"/>
  <c r="AW15" i="7"/>
  <c r="CT15" i="7" s="1"/>
  <c r="M99" i="85" s="1"/>
  <c r="I14" i="7"/>
  <c r="BF14" i="7" s="1"/>
  <c r="AG152" i="41"/>
  <c r="CA152" i="41" s="1"/>
  <c r="AD152" i="41"/>
  <c r="BX152" i="41" s="1"/>
  <c r="AU16" i="7"/>
  <c r="CR16" i="7" s="1"/>
  <c r="K100" i="85" s="1"/>
  <c r="F14" i="7"/>
  <c r="BC14" i="7" s="1"/>
  <c r="AT15" i="7"/>
  <c r="Q152" i="41"/>
  <c r="BK152" i="41" s="1"/>
  <c r="AV16" i="7"/>
  <c r="AX16" i="7"/>
  <c r="F11" i="7"/>
  <c r="BC11" i="7" s="1"/>
  <c r="I152" i="41"/>
  <c r="BC152" i="41" s="1"/>
  <c r="J122" i="85" s="1"/>
  <c r="N153" i="41"/>
  <c r="BH153" i="41" s="1"/>
  <c r="H14" i="7"/>
  <c r="BE14" i="7" s="1"/>
  <c r="AV15" i="7"/>
  <c r="N11" i="7"/>
  <c r="BK11" i="7" s="1"/>
  <c r="N154" i="41"/>
  <c r="BH154" i="41" s="1"/>
  <c r="J18" i="7"/>
  <c r="BG18" i="7" s="1"/>
  <c r="V152" i="41"/>
  <c r="BP152" i="41" s="1"/>
  <c r="J19" i="7"/>
  <c r="AL152" i="41"/>
  <c r="CF152" i="41" s="1"/>
  <c r="AS76" i="7"/>
  <c r="I19" i="7"/>
  <c r="AC152" i="41"/>
  <c r="BW152" i="41" s="1"/>
  <c r="H19" i="7"/>
  <c r="AC61" i="7"/>
  <c r="BZ61" i="7" s="1"/>
  <c r="AK61" i="7"/>
  <c r="CH61" i="7" s="1"/>
  <c r="AT9" i="7"/>
  <c r="CQ9" i="7" s="1"/>
  <c r="AI152" i="41"/>
  <c r="CC152" i="41" s="1"/>
  <c r="Q17" i="7"/>
  <c r="AX15" i="7"/>
  <c r="J14" i="7"/>
  <c r="BG14" i="7" s="1"/>
  <c r="AE61" i="7" l="1"/>
  <c r="CB61" i="7" s="1"/>
  <c r="O22" i="7"/>
  <c r="BL22" i="7" s="1"/>
  <c r="BL19" i="7"/>
  <c r="AE72" i="7"/>
  <c r="CB72" i="7" s="1"/>
  <c r="V72" i="7"/>
  <c r="BS72" i="7" s="1"/>
  <c r="L30" i="67"/>
  <c r="L20" i="67" s="1"/>
  <c r="BG152" i="41"/>
  <c r="N122" i="85" s="1"/>
  <c r="N43" i="85"/>
  <c r="N10" i="85"/>
  <c r="N15" i="85" s="1"/>
  <c r="N16" i="85" s="1"/>
  <c r="AM72" i="7"/>
  <c r="CJ72" i="7" s="1"/>
  <c r="O61" i="7"/>
  <c r="BL61" i="7" s="1"/>
  <c r="O72" i="7"/>
  <c r="BL72" i="7" s="1"/>
  <c r="P72" i="7"/>
  <c r="BM72" i="7" s="1"/>
  <c r="M12" i="67"/>
  <c r="AT18" i="7"/>
  <c r="J123" i="67" s="1"/>
  <c r="J127" i="67" s="1"/>
  <c r="Z61" i="7"/>
  <c r="BW61" i="7" s="1"/>
  <c r="AD61" i="7"/>
  <c r="CA61" i="7" s="1"/>
  <c r="AC72" i="7"/>
  <c r="AK72" i="7"/>
  <c r="F61" i="7"/>
  <c r="BC61" i="7" s="1"/>
  <c r="U72" i="7"/>
  <c r="U76" i="7" s="1"/>
  <c r="N72" i="7"/>
  <c r="BK72" i="7" s="1"/>
  <c r="AL72" i="7"/>
  <c r="CI72" i="7" s="1"/>
  <c r="G72" i="7"/>
  <c r="BD72" i="7" s="1"/>
  <c r="AO61" i="7"/>
  <c r="CL61" i="7" s="1"/>
  <c r="AD72" i="7"/>
  <c r="CA72" i="7" s="1"/>
  <c r="E72" i="7"/>
  <c r="H61" i="7"/>
  <c r="BE61" i="7" s="1"/>
  <c r="W72" i="7"/>
  <c r="BT72" i="7" s="1"/>
  <c r="J61" i="7"/>
  <c r="BG61" i="7" s="1"/>
  <c r="F72" i="7"/>
  <c r="BC72" i="7" s="1"/>
  <c r="M72" i="7"/>
  <c r="M76" i="7" s="1"/>
  <c r="N61" i="7"/>
  <c r="BK61" i="7" s="1"/>
  <c r="K43" i="67"/>
  <c r="K12" i="67"/>
  <c r="M43" i="67"/>
  <c r="X72" i="7"/>
  <c r="BU72" i="7" s="1"/>
  <c r="AH72" i="7"/>
  <c r="CE72" i="7" s="1"/>
  <c r="Q72" i="7"/>
  <c r="BN72" i="7" s="1"/>
  <c r="BS19" i="7"/>
  <c r="Z72" i="7"/>
  <c r="BW72" i="7" s="1"/>
  <c r="AF72" i="7"/>
  <c r="CC72" i="7" s="1"/>
  <c r="AN72" i="7"/>
  <c r="CK72" i="7" s="1"/>
  <c r="H72" i="7"/>
  <c r="BE72" i="7" s="1"/>
  <c r="AV11" i="7"/>
  <c r="CS11" i="7" s="1"/>
  <c r="L122" i="67"/>
  <c r="L12" i="67"/>
  <c r="L15" i="67" s="1"/>
  <c r="L16" i="67" s="1"/>
  <c r="X17" i="7"/>
  <c r="X13" i="7" s="1"/>
  <c r="L43" i="67"/>
  <c r="AU11" i="7"/>
  <c r="CR11" i="7" s="1"/>
  <c r="O13" i="7"/>
  <c r="BL13" i="7" s="1"/>
  <c r="J30" i="67"/>
  <c r="J20" i="67" s="1"/>
  <c r="AW11" i="7"/>
  <c r="CT11" i="7" s="1"/>
  <c r="AS66" i="7"/>
  <c r="AS67" i="7" s="1"/>
  <c r="P61" i="7"/>
  <c r="BM61" i="7" s="1"/>
  <c r="AP72" i="7"/>
  <c r="CM72" i="7" s="1"/>
  <c r="R61" i="7"/>
  <c r="BO61" i="7" s="1"/>
  <c r="I72" i="7"/>
  <c r="BF72" i="7" s="1"/>
  <c r="M30" i="67"/>
  <c r="M20" i="67" s="1"/>
  <c r="M24" i="67" s="1"/>
  <c r="N27" i="67"/>
  <c r="N19" i="67" s="1"/>
  <c r="N24" i="67" s="1"/>
  <c r="AH61" i="7"/>
  <c r="CE61" i="7" s="1"/>
  <c r="AM61" i="7"/>
  <c r="CJ61" i="7" s="1"/>
  <c r="AG61" i="7"/>
  <c r="CD61" i="7" s="1"/>
  <c r="AO72" i="7"/>
  <c r="CL72" i="7" s="1"/>
  <c r="X61" i="7"/>
  <c r="BU61" i="7" s="1"/>
  <c r="N43" i="67"/>
  <c r="E61" i="7"/>
  <c r="E65" i="7" s="1"/>
  <c r="M10" i="85"/>
  <c r="M15" i="85" s="1"/>
  <c r="M16" i="85" s="1"/>
  <c r="AN61" i="7"/>
  <c r="CK61" i="7" s="1"/>
  <c r="J72" i="7"/>
  <c r="BG72" i="7" s="1"/>
  <c r="U61" i="7"/>
  <c r="BR61" i="7" s="1"/>
  <c r="AL61" i="7"/>
  <c r="CI61" i="7" s="1"/>
  <c r="W61" i="7"/>
  <c r="BT61" i="7" s="1"/>
  <c r="AP61" i="7"/>
  <c r="CM61" i="7" s="1"/>
  <c r="AF61" i="7"/>
  <c r="CC61" i="7" s="1"/>
  <c r="AS65" i="7"/>
  <c r="AT59" i="7" s="1"/>
  <c r="CQ59" i="7" s="1"/>
  <c r="Y61" i="7"/>
  <c r="BV61" i="7" s="1"/>
  <c r="AG72" i="7"/>
  <c r="CD72" i="7" s="1"/>
  <c r="Q61" i="7"/>
  <c r="BN61" i="7" s="1"/>
  <c r="I61" i="7"/>
  <c r="BF61" i="7" s="1"/>
  <c r="R72" i="7"/>
  <c r="BO72" i="7" s="1"/>
  <c r="G61" i="7"/>
  <c r="BD61" i="7" s="1"/>
  <c r="Y72" i="7"/>
  <c r="BV72" i="7" s="1"/>
  <c r="AX77" i="7"/>
  <c r="N114" i="85" s="1"/>
  <c r="O10" i="67"/>
  <c r="K10" i="85"/>
  <c r="K15" i="85" s="1"/>
  <c r="K16" i="85" s="1"/>
  <c r="BD152" i="41"/>
  <c r="K122" i="85" s="1"/>
  <c r="O31" i="67"/>
  <c r="P20" i="67" s="1"/>
  <c r="AS77" i="7"/>
  <c r="AS78" i="7" s="1"/>
  <c r="AU66" i="7"/>
  <c r="K108" i="85" s="1"/>
  <c r="AT77" i="7"/>
  <c r="J115" i="85" s="1"/>
  <c r="AX66" i="7"/>
  <c r="N106" i="85" s="1"/>
  <c r="Z17" i="7"/>
  <c r="BW17" i="7" s="1"/>
  <c r="AT66" i="7"/>
  <c r="J107" i="85" s="1"/>
  <c r="AV77" i="7"/>
  <c r="L114" i="85" s="1"/>
  <c r="AW66" i="7"/>
  <c r="M106" i="85" s="1"/>
  <c r="AV18" i="7"/>
  <c r="CS18" i="7" s="1"/>
  <c r="L123" i="85" s="1"/>
  <c r="L127" i="85" s="1"/>
  <c r="Y17" i="7"/>
  <c r="BV17" i="7" s="1"/>
  <c r="BF152" i="41"/>
  <c r="M122" i="85" s="1"/>
  <c r="K43" i="85"/>
  <c r="P13" i="7"/>
  <c r="P21" i="7" s="1"/>
  <c r="BM21" i="7" s="1"/>
  <c r="AW77" i="7"/>
  <c r="M118" i="85" s="1"/>
  <c r="J43" i="67"/>
  <c r="AV66" i="7"/>
  <c r="L110" i="85" s="1"/>
  <c r="J15" i="67"/>
  <c r="J16" i="67" s="1"/>
  <c r="J27" i="67"/>
  <c r="J19" i="67" s="1"/>
  <c r="O28" i="67"/>
  <c r="P19" i="67" s="1"/>
  <c r="AU18" i="7"/>
  <c r="W17" i="7"/>
  <c r="W13" i="7" s="1"/>
  <c r="AU67" i="7"/>
  <c r="K140" i="67" s="1"/>
  <c r="AW78" i="7"/>
  <c r="M149" i="67" s="1"/>
  <c r="AV67" i="7"/>
  <c r="L141" i="67" s="1"/>
  <c r="AE18" i="78"/>
  <c r="AE18" i="83"/>
  <c r="AU78" i="7"/>
  <c r="K151" i="67" s="1"/>
  <c r="K116" i="85"/>
  <c r="K115" i="85"/>
  <c r="K118" i="85"/>
  <c r="AT67" i="7"/>
  <c r="J140" i="67" s="1"/>
  <c r="K114" i="85"/>
  <c r="M19" i="85"/>
  <c r="M24" i="85" s="1"/>
  <c r="M42" i="85"/>
  <c r="AW67" i="7"/>
  <c r="M139" i="67" s="1"/>
  <c r="AT78" i="7"/>
  <c r="J148" i="67" s="1"/>
  <c r="J118" i="85"/>
  <c r="AX67" i="7"/>
  <c r="N141" i="67" s="1"/>
  <c r="J11" i="85"/>
  <c r="O11" i="85" s="1"/>
  <c r="O31" i="85"/>
  <c r="J30" i="85"/>
  <c r="N42" i="85"/>
  <c r="N19" i="85"/>
  <c r="N24" i="85" s="1"/>
  <c r="J12" i="85"/>
  <c r="O12" i="85" s="1"/>
  <c r="J33" i="85"/>
  <c r="O34" i="85"/>
  <c r="U24" i="2"/>
  <c r="AF19" i="83"/>
  <c r="AV78" i="7"/>
  <c r="L151" i="67" s="1"/>
  <c r="L115" i="85"/>
  <c r="L42" i="85"/>
  <c r="L19" i="85"/>
  <c r="L24" i="85" s="1"/>
  <c r="J114" i="85"/>
  <c r="AX78" i="7"/>
  <c r="N151" i="67" s="1"/>
  <c r="J27" i="85"/>
  <c r="O27" i="85" s="1"/>
  <c r="J10" i="85"/>
  <c r="J43" i="85"/>
  <c r="O28" i="85"/>
  <c r="K42" i="85"/>
  <c r="K19" i="85"/>
  <c r="K24" i="85" s="1"/>
  <c r="J99" i="67"/>
  <c r="CQ15" i="7"/>
  <c r="J99" i="85" s="1"/>
  <c r="M100" i="67"/>
  <c r="CT16" i="7"/>
  <c r="M100" i="85" s="1"/>
  <c r="V13" i="7"/>
  <c r="BS17" i="7"/>
  <c r="G22" i="7"/>
  <c r="BD22" i="7" s="1"/>
  <c r="N100" i="67"/>
  <c r="CU16" i="7"/>
  <c r="N100" i="85" s="1"/>
  <c r="J100" i="67"/>
  <c r="CQ16" i="7"/>
  <c r="J100" i="85" s="1"/>
  <c r="I22" i="7"/>
  <c r="BF22" i="7" s="1"/>
  <c r="BF19" i="7"/>
  <c r="L99" i="67"/>
  <c r="CS15" i="7"/>
  <c r="L99" i="85" s="1"/>
  <c r="O34" i="67"/>
  <c r="P21" i="67" s="1"/>
  <c r="N13" i="7"/>
  <c r="BK17" i="7"/>
  <c r="G17" i="7"/>
  <c r="BD17" i="7" s="1"/>
  <c r="AX19" i="7"/>
  <c r="AX22" i="7" s="1"/>
  <c r="CU22" i="7" s="1"/>
  <c r="BG19" i="7"/>
  <c r="L100" i="67"/>
  <c r="CS16" i="7"/>
  <c r="L100" i="85" s="1"/>
  <c r="AT19" i="7"/>
  <c r="AT22" i="7" s="1"/>
  <c r="CQ22" i="7" s="1"/>
  <c r="BC19" i="7"/>
  <c r="J33" i="67"/>
  <c r="J21" i="67" s="1"/>
  <c r="H22" i="7"/>
  <c r="BE22" i="7" s="1"/>
  <c r="BE19" i="7"/>
  <c r="Q13" i="7"/>
  <c r="BN17" i="7"/>
  <c r="N99" i="67"/>
  <c r="CU15" i="7"/>
  <c r="N99" i="85" s="1"/>
  <c r="R13" i="7"/>
  <c r="BO17" i="7"/>
  <c r="AU19" i="7"/>
  <c r="AU22" i="7" s="1"/>
  <c r="CR22" i="7" s="1"/>
  <c r="CS10" i="53"/>
  <c r="CY10" i="53" s="1"/>
  <c r="DE10" i="53" s="1"/>
  <c r="CE10" i="53"/>
  <c r="CL10" i="53" s="1"/>
  <c r="CU10" i="53"/>
  <c r="DA10" i="53" s="1"/>
  <c r="DG10" i="53" s="1"/>
  <c r="CG10" i="53"/>
  <c r="CN10" i="53" s="1"/>
  <c r="CV10" i="53"/>
  <c r="DB10" i="53" s="1"/>
  <c r="DH10" i="53" s="1"/>
  <c r="CH10" i="53"/>
  <c r="CO10" i="53" s="1"/>
  <c r="CT10" i="53"/>
  <c r="CZ10" i="53" s="1"/>
  <c r="DF10" i="53" s="1"/>
  <c r="CF10" i="53"/>
  <c r="CM10" i="53" s="1"/>
  <c r="CW10" i="53"/>
  <c r="DC10" i="53" s="1"/>
  <c r="DI10" i="53" s="1"/>
  <c r="CI10" i="53"/>
  <c r="CP10" i="53" s="1"/>
  <c r="AT70" i="7"/>
  <c r="CQ70" i="7" s="1"/>
  <c r="CP76" i="7"/>
  <c r="AK76" i="7"/>
  <c r="CH72" i="7"/>
  <c r="E76" i="7"/>
  <c r="BB72" i="7"/>
  <c r="BR72" i="7"/>
  <c r="AC76" i="7"/>
  <c r="BZ72" i="7"/>
  <c r="J114" i="67"/>
  <c r="T23" i="2"/>
  <c r="AS74" i="7"/>
  <c r="U74" i="7" s="1"/>
  <c r="V24" i="7"/>
  <c r="AS63" i="7"/>
  <c r="AK63" i="7" s="1"/>
  <c r="K42" i="67"/>
  <c r="K24" i="67"/>
  <c r="L24" i="67"/>
  <c r="K107" i="67"/>
  <c r="K110" i="67"/>
  <c r="N58" i="73"/>
  <c r="BM58" i="73" s="1"/>
  <c r="T31" i="67"/>
  <c r="J107" i="67"/>
  <c r="Y58" i="73"/>
  <c r="BS58" i="73" s="1"/>
  <c r="T52" i="67"/>
  <c r="AE19" i="78"/>
  <c r="S24" i="2"/>
  <c r="M116" i="67"/>
  <c r="K115" i="67"/>
  <c r="K116" i="67"/>
  <c r="K118" i="67"/>
  <c r="AC19" i="78"/>
  <c r="Q24" i="2"/>
  <c r="K114" i="67"/>
  <c r="R24" i="2"/>
  <c r="J115" i="67"/>
  <c r="J116" i="67"/>
  <c r="L118" i="67"/>
  <c r="AF19" i="78"/>
  <c r="T24" i="2"/>
  <c r="L114" i="67"/>
  <c r="L42" i="67"/>
  <c r="M15" i="67"/>
  <c r="M16" i="67" s="1"/>
  <c r="O12" i="67"/>
  <c r="K15" i="67"/>
  <c r="K16" i="67" s="1"/>
  <c r="N15" i="67"/>
  <c r="N16" i="67" s="1"/>
  <c r="O11" i="67"/>
  <c r="R23" i="2"/>
  <c r="AD18" i="78"/>
  <c r="N152" i="41"/>
  <c r="BH152" i="41" s="1"/>
  <c r="J122" i="67"/>
  <c r="O122" i="67" s="1"/>
  <c r="L148" i="67"/>
  <c r="AW14" i="7"/>
  <c r="CT14" i="7" s="1"/>
  <c r="M99" i="67"/>
  <c r="K100" i="67"/>
  <c r="S23" i="2"/>
  <c r="F24" i="7"/>
  <c r="BC24" i="7" s="1"/>
  <c r="F22" i="7"/>
  <c r="BC22" i="7" s="1"/>
  <c r="J22" i="7"/>
  <c r="BG22" i="7" s="1"/>
  <c r="W24" i="7"/>
  <c r="AL24" i="7"/>
  <c r="AU14" i="7"/>
  <c r="CR14" i="7" s="1"/>
  <c r="Q24" i="7"/>
  <c r="M65" i="7"/>
  <c r="AT14" i="7"/>
  <c r="CQ14" i="7" s="1"/>
  <c r="F17" i="7"/>
  <c r="AX14" i="7"/>
  <c r="CU14" i="7" s="1"/>
  <c r="AV19" i="7"/>
  <c r="CS19" i="7" s="1"/>
  <c r="L124" i="85" s="1"/>
  <c r="AV14" i="7"/>
  <c r="CS14" i="7" s="1"/>
  <c r="H17" i="7"/>
  <c r="AX18" i="7"/>
  <c r="CU18" i="7" s="1"/>
  <c r="N123" i="85" s="1"/>
  <c r="N127" i="85" s="1"/>
  <c r="J17" i="7"/>
  <c r="AC65" i="7"/>
  <c r="BZ65" i="7" s="1"/>
  <c r="AF24" i="7"/>
  <c r="AT76" i="7"/>
  <c r="AT11" i="7"/>
  <c r="CQ11" i="7" s="1"/>
  <c r="AW18" i="7"/>
  <c r="I17" i="7"/>
  <c r="AE24" i="7"/>
  <c r="AK65" i="7"/>
  <c r="CH65" i="7" s="1"/>
  <c r="AW19" i="7"/>
  <c r="CT19" i="7" s="1"/>
  <c r="M124" i="85" s="1"/>
  <c r="AM24" i="7"/>
  <c r="C10" i="5"/>
  <c r="G24" i="7" l="1"/>
  <c r="BD24" i="7" s="1"/>
  <c r="N110" i="67"/>
  <c r="N118" i="85"/>
  <c r="CQ18" i="7"/>
  <c r="J123" i="85" s="1"/>
  <c r="O122" i="85"/>
  <c r="O20" i="67"/>
  <c r="Z24" i="7"/>
  <c r="O24" i="7"/>
  <c r="O29" i="7" s="1"/>
  <c r="H24" i="7"/>
  <c r="BE24" i="7" s="1"/>
  <c r="BJ72" i="7"/>
  <c r="N110" i="85"/>
  <c r="R24" i="7"/>
  <c r="R29" i="7" s="1"/>
  <c r="AH24" i="7"/>
  <c r="AN24" i="7"/>
  <c r="AN29" i="7" s="1"/>
  <c r="AD24" i="7"/>
  <c r="N24" i="7"/>
  <c r="N29" i="7" s="1"/>
  <c r="N118" i="67"/>
  <c r="N106" i="67"/>
  <c r="U65" i="7"/>
  <c r="BR65" i="7" s="1"/>
  <c r="P24" i="7"/>
  <c r="P29" i="7" s="1"/>
  <c r="L147" i="67"/>
  <c r="M140" i="67"/>
  <c r="M42" i="67"/>
  <c r="M106" i="67"/>
  <c r="L116" i="67"/>
  <c r="N107" i="67"/>
  <c r="N116" i="67"/>
  <c r="BB61" i="7"/>
  <c r="BU17" i="7"/>
  <c r="CP65" i="7"/>
  <c r="N115" i="85"/>
  <c r="N107" i="85"/>
  <c r="J116" i="85"/>
  <c r="O30" i="67"/>
  <c r="N108" i="67"/>
  <c r="N116" i="85"/>
  <c r="N108" i="85"/>
  <c r="AO24" i="7"/>
  <c r="AO29" i="7" s="1"/>
  <c r="Y24" i="7"/>
  <c r="BV24" i="7" s="1"/>
  <c r="M143" i="67"/>
  <c r="L115" i="67"/>
  <c r="J118" i="67"/>
  <c r="N114" i="67"/>
  <c r="M108" i="67"/>
  <c r="N115" i="67"/>
  <c r="O21" i="7"/>
  <c r="BL21" i="7" s="1"/>
  <c r="L118" i="85"/>
  <c r="N105" i="85"/>
  <c r="Z13" i="7"/>
  <c r="Z21" i="7" s="1"/>
  <c r="BW21" i="7" s="1"/>
  <c r="Y13" i="7"/>
  <c r="Y21" i="7" s="1"/>
  <c r="BV21" i="7" s="1"/>
  <c r="BM13" i="7"/>
  <c r="N42" i="67"/>
  <c r="L123" i="67"/>
  <c r="L127" i="67" s="1"/>
  <c r="O19" i="67"/>
  <c r="K141" i="67"/>
  <c r="M115" i="67"/>
  <c r="J106" i="85"/>
  <c r="K110" i="85"/>
  <c r="J108" i="67"/>
  <c r="AG24" i="7"/>
  <c r="CD24" i="7" s="1"/>
  <c r="J24" i="7"/>
  <c r="BG24" i="7" s="1"/>
  <c r="K106" i="67"/>
  <c r="K108" i="67"/>
  <c r="K106" i="85"/>
  <c r="K107" i="85"/>
  <c r="J24" i="67"/>
  <c r="M114" i="85"/>
  <c r="AP24" i="7"/>
  <c r="AP29" i="7" s="1"/>
  <c r="X24" i="7"/>
  <c r="X29" i="7" s="1"/>
  <c r="I24" i="7"/>
  <c r="BF24" i="7" s="1"/>
  <c r="M151" i="67"/>
  <c r="O27" i="67"/>
  <c r="J141" i="67"/>
  <c r="J106" i="67"/>
  <c r="M118" i="67"/>
  <c r="J110" i="67"/>
  <c r="J113" i="67"/>
  <c r="M114" i="67"/>
  <c r="J108" i="85"/>
  <c r="M107" i="85"/>
  <c r="M116" i="85"/>
  <c r="J110" i="85"/>
  <c r="M115" i="85"/>
  <c r="AU17" i="7"/>
  <c r="CR17" i="7" s="1"/>
  <c r="J149" i="67"/>
  <c r="N140" i="67"/>
  <c r="L107" i="85"/>
  <c r="N143" i="67"/>
  <c r="M110" i="67"/>
  <c r="L108" i="67"/>
  <c r="L106" i="85"/>
  <c r="M110" i="85"/>
  <c r="M107" i="67"/>
  <c r="L116" i="85"/>
  <c r="M108" i="85"/>
  <c r="CR18" i="7"/>
  <c r="K123" i="85" s="1"/>
  <c r="K127" i="85" s="1"/>
  <c r="L108" i="85"/>
  <c r="N148" i="67"/>
  <c r="J143" i="67"/>
  <c r="L106" i="67"/>
  <c r="K123" i="67"/>
  <c r="K127" i="67" s="1"/>
  <c r="J139" i="67"/>
  <c r="L107" i="67"/>
  <c r="N149" i="67"/>
  <c r="K147" i="67"/>
  <c r="K148" i="67"/>
  <c r="L110" i="67"/>
  <c r="BT17" i="7"/>
  <c r="G13" i="7"/>
  <c r="G21" i="7" s="1"/>
  <c r="BD21" i="7" s="1"/>
  <c r="M141" i="67"/>
  <c r="N139" i="67"/>
  <c r="K143" i="67"/>
  <c r="J147" i="67"/>
  <c r="O21" i="67"/>
  <c r="O43" i="67"/>
  <c r="P24" i="67" s="1"/>
  <c r="O99" i="85"/>
  <c r="L140" i="67"/>
  <c r="M148" i="67"/>
  <c r="L139" i="67"/>
  <c r="J42" i="67"/>
  <c r="J151" i="67"/>
  <c r="L143" i="67"/>
  <c r="K149" i="67"/>
  <c r="O33" i="67"/>
  <c r="J146" i="67"/>
  <c r="AT65" i="7"/>
  <c r="J111" i="67" s="1"/>
  <c r="J138" i="67"/>
  <c r="J105" i="67"/>
  <c r="O100" i="85"/>
  <c r="K149" i="85"/>
  <c r="K148" i="85"/>
  <c r="K151" i="85"/>
  <c r="K147" i="85"/>
  <c r="L148" i="85"/>
  <c r="L149" i="85"/>
  <c r="L151" i="85"/>
  <c r="L147" i="85"/>
  <c r="N147" i="67"/>
  <c r="N148" i="85"/>
  <c r="N149" i="85"/>
  <c r="N151" i="85"/>
  <c r="N147" i="85"/>
  <c r="O30" i="85"/>
  <c r="J20" i="85"/>
  <c r="O20" i="85" s="1"/>
  <c r="N140" i="85"/>
  <c r="N141" i="85"/>
  <c r="N143" i="85"/>
  <c r="N139" i="85"/>
  <c r="M147" i="67"/>
  <c r="M148" i="85"/>
  <c r="M149" i="85"/>
  <c r="M151" i="85"/>
  <c r="M147" i="85"/>
  <c r="J113" i="85"/>
  <c r="J146" i="85"/>
  <c r="J127" i="85"/>
  <c r="P19" i="85"/>
  <c r="O43" i="85"/>
  <c r="P20" i="85"/>
  <c r="M141" i="85"/>
  <c r="M140" i="85"/>
  <c r="M143" i="85"/>
  <c r="M139" i="85"/>
  <c r="P21" i="85"/>
  <c r="J140" i="85"/>
  <c r="J141" i="85"/>
  <c r="J143" i="85"/>
  <c r="J139" i="85"/>
  <c r="J138" i="85"/>
  <c r="J105" i="85"/>
  <c r="O10" i="85"/>
  <c r="O15" i="85" s="1"/>
  <c r="O16" i="85" s="1"/>
  <c r="J15" i="85"/>
  <c r="J16" i="85" s="1"/>
  <c r="J21" i="85"/>
  <c r="O21" i="85" s="1"/>
  <c r="O33" i="85"/>
  <c r="O100" i="67"/>
  <c r="L149" i="67"/>
  <c r="J19" i="85"/>
  <c r="J42" i="85"/>
  <c r="J149" i="85"/>
  <c r="J148" i="85"/>
  <c r="J151" i="85"/>
  <c r="J147" i="85"/>
  <c r="L141" i="85"/>
  <c r="L140" i="85"/>
  <c r="L143" i="85"/>
  <c r="L139" i="85"/>
  <c r="K139" i="67"/>
  <c r="K140" i="85"/>
  <c r="K141" i="85"/>
  <c r="K143" i="85"/>
  <c r="K139" i="85"/>
  <c r="Z29" i="7"/>
  <c r="BW24" i="7"/>
  <c r="N59" i="7"/>
  <c r="BJ65" i="7"/>
  <c r="Y29" i="7"/>
  <c r="R21" i="7"/>
  <c r="BO21" i="7" s="1"/>
  <c r="BO13" i="7"/>
  <c r="X21" i="7"/>
  <c r="BU21" i="7" s="1"/>
  <c r="BU13" i="7"/>
  <c r="Q21" i="7"/>
  <c r="BN21" i="7" s="1"/>
  <c r="BN13" i="7"/>
  <c r="W21" i="7"/>
  <c r="BT21" i="7" s="1"/>
  <c r="BT13" i="7"/>
  <c r="V21" i="7"/>
  <c r="BS21" i="7" s="1"/>
  <c r="BS13" i="7"/>
  <c r="V29" i="7"/>
  <c r="BS24" i="7"/>
  <c r="J124" i="67"/>
  <c r="CQ19" i="7"/>
  <c r="J124" i="85" s="1"/>
  <c r="J13" i="7"/>
  <c r="BG17" i="7"/>
  <c r="I13" i="7"/>
  <c r="BF17" i="7"/>
  <c r="Q29" i="7"/>
  <c r="BN24" i="7"/>
  <c r="M123" i="67"/>
  <c r="M127" i="67" s="1"/>
  <c r="CT18" i="7"/>
  <c r="M123" i="85" s="1"/>
  <c r="M127" i="85" s="1"/>
  <c r="BW13" i="7"/>
  <c r="N21" i="7"/>
  <c r="BK21" i="7" s="1"/>
  <c r="BK13" i="7"/>
  <c r="N124" i="67"/>
  <c r="CU19" i="7"/>
  <c r="N124" i="85" s="1"/>
  <c r="AE29" i="7"/>
  <c r="CB29" i="7" s="1"/>
  <c r="CB24" i="7"/>
  <c r="AG29" i="7"/>
  <c r="CD29" i="7" s="1"/>
  <c r="AM29" i="7"/>
  <c r="CJ24" i="7"/>
  <c r="F13" i="7"/>
  <c r="BC17" i="7"/>
  <c r="AD29" i="7"/>
  <c r="CA29" i="7" s="1"/>
  <c r="CA24" i="7"/>
  <c r="W29" i="7"/>
  <c r="BT24" i="7"/>
  <c r="O99" i="67"/>
  <c r="F59" i="7"/>
  <c r="BB65" i="7"/>
  <c r="BV13" i="7"/>
  <c r="H13" i="7"/>
  <c r="BE17" i="7"/>
  <c r="BK24" i="7"/>
  <c r="AL29" i="7"/>
  <c r="AL31" i="7" s="1"/>
  <c r="CI24" i="7"/>
  <c r="AF29" i="7"/>
  <c r="CC29" i="7" s="1"/>
  <c r="CC24" i="7"/>
  <c r="AT17" i="7"/>
  <c r="CQ17" i="7" s="1"/>
  <c r="AH29" i="7"/>
  <c r="CE29" i="7" s="1"/>
  <c r="CE24" i="7"/>
  <c r="K124" i="67"/>
  <c r="CR19" i="7"/>
  <c r="K124" i="85" s="1"/>
  <c r="AL70" i="7"/>
  <c r="CH76" i="7"/>
  <c r="V70" i="7"/>
  <c r="BR76" i="7"/>
  <c r="F70" i="7"/>
  <c r="BB76" i="7"/>
  <c r="AD70" i="7"/>
  <c r="BZ76" i="7"/>
  <c r="U73" i="7"/>
  <c r="N70" i="7"/>
  <c r="BJ76" i="7"/>
  <c r="J119" i="67"/>
  <c r="CQ76" i="7"/>
  <c r="U63" i="7"/>
  <c r="AK74" i="7"/>
  <c r="AK73" i="7" s="1"/>
  <c r="M63" i="7"/>
  <c r="M62" i="7" s="1"/>
  <c r="E74" i="7"/>
  <c r="E73" i="7" s="1"/>
  <c r="AC74" i="7"/>
  <c r="AC73" i="7" s="1"/>
  <c r="AC63" i="7"/>
  <c r="AC62" i="7" s="1"/>
  <c r="M74" i="7"/>
  <c r="M73" i="7" s="1"/>
  <c r="E63" i="7"/>
  <c r="E62" i="7" s="1"/>
  <c r="AT74" i="7"/>
  <c r="O15" i="67"/>
  <c r="O16" i="67" s="1"/>
  <c r="I29" i="7"/>
  <c r="I31" i="7" s="1"/>
  <c r="BF31" i="7" s="1"/>
  <c r="AU70" i="7"/>
  <c r="J152" i="67"/>
  <c r="AX17" i="7"/>
  <c r="N123" i="67"/>
  <c r="N127" i="67" s="1"/>
  <c r="AV22" i="7"/>
  <c r="CS22" i="7" s="1"/>
  <c r="L124" i="67"/>
  <c r="F29" i="7"/>
  <c r="F31" i="7" s="1"/>
  <c r="BC31" i="7" s="1"/>
  <c r="AT24" i="7"/>
  <c r="G29" i="7"/>
  <c r="G31" i="7" s="1"/>
  <c r="BD31" i="7" s="1"/>
  <c r="AW22" i="7"/>
  <c r="CT22" i="7" s="1"/>
  <c r="M124" i="67"/>
  <c r="H29" i="7"/>
  <c r="H31" i="7" s="1"/>
  <c r="BE31" i="7" s="1"/>
  <c r="AV17" i="7"/>
  <c r="AD59" i="7"/>
  <c r="AD32" i="7"/>
  <c r="AB58" i="53"/>
  <c r="CF58" i="53" s="1"/>
  <c r="U83" i="85" s="1"/>
  <c r="Z83" i="85" s="1"/>
  <c r="AG32" i="7"/>
  <c r="AE58" i="53"/>
  <c r="AH32" i="7"/>
  <c r="AF58" i="53"/>
  <c r="V59" i="7"/>
  <c r="AW17" i="7"/>
  <c r="AK62" i="7"/>
  <c r="AL59" i="7"/>
  <c r="AT63" i="7"/>
  <c r="C51" i="53"/>
  <c r="K18" i="53"/>
  <c r="S18" i="53"/>
  <c r="W18" i="53"/>
  <c r="CB18" i="53" s="1"/>
  <c r="X18" i="53"/>
  <c r="CC18" i="53" s="1"/>
  <c r="O18" i="53"/>
  <c r="BU18" i="53" s="1"/>
  <c r="P18" i="53"/>
  <c r="BV18" i="53" s="1"/>
  <c r="BO24" i="7" l="1"/>
  <c r="BM24" i="7"/>
  <c r="AU24" i="7"/>
  <c r="BL24" i="7"/>
  <c r="CJ29" i="7"/>
  <c r="AM31" i="7"/>
  <c r="CM29" i="7"/>
  <c r="AP31" i="7"/>
  <c r="AP33" i="7" s="1"/>
  <c r="CM33" i="7" s="1"/>
  <c r="AO31" i="7"/>
  <c r="CK29" i="7"/>
  <c r="AN31" i="7"/>
  <c r="AN33" i="7" s="1"/>
  <c r="CK33" i="7" s="1"/>
  <c r="F32" i="7"/>
  <c r="BD13" i="7"/>
  <c r="G32" i="7"/>
  <c r="Q31" i="7"/>
  <c r="BU29" i="7"/>
  <c r="X31" i="7"/>
  <c r="BO29" i="7"/>
  <c r="R31" i="7"/>
  <c r="BK29" i="7"/>
  <c r="N31" i="7"/>
  <c r="N33" i="7" s="1"/>
  <c r="BK33" i="7" s="1"/>
  <c r="BT29" i="7"/>
  <c r="W31" i="7"/>
  <c r="BS29" i="7"/>
  <c r="V31" i="7"/>
  <c r="O31" i="7"/>
  <c r="Y31" i="7"/>
  <c r="BW29" i="7"/>
  <c r="Z31" i="7"/>
  <c r="P31" i="7"/>
  <c r="AU59" i="7"/>
  <c r="CK24" i="7"/>
  <c r="CL24" i="7"/>
  <c r="O42" i="67"/>
  <c r="P27" i="67" s="1"/>
  <c r="AW24" i="7"/>
  <c r="CQ65" i="7"/>
  <c r="J144" i="85" s="1"/>
  <c r="CM24" i="7"/>
  <c r="AX24" i="7"/>
  <c r="CU24" i="7" s="1"/>
  <c r="N128" i="85" s="1"/>
  <c r="N129" i="85" s="1"/>
  <c r="U62" i="7"/>
  <c r="U64" i="7" s="1"/>
  <c r="BR64" i="7" s="1"/>
  <c r="O24" i="67"/>
  <c r="J29" i="7"/>
  <c r="AV24" i="7"/>
  <c r="L128" i="67" s="1"/>
  <c r="L129" i="67" s="1"/>
  <c r="BU24" i="7"/>
  <c r="BN29" i="7"/>
  <c r="V33" i="7"/>
  <c r="BS33" i="7" s="1"/>
  <c r="W33" i="7"/>
  <c r="BT33" i="7" s="1"/>
  <c r="AF33" i="7"/>
  <c r="CC33" i="7" s="1"/>
  <c r="AT13" i="7"/>
  <c r="CQ13" i="7" s="1"/>
  <c r="BV29" i="7"/>
  <c r="AU13" i="7"/>
  <c r="AU21" i="7" s="1"/>
  <c r="CR21" i="7" s="1"/>
  <c r="J144" i="67"/>
  <c r="AG33" i="7"/>
  <c r="CD33" i="7" s="1"/>
  <c r="BL29" i="7"/>
  <c r="CI29" i="7"/>
  <c r="R33" i="7"/>
  <c r="BO33" i="7" s="1"/>
  <c r="O123" i="85"/>
  <c r="J109" i="85"/>
  <c r="J142" i="85"/>
  <c r="J152" i="85"/>
  <c r="J119" i="85"/>
  <c r="O42" i="85"/>
  <c r="P33" i="85" s="1"/>
  <c r="O127" i="85"/>
  <c r="O124" i="85"/>
  <c r="AM33" i="7"/>
  <c r="CJ33" i="7" s="1"/>
  <c r="CL29" i="7"/>
  <c r="O127" i="67"/>
  <c r="J150" i="67"/>
  <c r="J117" i="85"/>
  <c r="J150" i="85"/>
  <c r="O19" i="85"/>
  <c r="O24" i="85" s="1"/>
  <c r="J24" i="85"/>
  <c r="P24" i="85"/>
  <c r="AH33" i="7"/>
  <c r="CE33" i="7" s="1"/>
  <c r="AD33" i="7"/>
  <c r="CA33" i="7" s="1"/>
  <c r="AL65" i="7"/>
  <c r="CI59" i="7"/>
  <c r="N128" i="67"/>
  <c r="N129" i="67" s="1"/>
  <c r="AC64" i="7"/>
  <c r="BZ64" i="7" s="1"/>
  <c r="BZ62" i="7"/>
  <c r="J21" i="7"/>
  <c r="BG21" i="7" s="1"/>
  <c r="BG13" i="7"/>
  <c r="AK64" i="7"/>
  <c r="CH64" i="7" s="1"/>
  <c r="CH62" i="7"/>
  <c r="J128" i="67"/>
  <c r="CQ24" i="7"/>
  <c r="J128" i="85" s="1"/>
  <c r="J129" i="85" s="1"/>
  <c r="M128" i="67"/>
  <c r="M129" i="67" s="1"/>
  <c r="CT24" i="7"/>
  <c r="M128" i="85" s="1"/>
  <c r="M129" i="85" s="1"/>
  <c r="H21" i="7"/>
  <c r="BE21" i="7" s="1"/>
  <c r="BE13" i="7"/>
  <c r="AW13" i="7"/>
  <c r="CT17" i="7"/>
  <c r="AD65" i="7"/>
  <c r="CA59" i="7"/>
  <c r="I21" i="7"/>
  <c r="BF21" i="7" s="1"/>
  <c r="BF13" i="7"/>
  <c r="V65" i="7"/>
  <c r="BS59" i="7"/>
  <c r="AV13" i="7"/>
  <c r="CS17" i="7"/>
  <c r="AU65" i="7"/>
  <c r="AV59" i="7" s="1"/>
  <c r="CS59" i="7" s="1"/>
  <c r="CR59" i="7"/>
  <c r="M64" i="7"/>
  <c r="BJ64" i="7" s="1"/>
  <c r="BJ62" i="7"/>
  <c r="F21" i="7"/>
  <c r="BC21" i="7" s="1"/>
  <c r="BC13" i="7"/>
  <c r="N65" i="7"/>
  <c r="BK59" i="7"/>
  <c r="K128" i="67"/>
  <c r="K129" i="67" s="1"/>
  <c r="CR24" i="7"/>
  <c r="K128" i="85" s="1"/>
  <c r="K129" i="85" s="1"/>
  <c r="BM29" i="7"/>
  <c r="BC59" i="7"/>
  <c r="F65" i="7"/>
  <c r="CS24" i="7"/>
  <c r="L128" i="85" s="1"/>
  <c r="L129" i="85" s="1"/>
  <c r="AX13" i="7"/>
  <c r="CU17" i="7"/>
  <c r="E64" i="7"/>
  <c r="BB64" i="7" s="1"/>
  <c r="BB62" i="7"/>
  <c r="X83" i="67"/>
  <c r="CI58" i="53"/>
  <c r="X83" i="85" s="1"/>
  <c r="Y18" i="73"/>
  <c r="BS18" i="73" s="1"/>
  <c r="BX18" i="53"/>
  <c r="N18" i="73"/>
  <c r="BM18" i="73" s="1"/>
  <c r="BQ18" i="53"/>
  <c r="Y83" i="67"/>
  <c r="AA83" i="67" s="1"/>
  <c r="CJ58" i="53"/>
  <c r="Y83" i="85" s="1"/>
  <c r="AA83" i="85" s="1"/>
  <c r="C51" i="73"/>
  <c r="BG51" i="73" s="1"/>
  <c r="BJ51" i="53"/>
  <c r="AT29" i="7"/>
  <c r="CQ29" i="7" s="1"/>
  <c r="BC29" i="7"/>
  <c r="I33" i="7"/>
  <c r="BF33" i="7" s="1"/>
  <c r="BF29" i="7"/>
  <c r="AV29" i="7"/>
  <c r="CS29" i="7" s="1"/>
  <c r="BE29" i="7"/>
  <c r="G33" i="7"/>
  <c r="BD33" i="7" s="1"/>
  <c r="BD29" i="7"/>
  <c r="BS70" i="7"/>
  <c r="V76" i="7"/>
  <c r="AC75" i="7"/>
  <c r="BZ75" i="7" s="1"/>
  <c r="BZ73" i="7"/>
  <c r="BC70" i="7"/>
  <c r="F76" i="7"/>
  <c r="E75" i="7"/>
  <c r="BB75" i="7" s="1"/>
  <c r="BB73" i="7"/>
  <c r="AK75" i="7"/>
  <c r="CH75" i="7" s="1"/>
  <c r="CH73" i="7"/>
  <c r="BK70" i="7"/>
  <c r="N76" i="7"/>
  <c r="M75" i="7"/>
  <c r="BJ75" i="7" s="1"/>
  <c r="BJ73" i="7"/>
  <c r="CA70" i="7"/>
  <c r="AD76" i="7"/>
  <c r="U75" i="7"/>
  <c r="BR75" i="7" s="1"/>
  <c r="BR73" i="7"/>
  <c r="CI70" i="7"/>
  <c r="AL76" i="7"/>
  <c r="AU76" i="7"/>
  <c r="AU74" i="7" s="1"/>
  <c r="CR70" i="7"/>
  <c r="U83" i="67"/>
  <c r="Z83" i="67" s="1"/>
  <c r="AG58" i="53"/>
  <c r="CK58" i="53" s="1"/>
  <c r="AH58" i="53"/>
  <c r="N74" i="7"/>
  <c r="V74" i="7"/>
  <c r="V73" i="7" s="1"/>
  <c r="F74" i="7"/>
  <c r="AL74" i="7"/>
  <c r="AD74" i="7"/>
  <c r="J117" i="67"/>
  <c r="AU29" i="7"/>
  <c r="CR29" i="7" s="1"/>
  <c r="F33" i="7"/>
  <c r="BC33" i="7" s="1"/>
  <c r="J142" i="67"/>
  <c r="J109" i="67"/>
  <c r="K138" i="67"/>
  <c r="K105" i="67"/>
  <c r="K146" i="67"/>
  <c r="K113" i="67"/>
  <c r="AW29" i="7"/>
  <c r="CT29" i="7" s="1"/>
  <c r="P38" i="67"/>
  <c r="P35" i="67"/>
  <c r="O123" i="67"/>
  <c r="O124" i="67"/>
  <c r="H32" i="7"/>
  <c r="AE32" i="7"/>
  <c r="AC58" i="53"/>
  <c r="AU31" i="7"/>
  <c r="CR31" i="7" s="1"/>
  <c r="K133" i="85" s="1"/>
  <c r="AF32" i="7"/>
  <c r="AD58" i="53"/>
  <c r="Z33" i="7"/>
  <c r="BW33" i="7" s="1"/>
  <c r="H33" i="7"/>
  <c r="BE33" i="7" s="1"/>
  <c r="AS58" i="73"/>
  <c r="CD58" i="73" s="1"/>
  <c r="AT58" i="73"/>
  <c r="AF55" i="53"/>
  <c r="AR58" i="73"/>
  <c r="AQ58" i="73"/>
  <c r="CC58" i="73" s="1"/>
  <c r="AE55" i="53"/>
  <c r="AB55" i="53"/>
  <c r="CF55" i="53" s="1"/>
  <c r="U80" i="85" s="1"/>
  <c r="AL58" i="73"/>
  <c r="AK58" i="73"/>
  <c r="BZ58" i="73" s="1"/>
  <c r="I32" i="7"/>
  <c r="N63" i="7"/>
  <c r="AD63" i="7"/>
  <c r="V63" i="7"/>
  <c r="F63" i="7"/>
  <c r="AL63" i="7"/>
  <c r="AU63" i="7"/>
  <c r="AE33" i="7"/>
  <c r="CB33" i="7" s="1"/>
  <c r="AF18" i="73"/>
  <c r="BW18" i="73" s="1"/>
  <c r="AG18" i="73"/>
  <c r="X18" i="73"/>
  <c r="W18" i="73"/>
  <c r="BR18" i="73" s="1"/>
  <c r="V18" i="73"/>
  <c r="U18" i="73"/>
  <c r="BQ18" i="73" s="1"/>
  <c r="AH18" i="73"/>
  <c r="BX18" i="73" s="1"/>
  <c r="AI18" i="73"/>
  <c r="L18" i="53"/>
  <c r="BR18" i="53" s="1"/>
  <c r="T18" i="53"/>
  <c r="BY18" i="53" s="1"/>
  <c r="H18" i="53"/>
  <c r="BO18" i="53" s="1"/>
  <c r="C18" i="53"/>
  <c r="M18" i="53"/>
  <c r="BS18" i="53" s="1"/>
  <c r="N18" i="53"/>
  <c r="BT18" i="53" s="1"/>
  <c r="U18" i="53"/>
  <c r="BZ18" i="53" s="1"/>
  <c r="V18" i="53"/>
  <c r="CA18" i="53" s="1"/>
  <c r="T12" i="67"/>
  <c r="E18" i="53"/>
  <c r="BL18" i="53" s="1"/>
  <c r="G18" i="53"/>
  <c r="BN18" i="53" s="1"/>
  <c r="J111" i="85" l="1"/>
  <c r="CL31" i="7"/>
  <c r="AM58" i="53"/>
  <c r="AO32" i="7"/>
  <c r="CJ31" i="7"/>
  <c r="AM32" i="7"/>
  <c r="AK58" i="53"/>
  <c r="AO33" i="7"/>
  <c r="CL33" i="7" s="1"/>
  <c r="CK31" i="7"/>
  <c r="AN32" i="7"/>
  <c r="AL58" i="53"/>
  <c r="CM31" i="7"/>
  <c r="AP32" i="7"/>
  <c r="AN58" i="53"/>
  <c r="CI31" i="7"/>
  <c r="AJ58" i="53"/>
  <c r="AL32" i="7"/>
  <c r="AL33" i="7"/>
  <c r="CI33" i="7" s="1"/>
  <c r="P29" i="67"/>
  <c r="P42" i="67"/>
  <c r="P31" i="67"/>
  <c r="P37" i="67"/>
  <c r="P33" i="67"/>
  <c r="P36" i="67"/>
  <c r="AX29" i="7"/>
  <c r="CU29" i="7" s="1"/>
  <c r="J31" i="7"/>
  <c r="BM31" i="7"/>
  <c r="P32" i="7"/>
  <c r="BS31" i="7"/>
  <c r="V32" i="7"/>
  <c r="BU31" i="7"/>
  <c r="X32" i="7"/>
  <c r="P33" i="7"/>
  <c r="BM33" i="7" s="1"/>
  <c r="AT21" i="7"/>
  <c r="CQ21" i="7" s="1"/>
  <c r="BW31" i="7"/>
  <c r="X58" i="53"/>
  <c r="CC58" i="53" s="1"/>
  <c r="Y52" i="85" s="1"/>
  <c r="Z32" i="7"/>
  <c r="BL31" i="7"/>
  <c r="O32" i="7"/>
  <c r="BT31" i="7"/>
  <c r="W32" i="7"/>
  <c r="BO31" i="7"/>
  <c r="R32" i="7"/>
  <c r="BN31" i="7"/>
  <c r="Q32" i="7"/>
  <c r="BV31" i="7"/>
  <c r="Y32" i="7"/>
  <c r="BK31" i="7"/>
  <c r="AT31" i="7"/>
  <c r="AT33" i="7" s="1"/>
  <c r="CQ33" i="7" s="1"/>
  <c r="N32" i="7"/>
  <c r="AW31" i="7"/>
  <c r="CT31" i="7" s="1"/>
  <c r="M133" i="85" s="1"/>
  <c r="X33" i="7"/>
  <c r="BU33" i="7" s="1"/>
  <c r="Y33" i="7"/>
  <c r="BV33" i="7" s="1"/>
  <c r="AV31" i="7"/>
  <c r="CS31" i="7" s="1"/>
  <c r="L133" i="85" s="1"/>
  <c r="L134" i="85" s="1"/>
  <c r="O33" i="7"/>
  <c r="BL33" i="7" s="1"/>
  <c r="Q33" i="7"/>
  <c r="BN33" i="7" s="1"/>
  <c r="P34" i="67"/>
  <c r="P28" i="67"/>
  <c r="P32" i="67"/>
  <c r="P39" i="67"/>
  <c r="P43" i="67"/>
  <c r="P30" i="67"/>
  <c r="P44" i="67"/>
  <c r="P41" i="67"/>
  <c r="P40" i="67"/>
  <c r="BR62" i="7"/>
  <c r="BG29" i="7"/>
  <c r="AD62" i="7"/>
  <c r="AD64" i="7" s="1"/>
  <c r="CA64" i="7" s="1"/>
  <c r="CR13" i="7"/>
  <c r="O128" i="67"/>
  <c r="J129" i="67"/>
  <c r="O129" i="67" s="1"/>
  <c r="V62" i="7"/>
  <c r="V64" i="7" s="1"/>
  <c r="BS64" i="7" s="1"/>
  <c r="L138" i="85"/>
  <c r="L105" i="85"/>
  <c r="M134" i="85"/>
  <c r="AL62" i="7"/>
  <c r="CI62" i="7" s="1"/>
  <c r="P42" i="85"/>
  <c r="P41" i="85"/>
  <c r="P38" i="85"/>
  <c r="P37" i="85"/>
  <c r="P40" i="85"/>
  <c r="P36" i="85"/>
  <c r="P39" i="85"/>
  <c r="P35" i="85"/>
  <c r="P29" i="85"/>
  <c r="P32" i="85"/>
  <c r="P44" i="85"/>
  <c r="P28" i="85"/>
  <c r="P34" i="85"/>
  <c r="P27" i="85"/>
  <c r="P31" i="85"/>
  <c r="K105" i="85"/>
  <c r="K138" i="85"/>
  <c r="K134" i="85"/>
  <c r="O128" i="85"/>
  <c r="K144" i="67"/>
  <c r="K109" i="85"/>
  <c r="K142" i="85"/>
  <c r="P30" i="85"/>
  <c r="O129" i="85"/>
  <c r="Z80" i="85"/>
  <c r="U88" i="85"/>
  <c r="K146" i="85"/>
  <c r="K113" i="85"/>
  <c r="P43" i="85"/>
  <c r="N73" i="7"/>
  <c r="N75" i="7" s="1"/>
  <c r="BK75" i="7" s="1"/>
  <c r="K117" i="67"/>
  <c r="K150" i="85"/>
  <c r="K117" i="85"/>
  <c r="F62" i="7"/>
  <c r="F64" i="7" s="1"/>
  <c r="BC64" i="7" s="1"/>
  <c r="N62" i="7"/>
  <c r="AE59" i="7"/>
  <c r="CA65" i="7"/>
  <c r="G59" i="7"/>
  <c r="BC65" i="7"/>
  <c r="AV21" i="7"/>
  <c r="CS21" i="7" s="1"/>
  <c r="CS13" i="7"/>
  <c r="AW21" i="7"/>
  <c r="CT21" i="7" s="1"/>
  <c r="CT13" i="7"/>
  <c r="W59" i="7"/>
  <c r="BS65" i="7"/>
  <c r="AM59" i="7"/>
  <c r="CI65" i="7"/>
  <c r="O59" i="7"/>
  <c r="BK65" i="7"/>
  <c r="K111" i="67"/>
  <c r="CR65" i="7"/>
  <c r="AX21" i="7"/>
  <c r="CU21" i="7" s="1"/>
  <c r="CU13" i="7"/>
  <c r="X80" i="67"/>
  <c r="X88" i="67" s="1"/>
  <c r="X89" i="67" s="1"/>
  <c r="CI55" i="53"/>
  <c r="X80" i="85" s="1"/>
  <c r="X88" i="85" s="1"/>
  <c r="X89" i="85" s="1"/>
  <c r="C18" i="73"/>
  <c r="BG18" i="73" s="1"/>
  <c r="BJ18" i="53"/>
  <c r="W83" i="67"/>
  <c r="CH58" i="53"/>
  <c r="W83" i="85" s="1"/>
  <c r="V83" i="67"/>
  <c r="CG58" i="53"/>
  <c r="V83" i="85" s="1"/>
  <c r="Y80" i="67"/>
  <c r="Y88" i="67" s="1"/>
  <c r="CJ55" i="53"/>
  <c r="Y80" i="85" s="1"/>
  <c r="G70" i="7"/>
  <c r="BC76" i="7"/>
  <c r="AM70" i="7"/>
  <c r="CI76" i="7"/>
  <c r="BK76" i="7"/>
  <c r="O70" i="7"/>
  <c r="AD73" i="7"/>
  <c r="CA73" i="7" s="1"/>
  <c r="AL73" i="7"/>
  <c r="AL75" i="7" s="1"/>
  <c r="CI75" i="7" s="1"/>
  <c r="BS76" i="7"/>
  <c r="W70" i="7"/>
  <c r="AE70" i="7"/>
  <c r="CA76" i="7"/>
  <c r="F73" i="7"/>
  <c r="F75" i="7" s="1"/>
  <c r="BC75" i="7" s="1"/>
  <c r="K119" i="67"/>
  <c r="CR76" i="7"/>
  <c r="K152" i="67"/>
  <c r="AV70" i="7"/>
  <c r="CS70" i="7" s="1"/>
  <c r="V75" i="7"/>
  <c r="BS75" i="7" s="1"/>
  <c r="BS73" i="7"/>
  <c r="Q18" i="53"/>
  <c r="BW18" i="53" s="1"/>
  <c r="R18" i="53"/>
  <c r="Z18" i="53"/>
  <c r="Y18" i="53"/>
  <c r="CD18" i="53" s="1"/>
  <c r="U80" i="67"/>
  <c r="Z80" i="67" s="1"/>
  <c r="AH55" i="53"/>
  <c r="AG55" i="53"/>
  <c r="CK55" i="53" s="1"/>
  <c r="AU32" i="7"/>
  <c r="K133" i="67"/>
  <c r="K134" i="67" s="1"/>
  <c r="L138" i="67"/>
  <c r="L105" i="67"/>
  <c r="K142" i="67"/>
  <c r="K109" i="67"/>
  <c r="AV65" i="7"/>
  <c r="G74" i="7"/>
  <c r="K150" i="67"/>
  <c r="W74" i="7"/>
  <c r="AE74" i="7"/>
  <c r="O74" i="7"/>
  <c r="AM74" i="7"/>
  <c r="W63" i="7"/>
  <c r="AE63" i="7"/>
  <c r="G63" i="7"/>
  <c r="AM63" i="7"/>
  <c r="O63" i="7"/>
  <c r="AP58" i="73"/>
  <c r="AO58" i="73"/>
  <c r="CB58" i="73" s="1"/>
  <c r="AD55" i="53"/>
  <c r="AK55" i="73"/>
  <c r="BZ55" i="73" s="1"/>
  <c r="D21" i="20"/>
  <c r="K21" i="20" s="1"/>
  <c r="AL55" i="73"/>
  <c r="AB88" i="53"/>
  <c r="CF88" i="53" s="1"/>
  <c r="AR55" i="73"/>
  <c r="G21" i="20"/>
  <c r="N21" i="20" s="1"/>
  <c r="AQ55" i="73"/>
  <c r="CC55" i="73" s="1"/>
  <c r="AE88" i="53"/>
  <c r="CI88" i="53" s="1"/>
  <c r="AS55" i="73"/>
  <c r="CD55" i="73" s="1"/>
  <c r="H21" i="20"/>
  <c r="O21" i="20" s="1"/>
  <c r="AT55" i="73"/>
  <c r="AF88" i="53"/>
  <c r="CJ88" i="53" s="1"/>
  <c r="AM58" i="73"/>
  <c r="CA58" i="73" s="1"/>
  <c r="AN58" i="73"/>
  <c r="AC55" i="53"/>
  <c r="AU33" i="7"/>
  <c r="CR33" i="7" s="1"/>
  <c r="C63" i="73"/>
  <c r="BG63" i="73" s="1"/>
  <c r="AE18" i="73"/>
  <c r="AD18" i="73"/>
  <c r="BV18" i="73" s="1"/>
  <c r="AB18" i="73"/>
  <c r="BU18" i="73" s="1"/>
  <c r="AC18" i="73"/>
  <c r="T18" i="73"/>
  <c r="S18" i="73"/>
  <c r="BP18" i="73" s="1"/>
  <c r="Z18" i="73"/>
  <c r="BT18" i="73" s="1"/>
  <c r="AA18" i="73"/>
  <c r="Q18" i="73"/>
  <c r="BO18" i="73" s="1"/>
  <c r="R18" i="73"/>
  <c r="P18" i="73"/>
  <c r="O18" i="73"/>
  <c r="BN18" i="73" s="1"/>
  <c r="J18" i="73"/>
  <c r="BK18" i="73" s="1"/>
  <c r="K18" i="73"/>
  <c r="M18" i="73"/>
  <c r="L18" i="73"/>
  <c r="BL18" i="73" s="1"/>
  <c r="F18" i="73"/>
  <c r="BI18" i="73" s="1"/>
  <c r="G18" i="73"/>
  <c r="D18" i="53"/>
  <c r="BK18" i="53" s="1"/>
  <c r="F18" i="53"/>
  <c r="BM18" i="53" s="1"/>
  <c r="CA62" i="7" l="1"/>
  <c r="AV32" i="7"/>
  <c r="CM58" i="53"/>
  <c r="U107" i="85" s="1"/>
  <c r="Z107" i="85" s="1"/>
  <c r="AV58" i="73"/>
  <c r="CF58" i="73" s="1"/>
  <c r="AO58" i="53"/>
  <c r="CR58" i="53" s="1"/>
  <c r="AJ55" i="53"/>
  <c r="AW58" i="73"/>
  <c r="U107" i="67"/>
  <c r="Z107" i="67" s="1"/>
  <c r="AP58" i="53"/>
  <c r="AL55" i="53"/>
  <c r="W107" i="67"/>
  <c r="AZ58" i="73"/>
  <c r="CH58" i="73" s="1"/>
  <c r="CO58" i="53"/>
  <c r="W107" i="85" s="1"/>
  <c r="BA58" i="73"/>
  <c r="V107" i="67"/>
  <c r="AY58" i="73"/>
  <c r="CN58" i="53"/>
  <c r="V107" i="85" s="1"/>
  <c r="AK55" i="53"/>
  <c r="AX58" i="73"/>
  <c r="CG58" i="73" s="1"/>
  <c r="AM55" i="53"/>
  <c r="X107" i="67"/>
  <c r="CP58" i="53"/>
  <c r="X107" i="85" s="1"/>
  <c r="BC58" i="73"/>
  <c r="BB58" i="73"/>
  <c r="CI58" i="73" s="1"/>
  <c r="CQ58" i="53"/>
  <c r="Y107" i="85" s="1"/>
  <c r="AA107" i="85" s="1"/>
  <c r="BE58" i="73"/>
  <c r="BD58" i="73"/>
  <c r="CJ58" i="73" s="1"/>
  <c r="AN55" i="53"/>
  <c r="Y107" i="67"/>
  <c r="AA107" i="67" s="1"/>
  <c r="AV33" i="7"/>
  <c r="CS33" i="7" s="1"/>
  <c r="L133" i="67"/>
  <c r="L134" i="67" s="1"/>
  <c r="AW33" i="7"/>
  <c r="CT33" i="7" s="1"/>
  <c r="M133" i="67"/>
  <c r="M134" i="67" s="1"/>
  <c r="BG31" i="7"/>
  <c r="J33" i="7"/>
  <c r="BG33" i="7" s="1"/>
  <c r="AX31" i="7"/>
  <c r="J32" i="7"/>
  <c r="AW32" i="7"/>
  <c r="CQ31" i="7"/>
  <c r="J133" i="85" s="1"/>
  <c r="J133" i="67"/>
  <c r="J134" i="67" s="1"/>
  <c r="AT32" i="7"/>
  <c r="BS62" i="7"/>
  <c r="AL64" i="7"/>
  <c r="CI64" i="7" s="1"/>
  <c r="BC62" i="7"/>
  <c r="BK73" i="7"/>
  <c r="K111" i="85"/>
  <c r="K144" i="85"/>
  <c r="Z88" i="85"/>
  <c r="U89" i="85"/>
  <c r="L113" i="85"/>
  <c r="L146" i="85"/>
  <c r="Y88" i="85"/>
  <c r="AA80" i="85"/>
  <c r="K119" i="85"/>
  <c r="K152" i="85"/>
  <c r="AV63" i="7"/>
  <c r="L142" i="67" s="1"/>
  <c r="CS65" i="7"/>
  <c r="W65" i="7"/>
  <c r="W62" i="7" s="1"/>
  <c r="BT59" i="7"/>
  <c r="G65" i="7"/>
  <c r="G62" i="7" s="1"/>
  <c r="BD59" i="7"/>
  <c r="AM65" i="7"/>
  <c r="AM62" i="7" s="1"/>
  <c r="CJ59" i="7"/>
  <c r="L113" i="67"/>
  <c r="BC73" i="7"/>
  <c r="O65" i="7"/>
  <c r="BL59" i="7"/>
  <c r="AE65" i="7"/>
  <c r="AE62" i="7" s="1"/>
  <c r="CB59" i="7"/>
  <c r="L146" i="67"/>
  <c r="AD75" i="7"/>
  <c r="CA75" i="7" s="1"/>
  <c r="N64" i="7"/>
  <c r="BK64" i="7" s="1"/>
  <c r="BK62" i="7"/>
  <c r="AA80" i="67"/>
  <c r="V80" i="67"/>
  <c r="V88" i="67" s="1"/>
  <c r="V89" i="67" s="1"/>
  <c r="CG55" i="53"/>
  <c r="V80" i="85" s="1"/>
  <c r="V88" i="85" s="1"/>
  <c r="V89" i="85" s="1"/>
  <c r="W80" i="67"/>
  <c r="W88" i="67" s="1"/>
  <c r="W89" i="67" s="1"/>
  <c r="CH55" i="53"/>
  <c r="W80" i="85" s="1"/>
  <c r="W88" i="85" s="1"/>
  <c r="W89" i="85" s="1"/>
  <c r="U88" i="67"/>
  <c r="U89" i="67" s="1"/>
  <c r="O76" i="7"/>
  <c r="O73" i="7" s="1"/>
  <c r="O75" i="7" s="1"/>
  <c r="BL75" i="7" s="1"/>
  <c r="BL70" i="7"/>
  <c r="CI73" i="7"/>
  <c r="CB70" i="7"/>
  <c r="AE76" i="7"/>
  <c r="AM76" i="7"/>
  <c r="AM73" i="7" s="1"/>
  <c r="AM75" i="7" s="1"/>
  <c r="CJ75" i="7" s="1"/>
  <c r="CJ70" i="7"/>
  <c r="W76" i="7"/>
  <c r="W73" i="7" s="1"/>
  <c r="W75" i="7" s="1"/>
  <c r="BT75" i="7" s="1"/>
  <c r="BT70" i="7"/>
  <c r="G76" i="7"/>
  <c r="G73" i="7" s="1"/>
  <c r="BD70" i="7"/>
  <c r="AV76" i="7"/>
  <c r="L152" i="67" s="1"/>
  <c r="J18" i="53"/>
  <c r="I18" i="53"/>
  <c r="BP18" i="53" s="1"/>
  <c r="AG88" i="53"/>
  <c r="CK88" i="53" s="1"/>
  <c r="AH88" i="53"/>
  <c r="AV74" i="7"/>
  <c r="AW59" i="7"/>
  <c r="CT59" i="7" s="1"/>
  <c r="L111" i="67"/>
  <c r="L144" i="67"/>
  <c r="Y89" i="67"/>
  <c r="AA88" i="67"/>
  <c r="F133" i="1"/>
  <c r="V133" i="1" s="1"/>
  <c r="D20" i="20"/>
  <c r="AL88" i="73"/>
  <c r="D35" i="17"/>
  <c r="AK88" i="73"/>
  <c r="BZ88" i="73" s="1"/>
  <c r="AB95" i="53"/>
  <c r="CF95" i="53" s="1"/>
  <c r="AB91" i="53"/>
  <c r="CF91" i="53" s="1"/>
  <c r="AN55" i="73"/>
  <c r="AM55" i="73"/>
  <c r="CA55" i="73" s="1"/>
  <c r="E21" i="20"/>
  <c r="L21" i="20" s="1"/>
  <c r="AC88" i="53"/>
  <c r="CG88" i="53" s="1"/>
  <c r="AR88" i="73"/>
  <c r="I133" i="1"/>
  <c r="Y133" i="1" s="1"/>
  <c r="AE91" i="53"/>
  <c r="G35" i="17"/>
  <c r="G20" i="20"/>
  <c r="AQ88" i="73"/>
  <c r="CC88" i="73" s="1"/>
  <c r="AE95" i="53"/>
  <c r="CI95" i="53" s="1"/>
  <c r="AT88" i="73"/>
  <c r="H35" i="17"/>
  <c r="AF91" i="53"/>
  <c r="AS88" i="73"/>
  <c r="CD88" i="73" s="1"/>
  <c r="J133" i="1"/>
  <c r="Z133" i="1" s="1"/>
  <c r="H20" i="20"/>
  <c r="AF95" i="53"/>
  <c r="CJ95" i="53" s="1"/>
  <c r="AP55" i="73"/>
  <c r="AO55" i="73"/>
  <c r="CB55" i="73" s="1"/>
  <c r="F21" i="20"/>
  <c r="M21" i="20" s="1"/>
  <c r="AD88" i="53"/>
  <c r="CH88" i="53" s="1"/>
  <c r="I18" i="73"/>
  <c r="H18" i="73"/>
  <c r="BJ18" i="73" s="1"/>
  <c r="E18" i="73"/>
  <c r="D18" i="73"/>
  <c r="BH18" i="73" s="1"/>
  <c r="AN63" i="7" l="1"/>
  <c r="CM55" i="53"/>
  <c r="U104" i="85" s="1"/>
  <c r="Z104" i="85" s="1"/>
  <c r="AO55" i="53"/>
  <c r="CR55" i="53" s="1"/>
  <c r="AV55" i="73"/>
  <c r="CF55" i="73" s="1"/>
  <c r="D24" i="20"/>
  <c r="K24" i="20" s="1"/>
  <c r="U104" i="67"/>
  <c r="Z104" i="67" s="1"/>
  <c r="AW55" i="73"/>
  <c r="AP55" i="53"/>
  <c r="V104" i="67"/>
  <c r="CN55" i="53"/>
  <c r="V104" i="85" s="1"/>
  <c r="AY55" i="73"/>
  <c r="AX55" i="73"/>
  <c r="CG55" i="73" s="1"/>
  <c r="E24" i="20"/>
  <c r="L24" i="20" s="1"/>
  <c r="AZ55" i="73"/>
  <c r="CH55" i="73" s="1"/>
  <c r="F24" i="20"/>
  <c r="M24" i="20" s="1"/>
  <c r="W104" i="67"/>
  <c r="BA55" i="73"/>
  <c r="CO55" i="53"/>
  <c r="W104" i="85" s="1"/>
  <c r="Y104" i="67"/>
  <c r="AA104" i="67" s="1"/>
  <c r="BE55" i="73"/>
  <c r="CQ55" i="53"/>
  <c r="Y104" i="85" s="1"/>
  <c r="AA104" i="85" s="1"/>
  <c r="H24" i="20"/>
  <c r="O24" i="20" s="1"/>
  <c r="BD55" i="73"/>
  <c r="CJ55" i="73" s="1"/>
  <c r="BB55" i="73"/>
  <c r="CI55" i="73" s="1"/>
  <c r="G24" i="20"/>
  <c r="N24" i="20" s="1"/>
  <c r="X104" i="67"/>
  <c r="BC55" i="73"/>
  <c r="CP55" i="53"/>
  <c r="X104" i="85" s="1"/>
  <c r="J134" i="85"/>
  <c r="CU31" i="7"/>
  <c r="N133" i="85" s="1"/>
  <c r="N134" i="85" s="1"/>
  <c r="AX32" i="7"/>
  <c r="N133" i="67"/>
  <c r="AX33" i="7"/>
  <c r="CU33" i="7" s="1"/>
  <c r="H63" i="7"/>
  <c r="X63" i="7"/>
  <c r="P63" i="7"/>
  <c r="AF63" i="7"/>
  <c r="L109" i="67"/>
  <c r="L150" i="67"/>
  <c r="L150" i="85"/>
  <c r="L117" i="85"/>
  <c r="AA88" i="85"/>
  <c r="Y89" i="85"/>
  <c r="M105" i="85"/>
  <c r="M138" i="85"/>
  <c r="L111" i="85"/>
  <c r="L144" i="85"/>
  <c r="L109" i="85"/>
  <c r="L142" i="85"/>
  <c r="AM64" i="7"/>
  <c r="CJ64" i="7" s="1"/>
  <c r="CJ62" i="7"/>
  <c r="H19" i="20"/>
  <c r="O20" i="20"/>
  <c r="P59" i="7"/>
  <c r="BL65" i="7"/>
  <c r="G64" i="7"/>
  <c r="BD64" i="7" s="1"/>
  <c r="BD62" i="7"/>
  <c r="H59" i="7"/>
  <c r="BD65" i="7"/>
  <c r="O62" i="7"/>
  <c r="AS24" i="67"/>
  <c r="K35" i="17"/>
  <c r="AS24" i="85" s="1"/>
  <c r="AE64" i="7"/>
  <c r="CB64" i="7" s="1"/>
  <c r="CB62" i="7"/>
  <c r="AW24" i="67"/>
  <c r="O35" i="17"/>
  <c r="AW24" i="85" s="1"/>
  <c r="W64" i="7"/>
  <c r="BT64" i="7" s="1"/>
  <c r="BT62" i="7"/>
  <c r="X59" i="7"/>
  <c r="BT65" i="7"/>
  <c r="D19" i="20"/>
  <c r="K20" i="20"/>
  <c r="AV24" i="67"/>
  <c r="N35" i="17"/>
  <c r="AV24" i="85" s="1"/>
  <c r="AN59" i="7"/>
  <c r="CJ65" i="7"/>
  <c r="G19" i="20"/>
  <c r="N20" i="20"/>
  <c r="AF59" i="7"/>
  <c r="CB65" i="7"/>
  <c r="Z88" i="67"/>
  <c r="AF93" i="53"/>
  <c r="AS93" i="73" s="1"/>
  <c r="CD93" i="73" s="1"/>
  <c r="CJ91" i="53"/>
  <c r="AE93" i="53"/>
  <c r="AR93" i="73" s="1"/>
  <c r="CI91" i="53"/>
  <c r="G75" i="7"/>
  <c r="BD75" i="7" s="1"/>
  <c r="BD73" i="7"/>
  <c r="CB76" i="7"/>
  <c r="AF70" i="7"/>
  <c r="BT73" i="7"/>
  <c r="BL73" i="7"/>
  <c r="CJ73" i="7"/>
  <c r="BD76" i="7"/>
  <c r="H70" i="7"/>
  <c r="AE73" i="7"/>
  <c r="BT76" i="7"/>
  <c r="X70" i="7"/>
  <c r="AN70" i="7"/>
  <c r="CJ76" i="7"/>
  <c r="P70" i="7"/>
  <c r="BL76" i="7"/>
  <c r="L119" i="67"/>
  <c r="CS76" i="7"/>
  <c r="AW70" i="7"/>
  <c r="M113" i="67" s="1"/>
  <c r="AB93" i="53"/>
  <c r="AH91" i="53"/>
  <c r="AG91" i="53"/>
  <c r="CK91" i="53" s="1"/>
  <c r="AH95" i="53"/>
  <c r="AG95" i="53"/>
  <c r="CK95" i="53" s="1"/>
  <c r="X74" i="7"/>
  <c r="AF74" i="7"/>
  <c r="AN74" i="7"/>
  <c r="P74" i="7"/>
  <c r="L117" i="67"/>
  <c r="H74" i="7"/>
  <c r="M138" i="67"/>
  <c r="M105" i="67"/>
  <c r="AW65" i="7"/>
  <c r="AP88" i="73"/>
  <c r="AD95" i="53"/>
  <c r="CH95" i="53" s="1"/>
  <c r="AD91" i="53"/>
  <c r="H133" i="1"/>
  <c r="X133" i="1" s="1"/>
  <c r="F20" i="20"/>
  <c r="F35" i="17"/>
  <c r="AO88" i="73"/>
  <c r="CB88" i="73" s="1"/>
  <c r="AM88" i="73"/>
  <c r="CA88" i="73" s="1"/>
  <c r="G133" i="1"/>
  <c r="W133" i="1" s="1"/>
  <c r="E20" i="20"/>
  <c r="AC91" i="53"/>
  <c r="AC95" i="53"/>
  <c r="CG95" i="53" s="1"/>
  <c r="E35" i="17"/>
  <c r="AN88" i="73"/>
  <c r="AK91" i="73"/>
  <c r="BZ91" i="73" s="1"/>
  <c r="AL91" i="73"/>
  <c r="AS95" i="73"/>
  <c r="CD95" i="73" s="1"/>
  <c r="AT95" i="73"/>
  <c r="AL95" i="73"/>
  <c r="AK95" i="73"/>
  <c r="BZ95" i="73" s="1"/>
  <c r="AT91" i="73"/>
  <c r="AS91" i="73"/>
  <c r="CD91" i="73" s="1"/>
  <c r="AR95" i="73"/>
  <c r="AQ95" i="73"/>
  <c r="CC95" i="73" s="1"/>
  <c r="AQ91" i="73"/>
  <c r="CC91" i="73" s="1"/>
  <c r="AR91" i="73"/>
  <c r="F82" i="1"/>
  <c r="I82" i="1"/>
  <c r="J82" i="1"/>
  <c r="F83" i="1"/>
  <c r="I83" i="1"/>
  <c r="J83" i="1"/>
  <c r="D26" i="58"/>
  <c r="E11" i="58" s="1"/>
  <c r="D25" i="58"/>
  <c r="E10" i="58" s="1"/>
  <c r="D9" i="58"/>
  <c r="O133" i="85" l="1"/>
  <c r="O134" i="85" s="1"/>
  <c r="N134" i="67"/>
  <c r="O133" i="67"/>
  <c r="O134" i="67" s="1"/>
  <c r="AW76" i="7"/>
  <c r="M119" i="67" s="1"/>
  <c r="L152" i="85"/>
  <c r="L119" i="85"/>
  <c r="E19" i="20"/>
  <c r="L20" i="20"/>
  <c r="P65" i="7"/>
  <c r="BM59" i="7"/>
  <c r="X65" i="7"/>
  <c r="BU59" i="7"/>
  <c r="O64" i="7"/>
  <c r="BL64" i="7" s="1"/>
  <c r="BL62" i="7"/>
  <c r="G28" i="20"/>
  <c r="N28" i="20" s="1"/>
  <c r="N19" i="20"/>
  <c r="D28" i="20"/>
  <c r="K28" i="20" s="1"/>
  <c r="K19" i="20"/>
  <c r="F19" i="20"/>
  <c r="M20" i="20"/>
  <c r="H65" i="7"/>
  <c r="BE59" i="7"/>
  <c r="H28" i="20"/>
  <c r="O28" i="20" s="1"/>
  <c r="O19" i="20"/>
  <c r="AT24" i="67"/>
  <c r="L35" i="17"/>
  <c r="AT24" i="85" s="1"/>
  <c r="AX59" i="7"/>
  <c r="N138" i="67" s="1"/>
  <c r="CT65" i="7"/>
  <c r="AN65" i="7"/>
  <c r="CK59" i="7"/>
  <c r="AU24" i="67"/>
  <c r="M35" i="17"/>
  <c r="AU24" i="85" s="1"/>
  <c r="AF65" i="7"/>
  <c r="CC59" i="7"/>
  <c r="AQ93" i="73"/>
  <c r="CC93" i="73" s="1"/>
  <c r="AT93" i="73"/>
  <c r="AL93" i="73"/>
  <c r="CF93" i="53"/>
  <c r="U91" i="85" s="1"/>
  <c r="Z91" i="85" s="1"/>
  <c r="AC93" i="53"/>
  <c r="CG91" i="53"/>
  <c r="Y91" i="67"/>
  <c r="AA91" i="67" s="1"/>
  <c r="CJ93" i="53"/>
  <c r="Y91" i="85" s="1"/>
  <c r="AA91" i="85" s="1"/>
  <c r="AD93" i="53"/>
  <c r="AO93" i="73" s="1"/>
  <c r="CB93" i="73" s="1"/>
  <c r="CH91" i="53"/>
  <c r="X91" i="67"/>
  <c r="CI93" i="53"/>
  <c r="X91" i="85" s="1"/>
  <c r="AF76" i="7"/>
  <c r="AF73" i="7" s="1"/>
  <c r="CC70" i="7"/>
  <c r="X76" i="7"/>
  <c r="BU70" i="7"/>
  <c r="CB73" i="7"/>
  <c r="AE75" i="7"/>
  <c r="CB75" i="7" s="1"/>
  <c r="P76" i="7"/>
  <c r="P73" i="7" s="1"/>
  <c r="P75" i="7" s="1"/>
  <c r="BM75" i="7" s="1"/>
  <c r="BM70" i="7"/>
  <c r="CK70" i="7"/>
  <c r="AN76" i="7"/>
  <c r="AN73" i="7" s="1"/>
  <c r="AN75" i="7" s="1"/>
  <c r="CK75" i="7" s="1"/>
  <c r="H76" i="7"/>
  <c r="BE70" i="7"/>
  <c r="AW74" i="7"/>
  <c r="CT76" i="7"/>
  <c r="M146" i="67"/>
  <c r="CT70" i="7"/>
  <c r="AK93" i="73"/>
  <c r="BZ93" i="73" s="1"/>
  <c r="U91" i="67"/>
  <c r="Z91" i="67" s="1"/>
  <c r="AH93" i="53"/>
  <c r="AG93" i="53"/>
  <c r="CK93" i="53" s="1"/>
  <c r="E26" i="58"/>
  <c r="F11" i="58" s="1"/>
  <c r="E35" i="58"/>
  <c r="E34" i="58"/>
  <c r="E25" i="58"/>
  <c r="F10" i="58" s="1"/>
  <c r="E9" i="58"/>
  <c r="E24" i="58" s="1"/>
  <c r="M152" i="67"/>
  <c r="AW63" i="7"/>
  <c r="M109" i="85" s="1"/>
  <c r="F25" i="2"/>
  <c r="J25" i="2"/>
  <c r="AG20" i="83" s="1"/>
  <c r="I25" i="2"/>
  <c r="AF20" i="83" s="1"/>
  <c r="M144" i="67"/>
  <c r="M111" i="67"/>
  <c r="AN95" i="73"/>
  <c r="AM95" i="73"/>
  <c r="CA95" i="73" s="1"/>
  <c r="AK92" i="73"/>
  <c r="BZ92" i="73" s="1"/>
  <c r="AL92" i="73"/>
  <c r="AN91" i="73"/>
  <c r="AM91" i="73"/>
  <c r="CA91" i="73" s="1"/>
  <c r="AP91" i="73"/>
  <c r="AO91" i="73"/>
  <c r="CB91" i="73" s="1"/>
  <c r="AQ92" i="73"/>
  <c r="CC92" i="73" s="1"/>
  <c r="AR92" i="73"/>
  <c r="AP95" i="73"/>
  <c r="AO95" i="73"/>
  <c r="CB95" i="73" s="1"/>
  <c r="AS92" i="73"/>
  <c r="CD92" i="73" s="1"/>
  <c r="AT92" i="73"/>
  <c r="D32" i="58"/>
  <c r="D24" i="58"/>
  <c r="G32" i="58"/>
  <c r="AX70" i="7" l="1"/>
  <c r="M117" i="67"/>
  <c r="M150" i="85"/>
  <c r="M117" i="85"/>
  <c r="M144" i="85"/>
  <c r="M111" i="85"/>
  <c r="AC20" i="78"/>
  <c r="AC20" i="83"/>
  <c r="M146" i="85"/>
  <c r="M113" i="85"/>
  <c r="M152" i="85"/>
  <c r="M119" i="85"/>
  <c r="AF75" i="7"/>
  <c r="CC75" i="7" s="1"/>
  <c r="CC73" i="7"/>
  <c r="N105" i="67"/>
  <c r="AG59" i="7"/>
  <c r="CC65" i="7"/>
  <c r="AF62" i="7"/>
  <c r="Y59" i="7"/>
  <c r="BU65" i="7"/>
  <c r="X62" i="7"/>
  <c r="E28" i="20"/>
  <c r="L28" i="20" s="1"/>
  <c r="L19" i="20"/>
  <c r="F28" i="20"/>
  <c r="M28" i="20" s="1"/>
  <c r="M19" i="20"/>
  <c r="AX65" i="7"/>
  <c r="CU59" i="7"/>
  <c r="N138" i="85" s="1"/>
  <c r="D81" i="78"/>
  <c r="Q32" i="58"/>
  <c r="D81" i="83" s="1"/>
  <c r="AX63" i="7"/>
  <c r="AP63" i="7" s="1"/>
  <c r="BM73" i="7"/>
  <c r="CK65" i="7"/>
  <c r="AO59" i="7"/>
  <c r="AN62" i="7"/>
  <c r="I59" i="7"/>
  <c r="BE65" i="7"/>
  <c r="H62" i="7"/>
  <c r="Q59" i="7"/>
  <c r="BM65" i="7"/>
  <c r="P62" i="7"/>
  <c r="AP93" i="73"/>
  <c r="V91" i="67"/>
  <c r="CG93" i="53"/>
  <c r="V91" i="85" s="1"/>
  <c r="AN93" i="73"/>
  <c r="W91" i="67"/>
  <c r="CH93" i="53"/>
  <c r="W91" i="85" s="1"/>
  <c r="AM93" i="73"/>
  <c r="CA93" i="73" s="1"/>
  <c r="I70" i="7"/>
  <c r="BE76" i="7"/>
  <c r="CK76" i="7"/>
  <c r="AO70" i="7"/>
  <c r="BU76" i="7"/>
  <c r="Y70" i="7"/>
  <c r="CK73" i="7"/>
  <c r="X73" i="7"/>
  <c r="Q70" i="7"/>
  <c r="BM76" i="7"/>
  <c r="CC76" i="7"/>
  <c r="AG70" i="7"/>
  <c r="H73" i="7"/>
  <c r="M150" i="67"/>
  <c r="N113" i="67"/>
  <c r="CU70" i="7"/>
  <c r="AO74" i="7"/>
  <c r="Q74" i="7"/>
  <c r="AG74" i="7"/>
  <c r="Y74" i="7"/>
  <c r="I74" i="7"/>
  <c r="C81" i="78"/>
  <c r="N32" i="58"/>
  <c r="C81" i="83" s="1"/>
  <c r="E33" i="58"/>
  <c r="N146" i="67"/>
  <c r="AX76" i="7"/>
  <c r="AO63" i="7"/>
  <c r="M142" i="67"/>
  <c r="AG63" i="7"/>
  <c r="M109" i="67"/>
  <c r="Y63" i="7"/>
  <c r="Q63" i="7"/>
  <c r="I63" i="7"/>
  <c r="Q25" i="2"/>
  <c r="R25" i="2"/>
  <c r="AF20" i="78"/>
  <c r="T25" i="2"/>
  <c r="AG20" i="78"/>
  <c r="U25" i="2"/>
  <c r="V25" i="2"/>
  <c r="AP92" i="73"/>
  <c r="AO92" i="73"/>
  <c r="CB92" i="73" s="1"/>
  <c r="AN92" i="73"/>
  <c r="AM92" i="73"/>
  <c r="CA92" i="73" s="1"/>
  <c r="F9" i="58"/>
  <c r="F24" i="58" s="1"/>
  <c r="F25" i="58"/>
  <c r="G10" i="58" s="1"/>
  <c r="G34" i="58" s="1"/>
  <c r="F34" i="58"/>
  <c r="F35" i="58"/>
  <c r="F26" i="58"/>
  <c r="G11" i="58" s="1"/>
  <c r="G35" i="58" s="1"/>
  <c r="N142" i="67" l="1"/>
  <c r="R63" i="7"/>
  <c r="AH63" i="7"/>
  <c r="J63" i="7"/>
  <c r="N146" i="85"/>
  <c r="N113" i="85"/>
  <c r="N109" i="67"/>
  <c r="N109" i="85"/>
  <c r="N142" i="85"/>
  <c r="Z63" i="7"/>
  <c r="Y65" i="7"/>
  <c r="Y62" i="7" s="1"/>
  <c r="BV59" i="7"/>
  <c r="AN64" i="7"/>
  <c r="CK64" i="7" s="1"/>
  <c r="CK62" i="7"/>
  <c r="N111" i="67"/>
  <c r="CU65" i="7"/>
  <c r="N144" i="67"/>
  <c r="AF64" i="7"/>
  <c r="CC64" i="7" s="1"/>
  <c r="CC62" i="7"/>
  <c r="I65" i="7"/>
  <c r="BF59" i="7"/>
  <c r="AO65" i="7"/>
  <c r="CL59" i="7"/>
  <c r="P64" i="7"/>
  <c r="BM64" i="7" s="1"/>
  <c r="BM62" i="7"/>
  <c r="AG65" i="7"/>
  <c r="AG62" i="7" s="1"/>
  <c r="CD59" i="7"/>
  <c r="Q65" i="7"/>
  <c r="Q62" i="7" s="1"/>
  <c r="BN59" i="7"/>
  <c r="H64" i="7"/>
  <c r="BE64" i="7" s="1"/>
  <c r="BE62" i="7"/>
  <c r="X64" i="7"/>
  <c r="BU64" i="7" s="1"/>
  <c r="BU62" i="7"/>
  <c r="X75" i="7"/>
  <c r="BU75" i="7" s="1"/>
  <c r="BU73" i="7"/>
  <c r="Y76" i="7"/>
  <c r="BV70" i="7"/>
  <c r="BE73" i="7"/>
  <c r="H75" i="7"/>
  <c r="BE75" i="7" s="1"/>
  <c r="AG76" i="7"/>
  <c r="AG73" i="7" s="1"/>
  <c r="AG75" i="7" s="1"/>
  <c r="CD75" i="7" s="1"/>
  <c r="CD70" i="7"/>
  <c r="AO76" i="7"/>
  <c r="AO73" i="7" s="1"/>
  <c r="AO75" i="7" s="1"/>
  <c r="CL75" i="7" s="1"/>
  <c r="CL70" i="7"/>
  <c r="BN70" i="7"/>
  <c r="Q76" i="7"/>
  <c r="BF70" i="7"/>
  <c r="I76" i="7"/>
  <c r="I73" i="7" s="1"/>
  <c r="N119" i="67"/>
  <c r="CU76" i="7"/>
  <c r="G25" i="58"/>
  <c r="H10" i="58" s="1"/>
  <c r="H34" i="58" s="1"/>
  <c r="G33" i="58"/>
  <c r="N152" i="67"/>
  <c r="AX74" i="7"/>
  <c r="G26" i="58"/>
  <c r="H11" i="58" s="1"/>
  <c r="H35" i="58" s="1"/>
  <c r="G9" i="58"/>
  <c r="G24" i="58" s="1"/>
  <c r="F33" i="58"/>
  <c r="BF73" i="7" l="1"/>
  <c r="I75" i="7"/>
  <c r="BF75" i="7" s="1"/>
  <c r="N111" i="85"/>
  <c r="N144" i="85"/>
  <c r="N117" i="67"/>
  <c r="N150" i="85"/>
  <c r="N152" i="85"/>
  <c r="N119" i="85"/>
  <c r="AP59" i="7"/>
  <c r="CL65" i="7"/>
  <c r="AG64" i="7"/>
  <c r="CD64" i="7" s="1"/>
  <c r="CD62" i="7"/>
  <c r="Q64" i="7"/>
  <c r="BN64" i="7" s="1"/>
  <c r="BN62" i="7"/>
  <c r="AH59" i="7"/>
  <c r="CD65" i="7"/>
  <c r="J59" i="7"/>
  <c r="BF65" i="7"/>
  <c r="AO62" i="7"/>
  <c r="H33" i="58"/>
  <c r="R59" i="7"/>
  <c r="BN65" i="7"/>
  <c r="Z59" i="7"/>
  <c r="BV65" i="7"/>
  <c r="Y64" i="7"/>
  <c r="BV64" i="7" s="1"/>
  <c r="BV62" i="7"/>
  <c r="I62" i="7"/>
  <c r="CD73" i="7"/>
  <c r="CL76" i="7"/>
  <c r="AP70" i="7"/>
  <c r="Z70" i="7"/>
  <c r="BV76" i="7"/>
  <c r="CL73" i="7"/>
  <c r="BF76" i="7"/>
  <c r="J70" i="7"/>
  <c r="Y73" i="7"/>
  <c r="AH70" i="7"/>
  <c r="CD76" i="7"/>
  <c r="R70" i="7"/>
  <c r="BN76" i="7"/>
  <c r="Q73" i="7"/>
  <c r="H25" i="58"/>
  <c r="I10" i="58" s="1"/>
  <c r="I34" i="58" s="1"/>
  <c r="H9" i="58"/>
  <c r="N150" i="67"/>
  <c r="J74" i="7"/>
  <c r="AP74" i="7"/>
  <c r="Z74" i="7"/>
  <c r="AH74" i="7"/>
  <c r="R74" i="7"/>
  <c r="R65" i="7" l="1"/>
  <c r="BO59" i="7"/>
  <c r="Z65" i="7"/>
  <c r="BW59" i="7"/>
  <c r="AO64" i="7"/>
  <c r="CL64" i="7" s="1"/>
  <c r="CL62" i="7"/>
  <c r="I64" i="7"/>
  <c r="BF64" i="7" s="1"/>
  <c r="BF62" i="7"/>
  <c r="AH65" i="7"/>
  <c r="CE59" i="7"/>
  <c r="J65" i="7"/>
  <c r="BG59" i="7"/>
  <c r="AP65" i="7"/>
  <c r="CM59" i="7"/>
  <c r="J76" i="7"/>
  <c r="BG76" i="7" s="1"/>
  <c r="BG70" i="7"/>
  <c r="Q75" i="7"/>
  <c r="BN75" i="7" s="1"/>
  <c r="BN73" i="7"/>
  <c r="BO70" i="7"/>
  <c r="R76" i="7"/>
  <c r="BO76" i="7" s="1"/>
  <c r="BW70" i="7"/>
  <c r="Z76" i="7"/>
  <c r="BW76" i="7" s="1"/>
  <c r="AP76" i="7"/>
  <c r="CM76" i="7" s="1"/>
  <c r="CM70" i="7"/>
  <c r="AH76" i="7"/>
  <c r="CE76" i="7" s="1"/>
  <c r="CE70" i="7"/>
  <c r="Y75" i="7"/>
  <c r="BV75" i="7" s="1"/>
  <c r="BV73" i="7"/>
  <c r="I25" i="58"/>
  <c r="J10" i="58" s="1"/>
  <c r="J34" i="58" s="1"/>
  <c r="H19" i="58"/>
  <c r="H26" i="58"/>
  <c r="I11" i="58" s="1"/>
  <c r="E78" i="78" l="1"/>
  <c r="E80" i="78" s="1"/>
  <c r="E78" i="83"/>
  <c r="E80" i="83" s="1"/>
  <c r="CM65" i="7"/>
  <c r="AP62" i="7"/>
  <c r="Z73" i="7"/>
  <c r="Z75" i="7" s="1"/>
  <c r="BW75" i="7" s="1"/>
  <c r="BG65" i="7"/>
  <c r="J62" i="7"/>
  <c r="BW65" i="7"/>
  <c r="Z62" i="7"/>
  <c r="J73" i="7"/>
  <c r="CE65" i="7"/>
  <c r="AH62" i="7"/>
  <c r="BO65" i="7"/>
  <c r="R62" i="7"/>
  <c r="AH73" i="7"/>
  <c r="AP73" i="7"/>
  <c r="R73" i="7"/>
  <c r="J25" i="58"/>
  <c r="K10" i="58" s="1"/>
  <c r="K34" i="58" s="1"/>
  <c r="H39" i="58"/>
  <c r="E84" i="83" s="1"/>
  <c r="I9" i="58"/>
  <c r="I26" i="58" s="1"/>
  <c r="J11" i="58" s="1"/>
  <c r="I35" i="58"/>
  <c r="I33" i="58" s="1"/>
  <c r="H32" i="58"/>
  <c r="H24" i="58"/>
  <c r="I19" i="58"/>
  <c r="BW73" i="7" l="1"/>
  <c r="F78" i="78"/>
  <c r="F80" i="78" s="1"/>
  <c r="F78" i="83"/>
  <c r="F80" i="83" s="1"/>
  <c r="Z64" i="7"/>
  <c r="BW64" i="7" s="1"/>
  <c r="BW62" i="7"/>
  <c r="E81" i="78"/>
  <c r="R32" i="58"/>
  <c r="E81" i="83" s="1"/>
  <c r="J64" i="7"/>
  <c r="BG64" i="7" s="1"/>
  <c r="BG62" i="7"/>
  <c r="BG73" i="7"/>
  <c r="J75" i="7"/>
  <c r="BG75" i="7" s="1"/>
  <c r="AH64" i="7"/>
  <c r="CE64" i="7" s="1"/>
  <c r="CE62" i="7"/>
  <c r="AP64" i="7"/>
  <c r="CM64" i="7" s="1"/>
  <c r="CM62" i="7"/>
  <c r="R64" i="7"/>
  <c r="BO64" i="7" s="1"/>
  <c r="BO62" i="7"/>
  <c r="R75" i="7"/>
  <c r="BO75" i="7" s="1"/>
  <c r="BO73" i="7"/>
  <c r="AP75" i="7"/>
  <c r="CM75" i="7" s="1"/>
  <c r="CM73" i="7"/>
  <c r="CE73" i="7"/>
  <c r="AH75" i="7"/>
  <c r="CE75" i="7" s="1"/>
  <c r="K25" i="58"/>
  <c r="H42" i="58"/>
  <c r="E84" i="78"/>
  <c r="I39" i="58"/>
  <c r="J9" i="58"/>
  <c r="J26" i="58" s="1"/>
  <c r="K11" i="58" s="1"/>
  <c r="K35" i="58" s="1"/>
  <c r="K33" i="58" s="1"/>
  <c r="J35" i="58"/>
  <c r="J33" i="58" s="1"/>
  <c r="H37" i="58"/>
  <c r="I32" i="58"/>
  <c r="I24" i="58"/>
  <c r="AN23" i="79"/>
  <c r="I37" i="58" l="1"/>
  <c r="F84" i="83"/>
  <c r="F81" i="78"/>
  <c r="S32" i="58"/>
  <c r="F81" i="83" s="1"/>
  <c r="E85" i="78"/>
  <c r="R42" i="58"/>
  <c r="E85" i="83" s="1"/>
  <c r="H40" i="58"/>
  <c r="R40" i="58" s="1"/>
  <c r="I42" i="58"/>
  <c r="F84" i="78"/>
  <c r="J19" i="58"/>
  <c r="K9" i="58"/>
  <c r="AO23" i="79"/>
  <c r="D16" i="16"/>
  <c r="G78" i="78" l="1"/>
  <c r="G80" i="78" s="1"/>
  <c r="G78" i="83"/>
  <c r="G80" i="83" s="1"/>
  <c r="F85" i="78"/>
  <c r="S42" i="58"/>
  <c r="F85" i="83" s="1"/>
  <c r="AN25" i="79"/>
  <c r="M16" i="16"/>
  <c r="AN25" i="84" s="1"/>
  <c r="I40" i="58"/>
  <c r="S40" i="58" s="1"/>
  <c r="J32" i="58"/>
  <c r="J39" i="58"/>
  <c r="G84" i="83" s="1"/>
  <c r="J24" i="58"/>
  <c r="AP23" i="79"/>
  <c r="E16" i="16"/>
  <c r="G81" i="78" l="1"/>
  <c r="T32" i="58"/>
  <c r="G81" i="83" s="1"/>
  <c r="AO25" i="79"/>
  <c r="N16" i="16"/>
  <c r="AO25" i="84" s="1"/>
  <c r="J42" i="58"/>
  <c r="G84" i="78"/>
  <c r="J37" i="58"/>
  <c r="K19" i="58"/>
  <c r="H78" i="83" s="1"/>
  <c r="H80" i="83" s="1"/>
  <c r="K26" i="58"/>
  <c r="AQ23" i="79"/>
  <c r="F16" i="16"/>
  <c r="G85" i="78" l="1"/>
  <c r="T42" i="58"/>
  <c r="G85" i="83" s="1"/>
  <c r="AP25" i="79"/>
  <c r="O16" i="16"/>
  <c r="AP25" i="84" s="1"/>
  <c r="J40" i="58"/>
  <c r="T40" i="58" s="1"/>
  <c r="K39" i="58"/>
  <c r="H84" i="83" s="1"/>
  <c r="H78" i="78"/>
  <c r="H80" i="78" s="1"/>
  <c r="K32" i="58"/>
  <c r="K24" i="58"/>
  <c r="AR23" i="79"/>
  <c r="G16" i="16"/>
  <c r="K37" i="58" l="1"/>
  <c r="H81" i="78"/>
  <c r="U32" i="58"/>
  <c r="H81" i="83" s="1"/>
  <c r="AQ25" i="79"/>
  <c r="P16" i="16"/>
  <c r="AQ25" i="84" s="1"/>
  <c r="K42" i="58"/>
  <c r="U42" i="58" s="1"/>
  <c r="H85" i="83" s="1"/>
  <c r="H84" i="78"/>
  <c r="I14" i="16"/>
  <c r="R14" i="16" s="1"/>
  <c r="AS23" i="84" s="1"/>
  <c r="H16" i="16"/>
  <c r="AR25" i="79" l="1"/>
  <c r="Q16" i="16"/>
  <c r="AR25" i="84" s="1"/>
  <c r="H85" i="78"/>
  <c r="K40" i="58"/>
  <c r="U40" i="58" s="1"/>
  <c r="I16" i="16"/>
  <c r="AS23" i="79"/>
  <c r="G1" i="49"/>
  <c r="H1" i="20" s="1"/>
  <c r="H1" i="21" s="1"/>
  <c r="H2" i="22" s="1"/>
  <c r="AS25" i="79" l="1"/>
  <c r="R16" i="16"/>
  <c r="AS25" i="84" s="1"/>
  <c r="U83" i="53"/>
  <c r="BZ83" i="53" s="1"/>
  <c r="F83" i="53"/>
  <c r="BM83" i="53" s="1"/>
  <c r="W83" i="53"/>
  <c r="CB83" i="53" s="1"/>
  <c r="T83" i="53"/>
  <c r="BY83" i="53" s="1"/>
  <c r="W70" i="53"/>
  <c r="D70" i="53"/>
  <c r="BK70" i="53" s="1"/>
  <c r="U13" i="85" s="1"/>
  <c r="P70" i="53"/>
  <c r="O70" i="53"/>
  <c r="F70" i="53"/>
  <c r="V51" i="53"/>
  <c r="CA51" i="53" s="1"/>
  <c r="U51" i="53"/>
  <c r="BZ51" i="53" s="1"/>
  <c r="F51" i="53"/>
  <c r="BM51" i="53" s="1"/>
  <c r="W51" i="53"/>
  <c r="CB51" i="53" s="1"/>
  <c r="N51" i="53"/>
  <c r="BT51" i="53" s="1"/>
  <c r="U38" i="53"/>
  <c r="BZ38" i="53" s="1"/>
  <c r="O38" i="53"/>
  <c r="BU38" i="53" s="1"/>
  <c r="F38" i="53"/>
  <c r="BM38" i="53" s="1"/>
  <c r="U25" i="53"/>
  <c r="BZ25" i="53" s="1"/>
  <c r="W25" i="53"/>
  <c r="CB25" i="53" s="1"/>
  <c r="T25" i="53"/>
  <c r="BY25" i="53" s="1"/>
  <c r="H25" i="53"/>
  <c r="BO25" i="53" s="1"/>
  <c r="V12" i="53"/>
  <c r="CA12" i="53" s="1"/>
  <c r="P12" i="53"/>
  <c r="BV12" i="53" s="1"/>
  <c r="W12" i="53"/>
  <c r="CB12" i="53" s="1"/>
  <c r="N12" i="53"/>
  <c r="BT12" i="53" s="1"/>
  <c r="M83" i="53"/>
  <c r="BS83" i="53" s="1"/>
  <c r="AV83" i="53"/>
  <c r="AU83" i="53"/>
  <c r="AT83" i="53"/>
  <c r="AS83" i="53"/>
  <c r="AR83" i="53"/>
  <c r="AQ83" i="53"/>
  <c r="S83" i="53"/>
  <c r="BX83" i="53" s="1"/>
  <c r="K83" i="53"/>
  <c r="BQ83" i="53" s="1"/>
  <c r="C83" i="53"/>
  <c r="BJ83" i="53" s="1"/>
  <c r="V70" i="53"/>
  <c r="AV70" i="53"/>
  <c r="CX70" i="53" s="1"/>
  <c r="AU70" i="53"/>
  <c r="CW70" i="53" s="1"/>
  <c r="AT70" i="53"/>
  <c r="CV70" i="53" s="1"/>
  <c r="AS70" i="53"/>
  <c r="CU70" i="53" s="1"/>
  <c r="AR70" i="53"/>
  <c r="CT70" i="53" s="1"/>
  <c r="AQ70" i="53"/>
  <c r="CS70" i="53" s="1"/>
  <c r="S70" i="53"/>
  <c r="BX70" i="53" s="1"/>
  <c r="T55" i="85" s="1"/>
  <c r="K70" i="53"/>
  <c r="BQ70" i="53" s="1"/>
  <c r="T34" i="85" s="1"/>
  <c r="C70" i="53"/>
  <c r="X54" i="67"/>
  <c r="T33" i="67"/>
  <c r="AV59" i="53"/>
  <c r="CX59" i="53" s="1"/>
  <c r="AU59" i="53"/>
  <c r="CW59" i="53" s="1"/>
  <c r="AT59" i="53"/>
  <c r="CV59" i="53" s="1"/>
  <c r="AS59" i="53"/>
  <c r="CU59" i="53" s="1"/>
  <c r="AR59" i="53"/>
  <c r="CT59" i="53" s="1"/>
  <c r="AQ59" i="53"/>
  <c r="CS59" i="53" s="1"/>
  <c r="S59" i="53"/>
  <c r="BX59" i="53" s="1"/>
  <c r="T53" i="85" s="1"/>
  <c r="AV55" i="53"/>
  <c r="CX55" i="53" s="1"/>
  <c r="AU55" i="53"/>
  <c r="CW55" i="53" s="1"/>
  <c r="AT55" i="53"/>
  <c r="CV55" i="53" s="1"/>
  <c r="AS55" i="53"/>
  <c r="CU55" i="53" s="1"/>
  <c r="AR55" i="53"/>
  <c r="CT55" i="53" s="1"/>
  <c r="AQ55" i="53"/>
  <c r="CS55" i="53" s="1"/>
  <c r="E51" i="53"/>
  <c r="BL51" i="53" s="1"/>
  <c r="AV51" i="53"/>
  <c r="CX51" i="53" s="1"/>
  <c r="AU51" i="53"/>
  <c r="CW51" i="53" s="1"/>
  <c r="AT51" i="53"/>
  <c r="CV51" i="53" s="1"/>
  <c r="AS51" i="53"/>
  <c r="CU51" i="53" s="1"/>
  <c r="AR51" i="53"/>
  <c r="CT51" i="53" s="1"/>
  <c r="AQ51" i="53"/>
  <c r="CS51" i="53" s="1"/>
  <c r="S51" i="53"/>
  <c r="K51" i="53"/>
  <c r="M38" i="53"/>
  <c r="BS38" i="53" s="1"/>
  <c r="AV38" i="53"/>
  <c r="CX38" i="53" s="1"/>
  <c r="AU38" i="53"/>
  <c r="CW38" i="53" s="1"/>
  <c r="AT38" i="53"/>
  <c r="CV38" i="53" s="1"/>
  <c r="AS38" i="53"/>
  <c r="CU38" i="53" s="1"/>
  <c r="AR38" i="53"/>
  <c r="CT38" i="53" s="1"/>
  <c r="AQ38" i="53"/>
  <c r="CS38" i="53" s="1"/>
  <c r="S38" i="53"/>
  <c r="K38" i="53"/>
  <c r="D38" i="53"/>
  <c r="BK38" i="53" s="1"/>
  <c r="C38" i="53"/>
  <c r="BJ38" i="53" s="1"/>
  <c r="AV25" i="53"/>
  <c r="CX25" i="53" s="1"/>
  <c r="AU25" i="53"/>
  <c r="CW25" i="53" s="1"/>
  <c r="AT25" i="53"/>
  <c r="CV25" i="53" s="1"/>
  <c r="AS25" i="53"/>
  <c r="CU25" i="53" s="1"/>
  <c r="AR25" i="53"/>
  <c r="CT25" i="53" s="1"/>
  <c r="S25" i="53"/>
  <c r="K25" i="53"/>
  <c r="C25" i="53"/>
  <c r="AV12" i="53"/>
  <c r="CX12" i="53" s="1"/>
  <c r="AU12" i="53"/>
  <c r="CW12" i="53" s="1"/>
  <c r="AT12" i="53"/>
  <c r="CV12" i="53" s="1"/>
  <c r="AS12" i="53"/>
  <c r="CU12" i="53" s="1"/>
  <c r="AR12" i="53"/>
  <c r="CT12" i="53" s="1"/>
  <c r="AQ12" i="53"/>
  <c r="S12" i="53"/>
  <c r="K12" i="53"/>
  <c r="C12" i="53"/>
  <c r="P10" i="53"/>
  <c r="O10" i="53"/>
  <c r="N10" i="53"/>
  <c r="M10" i="53"/>
  <c r="L10" i="53"/>
  <c r="K10" i="53"/>
  <c r="Y12" i="73" l="1"/>
  <c r="BS12" i="73" s="1"/>
  <c r="BX12" i="53"/>
  <c r="AR76" i="53"/>
  <c r="CT76" i="53" s="1"/>
  <c r="CT83" i="53"/>
  <c r="AS76" i="53"/>
  <c r="CU76" i="53" s="1"/>
  <c r="CU83" i="53"/>
  <c r="N51" i="73"/>
  <c r="BM51" i="73" s="1"/>
  <c r="BQ51" i="53"/>
  <c r="Y51" i="73"/>
  <c r="BS51" i="73" s="1"/>
  <c r="BX51" i="53"/>
  <c r="AU76" i="53"/>
  <c r="CW76" i="53" s="1"/>
  <c r="CW83" i="53"/>
  <c r="X55" i="67"/>
  <c r="CB70" i="53"/>
  <c r="X55" i="85" s="1"/>
  <c r="N25" i="73"/>
  <c r="BM25" i="73" s="1"/>
  <c r="BQ25" i="53"/>
  <c r="X34" i="67"/>
  <c r="BU70" i="53"/>
  <c r="X34" i="85" s="1"/>
  <c r="AQ89" i="53"/>
  <c r="CS89" i="53" s="1"/>
  <c r="CS12" i="53"/>
  <c r="Y25" i="73"/>
  <c r="BS25" i="73" s="1"/>
  <c r="BX25" i="53"/>
  <c r="N38" i="73"/>
  <c r="BM38" i="73" s="1"/>
  <c r="BQ38" i="53"/>
  <c r="Y34" i="67"/>
  <c r="BV70" i="53"/>
  <c r="Y34" i="85" s="1"/>
  <c r="Y38" i="73"/>
  <c r="BS38" i="73" s="1"/>
  <c r="BX38" i="53"/>
  <c r="T13" i="67"/>
  <c r="BJ70" i="53"/>
  <c r="T13" i="85" s="1"/>
  <c r="T130" i="85" s="1"/>
  <c r="AT76" i="53"/>
  <c r="CV76" i="53" s="1"/>
  <c r="CV83" i="53"/>
  <c r="W55" i="67"/>
  <c r="CA70" i="53"/>
  <c r="W55" i="85" s="1"/>
  <c r="AV76" i="53"/>
  <c r="CX76" i="53" s="1"/>
  <c r="CX83" i="53"/>
  <c r="C12" i="73"/>
  <c r="BG12" i="73" s="1"/>
  <c r="BJ12" i="53"/>
  <c r="N12" i="73"/>
  <c r="BM12" i="73" s="1"/>
  <c r="BQ12" i="53"/>
  <c r="C25" i="73"/>
  <c r="BG25" i="73" s="1"/>
  <c r="BJ25" i="53"/>
  <c r="AQ76" i="53"/>
  <c r="CS76" i="53" s="1"/>
  <c r="CS83" i="53"/>
  <c r="W13" i="67"/>
  <c r="BM70" i="53"/>
  <c r="W13" i="85" s="1"/>
  <c r="J38" i="53"/>
  <c r="I38" i="53"/>
  <c r="BP38" i="53" s="1"/>
  <c r="U13" i="67"/>
  <c r="J70" i="53"/>
  <c r="I70" i="53"/>
  <c r="BP70" i="53" s="1"/>
  <c r="Z25" i="53"/>
  <c r="Y25" i="53"/>
  <c r="CD25" i="53" s="1"/>
  <c r="Z83" i="53"/>
  <c r="Y83" i="53"/>
  <c r="CD83" i="53" s="1"/>
  <c r="Y70" i="73"/>
  <c r="BS70" i="73" s="1"/>
  <c r="T55" i="67"/>
  <c r="N70" i="73"/>
  <c r="BM70" i="73" s="1"/>
  <c r="T34" i="67"/>
  <c r="Y59" i="73"/>
  <c r="BS59" i="73" s="1"/>
  <c r="T53" i="67"/>
  <c r="Y63" i="73"/>
  <c r="BS63" i="73" s="1"/>
  <c r="T54" i="67"/>
  <c r="T129" i="67" s="1"/>
  <c r="C70" i="73"/>
  <c r="BG70" i="73" s="1"/>
  <c r="B30" i="47"/>
  <c r="I30" i="47" s="1"/>
  <c r="N63" i="73"/>
  <c r="BM63" i="73" s="1"/>
  <c r="B26" i="47"/>
  <c r="E38" i="73"/>
  <c r="D38" i="73"/>
  <c r="BH38" i="73" s="1"/>
  <c r="C76" i="53"/>
  <c r="C83" i="73"/>
  <c r="BG83" i="73" s="1"/>
  <c r="AF12" i="73"/>
  <c r="BW12" i="73" s="1"/>
  <c r="AG12" i="73"/>
  <c r="V38" i="73"/>
  <c r="U38" i="73"/>
  <c r="BQ38" i="73" s="1"/>
  <c r="I51" i="73"/>
  <c r="H51" i="73"/>
  <c r="BJ51" i="73" s="1"/>
  <c r="U70" i="73"/>
  <c r="V70" i="73"/>
  <c r="Z83" i="73"/>
  <c r="BT83" i="73" s="1"/>
  <c r="AA83" i="73"/>
  <c r="R38" i="73"/>
  <c r="Q38" i="73"/>
  <c r="BO38" i="73" s="1"/>
  <c r="K76" i="53"/>
  <c r="BQ76" i="53" s="1"/>
  <c r="T35" i="85" s="1"/>
  <c r="N83" i="73"/>
  <c r="BM83" i="73" s="1"/>
  <c r="M76" i="53"/>
  <c r="Q83" i="73"/>
  <c r="BO83" i="73" s="1"/>
  <c r="R83" i="73"/>
  <c r="W12" i="73"/>
  <c r="BR12" i="73" s="1"/>
  <c r="X12" i="73"/>
  <c r="AB38" i="73"/>
  <c r="BU38" i="73" s="1"/>
  <c r="AC38" i="73"/>
  <c r="AB51" i="73"/>
  <c r="BU51" i="73" s="1"/>
  <c r="AC51" i="73"/>
  <c r="X70" i="73"/>
  <c r="W70" i="73"/>
  <c r="AF83" i="73"/>
  <c r="BW83" i="73" s="1"/>
  <c r="AG83" i="73"/>
  <c r="G51" i="73"/>
  <c r="F51" i="73"/>
  <c r="BI51" i="73" s="1"/>
  <c r="AD70" i="73"/>
  <c r="AE70" i="73"/>
  <c r="S76" i="53"/>
  <c r="BX76" i="53" s="1"/>
  <c r="T56" i="85" s="1"/>
  <c r="Y83" i="73"/>
  <c r="BS83" i="73" s="1"/>
  <c r="AD12" i="73"/>
  <c r="BV12" i="73" s="1"/>
  <c r="AE12" i="73"/>
  <c r="T51" i="73"/>
  <c r="S51" i="73"/>
  <c r="BP51" i="73" s="1"/>
  <c r="AD51" i="73"/>
  <c r="BV51" i="73" s="1"/>
  <c r="AE51" i="73"/>
  <c r="E70" i="73"/>
  <c r="D70" i="73"/>
  <c r="I83" i="73"/>
  <c r="H83" i="73"/>
  <c r="BJ83" i="73" s="1"/>
  <c r="C29" i="53"/>
  <c r="BJ29" i="53" s="1"/>
  <c r="T6" i="85" s="1"/>
  <c r="C38" i="73"/>
  <c r="BG38" i="73" s="1"/>
  <c r="S12" i="73"/>
  <c r="BP12" i="73" s="1"/>
  <c r="T12" i="73"/>
  <c r="I38" i="73"/>
  <c r="H38" i="73"/>
  <c r="BJ38" i="73" s="1"/>
  <c r="AF51" i="73"/>
  <c r="BW51" i="73" s="1"/>
  <c r="AG51" i="73"/>
  <c r="I70" i="73"/>
  <c r="H70" i="73"/>
  <c r="AF70" i="73"/>
  <c r="AG70" i="73"/>
  <c r="U76" i="53"/>
  <c r="AB83" i="73"/>
  <c r="BU83" i="73" s="1"/>
  <c r="AC83" i="73"/>
  <c r="AA25" i="73"/>
  <c r="Z25" i="73"/>
  <c r="BT25" i="73" s="1"/>
  <c r="AF25" i="73"/>
  <c r="BW25" i="73" s="1"/>
  <c r="AG25" i="73"/>
  <c r="AB25" i="73"/>
  <c r="BU25" i="73" s="1"/>
  <c r="AC25" i="73"/>
  <c r="AF63" i="73"/>
  <c r="AG63" i="73"/>
  <c r="C89" i="53"/>
  <c r="N89" i="53"/>
  <c r="M25" i="73"/>
  <c r="L25" i="73"/>
  <c r="BL25" i="73" s="1"/>
  <c r="F29" i="53"/>
  <c r="S100" i="53"/>
  <c r="AR29" i="53"/>
  <c r="CT29" i="53" s="1"/>
  <c r="AV29" i="53"/>
  <c r="CX29" i="53" s="1"/>
  <c r="AU29" i="53"/>
  <c r="CW29" i="53" s="1"/>
  <c r="K29" i="53"/>
  <c r="BQ29" i="53" s="1"/>
  <c r="T27" i="85" s="1"/>
  <c r="U29" i="53"/>
  <c r="S29" i="53"/>
  <c r="BX29" i="53" s="1"/>
  <c r="T48" i="85" s="1"/>
  <c r="AQ29" i="53"/>
  <c r="CS29" i="53" s="1"/>
  <c r="AT29" i="53"/>
  <c r="CV29" i="53" s="1"/>
  <c r="AS29" i="53"/>
  <c r="CU29" i="53" s="1"/>
  <c r="K89" i="53"/>
  <c r="BQ89" i="53" s="1"/>
  <c r="T42" i="85" s="1"/>
  <c r="S89" i="53"/>
  <c r="BX89" i="53" s="1"/>
  <c r="T63" i="85" s="1"/>
  <c r="V10" i="53"/>
  <c r="AD10" i="53" s="1"/>
  <c r="N98" i="53"/>
  <c r="W10" i="53"/>
  <c r="AE10" i="53" s="1"/>
  <c r="O98" i="53"/>
  <c r="U10" i="53"/>
  <c r="AC10" i="53" s="1"/>
  <c r="M98" i="53"/>
  <c r="S10" i="53"/>
  <c r="AA10" i="53" s="1"/>
  <c r="K98" i="53"/>
  <c r="T10" i="53"/>
  <c r="AB10" i="53" s="1"/>
  <c r="L98" i="53"/>
  <c r="X10" i="53"/>
  <c r="AF10" i="53" s="1"/>
  <c r="P98" i="53"/>
  <c r="S11" i="53"/>
  <c r="BX11" i="53" s="1"/>
  <c r="T47" i="85" s="1"/>
  <c r="O12" i="53"/>
  <c r="BU12" i="53" s="1"/>
  <c r="U12" i="53"/>
  <c r="BZ12" i="53" s="1"/>
  <c r="M12" i="53"/>
  <c r="BS12" i="53" s="1"/>
  <c r="E25" i="53"/>
  <c r="BL25" i="53" s="1"/>
  <c r="O25" i="53"/>
  <c r="BU25" i="53" s="1"/>
  <c r="M25" i="53"/>
  <c r="BS25" i="53" s="1"/>
  <c r="G38" i="53"/>
  <c r="BN38" i="53" s="1"/>
  <c r="W38" i="53"/>
  <c r="CB38" i="53" s="1"/>
  <c r="E38" i="53"/>
  <c r="BL38" i="53" s="1"/>
  <c r="O51" i="53"/>
  <c r="BU51" i="53" s="1"/>
  <c r="G51" i="53"/>
  <c r="BN51" i="53" s="1"/>
  <c r="M51" i="53"/>
  <c r="BS51" i="53" s="1"/>
  <c r="V33" i="67"/>
  <c r="X33" i="67"/>
  <c r="V54" i="67"/>
  <c r="G70" i="53"/>
  <c r="BN70" i="53" s="1"/>
  <c r="X13" i="85" s="1"/>
  <c r="M70" i="53"/>
  <c r="E70" i="53"/>
  <c r="U70" i="53"/>
  <c r="E83" i="53"/>
  <c r="BL83" i="53" s="1"/>
  <c r="O83" i="53"/>
  <c r="BU83" i="53" s="1"/>
  <c r="G83" i="53"/>
  <c r="BN83" i="53" s="1"/>
  <c r="AQ11" i="53"/>
  <c r="CS11" i="53" s="1"/>
  <c r="L12" i="53"/>
  <c r="BR12" i="53" s="1"/>
  <c r="T12" i="53"/>
  <c r="BY12" i="53" s="1"/>
  <c r="X12" i="53"/>
  <c r="CC12" i="53" s="1"/>
  <c r="F25" i="53"/>
  <c r="BM25" i="53" s="1"/>
  <c r="L25" i="53"/>
  <c r="BR25" i="53" s="1"/>
  <c r="P25" i="53"/>
  <c r="BV25" i="53" s="1"/>
  <c r="V25" i="53"/>
  <c r="CA25" i="53" s="1"/>
  <c r="D25" i="53"/>
  <c r="BK25" i="53" s="1"/>
  <c r="T38" i="53"/>
  <c r="BY38" i="53" s="1"/>
  <c r="N70" i="53"/>
  <c r="BT70" i="53" s="1"/>
  <c r="W34" i="85" s="1"/>
  <c r="N25" i="53"/>
  <c r="BT25" i="53" s="1"/>
  <c r="X25" i="53"/>
  <c r="CC25" i="53" s="1"/>
  <c r="P89" i="53"/>
  <c r="H38" i="53"/>
  <c r="BO38" i="53" s="1"/>
  <c r="N38" i="53"/>
  <c r="BT38" i="53" s="1"/>
  <c r="X38" i="53"/>
  <c r="CC38" i="53" s="1"/>
  <c r="L38" i="53"/>
  <c r="BR38" i="53" s="1"/>
  <c r="P38" i="53"/>
  <c r="BV38" i="53" s="1"/>
  <c r="V38" i="53"/>
  <c r="CA38" i="53" s="1"/>
  <c r="L51" i="53"/>
  <c r="BR51" i="53" s="1"/>
  <c r="P51" i="53"/>
  <c r="BV51" i="53" s="1"/>
  <c r="D51" i="53"/>
  <c r="BK51" i="53" s="1"/>
  <c r="H51" i="53"/>
  <c r="BO51" i="53" s="1"/>
  <c r="T51" i="53"/>
  <c r="BY51" i="53" s="1"/>
  <c r="X51" i="53"/>
  <c r="CC51" i="53" s="1"/>
  <c r="W33" i="67"/>
  <c r="Y54" i="67"/>
  <c r="U33" i="67"/>
  <c r="Z33" i="67" s="1"/>
  <c r="Y33" i="67"/>
  <c r="W54" i="67"/>
  <c r="H70" i="53"/>
  <c r="T70" i="53"/>
  <c r="BY70" i="53" s="1"/>
  <c r="U55" i="85" s="1"/>
  <c r="Z55" i="85" s="1"/>
  <c r="X70" i="53"/>
  <c r="L70" i="53"/>
  <c r="BR70" i="53" s="1"/>
  <c r="U34" i="85" s="1"/>
  <c r="Z34" i="85" s="1"/>
  <c r="T76" i="53"/>
  <c r="BY76" i="53" s="1"/>
  <c r="U56" i="85" s="1"/>
  <c r="F76" i="53"/>
  <c r="L83" i="53"/>
  <c r="BR83" i="53" s="1"/>
  <c r="P83" i="53"/>
  <c r="BV83" i="53" s="1"/>
  <c r="V83" i="53"/>
  <c r="CA83" i="53" s="1"/>
  <c r="D83" i="53"/>
  <c r="BK83" i="53" s="1"/>
  <c r="H83" i="53"/>
  <c r="BO83" i="53" s="1"/>
  <c r="N83" i="53"/>
  <c r="BT83" i="53" s="1"/>
  <c r="X83" i="53"/>
  <c r="CC83" i="53" s="1"/>
  <c r="G25" i="53"/>
  <c r="BN25" i="53" s="1"/>
  <c r="W76" i="53"/>
  <c r="Z56" i="85" l="1"/>
  <c r="T123" i="85"/>
  <c r="AA34" i="85"/>
  <c r="X130" i="85"/>
  <c r="W130" i="85"/>
  <c r="Z13" i="85"/>
  <c r="U130" i="85"/>
  <c r="Z130" i="85" s="1"/>
  <c r="Z13" i="67"/>
  <c r="B24" i="48"/>
  <c r="I24" i="48" s="1"/>
  <c r="I26" i="47"/>
  <c r="AE104" i="73"/>
  <c r="BV70" i="73"/>
  <c r="AG103" i="73"/>
  <c r="BW63" i="73"/>
  <c r="E104" i="73"/>
  <c r="BH70" i="73"/>
  <c r="X104" i="73"/>
  <c r="BR70" i="73"/>
  <c r="V104" i="73"/>
  <c r="BQ70" i="73"/>
  <c r="AG104" i="73"/>
  <c r="BW70" i="73"/>
  <c r="I104" i="73"/>
  <c r="BJ70" i="73"/>
  <c r="V56" i="67"/>
  <c r="BZ76" i="53"/>
  <c r="V56" i="85" s="1"/>
  <c r="V35" i="67"/>
  <c r="BS76" i="53"/>
  <c r="V35" i="85" s="1"/>
  <c r="T14" i="67"/>
  <c r="BJ76" i="53"/>
  <c r="T14" i="85" s="1"/>
  <c r="T131" i="85" s="1"/>
  <c r="Y55" i="67"/>
  <c r="CC70" i="53"/>
  <c r="Y55" i="85" s="1"/>
  <c r="V13" i="67"/>
  <c r="BL70" i="53"/>
  <c r="V13" i="85" s="1"/>
  <c r="X56" i="67"/>
  <c r="CB76" i="53"/>
  <c r="X56" i="85" s="1"/>
  <c r="V34" i="67"/>
  <c r="BS70" i="53"/>
  <c r="V34" i="85" s="1"/>
  <c r="T21" i="67"/>
  <c r="BJ89" i="53"/>
  <c r="T21" i="85" s="1"/>
  <c r="T138" i="85" s="1"/>
  <c r="Y42" i="67"/>
  <c r="BV89" i="53"/>
  <c r="S111" i="53"/>
  <c r="BX111" i="53" s="1"/>
  <c r="BX100" i="53"/>
  <c r="V48" i="67"/>
  <c r="BZ29" i="53"/>
  <c r="V48" i="85" s="1"/>
  <c r="V55" i="67"/>
  <c r="BZ70" i="53"/>
  <c r="V55" i="85" s="1"/>
  <c r="Y13" i="67"/>
  <c r="AA13" i="67" s="1"/>
  <c r="BO70" i="53"/>
  <c r="Y13" i="85" s="1"/>
  <c r="AA13" i="85" s="1"/>
  <c r="W42" i="67"/>
  <c r="BT89" i="53"/>
  <c r="W14" i="67"/>
  <c r="BM76" i="53"/>
  <c r="W14" i="85" s="1"/>
  <c r="W6" i="67"/>
  <c r="BM29" i="53"/>
  <c r="W6" i="85" s="1"/>
  <c r="AA33" i="67"/>
  <c r="U55" i="67"/>
  <c r="Z70" i="53"/>
  <c r="Y70" i="53"/>
  <c r="CD70" i="53" s="1"/>
  <c r="I25" i="53"/>
  <c r="BP25" i="53" s="1"/>
  <c r="J25" i="53"/>
  <c r="Z38" i="53"/>
  <c r="Y38" i="53"/>
  <c r="CD38" i="53" s="1"/>
  <c r="R51" i="53"/>
  <c r="Q51" i="53"/>
  <c r="BW51" i="53" s="1"/>
  <c r="R25" i="53"/>
  <c r="Q25" i="53"/>
  <c r="BW25" i="53" s="1"/>
  <c r="J83" i="53"/>
  <c r="I83" i="53"/>
  <c r="BP83" i="53" s="1"/>
  <c r="R12" i="53"/>
  <c r="Q12" i="53"/>
  <c r="BW12" i="53" s="1"/>
  <c r="U56" i="67"/>
  <c r="Z76" i="53"/>
  <c r="Y76" i="53"/>
  <c r="CD76" i="53" s="1"/>
  <c r="I51" i="53"/>
  <c r="BP51" i="53" s="1"/>
  <c r="J51" i="53"/>
  <c r="Z51" i="53"/>
  <c r="Y51" i="53"/>
  <c r="CD51" i="53" s="1"/>
  <c r="R83" i="53"/>
  <c r="Q83" i="53"/>
  <c r="BW83" i="53" s="1"/>
  <c r="U34" i="67"/>
  <c r="R70" i="53"/>
  <c r="Q70" i="53"/>
  <c r="BW70" i="53" s="1"/>
  <c r="R38" i="53"/>
  <c r="Q38" i="53"/>
  <c r="BW38" i="53" s="1"/>
  <c r="Y12" i="53"/>
  <c r="CD12" i="53" s="1"/>
  <c r="Z12" i="53"/>
  <c r="F30" i="47"/>
  <c r="M30" i="47" s="1"/>
  <c r="X13" i="67"/>
  <c r="X130" i="67" s="1"/>
  <c r="Y89" i="73"/>
  <c r="BS89" i="73" s="1"/>
  <c r="T63" i="67"/>
  <c r="T130" i="67"/>
  <c r="N57" i="73"/>
  <c r="BM57" i="73" s="1"/>
  <c r="T30" i="67"/>
  <c r="N89" i="73"/>
  <c r="BM89" i="73" s="1"/>
  <c r="T42" i="67"/>
  <c r="C57" i="73"/>
  <c r="BG57" i="73" s="1"/>
  <c r="T9" i="67"/>
  <c r="N76" i="73"/>
  <c r="BM76" i="73" s="1"/>
  <c r="T35" i="67"/>
  <c r="E30" i="47"/>
  <c r="L30" i="47" s="1"/>
  <c r="W34" i="67"/>
  <c r="W130" i="67" s="1"/>
  <c r="Y57" i="73"/>
  <c r="BS57" i="73" s="1"/>
  <c r="T51" i="67"/>
  <c r="Y76" i="73"/>
  <c r="BS76" i="73" s="1"/>
  <c r="T56" i="67"/>
  <c r="Y29" i="73"/>
  <c r="BS29" i="73" s="1"/>
  <c r="T48" i="67"/>
  <c r="Y11" i="73"/>
  <c r="BS11" i="73" s="1"/>
  <c r="T47" i="67"/>
  <c r="N29" i="73"/>
  <c r="BM29" i="73" s="1"/>
  <c r="T27" i="67"/>
  <c r="C29" i="73"/>
  <c r="BG29" i="73" s="1"/>
  <c r="T6" i="67"/>
  <c r="C76" i="73"/>
  <c r="BG76" i="73" s="1"/>
  <c r="B31" i="47"/>
  <c r="C30" i="47"/>
  <c r="J30" i="47" s="1"/>
  <c r="G30" i="47"/>
  <c r="N30" i="47" s="1"/>
  <c r="D30" i="47"/>
  <c r="K30" i="47" s="1"/>
  <c r="B24" i="47"/>
  <c r="C99" i="53"/>
  <c r="D29" i="53"/>
  <c r="BK29" i="53" s="1"/>
  <c r="U6" i="85" s="1"/>
  <c r="E51" i="73"/>
  <c r="D51" i="73"/>
  <c r="BH51" i="73" s="1"/>
  <c r="T70" i="73"/>
  <c r="S70" i="73"/>
  <c r="AH12" i="73"/>
  <c r="BX12" i="73" s="1"/>
  <c r="AI12" i="73"/>
  <c r="O76" i="53"/>
  <c r="U83" i="73"/>
  <c r="BQ83" i="73" s="1"/>
  <c r="V83" i="73"/>
  <c r="M83" i="73"/>
  <c r="L83" i="73"/>
  <c r="BL83" i="73" s="1"/>
  <c r="L76" i="53"/>
  <c r="BR76" i="53" s="1"/>
  <c r="U35" i="85" s="1"/>
  <c r="Z35" i="85" s="1"/>
  <c r="P83" i="73"/>
  <c r="O83" i="73"/>
  <c r="BN83" i="73" s="1"/>
  <c r="AH70" i="73"/>
  <c r="AI70" i="73"/>
  <c r="AH51" i="73"/>
  <c r="BX51" i="73" s="1"/>
  <c r="AI51" i="73"/>
  <c r="X51" i="73"/>
  <c r="W51" i="73"/>
  <c r="BR51" i="73" s="1"/>
  <c r="O38" i="73"/>
  <c r="BN38" i="73" s="1"/>
  <c r="P38" i="73"/>
  <c r="W89" i="73"/>
  <c r="BR89" i="73" s="1"/>
  <c r="X89" i="73"/>
  <c r="Z12" i="73"/>
  <c r="BT12" i="73" s="1"/>
  <c r="AA12" i="73"/>
  <c r="E76" i="53"/>
  <c r="BL76" i="53" s="1"/>
  <c r="V14" i="85" s="1"/>
  <c r="G83" i="73"/>
  <c r="F83" i="73"/>
  <c r="BI83" i="73" s="1"/>
  <c r="K70" i="73"/>
  <c r="J70" i="73"/>
  <c r="Q51" i="73"/>
  <c r="BO51" i="73" s="1"/>
  <c r="R51" i="73"/>
  <c r="W29" i="53"/>
  <c r="CB29" i="53" s="1"/>
  <c r="X48" i="85" s="1"/>
  <c r="AF38" i="73"/>
  <c r="BW38" i="73" s="1"/>
  <c r="AG38" i="73"/>
  <c r="AB76" i="73"/>
  <c r="AC76" i="73"/>
  <c r="N76" i="53"/>
  <c r="T83" i="73"/>
  <c r="S83" i="73"/>
  <c r="BP83" i="73" s="1"/>
  <c r="R76" i="73"/>
  <c r="Q76" i="73"/>
  <c r="P70" i="73"/>
  <c r="O70" i="73"/>
  <c r="W38" i="73"/>
  <c r="BR38" i="73" s="1"/>
  <c r="X38" i="73"/>
  <c r="D76" i="53"/>
  <c r="BK76" i="53" s="1"/>
  <c r="U14" i="85" s="1"/>
  <c r="E83" i="73"/>
  <c r="D83" i="73"/>
  <c r="BH83" i="73" s="1"/>
  <c r="H76" i="73"/>
  <c r="I76" i="73"/>
  <c r="Z70" i="73"/>
  <c r="AA70" i="73"/>
  <c r="Z51" i="73"/>
  <c r="BT51" i="73" s="1"/>
  <c r="AA51" i="73"/>
  <c r="P51" i="73"/>
  <c r="O51" i="73"/>
  <c r="BN51" i="73" s="1"/>
  <c r="AH38" i="73"/>
  <c r="BX38" i="73" s="1"/>
  <c r="AI38" i="73"/>
  <c r="Z38" i="73"/>
  <c r="BT38" i="73" s="1"/>
  <c r="AA38" i="73"/>
  <c r="AB70" i="73"/>
  <c r="AC70" i="73"/>
  <c r="J51" i="73"/>
  <c r="BK51" i="73" s="1"/>
  <c r="K51" i="73"/>
  <c r="K38" i="73"/>
  <c r="J38" i="73"/>
  <c r="BK38" i="73" s="1"/>
  <c r="R12" i="73"/>
  <c r="Q12" i="73"/>
  <c r="BO12" i="73" s="1"/>
  <c r="AF76" i="73"/>
  <c r="AG76" i="73"/>
  <c r="AH83" i="73"/>
  <c r="BX83" i="73" s="1"/>
  <c r="AI83" i="73"/>
  <c r="V76" i="53"/>
  <c r="AD83" i="73"/>
  <c r="BV83" i="73" s="1"/>
  <c r="AE83" i="73"/>
  <c r="Z76" i="73"/>
  <c r="AA76" i="73"/>
  <c r="M70" i="73"/>
  <c r="L70" i="73"/>
  <c r="M51" i="73"/>
  <c r="L51" i="73"/>
  <c r="BL51" i="73" s="1"/>
  <c r="V29" i="53"/>
  <c r="CA29" i="53" s="1"/>
  <c r="W48" i="85" s="1"/>
  <c r="AD38" i="73"/>
  <c r="BV38" i="73" s="1"/>
  <c r="AE38" i="73"/>
  <c r="S38" i="73"/>
  <c r="BP38" i="73" s="1"/>
  <c r="T38" i="73"/>
  <c r="G76" i="53"/>
  <c r="K83" i="73"/>
  <c r="J83" i="73"/>
  <c r="BK83" i="73" s="1"/>
  <c r="F70" i="73"/>
  <c r="G70" i="73"/>
  <c r="U51" i="73"/>
  <c r="BQ51" i="73" s="1"/>
  <c r="V51" i="73"/>
  <c r="AC12" i="73"/>
  <c r="AB12" i="73"/>
  <c r="BU12" i="73" s="1"/>
  <c r="N102" i="53"/>
  <c r="S89" i="73"/>
  <c r="BP89" i="73" s="1"/>
  <c r="T89" i="73"/>
  <c r="X83" i="73"/>
  <c r="W83" i="73"/>
  <c r="BR83" i="73" s="1"/>
  <c r="M38" i="73"/>
  <c r="L38" i="73"/>
  <c r="BL38" i="73" s="1"/>
  <c r="O12" i="73"/>
  <c r="BN12" i="73" s="1"/>
  <c r="P12" i="73"/>
  <c r="Q70" i="73"/>
  <c r="R70" i="73"/>
  <c r="F38" i="73"/>
  <c r="BI38" i="73" s="1"/>
  <c r="G38" i="73"/>
  <c r="V12" i="73"/>
  <c r="U12" i="73"/>
  <c r="BQ12" i="73" s="1"/>
  <c r="T25" i="73"/>
  <c r="S25" i="73"/>
  <c r="BP25" i="73" s="1"/>
  <c r="Q25" i="73"/>
  <c r="BO25" i="73" s="1"/>
  <c r="R25" i="73"/>
  <c r="AE25" i="73"/>
  <c r="AD25" i="73"/>
  <c r="BV25" i="73" s="1"/>
  <c r="U25" i="73"/>
  <c r="BQ25" i="73" s="1"/>
  <c r="V25" i="73"/>
  <c r="W25" i="73"/>
  <c r="BR25" i="73" s="1"/>
  <c r="X25" i="73"/>
  <c r="AI25" i="73"/>
  <c r="AH25" i="73"/>
  <c r="BX25" i="73" s="1"/>
  <c r="O25" i="73"/>
  <c r="BN25" i="73" s="1"/>
  <c r="P25" i="73"/>
  <c r="W63" i="73"/>
  <c r="X63" i="73"/>
  <c r="F99" i="53"/>
  <c r="I29" i="73"/>
  <c r="H29" i="73"/>
  <c r="AI63" i="73"/>
  <c r="AH63" i="73"/>
  <c r="U63" i="73"/>
  <c r="V63" i="73"/>
  <c r="AB29" i="73"/>
  <c r="AC29" i="73"/>
  <c r="O63" i="73"/>
  <c r="P63" i="73"/>
  <c r="AB63" i="73"/>
  <c r="AC63" i="73"/>
  <c r="AE63" i="73"/>
  <c r="AD63" i="73"/>
  <c r="S63" i="73"/>
  <c r="T63" i="73"/>
  <c r="Q63" i="73"/>
  <c r="R63" i="73"/>
  <c r="C102" i="53"/>
  <c r="C89" i="73"/>
  <c r="BG89" i="73" s="1"/>
  <c r="F25" i="73"/>
  <c r="BI25" i="73" s="1"/>
  <c r="G25" i="73"/>
  <c r="J25" i="73"/>
  <c r="BK25" i="73" s="1"/>
  <c r="K25" i="73"/>
  <c r="I25" i="73"/>
  <c r="H25" i="73"/>
  <c r="BJ25" i="73" s="1"/>
  <c r="BC57" i="53"/>
  <c r="DE57" i="53" s="1"/>
  <c r="AW57" i="53"/>
  <c r="CY57" i="53" s="1"/>
  <c r="X76" i="53"/>
  <c r="P76" i="53"/>
  <c r="D25" i="73"/>
  <c r="BH25" i="73" s="1"/>
  <c r="E25" i="73"/>
  <c r="H76" i="53"/>
  <c r="P102" i="53"/>
  <c r="U99" i="53"/>
  <c r="S102" i="53"/>
  <c r="K99" i="53"/>
  <c r="K102" i="53"/>
  <c r="S99" i="53"/>
  <c r="AJ10" i="53"/>
  <c r="AK10" i="53"/>
  <c r="AN10" i="53"/>
  <c r="AI10" i="53"/>
  <c r="AM10" i="53"/>
  <c r="AL10" i="53"/>
  <c r="L29" i="53"/>
  <c r="BR29" i="53" s="1"/>
  <c r="U27" i="85" s="1"/>
  <c r="Z27" i="85" s="1"/>
  <c r="G29" i="53"/>
  <c r="O29" i="53"/>
  <c r="N29" i="53"/>
  <c r="M29" i="53"/>
  <c r="X29" i="53"/>
  <c r="P29" i="53"/>
  <c r="H29" i="53"/>
  <c r="T29" i="53"/>
  <c r="BY29" i="53" s="1"/>
  <c r="U48" i="85" s="1"/>
  <c r="Z48" i="85" s="1"/>
  <c r="E29" i="53"/>
  <c r="L89" i="53"/>
  <c r="M89" i="53"/>
  <c r="O89" i="53"/>
  <c r="T29" i="67"/>
  <c r="AV10" i="53"/>
  <c r="BB10" i="53" s="1"/>
  <c r="BH10" i="53" s="1"/>
  <c r="X98" i="53"/>
  <c r="AQ10" i="53"/>
  <c r="AW10" i="53" s="1"/>
  <c r="BC10" i="53" s="1"/>
  <c r="S98" i="53"/>
  <c r="AU10" i="53"/>
  <c r="BA10" i="53" s="1"/>
  <c r="BG10" i="53" s="1"/>
  <c r="W98" i="53"/>
  <c r="AT10" i="53"/>
  <c r="AZ10" i="53" s="1"/>
  <c r="BF10" i="53" s="1"/>
  <c r="V98" i="53"/>
  <c r="AR10" i="53"/>
  <c r="AX10" i="53" s="1"/>
  <c r="BD10" i="53" s="1"/>
  <c r="T98" i="53"/>
  <c r="AS10" i="53"/>
  <c r="AY10" i="53" s="1"/>
  <c r="BE10" i="53" s="1"/>
  <c r="U98" i="53"/>
  <c r="AQ88" i="53"/>
  <c r="CS88" i="53" s="1"/>
  <c r="A3" i="35"/>
  <c r="A4" i="5" s="1"/>
  <c r="V131" i="85" l="1"/>
  <c r="V130" i="67"/>
  <c r="Y130" i="67"/>
  <c r="BR89" i="53"/>
  <c r="U42" i="85" s="1"/>
  <c r="Z42" i="85" s="1"/>
  <c r="Z14" i="85"/>
  <c r="U131" i="85"/>
  <c r="Z131" i="85" s="1"/>
  <c r="Z6" i="85"/>
  <c r="U123" i="85"/>
  <c r="Z123" i="85" s="1"/>
  <c r="Y130" i="85"/>
  <c r="AA130" i="85" s="1"/>
  <c r="AA55" i="85"/>
  <c r="W42" i="85"/>
  <c r="Y42" i="85"/>
  <c r="V130" i="85"/>
  <c r="B22" i="48"/>
  <c r="I22" i="48" s="1"/>
  <c r="I24" i="47"/>
  <c r="B28" i="48"/>
  <c r="I28" i="48" s="1"/>
  <c r="I31" i="47"/>
  <c r="I105" i="73"/>
  <c r="BJ76" i="73"/>
  <c r="AC101" i="73"/>
  <c r="BU29" i="73"/>
  <c r="V103" i="73"/>
  <c r="BQ63" i="73"/>
  <c r="AI103" i="73"/>
  <c r="BX63" i="73"/>
  <c r="AG105" i="73"/>
  <c r="BW76" i="73"/>
  <c r="AI104" i="73"/>
  <c r="BX70" i="73"/>
  <c r="AC103" i="73"/>
  <c r="BU63" i="73"/>
  <c r="AA105" i="73"/>
  <c r="BT76" i="73"/>
  <c r="R105" i="73"/>
  <c r="BO76" i="73"/>
  <c r="AE103" i="73"/>
  <c r="BV63" i="73"/>
  <c r="AC104" i="73"/>
  <c r="BU70" i="73"/>
  <c r="K104" i="73"/>
  <c r="BK70" i="73"/>
  <c r="I101" i="73"/>
  <c r="BJ29" i="73"/>
  <c r="AA104" i="73"/>
  <c r="BT70" i="73"/>
  <c r="P104" i="73"/>
  <c r="BN70" i="73"/>
  <c r="AC105" i="73"/>
  <c r="BU76" i="73"/>
  <c r="R104" i="73"/>
  <c r="BO70" i="73"/>
  <c r="T103" i="73"/>
  <c r="BP63" i="73"/>
  <c r="M104" i="73"/>
  <c r="BL70" i="73"/>
  <c r="X103" i="73"/>
  <c r="BR63" i="73"/>
  <c r="R103" i="73"/>
  <c r="BO63" i="73"/>
  <c r="P103" i="73"/>
  <c r="BN63" i="73"/>
  <c r="G104" i="73"/>
  <c r="BI70" i="73"/>
  <c r="T104" i="73"/>
  <c r="BP70" i="73"/>
  <c r="U130" i="67"/>
  <c r="Z130" i="67" s="1"/>
  <c r="AA55" i="67"/>
  <c r="Z55" i="67"/>
  <c r="V42" i="67"/>
  <c r="BS89" i="53"/>
  <c r="F110" i="53"/>
  <c r="BM110" i="53" s="1"/>
  <c r="BM99" i="53"/>
  <c r="X6" i="67"/>
  <c r="BN29" i="53"/>
  <c r="X6" i="85" s="1"/>
  <c r="S110" i="53"/>
  <c r="BX110" i="53" s="1"/>
  <c r="BX99" i="53"/>
  <c r="K113" i="53"/>
  <c r="BQ113" i="53" s="1"/>
  <c r="BQ102" i="53"/>
  <c r="Y6" i="67"/>
  <c r="BO29" i="53"/>
  <c r="Y6" i="85" s="1"/>
  <c r="AA6" i="85" s="1"/>
  <c r="K110" i="53"/>
  <c r="BQ110" i="53" s="1"/>
  <c r="BQ99" i="53"/>
  <c r="Y35" i="67"/>
  <c r="BV76" i="53"/>
  <c r="Y35" i="85" s="1"/>
  <c r="AA35" i="85" s="1"/>
  <c r="W35" i="67"/>
  <c r="BT76" i="53"/>
  <c r="W35" i="85" s="1"/>
  <c r="C110" i="53"/>
  <c r="BJ110" i="53" s="1"/>
  <c r="BJ99" i="53"/>
  <c r="U110" i="53"/>
  <c r="BZ110" i="53" s="1"/>
  <c r="BZ99" i="53"/>
  <c r="Y56" i="67"/>
  <c r="AA56" i="67" s="1"/>
  <c r="CC76" i="53"/>
  <c r="Y56" i="85" s="1"/>
  <c r="AA56" i="85" s="1"/>
  <c r="C113" i="53"/>
  <c r="BJ113" i="53" s="1"/>
  <c r="BJ102" i="53"/>
  <c r="W27" i="67"/>
  <c r="BT29" i="53"/>
  <c r="W27" i="85" s="1"/>
  <c r="W123" i="85" s="1"/>
  <c r="Y14" i="67"/>
  <c r="BO76" i="53"/>
  <c r="Y14" i="85" s="1"/>
  <c r="X27" i="67"/>
  <c r="BU29" i="53"/>
  <c r="X27" i="85" s="1"/>
  <c r="W56" i="67"/>
  <c r="CA76" i="53"/>
  <c r="W56" i="85" s="1"/>
  <c r="V6" i="67"/>
  <c r="BL29" i="53"/>
  <c r="V6" i="85" s="1"/>
  <c r="N113" i="53"/>
  <c r="BT113" i="53" s="1"/>
  <c r="BT102" i="53"/>
  <c r="X14" i="67"/>
  <c r="BN76" i="53"/>
  <c r="X14" i="85" s="1"/>
  <c r="Y27" i="67"/>
  <c r="BV29" i="53"/>
  <c r="Y27" i="85" s="1"/>
  <c r="S113" i="53"/>
  <c r="BX113" i="53" s="1"/>
  <c r="BX102" i="53"/>
  <c r="X35" i="67"/>
  <c r="BU76" i="53"/>
  <c r="X35" i="85" s="1"/>
  <c r="Y48" i="67"/>
  <c r="CC29" i="53"/>
  <c r="Y48" i="85" s="1"/>
  <c r="AA48" i="85" s="1"/>
  <c r="X42" i="67"/>
  <c r="BU89" i="53"/>
  <c r="V27" i="67"/>
  <c r="BS29" i="53"/>
  <c r="V27" i="85" s="1"/>
  <c r="P113" i="53"/>
  <c r="BV113" i="53" s="1"/>
  <c r="BV102" i="53"/>
  <c r="Z56" i="67"/>
  <c r="U35" i="67"/>
  <c r="Z35" i="67" s="1"/>
  <c r="R76" i="53"/>
  <c r="Q76" i="53"/>
  <c r="BW76" i="53" s="1"/>
  <c r="U42" i="67"/>
  <c r="AA42" i="67" s="1"/>
  <c r="R89" i="53"/>
  <c r="Q89" i="53"/>
  <c r="BW89" i="53" s="1"/>
  <c r="U27" i="67"/>
  <c r="Z27" i="67" s="1"/>
  <c r="R29" i="53"/>
  <c r="Q29" i="53"/>
  <c r="BW29" i="53" s="1"/>
  <c r="Z34" i="67"/>
  <c r="AA34" i="67"/>
  <c r="U48" i="67"/>
  <c r="Z29" i="53"/>
  <c r="Y29" i="53"/>
  <c r="CD29" i="53" s="1"/>
  <c r="I76" i="53"/>
  <c r="BP76" i="53" s="1"/>
  <c r="J76" i="53"/>
  <c r="I29" i="53"/>
  <c r="BP29" i="53" s="1"/>
  <c r="J29" i="53"/>
  <c r="C4" i="7"/>
  <c r="A4" i="82"/>
  <c r="T131" i="67"/>
  <c r="T126" i="67"/>
  <c r="D31" i="47"/>
  <c r="V14" i="67"/>
  <c r="V131" i="67" s="1"/>
  <c r="C56" i="73"/>
  <c r="BG56" i="73" s="1"/>
  <c r="T8" i="67"/>
  <c r="T138" i="67"/>
  <c r="C31" i="47"/>
  <c r="U14" i="67"/>
  <c r="AA130" i="67"/>
  <c r="AF29" i="73"/>
  <c r="X48" i="67"/>
  <c r="AD29" i="73"/>
  <c r="W48" i="67"/>
  <c r="E29" i="73"/>
  <c r="U6" i="67"/>
  <c r="AA6" i="67" s="1"/>
  <c r="T123" i="67"/>
  <c r="Y56" i="73"/>
  <c r="BS56" i="73" s="1"/>
  <c r="T50" i="67"/>
  <c r="E24" i="47"/>
  <c r="W99" i="53"/>
  <c r="F31" i="47"/>
  <c r="G31" i="47"/>
  <c r="E31" i="47"/>
  <c r="D29" i="73"/>
  <c r="AQ95" i="53"/>
  <c r="CS95" i="53" s="1"/>
  <c r="B32" i="47"/>
  <c r="A4" i="39"/>
  <c r="A4" i="41"/>
  <c r="A4" i="47"/>
  <c r="D24" i="47"/>
  <c r="F24" i="47"/>
  <c r="AE29" i="73"/>
  <c r="AG29" i="73"/>
  <c r="G24" i="47"/>
  <c r="D99" i="53"/>
  <c r="C24" i="47"/>
  <c r="A4" i="74"/>
  <c r="A4" i="73"/>
  <c r="A4" i="77"/>
  <c r="A4" i="48"/>
  <c r="V99" i="53"/>
  <c r="V89" i="73"/>
  <c r="U89" i="73"/>
  <c r="BQ89" i="73" s="1"/>
  <c r="R89" i="73"/>
  <c r="Q89" i="73"/>
  <c r="BO89" i="73" s="1"/>
  <c r="K76" i="73"/>
  <c r="J76" i="73"/>
  <c r="E76" i="73"/>
  <c r="D76" i="73"/>
  <c r="O89" i="73"/>
  <c r="BN89" i="73" s="1"/>
  <c r="P89" i="73"/>
  <c r="W76" i="73"/>
  <c r="X76" i="73"/>
  <c r="AD76" i="73"/>
  <c r="AE76" i="73"/>
  <c r="S76" i="73"/>
  <c r="T76" i="73"/>
  <c r="O76" i="73"/>
  <c r="P76" i="73"/>
  <c r="M76" i="73"/>
  <c r="L76" i="73"/>
  <c r="AH76" i="73"/>
  <c r="AI76" i="73"/>
  <c r="G76" i="73"/>
  <c r="F76" i="73"/>
  <c r="V76" i="73"/>
  <c r="U76" i="73"/>
  <c r="K55" i="53"/>
  <c r="BQ55" i="53" s="1"/>
  <c r="T28" i="85" s="1"/>
  <c r="N56" i="73"/>
  <c r="BM56" i="73" s="1"/>
  <c r="AI29" i="73"/>
  <c r="AH29" i="73"/>
  <c r="G99" i="53"/>
  <c r="K29" i="73"/>
  <c r="J29" i="73"/>
  <c r="Q29" i="73"/>
  <c r="R29" i="73"/>
  <c r="W29" i="73"/>
  <c r="X29" i="73"/>
  <c r="N99" i="53"/>
  <c r="S29" i="73"/>
  <c r="T29" i="73"/>
  <c r="AA29" i="73"/>
  <c r="Z29" i="73"/>
  <c r="M29" i="73"/>
  <c r="L29" i="73"/>
  <c r="O29" i="73"/>
  <c r="P29" i="73"/>
  <c r="E99" i="53"/>
  <c r="G29" i="73"/>
  <c r="F29" i="73"/>
  <c r="U29" i="73"/>
  <c r="V29" i="73"/>
  <c r="A4" i="76"/>
  <c r="BC56" i="53"/>
  <c r="DE56" i="53" s="1"/>
  <c r="AW56" i="53"/>
  <c r="CY56" i="53" s="1"/>
  <c r="H99" i="53"/>
  <c r="O102" i="53"/>
  <c r="P99" i="53"/>
  <c r="L99" i="53"/>
  <c r="M102" i="53"/>
  <c r="T99" i="53"/>
  <c r="X99" i="53"/>
  <c r="O99" i="53"/>
  <c r="L102" i="53"/>
  <c r="M99" i="53"/>
  <c r="A4" i="50"/>
  <c r="A4" i="62"/>
  <c r="A4" i="51"/>
  <c r="AQ91" i="53"/>
  <c r="A4" i="1"/>
  <c r="A4" i="58"/>
  <c r="A4" i="2"/>
  <c r="A4" i="65"/>
  <c r="A5" i="22"/>
  <c r="A4" i="20"/>
  <c r="A4" i="17"/>
  <c r="A4" i="21"/>
  <c r="A4" i="49"/>
  <c r="A3" i="16"/>
  <c r="A4" i="53"/>
  <c r="A4" i="60"/>
  <c r="D23" i="49"/>
  <c r="D37" i="49" s="1"/>
  <c r="D51" i="49" s="1"/>
  <c r="D65" i="49" s="1"/>
  <c r="G23" i="49"/>
  <c r="G37" i="49" s="1"/>
  <c r="G51" i="49" s="1"/>
  <c r="G65" i="49" s="1"/>
  <c r="F23" i="49"/>
  <c r="F37" i="49" s="1"/>
  <c r="F51" i="49" s="1"/>
  <c r="F65" i="49" s="1"/>
  <c r="E23" i="49"/>
  <c r="E37" i="49" s="1"/>
  <c r="E51" i="49" s="1"/>
  <c r="E65" i="49" s="1"/>
  <c r="C23" i="49"/>
  <c r="C37" i="49" s="1"/>
  <c r="C51" i="49" s="1"/>
  <c r="C65" i="49" s="1"/>
  <c r="W131" i="67" l="1"/>
  <c r="X123" i="85"/>
  <c r="W131" i="85"/>
  <c r="Y131" i="85"/>
  <c r="AA131" i="85" s="1"/>
  <c r="AA14" i="85"/>
  <c r="AA42" i="85"/>
  <c r="V123" i="85"/>
  <c r="X42" i="85"/>
  <c r="Y123" i="85"/>
  <c r="AA123" i="85" s="1"/>
  <c r="AA27" i="85"/>
  <c r="V42" i="85"/>
  <c r="X131" i="85"/>
  <c r="C28" i="48"/>
  <c r="J28" i="48" s="1"/>
  <c r="J31" i="47"/>
  <c r="D22" i="48"/>
  <c r="K22" i="48" s="1"/>
  <c r="K24" i="47"/>
  <c r="G28" i="48"/>
  <c r="N28" i="48" s="1"/>
  <c r="N31" i="47"/>
  <c r="F28" i="48"/>
  <c r="M28" i="48" s="1"/>
  <c r="M31" i="47"/>
  <c r="C22" i="48"/>
  <c r="J22" i="48" s="1"/>
  <c r="J24" i="47"/>
  <c r="E28" i="48"/>
  <c r="L28" i="48" s="1"/>
  <c r="L31" i="47"/>
  <c r="E22" i="48"/>
  <c r="L22" i="48" s="1"/>
  <c r="L24" i="47"/>
  <c r="F22" i="48"/>
  <c r="M22" i="48" s="1"/>
  <c r="M24" i="47"/>
  <c r="G22" i="48"/>
  <c r="N22" i="48" s="1"/>
  <c r="N24" i="47"/>
  <c r="B29" i="48"/>
  <c r="I29" i="48" s="1"/>
  <c r="I32" i="47"/>
  <c r="D28" i="48"/>
  <c r="K28" i="48" s="1"/>
  <c r="K31" i="47"/>
  <c r="M101" i="73"/>
  <c r="BL29" i="73"/>
  <c r="R101" i="73"/>
  <c r="BO29" i="73"/>
  <c r="V105" i="73"/>
  <c r="BQ76" i="73"/>
  <c r="K101" i="73"/>
  <c r="BK29" i="73"/>
  <c r="T101" i="73"/>
  <c r="BP29" i="73"/>
  <c r="T105" i="73"/>
  <c r="BP76" i="73"/>
  <c r="E101" i="73"/>
  <c r="BH29" i="73"/>
  <c r="X101" i="73"/>
  <c r="BR29" i="73"/>
  <c r="M105" i="73"/>
  <c r="BL76" i="73"/>
  <c r="X105" i="73"/>
  <c r="BR76" i="73"/>
  <c r="V101" i="73"/>
  <c r="BQ29" i="73"/>
  <c r="G105" i="73"/>
  <c r="BI76" i="73"/>
  <c r="E105" i="73"/>
  <c r="BH76" i="73"/>
  <c r="AI101" i="73"/>
  <c r="BX29" i="73"/>
  <c r="K105" i="73"/>
  <c r="BK76" i="73"/>
  <c r="AE101" i="73"/>
  <c r="BV29" i="73"/>
  <c r="AA101" i="73"/>
  <c r="BT29" i="73"/>
  <c r="G101" i="73"/>
  <c r="BI29" i="73"/>
  <c r="P105" i="73"/>
  <c r="BN76" i="73"/>
  <c r="AG101" i="73"/>
  <c r="BW29" i="73"/>
  <c r="P101" i="73"/>
  <c r="BN29" i="73"/>
  <c r="AI105" i="73"/>
  <c r="BX76" i="73"/>
  <c r="AE105" i="73"/>
  <c r="BV76" i="73"/>
  <c r="Y131" i="67"/>
  <c r="AA131" i="67" s="1"/>
  <c r="V123" i="67"/>
  <c r="Y123" i="67"/>
  <c r="AA123" i="67" s="1"/>
  <c r="X131" i="67"/>
  <c r="AA35" i="67"/>
  <c r="M113" i="53"/>
  <c r="BS113" i="53" s="1"/>
  <c r="BS102" i="53"/>
  <c r="W110" i="53"/>
  <c r="CB110" i="53" s="1"/>
  <c r="CB99" i="53"/>
  <c r="L110" i="53"/>
  <c r="BR110" i="53" s="1"/>
  <c r="BR99" i="53"/>
  <c r="D110" i="53"/>
  <c r="BK110" i="53" s="1"/>
  <c r="BK99" i="53"/>
  <c r="P110" i="53"/>
  <c r="BV110" i="53" s="1"/>
  <c r="BV99" i="53"/>
  <c r="X123" i="67"/>
  <c r="M110" i="53"/>
  <c r="BS110" i="53" s="1"/>
  <c r="BS99" i="53"/>
  <c r="O113" i="53"/>
  <c r="BU113" i="53" s="1"/>
  <c r="BU102" i="53"/>
  <c r="V110" i="53"/>
  <c r="CA110" i="53" s="1"/>
  <c r="CA99" i="53"/>
  <c r="L113" i="53"/>
  <c r="BR113" i="53" s="1"/>
  <c r="BR102" i="53"/>
  <c r="H110" i="53"/>
  <c r="BO110" i="53" s="1"/>
  <c r="BO99" i="53"/>
  <c r="E110" i="53"/>
  <c r="BL110" i="53" s="1"/>
  <c r="BL99" i="53"/>
  <c r="G110" i="53"/>
  <c r="BN110" i="53" s="1"/>
  <c r="BN99" i="53"/>
  <c r="O110" i="53"/>
  <c r="BU110" i="53" s="1"/>
  <c r="BU99" i="53"/>
  <c r="N110" i="53"/>
  <c r="BT110" i="53" s="1"/>
  <c r="BT99" i="53"/>
  <c r="AA48" i="67"/>
  <c r="X110" i="53"/>
  <c r="CC110" i="53" s="1"/>
  <c r="CC99" i="53"/>
  <c r="AA14" i="67"/>
  <c r="AQ93" i="53"/>
  <c r="CS93" i="53" s="1"/>
  <c r="CS91" i="53"/>
  <c r="T110" i="53"/>
  <c r="BY110" i="53" s="1"/>
  <c r="BY99" i="53"/>
  <c r="W123" i="67"/>
  <c r="Z48" i="67"/>
  <c r="AA27" i="67"/>
  <c r="Z42" i="67"/>
  <c r="T125" i="67"/>
  <c r="Z14" i="67"/>
  <c r="U131" i="67"/>
  <c r="Z131" i="67" s="1"/>
  <c r="Z6" i="67"/>
  <c r="U123" i="67"/>
  <c r="Z123" i="67" s="1"/>
  <c r="N55" i="73"/>
  <c r="BM55" i="73" s="1"/>
  <c r="T28" i="67"/>
  <c r="T57" i="53"/>
  <c r="BY57" i="53" s="1"/>
  <c r="U51" i="85" s="1"/>
  <c r="W57" i="53"/>
  <c r="O57" i="53"/>
  <c r="M57" i="53"/>
  <c r="H57" i="53"/>
  <c r="Y51" i="67"/>
  <c r="F57" i="53"/>
  <c r="L57" i="53"/>
  <c r="BR57" i="53" s="1"/>
  <c r="U30" i="85" s="1"/>
  <c r="Z30" i="85" s="1"/>
  <c r="E57" i="53"/>
  <c r="V57" i="53"/>
  <c r="U57" i="53"/>
  <c r="G57" i="53"/>
  <c r="D57" i="53"/>
  <c r="BK57" i="53" s="1"/>
  <c r="U9" i="85" s="1"/>
  <c r="Z9" i="85" s="1"/>
  <c r="U126" i="85" l="1"/>
  <c r="Z126" i="85" s="1"/>
  <c r="Z51" i="85"/>
  <c r="AA51" i="85"/>
  <c r="Y9" i="67"/>
  <c r="BO57" i="53"/>
  <c r="Y9" i="85" s="1"/>
  <c r="X9" i="67"/>
  <c r="BN57" i="53"/>
  <c r="X9" i="85" s="1"/>
  <c r="V30" i="67"/>
  <c r="BS57" i="53"/>
  <c r="V30" i="85" s="1"/>
  <c r="V51" i="67"/>
  <c r="BZ57" i="53"/>
  <c r="V51" i="85" s="1"/>
  <c r="X30" i="67"/>
  <c r="BU57" i="53"/>
  <c r="X30" i="85" s="1"/>
  <c r="W51" i="67"/>
  <c r="CA57" i="53"/>
  <c r="W51" i="85" s="1"/>
  <c r="V9" i="67"/>
  <c r="BL57" i="53"/>
  <c r="V9" i="85" s="1"/>
  <c r="X51" i="67"/>
  <c r="CB57" i="53"/>
  <c r="X51" i="85" s="1"/>
  <c r="W9" i="67"/>
  <c r="BM57" i="53"/>
  <c r="W9" i="85" s="1"/>
  <c r="U9" i="67"/>
  <c r="J57" i="53"/>
  <c r="I57" i="53"/>
  <c r="BP57" i="53" s="1"/>
  <c r="U51" i="67"/>
  <c r="Z51" i="67" s="1"/>
  <c r="Y57" i="53"/>
  <c r="CD57" i="53" s="1"/>
  <c r="Z57" i="53"/>
  <c r="U30" i="67"/>
  <c r="Z30" i="67" s="1"/>
  <c r="Q57" i="53"/>
  <c r="BW57" i="53" s="1"/>
  <c r="R57" i="53"/>
  <c r="E57" i="73"/>
  <c r="D57" i="73"/>
  <c r="BH57" i="73" s="1"/>
  <c r="G57" i="73"/>
  <c r="F57" i="73"/>
  <c r="BI57" i="73" s="1"/>
  <c r="K57" i="73"/>
  <c r="J57" i="73"/>
  <c r="BK57" i="73" s="1"/>
  <c r="O57" i="73"/>
  <c r="BN57" i="73" s="1"/>
  <c r="P57" i="73"/>
  <c r="Q57" i="73"/>
  <c r="BO57" i="73" s="1"/>
  <c r="R57" i="73"/>
  <c r="U57" i="73"/>
  <c r="BQ57" i="73" s="1"/>
  <c r="V57" i="73"/>
  <c r="AC57" i="73"/>
  <c r="AB57" i="73"/>
  <c r="BU57" i="73" s="1"/>
  <c r="I57" i="73"/>
  <c r="H57" i="73"/>
  <c r="BJ57" i="73" s="1"/>
  <c r="AE57" i="73"/>
  <c r="AD57" i="73"/>
  <c r="BV57" i="73" s="1"/>
  <c r="AI57" i="73"/>
  <c r="AH57" i="73"/>
  <c r="BX57" i="73" s="1"/>
  <c r="AG57" i="73"/>
  <c r="AF57" i="73"/>
  <c r="BW57" i="73" s="1"/>
  <c r="M57" i="73"/>
  <c r="L57" i="73"/>
  <c r="BL57" i="73" s="1"/>
  <c r="AA57" i="73"/>
  <c r="Z57" i="73"/>
  <c r="BT57" i="73" s="1"/>
  <c r="BG57" i="53"/>
  <c r="DI57" i="53" s="1"/>
  <c r="BA57" i="53"/>
  <c r="BF57" i="53"/>
  <c r="DH57" i="53" s="1"/>
  <c r="BD57" i="53"/>
  <c r="DF57" i="53" s="1"/>
  <c r="AX57" i="53"/>
  <c r="BE57" i="53"/>
  <c r="DG57" i="53" s="1"/>
  <c r="AY57" i="53"/>
  <c r="BH57" i="53"/>
  <c r="DJ57" i="53" s="1"/>
  <c r="N57" i="53"/>
  <c r="P57" i="53"/>
  <c r="D43" i="49"/>
  <c r="J43" i="49" s="1"/>
  <c r="C43" i="49"/>
  <c r="I43" i="49" s="1"/>
  <c r="C29" i="49"/>
  <c r="I29" i="49" s="1"/>
  <c r="X126" i="85" l="1"/>
  <c r="AA9" i="85"/>
  <c r="X126" i="67"/>
  <c r="V126" i="85"/>
  <c r="V126" i="67"/>
  <c r="AA9" i="67"/>
  <c r="K130" i="67"/>
  <c r="K131" i="67" s="1"/>
  <c r="K135" i="67" s="1"/>
  <c r="DA57" i="53"/>
  <c r="K130" i="85" s="1"/>
  <c r="K131" i="85" s="1"/>
  <c r="K135" i="85" s="1"/>
  <c r="J130" i="67"/>
  <c r="J131" i="67" s="1"/>
  <c r="CZ57" i="53"/>
  <c r="J130" i="85" s="1"/>
  <c r="W30" i="67"/>
  <c r="W126" i="67" s="1"/>
  <c r="BT57" i="53"/>
  <c r="W30" i="85" s="1"/>
  <c r="W126" i="85" s="1"/>
  <c r="Y30" i="67"/>
  <c r="AA30" i="67" s="1"/>
  <c r="BV57" i="53"/>
  <c r="Y30" i="85" s="1"/>
  <c r="AA30" i="85" s="1"/>
  <c r="M130" i="67"/>
  <c r="M131" i="67" s="1"/>
  <c r="M135" i="67" s="1"/>
  <c r="DC57" i="53"/>
  <c r="M130" i="85" s="1"/>
  <c r="M131" i="85" s="1"/>
  <c r="M135" i="85" s="1"/>
  <c r="Z9" i="67"/>
  <c r="U126" i="67"/>
  <c r="Z126" i="67" s="1"/>
  <c r="AA51" i="67"/>
  <c r="BB57" i="53"/>
  <c r="W57" i="73"/>
  <c r="BR57" i="73" s="1"/>
  <c r="X57" i="73"/>
  <c r="AZ57" i="53"/>
  <c r="S57" i="73"/>
  <c r="BP57" i="73" s="1"/>
  <c r="T57" i="73"/>
  <c r="D15" i="49"/>
  <c r="J15" i="49" s="1"/>
  <c r="E15" i="49"/>
  <c r="K15" i="49" s="1"/>
  <c r="D29" i="49"/>
  <c r="J29" i="49" s="1"/>
  <c r="Y126" i="67" l="1"/>
  <c r="AA126" i="67" s="1"/>
  <c r="J131" i="85"/>
  <c r="Y126" i="85"/>
  <c r="AA126" i="85" s="1"/>
  <c r="L130" i="67"/>
  <c r="L131" i="67" s="1"/>
  <c r="L135" i="67" s="1"/>
  <c r="DB57" i="53"/>
  <c r="L130" i="85" s="1"/>
  <c r="L131" i="85" s="1"/>
  <c r="L135" i="85" s="1"/>
  <c r="N130" i="67"/>
  <c r="N131" i="67" s="1"/>
  <c r="N135" i="67" s="1"/>
  <c r="DD57" i="53"/>
  <c r="N130" i="85" s="1"/>
  <c r="N131" i="85" s="1"/>
  <c r="N135" i="85" s="1"/>
  <c r="J135" i="67"/>
  <c r="E43" i="49"/>
  <c r="K43" i="49" s="1"/>
  <c r="E29" i="49"/>
  <c r="K29" i="49" s="1"/>
  <c r="G43" i="49"/>
  <c r="M43" i="49" s="1"/>
  <c r="F43" i="49"/>
  <c r="L43" i="49" s="1"/>
  <c r="J135" i="85" l="1"/>
  <c r="O135" i="85" s="1"/>
  <c r="O131" i="85"/>
  <c r="O130" i="85"/>
  <c r="O130" i="67"/>
  <c r="O131" i="67"/>
  <c r="O135" i="67"/>
  <c r="F15" i="49"/>
  <c r="L15" i="49" s="1"/>
  <c r="G15" i="49"/>
  <c r="M15" i="49" s="1"/>
  <c r="F29" i="49"/>
  <c r="L29" i="49" s="1"/>
  <c r="G29" i="49" l="1"/>
  <c r="M29" i="49" s="1"/>
  <c r="H10" i="21" l="1"/>
  <c r="G10" i="21"/>
  <c r="F10" i="21"/>
  <c r="E10" i="21"/>
  <c r="D10" i="21"/>
  <c r="H7" i="20"/>
  <c r="G7" i="20"/>
  <c r="F7" i="20"/>
  <c r="E7" i="20"/>
  <c r="D7" i="20"/>
  <c r="H8" i="17"/>
  <c r="H14" i="17" s="1"/>
  <c r="H22" i="17" s="1"/>
  <c r="H33" i="17" s="1"/>
  <c r="H39" i="17" s="1"/>
  <c r="H47" i="17" s="1"/>
  <c r="H54" i="17" s="1"/>
  <c r="G8" i="17"/>
  <c r="G14" i="17" s="1"/>
  <c r="G22" i="17" s="1"/>
  <c r="G33" i="17" s="1"/>
  <c r="G39" i="17" s="1"/>
  <c r="G47" i="17" s="1"/>
  <c r="G54" i="17" s="1"/>
  <c r="F8" i="17"/>
  <c r="F14" i="17" s="1"/>
  <c r="F22" i="17" s="1"/>
  <c r="F33" i="17" s="1"/>
  <c r="F39" i="17" s="1"/>
  <c r="F47" i="17" s="1"/>
  <c r="F54" i="17" s="1"/>
  <c r="E8" i="17"/>
  <c r="E14" i="17" s="1"/>
  <c r="E22" i="17" s="1"/>
  <c r="E33" i="17" s="1"/>
  <c r="E39" i="17" s="1"/>
  <c r="E47" i="17" s="1"/>
  <c r="E54" i="17" s="1"/>
  <c r="D8" i="17"/>
  <c r="D14" i="17" s="1"/>
  <c r="D22" i="17" s="1"/>
  <c r="D33" i="17" s="1"/>
  <c r="D39" i="17" s="1"/>
  <c r="D47" i="17" s="1"/>
  <c r="D54" i="17" s="1"/>
  <c r="I7" i="16"/>
  <c r="R7" i="16" s="1"/>
  <c r="H7" i="16"/>
  <c r="Q7" i="16" s="1"/>
  <c r="G7" i="16"/>
  <c r="P7" i="16" s="1"/>
  <c r="F7" i="16"/>
  <c r="O7" i="16" s="1"/>
  <c r="E7" i="16"/>
  <c r="N7" i="16" s="1"/>
  <c r="D7" i="16"/>
  <c r="M7" i="16" s="1"/>
  <c r="K7" i="2"/>
  <c r="J7" i="2"/>
  <c r="I7" i="2"/>
  <c r="H7" i="2"/>
  <c r="G7" i="2"/>
  <c r="F7" i="2"/>
  <c r="E7" i="2"/>
  <c r="Q7" i="2" l="1"/>
  <c r="U7" i="2"/>
  <c r="A56" i="2"/>
  <c r="A53" i="2"/>
  <c r="T7" i="2"/>
  <c r="R7" i="2"/>
  <c r="S7" i="2"/>
  <c r="M7" i="2"/>
  <c r="V7" i="2" s="1"/>
  <c r="B82" i="35"/>
  <c r="A4" i="35"/>
  <c r="AP138" i="41" l="1"/>
  <c r="B225" i="82"/>
  <c r="A25" i="21"/>
  <c r="B32" i="20"/>
  <c r="E115" i="51"/>
  <c r="C151" i="77"/>
  <c r="C108" i="73"/>
  <c r="D287" i="50"/>
  <c r="E180" i="62"/>
  <c r="C71" i="60"/>
  <c r="C80" i="7"/>
  <c r="A5" i="5"/>
  <c r="A5" i="39"/>
  <c r="A46" i="47"/>
  <c r="B116" i="65"/>
  <c r="A114" i="76"/>
  <c r="C49" i="2"/>
  <c r="A132" i="74"/>
  <c r="A136" i="1"/>
  <c r="B45" i="58"/>
  <c r="B111" i="39"/>
  <c r="A49" i="48"/>
  <c r="A22" i="16"/>
  <c r="B116" i="53"/>
  <c r="B23" i="22"/>
  <c r="B80" i="49"/>
  <c r="B59" i="17"/>
  <c r="B43" i="5"/>
  <c r="E49" i="1"/>
  <c r="E44" i="1"/>
  <c r="E39" i="1"/>
  <c r="E10" i="2" s="1"/>
  <c r="AB5" i="78" l="1"/>
  <c r="AB5" i="83"/>
  <c r="A5" i="48"/>
  <c r="C5" i="7"/>
  <c r="A5" i="82"/>
  <c r="A4" i="16"/>
  <c r="A5" i="53"/>
  <c r="A5" i="50"/>
  <c r="A5" i="60"/>
  <c r="A5" i="77"/>
  <c r="A5" i="1"/>
  <c r="A5" i="58"/>
  <c r="A5" i="21"/>
  <c r="A6" i="22"/>
  <c r="A5" i="51"/>
  <c r="A5" i="17"/>
  <c r="A5" i="76"/>
  <c r="A5" i="74"/>
  <c r="A5" i="2"/>
  <c r="A5" i="49"/>
  <c r="A5" i="20"/>
  <c r="A5" i="65"/>
  <c r="A5" i="73"/>
  <c r="A5" i="62"/>
  <c r="E11" i="2"/>
  <c r="A5" i="47"/>
  <c r="A5" i="41"/>
  <c r="I93" i="1"/>
  <c r="AB6" i="78" l="1"/>
  <c r="AB6" i="83"/>
  <c r="G62" i="49"/>
  <c r="AP33" i="67" l="1"/>
  <c r="M62" i="49"/>
  <c r="AP33" i="85" s="1"/>
  <c r="F18" i="17"/>
  <c r="E18" i="17"/>
  <c r="H18" i="17"/>
  <c r="D18" i="17"/>
  <c r="G18" i="17"/>
  <c r="AS46" i="79" l="1"/>
  <c r="AM46" i="79" s="1"/>
  <c r="AS45" i="79"/>
  <c r="AM45" i="79" s="1"/>
  <c r="AT46" i="79"/>
  <c r="AN46" i="79" s="1"/>
  <c r="AT45" i="79"/>
  <c r="AN45" i="79" s="1"/>
  <c r="AV46" i="79"/>
  <c r="AP46" i="79" s="1"/>
  <c r="AV45" i="79"/>
  <c r="AP45" i="79" s="1"/>
  <c r="AR46" i="79"/>
  <c r="AL46" i="79" s="1"/>
  <c r="AR45" i="79"/>
  <c r="AL45" i="79" s="1"/>
  <c r="AU46" i="79"/>
  <c r="AO46" i="79" s="1"/>
  <c r="AU45" i="79"/>
  <c r="AO45" i="79" s="1"/>
  <c r="AR46" i="84"/>
  <c r="AL46" i="84" s="1"/>
  <c r="AR45" i="84"/>
  <c r="AL45" i="84" s="1"/>
  <c r="AV46" i="84"/>
  <c r="AP46" i="84" s="1"/>
  <c r="AV45" i="84"/>
  <c r="AP45" i="84" s="1"/>
  <c r="AS46" i="84"/>
  <c r="AM46" i="84" s="1"/>
  <c r="AS45" i="84"/>
  <c r="AM45" i="84" s="1"/>
  <c r="AT46" i="84"/>
  <c r="AN46" i="84" s="1"/>
  <c r="AT45" i="84"/>
  <c r="AN45" i="84" s="1"/>
  <c r="AU46" i="84"/>
  <c r="AO46" i="84" s="1"/>
  <c r="AU45" i="84"/>
  <c r="AO45" i="84" s="1"/>
  <c r="C62" i="49"/>
  <c r="E62" i="49"/>
  <c r="F62" i="49"/>
  <c r="D62" i="49"/>
  <c r="AM33" i="67" l="1"/>
  <c r="J62" i="49"/>
  <c r="AM33" i="85" s="1"/>
  <c r="AO33" i="67"/>
  <c r="L62" i="49"/>
  <c r="AO33" i="85" s="1"/>
  <c r="AN33" i="67"/>
  <c r="K62" i="49"/>
  <c r="AN33" i="85" s="1"/>
  <c r="AL33" i="67"/>
  <c r="I62" i="49"/>
  <c r="AL33" i="85" s="1"/>
  <c r="G93" i="1"/>
  <c r="H93" i="1"/>
  <c r="J93" i="1"/>
  <c r="G103" i="1"/>
  <c r="H103" i="1"/>
  <c r="I103" i="1"/>
  <c r="J103" i="1"/>
  <c r="G97" i="1" l="1"/>
  <c r="H97" i="1"/>
  <c r="H34" i="2" s="1"/>
  <c r="J97" i="1"/>
  <c r="J34" i="2" s="1"/>
  <c r="Q34" i="2"/>
  <c r="I97" i="1"/>
  <c r="I34" i="2" s="1"/>
  <c r="G34" i="1"/>
  <c r="H34" i="1"/>
  <c r="I34" i="1"/>
  <c r="J34" i="1"/>
  <c r="F39" i="1"/>
  <c r="G39" i="1"/>
  <c r="H39" i="1"/>
  <c r="I39" i="1"/>
  <c r="J39" i="1"/>
  <c r="F44" i="1"/>
  <c r="G44" i="1"/>
  <c r="H44" i="1"/>
  <c r="I44" i="1"/>
  <c r="J44" i="1"/>
  <c r="F49" i="1"/>
  <c r="G49" i="1"/>
  <c r="H49" i="1"/>
  <c r="I49" i="1"/>
  <c r="J49" i="1"/>
  <c r="I17" i="16"/>
  <c r="H17" i="16"/>
  <c r="G17" i="16"/>
  <c r="F17" i="16"/>
  <c r="E17" i="16"/>
  <c r="D17" i="16"/>
  <c r="C17" i="16"/>
  <c r="H26" i="17"/>
  <c r="G26" i="17"/>
  <c r="F26" i="17"/>
  <c r="E26" i="17"/>
  <c r="D26" i="17"/>
  <c r="AF29" i="78" l="1"/>
  <c r="AF29" i="83"/>
  <c r="AG29" i="78"/>
  <c r="AG29" i="83"/>
  <c r="AE29" i="78"/>
  <c r="AE29" i="83"/>
  <c r="AM26" i="79"/>
  <c r="L17" i="16"/>
  <c r="AM26" i="84" s="1"/>
  <c r="AN26" i="79"/>
  <c r="M17" i="16"/>
  <c r="AN26" i="84" s="1"/>
  <c r="AO26" i="79"/>
  <c r="N17" i="16"/>
  <c r="AO26" i="84" s="1"/>
  <c r="AP26" i="79"/>
  <c r="O17" i="16"/>
  <c r="AP26" i="84" s="1"/>
  <c r="AQ26" i="79"/>
  <c r="P17" i="16"/>
  <c r="AQ26" i="84" s="1"/>
  <c r="AR26" i="79"/>
  <c r="Q17" i="16"/>
  <c r="AR26" i="84" s="1"/>
  <c r="AS26" i="79"/>
  <c r="R17" i="16"/>
  <c r="AS26" i="84" s="1"/>
  <c r="G10" i="2"/>
  <c r="AD5" i="83" s="1"/>
  <c r="G11" i="2"/>
  <c r="G34" i="2"/>
  <c r="J11" i="2"/>
  <c r="F11" i="2"/>
  <c r="I11" i="2"/>
  <c r="AF6" i="83" s="1"/>
  <c r="H11" i="2"/>
  <c r="AE6" i="83" s="1"/>
  <c r="F10" i="2"/>
  <c r="AC5" i="83" s="1"/>
  <c r="I10" i="2"/>
  <c r="AF5" i="83" s="1"/>
  <c r="J10" i="2"/>
  <c r="AG5" i="83" s="1"/>
  <c r="H10" i="2"/>
  <c r="AE5" i="83" s="1"/>
  <c r="T34" i="2"/>
  <c r="V34" i="2"/>
  <c r="U34" i="2"/>
  <c r="S34" i="2" l="1"/>
  <c r="AD29" i="83"/>
  <c r="AD6" i="78"/>
  <c r="AD6" i="83"/>
  <c r="AG6" i="78"/>
  <c r="AG6" i="83"/>
  <c r="AC6" i="78"/>
  <c r="AC6" i="83"/>
  <c r="AG5" i="78"/>
  <c r="U10" i="2"/>
  <c r="V10" i="2"/>
  <c r="AF5" i="78"/>
  <c r="T10" i="2"/>
  <c r="Q11" i="2"/>
  <c r="AE5" i="78"/>
  <c r="S10" i="2"/>
  <c r="S11" i="2"/>
  <c r="AE6" i="78"/>
  <c r="T11" i="2"/>
  <c r="AF6" i="78"/>
  <c r="R34" i="2"/>
  <c r="AD29" i="78"/>
  <c r="AC5" i="78"/>
  <c r="Q10" i="2"/>
  <c r="AD5" i="78"/>
  <c r="R10" i="2"/>
  <c r="V11" i="2"/>
  <c r="U11" i="2"/>
  <c r="R11" i="2"/>
  <c r="AL15" i="67"/>
  <c r="C44" i="49"/>
  <c r="AL7" i="67"/>
  <c r="AL23" i="67" l="1"/>
  <c r="I44" i="49"/>
  <c r="AL23" i="85" s="1"/>
  <c r="D16" i="49"/>
  <c r="D44" i="49"/>
  <c r="AM15" i="67"/>
  <c r="AM23" i="67" l="1"/>
  <c r="J44" i="49"/>
  <c r="AM23" i="85" s="1"/>
  <c r="AM7" i="67"/>
  <c r="J16" i="49"/>
  <c r="AM7" i="85" s="1"/>
  <c r="E30" i="49"/>
  <c r="E16" i="49"/>
  <c r="E44" i="49"/>
  <c r="AN7" i="67" l="1"/>
  <c r="K16" i="49"/>
  <c r="AN7" i="85" s="1"/>
  <c r="AN15" i="67"/>
  <c r="K30" i="49"/>
  <c r="AN15" i="85" s="1"/>
  <c r="AN23" i="67"/>
  <c r="K44" i="49"/>
  <c r="AN23" i="85" s="1"/>
  <c r="F44" i="49"/>
  <c r="F16" i="49"/>
  <c r="F30" i="49"/>
  <c r="AO23" i="67" l="1"/>
  <c r="L44" i="49"/>
  <c r="AO23" i="85" s="1"/>
  <c r="AO7" i="67"/>
  <c r="L16" i="49"/>
  <c r="AO7" i="85" s="1"/>
  <c r="AO15" i="67"/>
  <c r="L30" i="49"/>
  <c r="AO15" i="85" s="1"/>
  <c r="G30" i="49"/>
  <c r="G44" i="49"/>
  <c r="G16" i="49"/>
  <c r="AP15" i="67" l="1"/>
  <c r="M30" i="49"/>
  <c r="AP15" i="85" s="1"/>
  <c r="AP23" i="67"/>
  <c r="M44" i="49"/>
  <c r="AP23" i="85" s="1"/>
  <c r="AP7" i="67"/>
  <c r="M16" i="49"/>
  <c r="AP7" i="85" s="1"/>
  <c r="F26" i="47"/>
  <c r="X12" i="67"/>
  <c r="X129" i="67" s="1"/>
  <c r="E26" i="47"/>
  <c r="W12" i="67"/>
  <c r="W129" i="67" s="1"/>
  <c r="G26" i="47"/>
  <c r="Y12" i="67"/>
  <c r="D26" i="47"/>
  <c r="V12" i="67"/>
  <c r="V129" i="67" s="1"/>
  <c r="I63" i="73"/>
  <c r="H63" i="73"/>
  <c r="G63" i="73"/>
  <c r="F63" i="73"/>
  <c r="M63" i="73"/>
  <c r="L63" i="73"/>
  <c r="K63" i="73"/>
  <c r="J63" i="73"/>
  <c r="F24" i="48" l="1"/>
  <c r="M24" i="48" s="1"/>
  <c r="M26" i="47"/>
  <c r="G24" i="48"/>
  <c r="N24" i="48" s="1"/>
  <c r="N26" i="47"/>
  <c r="D24" i="48"/>
  <c r="K24" i="48" s="1"/>
  <c r="K26" i="47"/>
  <c r="E24" i="48"/>
  <c r="L24" i="48" s="1"/>
  <c r="L26" i="47"/>
  <c r="M103" i="73"/>
  <c r="BL63" i="73"/>
  <c r="I103" i="73"/>
  <c r="BJ63" i="73"/>
  <c r="G103" i="73"/>
  <c r="BI63" i="73"/>
  <c r="K103" i="73"/>
  <c r="BK63" i="73"/>
  <c r="Y129" i="67"/>
  <c r="AA129" i="67" s="1"/>
  <c r="C59" i="53"/>
  <c r="T11" i="67" l="1"/>
  <c r="BJ59" i="53"/>
  <c r="T11" i="85" s="1"/>
  <c r="C100" i="53"/>
  <c r="C59" i="73"/>
  <c r="BG59" i="73" s="1"/>
  <c r="K11" i="53"/>
  <c r="BQ11" i="53" s="1"/>
  <c r="T26" i="85" s="1"/>
  <c r="N11" i="53"/>
  <c r="M11" i="53"/>
  <c r="L11" i="53"/>
  <c r="BR11" i="53" s="1"/>
  <c r="U26" i="85" s="1"/>
  <c r="P11" i="53"/>
  <c r="O11" i="53"/>
  <c r="Z26" i="85" l="1"/>
  <c r="V26" i="67"/>
  <c r="BS11" i="53"/>
  <c r="V26" i="85" s="1"/>
  <c r="W26" i="67"/>
  <c r="BT11" i="53"/>
  <c r="W26" i="85" s="1"/>
  <c r="C111" i="53"/>
  <c r="BJ111" i="53" s="1"/>
  <c r="BJ100" i="53"/>
  <c r="X26" i="67"/>
  <c r="BU11" i="53"/>
  <c r="X26" i="85" s="1"/>
  <c r="Y26" i="67"/>
  <c r="BV11" i="53"/>
  <c r="Y26" i="85" s="1"/>
  <c r="U26" i="67"/>
  <c r="R11" i="53"/>
  <c r="Q11" i="53"/>
  <c r="BW11" i="53" s="1"/>
  <c r="N11" i="73"/>
  <c r="BM11" i="73" s="1"/>
  <c r="T26" i="67"/>
  <c r="R11" i="73"/>
  <c r="Q11" i="73"/>
  <c r="W11" i="73"/>
  <c r="BR11" i="73" s="1"/>
  <c r="X11" i="73"/>
  <c r="O11" i="73"/>
  <c r="P11" i="73"/>
  <c r="V11" i="73"/>
  <c r="U11" i="73"/>
  <c r="S11" i="73"/>
  <c r="T11" i="73"/>
  <c r="K59" i="53"/>
  <c r="AA26" i="67" l="1"/>
  <c r="AA26" i="85"/>
  <c r="V100" i="73"/>
  <c r="BQ11" i="73"/>
  <c r="T100" i="73"/>
  <c r="BP11" i="73"/>
  <c r="P100" i="73"/>
  <c r="BN11" i="73"/>
  <c r="R100" i="73"/>
  <c r="BO11" i="73"/>
  <c r="T32" i="67"/>
  <c r="T128" i="67" s="1"/>
  <c r="BQ59" i="53"/>
  <c r="T32" i="85" s="1"/>
  <c r="Z26" i="67"/>
  <c r="N59" i="73"/>
  <c r="BM59" i="73" s="1"/>
  <c r="B25" i="47"/>
  <c r="K100" i="53"/>
  <c r="K88" i="53"/>
  <c r="BQ88" i="53" s="1"/>
  <c r="T36" i="67" l="1"/>
  <c r="T128" i="85"/>
  <c r="T36" i="85"/>
  <c r="B23" i="48"/>
  <c r="I23" i="48" s="1"/>
  <c r="I25" i="47"/>
  <c r="K111" i="53"/>
  <c r="BQ111" i="53" s="1"/>
  <c r="BQ100" i="53"/>
  <c r="K95" i="53"/>
  <c r="N88" i="73"/>
  <c r="BM88" i="73" s="1"/>
  <c r="K91" i="53"/>
  <c r="BQ91" i="53" s="1"/>
  <c r="E87" i="1"/>
  <c r="N95" i="73" l="1"/>
  <c r="BM95" i="73" s="1"/>
  <c r="BQ95" i="53"/>
  <c r="E29" i="2"/>
  <c r="U87" i="1"/>
  <c r="K93" i="53"/>
  <c r="BQ93" i="53" s="1"/>
  <c r="T39" i="85" s="1"/>
  <c r="N91" i="73"/>
  <c r="BM91" i="73" s="1"/>
  <c r="C11" i="16"/>
  <c r="AB24" i="78" l="1"/>
  <c r="AB24" i="83"/>
  <c r="C13" i="16"/>
  <c r="L13" i="16" s="1"/>
  <c r="AM22" i="84" s="1"/>
  <c r="L11" i="16"/>
  <c r="N93" i="73"/>
  <c r="BM93" i="73" s="1"/>
  <c r="T39" i="67"/>
  <c r="P59" i="53"/>
  <c r="AV44" i="79" s="1"/>
  <c r="AP44" i="79" s="1"/>
  <c r="N59" i="53"/>
  <c r="AT44" i="79" s="1"/>
  <c r="AN44" i="79" s="1"/>
  <c r="V59" i="53"/>
  <c r="AT52" i="79" s="1"/>
  <c r="AN52" i="79" s="1"/>
  <c r="M59" i="53"/>
  <c r="AS44" i="79" s="1"/>
  <c r="AM44" i="79" s="1"/>
  <c r="L59" i="53"/>
  <c r="O59" i="53"/>
  <c r="AU44" i="79" s="1"/>
  <c r="AO44" i="79" s="1"/>
  <c r="W59" i="53"/>
  <c r="AU52" i="79" s="1"/>
  <c r="AO52" i="79" s="1"/>
  <c r="X59" i="53"/>
  <c r="AV52" i="79" s="1"/>
  <c r="AP52" i="79" s="1"/>
  <c r="U59" i="53"/>
  <c r="AS52" i="79" s="1"/>
  <c r="AM52" i="79" s="1"/>
  <c r="F59" i="53"/>
  <c r="G59" i="53"/>
  <c r="E59" i="53"/>
  <c r="AS36" i="79" s="1"/>
  <c r="AM36" i="79" s="1"/>
  <c r="H59" i="53"/>
  <c r="AV36" i="79" s="1"/>
  <c r="AP36" i="79" s="1"/>
  <c r="BR59" i="53" l="1"/>
  <c r="U32" i="85" s="1"/>
  <c r="Z32" i="85" s="1"/>
  <c r="AR44" i="79"/>
  <c r="AL44" i="79" s="1"/>
  <c r="BN59" i="53"/>
  <c r="AU36" i="84" s="1"/>
  <c r="AO36" i="84" s="1"/>
  <c r="AU36" i="79"/>
  <c r="AO36" i="79" s="1"/>
  <c r="BM59" i="53"/>
  <c r="W11" i="85" s="1"/>
  <c r="AT36" i="79"/>
  <c r="AN36" i="79" s="1"/>
  <c r="AR44" i="84"/>
  <c r="AL44" i="84" s="1"/>
  <c r="AM22" i="79"/>
  <c r="C19" i="16"/>
  <c r="V32" i="67"/>
  <c r="BS59" i="53"/>
  <c r="V53" i="67"/>
  <c r="BZ59" i="53"/>
  <c r="AS52" i="84" s="1"/>
  <c r="AM52" i="84" s="1"/>
  <c r="Y11" i="67"/>
  <c r="BO59" i="53"/>
  <c r="W53" i="67"/>
  <c r="CA59" i="53"/>
  <c r="AT52" i="84" s="1"/>
  <c r="AN52" i="84" s="1"/>
  <c r="W32" i="67"/>
  <c r="BT59" i="53"/>
  <c r="Y32" i="67"/>
  <c r="BV59" i="53"/>
  <c r="Y53" i="67"/>
  <c r="CC59" i="53"/>
  <c r="AV52" i="84" s="1"/>
  <c r="AP52" i="84" s="1"/>
  <c r="X53" i="67"/>
  <c r="CB59" i="53"/>
  <c r="AU52" i="84" s="1"/>
  <c r="AO52" i="84" s="1"/>
  <c r="X32" i="67"/>
  <c r="BU59" i="53"/>
  <c r="V11" i="67"/>
  <c r="BL59" i="53"/>
  <c r="U32" i="67"/>
  <c r="Z32" i="67" s="1"/>
  <c r="R59" i="53"/>
  <c r="Q59" i="53"/>
  <c r="BW59" i="53" s="1"/>
  <c r="F25" i="47"/>
  <c r="X11" i="67"/>
  <c r="E25" i="47"/>
  <c r="W11" i="67"/>
  <c r="G25" i="47"/>
  <c r="D25" i="47"/>
  <c r="G100" i="53"/>
  <c r="K59" i="73"/>
  <c r="J59" i="73"/>
  <c r="AE59" i="73"/>
  <c r="AD59" i="73"/>
  <c r="AI59" i="73"/>
  <c r="AH59" i="73"/>
  <c r="M100" i="53"/>
  <c r="Q59" i="73"/>
  <c r="R59" i="73"/>
  <c r="M59" i="73"/>
  <c r="L59" i="73"/>
  <c r="F100" i="53"/>
  <c r="I59" i="73"/>
  <c r="H59" i="73"/>
  <c r="AF59" i="73"/>
  <c r="AG59" i="73"/>
  <c r="U59" i="73"/>
  <c r="V59" i="73"/>
  <c r="N100" i="53"/>
  <c r="S59" i="73"/>
  <c r="T59" i="73"/>
  <c r="E100" i="53"/>
  <c r="G59" i="73"/>
  <c r="F59" i="73"/>
  <c r="AC59" i="73"/>
  <c r="AB59" i="73"/>
  <c r="L100" i="53"/>
  <c r="O59" i="73"/>
  <c r="P59" i="73"/>
  <c r="W59" i="73"/>
  <c r="X59" i="73"/>
  <c r="H100" i="53"/>
  <c r="P100" i="53"/>
  <c r="V100" i="53"/>
  <c r="U100" i="53"/>
  <c r="O100" i="53"/>
  <c r="X100" i="53"/>
  <c r="W100" i="53"/>
  <c r="AT36" i="84" l="1"/>
  <c r="AN36" i="84" s="1"/>
  <c r="X128" i="67"/>
  <c r="X11" i="85"/>
  <c r="V128" i="67"/>
  <c r="AV44" i="84"/>
  <c r="AP44" i="84" s="1"/>
  <c r="Y32" i="85"/>
  <c r="AA32" i="85" s="1"/>
  <c r="AU44" i="84"/>
  <c r="AO44" i="84" s="1"/>
  <c r="X32" i="85"/>
  <c r="AT44" i="84"/>
  <c r="AN44" i="84" s="1"/>
  <c r="W32" i="85"/>
  <c r="AS44" i="84"/>
  <c r="AM44" i="84" s="1"/>
  <c r="V32" i="85"/>
  <c r="V53" i="85"/>
  <c r="X53" i="85"/>
  <c r="W53" i="85"/>
  <c r="AS36" i="84"/>
  <c r="AM36" i="84" s="1"/>
  <c r="V11" i="85"/>
  <c r="Y53" i="85"/>
  <c r="AV36" i="84"/>
  <c r="AP36" i="84" s="1"/>
  <c r="Y11" i="85"/>
  <c r="D23" i="48"/>
  <c r="K23" i="48" s="1"/>
  <c r="K25" i="47"/>
  <c r="G23" i="48"/>
  <c r="N23" i="48" s="1"/>
  <c r="N25" i="47"/>
  <c r="F23" i="48"/>
  <c r="M23" i="48" s="1"/>
  <c r="M25" i="47"/>
  <c r="E23" i="48"/>
  <c r="L23" i="48" s="1"/>
  <c r="L25" i="47"/>
  <c r="K102" i="73"/>
  <c r="BK59" i="73"/>
  <c r="AC102" i="73"/>
  <c r="BU59" i="73"/>
  <c r="T102" i="73"/>
  <c r="BP59" i="73"/>
  <c r="AG102" i="73"/>
  <c r="BW59" i="73"/>
  <c r="I102" i="73"/>
  <c r="BJ59" i="73"/>
  <c r="AE102" i="73"/>
  <c r="BV59" i="73"/>
  <c r="P102" i="73"/>
  <c r="BN59" i="73"/>
  <c r="R102" i="73"/>
  <c r="BO59" i="73"/>
  <c r="V102" i="73"/>
  <c r="BQ59" i="73"/>
  <c r="AI102" i="73"/>
  <c r="BX59" i="73"/>
  <c r="G102" i="73"/>
  <c r="BI59" i="73"/>
  <c r="X102" i="73"/>
  <c r="BR59" i="73"/>
  <c r="M102" i="73"/>
  <c r="BL59" i="73"/>
  <c r="Y128" i="67"/>
  <c r="AA128" i="67" s="1"/>
  <c r="L111" i="53"/>
  <c r="BR111" i="53" s="1"/>
  <c r="BR100" i="53"/>
  <c r="G111" i="53"/>
  <c r="BN111" i="53" s="1"/>
  <c r="BN100" i="53"/>
  <c r="V111" i="53"/>
  <c r="CA111" i="53" s="1"/>
  <c r="CA100" i="53"/>
  <c r="M111" i="53"/>
  <c r="BS111" i="53" s="1"/>
  <c r="BS100" i="53"/>
  <c r="P111" i="53"/>
  <c r="BV111" i="53" s="1"/>
  <c r="BV100" i="53"/>
  <c r="F111" i="53"/>
  <c r="BM111" i="53" s="1"/>
  <c r="BM100" i="53"/>
  <c r="W128" i="67"/>
  <c r="X111" i="53"/>
  <c r="CC111" i="53" s="1"/>
  <c r="CC100" i="53"/>
  <c r="E111" i="53"/>
  <c r="BL111" i="53" s="1"/>
  <c r="BL100" i="53"/>
  <c r="U111" i="53"/>
  <c r="BZ111" i="53" s="1"/>
  <c r="BZ100" i="53"/>
  <c r="N111" i="53"/>
  <c r="BT111" i="53" s="1"/>
  <c r="BT100" i="53"/>
  <c r="H111" i="53"/>
  <c r="BO111" i="53" s="1"/>
  <c r="BO100" i="53"/>
  <c r="W111" i="53"/>
  <c r="CB111" i="53" s="1"/>
  <c r="CB100" i="53"/>
  <c r="O111" i="53"/>
  <c r="BU111" i="53" s="1"/>
  <c r="BU100" i="53"/>
  <c r="AA32" i="67"/>
  <c r="D11" i="16"/>
  <c r="W128" i="85" l="1"/>
  <c r="X128" i="85"/>
  <c r="Y128" i="85"/>
  <c r="AA128" i="85" s="1"/>
  <c r="V128" i="85"/>
  <c r="D13" i="16"/>
  <c r="M13" i="16" s="1"/>
  <c r="AN22" i="84" s="1"/>
  <c r="M11" i="16"/>
  <c r="S55" i="53"/>
  <c r="BX55" i="53" s="1"/>
  <c r="T49" i="85" s="1"/>
  <c r="T57" i="85" s="1"/>
  <c r="D19" i="16" l="1"/>
  <c r="AN22" i="79"/>
  <c r="Y55" i="73"/>
  <c r="BS55" i="73" s="1"/>
  <c r="T49" i="67"/>
  <c r="S88" i="53"/>
  <c r="Y88" i="73" l="1"/>
  <c r="BS88" i="73" s="1"/>
  <c r="BX88" i="53"/>
  <c r="T57" i="67"/>
  <c r="S95" i="53"/>
  <c r="S91" i="53"/>
  <c r="E89" i="1"/>
  <c r="S93" i="53" l="1"/>
  <c r="BX93" i="53" s="1"/>
  <c r="T60" i="85" s="1"/>
  <c r="BX91" i="53"/>
  <c r="Y95" i="73"/>
  <c r="BS95" i="73" s="1"/>
  <c r="BX95" i="53"/>
  <c r="E30" i="2"/>
  <c r="U89" i="1"/>
  <c r="Y91" i="73"/>
  <c r="BS91" i="73" s="1"/>
  <c r="C11" i="53"/>
  <c r="AB25" i="78" l="1"/>
  <c r="AB25" i="83"/>
  <c r="T5" i="67"/>
  <c r="T122" i="67" s="1"/>
  <c r="BJ11" i="53"/>
  <c r="T5" i="85" s="1"/>
  <c r="Y93" i="73"/>
  <c r="BS93" i="73" s="1"/>
  <c r="T60" i="67"/>
  <c r="C11" i="73"/>
  <c r="BG11" i="73" s="1"/>
  <c r="B23" i="47"/>
  <c r="I23" i="47" s="1"/>
  <c r="T122" i="85" l="1"/>
  <c r="B21" i="48"/>
  <c r="T11" i="53"/>
  <c r="BY11" i="53" s="1"/>
  <c r="U47" i="85" s="1"/>
  <c r="T89" i="53"/>
  <c r="U11" i="53"/>
  <c r="U89" i="53"/>
  <c r="AS53" i="79" s="1"/>
  <c r="AM53" i="79" s="1"/>
  <c r="BY89" i="53" l="1"/>
  <c r="AR53" i="84" s="1"/>
  <c r="AL53" i="84" s="1"/>
  <c r="AR53" i="79"/>
  <c r="AL53" i="79" s="1"/>
  <c r="Z47" i="85"/>
  <c r="B20" i="48"/>
  <c r="I21" i="48"/>
  <c r="V63" i="67"/>
  <c r="BZ89" i="53"/>
  <c r="AS53" i="84" s="1"/>
  <c r="AM53" i="84" s="1"/>
  <c r="V47" i="67"/>
  <c r="BZ11" i="53"/>
  <c r="V47" i="85" s="1"/>
  <c r="U63" i="67"/>
  <c r="Z63" i="67" s="1"/>
  <c r="Z89" i="53"/>
  <c r="Y89" i="53"/>
  <c r="CD89" i="53" s="1"/>
  <c r="U47" i="67"/>
  <c r="Z47" i="67" s="1"/>
  <c r="Z11" i="53"/>
  <c r="Y11" i="53"/>
  <c r="CD11" i="53" s="1"/>
  <c r="AB89" i="73"/>
  <c r="BU89" i="73" s="1"/>
  <c r="AC89" i="73"/>
  <c r="Z89" i="73"/>
  <c r="BT89" i="73" s="1"/>
  <c r="AA89" i="73"/>
  <c r="AB11" i="73"/>
  <c r="AC11" i="73"/>
  <c r="Z11" i="73"/>
  <c r="AA11" i="73"/>
  <c r="U102" i="53"/>
  <c r="T102" i="53"/>
  <c r="V89" i="53"/>
  <c r="AT53" i="79" s="1"/>
  <c r="AN53" i="79" s="1"/>
  <c r="V11" i="53"/>
  <c r="U63" i="85" l="1"/>
  <c r="Z63" i="85" s="1"/>
  <c r="V63" i="85"/>
  <c r="B19" i="48"/>
  <c r="I19" i="48" s="1"/>
  <c r="I20" i="48"/>
  <c r="AC100" i="73"/>
  <c r="BU11" i="73"/>
  <c r="AA100" i="73"/>
  <c r="BT11" i="73"/>
  <c r="W63" i="67"/>
  <c r="CA89" i="53"/>
  <c r="AT53" i="84" s="1"/>
  <c r="AN53" i="84" s="1"/>
  <c r="W47" i="67"/>
  <c r="CA11" i="53"/>
  <c r="W47" i="85" s="1"/>
  <c r="T113" i="53"/>
  <c r="BY113" i="53" s="1"/>
  <c r="BY102" i="53"/>
  <c r="U113" i="53"/>
  <c r="BZ113" i="53" s="1"/>
  <c r="BZ102" i="53"/>
  <c r="AD89" i="73"/>
  <c r="BV89" i="73" s="1"/>
  <c r="AE89" i="73"/>
  <c r="AE11" i="73"/>
  <c r="AD11" i="73"/>
  <c r="V102" i="53"/>
  <c r="W11" i="53"/>
  <c r="W89" i="53"/>
  <c r="AU53" i="79" s="1"/>
  <c r="AO53" i="79" s="1"/>
  <c r="W63" i="85" l="1"/>
  <c r="AE100" i="73"/>
  <c r="BV11" i="73"/>
  <c r="V113" i="53"/>
  <c r="CA113" i="53" s="1"/>
  <c r="CA102" i="53"/>
  <c r="X63" i="67"/>
  <c r="CB89" i="53"/>
  <c r="AU53" i="84" s="1"/>
  <c r="AO53" i="84" s="1"/>
  <c r="X47" i="67"/>
  <c r="CB11" i="53"/>
  <c r="X47" i="85" s="1"/>
  <c r="AF89" i="73"/>
  <c r="BW89" i="73" s="1"/>
  <c r="AG89" i="73"/>
  <c r="AG11" i="73"/>
  <c r="AF11" i="73"/>
  <c r="W102" i="53"/>
  <c r="X11" i="53"/>
  <c r="X89" i="53"/>
  <c r="AV53" i="79" s="1"/>
  <c r="AP53" i="79" s="1"/>
  <c r="E80" i="1"/>
  <c r="BW11" i="73" l="1"/>
  <c r="AG100" i="73"/>
  <c r="X63" i="85"/>
  <c r="Y63" i="67"/>
  <c r="AA63" i="67" s="1"/>
  <c r="CC89" i="53"/>
  <c r="AV53" i="84" s="1"/>
  <c r="AP53" i="84" s="1"/>
  <c r="Y47" i="67"/>
  <c r="AA47" i="67" s="1"/>
  <c r="CC11" i="53"/>
  <c r="Y47" i="85" s="1"/>
  <c r="W113" i="53"/>
  <c r="CB113" i="53" s="1"/>
  <c r="CB102" i="53"/>
  <c r="E23" i="2"/>
  <c r="AB18" i="83" s="1"/>
  <c r="AH89" i="73"/>
  <c r="BX89" i="73" s="1"/>
  <c r="AI89" i="73"/>
  <c r="AH11" i="73"/>
  <c r="AI11" i="73"/>
  <c r="X102" i="53"/>
  <c r="BX11" i="73" l="1"/>
  <c r="AI100" i="73"/>
  <c r="AA47" i="85"/>
  <c r="Y63" i="85"/>
  <c r="AA63" i="85" s="1"/>
  <c r="X113" i="53"/>
  <c r="CC113" i="53" s="1"/>
  <c r="CC102" i="53"/>
  <c r="Q23" i="2"/>
  <c r="AB18" i="78"/>
  <c r="K100" i="73" l="1"/>
  <c r="M100" i="73" l="1"/>
  <c r="AR11" i="53"/>
  <c r="AV11" i="53"/>
  <c r="AU89" i="53"/>
  <c r="CW89" i="53" s="1"/>
  <c r="AV88" i="53" l="1"/>
  <c r="CX88" i="53" s="1"/>
  <c r="CX11" i="53"/>
  <c r="AR88" i="53"/>
  <c r="CT88" i="53" s="1"/>
  <c r="CT11" i="53"/>
  <c r="AU11" i="53"/>
  <c r="AS11" i="53"/>
  <c r="AS89" i="53"/>
  <c r="CU89" i="53" s="1"/>
  <c r="AV89" i="53"/>
  <c r="CX89" i="53" s="1"/>
  <c r="AR89" i="53"/>
  <c r="CT89" i="53" s="1"/>
  <c r="AV91" i="53" l="1"/>
  <c r="C32" i="47"/>
  <c r="J32" i="47" s="1"/>
  <c r="AR95" i="53"/>
  <c r="CT95" i="53" s="1"/>
  <c r="G32" i="47"/>
  <c r="N32" i="47" s="1"/>
  <c r="AV95" i="53"/>
  <c r="CX95" i="53" s="1"/>
  <c r="AR91" i="53"/>
  <c r="AS88" i="53"/>
  <c r="CU88" i="53" s="1"/>
  <c r="CU11" i="53"/>
  <c r="AU88" i="53"/>
  <c r="CW88" i="53" s="1"/>
  <c r="CW11" i="53"/>
  <c r="AT89" i="53"/>
  <c r="CV89" i="53" s="1"/>
  <c r="AT11" i="53"/>
  <c r="CX91" i="53" l="1"/>
  <c r="C29" i="48"/>
  <c r="J29" i="48" s="1"/>
  <c r="G29" i="48"/>
  <c r="N29" i="48" s="1"/>
  <c r="AS91" i="53"/>
  <c r="CT91" i="53"/>
  <c r="AU91" i="53"/>
  <c r="F32" i="47"/>
  <c r="AU95" i="53"/>
  <c r="CW95" i="53" s="1"/>
  <c r="AT88" i="53"/>
  <c r="CV88" i="53" s="1"/>
  <c r="CV11" i="53"/>
  <c r="D32" i="47"/>
  <c r="AS95" i="53"/>
  <c r="CU95" i="53" s="1"/>
  <c r="D29" i="48" l="1"/>
  <c r="K32" i="47"/>
  <c r="F29" i="48"/>
  <c r="M32" i="47"/>
  <c r="CU91" i="53"/>
  <c r="CW91" i="53"/>
  <c r="AT91" i="53"/>
  <c r="E32" i="47"/>
  <c r="AT95" i="53"/>
  <c r="CV95" i="53" s="1"/>
  <c r="AT46" i="51"/>
  <c r="AS46" i="51"/>
  <c r="AR46" i="51"/>
  <c r="AQ46" i="51"/>
  <c r="AO46" i="51"/>
  <c r="CF46" i="51" s="1"/>
  <c r="K29" i="48" l="1"/>
  <c r="E29" i="48"/>
  <c r="L32" i="47"/>
  <c r="AQ45" i="51"/>
  <c r="CH46" i="51"/>
  <c r="AR45" i="51"/>
  <c r="CI46" i="51"/>
  <c r="AS45" i="51"/>
  <c r="CJ46" i="51"/>
  <c r="M29" i="48"/>
  <c r="AT45" i="51"/>
  <c r="CK46" i="51"/>
  <c r="CV91" i="53"/>
  <c r="AO45" i="51"/>
  <c r="AO95" i="51"/>
  <c r="CF95" i="51" s="1"/>
  <c r="AP46" i="51"/>
  <c r="AQ11" i="51" l="1"/>
  <c r="CH11" i="51" s="1"/>
  <c r="CH45" i="51"/>
  <c r="AR11" i="51"/>
  <c r="CI11" i="51" s="1"/>
  <c r="CI45" i="51"/>
  <c r="AP45" i="51"/>
  <c r="CG46" i="51"/>
  <c r="L29" i="48"/>
  <c r="AT11" i="51"/>
  <c r="CK11" i="51" s="1"/>
  <c r="CK45" i="51"/>
  <c r="AO11" i="51"/>
  <c r="CF11" i="51" s="1"/>
  <c r="CF45" i="51"/>
  <c r="AS11" i="51"/>
  <c r="CJ11" i="51" s="1"/>
  <c r="CJ45" i="51"/>
  <c r="G32" i="48"/>
  <c r="N32" i="48" s="1"/>
  <c r="AS95" i="51"/>
  <c r="F32" i="48"/>
  <c r="M32" i="48" s="1"/>
  <c r="C32" i="48"/>
  <c r="J32" i="48" s="1"/>
  <c r="AQ95" i="51"/>
  <c r="AP95" i="51"/>
  <c r="E32" i="48"/>
  <c r="L32" i="48" s="1"/>
  <c r="D32" i="48"/>
  <c r="K32" i="48" s="1"/>
  <c r="AT95" i="51"/>
  <c r="AR95" i="51"/>
  <c r="CI95" i="51" s="1"/>
  <c r="H45" i="50"/>
  <c r="AO94" i="51"/>
  <c r="F45" i="50"/>
  <c r="AR45" i="50" s="1"/>
  <c r="M45" i="50"/>
  <c r="AY45" i="50" s="1"/>
  <c r="T45" i="50"/>
  <c r="BF45" i="50" s="1"/>
  <c r="K45" i="50" l="1"/>
  <c r="K44" i="50" s="1"/>
  <c r="CK95" i="51"/>
  <c r="AP11" i="51"/>
  <c r="CG11" i="51" s="1"/>
  <c r="CG45" i="51"/>
  <c r="G45" i="50"/>
  <c r="G44" i="50" s="1"/>
  <c r="CG95" i="51"/>
  <c r="AS94" i="51"/>
  <c r="CJ95" i="51"/>
  <c r="V45" i="50"/>
  <c r="V44" i="50" s="1"/>
  <c r="CH95" i="51"/>
  <c r="AO60" i="51"/>
  <c r="CF60" i="51" s="1"/>
  <c r="CF94" i="51"/>
  <c r="H44" i="50"/>
  <c r="AT45" i="50"/>
  <c r="N45" i="50"/>
  <c r="AP94" i="51"/>
  <c r="J45" i="50"/>
  <c r="E31" i="48"/>
  <c r="L31" i="48" s="1"/>
  <c r="C31" i="48"/>
  <c r="J31" i="48" s="1"/>
  <c r="G31" i="48"/>
  <c r="N31" i="48" s="1"/>
  <c r="D31" i="48"/>
  <c r="K31" i="48" s="1"/>
  <c r="F31" i="48"/>
  <c r="M31" i="48" s="1"/>
  <c r="Q45" i="50"/>
  <c r="R45" i="50"/>
  <c r="X45" i="50"/>
  <c r="AT94" i="51"/>
  <c r="U45" i="50"/>
  <c r="Y45" i="50"/>
  <c r="AQ94" i="51"/>
  <c r="O45" i="50"/>
  <c r="F44" i="50"/>
  <c r="F70" i="50"/>
  <c r="AR70" i="50" s="1"/>
  <c r="T70" i="50"/>
  <c r="BF70" i="50" s="1"/>
  <c r="T44" i="50"/>
  <c r="AR94" i="51"/>
  <c r="P45" i="50"/>
  <c r="I45" i="50"/>
  <c r="W45" i="50"/>
  <c r="M44" i="50"/>
  <c r="M70" i="50"/>
  <c r="AY70" i="50" s="1"/>
  <c r="AQ60" i="51" l="1"/>
  <c r="CH60" i="51" s="1"/>
  <c r="CH94" i="51"/>
  <c r="BH45" i="50"/>
  <c r="AP60" i="51"/>
  <c r="CG60" i="51" s="1"/>
  <c r="CG94" i="51"/>
  <c r="AS45" i="50"/>
  <c r="AR60" i="51"/>
  <c r="CI60" i="51" s="1"/>
  <c r="CI94" i="51"/>
  <c r="AT60" i="51"/>
  <c r="CK60" i="51" s="1"/>
  <c r="CK94" i="51"/>
  <c r="AW45" i="50"/>
  <c r="AS60" i="51"/>
  <c r="CJ60" i="51" s="1"/>
  <c r="CJ94" i="51"/>
  <c r="I44" i="50"/>
  <c r="AU45" i="50"/>
  <c r="P44" i="50"/>
  <c r="BB45" i="50"/>
  <c r="F35" i="50"/>
  <c r="AR35" i="50" s="1"/>
  <c r="AR44" i="50"/>
  <c r="H35" i="50"/>
  <c r="AT44" i="50"/>
  <c r="Y44" i="50"/>
  <c r="BK45" i="50"/>
  <c r="J44" i="50"/>
  <c r="AV45" i="50"/>
  <c r="V35" i="50"/>
  <c r="BH44" i="50"/>
  <c r="X44" i="50"/>
  <c r="BJ45" i="50"/>
  <c r="Q44" i="50"/>
  <c r="BC45" i="50"/>
  <c r="U44" i="50"/>
  <c r="BG45" i="50"/>
  <c r="W44" i="50"/>
  <c r="BI45" i="50"/>
  <c r="R44" i="50"/>
  <c r="BD45" i="50"/>
  <c r="K35" i="50"/>
  <c r="H56" i="53" s="1"/>
  <c r="AW44" i="50"/>
  <c r="O44" i="50"/>
  <c r="BA45" i="50"/>
  <c r="M35" i="50"/>
  <c r="AY35" i="50" s="1"/>
  <c r="AY44" i="50"/>
  <c r="T35" i="50"/>
  <c r="BF35" i="50" s="1"/>
  <c r="BF44" i="50"/>
  <c r="N44" i="50"/>
  <c r="AZ45" i="50"/>
  <c r="G35" i="50"/>
  <c r="AS44" i="50"/>
  <c r="F69" i="50"/>
  <c r="G70" i="50"/>
  <c r="AS70" i="50" s="1"/>
  <c r="F281" i="50"/>
  <c r="AR281" i="50" s="1"/>
  <c r="N70" i="50"/>
  <c r="AZ70" i="50" s="1"/>
  <c r="M69" i="50"/>
  <c r="U70" i="50"/>
  <c r="BG70" i="50" s="1"/>
  <c r="T69" i="50"/>
  <c r="Y8" i="67" l="1"/>
  <c r="BO56" i="53"/>
  <c r="Y8" i="85" s="1"/>
  <c r="M60" i="50"/>
  <c r="C28" i="49" s="1"/>
  <c r="AY69" i="50"/>
  <c r="AT35" i="50"/>
  <c r="D7" i="85" s="1"/>
  <c r="G26" i="7"/>
  <c r="D7" i="67"/>
  <c r="H281" i="50"/>
  <c r="AT281" i="50" s="1"/>
  <c r="E56" i="53"/>
  <c r="M281" i="50"/>
  <c r="AY281" i="50" s="1"/>
  <c r="AS35" i="50"/>
  <c r="C7" i="85" s="1"/>
  <c r="G281" i="50"/>
  <c r="AS281" i="50" s="1"/>
  <c r="D56" i="53"/>
  <c r="BK56" i="53" s="1"/>
  <c r="U8" i="85" s="1"/>
  <c r="F26" i="7"/>
  <c r="C7" i="67"/>
  <c r="O35" i="50"/>
  <c r="BA44" i="50"/>
  <c r="U35" i="50"/>
  <c r="BG44" i="50"/>
  <c r="J35" i="50"/>
  <c r="AV44" i="50"/>
  <c r="P35" i="50"/>
  <c r="BB44" i="50"/>
  <c r="R35" i="50"/>
  <c r="BD44" i="50"/>
  <c r="W35" i="50"/>
  <c r="BI44" i="50"/>
  <c r="X35" i="50"/>
  <c r="BJ44" i="50"/>
  <c r="BH35" i="50"/>
  <c r="D43" i="85" s="1"/>
  <c r="W26" i="7"/>
  <c r="D43" i="67"/>
  <c r="V281" i="50"/>
  <c r="BH281" i="50" s="1"/>
  <c r="T281" i="50"/>
  <c r="BF281" i="50" s="1"/>
  <c r="U56" i="53"/>
  <c r="AC56" i="73" s="1"/>
  <c r="T60" i="50"/>
  <c r="C42" i="49" s="1"/>
  <c r="BF69" i="50"/>
  <c r="F60" i="50"/>
  <c r="AR60" i="50" s="1"/>
  <c r="AR69" i="50"/>
  <c r="N35" i="50"/>
  <c r="AZ44" i="50"/>
  <c r="AW35" i="50"/>
  <c r="G7" i="85" s="1"/>
  <c r="J26" i="7"/>
  <c r="G7" i="67"/>
  <c r="K281" i="50"/>
  <c r="AW281" i="50" s="1"/>
  <c r="Q35" i="50"/>
  <c r="BC44" i="50"/>
  <c r="Y35" i="50"/>
  <c r="BK44" i="50"/>
  <c r="I35" i="50"/>
  <c r="AU44" i="50"/>
  <c r="M56" i="73"/>
  <c r="L56" i="73"/>
  <c r="BL56" i="73" s="1"/>
  <c r="BH56" i="53"/>
  <c r="DJ56" i="53" s="1"/>
  <c r="H70" i="50"/>
  <c r="AT70" i="50" s="1"/>
  <c r="G69" i="50"/>
  <c r="O70" i="50"/>
  <c r="BA70" i="50" s="1"/>
  <c r="N69" i="50"/>
  <c r="V70" i="50"/>
  <c r="BH70" i="50" s="1"/>
  <c r="U69" i="50"/>
  <c r="Z8" i="85" l="1"/>
  <c r="AA8" i="85"/>
  <c r="C14" i="49"/>
  <c r="C13" i="49" s="1"/>
  <c r="F282" i="50"/>
  <c r="AR282" i="50" s="1"/>
  <c r="C41" i="49"/>
  <c r="I42" i="49"/>
  <c r="C27" i="49"/>
  <c r="I28" i="49"/>
  <c r="V50" i="67"/>
  <c r="BZ56" i="53"/>
  <c r="V50" i="85" s="1"/>
  <c r="V8" i="67"/>
  <c r="BL56" i="53"/>
  <c r="V8" i="85" s="1"/>
  <c r="AB56" i="73"/>
  <c r="BU56" i="73" s="1"/>
  <c r="X56" i="53"/>
  <c r="CC56" i="53" s="1"/>
  <c r="Y50" i="85" s="1"/>
  <c r="BK35" i="50"/>
  <c r="G43" i="85" s="1"/>
  <c r="G43" i="67"/>
  <c r="Y281" i="50"/>
  <c r="BK281" i="50" s="1"/>
  <c r="Z26" i="7"/>
  <c r="W27" i="7"/>
  <c r="BT27" i="7" s="1"/>
  <c r="BT26" i="7"/>
  <c r="BD35" i="50"/>
  <c r="G25" i="85" s="1"/>
  <c r="R281" i="50"/>
  <c r="BD281" i="50" s="1"/>
  <c r="R26" i="7"/>
  <c r="P56" i="53"/>
  <c r="BV56" i="53" s="1"/>
  <c r="Y29" i="85" s="1"/>
  <c r="G25" i="67"/>
  <c r="BE56" i="53"/>
  <c r="DG56" i="53" s="1"/>
  <c r="BC35" i="50"/>
  <c r="F25" i="85" s="1"/>
  <c r="F25" i="67"/>
  <c r="Q281" i="50"/>
  <c r="BC281" i="50" s="1"/>
  <c r="O56" i="53"/>
  <c r="BU56" i="53" s="1"/>
  <c r="X29" i="85" s="1"/>
  <c r="Q26" i="7"/>
  <c r="BB35" i="50"/>
  <c r="E25" i="85" s="1"/>
  <c r="P281" i="50"/>
  <c r="BB281" i="50" s="1"/>
  <c r="E25" i="67"/>
  <c r="N56" i="53"/>
  <c r="BT56" i="53" s="1"/>
  <c r="W29" i="85" s="1"/>
  <c r="P26" i="7"/>
  <c r="BC26" i="7"/>
  <c r="F27" i="7"/>
  <c r="BC27" i="7" s="1"/>
  <c r="G27" i="7"/>
  <c r="BD27" i="7" s="1"/>
  <c r="BD26" i="7"/>
  <c r="F56" i="73"/>
  <c r="BI56" i="73" s="1"/>
  <c r="T282" i="50"/>
  <c r="BF282" i="50" s="1"/>
  <c r="BF60" i="50"/>
  <c r="E56" i="73"/>
  <c r="J56" i="53"/>
  <c r="I56" i="53"/>
  <c r="BP56" i="53" s="1"/>
  <c r="D56" i="73"/>
  <c r="BH56" i="73" s="1"/>
  <c r="U8" i="67"/>
  <c r="BD56" i="53"/>
  <c r="DF56" i="53" s="1"/>
  <c r="BI35" i="50"/>
  <c r="E43" i="85" s="1"/>
  <c r="W281" i="50"/>
  <c r="BI281" i="50" s="1"/>
  <c r="V56" i="53"/>
  <c r="CA56" i="53" s="1"/>
  <c r="W50" i="85" s="1"/>
  <c r="X26" i="7"/>
  <c r="E43" i="67"/>
  <c r="C25" i="67"/>
  <c r="AZ35" i="50"/>
  <c r="C25" i="85" s="1"/>
  <c r="N281" i="50"/>
  <c r="AZ281" i="50" s="1"/>
  <c r="L56" i="53"/>
  <c r="BR56" i="53" s="1"/>
  <c r="U29" i="85" s="1"/>
  <c r="Z29" i="85" s="1"/>
  <c r="N26" i="7"/>
  <c r="BA35" i="50"/>
  <c r="D25" i="85" s="1"/>
  <c r="D103" i="85" s="1"/>
  <c r="M56" i="53"/>
  <c r="BS56" i="53" s="1"/>
  <c r="V29" i="85" s="1"/>
  <c r="O281" i="50"/>
  <c r="BA281" i="50" s="1"/>
  <c r="O26" i="7"/>
  <c r="D25" i="67"/>
  <c r="D103" i="67" s="1"/>
  <c r="J27" i="7"/>
  <c r="BG27" i="7" s="1"/>
  <c r="BG26" i="7"/>
  <c r="G60" i="50"/>
  <c r="AS69" i="50"/>
  <c r="BG35" i="50"/>
  <c r="C43" i="85" s="1"/>
  <c r="V26" i="7"/>
  <c r="C43" i="67"/>
  <c r="C103" i="67" s="1"/>
  <c r="T56" i="53"/>
  <c r="BY56" i="53" s="1"/>
  <c r="U50" i="85" s="1"/>
  <c r="Z50" i="85" s="1"/>
  <c r="U281" i="50"/>
  <c r="BG281" i="50" s="1"/>
  <c r="U60" i="50"/>
  <c r="BG60" i="50" s="1"/>
  <c r="C44" i="85" s="1"/>
  <c r="BG69" i="50"/>
  <c r="N60" i="50"/>
  <c r="AZ60" i="50" s="1"/>
  <c r="C26" i="85" s="1"/>
  <c r="AZ69" i="50"/>
  <c r="G56" i="73"/>
  <c r="F43" i="67"/>
  <c r="BJ35" i="50"/>
  <c r="F43" i="85" s="1"/>
  <c r="W56" i="53"/>
  <c r="CB56" i="53" s="1"/>
  <c r="X50" i="85" s="1"/>
  <c r="X281" i="50"/>
  <c r="BJ281" i="50" s="1"/>
  <c r="Y26" i="7"/>
  <c r="F7" i="67"/>
  <c r="AV35" i="50"/>
  <c r="F7" i="85" s="1"/>
  <c r="J281" i="50"/>
  <c r="AV281" i="50" s="1"/>
  <c r="G56" i="53"/>
  <c r="BN56" i="53" s="1"/>
  <c r="X8" i="85" s="1"/>
  <c r="I26" i="7"/>
  <c r="AU35" i="50"/>
  <c r="E7" i="85" s="1"/>
  <c r="H26" i="7"/>
  <c r="E7" i="67"/>
  <c r="I281" i="50"/>
  <c r="AU281" i="50" s="1"/>
  <c r="F56" i="53"/>
  <c r="BM56" i="53" s="1"/>
  <c r="W8" i="85" s="1"/>
  <c r="M282" i="50"/>
  <c r="AY282" i="50" s="1"/>
  <c r="AY60" i="50"/>
  <c r="W70" i="50"/>
  <c r="BI70" i="50" s="1"/>
  <c r="V69" i="50"/>
  <c r="P70" i="50"/>
  <c r="BB70" i="50" s="1"/>
  <c r="O69" i="50"/>
  <c r="H69" i="50"/>
  <c r="I70" i="50"/>
  <c r="AU70" i="50" s="1"/>
  <c r="D28" i="49" l="1"/>
  <c r="N282" i="50"/>
  <c r="AZ282" i="50" s="1"/>
  <c r="C26" i="67"/>
  <c r="W125" i="85"/>
  <c r="C103" i="85"/>
  <c r="E103" i="85"/>
  <c r="AA29" i="85"/>
  <c r="X125" i="85"/>
  <c r="G103" i="85"/>
  <c r="Y125" i="85"/>
  <c r="AA125" i="85" s="1"/>
  <c r="AA50" i="85"/>
  <c r="I14" i="49"/>
  <c r="F103" i="85"/>
  <c r="U282" i="50"/>
  <c r="BG282" i="50" s="1"/>
  <c r="V125" i="85"/>
  <c r="U125" i="85"/>
  <c r="Z125" i="85" s="1"/>
  <c r="G103" i="67"/>
  <c r="AL14" i="67"/>
  <c r="I27" i="49"/>
  <c r="AL14" i="85" s="1"/>
  <c r="D27" i="49"/>
  <c r="J28" i="49"/>
  <c r="AL6" i="67"/>
  <c r="I13" i="49"/>
  <c r="AL6" i="85" s="1"/>
  <c r="F103" i="67"/>
  <c r="AT26" i="7"/>
  <c r="CQ26" i="7" s="1"/>
  <c r="AL22" i="67"/>
  <c r="I41" i="49"/>
  <c r="AL22" i="85" s="1"/>
  <c r="AY56" i="53"/>
  <c r="D14" i="49"/>
  <c r="AS60" i="50"/>
  <c r="C8" i="85" s="1"/>
  <c r="C104" i="85" s="1"/>
  <c r="R56" i="53"/>
  <c r="Q56" i="53"/>
  <c r="BW56" i="53" s="1"/>
  <c r="O56" i="73"/>
  <c r="BN56" i="73" s="1"/>
  <c r="AX56" i="53"/>
  <c r="U29" i="67"/>
  <c r="Z29" i="67" s="1"/>
  <c r="P56" i="73"/>
  <c r="AA56" i="73"/>
  <c r="Z56" i="73"/>
  <c r="BT56" i="73" s="1"/>
  <c r="Z56" i="53"/>
  <c r="U50" i="67"/>
  <c r="Z50" i="67" s="1"/>
  <c r="Y56" i="53"/>
  <c r="CD56" i="53" s="1"/>
  <c r="V60" i="50"/>
  <c r="BH60" i="50" s="1"/>
  <c r="D44" i="85" s="1"/>
  <c r="BH69" i="50"/>
  <c r="G282" i="50"/>
  <c r="AS282" i="50" s="1"/>
  <c r="W8" i="67"/>
  <c r="BF56" i="53"/>
  <c r="DH56" i="53" s="1"/>
  <c r="AZ56" i="53"/>
  <c r="I56" i="73"/>
  <c r="H56" i="73"/>
  <c r="BJ56" i="73" s="1"/>
  <c r="V27" i="7"/>
  <c r="BS27" i="7" s="1"/>
  <c r="BS26" i="7"/>
  <c r="Q27" i="7"/>
  <c r="BN27" i="7" s="1"/>
  <c r="BN26" i="7"/>
  <c r="BO26" i="7"/>
  <c r="R27" i="7"/>
  <c r="BO27" i="7" s="1"/>
  <c r="AX26" i="7"/>
  <c r="W29" i="67"/>
  <c r="S56" i="73"/>
  <c r="BP56" i="73" s="1"/>
  <c r="T56" i="73"/>
  <c r="O60" i="50"/>
  <c r="BA60" i="50" s="1"/>
  <c r="D26" i="85" s="1"/>
  <c r="BA69" i="50"/>
  <c r="C8" i="67"/>
  <c r="X8" i="67"/>
  <c r="J56" i="73"/>
  <c r="BK56" i="73" s="1"/>
  <c r="BA56" i="53"/>
  <c r="K56" i="73"/>
  <c r="BG56" i="53"/>
  <c r="DI56" i="53" s="1"/>
  <c r="V29" i="67"/>
  <c r="V125" i="67" s="1"/>
  <c r="R56" i="73"/>
  <c r="Q56" i="73"/>
  <c r="BO56" i="73" s="1"/>
  <c r="X29" i="67"/>
  <c r="U56" i="73"/>
  <c r="BQ56" i="73" s="1"/>
  <c r="V56" i="73"/>
  <c r="Y50" i="67"/>
  <c r="AH56" i="73"/>
  <c r="BX56" i="73" s="1"/>
  <c r="AI56" i="73"/>
  <c r="AV26" i="7"/>
  <c r="H27" i="7"/>
  <c r="BE27" i="7" s="1"/>
  <c r="BE26" i="7"/>
  <c r="Y27" i="7"/>
  <c r="BV27" i="7" s="1"/>
  <c r="BV26" i="7"/>
  <c r="W50" i="67"/>
  <c r="AE56" i="73"/>
  <c r="AD56" i="73"/>
  <c r="BV56" i="73" s="1"/>
  <c r="BM26" i="7"/>
  <c r="P27" i="7"/>
  <c r="BM27" i="7" s="1"/>
  <c r="BK26" i="7"/>
  <c r="N27" i="7"/>
  <c r="BK27" i="7" s="1"/>
  <c r="H60" i="50"/>
  <c r="AT60" i="50" s="1"/>
  <c r="D8" i="85" s="1"/>
  <c r="AT69" i="50"/>
  <c r="X50" i="67"/>
  <c r="AF56" i="73"/>
  <c r="BW56" i="73" s="1"/>
  <c r="AG56" i="73"/>
  <c r="Z27" i="7"/>
  <c r="BW27" i="7" s="1"/>
  <c r="BW26" i="7"/>
  <c r="BF26" i="7"/>
  <c r="AW26" i="7"/>
  <c r="I27" i="7"/>
  <c r="BF27" i="7" s="1"/>
  <c r="O27" i="7"/>
  <c r="BL27" i="7" s="1"/>
  <c r="BL26" i="7"/>
  <c r="AU26" i="7"/>
  <c r="Z8" i="67"/>
  <c r="AA8" i="67"/>
  <c r="Y29" i="67"/>
  <c r="X56" i="73"/>
  <c r="W56" i="73"/>
  <c r="BR56" i="73" s="1"/>
  <c r="BB56" i="53"/>
  <c r="D42" i="49"/>
  <c r="C44" i="67"/>
  <c r="E103" i="67"/>
  <c r="X27" i="7"/>
  <c r="BU27" i="7" s="1"/>
  <c r="BU26" i="7"/>
  <c r="W69" i="50"/>
  <c r="X70" i="50"/>
  <c r="BJ70" i="50" s="1"/>
  <c r="J70" i="50"/>
  <c r="AV70" i="50" s="1"/>
  <c r="I69" i="50"/>
  <c r="Q70" i="50"/>
  <c r="BC70" i="50" s="1"/>
  <c r="P69" i="50"/>
  <c r="E28" i="49" l="1"/>
  <c r="K28" i="49" s="1"/>
  <c r="O282" i="50"/>
  <c r="BA282" i="50" s="1"/>
  <c r="C104" i="67"/>
  <c r="D104" i="85"/>
  <c r="E14" i="49"/>
  <c r="K14" i="49" s="1"/>
  <c r="D13" i="49"/>
  <c r="J14" i="49"/>
  <c r="AT27" i="7"/>
  <c r="CQ27" i="7" s="1"/>
  <c r="AM14" i="67"/>
  <c r="J27" i="49"/>
  <c r="AM14" i="85" s="1"/>
  <c r="D41" i="49"/>
  <c r="J42" i="49"/>
  <c r="E27" i="49"/>
  <c r="M101" i="67"/>
  <c r="M102" i="67" s="1"/>
  <c r="DC56" i="53"/>
  <c r="M101" i="85" s="1"/>
  <c r="M102" i="85" s="1"/>
  <c r="L101" i="67"/>
  <c r="L102" i="67" s="1"/>
  <c r="DB56" i="53"/>
  <c r="L101" i="85" s="1"/>
  <c r="L102" i="85" s="1"/>
  <c r="N101" i="67"/>
  <c r="N102" i="67" s="1"/>
  <c r="DD56" i="53"/>
  <c r="N101" i="85" s="1"/>
  <c r="N102" i="85" s="1"/>
  <c r="AA50" i="67"/>
  <c r="J101" i="67"/>
  <c r="J102" i="67" s="1"/>
  <c r="CZ56" i="53"/>
  <c r="J101" i="85" s="1"/>
  <c r="K101" i="67"/>
  <c r="K102" i="67" s="1"/>
  <c r="DA56" i="53"/>
  <c r="K101" i="85" s="1"/>
  <c r="K102" i="85" s="1"/>
  <c r="D8" i="67"/>
  <c r="Y125" i="67"/>
  <c r="AA125" i="67" s="1"/>
  <c r="AA29" i="67"/>
  <c r="H282" i="50"/>
  <c r="AT282" i="50" s="1"/>
  <c r="D44" i="67"/>
  <c r="U125" i="67"/>
  <c r="Z125" i="67" s="1"/>
  <c r="AU27" i="7"/>
  <c r="CR27" i="7" s="1"/>
  <c r="CR26" i="7"/>
  <c r="AV27" i="7"/>
  <c r="CS27" i="7" s="1"/>
  <c r="CS26" i="7"/>
  <c r="W125" i="67"/>
  <c r="AX27" i="7"/>
  <c r="CU27" i="7" s="1"/>
  <c r="CU26" i="7"/>
  <c r="W60" i="50"/>
  <c r="BI60" i="50" s="1"/>
  <c r="E44" i="85" s="1"/>
  <c r="BI69" i="50"/>
  <c r="CT26" i="7"/>
  <c r="AW27" i="7"/>
  <c r="CT27" i="7" s="1"/>
  <c r="E42" i="49"/>
  <c r="X125" i="67"/>
  <c r="P60" i="50"/>
  <c r="BB60" i="50" s="1"/>
  <c r="E26" i="85" s="1"/>
  <c r="BB69" i="50"/>
  <c r="I60" i="50"/>
  <c r="AU60" i="50" s="1"/>
  <c r="E8" i="85" s="1"/>
  <c r="AU69" i="50"/>
  <c r="V282" i="50"/>
  <c r="BH282" i="50" s="1"/>
  <c r="D26" i="67"/>
  <c r="Q69" i="50"/>
  <c r="R70" i="50"/>
  <c r="BD70" i="50" s="1"/>
  <c r="K70" i="50"/>
  <c r="AW70" i="50" s="1"/>
  <c r="J69" i="50"/>
  <c r="Y70" i="50"/>
  <c r="BK70" i="50" s="1"/>
  <c r="X69" i="50"/>
  <c r="E13" i="49" l="1"/>
  <c r="K13" i="49" s="1"/>
  <c r="AN6" i="85" s="1"/>
  <c r="E104" i="85"/>
  <c r="O101" i="85"/>
  <c r="O102" i="85" s="1"/>
  <c r="J102" i="85"/>
  <c r="AN6" i="67"/>
  <c r="AM22" i="67"/>
  <c r="J41" i="49"/>
  <c r="AM22" i="85" s="1"/>
  <c r="E41" i="49"/>
  <c r="K42" i="49"/>
  <c r="D104" i="67"/>
  <c r="AN14" i="67"/>
  <c r="K27" i="49"/>
  <c r="AN14" i="85" s="1"/>
  <c r="AM6" i="67"/>
  <c r="J13" i="49"/>
  <c r="AM6" i="85" s="1"/>
  <c r="O101" i="67"/>
  <c r="O102" i="67" s="1"/>
  <c r="E8" i="67"/>
  <c r="E44" i="67"/>
  <c r="I282" i="50"/>
  <c r="AU282" i="50" s="1"/>
  <c r="J60" i="50"/>
  <c r="AV60" i="50" s="1"/>
  <c r="F8" i="85" s="1"/>
  <c r="AV69" i="50"/>
  <c r="X60" i="50"/>
  <c r="BJ60" i="50" s="1"/>
  <c r="F44" i="85" s="1"/>
  <c r="BJ69" i="50"/>
  <c r="W282" i="50"/>
  <c r="BI282" i="50" s="1"/>
  <c r="F14" i="49"/>
  <c r="Q60" i="50"/>
  <c r="BC60" i="50" s="1"/>
  <c r="F26" i="85" s="1"/>
  <c r="BC69" i="50"/>
  <c r="F42" i="49"/>
  <c r="E26" i="67"/>
  <c r="F28" i="49"/>
  <c r="P282" i="50"/>
  <c r="BB282" i="50" s="1"/>
  <c r="K69" i="50"/>
  <c r="R69" i="50"/>
  <c r="Y69" i="50"/>
  <c r="F104" i="85" l="1"/>
  <c r="E104" i="67"/>
  <c r="F8" i="67"/>
  <c r="F41" i="49"/>
  <c r="L42" i="49"/>
  <c r="AN22" i="67"/>
  <c r="K41" i="49"/>
  <c r="AN22" i="85" s="1"/>
  <c r="F26" i="67"/>
  <c r="F13" i="49"/>
  <c r="L14" i="49"/>
  <c r="F27" i="49"/>
  <c r="L28" i="49"/>
  <c r="J282" i="50"/>
  <c r="AV282" i="50" s="1"/>
  <c r="Q282" i="50"/>
  <c r="BC282" i="50" s="1"/>
  <c r="G28" i="49"/>
  <c r="X282" i="50"/>
  <c r="BJ282" i="50" s="1"/>
  <c r="Y60" i="50"/>
  <c r="BK60" i="50" s="1"/>
  <c r="G44" i="85" s="1"/>
  <c r="BK69" i="50"/>
  <c r="R60" i="50"/>
  <c r="BD60" i="50" s="1"/>
  <c r="G26" i="85" s="1"/>
  <c r="BD69" i="50"/>
  <c r="K60" i="50"/>
  <c r="AW69" i="50"/>
  <c r="G14" i="49"/>
  <c r="G42" i="49"/>
  <c r="F44" i="67"/>
  <c r="M32" i="50"/>
  <c r="M130" i="50"/>
  <c r="M126" i="50"/>
  <c r="AY126" i="50" s="1"/>
  <c r="F124" i="50"/>
  <c r="T120" i="50"/>
  <c r="M18" i="50"/>
  <c r="M33" i="50"/>
  <c r="M125" i="50"/>
  <c r="T23" i="50"/>
  <c r="F129" i="50"/>
  <c r="F29" i="50"/>
  <c r="F122" i="50"/>
  <c r="F31" i="50"/>
  <c r="T129" i="50"/>
  <c r="T122" i="50"/>
  <c r="T128" i="50"/>
  <c r="BF128" i="50" s="1"/>
  <c r="M17" i="50"/>
  <c r="M26" i="50"/>
  <c r="T33" i="50"/>
  <c r="F116" i="50"/>
  <c r="T113" i="50"/>
  <c r="BF113" i="50" s="1"/>
  <c r="M23" i="50"/>
  <c r="M29" i="50"/>
  <c r="AY29" i="50" s="1"/>
  <c r="F21" i="50"/>
  <c r="T121" i="50"/>
  <c r="M114" i="50"/>
  <c r="M25" i="50"/>
  <c r="F118" i="50"/>
  <c r="M117" i="50"/>
  <c r="M115" i="50"/>
  <c r="T17" i="50"/>
  <c r="M12" i="50"/>
  <c r="F114" i="50"/>
  <c r="F34" i="50"/>
  <c r="F126" i="50"/>
  <c r="F119" i="50"/>
  <c r="T118" i="50"/>
  <c r="M21" i="50"/>
  <c r="M27" i="50"/>
  <c r="AY27" i="50" s="1"/>
  <c r="M22" i="50"/>
  <c r="AY22" i="50" s="1"/>
  <c r="M20" i="50"/>
  <c r="F24" i="50"/>
  <c r="T16" i="50"/>
  <c r="F115" i="50"/>
  <c r="F15" i="50"/>
  <c r="AR15" i="50" s="1"/>
  <c r="T32" i="50"/>
  <c r="M24" i="50"/>
  <c r="F28" i="50"/>
  <c r="T130" i="50"/>
  <c r="M121" i="50"/>
  <c r="F27" i="50"/>
  <c r="F12" i="50"/>
  <c r="T15" i="50"/>
  <c r="M30" i="50"/>
  <c r="F125" i="50"/>
  <c r="T117" i="50"/>
  <c r="T114" i="50"/>
  <c r="BF114" i="50" s="1"/>
  <c r="F130" i="50"/>
  <c r="T34" i="50"/>
  <c r="T20" i="50"/>
  <c r="T123" i="50"/>
  <c r="BF123" i="50" s="1"/>
  <c r="M127" i="50"/>
  <c r="M116" i="50"/>
  <c r="T27" i="50"/>
  <c r="T115" i="50"/>
  <c r="BF115" i="50" s="1"/>
  <c r="F33" i="50"/>
  <c r="F18" i="50"/>
  <c r="M34" i="50"/>
  <c r="F120" i="50"/>
  <c r="F23" i="50"/>
  <c r="F30" i="50"/>
  <c r="M123" i="50"/>
  <c r="F20" i="50"/>
  <c r="T29" i="50"/>
  <c r="T28" i="50"/>
  <c r="BF28" i="50" s="1"/>
  <c r="M31" i="50"/>
  <c r="M120" i="50"/>
  <c r="F127" i="50"/>
  <c r="AR127" i="50" s="1"/>
  <c r="T124" i="50"/>
  <c r="F121" i="50"/>
  <c r="F17" i="50"/>
  <c r="AR17" i="50" s="1"/>
  <c r="T127" i="50"/>
  <c r="M28" i="50"/>
  <c r="T25" i="50"/>
  <c r="M122" i="50"/>
  <c r="F128" i="50"/>
  <c r="T12" i="50"/>
  <c r="BF12" i="50" s="1"/>
  <c r="M118" i="50"/>
  <c r="AY118" i="50" s="1"/>
  <c r="M128" i="50"/>
  <c r="AY128" i="50" s="1"/>
  <c r="T22" i="50"/>
  <c r="F112" i="50"/>
  <c r="M14" i="50"/>
  <c r="T18" i="50"/>
  <c r="F14" i="50"/>
  <c r="AR14" i="50" s="1"/>
  <c r="T119" i="50"/>
  <c r="M129" i="50"/>
  <c r="F16" i="50"/>
  <c r="T26" i="50"/>
  <c r="M16" i="50"/>
  <c r="T116" i="50"/>
  <c r="T125" i="50"/>
  <c r="M15" i="50"/>
  <c r="T31" i="50"/>
  <c r="T21" i="50"/>
  <c r="F117" i="50"/>
  <c r="F123" i="50"/>
  <c r="M124" i="50"/>
  <c r="T30" i="50"/>
  <c r="F113" i="50"/>
  <c r="T14" i="50"/>
  <c r="BF14" i="50" s="1"/>
  <c r="M113" i="50"/>
  <c r="T126" i="50"/>
  <c r="M119" i="50"/>
  <c r="F25" i="50"/>
  <c r="AR25" i="50" s="1"/>
  <c r="F32" i="50"/>
  <c r="AR32" i="50" s="1"/>
  <c r="T24" i="50"/>
  <c r="BF24" i="50" s="1"/>
  <c r="F22" i="50"/>
  <c r="AR22" i="50" s="1"/>
  <c r="M11" i="50"/>
  <c r="T112" i="50"/>
  <c r="BF112" i="50" s="1"/>
  <c r="T11" i="50"/>
  <c r="M112" i="50"/>
  <c r="F26" i="50"/>
  <c r="F11" i="50"/>
  <c r="F104" i="67" l="1"/>
  <c r="T179" i="50"/>
  <c r="BF179" i="50" s="1"/>
  <c r="BF119" i="50"/>
  <c r="M99" i="50"/>
  <c r="AY99" i="50" s="1"/>
  <c r="AY24" i="50"/>
  <c r="M108" i="50"/>
  <c r="AY108" i="50" s="1"/>
  <c r="AY33" i="50"/>
  <c r="M90" i="50"/>
  <c r="AY90" i="50" s="1"/>
  <c r="AY15" i="50"/>
  <c r="F188" i="50"/>
  <c r="AR188" i="50" s="1"/>
  <c r="AR128" i="50"/>
  <c r="G23" i="50"/>
  <c r="AS23" i="50" s="1"/>
  <c r="AR23" i="50"/>
  <c r="M187" i="50"/>
  <c r="AY187" i="50" s="1"/>
  <c r="AY127" i="50"/>
  <c r="M105" i="50"/>
  <c r="AY105" i="50" s="1"/>
  <c r="AY30" i="50"/>
  <c r="U32" i="50"/>
  <c r="C40" i="49" s="1"/>
  <c r="I40" i="49" s="1"/>
  <c r="BF32" i="50"/>
  <c r="M96" i="50"/>
  <c r="AY96" i="50" s="1"/>
  <c r="AY21" i="50"/>
  <c r="M175" i="50"/>
  <c r="AY175" i="50" s="1"/>
  <c r="AY115" i="50"/>
  <c r="M98" i="50"/>
  <c r="AY98" i="50" s="1"/>
  <c r="AY23" i="50"/>
  <c r="T189" i="50"/>
  <c r="BF189" i="50" s="1"/>
  <c r="BF129" i="50"/>
  <c r="M93" i="50"/>
  <c r="AY93" i="50" s="1"/>
  <c r="AY18" i="50"/>
  <c r="AO6" i="67"/>
  <c r="L13" i="49"/>
  <c r="AO6" i="85" s="1"/>
  <c r="T184" i="50"/>
  <c r="BF184" i="50" s="1"/>
  <c r="BF124" i="50"/>
  <c r="F185" i="50"/>
  <c r="AR185" i="50" s="1"/>
  <c r="AR125" i="50"/>
  <c r="M86" i="50"/>
  <c r="AY86" i="50" s="1"/>
  <c r="AY11" i="50"/>
  <c r="F173" i="50"/>
  <c r="AR173" i="50" s="1"/>
  <c r="AR113" i="50"/>
  <c r="T185" i="50"/>
  <c r="BF185" i="50" s="1"/>
  <c r="BF125" i="50"/>
  <c r="T93" i="50"/>
  <c r="BF93" i="50" s="1"/>
  <c r="BF18" i="50"/>
  <c r="N122" i="50"/>
  <c r="O122" i="50" s="1"/>
  <c r="BA122" i="50" s="1"/>
  <c r="AY122" i="50"/>
  <c r="N120" i="50"/>
  <c r="AY120" i="50"/>
  <c r="F180" i="50"/>
  <c r="AR180" i="50" s="1"/>
  <c r="AR120" i="50"/>
  <c r="T90" i="50"/>
  <c r="BF90" i="50" s="1"/>
  <c r="BF15" i="50"/>
  <c r="T178" i="50"/>
  <c r="BF178" i="50" s="1"/>
  <c r="BF118" i="50"/>
  <c r="N117" i="50"/>
  <c r="AZ117" i="50" s="1"/>
  <c r="AY117" i="50"/>
  <c r="F106" i="50"/>
  <c r="AR106" i="50" s="1"/>
  <c r="AR31" i="50"/>
  <c r="T180" i="50"/>
  <c r="BF180" i="50" s="1"/>
  <c r="BF120" i="50"/>
  <c r="G41" i="49"/>
  <c r="M42" i="49"/>
  <c r="U31" i="50"/>
  <c r="BG31" i="50" s="1"/>
  <c r="BF31" i="50"/>
  <c r="M176" i="50"/>
  <c r="AY176" i="50" s="1"/>
  <c r="AY116" i="50"/>
  <c r="T182" i="50"/>
  <c r="BF182" i="50" s="1"/>
  <c r="BF122" i="50"/>
  <c r="T105" i="50"/>
  <c r="BF105" i="50" s="1"/>
  <c r="BF30" i="50"/>
  <c r="T176" i="50"/>
  <c r="BF176" i="50" s="1"/>
  <c r="BF116" i="50"/>
  <c r="N14" i="50"/>
  <c r="AZ14" i="50" s="1"/>
  <c r="AY14" i="50"/>
  <c r="T100" i="50"/>
  <c r="BF100" i="50" s="1"/>
  <c r="BF25" i="50"/>
  <c r="N31" i="50"/>
  <c r="AZ31" i="50" s="1"/>
  <c r="AY31" i="50"/>
  <c r="M109" i="50"/>
  <c r="AY109" i="50" s="1"/>
  <c r="AY34" i="50"/>
  <c r="U20" i="50"/>
  <c r="BG20" i="50" s="1"/>
  <c r="BF20" i="50"/>
  <c r="F87" i="50"/>
  <c r="AR87" i="50" s="1"/>
  <c r="AR12" i="50"/>
  <c r="G115" i="50"/>
  <c r="AS115" i="50" s="1"/>
  <c r="AR115" i="50"/>
  <c r="F179" i="50"/>
  <c r="AR179" i="50" s="1"/>
  <c r="AR119" i="50"/>
  <c r="F178" i="50"/>
  <c r="AR178" i="50" s="1"/>
  <c r="AR118" i="50"/>
  <c r="G116" i="50"/>
  <c r="AS116" i="50" s="1"/>
  <c r="AR116" i="50"/>
  <c r="F182" i="50"/>
  <c r="AR182" i="50" s="1"/>
  <c r="AR122" i="50"/>
  <c r="F184" i="50"/>
  <c r="AR184" i="50" s="1"/>
  <c r="AR124" i="50"/>
  <c r="G13" i="49"/>
  <c r="M14" i="49"/>
  <c r="G27" i="49"/>
  <c r="M28" i="49"/>
  <c r="U17" i="50"/>
  <c r="BG17" i="50" s="1"/>
  <c r="BF17" i="50"/>
  <c r="F86" i="50"/>
  <c r="AR86" i="50" s="1"/>
  <c r="AR11" i="50"/>
  <c r="M184" i="50"/>
  <c r="AY184" i="50" s="1"/>
  <c r="AY124" i="50"/>
  <c r="M91" i="50"/>
  <c r="AY91" i="50" s="1"/>
  <c r="AY16" i="50"/>
  <c r="F172" i="50"/>
  <c r="AR172" i="50" s="1"/>
  <c r="AR112" i="50"/>
  <c r="M103" i="50"/>
  <c r="AY103" i="50" s="1"/>
  <c r="AY28" i="50"/>
  <c r="G18" i="50"/>
  <c r="AS18" i="50" s="1"/>
  <c r="AR18" i="50"/>
  <c r="T109" i="50"/>
  <c r="BF109" i="50" s="1"/>
  <c r="BF34" i="50"/>
  <c r="F102" i="50"/>
  <c r="AR102" i="50" s="1"/>
  <c r="AR27" i="50"/>
  <c r="T91" i="50"/>
  <c r="BF91" i="50" s="1"/>
  <c r="BF16" i="50"/>
  <c r="F186" i="50"/>
  <c r="AR186" i="50" s="1"/>
  <c r="AR126" i="50"/>
  <c r="M100" i="50"/>
  <c r="AY100" i="50" s="1"/>
  <c r="AY25" i="50"/>
  <c r="T108" i="50"/>
  <c r="BF108" i="50" s="1"/>
  <c r="BF33" i="50"/>
  <c r="F104" i="50"/>
  <c r="AR104" i="50" s="1"/>
  <c r="AR29" i="50"/>
  <c r="N113" i="50"/>
  <c r="AZ113" i="50" s="1"/>
  <c r="AY113" i="50"/>
  <c r="F101" i="50"/>
  <c r="AR101" i="50" s="1"/>
  <c r="AR26" i="50"/>
  <c r="F183" i="50"/>
  <c r="AR183" i="50" s="1"/>
  <c r="AR123" i="50"/>
  <c r="T101" i="50"/>
  <c r="BF101" i="50" s="1"/>
  <c r="BF26" i="50"/>
  <c r="U22" i="50"/>
  <c r="BG22" i="50" s="1"/>
  <c r="BF22" i="50"/>
  <c r="T187" i="50"/>
  <c r="BF187" i="50" s="1"/>
  <c r="BF127" i="50"/>
  <c r="T104" i="50"/>
  <c r="BF104" i="50" s="1"/>
  <c r="BF29" i="50"/>
  <c r="F108" i="50"/>
  <c r="AR108" i="50" s="1"/>
  <c r="AR33" i="50"/>
  <c r="F190" i="50"/>
  <c r="AR190" i="50" s="1"/>
  <c r="AR130" i="50"/>
  <c r="M181" i="50"/>
  <c r="AY181" i="50" s="1"/>
  <c r="AY121" i="50"/>
  <c r="G24" i="50"/>
  <c r="AS24" i="50" s="1"/>
  <c r="AR24" i="50"/>
  <c r="F109" i="50"/>
  <c r="AR109" i="50" s="1"/>
  <c r="AR34" i="50"/>
  <c r="M174" i="50"/>
  <c r="AY174" i="50" s="1"/>
  <c r="AY114" i="50"/>
  <c r="M101" i="50"/>
  <c r="AY101" i="50" s="1"/>
  <c r="AY26" i="50"/>
  <c r="F189" i="50"/>
  <c r="AR189" i="50" s="1"/>
  <c r="AR129" i="50"/>
  <c r="M190" i="50"/>
  <c r="AY190" i="50" s="1"/>
  <c r="AY130" i="50"/>
  <c r="G30" i="50"/>
  <c r="AS30" i="50" s="1"/>
  <c r="AR30" i="50"/>
  <c r="M179" i="50"/>
  <c r="AY179" i="50" s="1"/>
  <c r="AY119" i="50"/>
  <c r="F91" i="50"/>
  <c r="AR91" i="50" s="1"/>
  <c r="AR16" i="50"/>
  <c r="G20" i="50"/>
  <c r="AS20" i="50" s="1"/>
  <c r="AR20" i="50"/>
  <c r="T190" i="50"/>
  <c r="BF190" i="50" s="1"/>
  <c r="BF130" i="50"/>
  <c r="N20" i="50"/>
  <c r="AZ20" i="50" s="1"/>
  <c r="AY20" i="50"/>
  <c r="F174" i="50"/>
  <c r="AR174" i="50" s="1"/>
  <c r="AR114" i="50"/>
  <c r="T181" i="50"/>
  <c r="BF181" i="50" s="1"/>
  <c r="BF121" i="50"/>
  <c r="M92" i="50"/>
  <c r="AY92" i="50" s="1"/>
  <c r="AY17" i="50"/>
  <c r="T98" i="50"/>
  <c r="BF98" i="50" s="1"/>
  <c r="BF23" i="50"/>
  <c r="N32" i="50"/>
  <c r="AZ32" i="50" s="1"/>
  <c r="AY32" i="50"/>
  <c r="AO22" i="67"/>
  <c r="L41" i="49"/>
  <c r="AO22" i="85" s="1"/>
  <c r="N112" i="50"/>
  <c r="AZ112" i="50" s="1"/>
  <c r="AY112" i="50"/>
  <c r="F177" i="50"/>
  <c r="AR177" i="50" s="1"/>
  <c r="AR117" i="50"/>
  <c r="T86" i="50"/>
  <c r="BF86" i="50" s="1"/>
  <c r="BF11" i="50"/>
  <c r="T186" i="50"/>
  <c r="BF186" i="50" s="1"/>
  <c r="BF126" i="50"/>
  <c r="T96" i="50"/>
  <c r="BF96" i="50" s="1"/>
  <c r="BF21" i="50"/>
  <c r="M189" i="50"/>
  <c r="AY189" i="50" s="1"/>
  <c r="AY129" i="50"/>
  <c r="F181" i="50"/>
  <c r="AR181" i="50" s="1"/>
  <c r="AR121" i="50"/>
  <c r="N123" i="50"/>
  <c r="AZ123" i="50" s="1"/>
  <c r="AY123" i="50"/>
  <c r="U27" i="50"/>
  <c r="BG27" i="50" s="1"/>
  <c r="BF27" i="50"/>
  <c r="T177" i="50"/>
  <c r="BF177" i="50" s="1"/>
  <c r="BF117" i="50"/>
  <c r="F103" i="50"/>
  <c r="AR103" i="50" s="1"/>
  <c r="AR28" i="50"/>
  <c r="M87" i="50"/>
  <c r="AY87" i="50" s="1"/>
  <c r="AY12" i="50"/>
  <c r="F96" i="50"/>
  <c r="AR96" i="50" s="1"/>
  <c r="AR21" i="50"/>
  <c r="M185" i="50"/>
  <c r="AY185" i="50" s="1"/>
  <c r="AY125" i="50"/>
  <c r="Y282" i="50"/>
  <c r="BK282" i="50" s="1"/>
  <c r="AO14" i="67"/>
  <c r="L27" i="49"/>
  <c r="AO14" i="85" s="1"/>
  <c r="G26" i="67"/>
  <c r="G44" i="67"/>
  <c r="AO35" i="50"/>
  <c r="K282" i="50"/>
  <c r="AW282" i="50" s="1"/>
  <c r="R282" i="50"/>
  <c r="BD282" i="50" s="1"/>
  <c r="G8" i="67"/>
  <c r="AW60" i="50"/>
  <c r="G8" i="85" s="1"/>
  <c r="G104" i="85" s="1"/>
  <c r="U126" i="50"/>
  <c r="T13" i="50"/>
  <c r="BF13" i="50" s="1"/>
  <c r="U30" i="50"/>
  <c r="U29" i="50"/>
  <c r="F105" i="50"/>
  <c r="AR105" i="50" s="1"/>
  <c r="N129" i="50"/>
  <c r="N11" i="50"/>
  <c r="U130" i="50"/>
  <c r="T97" i="50"/>
  <c r="BF97" i="50" s="1"/>
  <c r="U121" i="50"/>
  <c r="N17" i="50"/>
  <c r="U23" i="50"/>
  <c r="N18" i="50"/>
  <c r="U124" i="50"/>
  <c r="M106" i="50"/>
  <c r="AY106" i="50" s="1"/>
  <c r="U34" i="50"/>
  <c r="BG34" i="50" s="1"/>
  <c r="U117" i="50"/>
  <c r="U15" i="50"/>
  <c r="V32" i="50"/>
  <c r="T92" i="50"/>
  <c r="BF92" i="50" s="1"/>
  <c r="N125" i="50"/>
  <c r="N115" i="50"/>
  <c r="U122" i="50"/>
  <c r="N130" i="50"/>
  <c r="N124" i="50"/>
  <c r="N16" i="50"/>
  <c r="G16" i="50"/>
  <c r="U18" i="50"/>
  <c r="N28" i="50"/>
  <c r="AZ28" i="50" s="1"/>
  <c r="N34" i="50"/>
  <c r="T102" i="50"/>
  <c r="BF102" i="50" s="1"/>
  <c r="N116" i="50"/>
  <c r="AZ116" i="50" s="1"/>
  <c r="N30" i="50"/>
  <c r="N121" i="50"/>
  <c r="AZ121" i="50" s="1"/>
  <c r="N114" i="50"/>
  <c r="N23" i="50"/>
  <c r="M183" i="50"/>
  <c r="AY183" i="50" s="1"/>
  <c r="C19" i="49"/>
  <c r="N119" i="50"/>
  <c r="U25" i="50"/>
  <c r="N127" i="50"/>
  <c r="AZ127" i="50" s="1"/>
  <c r="G119" i="50"/>
  <c r="G126" i="50"/>
  <c r="G34" i="50"/>
  <c r="U120" i="50"/>
  <c r="G120" i="50"/>
  <c r="G33" i="50"/>
  <c r="G27" i="50"/>
  <c r="G28" i="50"/>
  <c r="G21" i="50"/>
  <c r="G11" i="50"/>
  <c r="G117" i="50"/>
  <c r="G31" i="50"/>
  <c r="G125" i="50"/>
  <c r="AS125" i="50" s="1"/>
  <c r="F99" i="50"/>
  <c r="AR99" i="50" s="1"/>
  <c r="G114" i="50"/>
  <c r="F93" i="50"/>
  <c r="AR93" i="50" s="1"/>
  <c r="G130" i="50"/>
  <c r="AS130" i="50" s="1"/>
  <c r="G12" i="50"/>
  <c r="F97" i="50"/>
  <c r="AR97" i="50" s="1"/>
  <c r="G22" i="50"/>
  <c r="AS22" i="50" s="1"/>
  <c r="F100" i="50"/>
  <c r="AR100" i="50" s="1"/>
  <c r="G25" i="50"/>
  <c r="AS25" i="50" s="1"/>
  <c r="U106" i="50"/>
  <c r="BG106" i="50" s="1"/>
  <c r="V31" i="50"/>
  <c r="BH31" i="50" s="1"/>
  <c r="T99" i="50"/>
  <c r="BF99" i="50" s="1"/>
  <c r="U24" i="50"/>
  <c r="BG24" i="50" s="1"/>
  <c r="G32" i="50"/>
  <c r="F107" i="50"/>
  <c r="AR107" i="50" s="1"/>
  <c r="D47" i="49"/>
  <c r="F13" i="50"/>
  <c r="AR13" i="50" s="1"/>
  <c r="F89" i="50"/>
  <c r="AR89" i="50" s="1"/>
  <c r="M188" i="50"/>
  <c r="AY188" i="50" s="1"/>
  <c r="N128" i="50"/>
  <c r="AZ128" i="50" s="1"/>
  <c r="M182" i="50"/>
  <c r="AY182" i="50" s="1"/>
  <c r="G95" i="50"/>
  <c r="AS95" i="50" s="1"/>
  <c r="M173" i="50"/>
  <c r="AY173" i="50" s="1"/>
  <c r="T175" i="50"/>
  <c r="BF175" i="50" s="1"/>
  <c r="U115" i="50"/>
  <c r="BG115" i="50" s="1"/>
  <c r="F90" i="50"/>
  <c r="AR90" i="50" s="1"/>
  <c r="G15" i="50"/>
  <c r="AS15" i="50" s="1"/>
  <c r="T111" i="50"/>
  <c r="BF111" i="50" s="1"/>
  <c r="T172" i="50"/>
  <c r="BF172" i="50" s="1"/>
  <c r="U21" i="50"/>
  <c r="BG21" i="50" s="1"/>
  <c r="T106" i="50"/>
  <c r="BF106" i="50" s="1"/>
  <c r="U116" i="50"/>
  <c r="BG116" i="50" s="1"/>
  <c r="U26" i="50"/>
  <c r="BG26" i="50" s="1"/>
  <c r="F111" i="50"/>
  <c r="AR111" i="50" s="1"/>
  <c r="G112" i="50"/>
  <c r="AS112" i="50" s="1"/>
  <c r="T87" i="50"/>
  <c r="BF87" i="50" s="1"/>
  <c r="U12" i="50"/>
  <c r="BG12" i="50" s="1"/>
  <c r="U127" i="50"/>
  <c r="BG127" i="50" s="1"/>
  <c r="N180" i="50"/>
  <c r="AZ180" i="50" s="1"/>
  <c r="G33" i="49"/>
  <c r="M13" i="50"/>
  <c r="AY13" i="50" s="1"/>
  <c r="M89" i="50"/>
  <c r="N118" i="50"/>
  <c r="AZ118" i="50" s="1"/>
  <c r="M178" i="50"/>
  <c r="AY178" i="50" s="1"/>
  <c r="U28" i="50"/>
  <c r="BG28" i="50" s="1"/>
  <c r="T103" i="50"/>
  <c r="BF103" i="50" s="1"/>
  <c r="F98" i="50"/>
  <c r="AR98" i="50" s="1"/>
  <c r="T174" i="50"/>
  <c r="BF174" i="50" s="1"/>
  <c r="U114" i="50"/>
  <c r="BG114" i="50" s="1"/>
  <c r="E47" i="49"/>
  <c r="G26" i="50"/>
  <c r="AS26" i="50" s="1"/>
  <c r="M111" i="50"/>
  <c r="AY111" i="50" s="1"/>
  <c r="M172" i="50"/>
  <c r="AY172" i="50" s="1"/>
  <c r="U11" i="50"/>
  <c r="BG11" i="50" s="1"/>
  <c r="U112" i="50"/>
  <c r="BG112" i="50" s="1"/>
  <c r="U14" i="50"/>
  <c r="BG14" i="50" s="1"/>
  <c r="G113" i="50"/>
  <c r="AS113" i="50" s="1"/>
  <c r="G123" i="50"/>
  <c r="AS123" i="50" s="1"/>
  <c r="N15" i="50"/>
  <c r="AZ15" i="50" s="1"/>
  <c r="U125" i="50"/>
  <c r="BG125" i="50" s="1"/>
  <c r="U119" i="50"/>
  <c r="BG119" i="50" s="1"/>
  <c r="G14" i="50"/>
  <c r="AS14" i="50" s="1"/>
  <c r="G128" i="50"/>
  <c r="AS128" i="50" s="1"/>
  <c r="F92" i="50"/>
  <c r="AR92" i="50" s="1"/>
  <c r="G17" i="50"/>
  <c r="AS17" i="50" s="1"/>
  <c r="G121" i="50"/>
  <c r="AS121" i="50" s="1"/>
  <c r="F187" i="50"/>
  <c r="AR187" i="50" s="1"/>
  <c r="G127" i="50"/>
  <c r="AS127" i="50" s="1"/>
  <c r="M180" i="50"/>
  <c r="AY180" i="50" s="1"/>
  <c r="T89" i="50"/>
  <c r="BF89" i="50" s="1"/>
  <c r="H20" i="50"/>
  <c r="AT20" i="50" s="1"/>
  <c r="T183" i="50"/>
  <c r="BF183" i="50" s="1"/>
  <c r="U123" i="50"/>
  <c r="BG123" i="50" s="1"/>
  <c r="T19" i="50"/>
  <c r="BF19" i="50" s="1"/>
  <c r="T95" i="50"/>
  <c r="BF95" i="50" s="1"/>
  <c r="M102" i="50"/>
  <c r="AY102" i="50" s="1"/>
  <c r="N27" i="50"/>
  <c r="AZ27" i="50" s="1"/>
  <c r="F19" i="49"/>
  <c r="F175" i="50"/>
  <c r="AR175" i="50" s="1"/>
  <c r="N95" i="50"/>
  <c r="AZ95" i="50" s="1"/>
  <c r="O20" i="50"/>
  <c r="BA20" i="50" s="1"/>
  <c r="N177" i="50"/>
  <c r="AZ177" i="50" s="1"/>
  <c r="O117" i="50"/>
  <c r="BA117" i="50" s="1"/>
  <c r="F19" i="50"/>
  <c r="AR19" i="50" s="1"/>
  <c r="F95" i="50"/>
  <c r="AR95" i="50" s="1"/>
  <c r="N24" i="50"/>
  <c r="AZ24" i="50" s="1"/>
  <c r="M97" i="50"/>
  <c r="AY97" i="50" s="1"/>
  <c r="N22" i="50"/>
  <c r="AZ22" i="50" s="1"/>
  <c r="U16" i="50"/>
  <c r="BG16" i="50" s="1"/>
  <c r="M19" i="50"/>
  <c r="AY19" i="50" s="1"/>
  <c r="U118" i="50"/>
  <c r="BG118" i="50" s="1"/>
  <c r="N12" i="50"/>
  <c r="AZ12" i="50" s="1"/>
  <c r="G47" i="49"/>
  <c r="T107" i="50"/>
  <c r="BF107" i="50" s="1"/>
  <c r="N21" i="50"/>
  <c r="AZ21" i="50" s="1"/>
  <c r="M177" i="50"/>
  <c r="AY177" i="50" s="1"/>
  <c r="G118" i="50"/>
  <c r="AS118" i="50" s="1"/>
  <c r="U128" i="50"/>
  <c r="BG128" i="50" s="1"/>
  <c r="T188" i="50"/>
  <c r="BF188" i="50" s="1"/>
  <c r="N25" i="50"/>
  <c r="AZ25" i="50" s="1"/>
  <c r="M104" i="50"/>
  <c r="AY104" i="50" s="1"/>
  <c r="N29" i="50"/>
  <c r="AZ29" i="50" s="1"/>
  <c r="T173" i="50"/>
  <c r="BF173" i="50" s="1"/>
  <c r="U113" i="50"/>
  <c r="BG113" i="50" s="1"/>
  <c r="G176" i="50"/>
  <c r="AS176" i="50" s="1"/>
  <c r="H116" i="50"/>
  <c r="AT116" i="50" s="1"/>
  <c r="F47" i="49"/>
  <c r="M95" i="50"/>
  <c r="AY95" i="50" s="1"/>
  <c r="F176" i="50"/>
  <c r="AR176" i="50" s="1"/>
  <c r="U33" i="50"/>
  <c r="BG33" i="50" s="1"/>
  <c r="N26" i="50"/>
  <c r="AZ26" i="50" s="1"/>
  <c r="G122" i="50"/>
  <c r="AS122" i="50" s="1"/>
  <c r="G29" i="50"/>
  <c r="AS29" i="50" s="1"/>
  <c r="N33" i="50"/>
  <c r="AZ33" i="50" s="1"/>
  <c r="G124" i="50"/>
  <c r="AS124" i="50" s="1"/>
  <c r="G19" i="49"/>
  <c r="U129" i="50"/>
  <c r="BG129" i="50" s="1"/>
  <c r="G129" i="50"/>
  <c r="AS129" i="50" s="1"/>
  <c r="E33" i="49"/>
  <c r="M186" i="50"/>
  <c r="AY186" i="50" s="1"/>
  <c r="N126" i="50"/>
  <c r="AZ126" i="50" s="1"/>
  <c r="M107" i="50"/>
  <c r="AY107" i="50" s="1"/>
  <c r="E19" i="49"/>
  <c r="F33" i="49"/>
  <c r="C33" i="49"/>
  <c r="D19" i="49"/>
  <c r="D33" i="49"/>
  <c r="G99" i="50" l="1"/>
  <c r="AS99" i="50" s="1"/>
  <c r="N183" i="50"/>
  <c r="AZ183" i="50" s="1"/>
  <c r="U92" i="50"/>
  <c r="BG92" i="50" s="1"/>
  <c r="O32" i="50"/>
  <c r="BA32" i="50" s="1"/>
  <c r="H115" i="50"/>
  <c r="AT115" i="50" s="1"/>
  <c r="C26" i="49"/>
  <c r="I26" i="49" s="1"/>
  <c r="G175" i="50"/>
  <c r="AS175" i="50" s="1"/>
  <c r="O31" i="50"/>
  <c r="BA31" i="50" s="1"/>
  <c r="H23" i="50"/>
  <c r="AT23" i="50" s="1"/>
  <c r="N107" i="50"/>
  <c r="AZ107" i="50" s="1"/>
  <c r="V17" i="50"/>
  <c r="BH17" i="50" s="1"/>
  <c r="H24" i="50"/>
  <c r="AT24" i="50" s="1"/>
  <c r="N106" i="50"/>
  <c r="AZ106" i="50" s="1"/>
  <c r="G98" i="50"/>
  <c r="AS98" i="50" s="1"/>
  <c r="N173" i="50"/>
  <c r="AZ173" i="50" s="1"/>
  <c r="O123" i="50"/>
  <c r="BA123" i="50" s="1"/>
  <c r="O14" i="50"/>
  <c r="BA14" i="50" s="1"/>
  <c r="V27" i="50"/>
  <c r="BH27" i="50" s="1"/>
  <c r="N89" i="50"/>
  <c r="AZ89" i="50" s="1"/>
  <c r="H30" i="50"/>
  <c r="AT30" i="50" s="1"/>
  <c r="V22" i="50"/>
  <c r="BH22" i="50" s="1"/>
  <c r="H18" i="50"/>
  <c r="AT18" i="50" s="1"/>
  <c r="G104" i="67"/>
  <c r="G105" i="50"/>
  <c r="AS105" i="50" s="1"/>
  <c r="U97" i="50"/>
  <c r="BG97" i="50" s="1"/>
  <c r="G93" i="50"/>
  <c r="AS93" i="50" s="1"/>
  <c r="V20" i="50"/>
  <c r="BH20" i="50" s="1"/>
  <c r="O112" i="50"/>
  <c r="BA112" i="50" s="1"/>
  <c r="U95" i="50"/>
  <c r="BG95" i="50" s="1"/>
  <c r="O113" i="50"/>
  <c r="BA113" i="50" s="1"/>
  <c r="AP24" i="67"/>
  <c r="M47" i="49"/>
  <c r="AP24" i="85" s="1"/>
  <c r="G103" i="50"/>
  <c r="AS103" i="50" s="1"/>
  <c r="AS28" i="50"/>
  <c r="O30" i="50"/>
  <c r="BA30" i="50" s="1"/>
  <c r="AZ30" i="50"/>
  <c r="N184" i="50"/>
  <c r="AZ184" i="50" s="1"/>
  <c r="AZ124" i="50"/>
  <c r="U177" i="50"/>
  <c r="BG177" i="50" s="1"/>
  <c r="BG117" i="50"/>
  <c r="AP6" i="67"/>
  <c r="M13" i="49"/>
  <c r="AP6" i="85" s="1"/>
  <c r="U105" i="50"/>
  <c r="BG105" i="50" s="1"/>
  <c r="BG30" i="50"/>
  <c r="AN8" i="67"/>
  <c r="K19" i="49"/>
  <c r="AN8" i="85" s="1"/>
  <c r="AO24" i="67"/>
  <c r="L47" i="49"/>
  <c r="AO24" i="85" s="1"/>
  <c r="G174" i="50"/>
  <c r="AS174" i="50" s="1"/>
  <c r="AS114" i="50"/>
  <c r="G102" i="50"/>
  <c r="AS102" i="50" s="1"/>
  <c r="AS27" i="50"/>
  <c r="U100" i="50"/>
  <c r="BG100" i="50" s="1"/>
  <c r="BG25" i="50"/>
  <c r="N190" i="50"/>
  <c r="AZ190" i="50" s="1"/>
  <c r="AZ130" i="50"/>
  <c r="U190" i="50"/>
  <c r="BG190" i="50" s="1"/>
  <c r="BG130" i="50"/>
  <c r="U186" i="50"/>
  <c r="BG186" i="50" s="1"/>
  <c r="BG126" i="50"/>
  <c r="N91" i="50"/>
  <c r="AZ91" i="50" s="1"/>
  <c r="AZ16" i="50"/>
  <c r="AN24" i="67"/>
  <c r="K47" i="49"/>
  <c r="AN24" i="85" s="1"/>
  <c r="G108" i="50"/>
  <c r="AS108" i="50" s="1"/>
  <c r="AS33" i="50"/>
  <c r="O119" i="50"/>
  <c r="BA119" i="50" s="1"/>
  <c r="AZ119" i="50"/>
  <c r="U182" i="50"/>
  <c r="BG182" i="50" s="1"/>
  <c r="BG122" i="50"/>
  <c r="N86" i="50"/>
  <c r="AZ86" i="50" s="1"/>
  <c r="AZ11" i="50"/>
  <c r="O120" i="50"/>
  <c r="AZ120" i="50"/>
  <c r="U90" i="50"/>
  <c r="BG90" i="50" s="1"/>
  <c r="BG15" i="50"/>
  <c r="AM16" i="67"/>
  <c r="J33" i="49"/>
  <c r="AM16" i="85" s="1"/>
  <c r="AM24" i="67"/>
  <c r="J47" i="49"/>
  <c r="AM24" i="85" s="1"/>
  <c r="G180" i="50"/>
  <c r="AS180" i="50" s="1"/>
  <c r="AS120" i="50"/>
  <c r="AL8" i="67"/>
  <c r="I19" i="49"/>
  <c r="AL8" i="85" s="1"/>
  <c r="N109" i="50"/>
  <c r="AZ109" i="50" s="1"/>
  <c r="AZ34" i="50"/>
  <c r="N175" i="50"/>
  <c r="AZ175" i="50" s="1"/>
  <c r="AZ115" i="50"/>
  <c r="U184" i="50"/>
  <c r="BG184" i="50" s="1"/>
  <c r="BG124" i="50"/>
  <c r="N189" i="50"/>
  <c r="AZ189" i="50" s="1"/>
  <c r="AZ129" i="50"/>
  <c r="V121" i="50"/>
  <c r="BH121" i="50" s="1"/>
  <c r="BG121" i="50"/>
  <c r="AP8" i="67"/>
  <c r="M19" i="49"/>
  <c r="AP8" i="85" s="1"/>
  <c r="AM8" i="67"/>
  <c r="J19" i="49"/>
  <c r="AM8" i="85" s="1"/>
  <c r="G106" i="50"/>
  <c r="AS106" i="50" s="1"/>
  <c r="AS31" i="50"/>
  <c r="U180" i="50"/>
  <c r="BG180" i="50" s="1"/>
  <c r="BG120" i="50"/>
  <c r="O125" i="50"/>
  <c r="BA125" i="50" s="1"/>
  <c r="AZ125" i="50"/>
  <c r="O18" i="50"/>
  <c r="O93" i="50" s="1"/>
  <c r="BA93" i="50" s="1"/>
  <c r="AZ18" i="50"/>
  <c r="AP22" i="67"/>
  <c r="M41" i="49"/>
  <c r="AP22" i="85" s="1"/>
  <c r="N182" i="50"/>
  <c r="AZ182" i="50" s="1"/>
  <c r="AZ122" i="50"/>
  <c r="H21" i="50"/>
  <c r="AT21" i="50" s="1"/>
  <c r="AS21" i="50"/>
  <c r="AL16" i="67"/>
  <c r="I33" i="49"/>
  <c r="AL16" i="85" s="1"/>
  <c r="AO16" i="67"/>
  <c r="L33" i="49"/>
  <c r="AO16" i="85" s="1"/>
  <c r="AN16" i="67"/>
  <c r="K33" i="49"/>
  <c r="AN16" i="85" s="1"/>
  <c r="U102" i="50"/>
  <c r="BG102" i="50" s="1"/>
  <c r="C12" i="49"/>
  <c r="I12" i="49" s="1"/>
  <c r="AS32" i="50"/>
  <c r="N172" i="50"/>
  <c r="AZ172" i="50" s="1"/>
  <c r="G177" i="50"/>
  <c r="AS177" i="50" s="1"/>
  <c r="AS117" i="50"/>
  <c r="H34" i="50"/>
  <c r="AS34" i="50"/>
  <c r="N98" i="50"/>
  <c r="AZ98" i="50" s="1"/>
  <c r="AZ23" i="50"/>
  <c r="U93" i="50"/>
  <c r="BG93" i="50" s="1"/>
  <c r="BG18" i="50"/>
  <c r="U98" i="50"/>
  <c r="BG98" i="50" s="1"/>
  <c r="BG23" i="50"/>
  <c r="U104" i="50"/>
  <c r="BG104" i="50" s="1"/>
  <c r="BG29" i="50"/>
  <c r="G179" i="50"/>
  <c r="AS179" i="50" s="1"/>
  <c r="AS119" i="50"/>
  <c r="AO8" i="67"/>
  <c r="L19" i="49"/>
  <c r="AO8" i="85" s="1"/>
  <c r="AP16" i="67"/>
  <c r="M33" i="49"/>
  <c r="AP16" i="85" s="1"/>
  <c r="H12" i="50"/>
  <c r="AT12" i="50" s="1"/>
  <c r="AS12" i="50"/>
  <c r="H11" i="50"/>
  <c r="AT11" i="50" s="1"/>
  <c r="AS11" i="50"/>
  <c r="G186" i="50"/>
  <c r="AS186" i="50" s="1"/>
  <c r="AS126" i="50"/>
  <c r="N174" i="50"/>
  <c r="AZ174" i="50" s="1"/>
  <c r="AZ114" i="50"/>
  <c r="G91" i="50"/>
  <c r="AS91" i="50" s="1"/>
  <c r="AS16" i="50"/>
  <c r="V107" i="50"/>
  <c r="BH107" i="50" s="1"/>
  <c r="BH32" i="50"/>
  <c r="N92" i="50"/>
  <c r="AZ92" i="50" s="1"/>
  <c r="AZ17" i="50"/>
  <c r="AP14" i="67"/>
  <c r="M27" i="49"/>
  <c r="AP14" i="85" s="1"/>
  <c r="U107" i="50"/>
  <c r="BG107" i="50" s="1"/>
  <c r="BG32" i="50"/>
  <c r="M88" i="50"/>
  <c r="AY88" i="50" s="1"/>
  <c r="AY89" i="50"/>
  <c r="V122" i="50"/>
  <c r="O130" i="50"/>
  <c r="T10" i="50"/>
  <c r="F10" i="50"/>
  <c r="N185" i="50"/>
  <c r="AZ185" i="50" s="1"/>
  <c r="N93" i="50"/>
  <c r="AZ93" i="50" s="1"/>
  <c r="T94" i="50"/>
  <c r="BF94" i="50" s="1"/>
  <c r="G96" i="50"/>
  <c r="AS96" i="50" s="1"/>
  <c r="V117" i="50"/>
  <c r="O17" i="50"/>
  <c r="O115" i="50"/>
  <c r="D40" i="49"/>
  <c r="J40" i="49" s="1"/>
  <c r="U181" i="50"/>
  <c r="BG181" i="50" s="1"/>
  <c r="M10" i="50"/>
  <c r="O129" i="50"/>
  <c r="V29" i="50"/>
  <c r="V30" i="50"/>
  <c r="O11" i="50"/>
  <c r="V23" i="50"/>
  <c r="O114" i="50"/>
  <c r="V126" i="50"/>
  <c r="V130" i="50"/>
  <c r="BH130" i="50" s="1"/>
  <c r="O23" i="50"/>
  <c r="W32" i="50"/>
  <c r="H33" i="50"/>
  <c r="O124" i="50"/>
  <c r="G87" i="50"/>
  <c r="AS87" i="50" s="1"/>
  <c r="N179" i="50"/>
  <c r="AZ179" i="50" s="1"/>
  <c r="U19" i="50"/>
  <c r="BG19" i="50" s="1"/>
  <c r="V124" i="50"/>
  <c r="H16" i="50"/>
  <c r="V15" i="50"/>
  <c r="BH15" i="50" s="1"/>
  <c r="M94" i="50"/>
  <c r="V25" i="50"/>
  <c r="H28" i="50"/>
  <c r="V120" i="50"/>
  <c r="H31" i="50"/>
  <c r="N105" i="50"/>
  <c r="AZ105" i="50" s="1"/>
  <c r="T88" i="50"/>
  <c r="BF88" i="50" s="1"/>
  <c r="O34" i="50"/>
  <c r="O16" i="50"/>
  <c r="H27" i="50"/>
  <c r="H117" i="50"/>
  <c r="H126" i="50"/>
  <c r="H114" i="50"/>
  <c r="G109" i="50"/>
  <c r="AS109" i="50" s="1"/>
  <c r="G86" i="50"/>
  <c r="AS86" i="50" s="1"/>
  <c r="N19" i="50"/>
  <c r="AZ19" i="50" s="1"/>
  <c r="V18" i="50"/>
  <c r="F94" i="50"/>
  <c r="AR94" i="50" s="1"/>
  <c r="H120" i="50"/>
  <c r="H119" i="50"/>
  <c r="AT119" i="50" s="1"/>
  <c r="N13" i="50"/>
  <c r="AZ13" i="50" s="1"/>
  <c r="U109" i="50"/>
  <c r="BG109" i="50" s="1"/>
  <c r="V34" i="50"/>
  <c r="BH34" i="50" s="1"/>
  <c r="G19" i="50"/>
  <c r="AS19" i="50" s="1"/>
  <c r="O105" i="50"/>
  <c r="BA105" i="50" s="1"/>
  <c r="P30" i="50"/>
  <c r="BB30" i="50" s="1"/>
  <c r="N103" i="50"/>
  <c r="AZ103" i="50" s="1"/>
  <c r="O28" i="50"/>
  <c r="BA28" i="50" s="1"/>
  <c r="N187" i="50"/>
  <c r="AZ187" i="50" s="1"/>
  <c r="O127" i="50"/>
  <c r="BA127" i="50" s="1"/>
  <c r="N176" i="50"/>
  <c r="AZ176" i="50" s="1"/>
  <c r="O116" i="50"/>
  <c r="BA116" i="50" s="1"/>
  <c r="O121" i="50"/>
  <c r="BA121" i="50" s="1"/>
  <c r="N181" i="50"/>
  <c r="AZ181" i="50" s="1"/>
  <c r="F171" i="50"/>
  <c r="AR171" i="50" s="1"/>
  <c r="G190" i="50"/>
  <c r="AS190" i="50" s="1"/>
  <c r="H130" i="50"/>
  <c r="AT130" i="50" s="1"/>
  <c r="G185" i="50"/>
  <c r="AS185" i="50" s="1"/>
  <c r="H125" i="50"/>
  <c r="AT125" i="50" s="1"/>
  <c r="G182" i="50"/>
  <c r="AS182" i="50" s="1"/>
  <c r="H122" i="50"/>
  <c r="AT122" i="50" s="1"/>
  <c r="U173" i="50"/>
  <c r="BG173" i="50" s="1"/>
  <c r="V113" i="50"/>
  <c r="BH113" i="50" s="1"/>
  <c r="G178" i="50"/>
  <c r="AS178" i="50" s="1"/>
  <c r="H118" i="50"/>
  <c r="AT118" i="50" s="1"/>
  <c r="W17" i="50"/>
  <c r="BI17" i="50" s="1"/>
  <c r="G181" i="50"/>
  <c r="AS181" i="50" s="1"/>
  <c r="H121" i="50"/>
  <c r="AT121" i="50" s="1"/>
  <c r="G183" i="50"/>
  <c r="AS183" i="50" s="1"/>
  <c r="H123" i="50"/>
  <c r="AT123" i="50" s="1"/>
  <c r="U13" i="50"/>
  <c r="BG13" i="50" s="1"/>
  <c r="U89" i="50"/>
  <c r="BG89" i="50" s="1"/>
  <c r="V14" i="50"/>
  <c r="BH14" i="50" s="1"/>
  <c r="U111" i="50"/>
  <c r="U172" i="50"/>
  <c r="BG172" i="50" s="1"/>
  <c r="V112" i="50"/>
  <c r="BH112" i="50" s="1"/>
  <c r="G101" i="50"/>
  <c r="AS101" i="50" s="1"/>
  <c r="H26" i="50"/>
  <c r="AT26" i="50" s="1"/>
  <c r="N178" i="50"/>
  <c r="AZ178" i="50" s="1"/>
  <c r="O118" i="50"/>
  <c r="BA118" i="50" s="1"/>
  <c r="G172" i="50"/>
  <c r="AS172" i="50" s="1"/>
  <c r="G111" i="50"/>
  <c r="H112" i="50"/>
  <c r="AT112" i="50" s="1"/>
  <c r="T171" i="50"/>
  <c r="BF171" i="50" s="1"/>
  <c r="N188" i="50"/>
  <c r="AZ188" i="50" s="1"/>
  <c r="O128" i="50"/>
  <c r="BA128" i="50" s="1"/>
  <c r="N186" i="50"/>
  <c r="AZ186" i="50" s="1"/>
  <c r="O126" i="50"/>
  <c r="BA126" i="50" s="1"/>
  <c r="H124" i="50"/>
  <c r="AT124" i="50" s="1"/>
  <c r="G184" i="50"/>
  <c r="AS184" i="50" s="1"/>
  <c r="N100" i="50"/>
  <c r="AZ100" i="50" s="1"/>
  <c r="O25" i="50"/>
  <c r="BA25" i="50" s="1"/>
  <c r="N96" i="50"/>
  <c r="AZ96" i="50" s="1"/>
  <c r="O21" i="50"/>
  <c r="BA21" i="50" s="1"/>
  <c r="N87" i="50"/>
  <c r="AZ87" i="50" s="1"/>
  <c r="O12" i="50"/>
  <c r="BA12" i="50" s="1"/>
  <c r="U91" i="50"/>
  <c r="BG91" i="50" s="1"/>
  <c r="V16" i="50"/>
  <c r="BH16" i="50" s="1"/>
  <c r="N99" i="50"/>
  <c r="AZ99" i="50" s="1"/>
  <c r="O24" i="50"/>
  <c r="BA24" i="50" s="1"/>
  <c r="P117" i="50"/>
  <c r="BB117" i="50" s="1"/>
  <c r="O177" i="50"/>
  <c r="BA177" i="50" s="1"/>
  <c r="V123" i="50"/>
  <c r="BH123" i="50" s="1"/>
  <c r="U183" i="50"/>
  <c r="BG183" i="50" s="1"/>
  <c r="G92" i="50"/>
  <c r="AS92" i="50" s="1"/>
  <c r="H17" i="50"/>
  <c r="AT17" i="50" s="1"/>
  <c r="G188" i="50"/>
  <c r="AS188" i="50" s="1"/>
  <c r="H128" i="50"/>
  <c r="AT128" i="50" s="1"/>
  <c r="V125" i="50"/>
  <c r="BH125" i="50" s="1"/>
  <c r="U185" i="50"/>
  <c r="BG185" i="50" s="1"/>
  <c r="V11" i="50"/>
  <c r="BH11" i="50" s="1"/>
  <c r="U86" i="50"/>
  <c r="BG86" i="50" s="1"/>
  <c r="O182" i="50"/>
  <c r="BA182" i="50" s="1"/>
  <c r="P122" i="50"/>
  <c r="BB122" i="50" s="1"/>
  <c r="U101" i="50"/>
  <c r="BG101" i="50" s="1"/>
  <c r="V26" i="50"/>
  <c r="BH26" i="50" s="1"/>
  <c r="U96" i="50"/>
  <c r="V21" i="50"/>
  <c r="BH21" i="50" s="1"/>
  <c r="H32" i="50"/>
  <c r="G107" i="50"/>
  <c r="AS107" i="50" s="1"/>
  <c r="V106" i="50"/>
  <c r="BH106" i="50" s="1"/>
  <c r="W31" i="50"/>
  <c r="BI31" i="50" s="1"/>
  <c r="N111" i="50"/>
  <c r="C47" i="49"/>
  <c r="H129" i="50"/>
  <c r="AT129" i="50" s="1"/>
  <c r="G189" i="50"/>
  <c r="AS189" i="50" s="1"/>
  <c r="O26" i="50"/>
  <c r="BA26" i="50" s="1"/>
  <c r="N101" i="50"/>
  <c r="AZ101" i="50" s="1"/>
  <c r="O33" i="50"/>
  <c r="BA33" i="50" s="1"/>
  <c r="N108" i="50"/>
  <c r="AZ108" i="50" s="1"/>
  <c r="U108" i="50"/>
  <c r="BG108" i="50" s="1"/>
  <c r="V33" i="50"/>
  <c r="BH33" i="50" s="1"/>
  <c r="H176" i="50"/>
  <c r="AT176" i="50" s="1"/>
  <c r="I116" i="50"/>
  <c r="AU116" i="50" s="1"/>
  <c r="N104" i="50"/>
  <c r="AZ104" i="50" s="1"/>
  <c r="O29" i="50"/>
  <c r="BA29" i="50" s="1"/>
  <c r="N102" i="50"/>
  <c r="AZ102" i="50" s="1"/>
  <c r="O27" i="50"/>
  <c r="BA27" i="50" s="1"/>
  <c r="H175" i="50"/>
  <c r="AT175" i="50" s="1"/>
  <c r="V95" i="50"/>
  <c r="BH95" i="50" s="1"/>
  <c r="G187" i="50"/>
  <c r="AS187" i="50" s="1"/>
  <c r="H127" i="50"/>
  <c r="AT127" i="50" s="1"/>
  <c r="G13" i="50"/>
  <c r="AS13" i="50" s="1"/>
  <c r="G89" i="50"/>
  <c r="AS89" i="50" s="1"/>
  <c r="H14" i="50"/>
  <c r="AT14" i="50" s="1"/>
  <c r="N90" i="50"/>
  <c r="O15" i="50"/>
  <c r="BA15" i="50" s="1"/>
  <c r="G173" i="50"/>
  <c r="AS173" i="50" s="1"/>
  <c r="H113" i="50"/>
  <c r="AT113" i="50" s="1"/>
  <c r="M171" i="50"/>
  <c r="AY171" i="50" s="1"/>
  <c r="U103" i="50"/>
  <c r="BG103" i="50" s="1"/>
  <c r="V28" i="50"/>
  <c r="BH28" i="50" s="1"/>
  <c r="U87" i="50"/>
  <c r="BG87" i="50" s="1"/>
  <c r="V12" i="50"/>
  <c r="BH12" i="50" s="1"/>
  <c r="G90" i="50"/>
  <c r="AS90" i="50" s="1"/>
  <c r="H15" i="50"/>
  <c r="AT15" i="50" s="1"/>
  <c r="U175" i="50"/>
  <c r="BG175" i="50" s="1"/>
  <c r="V115" i="50"/>
  <c r="BH115" i="50" s="1"/>
  <c r="F88" i="50"/>
  <c r="AR88" i="50" s="1"/>
  <c r="G97" i="50"/>
  <c r="AS97" i="50" s="1"/>
  <c r="H22" i="50"/>
  <c r="AT22" i="50" s="1"/>
  <c r="U189" i="50"/>
  <c r="BG189" i="50" s="1"/>
  <c r="V129" i="50"/>
  <c r="BH129" i="50" s="1"/>
  <c r="G104" i="50"/>
  <c r="AS104" i="50" s="1"/>
  <c r="H29" i="50"/>
  <c r="AT29" i="50" s="1"/>
  <c r="U188" i="50"/>
  <c r="BG188" i="50" s="1"/>
  <c r="V128" i="50"/>
  <c r="BH128" i="50" s="1"/>
  <c r="U178" i="50"/>
  <c r="BG178" i="50" s="1"/>
  <c r="V118" i="50"/>
  <c r="BH118" i="50" s="1"/>
  <c r="N97" i="50"/>
  <c r="AZ97" i="50" s="1"/>
  <c r="O22" i="50"/>
  <c r="BA22" i="50" s="1"/>
  <c r="O95" i="50"/>
  <c r="BA95" i="50" s="1"/>
  <c r="P20" i="50"/>
  <c r="BB20" i="50" s="1"/>
  <c r="H95" i="50"/>
  <c r="AT95" i="50" s="1"/>
  <c r="I20" i="50"/>
  <c r="AU20" i="50" s="1"/>
  <c r="U179" i="50"/>
  <c r="BG179" i="50" s="1"/>
  <c r="V119" i="50"/>
  <c r="BH119" i="50" s="1"/>
  <c r="U174" i="50"/>
  <c r="BG174" i="50" s="1"/>
  <c r="V114" i="50"/>
  <c r="BH114" i="50" s="1"/>
  <c r="H98" i="50"/>
  <c r="AT98" i="50" s="1"/>
  <c r="U187" i="50"/>
  <c r="BG187" i="50" s="1"/>
  <c r="V127" i="50"/>
  <c r="BH127" i="50" s="1"/>
  <c r="U176" i="50"/>
  <c r="BG176" i="50" s="1"/>
  <c r="V116" i="50"/>
  <c r="BH116" i="50" s="1"/>
  <c r="U99" i="50"/>
  <c r="BG99" i="50" s="1"/>
  <c r="V24" i="50"/>
  <c r="BH24" i="50" s="1"/>
  <c r="G100" i="50"/>
  <c r="AS100" i="50" s="1"/>
  <c r="H25" i="50"/>
  <c r="AT25" i="50" s="1"/>
  <c r="O179" i="50"/>
  <c r="BA179" i="50" s="1"/>
  <c r="P119" i="50"/>
  <c r="BB119" i="50" s="1"/>
  <c r="H99" i="50" l="1"/>
  <c r="AT99" i="50" s="1"/>
  <c r="W20" i="50"/>
  <c r="BI20" i="50" s="1"/>
  <c r="V92" i="50"/>
  <c r="BH92" i="50" s="1"/>
  <c r="D26" i="49"/>
  <c r="J26" i="49" s="1"/>
  <c r="P31" i="50"/>
  <c r="BB31" i="50" s="1"/>
  <c r="P32" i="50"/>
  <c r="BB32" i="50" s="1"/>
  <c r="O107" i="50"/>
  <c r="BA107" i="50" s="1"/>
  <c r="W27" i="50"/>
  <c r="BI27" i="50" s="1"/>
  <c r="I23" i="50"/>
  <c r="AU23" i="50" s="1"/>
  <c r="V102" i="50"/>
  <c r="BH102" i="50" s="1"/>
  <c r="I115" i="50"/>
  <c r="AU115" i="50" s="1"/>
  <c r="H93" i="50"/>
  <c r="AT93" i="50" s="1"/>
  <c r="O183" i="50"/>
  <c r="BA183" i="50" s="1"/>
  <c r="H105" i="50"/>
  <c r="AT105" i="50" s="1"/>
  <c r="O106" i="50"/>
  <c r="BA106" i="50" s="1"/>
  <c r="I30" i="50"/>
  <c r="AU30" i="50" s="1"/>
  <c r="P112" i="50"/>
  <c r="BB112" i="50" s="1"/>
  <c r="O172" i="50"/>
  <c r="BA172" i="50" s="1"/>
  <c r="P123" i="50"/>
  <c r="BB123" i="50" s="1"/>
  <c r="I24" i="50"/>
  <c r="AU24" i="50" s="1"/>
  <c r="O89" i="50"/>
  <c r="BA89" i="50" s="1"/>
  <c r="W22" i="50"/>
  <c r="BI22" i="50" s="1"/>
  <c r="V181" i="50"/>
  <c r="BH181" i="50" s="1"/>
  <c r="P14" i="50"/>
  <c r="BB14" i="50" s="1"/>
  <c r="V97" i="50"/>
  <c r="BH97" i="50" s="1"/>
  <c r="I18" i="50"/>
  <c r="AU18" i="50" s="1"/>
  <c r="O173" i="50"/>
  <c r="BA173" i="50" s="1"/>
  <c r="P113" i="50"/>
  <c r="BB113" i="50" s="1"/>
  <c r="I21" i="50"/>
  <c r="AU21" i="50" s="1"/>
  <c r="O185" i="50"/>
  <c r="BA185" i="50" s="1"/>
  <c r="H96" i="50"/>
  <c r="AT96" i="50" s="1"/>
  <c r="P125" i="50"/>
  <c r="BB125" i="50" s="1"/>
  <c r="I11" i="50"/>
  <c r="AU11" i="50" s="1"/>
  <c r="H86" i="50"/>
  <c r="AT86" i="50" s="1"/>
  <c r="I12" i="50"/>
  <c r="AU12" i="50" s="1"/>
  <c r="H180" i="50"/>
  <c r="AT180" i="50" s="1"/>
  <c r="AT120" i="50"/>
  <c r="I117" i="50"/>
  <c r="AU117" i="50" s="1"/>
  <c r="AT117" i="50"/>
  <c r="O174" i="50"/>
  <c r="BA174" i="50" s="1"/>
  <c r="BA114" i="50"/>
  <c r="I34" i="50"/>
  <c r="AT34" i="50"/>
  <c r="I28" i="50"/>
  <c r="AU28" i="50" s="1"/>
  <c r="AT28" i="50"/>
  <c r="C29" i="67"/>
  <c r="AZ111" i="50"/>
  <c r="C29" i="85" s="1"/>
  <c r="H87" i="50"/>
  <c r="AT87" i="50" s="1"/>
  <c r="I27" i="50"/>
  <c r="AU27" i="50" s="1"/>
  <c r="AT27" i="50"/>
  <c r="V100" i="50"/>
  <c r="BH100" i="50" s="1"/>
  <c r="BH25" i="50"/>
  <c r="V98" i="50"/>
  <c r="BH98" i="50" s="1"/>
  <c r="BH23" i="50"/>
  <c r="O175" i="50"/>
  <c r="BA175" i="50" s="1"/>
  <c r="BA115" i="50"/>
  <c r="W18" i="50"/>
  <c r="BI18" i="50" s="1"/>
  <c r="BH18" i="50"/>
  <c r="O91" i="50"/>
  <c r="BA91" i="50" s="1"/>
  <c r="BA16" i="50"/>
  <c r="H109" i="50"/>
  <c r="AT109" i="50" s="1"/>
  <c r="O184" i="50"/>
  <c r="BA184" i="50" s="1"/>
  <c r="BA124" i="50"/>
  <c r="O86" i="50"/>
  <c r="BA86" i="50" s="1"/>
  <c r="BA11" i="50"/>
  <c r="O92" i="50"/>
  <c r="BA92" i="50" s="1"/>
  <c r="BA17" i="50"/>
  <c r="T280" i="50"/>
  <c r="BF280" i="50" s="1"/>
  <c r="BF10" i="50"/>
  <c r="V180" i="50"/>
  <c r="BH180" i="50" s="1"/>
  <c r="BH120" i="50"/>
  <c r="P34" i="50"/>
  <c r="BB34" i="50" s="1"/>
  <c r="BA34" i="50"/>
  <c r="H108" i="50"/>
  <c r="AT108" i="50" s="1"/>
  <c r="AT33" i="50"/>
  <c r="V105" i="50"/>
  <c r="BH105" i="50" s="1"/>
  <c r="BH30" i="50"/>
  <c r="W117" i="50"/>
  <c r="BI117" i="50" s="1"/>
  <c r="BH117" i="50"/>
  <c r="P130" i="50"/>
  <c r="BB130" i="50" s="1"/>
  <c r="BA130" i="50"/>
  <c r="V186" i="50"/>
  <c r="BH186" i="50" s="1"/>
  <c r="BH126" i="50"/>
  <c r="W107" i="50"/>
  <c r="BI107" i="50" s="1"/>
  <c r="BI32" i="50"/>
  <c r="V104" i="50"/>
  <c r="BH104" i="50" s="1"/>
  <c r="BH29" i="50"/>
  <c r="V182" i="50"/>
  <c r="BH182" i="50" s="1"/>
  <c r="BH122" i="50"/>
  <c r="P18" i="50"/>
  <c r="BA18" i="50"/>
  <c r="BA120" i="50"/>
  <c r="P120" i="50"/>
  <c r="O180" i="50"/>
  <c r="BA180" i="50" s="1"/>
  <c r="H186" i="50"/>
  <c r="AT186" i="50" s="1"/>
  <c r="AT126" i="50"/>
  <c r="D12" i="49"/>
  <c r="J12" i="49" s="1"/>
  <c r="AT32" i="50"/>
  <c r="W121" i="50"/>
  <c r="BI121" i="50" s="1"/>
  <c r="H91" i="50"/>
  <c r="AT91" i="50" s="1"/>
  <c r="AT16" i="50"/>
  <c r="O98" i="50"/>
  <c r="BA98" i="50" s="1"/>
  <c r="BA23" i="50"/>
  <c r="O189" i="50"/>
  <c r="BA189" i="50" s="1"/>
  <c r="BA129" i="50"/>
  <c r="AL24" i="67"/>
  <c r="I47" i="49"/>
  <c r="AL24" i="85" s="1"/>
  <c r="C11" i="67"/>
  <c r="AS111" i="50"/>
  <c r="C11" i="85" s="1"/>
  <c r="C47" i="67"/>
  <c r="BG111" i="50"/>
  <c r="C47" i="85" s="1"/>
  <c r="I114" i="50"/>
  <c r="AU114" i="50" s="1"/>
  <c r="AT114" i="50"/>
  <c r="H106" i="50"/>
  <c r="AT106" i="50" s="1"/>
  <c r="AT31" i="50"/>
  <c r="V184" i="50"/>
  <c r="BH184" i="50" s="1"/>
  <c r="BH124" i="50"/>
  <c r="C25" i="49"/>
  <c r="AY10" i="50"/>
  <c r="U94" i="50"/>
  <c r="BG94" i="50" s="1"/>
  <c r="BG96" i="50"/>
  <c r="M85" i="50"/>
  <c r="AY85" i="50" s="1"/>
  <c r="AY94" i="50"/>
  <c r="N88" i="50"/>
  <c r="AZ88" i="50" s="1"/>
  <c r="AZ90" i="50"/>
  <c r="C11" i="49"/>
  <c r="I11" i="49" s="1"/>
  <c r="AR10" i="50"/>
  <c r="W122" i="50"/>
  <c r="BI122" i="50" s="1"/>
  <c r="O190" i="50"/>
  <c r="BA190" i="50" s="1"/>
  <c r="F280" i="50"/>
  <c r="AR280" i="50" s="1"/>
  <c r="P115" i="50"/>
  <c r="C39" i="49"/>
  <c r="P124" i="50"/>
  <c r="W120" i="50"/>
  <c r="V177" i="50"/>
  <c r="BH177" i="50" s="1"/>
  <c r="W30" i="50"/>
  <c r="I16" i="50"/>
  <c r="P16" i="50"/>
  <c r="P114" i="50"/>
  <c r="W29" i="50"/>
  <c r="P129" i="50"/>
  <c r="G94" i="50"/>
  <c r="AS94" i="50" s="1"/>
  <c r="E40" i="49"/>
  <c r="K40" i="49" s="1"/>
  <c r="X32" i="50"/>
  <c r="V93" i="50"/>
  <c r="BH93" i="50" s="1"/>
  <c r="H103" i="50"/>
  <c r="AT103" i="50" s="1"/>
  <c r="I126" i="50"/>
  <c r="P17" i="50"/>
  <c r="P11" i="50"/>
  <c r="M280" i="50"/>
  <c r="AY280" i="50" s="1"/>
  <c r="W23" i="50"/>
  <c r="O13" i="50"/>
  <c r="BA13" i="50" s="1"/>
  <c r="P23" i="50"/>
  <c r="T85" i="50"/>
  <c r="W25" i="50"/>
  <c r="W124" i="50"/>
  <c r="O109" i="50"/>
  <c r="BA109" i="50" s="1"/>
  <c r="U10" i="50"/>
  <c r="BG10" i="50" s="1"/>
  <c r="C42" i="85" s="1"/>
  <c r="O19" i="50"/>
  <c r="BA19" i="50" s="1"/>
  <c r="V19" i="50"/>
  <c r="BH19" i="50" s="1"/>
  <c r="V190" i="50"/>
  <c r="BH190" i="50" s="1"/>
  <c r="W130" i="50"/>
  <c r="BI130" i="50" s="1"/>
  <c r="I33" i="50"/>
  <c r="W126" i="50"/>
  <c r="O111" i="50"/>
  <c r="H177" i="50"/>
  <c r="AT177" i="50" s="1"/>
  <c r="G10" i="50"/>
  <c r="AS10" i="50" s="1"/>
  <c r="C6" i="85" s="1"/>
  <c r="I31" i="50"/>
  <c r="N94" i="50"/>
  <c r="N10" i="50"/>
  <c r="AZ10" i="50" s="1"/>
  <c r="C24" i="85" s="1"/>
  <c r="F85" i="50"/>
  <c r="H102" i="50"/>
  <c r="AT102" i="50" s="1"/>
  <c r="W15" i="50"/>
  <c r="BI15" i="50" s="1"/>
  <c r="V90" i="50"/>
  <c r="BH90" i="50" s="1"/>
  <c r="N171" i="50"/>
  <c r="H174" i="50"/>
  <c r="AT174" i="50" s="1"/>
  <c r="I120" i="50"/>
  <c r="G88" i="50"/>
  <c r="AS88" i="50" s="1"/>
  <c r="W34" i="50"/>
  <c r="BI34" i="50" s="1"/>
  <c r="V109" i="50"/>
  <c r="BH109" i="50" s="1"/>
  <c r="H179" i="50"/>
  <c r="AT179" i="50" s="1"/>
  <c r="I119" i="50"/>
  <c r="AU119" i="50" s="1"/>
  <c r="O187" i="50"/>
  <c r="BA187" i="50" s="1"/>
  <c r="P127" i="50"/>
  <c r="BB127" i="50" s="1"/>
  <c r="P121" i="50"/>
  <c r="BB121" i="50" s="1"/>
  <c r="O181" i="50"/>
  <c r="BA181" i="50" s="1"/>
  <c r="O103" i="50"/>
  <c r="BA103" i="50" s="1"/>
  <c r="P28" i="50"/>
  <c r="BB28" i="50" s="1"/>
  <c r="O176" i="50"/>
  <c r="BA176" i="50" s="1"/>
  <c r="P116" i="50"/>
  <c r="BB116" i="50" s="1"/>
  <c r="U88" i="50"/>
  <c r="Q30" i="50"/>
  <c r="BC30" i="50" s="1"/>
  <c r="P105" i="50"/>
  <c r="BB105" i="50" s="1"/>
  <c r="H190" i="50"/>
  <c r="AT190" i="50" s="1"/>
  <c r="I130" i="50"/>
  <c r="AU130" i="50" s="1"/>
  <c r="H185" i="50"/>
  <c r="AT185" i="50" s="1"/>
  <c r="I125" i="50"/>
  <c r="AU125" i="50" s="1"/>
  <c r="V187" i="50"/>
  <c r="BH187" i="50" s="1"/>
  <c r="W127" i="50"/>
  <c r="BI127" i="50" s="1"/>
  <c r="P173" i="50"/>
  <c r="BB173" i="50" s="1"/>
  <c r="V178" i="50"/>
  <c r="BH178" i="50" s="1"/>
  <c r="W118" i="50"/>
  <c r="BI118" i="50" s="1"/>
  <c r="I22" i="50"/>
  <c r="H97" i="50"/>
  <c r="O101" i="50"/>
  <c r="BA101" i="50" s="1"/>
  <c r="P26" i="50"/>
  <c r="BB26" i="50" s="1"/>
  <c r="H189" i="50"/>
  <c r="AT189" i="50" s="1"/>
  <c r="I129" i="50"/>
  <c r="AU129" i="50" s="1"/>
  <c r="V101" i="50"/>
  <c r="BH101" i="50" s="1"/>
  <c r="W26" i="50"/>
  <c r="BI26" i="50" s="1"/>
  <c r="V183" i="50"/>
  <c r="BH183" i="50" s="1"/>
  <c r="W123" i="50"/>
  <c r="BI123" i="50" s="1"/>
  <c r="P24" i="50"/>
  <c r="BB24" i="50" s="1"/>
  <c r="O99" i="50"/>
  <c r="BA99" i="50" s="1"/>
  <c r="O87" i="50"/>
  <c r="BA87" i="50" s="1"/>
  <c r="P12" i="50"/>
  <c r="BB12" i="50" s="1"/>
  <c r="O96" i="50"/>
  <c r="BA96" i="50" s="1"/>
  <c r="P21" i="50"/>
  <c r="BB21" i="50" s="1"/>
  <c r="O186" i="50"/>
  <c r="BA186" i="50" s="1"/>
  <c r="P126" i="50"/>
  <c r="BB126" i="50" s="1"/>
  <c r="V111" i="50"/>
  <c r="V172" i="50"/>
  <c r="BH172" i="50" s="1"/>
  <c r="W112" i="50"/>
  <c r="BI112" i="50" s="1"/>
  <c r="H178" i="50"/>
  <c r="AT178" i="50" s="1"/>
  <c r="I118" i="50"/>
  <c r="AU118" i="50" s="1"/>
  <c r="H100" i="50"/>
  <c r="AT100" i="50" s="1"/>
  <c r="I25" i="50"/>
  <c r="AU25" i="50" s="1"/>
  <c r="P179" i="50"/>
  <c r="BB179" i="50" s="1"/>
  <c r="Q119" i="50"/>
  <c r="BC119" i="50" s="1"/>
  <c r="V99" i="50"/>
  <c r="BH99" i="50" s="1"/>
  <c r="W24" i="50"/>
  <c r="BI24" i="50" s="1"/>
  <c r="I96" i="50"/>
  <c r="AU96" i="50" s="1"/>
  <c r="V188" i="50"/>
  <c r="BH188" i="50" s="1"/>
  <c r="W128" i="50"/>
  <c r="BI128" i="50" s="1"/>
  <c r="I98" i="50"/>
  <c r="AU98" i="50" s="1"/>
  <c r="J23" i="50"/>
  <c r="AV23" i="50" s="1"/>
  <c r="P106" i="50"/>
  <c r="BB106" i="50" s="1"/>
  <c r="Q31" i="50"/>
  <c r="BC31" i="50" s="1"/>
  <c r="W114" i="50"/>
  <c r="BI114" i="50" s="1"/>
  <c r="V174" i="50"/>
  <c r="BH174" i="50" s="1"/>
  <c r="V179" i="50"/>
  <c r="BH179" i="50" s="1"/>
  <c r="W119" i="50"/>
  <c r="BI119" i="50" s="1"/>
  <c r="H19" i="50"/>
  <c r="AT19" i="50" s="1"/>
  <c r="H104" i="50"/>
  <c r="AT104" i="50" s="1"/>
  <c r="I29" i="50"/>
  <c r="AU29" i="50" s="1"/>
  <c r="V175" i="50"/>
  <c r="BH175" i="50" s="1"/>
  <c r="W115" i="50"/>
  <c r="BI115" i="50" s="1"/>
  <c r="H90" i="50"/>
  <c r="AT90" i="50" s="1"/>
  <c r="I15" i="50"/>
  <c r="AU15" i="50" s="1"/>
  <c r="V87" i="50"/>
  <c r="BH87" i="50" s="1"/>
  <c r="W12" i="50"/>
  <c r="BI12" i="50" s="1"/>
  <c r="V103" i="50"/>
  <c r="BH103" i="50" s="1"/>
  <c r="W28" i="50"/>
  <c r="BI28" i="50" s="1"/>
  <c r="O90" i="50"/>
  <c r="P15" i="50"/>
  <c r="BB15" i="50" s="1"/>
  <c r="I176" i="50"/>
  <c r="AU176" i="50" s="1"/>
  <c r="J116" i="50"/>
  <c r="AV116" i="50" s="1"/>
  <c r="H92" i="50"/>
  <c r="AT92" i="50" s="1"/>
  <c r="I17" i="50"/>
  <c r="AU17" i="50" s="1"/>
  <c r="I124" i="50"/>
  <c r="AU124" i="50" s="1"/>
  <c r="H184" i="50"/>
  <c r="AT184" i="50" s="1"/>
  <c r="G171" i="50"/>
  <c r="U171" i="50"/>
  <c r="Q112" i="50"/>
  <c r="BC112" i="50" s="1"/>
  <c r="P172" i="50"/>
  <c r="BB172" i="50" s="1"/>
  <c r="O97" i="50"/>
  <c r="BA97" i="50" s="1"/>
  <c r="P22" i="50"/>
  <c r="BB22" i="50" s="1"/>
  <c r="E26" i="49"/>
  <c r="K26" i="49" s="1"/>
  <c r="P107" i="50"/>
  <c r="BB107" i="50" s="1"/>
  <c r="Q32" i="50"/>
  <c r="BC32" i="50" s="1"/>
  <c r="H187" i="50"/>
  <c r="AT187" i="50" s="1"/>
  <c r="I127" i="50"/>
  <c r="AU127" i="50" s="1"/>
  <c r="O102" i="50"/>
  <c r="BA102" i="50" s="1"/>
  <c r="P27" i="50"/>
  <c r="BB27" i="50" s="1"/>
  <c r="O108" i="50"/>
  <c r="BA108" i="50" s="1"/>
  <c r="P33" i="50"/>
  <c r="BB33" i="50" s="1"/>
  <c r="V96" i="50"/>
  <c r="W21" i="50"/>
  <c r="BI21" i="50" s="1"/>
  <c r="P182" i="50"/>
  <c r="BB182" i="50" s="1"/>
  <c r="Q122" i="50"/>
  <c r="BC122" i="50" s="1"/>
  <c r="V185" i="50"/>
  <c r="BH185" i="50" s="1"/>
  <c r="W125" i="50"/>
  <c r="BI125" i="50" s="1"/>
  <c r="V91" i="50"/>
  <c r="BH91" i="50" s="1"/>
  <c r="W16" i="50"/>
  <c r="BI16" i="50" s="1"/>
  <c r="P25" i="50"/>
  <c r="BB25" i="50" s="1"/>
  <c r="O100" i="50"/>
  <c r="BA100" i="50" s="1"/>
  <c r="P128" i="50"/>
  <c r="BB128" i="50" s="1"/>
  <c r="O188" i="50"/>
  <c r="BA188" i="50" s="1"/>
  <c r="O178" i="50"/>
  <c r="BA178" i="50" s="1"/>
  <c r="P118" i="50"/>
  <c r="BB118" i="50" s="1"/>
  <c r="H101" i="50"/>
  <c r="AT101" i="50" s="1"/>
  <c r="I26" i="50"/>
  <c r="AU26" i="50" s="1"/>
  <c r="H183" i="50"/>
  <c r="AT183" i="50" s="1"/>
  <c r="I123" i="50"/>
  <c r="AU123" i="50" s="1"/>
  <c r="H181" i="50"/>
  <c r="AT181" i="50" s="1"/>
  <c r="I121" i="50"/>
  <c r="AU121" i="50" s="1"/>
  <c r="W92" i="50"/>
  <c r="BI92" i="50" s="1"/>
  <c r="X17" i="50"/>
  <c r="BJ17" i="50" s="1"/>
  <c r="V173" i="50"/>
  <c r="BH173" i="50" s="1"/>
  <c r="W113" i="50"/>
  <c r="BI113" i="50" s="1"/>
  <c r="H182" i="50"/>
  <c r="AT182" i="50" s="1"/>
  <c r="I122" i="50"/>
  <c r="AU122" i="50" s="1"/>
  <c r="V176" i="50"/>
  <c r="BH176" i="50" s="1"/>
  <c r="W116" i="50"/>
  <c r="BI116" i="50" s="1"/>
  <c r="I95" i="50"/>
  <c r="AU95" i="50" s="1"/>
  <c r="J20" i="50"/>
  <c r="AV20" i="50" s="1"/>
  <c r="P95" i="50"/>
  <c r="BB95" i="50" s="1"/>
  <c r="Q20" i="50"/>
  <c r="BC20" i="50" s="1"/>
  <c r="W129" i="50"/>
  <c r="BI129" i="50" s="1"/>
  <c r="V189" i="50"/>
  <c r="BH189" i="50" s="1"/>
  <c r="H173" i="50"/>
  <c r="AT173" i="50" s="1"/>
  <c r="I113" i="50"/>
  <c r="AU113" i="50" s="1"/>
  <c r="H13" i="50"/>
  <c r="AT13" i="50" s="1"/>
  <c r="H89" i="50"/>
  <c r="AT89" i="50" s="1"/>
  <c r="I14" i="50"/>
  <c r="AU14" i="50" s="1"/>
  <c r="W95" i="50"/>
  <c r="BI95" i="50" s="1"/>
  <c r="X20" i="50"/>
  <c r="BJ20" i="50" s="1"/>
  <c r="O104" i="50"/>
  <c r="BA104" i="50" s="1"/>
  <c r="P29" i="50"/>
  <c r="BB29" i="50" s="1"/>
  <c r="V108" i="50"/>
  <c r="BH108" i="50" s="1"/>
  <c r="W33" i="50"/>
  <c r="BI33" i="50" s="1"/>
  <c r="W106" i="50"/>
  <c r="BI106" i="50" s="1"/>
  <c r="X31" i="50"/>
  <c r="BJ31" i="50" s="1"/>
  <c r="H107" i="50"/>
  <c r="AT107" i="50" s="1"/>
  <c r="I32" i="50"/>
  <c r="AU32" i="50" s="1"/>
  <c r="V86" i="50"/>
  <c r="BH86" i="50" s="1"/>
  <c r="W11" i="50"/>
  <c r="BI11" i="50" s="1"/>
  <c r="H188" i="50"/>
  <c r="AT188" i="50" s="1"/>
  <c r="I128" i="50"/>
  <c r="AU128" i="50" s="1"/>
  <c r="P177" i="50"/>
  <c r="BB177" i="50" s="1"/>
  <c r="Q117" i="50"/>
  <c r="BC117" i="50" s="1"/>
  <c r="H172" i="50"/>
  <c r="AT172" i="50" s="1"/>
  <c r="H111" i="50"/>
  <c r="I112" i="50"/>
  <c r="AU112" i="50" s="1"/>
  <c r="V13" i="50"/>
  <c r="BH13" i="50" s="1"/>
  <c r="V89" i="50"/>
  <c r="BH89" i="50" s="1"/>
  <c r="W14" i="50"/>
  <c r="BI14" i="50" s="1"/>
  <c r="X27" i="50" l="1"/>
  <c r="BJ27" i="50" s="1"/>
  <c r="W102" i="50"/>
  <c r="BI102" i="50" s="1"/>
  <c r="I103" i="50"/>
  <c r="AU103" i="50" s="1"/>
  <c r="I99" i="50"/>
  <c r="AU99" i="50" s="1"/>
  <c r="X122" i="50"/>
  <c r="BJ122" i="50" s="1"/>
  <c r="J21" i="50"/>
  <c r="AV21" i="50" s="1"/>
  <c r="P183" i="50"/>
  <c r="BB183" i="50" s="1"/>
  <c r="J115" i="50"/>
  <c r="AV115" i="50" s="1"/>
  <c r="J18" i="50"/>
  <c r="AV18" i="50" s="1"/>
  <c r="I87" i="50"/>
  <c r="AU87" i="50" s="1"/>
  <c r="I175" i="50"/>
  <c r="AU175" i="50" s="1"/>
  <c r="Q123" i="50"/>
  <c r="BC123" i="50" s="1"/>
  <c r="J24" i="50"/>
  <c r="AV24" i="50" s="1"/>
  <c r="Q14" i="50"/>
  <c r="BC14" i="50" s="1"/>
  <c r="P109" i="50"/>
  <c r="BB109" i="50" s="1"/>
  <c r="I105" i="50"/>
  <c r="AU105" i="50" s="1"/>
  <c r="P190" i="50"/>
  <c r="BB190" i="50" s="1"/>
  <c r="I174" i="50"/>
  <c r="AU174" i="50" s="1"/>
  <c r="J30" i="50"/>
  <c r="AV30" i="50" s="1"/>
  <c r="X117" i="50"/>
  <c r="BJ117" i="50" s="1"/>
  <c r="I93" i="50"/>
  <c r="AU93" i="50" s="1"/>
  <c r="W177" i="50"/>
  <c r="BI177" i="50" s="1"/>
  <c r="J117" i="50"/>
  <c r="AV117" i="50" s="1"/>
  <c r="W97" i="50"/>
  <c r="BI97" i="50" s="1"/>
  <c r="I177" i="50"/>
  <c r="AU177" i="50" s="1"/>
  <c r="C10" i="49"/>
  <c r="I10" i="49" s="1"/>
  <c r="AL5" i="85" s="1"/>
  <c r="X22" i="50"/>
  <c r="BJ22" i="50" s="1"/>
  <c r="J114" i="50"/>
  <c r="AV114" i="50" s="1"/>
  <c r="P89" i="50"/>
  <c r="BB89" i="50" s="1"/>
  <c r="W182" i="50"/>
  <c r="BI182" i="50" s="1"/>
  <c r="P185" i="50"/>
  <c r="BB185" i="50" s="1"/>
  <c r="Q125" i="50"/>
  <c r="BC125" i="50" s="1"/>
  <c r="W181" i="50"/>
  <c r="BI181" i="50" s="1"/>
  <c r="Q130" i="50"/>
  <c r="BC130" i="50" s="1"/>
  <c r="J28" i="50"/>
  <c r="AV28" i="50" s="1"/>
  <c r="Q34" i="50"/>
  <c r="BC34" i="50" s="1"/>
  <c r="J12" i="50"/>
  <c r="AV12" i="50" s="1"/>
  <c r="Q113" i="50"/>
  <c r="BC113" i="50" s="1"/>
  <c r="J11" i="50"/>
  <c r="AV11" i="50" s="1"/>
  <c r="I86" i="50"/>
  <c r="AU86" i="50" s="1"/>
  <c r="J27" i="50"/>
  <c r="AV27" i="50" s="1"/>
  <c r="X18" i="50"/>
  <c r="BJ18" i="50" s="1"/>
  <c r="W93" i="50"/>
  <c r="BI93" i="50" s="1"/>
  <c r="I102" i="50"/>
  <c r="AU102" i="50" s="1"/>
  <c r="J33" i="50"/>
  <c r="AV33" i="50" s="1"/>
  <c r="AU33" i="50"/>
  <c r="Q115" i="50"/>
  <c r="BC115" i="50" s="1"/>
  <c r="BB115" i="50"/>
  <c r="D47" i="67"/>
  <c r="BH111" i="50"/>
  <c r="D47" i="85" s="1"/>
  <c r="P91" i="50"/>
  <c r="BB91" i="50" s="1"/>
  <c r="BB16" i="50"/>
  <c r="BB18" i="50"/>
  <c r="Q18" i="50"/>
  <c r="P93" i="50"/>
  <c r="BB93" i="50" s="1"/>
  <c r="AU34" i="50"/>
  <c r="I109" i="50"/>
  <c r="AU109" i="50" s="1"/>
  <c r="J34" i="50"/>
  <c r="J120" i="50"/>
  <c r="AV120" i="50" s="1"/>
  <c r="AU120" i="50"/>
  <c r="P98" i="50"/>
  <c r="BB98" i="50" s="1"/>
  <c r="BB23" i="50"/>
  <c r="I91" i="50"/>
  <c r="AU91" i="50" s="1"/>
  <c r="AU16" i="50"/>
  <c r="I186" i="50"/>
  <c r="AU186" i="50" s="1"/>
  <c r="AU126" i="50"/>
  <c r="I106" i="50"/>
  <c r="AU106" i="50" s="1"/>
  <c r="AU31" i="50"/>
  <c r="F40" i="49"/>
  <c r="L40" i="49" s="1"/>
  <c r="BJ32" i="50"/>
  <c r="W105" i="50"/>
  <c r="BI105" i="50" s="1"/>
  <c r="BI30" i="50"/>
  <c r="P174" i="50"/>
  <c r="BB174" i="50" s="1"/>
  <c r="BB114" i="50"/>
  <c r="W98" i="50"/>
  <c r="BI98" i="50" s="1"/>
  <c r="BI23" i="50"/>
  <c r="X25" i="50"/>
  <c r="BJ25" i="50" s="1"/>
  <c r="BI25" i="50"/>
  <c r="D11" i="67"/>
  <c r="AT111" i="50"/>
  <c r="D11" i="85" s="1"/>
  <c r="X120" i="50"/>
  <c r="BJ120" i="50" s="1"/>
  <c r="BI120" i="50"/>
  <c r="C24" i="49"/>
  <c r="I25" i="49"/>
  <c r="D29" i="67"/>
  <c r="BA111" i="50"/>
  <c r="D29" i="85" s="1"/>
  <c r="Q11" i="50"/>
  <c r="BC11" i="50" s="1"/>
  <c r="BB11" i="50"/>
  <c r="P189" i="50"/>
  <c r="BB189" i="50" s="1"/>
  <c r="BB129" i="50"/>
  <c r="P184" i="50"/>
  <c r="BB184" i="50" s="1"/>
  <c r="BB124" i="50"/>
  <c r="BB120" i="50"/>
  <c r="Q120" i="50"/>
  <c r="P180" i="50"/>
  <c r="BB180" i="50" s="1"/>
  <c r="X121" i="50"/>
  <c r="BJ121" i="50" s="1"/>
  <c r="I19" i="50"/>
  <c r="AU19" i="50" s="1"/>
  <c r="AU22" i="50"/>
  <c r="X126" i="50"/>
  <c r="BJ126" i="50" s="1"/>
  <c r="BI126" i="50"/>
  <c r="W184" i="50"/>
  <c r="BI184" i="50" s="1"/>
  <c r="BI124" i="50"/>
  <c r="P92" i="50"/>
  <c r="BB92" i="50" s="1"/>
  <c r="BB17" i="50"/>
  <c r="W104" i="50"/>
  <c r="BI104" i="50" s="1"/>
  <c r="BI29" i="50"/>
  <c r="C38" i="49"/>
  <c r="I39" i="49"/>
  <c r="M283" i="50"/>
  <c r="AY283" i="50" s="1"/>
  <c r="H94" i="50"/>
  <c r="AT94" i="50" s="1"/>
  <c r="AT97" i="50"/>
  <c r="F283" i="50"/>
  <c r="AR283" i="50" s="1"/>
  <c r="AR85" i="50"/>
  <c r="C14" i="67"/>
  <c r="AS171" i="50"/>
  <c r="C14" i="85" s="1"/>
  <c r="T283" i="50"/>
  <c r="BF85" i="50"/>
  <c r="C50" i="67"/>
  <c r="BG171" i="50"/>
  <c r="C50" i="85" s="1"/>
  <c r="N85" i="50"/>
  <c r="N283" i="50" s="1"/>
  <c r="AZ283" i="50" s="1"/>
  <c r="AZ94" i="50"/>
  <c r="O88" i="50"/>
  <c r="BA88" i="50" s="1"/>
  <c r="BA90" i="50"/>
  <c r="V94" i="50"/>
  <c r="BH94" i="50" s="1"/>
  <c r="BH96" i="50"/>
  <c r="U85" i="50"/>
  <c r="U283" i="50" s="1"/>
  <c r="BG283" i="50" s="1"/>
  <c r="BG88" i="50"/>
  <c r="C32" i="67"/>
  <c r="AZ171" i="50"/>
  <c r="C32" i="85" s="1"/>
  <c r="G280" i="50"/>
  <c r="AS280" i="50" s="1"/>
  <c r="C6" i="67"/>
  <c r="N280" i="50"/>
  <c r="AZ280" i="50" s="1"/>
  <c r="C24" i="67"/>
  <c r="U280" i="50"/>
  <c r="BG280" i="50" s="1"/>
  <c r="C42" i="67"/>
  <c r="P175" i="50"/>
  <c r="BB175" i="50" s="1"/>
  <c r="Q114" i="50"/>
  <c r="X30" i="50"/>
  <c r="Q124" i="50"/>
  <c r="J16" i="50"/>
  <c r="X124" i="50"/>
  <c r="W180" i="50"/>
  <c r="BI180" i="50" s="1"/>
  <c r="Q16" i="50"/>
  <c r="Q23" i="50"/>
  <c r="J126" i="50"/>
  <c r="D11" i="49"/>
  <c r="W186" i="50"/>
  <c r="BI186" i="50" s="1"/>
  <c r="X29" i="50"/>
  <c r="Q17" i="50"/>
  <c r="W19" i="50"/>
  <c r="BI19" i="50" s="1"/>
  <c r="X23" i="50"/>
  <c r="Y32" i="50"/>
  <c r="P86" i="50"/>
  <c r="BB86" i="50" s="1"/>
  <c r="V10" i="50"/>
  <c r="X107" i="50"/>
  <c r="BJ107" i="50" s="1"/>
  <c r="O10" i="50"/>
  <c r="BA10" i="50" s="1"/>
  <c r="D24" i="85" s="1"/>
  <c r="G85" i="50"/>
  <c r="AS85" i="50" s="1"/>
  <c r="C9" i="85" s="1"/>
  <c r="Q129" i="50"/>
  <c r="W100" i="50"/>
  <c r="BI100" i="50" s="1"/>
  <c r="I108" i="50"/>
  <c r="AU108" i="50" s="1"/>
  <c r="D25" i="49"/>
  <c r="D39" i="49"/>
  <c r="I180" i="50"/>
  <c r="AU180" i="50" s="1"/>
  <c r="J31" i="50"/>
  <c r="W190" i="50"/>
  <c r="BI190" i="50" s="1"/>
  <c r="X130" i="50"/>
  <c r="BJ130" i="50" s="1"/>
  <c r="P19" i="50"/>
  <c r="BB19" i="50" s="1"/>
  <c r="W90" i="50"/>
  <c r="BI90" i="50" s="1"/>
  <c r="X15" i="50"/>
  <c r="BJ15" i="50" s="1"/>
  <c r="V88" i="50"/>
  <c r="H10" i="50"/>
  <c r="AT10" i="50" s="1"/>
  <c r="D6" i="85" s="1"/>
  <c r="H88" i="50"/>
  <c r="H171" i="50"/>
  <c r="X34" i="50"/>
  <c r="BJ34" i="50" s="1"/>
  <c r="W109" i="50"/>
  <c r="BI109" i="50" s="1"/>
  <c r="O171" i="50"/>
  <c r="J119" i="50"/>
  <c r="AV119" i="50" s="1"/>
  <c r="I179" i="50"/>
  <c r="AU179" i="50" s="1"/>
  <c r="P176" i="50"/>
  <c r="BB176" i="50" s="1"/>
  <c r="Q116" i="50"/>
  <c r="BC116" i="50" s="1"/>
  <c r="O94" i="50"/>
  <c r="P181" i="50"/>
  <c r="BB181" i="50" s="1"/>
  <c r="Q121" i="50"/>
  <c r="BC121" i="50" s="1"/>
  <c r="Q105" i="50"/>
  <c r="BC105" i="50" s="1"/>
  <c r="R30" i="50"/>
  <c r="Q28" i="50"/>
  <c r="BC28" i="50" s="1"/>
  <c r="P103" i="50"/>
  <c r="BB103" i="50" s="1"/>
  <c r="P187" i="50"/>
  <c r="BB187" i="50" s="1"/>
  <c r="Q127" i="50"/>
  <c r="BC127" i="50" s="1"/>
  <c r="I190" i="50"/>
  <c r="AU190" i="50" s="1"/>
  <c r="J130" i="50"/>
  <c r="AV130" i="50" s="1"/>
  <c r="J125" i="50"/>
  <c r="AV125" i="50" s="1"/>
  <c r="I185" i="50"/>
  <c r="AU185" i="50" s="1"/>
  <c r="X106" i="50"/>
  <c r="BJ106" i="50" s="1"/>
  <c r="Y31" i="50"/>
  <c r="K20" i="50"/>
  <c r="AW20" i="50" s="1"/>
  <c r="J95" i="50"/>
  <c r="AV95" i="50" s="1"/>
  <c r="W173" i="50"/>
  <c r="BI173" i="50" s="1"/>
  <c r="X113" i="50"/>
  <c r="BJ113" i="50" s="1"/>
  <c r="I183" i="50"/>
  <c r="AU183" i="50" s="1"/>
  <c r="J123" i="50"/>
  <c r="AV123" i="50" s="1"/>
  <c r="P178" i="50"/>
  <c r="BB178" i="50" s="1"/>
  <c r="Q118" i="50"/>
  <c r="BC118" i="50" s="1"/>
  <c r="W91" i="50"/>
  <c r="BI91" i="50" s="1"/>
  <c r="X16" i="50"/>
  <c r="BJ16" i="50" s="1"/>
  <c r="W185" i="50"/>
  <c r="BI185" i="50" s="1"/>
  <c r="X125" i="50"/>
  <c r="BJ125" i="50" s="1"/>
  <c r="P108" i="50"/>
  <c r="BB108" i="50" s="1"/>
  <c r="Q33" i="50"/>
  <c r="BC33" i="50" s="1"/>
  <c r="F26" i="49"/>
  <c r="L26" i="49" s="1"/>
  <c r="R32" i="50"/>
  <c r="BD32" i="50" s="1"/>
  <c r="Q107" i="50"/>
  <c r="BC107" i="50" s="1"/>
  <c r="P97" i="50"/>
  <c r="BB97" i="50" s="1"/>
  <c r="Q22" i="50"/>
  <c r="BC22" i="50" s="1"/>
  <c r="P111" i="50"/>
  <c r="P90" i="50"/>
  <c r="Q15" i="50"/>
  <c r="BC15" i="50" s="1"/>
  <c r="X12" i="50"/>
  <c r="BJ12" i="50" s="1"/>
  <c r="W87" i="50"/>
  <c r="BI87" i="50" s="1"/>
  <c r="J15" i="50"/>
  <c r="AV15" i="50" s="1"/>
  <c r="I90" i="50"/>
  <c r="AU90" i="50" s="1"/>
  <c r="X119" i="50"/>
  <c r="BJ119" i="50" s="1"/>
  <c r="W179" i="50"/>
  <c r="BI179" i="50" s="1"/>
  <c r="Q106" i="50"/>
  <c r="BC106" i="50" s="1"/>
  <c r="R31" i="50"/>
  <c r="J96" i="50"/>
  <c r="AV96" i="50" s="1"/>
  <c r="K21" i="50"/>
  <c r="Q179" i="50"/>
  <c r="BC179" i="50" s="1"/>
  <c r="R119" i="50"/>
  <c r="P96" i="50"/>
  <c r="BB96" i="50" s="1"/>
  <c r="Q21" i="50"/>
  <c r="BC21" i="50" s="1"/>
  <c r="W101" i="50"/>
  <c r="BI101" i="50" s="1"/>
  <c r="X26" i="50"/>
  <c r="BJ26" i="50" s="1"/>
  <c r="W108" i="50"/>
  <c r="BI108" i="50" s="1"/>
  <c r="X33" i="50"/>
  <c r="BJ33" i="50" s="1"/>
  <c r="W189" i="50"/>
  <c r="BI189" i="50" s="1"/>
  <c r="X129" i="50"/>
  <c r="BJ129" i="50" s="1"/>
  <c r="J122" i="50"/>
  <c r="AV122" i="50" s="1"/>
  <c r="I182" i="50"/>
  <c r="AU182" i="50" s="1"/>
  <c r="W13" i="50"/>
  <c r="BI13" i="50" s="1"/>
  <c r="X14" i="50"/>
  <c r="BJ14" i="50" s="1"/>
  <c r="W89" i="50"/>
  <c r="BI89" i="50" s="1"/>
  <c r="J32" i="50"/>
  <c r="AV32" i="50" s="1"/>
  <c r="E12" i="49"/>
  <c r="K12" i="49" s="1"/>
  <c r="I107" i="50"/>
  <c r="AU107" i="50" s="1"/>
  <c r="I173" i="50"/>
  <c r="AU173" i="50" s="1"/>
  <c r="J113" i="50"/>
  <c r="AV113" i="50" s="1"/>
  <c r="R20" i="50"/>
  <c r="BD20" i="50" s="1"/>
  <c r="Q95" i="50"/>
  <c r="BC95" i="50" s="1"/>
  <c r="X102" i="50"/>
  <c r="BJ102" i="50" s="1"/>
  <c r="Y27" i="50"/>
  <c r="W176" i="50"/>
  <c r="BI176" i="50" s="1"/>
  <c r="X116" i="50"/>
  <c r="BJ116" i="50" s="1"/>
  <c r="P188" i="50"/>
  <c r="BB188" i="50" s="1"/>
  <c r="Q128" i="50"/>
  <c r="BC128" i="50" s="1"/>
  <c r="W96" i="50"/>
  <c r="X21" i="50"/>
  <c r="BJ21" i="50" s="1"/>
  <c r="I187" i="50"/>
  <c r="AU187" i="50" s="1"/>
  <c r="J127" i="50"/>
  <c r="AV127" i="50" s="1"/>
  <c r="I104" i="50"/>
  <c r="AU104" i="50" s="1"/>
  <c r="J29" i="50"/>
  <c r="AV29" i="50" s="1"/>
  <c r="P99" i="50"/>
  <c r="BB99" i="50" s="1"/>
  <c r="Q24" i="50"/>
  <c r="R11" i="50"/>
  <c r="BD11" i="50" s="1"/>
  <c r="P101" i="50"/>
  <c r="BB101" i="50" s="1"/>
  <c r="Q26" i="50"/>
  <c r="BC26" i="50" s="1"/>
  <c r="W187" i="50"/>
  <c r="BI187" i="50" s="1"/>
  <c r="X127" i="50"/>
  <c r="BJ127" i="50" s="1"/>
  <c r="I111" i="50"/>
  <c r="I172" i="50"/>
  <c r="AU172" i="50" s="1"/>
  <c r="J112" i="50"/>
  <c r="AV112" i="50" s="1"/>
  <c r="J128" i="50"/>
  <c r="AV128" i="50" s="1"/>
  <c r="I188" i="50"/>
  <c r="AU188" i="50" s="1"/>
  <c r="P104" i="50"/>
  <c r="BB104" i="50" s="1"/>
  <c r="Q29" i="50"/>
  <c r="BC29" i="50" s="1"/>
  <c r="Y17" i="50"/>
  <c r="X92" i="50"/>
  <c r="BJ92" i="50" s="1"/>
  <c r="I101" i="50"/>
  <c r="AU101" i="50" s="1"/>
  <c r="J26" i="50"/>
  <c r="AV26" i="50" s="1"/>
  <c r="J180" i="50"/>
  <c r="AV180" i="50" s="1"/>
  <c r="P102" i="50"/>
  <c r="BB102" i="50" s="1"/>
  <c r="Q27" i="50"/>
  <c r="BC27" i="50" s="1"/>
  <c r="I184" i="50"/>
  <c r="AU184" i="50" s="1"/>
  <c r="J124" i="50"/>
  <c r="AV124" i="50" s="1"/>
  <c r="J176" i="50"/>
  <c r="AV176" i="50" s="1"/>
  <c r="K116" i="50"/>
  <c r="W103" i="50"/>
  <c r="BI103" i="50" s="1"/>
  <c r="X28" i="50"/>
  <c r="BJ28" i="50" s="1"/>
  <c r="W175" i="50"/>
  <c r="BI175" i="50" s="1"/>
  <c r="X115" i="50"/>
  <c r="BJ115" i="50" s="1"/>
  <c r="P13" i="50"/>
  <c r="BB13" i="50" s="1"/>
  <c r="J98" i="50"/>
  <c r="AV98" i="50" s="1"/>
  <c r="K23" i="50"/>
  <c r="W188" i="50"/>
  <c r="BI188" i="50" s="1"/>
  <c r="X128" i="50"/>
  <c r="BJ128" i="50" s="1"/>
  <c r="W99" i="50"/>
  <c r="BI99" i="50" s="1"/>
  <c r="X24" i="50"/>
  <c r="BJ24" i="50" s="1"/>
  <c r="J118" i="50"/>
  <c r="AV118" i="50" s="1"/>
  <c r="I178" i="50"/>
  <c r="AU178" i="50" s="1"/>
  <c r="W111" i="50"/>
  <c r="X112" i="50"/>
  <c r="BJ112" i="50" s="1"/>
  <c r="W172" i="50"/>
  <c r="BI172" i="50" s="1"/>
  <c r="Q126" i="50"/>
  <c r="BC126" i="50" s="1"/>
  <c r="P186" i="50"/>
  <c r="BB186" i="50" s="1"/>
  <c r="P87" i="50"/>
  <c r="BB87" i="50" s="1"/>
  <c r="Q12" i="50"/>
  <c r="BC12" i="50" s="1"/>
  <c r="W183" i="50"/>
  <c r="BI183" i="50" s="1"/>
  <c r="X123" i="50"/>
  <c r="BJ123" i="50" s="1"/>
  <c r="I97" i="50"/>
  <c r="J22" i="50"/>
  <c r="AV22" i="50" s="1"/>
  <c r="Q177" i="50"/>
  <c r="BC177" i="50" s="1"/>
  <c r="R117" i="50"/>
  <c r="I13" i="50"/>
  <c r="I89" i="50"/>
  <c r="AU89" i="50" s="1"/>
  <c r="J14" i="50"/>
  <c r="AV14" i="50" s="1"/>
  <c r="I181" i="50"/>
  <c r="AU181" i="50" s="1"/>
  <c r="J121" i="50"/>
  <c r="AV121" i="50" s="1"/>
  <c r="X11" i="50"/>
  <c r="BJ11" i="50" s="1"/>
  <c r="W86" i="50"/>
  <c r="BI86" i="50" s="1"/>
  <c r="X95" i="50"/>
  <c r="BJ95" i="50" s="1"/>
  <c r="Y20" i="50"/>
  <c r="BK20" i="50" s="1"/>
  <c r="P100" i="50"/>
  <c r="BB100" i="50" s="1"/>
  <c r="Q25" i="50"/>
  <c r="BC25" i="50" s="1"/>
  <c r="Q182" i="50"/>
  <c r="BC182" i="50" s="1"/>
  <c r="R122" i="50"/>
  <c r="Q172" i="50"/>
  <c r="BC172" i="50" s="1"/>
  <c r="R112" i="50"/>
  <c r="BD112" i="50" s="1"/>
  <c r="I92" i="50"/>
  <c r="AU92" i="50" s="1"/>
  <c r="J17" i="50"/>
  <c r="AV17" i="50" s="1"/>
  <c r="W174" i="50"/>
  <c r="BI174" i="50" s="1"/>
  <c r="X114" i="50"/>
  <c r="BJ114" i="50" s="1"/>
  <c r="I100" i="50"/>
  <c r="AU100" i="50" s="1"/>
  <c r="J25" i="50"/>
  <c r="AV25" i="50" s="1"/>
  <c r="V171" i="50"/>
  <c r="I189" i="50"/>
  <c r="AU189" i="50" s="1"/>
  <c r="J129" i="50"/>
  <c r="AV129" i="50" s="1"/>
  <c r="W178" i="50"/>
  <c r="BI178" i="50" s="1"/>
  <c r="X118" i="50"/>
  <c r="BJ118" i="50" s="1"/>
  <c r="Q173" i="50"/>
  <c r="BC173" i="50" s="1"/>
  <c r="K115" i="50" l="1"/>
  <c r="K175" i="50" s="1"/>
  <c r="AW175" i="50" s="1"/>
  <c r="Y122" i="50"/>
  <c r="X182" i="50"/>
  <c r="BJ182" i="50" s="1"/>
  <c r="K24" i="50"/>
  <c r="AW24" i="50" s="1"/>
  <c r="J108" i="50"/>
  <c r="AV108" i="50" s="1"/>
  <c r="K33" i="50"/>
  <c r="AW33" i="50" s="1"/>
  <c r="J102" i="50"/>
  <c r="AV102" i="50" s="1"/>
  <c r="J99" i="50"/>
  <c r="AV99" i="50" s="1"/>
  <c r="K18" i="50"/>
  <c r="K93" i="50" s="1"/>
  <c r="AW93" i="50" s="1"/>
  <c r="J93" i="50"/>
  <c r="AV93" i="50" s="1"/>
  <c r="K12" i="50"/>
  <c r="AW12" i="50" s="1"/>
  <c r="J175" i="50"/>
  <c r="AV175" i="50" s="1"/>
  <c r="R123" i="50"/>
  <c r="R183" i="50" s="1"/>
  <c r="BD183" i="50" s="1"/>
  <c r="Q183" i="50"/>
  <c r="BC183" i="50" s="1"/>
  <c r="Y126" i="50"/>
  <c r="Y186" i="50" s="1"/>
  <c r="BK186" i="50" s="1"/>
  <c r="X186" i="50"/>
  <c r="BJ186" i="50" s="1"/>
  <c r="K120" i="50"/>
  <c r="K180" i="50" s="1"/>
  <c r="AW180" i="50" s="1"/>
  <c r="Q86" i="50"/>
  <c r="BC86" i="50" s="1"/>
  <c r="Q89" i="50"/>
  <c r="BC89" i="50" s="1"/>
  <c r="R130" i="50"/>
  <c r="BD130" i="50" s="1"/>
  <c r="R14" i="50"/>
  <c r="BD14" i="50" s="1"/>
  <c r="R113" i="50"/>
  <c r="R173" i="50" s="1"/>
  <c r="BD173" i="50" s="1"/>
  <c r="AL5" i="67"/>
  <c r="J86" i="50"/>
  <c r="AV86" i="50" s="1"/>
  <c r="Y121" i="50"/>
  <c r="Y181" i="50" s="1"/>
  <c r="BK181" i="50" s="1"/>
  <c r="K117" i="50"/>
  <c r="K177" i="50" s="1"/>
  <c r="AW177" i="50" s="1"/>
  <c r="Y18" i="50"/>
  <c r="Y93" i="50" s="1"/>
  <c r="BK93" i="50" s="1"/>
  <c r="K30" i="50"/>
  <c r="K105" i="50" s="1"/>
  <c r="AW105" i="50" s="1"/>
  <c r="R125" i="50"/>
  <c r="R185" i="50" s="1"/>
  <c r="BD185" i="50" s="1"/>
  <c r="Y117" i="50"/>
  <c r="Y177" i="50" s="1"/>
  <c r="BK177" i="50" s="1"/>
  <c r="Q185" i="50"/>
  <c r="BC185" i="50" s="1"/>
  <c r="X177" i="50"/>
  <c r="BJ177" i="50" s="1"/>
  <c r="R34" i="50"/>
  <c r="R109" i="50" s="1"/>
  <c r="BD109" i="50" s="1"/>
  <c r="K114" i="50"/>
  <c r="K174" i="50" s="1"/>
  <c r="AW174" i="50" s="1"/>
  <c r="Y22" i="50"/>
  <c r="Y97" i="50" s="1"/>
  <c r="BK97" i="50" s="1"/>
  <c r="Q109" i="50"/>
  <c r="BC109" i="50" s="1"/>
  <c r="J174" i="50"/>
  <c r="AV174" i="50" s="1"/>
  <c r="J105" i="50"/>
  <c r="AV105" i="50" s="1"/>
  <c r="J177" i="50"/>
  <c r="AV177" i="50" s="1"/>
  <c r="X97" i="50"/>
  <c r="BJ97" i="50" s="1"/>
  <c r="Q175" i="50"/>
  <c r="BC175" i="50" s="1"/>
  <c r="J103" i="50"/>
  <c r="AV103" i="50" s="1"/>
  <c r="Y120" i="50"/>
  <c r="Y180" i="50" s="1"/>
  <c r="BK180" i="50" s="1"/>
  <c r="X93" i="50"/>
  <c r="BJ93" i="50" s="1"/>
  <c r="Y25" i="50"/>
  <c r="BK25" i="50" s="1"/>
  <c r="K11" i="50"/>
  <c r="AW11" i="50" s="1"/>
  <c r="X100" i="50"/>
  <c r="BJ100" i="50" s="1"/>
  <c r="X180" i="50"/>
  <c r="BJ180" i="50" s="1"/>
  <c r="X181" i="50"/>
  <c r="BJ181" i="50" s="1"/>
  <c r="K28" i="50"/>
  <c r="K103" i="50" s="1"/>
  <c r="AW103" i="50" s="1"/>
  <c r="J87" i="50"/>
  <c r="AV87" i="50" s="1"/>
  <c r="K27" i="50"/>
  <c r="K102" i="50" s="1"/>
  <c r="AW102" i="50" s="1"/>
  <c r="R115" i="50"/>
  <c r="R175" i="50" s="1"/>
  <c r="BD175" i="50" s="1"/>
  <c r="Q190" i="50"/>
  <c r="BC190" i="50" s="1"/>
  <c r="M285" i="50"/>
  <c r="AY285" i="50" s="1"/>
  <c r="E11" i="67"/>
  <c r="AU111" i="50"/>
  <c r="E11" i="85" s="1"/>
  <c r="J186" i="50"/>
  <c r="AV186" i="50" s="1"/>
  <c r="AV126" i="50"/>
  <c r="R114" i="50"/>
  <c r="BC114" i="50"/>
  <c r="F285" i="50"/>
  <c r="AR285" i="50" s="1"/>
  <c r="Y102" i="50"/>
  <c r="BK102" i="50" s="1"/>
  <c r="BK27" i="50"/>
  <c r="K96" i="50"/>
  <c r="AW96" i="50" s="1"/>
  <c r="AW21" i="50"/>
  <c r="Y106" i="50"/>
  <c r="BK106" i="50" s="1"/>
  <c r="BK31" i="50"/>
  <c r="Y107" i="50"/>
  <c r="BK107" i="50" s="1"/>
  <c r="BK32" i="50"/>
  <c r="R23" i="50"/>
  <c r="BC23" i="50"/>
  <c r="E47" i="67"/>
  <c r="BI111" i="50"/>
  <c r="E47" i="85" s="1"/>
  <c r="Y23" i="50"/>
  <c r="BJ23" i="50"/>
  <c r="Q91" i="50"/>
  <c r="BC91" i="50" s="1"/>
  <c r="BC16" i="50"/>
  <c r="AV34" i="50"/>
  <c r="J109" i="50"/>
  <c r="AV109" i="50" s="1"/>
  <c r="K34" i="50"/>
  <c r="R182" i="50"/>
  <c r="BD182" i="50" s="1"/>
  <c r="BD122" i="50"/>
  <c r="I10" i="50"/>
  <c r="E6" i="67" s="1"/>
  <c r="AU13" i="50"/>
  <c r="R24" i="50"/>
  <c r="BD24" i="50" s="1"/>
  <c r="BC24" i="50"/>
  <c r="R106" i="50"/>
  <c r="BD106" i="50" s="1"/>
  <c r="BD31" i="50"/>
  <c r="E29" i="67"/>
  <c r="BB111" i="50"/>
  <c r="E29" i="85" s="1"/>
  <c r="K99" i="50"/>
  <c r="AW99" i="50" s="1"/>
  <c r="K31" i="50"/>
  <c r="AV31" i="50"/>
  <c r="Q189" i="50"/>
  <c r="BC189" i="50" s="1"/>
  <c r="BC129" i="50"/>
  <c r="Y92" i="50"/>
  <c r="BK92" i="50" s="1"/>
  <c r="BK17" i="50"/>
  <c r="R177" i="50"/>
  <c r="BD177" i="50" s="1"/>
  <c r="BD117" i="50"/>
  <c r="K176" i="50"/>
  <c r="AW176" i="50" s="1"/>
  <c r="AW116" i="50"/>
  <c r="AW115" i="50"/>
  <c r="R17" i="50"/>
  <c r="BC17" i="50"/>
  <c r="X184" i="50"/>
  <c r="BJ184" i="50" s="1"/>
  <c r="BJ124" i="50"/>
  <c r="BC120" i="50"/>
  <c r="Q180" i="50"/>
  <c r="BC180" i="50" s="1"/>
  <c r="R120" i="50"/>
  <c r="Y182" i="50"/>
  <c r="BK182" i="50" s="1"/>
  <c r="BK122" i="50"/>
  <c r="R105" i="50"/>
  <c r="BD105" i="50" s="1"/>
  <c r="BD30" i="50"/>
  <c r="D38" i="49"/>
  <c r="J39" i="49"/>
  <c r="Y29" i="50"/>
  <c r="BJ29" i="50"/>
  <c r="J91" i="50"/>
  <c r="AV91" i="50" s="1"/>
  <c r="AV16" i="50"/>
  <c r="K98" i="50"/>
  <c r="AW98" i="50" s="1"/>
  <c r="AW23" i="50"/>
  <c r="D24" i="49"/>
  <c r="J25" i="49"/>
  <c r="Q184" i="50"/>
  <c r="BC184" i="50" s="1"/>
  <c r="BC124" i="50"/>
  <c r="BC18" i="50"/>
  <c r="Q93" i="50"/>
  <c r="BC93" i="50" s="1"/>
  <c r="R18" i="50"/>
  <c r="R179" i="50"/>
  <c r="BD179" i="50" s="1"/>
  <c r="BD119" i="50"/>
  <c r="V280" i="50"/>
  <c r="BH280" i="50" s="1"/>
  <c r="BH10" i="50"/>
  <c r="D42" i="85" s="1"/>
  <c r="D10" i="49"/>
  <c r="J11" i="49"/>
  <c r="Y30" i="50"/>
  <c r="BJ30" i="50"/>
  <c r="AL21" i="67"/>
  <c r="I38" i="49"/>
  <c r="AL21" i="85" s="1"/>
  <c r="AL13" i="67"/>
  <c r="I24" i="49"/>
  <c r="AL13" i="85" s="1"/>
  <c r="D14" i="67"/>
  <c r="AT171" i="50"/>
  <c r="D14" i="85" s="1"/>
  <c r="C27" i="67"/>
  <c r="AZ85" i="50"/>
  <c r="C27" i="85" s="1"/>
  <c r="V85" i="50"/>
  <c r="V283" i="50" s="1"/>
  <c r="BH88" i="50"/>
  <c r="O85" i="50"/>
  <c r="O283" i="50" s="1"/>
  <c r="BA283" i="50" s="1"/>
  <c r="BA94" i="50"/>
  <c r="H85" i="50"/>
  <c r="H283" i="50" s="1"/>
  <c r="AT283" i="50" s="1"/>
  <c r="AT88" i="50"/>
  <c r="D50" i="67"/>
  <c r="BH171" i="50"/>
  <c r="D50" i="85" s="1"/>
  <c r="P88" i="50"/>
  <c r="BB88" i="50" s="1"/>
  <c r="BB90" i="50"/>
  <c r="T285" i="50"/>
  <c r="BF285" i="50" s="1"/>
  <c r="BF283" i="50"/>
  <c r="I94" i="50"/>
  <c r="AU94" i="50" s="1"/>
  <c r="AU97" i="50"/>
  <c r="D32" i="67"/>
  <c r="BA171" i="50"/>
  <c r="D32" i="85" s="1"/>
  <c r="W94" i="50"/>
  <c r="BI94" i="50" s="1"/>
  <c r="BI96" i="50"/>
  <c r="C45" i="67"/>
  <c r="BG85" i="50"/>
  <c r="C45" i="85" s="1"/>
  <c r="X105" i="50"/>
  <c r="BJ105" i="50" s="1"/>
  <c r="U285" i="50"/>
  <c r="BG285" i="50" s="1"/>
  <c r="Q174" i="50"/>
  <c r="BC174" i="50" s="1"/>
  <c r="N285" i="50"/>
  <c r="AZ285" i="50" s="1"/>
  <c r="H280" i="50"/>
  <c r="AT280" i="50" s="1"/>
  <c r="D6" i="67"/>
  <c r="G283" i="50"/>
  <c r="C9" i="67"/>
  <c r="E25" i="49"/>
  <c r="D24" i="67"/>
  <c r="E39" i="49"/>
  <c r="D42" i="67"/>
  <c r="R124" i="50"/>
  <c r="R16" i="50"/>
  <c r="Y124" i="50"/>
  <c r="Q98" i="50"/>
  <c r="BC98" i="50" s="1"/>
  <c r="Q92" i="50"/>
  <c r="BC92" i="50" s="1"/>
  <c r="K126" i="50"/>
  <c r="X98" i="50"/>
  <c r="BJ98" i="50" s="1"/>
  <c r="X104" i="50"/>
  <c r="BJ104" i="50" s="1"/>
  <c r="K16" i="50"/>
  <c r="X19" i="50"/>
  <c r="BJ19" i="50" s="1"/>
  <c r="Q13" i="50"/>
  <c r="BC13" i="50" s="1"/>
  <c r="O280" i="50"/>
  <c r="BA280" i="50" s="1"/>
  <c r="W10" i="50"/>
  <c r="BI10" i="50" s="1"/>
  <c r="E42" i="85" s="1"/>
  <c r="G40" i="49"/>
  <c r="M40" i="49" s="1"/>
  <c r="R129" i="50"/>
  <c r="Q19" i="50"/>
  <c r="BC19" i="50" s="1"/>
  <c r="J106" i="50"/>
  <c r="AV106" i="50" s="1"/>
  <c r="P10" i="50"/>
  <c r="BB10" i="50" s="1"/>
  <c r="E24" i="85" s="1"/>
  <c r="Q111" i="50"/>
  <c r="Y130" i="50"/>
  <c r="X190" i="50"/>
  <c r="BJ190" i="50" s="1"/>
  <c r="E11" i="49"/>
  <c r="K11" i="49" s="1"/>
  <c r="X90" i="50"/>
  <c r="BJ90" i="50" s="1"/>
  <c r="Y15" i="50"/>
  <c r="W88" i="50"/>
  <c r="P94" i="50"/>
  <c r="P171" i="50"/>
  <c r="J179" i="50"/>
  <c r="AV179" i="50" s="1"/>
  <c r="K119" i="50"/>
  <c r="X109" i="50"/>
  <c r="BJ109" i="50" s="1"/>
  <c r="Y34" i="50"/>
  <c r="R28" i="50"/>
  <c r="Q103" i="50"/>
  <c r="BC103" i="50" s="1"/>
  <c r="Q187" i="50"/>
  <c r="BC187" i="50" s="1"/>
  <c r="R127" i="50"/>
  <c r="Q176" i="50"/>
  <c r="BC176" i="50" s="1"/>
  <c r="R116" i="50"/>
  <c r="R121" i="50"/>
  <c r="Q181" i="50"/>
  <c r="BC181" i="50" s="1"/>
  <c r="J185" i="50"/>
  <c r="AV185" i="50" s="1"/>
  <c r="K125" i="50"/>
  <c r="K130" i="50"/>
  <c r="J190" i="50"/>
  <c r="AV190" i="50" s="1"/>
  <c r="J189" i="50"/>
  <c r="AV189" i="50" s="1"/>
  <c r="K129" i="50"/>
  <c r="R172" i="50"/>
  <c r="BD172" i="50" s="1"/>
  <c r="J97" i="50"/>
  <c r="K22" i="50"/>
  <c r="Y128" i="50"/>
  <c r="X188" i="50"/>
  <c r="BJ188" i="50" s="1"/>
  <c r="J101" i="50"/>
  <c r="AV101" i="50" s="1"/>
  <c r="K26" i="50"/>
  <c r="J111" i="50"/>
  <c r="K112" i="50"/>
  <c r="AW112" i="50" s="1"/>
  <c r="J172" i="50"/>
  <c r="AV172" i="50" s="1"/>
  <c r="J104" i="50"/>
  <c r="AV104" i="50" s="1"/>
  <c r="K29" i="50"/>
  <c r="X13" i="50"/>
  <c r="BJ13" i="50" s="1"/>
  <c r="Y14" i="50"/>
  <c r="BK14" i="50" s="1"/>
  <c r="X89" i="50"/>
  <c r="BJ89" i="50" s="1"/>
  <c r="X189" i="50"/>
  <c r="BJ189" i="50" s="1"/>
  <c r="Y129" i="50"/>
  <c r="Q96" i="50"/>
  <c r="BC96" i="50" s="1"/>
  <c r="R21" i="50"/>
  <c r="Q108" i="50"/>
  <c r="BC108" i="50" s="1"/>
  <c r="R33" i="50"/>
  <c r="X91" i="50"/>
  <c r="BJ91" i="50" s="1"/>
  <c r="Y16" i="50"/>
  <c r="J183" i="50"/>
  <c r="AV183" i="50" s="1"/>
  <c r="K123" i="50"/>
  <c r="X173" i="50"/>
  <c r="BJ173" i="50" s="1"/>
  <c r="Y113" i="50"/>
  <c r="J19" i="50"/>
  <c r="AV19" i="50" s="1"/>
  <c r="X86" i="50"/>
  <c r="BJ86" i="50" s="1"/>
  <c r="Y11" i="50"/>
  <c r="BK11" i="50" s="1"/>
  <c r="Y112" i="50"/>
  <c r="BK112" i="50" s="1"/>
  <c r="X111" i="50"/>
  <c r="X172" i="50"/>
  <c r="BJ172" i="50" s="1"/>
  <c r="X174" i="50"/>
  <c r="BJ174" i="50" s="1"/>
  <c r="Y114" i="50"/>
  <c r="Q100" i="50"/>
  <c r="BC100" i="50" s="1"/>
  <c r="R25" i="50"/>
  <c r="J13" i="50"/>
  <c r="AV13" i="50" s="1"/>
  <c r="K14" i="50"/>
  <c r="AW14" i="50" s="1"/>
  <c r="J89" i="50"/>
  <c r="AV89" i="50" s="1"/>
  <c r="X183" i="50"/>
  <c r="BJ183" i="50" s="1"/>
  <c r="Y123" i="50"/>
  <c r="J184" i="50"/>
  <c r="AV184" i="50" s="1"/>
  <c r="K124" i="50"/>
  <c r="I171" i="50"/>
  <c r="K127" i="50"/>
  <c r="J187" i="50"/>
  <c r="AV187" i="50" s="1"/>
  <c r="Q188" i="50"/>
  <c r="BC188" i="50" s="1"/>
  <c r="R128" i="50"/>
  <c r="R95" i="50"/>
  <c r="BD95" i="50" s="1"/>
  <c r="X101" i="50"/>
  <c r="BJ101" i="50" s="1"/>
  <c r="Y26" i="50"/>
  <c r="X87" i="50"/>
  <c r="BJ87" i="50" s="1"/>
  <c r="Y12" i="50"/>
  <c r="Q97" i="50"/>
  <c r="BC97" i="50" s="1"/>
  <c r="R22" i="50"/>
  <c r="X178" i="50"/>
  <c r="BJ178" i="50" s="1"/>
  <c r="Y118" i="50"/>
  <c r="J92" i="50"/>
  <c r="AV92" i="50" s="1"/>
  <c r="K17" i="50"/>
  <c r="J181" i="50"/>
  <c r="AV181" i="50" s="1"/>
  <c r="K121" i="50"/>
  <c r="I88" i="50"/>
  <c r="Q186" i="50"/>
  <c r="BC186" i="50" s="1"/>
  <c r="R126" i="50"/>
  <c r="X99" i="50"/>
  <c r="BJ99" i="50" s="1"/>
  <c r="Y24" i="50"/>
  <c r="Q102" i="50"/>
  <c r="BC102" i="50" s="1"/>
  <c r="R27" i="50"/>
  <c r="Q104" i="50"/>
  <c r="BC104" i="50" s="1"/>
  <c r="R29" i="50"/>
  <c r="X108" i="50"/>
  <c r="BJ108" i="50" s="1"/>
  <c r="Y33" i="50"/>
  <c r="X179" i="50"/>
  <c r="BJ179" i="50" s="1"/>
  <c r="Y119" i="50"/>
  <c r="Q90" i="50"/>
  <c r="BC90" i="50" s="1"/>
  <c r="R15" i="50"/>
  <c r="G26" i="49"/>
  <c r="M26" i="49" s="1"/>
  <c r="R107" i="50"/>
  <c r="BD107" i="50" s="1"/>
  <c r="X185" i="50"/>
  <c r="BJ185" i="50" s="1"/>
  <c r="Y125" i="50"/>
  <c r="Q178" i="50"/>
  <c r="BC178" i="50" s="1"/>
  <c r="R118" i="50"/>
  <c r="J100" i="50"/>
  <c r="AV100" i="50" s="1"/>
  <c r="K25" i="50"/>
  <c r="Y95" i="50"/>
  <c r="BK95" i="50" s="1"/>
  <c r="Q87" i="50"/>
  <c r="BC87" i="50" s="1"/>
  <c r="R12" i="50"/>
  <c r="W171" i="50"/>
  <c r="J178" i="50"/>
  <c r="AV178" i="50" s="1"/>
  <c r="K118" i="50"/>
  <c r="X175" i="50"/>
  <c r="BJ175" i="50" s="1"/>
  <c r="Y115" i="50"/>
  <c r="X103" i="50"/>
  <c r="BJ103" i="50" s="1"/>
  <c r="Y28" i="50"/>
  <c r="J188" i="50"/>
  <c r="AV188" i="50" s="1"/>
  <c r="K128" i="50"/>
  <c r="X187" i="50"/>
  <c r="BJ187" i="50" s="1"/>
  <c r="Y127" i="50"/>
  <c r="Q101" i="50"/>
  <c r="BC101" i="50" s="1"/>
  <c r="R26" i="50"/>
  <c r="R86" i="50"/>
  <c r="BD86" i="50" s="1"/>
  <c r="Q99" i="50"/>
  <c r="BC99" i="50" s="1"/>
  <c r="X96" i="50"/>
  <c r="BJ96" i="50" s="1"/>
  <c r="Y21" i="50"/>
  <c r="X176" i="50"/>
  <c r="BJ176" i="50" s="1"/>
  <c r="Y116" i="50"/>
  <c r="J173" i="50"/>
  <c r="AV173" i="50" s="1"/>
  <c r="K113" i="50"/>
  <c r="F12" i="49"/>
  <c r="L12" i="49" s="1"/>
  <c r="J107" i="50"/>
  <c r="AV107" i="50" s="1"/>
  <c r="K32" i="50"/>
  <c r="AW32" i="50" s="1"/>
  <c r="K122" i="50"/>
  <c r="J182" i="50"/>
  <c r="AV182" i="50" s="1"/>
  <c r="J90" i="50"/>
  <c r="AV90" i="50" s="1"/>
  <c r="K15" i="50"/>
  <c r="K95" i="50"/>
  <c r="AW95" i="50" s="1"/>
  <c r="R99" i="50" l="1"/>
  <c r="BD99" i="50" s="1"/>
  <c r="AW30" i="50"/>
  <c r="R89" i="50"/>
  <c r="BD89" i="50" s="1"/>
  <c r="AW18" i="50"/>
  <c r="BD123" i="50"/>
  <c r="BK126" i="50"/>
  <c r="K87" i="50"/>
  <c r="AW87" i="50" s="1"/>
  <c r="K108" i="50"/>
  <c r="AW108" i="50" s="1"/>
  <c r="AW28" i="50"/>
  <c r="AW27" i="50"/>
  <c r="R190" i="50"/>
  <c r="BD190" i="50" s="1"/>
  <c r="AW120" i="50"/>
  <c r="BD34" i="50"/>
  <c r="BD113" i="50"/>
  <c r="BK117" i="50"/>
  <c r="Y100" i="50"/>
  <c r="BK100" i="50" s="1"/>
  <c r="AW114" i="50"/>
  <c r="BK121" i="50"/>
  <c r="AW117" i="50"/>
  <c r="BD125" i="50"/>
  <c r="BK120" i="50"/>
  <c r="BK18" i="50"/>
  <c r="BK22" i="50"/>
  <c r="F11" i="49"/>
  <c r="L11" i="49" s="1"/>
  <c r="AU10" i="50"/>
  <c r="E6" i="85" s="1"/>
  <c r="BD115" i="50"/>
  <c r="I280" i="50"/>
  <c r="AU280" i="50" s="1"/>
  <c r="K86" i="50"/>
  <c r="AW86" i="50" s="1"/>
  <c r="Y183" i="50"/>
  <c r="BK183" i="50" s="1"/>
  <c r="BK123" i="50"/>
  <c r="K178" i="50"/>
  <c r="AW178" i="50" s="1"/>
  <c r="AW118" i="50"/>
  <c r="R90" i="50"/>
  <c r="BD90" i="50" s="1"/>
  <c r="BD15" i="50"/>
  <c r="Y87" i="50"/>
  <c r="BK87" i="50" s="1"/>
  <c r="BK12" i="50"/>
  <c r="K187" i="50"/>
  <c r="AW187" i="50" s="1"/>
  <c r="AW127" i="50"/>
  <c r="F11" i="67"/>
  <c r="AV111" i="50"/>
  <c r="F11" i="85" s="1"/>
  <c r="K189" i="50"/>
  <c r="AW189" i="50" s="1"/>
  <c r="AW129" i="50"/>
  <c r="R176" i="50"/>
  <c r="BD176" i="50" s="1"/>
  <c r="BD116" i="50"/>
  <c r="K179" i="50"/>
  <c r="AW179" i="50" s="1"/>
  <c r="AW119" i="50"/>
  <c r="K186" i="50"/>
  <c r="AW186" i="50" s="1"/>
  <c r="AW126" i="50"/>
  <c r="R93" i="50"/>
  <c r="BD93" i="50" s="1"/>
  <c r="BD18" i="50"/>
  <c r="Y185" i="50"/>
  <c r="BK185" i="50" s="1"/>
  <c r="BK125" i="50"/>
  <c r="K185" i="50"/>
  <c r="AW185" i="50" s="1"/>
  <c r="AW125" i="50"/>
  <c r="K100" i="50"/>
  <c r="AW100" i="50" s="1"/>
  <c r="AW25" i="50"/>
  <c r="K181" i="50"/>
  <c r="AW181" i="50" s="1"/>
  <c r="AW121" i="50"/>
  <c r="K182" i="50"/>
  <c r="AW182" i="50" s="1"/>
  <c r="AW122" i="50"/>
  <c r="Y96" i="50"/>
  <c r="BK96" i="50" s="1"/>
  <c r="BK21" i="50"/>
  <c r="R102" i="50"/>
  <c r="BD102" i="50" s="1"/>
  <c r="BD27" i="50"/>
  <c r="R100" i="50"/>
  <c r="BD100" i="50" s="1"/>
  <c r="BD25" i="50"/>
  <c r="R108" i="50"/>
  <c r="BD108" i="50" s="1"/>
  <c r="BD33" i="50"/>
  <c r="K101" i="50"/>
  <c r="AW101" i="50" s="1"/>
  <c r="AW26" i="50"/>
  <c r="E24" i="49"/>
  <c r="K25" i="49"/>
  <c r="Y105" i="50"/>
  <c r="BK105" i="50" s="1"/>
  <c r="BK30" i="50"/>
  <c r="Y108" i="50"/>
  <c r="BK108" i="50" s="1"/>
  <c r="BK33" i="50"/>
  <c r="Y187" i="50"/>
  <c r="BK187" i="50" s="1"/>
  <c r="BK127" i="50"/>
  <c r="R178" i="50"/>
  <c r="BD178" i="50" s="1"/>
  <c r="BD118" i="50"/>
  <c r="K92" i="50"/>
  <c r="AW92" i="50" s="1"/>
  <c r="AW17" i="50"/>
  <c r="Y101" i="50"/>
  <c r="BK101" i="50" s="1"/>
  <c r="BK26" i="50"/>
  <c r="K184" i="50"/>
  <c r="AW184" i="50" s="1"/>
  <c r="AW124" i="50"/>
  <c r="R187" i="50"/>
  <c r="BD187" i="50" s="1"/>
  <c r="BD127" i="50"/>
  <c r="Y190" i="50"/>
  <c r="BK190" i="50" s="1"/>
  <c r="BK130" i="50"/>
  <c r="Y104" i="50"/>
  <c r="BK104" i="50" s="1"/>
  <c r="BK29" i="50"/>
  <c r="Y98" i="50"/>
  <c r="BK98" i="50" s="1"/>
  <c r="BK23" i="50"/>
  <c r="Y103" i="50"/>
  <c r="BK103" i="50" s="1"/>
  <c r="BK28" i="50"/>
  <c r="K104" i="50"/>
  <c r="AW104" i="50" s="1"/>
  <c r="AW29" i="50"/>
  <c r="K188" i="50"/>
  <c r="AW188" i="50" s="1"/>
  <c r="AW128" i="50"/>
  <c r="Y179" i="50"/>
  <c r="BK179" i="50" s="1"/>
  <c r="BK119" i="50"/>
  <c r="R87" i="50"/>
  <c r="BD87" i="50" s="1"/>
  <c r="BD12" i="50"/>
  <c r="Y99" i="50"/>
  <c r="BK99" i="50" s="1"/>
  <c r="BK24" i="50"/>
  <c r="Y174" i="50"/>
  <c r="BK174" i="50" s="1"/>
  <c r="BK114" i="50"/>
  <c r="Y173" i="50"/>
  <c r="BK173" i="50" s="1"/>
  <c r="BK113" i="50"/>
  <c r="K190" i="50"/>
  <c r="AW190" i="50" s="1"/>
  <c r="AW130" i="50"/>
  <c r="F29" i="67"/>
  <c r="BC111" i="50"/>
  <c r="F29" i="85" s="1"/>
  <c r="Y184" i="50"/>
  <c r="BK184" i="50" s="1"/>
  <c r="BK124" i="50"/>
  <c r="AM5" i="67"/>
  <c r="J10" i="49"/>
  <c r="AM5" i="85" s="1"/>
  <c r="K106" i="50"/>
  <c r="AW106" i="50" s="1"/>
  <c r="AW31" i="50"/>
  <c r="K109" i="50"/>
  <c r="AW109" i="50" s="1"/>
  <c r="AW34" i="50"/>
  <c r="R98" i="50"/>
  <c r="BD98" i="50" s="1"/>
  <c r="BD23" i="50"/>
  <c r="Y178" i="50"/>
  <c r="BK178" i="50" s="1"/>
  <c r="BK118" i="50"/>
  <c r="R91" i="50"/>
  <c r="BD91" i="50" s="1"/>
  <c r="BD16" i="50"/>
  <c r="AM21" i="67"/>
  <c r="J38" i="49"/>
  <c r="AM21" i="85" s="1"/>
  <c r="R186" i="50"/>
  <c r="BD186" i="50" s="1"/>
  <c r="BD126" i="50"/>
  <c r="K183" i="50"/>
  <c r="AW183" i="50" s="1"/>
  <c r="AW123" i="50"/>
  <c r="K97" i="50"/>
  <c r="AW97" i="50" s="1"/>
  <c r="AW22" i="50"/>
  <c r="R103" i="50"/>
  <c r="BD103" i="50" s="1"/>
  <c r="BD28" i="50"/>
  <c r="K91" i="50"/>
  <c r="AW91" i="50" s="1"/>
  <c r="AW16" i="50"/>
  <c r="R184" i="50"/>
  <c r="BD184" i="50" s="1"/>
  <c r="BD124" i="50"/>
  <c r="R92" i="50"/>
  <c r="BD92" i="50" s="1"/>
  <c r="BD17" i="50"/>
  <c r="R174" i="50"/>
  <c r="BD174" i="50" s="1"/>
  <c r="BD114" i="50"/>
  <c r="Y188" i="50"/>
  <c r="BK188" i="50" s="1"/>
  <c r="BK128" i="50"/>
  <c r="K173" i="50"/>
  <c r="AW173" i="50" s="1"/>
  <c r="AW113" i="50"/>
  <c r="R188" i="50"/>
  <c r="BD188" i="50" s="1"/>
  <c r="BD128" i="50"/>
  <c r="K90" i="50"/>
  <c r="AW90" i="50" s="1"/>
  <c r="AW15" i="50"/>
  <c r="R101" i="50"/>
  <c r="BD101" i="50" s="1"/>
  <c r="BD26" i="50"/>
  <c r="Y175" i="50"/>
  <c r="BK175" i="50" s="1"/>
  <c r="BK115" i="50"/>
  <c r="R97" i="50"/>
  <c r="BD97" i="50" s="1"/>
  <c r="BD22" i="50"/>
  <c r="F47" i="67"/>
  <c r="BJ111" i="50"/>
  <c r="F47" i="85" s="1"/>
  <c r="Y109" i="50"/>
  <c r="BK109" i="50" s="1"/>
  <c r="BK34" i="50"/>
  <c r="Y90" i="50"/>
  <c r="BK90" i="50" s="1"/>
  <c r="BK15" i="50"/>
  <c r="AM13" i="67"/>
  <c r="J24" i="49"/>
  <c r="AM13" i="85" s="1"/>
  <c r="R96" i="50"/>
  <c r="BD96" i="50" s="1"/>
  <c r="BD21" i="50"/>
  <c r="Y176" i="50"/>
  <c r="BK176" i="50" s="1"/>
  <c r="BK116" i="50"/>
  <c r="R104" i="50"/>
  <c r="BD104" i="50" s="1"/>
  <c r="BD29" i="50"/>
  <c r="Y91" i="50"/>
  <c r="BK91" i="50" s="1"/>
  <c r="BK16" i="50"/>
  <c r="Y189" i="50"/>
  <c r="BK189" i="50" s="1"/>
  <c r="BK129" i="50"/>
  <c r="R181" i="50"/>
  <c r="BD181" i="50" s="1"/>
  <c r="BD121" i="50"/>
  <c r="R189" i="50"/>
  <c r="BD189" i="50" s="1"/>
  <c r="BD129" i="50"/>
  <c r="E38" i="49"/>
  <c r="K39" i="49"/>
  <c r="R180" i="50"/>
  <c r="BD180" i="50" s="1"/>
  <c r="BD120" i="50"/>
  <c r="D27" i="67"/>
  <c r="BA85" i="50"/>
  <c r="D27" i="85" s="1"/>
  <c r="E50" i="67"/>
  <c r="BI171" i="50"/>
  <c r="E50" i="85" s="1"/>
  <c r="E32" i="67"/>
  <c r="BB171" i="50"/>
  <c r="E32" i="85" s="1"/>
  <c r="V285" i="50"/>
  <c r="BH285" i="50" s="1"/>
  <c r="BH283" i="50"/>
  <c r="J94" i="50"/>
  <c r="AV94" i="50" s="1"/>
  <c r="AV97" i="50"/>
  <c r="I85" i="50"/>
  <c r="I283" i="50" s="1"/>
  <c r="AU88" i="50"/>
  <c r="D45" i="67"/>
  <c r="BH85" i="50"/>
  <c r="D45" i="85" s="1"/>
  <c r="E14" i="67"/>
  <c r="AU171" i="50"/>
  <c r="E14" i="85" s="1"/>
  <c r="P85" i="50"/>
  <c r="P283" i="50" s="1"/>
  <c r="BB283" i="50" s="1"/>
  <c r="BB94" i="50"/>
  <c r="W85" i="50"/>
  <c r="W283" i="50" s="1"/>
  <c r="BI283" i="50" s="1"/>
  <c r="BI88" i="50"/>
  <c r="G285" i="50"/>
  <c r="AS285" i="50" s="1"/>
  <c r="AS283" i="50"/>
  <c r="D9" i="67"/>
  <c r="AT85" i="50"/>
  <c r="D9" i="85" s="1"/>
  <c r="H285" i="50"/>
  <c r="AT285" i="50" s="1"/>
  <c r="P280" i="50"/>
  <c r="BB280" i="50" s="1"/>
  <c r="E24" i="67"/>
  <c r="W280" i="50"/>
  <c r="BI280" i="50" s="1"/>
  <c r="E42" i="67"/>
  <c r="Q88" i="50"/>
  <c r="BC88" i="50" s="1"/>
  <c r="X10" i="50"/>
  <c r="BJ10" i="50" s="1"/>
  <c r="F42" i="85" s="1"/>
  <c r="X94" i="50"/>
  <c r="BJ94" i="50" s="1"/>
  <c r="Q10" i="50"/>
  <c r="BC10" i="50" s="1"/>
  <c r="F24" i="85" s="1"/>
  <c r="O285" i="50"/>
  <c r="BA285" i="50" s="1"/>
  <c r="F39" i="49"/>
  <c r="E10" i="49"/>
  <c r="Q94" i="50"/>
  <c r="BC94" i="50" s="1"/>
  <c r="F25" i="49"/>
  <c r="K19" i="50"/>
  <c r="AW19" i="50" s="1"/>
  <c r="Q171" i="50"/>
  <c r="J10" i="50"/>
  <c r="AV10" i="50" s="1"/>
  <c r="F6" i="85" s="1"/>
  <c r="R13" i="50"/>
  <c r="BD13" i="50" s="1"/>
  <c r="Y13" i="50"/>
  <c r="BK13" i="50" s="1"/>
  <c r="Y89" i="50"/>
  <c r="R19" i="50"/>
  <c r="BD19" i="50" s="1"/>
  <c r="J88" i="50"/>
  <c r="X171" i="50"/>
  <c r="Y86" i="50"/>
  <c r="BK86" i="50" s="1"/>
  <c r="J171" i="50"/>
  <c r="R111" i="50"/>
  <c r="G12" i="49"/>
  <c r="M12" i="49" s="1"/>
  <c r="K107" i="50"/>
  <c r="AW107" i="50" s="1"/>
  <c r="K13" i="50"/>
  <c r="AW13" i="50" s="1"/>
  <c r="K89" i="50"/>
  <c r="K111" i="50"/>
  <c r="K172" i="50"/>
  <c r="Y19" i="50"/>
  <c r="BK19" i="50" s="1"/>
  <c r="Y172" i="50"/>
  <c r="Y111" i="50"/>
  <c r="X88" i="50"/>
  <c r="BJ88" i="50" s="1"/>
  <c r="F10" i="49" l="1"/>
  <c r="AO5" i="67" s="1"/>
  <c r="K94" i="50"/>
  <c r="AW94" i="50" s="1"/>
  <c r="R88" i="50"/>
  <c r="BD88" i="50" s="1"/>
  <c r="Y94" i="50"/>
  <c r="BK94" i="50" s="1"/>
  <c r="R171" i="50"/>
  <c r="BD171" i="50" s="1"/>
  <c r="G32" i="85" s="1"/>
  <c r="G29" i="67"/>
  <c r="BD111" i="50"/>
  <c r="G29" i="85" s="1"/>
  <c r="G47" i="67"/>
  <c r="BK111" i="50"/>
  <c r="G47" i="85" s="1"/>
  <c r="G11" i="67"/>
  <c r="AW111" i="50"/>
  <c r="G11" i="85" s="1"/>
  <c r="F24" i="49"/>
  <c r="L25" i="49"/>
  <c r="AN21" i="67"/>
  <c r="K38" i="49"/>
  <c r="AN21" i="85" s="1"/>
  <c r="AN13" i="67"/>
  <c r="K24" i="49"/>
  <c r="AN13" i="85" s="1"/>
  <c r="R94" i="50"/>
  <c r="BD94" i="50" s="1"/>
  <c r="AN5" i="67"/>
  <c r="K10" i="49"/>
  <c r="AN5" i="85" s="1"/>
  <c r="F38" i="49"/>
  <c r="L39" i="49"/>
  <c r="J85" i="50"/>
  <c r="J283" i="50" s="1"/>
  <c r="AV283" i="50" s="1"/>
  <c r="AV88" i="50"/>
  <c r="Y171" i="50"/>
  <c r="BK172" i="50"/>
  <c r="E45" i="67"/>
  <c r="BI85" i="50"/>
  <c r="E45" i="85" s="1"/>
  <c r="E9" i="67"/>
  <c r="AU85" i="50"/>
  <c r="E9" i="85" s="1"/>
  <c r="Y88" i="50"/>
  <c r="BK88" i="50" s="1"/>
  <c r="BK89" i="50"/>
  <c r="F14" i="67"/>
  <c r="AV171" i="50"/>
  <c r="F14" i="85" s="1"/>
  <c r="K88" i="50"/>
  <c r="AW88" i="50" s="1"/>
  <c r="AW89" i="50"/>
  <c r="F50" i="67"/>
  <c r="BJ171" i="50"/>
  <c r="F50" i="85" s="1"/>
  <c r="F32" i="67"/>
  <c r="BC171" i="50"/>
  <c r="F32" i="85" s="1"/>
  <c r="I285" i="50"/>
  <c r="AU285" i="50" s="1"/>
  <c r="AU283" i="50"/>
  <c r="K171" i="50"/>
  <c r="AW172" i="50"/>
  <c r="E27" i="67"/>
  <c r="BB85" i="50"/>
  <c r="E27" i="85" s="1"/>
  <c r="X85" i="50"/>
  <c r="W285" i="50"/>
  <c r="BI285" i="50" s="1"/>
  <c r="P285" i="50"/>
  <c r="BB285" i="50" s="1"/>
  <c r="G25" i="49"/>
  <c r="F24" i="67"/>
  <c r="G11" i="49"/>
  <c r="F6" i="67"/>
  <c r="X280" i="50"/>
  <c r="BJ280" i="50" s="1"/>
  <c r="F42" i="67"/>
  <c r="G39" i="49"/>
  <c r="Q85" i="50"/>
  <c r="BC85" i="50" s="1"/>
  <c r="F27" i="85" s="1"/>
  <c r="Q280" i="50"/>
  <c r="BC280" i="50" s="1"/>
  <c r="K10" i="50"/>
  <c r="AW10" i="50" s="1"/>
  <c r="G6" i="85" s="1"/>
  <c r="J280" i="50"/>
  <c r="AV280" i="50" s="1"/>
  <c r="Y10" i="50"/>
  <c r="BK10" i="50" s="1"/>
  <c r="G42" i="85" s="1"/>
  <c r="R10" i="50"/>
  <c r="BD10" i="50" s="1"/>
  <c r="G24" i="85" s="1"/>
  <c r="L10" i="49" l="1"/>
  <c r="AO5" i="85" s="1"/>
  <c r="G32" i="67"/>
  <c r="R85" i="50"/>
  <c r="BD85" i="50" s="1"/>
  <c r="G27" i="85" s="1"/>
  <c r="K85" i="50"/>
  <c r="AW85" i="50" s="1"/>
  <c r="G9" i="85" s="1"/>
  <c r="Y85" i="50"/>
  <c r="BK85" i="50" s="1"/>
  <c r="G45" i="85" s="1"/>
  <c r="G38" i="49"/>
  <c r="M39" i="49"/>
  <c r="G10" i="49"/>
  <c r="M11" i="49"/>
  <c r="AO21" i="67"/>
  <c r="L38" i="49"/>
  <c r="AO21" i="85" s="1"/>
  <c r="G24" i="49"/>
  <c r="M25" i="49"/>
  <c r="AO13" i="67"/>
  <c r="L24" i="49"/>
  <c r="AO13" i="85" s="1"/>
  <c r="G50" i="67"/>
  <c r="BK171" i="50"/>
  <c r="G50" i="85" s="1"/>
  <c r="G14" i="67"/>
  <c r="AW171" i="50"/>
  <c r="G14" i="85" s="1"/>
  <c r="F45" i="67"/>
  <c r="BJ85" i="50"/>
  <c r="F45" i="85" s="1"/>
  <c r="F9" i="67"/>
  <c r="AV85" i="50"/>
  <c r="F9" i="85" s="1"/>
  <c r="X283" i="50"/>
  <c r="Y280" i="50"/>
  <c r="BK280" i="50" s="1"/>
  <c r="G42" i="67"/>
  <c r="Q283" i="50"/>
  <c r="F27" i="67"/>
  <c r="Y283" i="50"/>
  <c r="BK283" i="50" s="1"/>
  <c r="R280" i="50"/>
  <c r="BD280" i="50" s="1"/>
  <c r="G24" i="67"/>
  <c r="K280" i="50"/>
  <c r="AW280" i="50" s="1"/>
  <c r="G6" i="67"/>
  <c r="J285" i="50"/>
  <c r="AV285" i="50" s="1"/>
  <c r="AA102" i="50"/>
  <c r="BM102" i="50" s="1"/>
  <c r="AH187" i="50"/>
  <c r="BT187" i="50" s="1"/>
  <c r="AH175" i="50"/>
  <c r="BT175" i="50" s="1"/>
  <c r="AA106" i="50"/>
  <c r="BM106" i="50" s="1"/>
  <c r="AH177" i="50"/>
  <c r="BT177" i="50" s="1"/>
  <c r="AH91" i="50"/>
  <c r="BT91" i="50" s="1"/>
  <c r="AA95" i="50"/>
  <c r="BM95" i="50" s="1"/>
  <c r="AA92" i="50"/>
  <c r="BM92" i="50" s="1"/>
  <c r="AH93" i="50"/>
  <c r="BT93" i="50" s="1"/>
  <c r="AA103" i="50"/>
  <c r="BM103" i="50" s="1"/>
  <c r="AH173" i="50"/>
  <c r="BT173" i="50" s="1"/>
  <c r="AH92" i="50"/>
  <c r="BT92" i="50" s="1"/>
  <c r="AH188" i="50"/>
  <c r="BT188" i="50" s="1"/>
  <c r="AH182" i="50"/>
  <c r="BT182" i="50" s="1"/>
  <c r="AA101" i="50"/>
  <c r="BM101" i="50" s="1"/>
  <c r="AH87" i="50"/>
  <c r="BT87" i="50" s="1"/>
  <c r="AA99" i="50"/>
  <c r="BM99" i="50" s="1"/>
  <c r="AH189" i="50"/>
  <c r="BT189" i="50" s="1"/>
  <c r="AH102" i="50"/>
  <c r="BT102" i="50" s="1"/>
  <c r="AH99" i="50"/>
  <c r="BT99" i="50" s="1"/>
  <c r="AH104" i="50"/>
  <c r="BT104" i="50" s="1"/>
  <c r="AH108" i="50"/>
  <c r="BT108" i="50" s="1"/>
  <c r="AH180" i="50"/>
  <c r="BT180" i="50" s="1"/>
  <c r="AA93" i="50"/>
  <c r="BM93" i="50" s="1"/>
  <c r="AA89" i="50"/>
  <c r="BM89" i="50" s="1"/>
  <c r="AH183" i="50"/>
  <c r="BT183" i="50" s="1"/>
  <c r="AA91" i="50"/>
  <c r="BM91" i="50" s="1"/>
  <c r="AI190" i="50"/>
  <c r="BU190" i="50" s="1"/>
  <c r="AH105" i="50"/>
  <c r="BT105" i="50" s="1"/>
  <c r="AH100" i="50"/>
  <c r="BT100" i="50" s="1"/>
  <c r="AA107" i="50"/>
  <c r="BM107" i="50" s="1"/>
  <c r="AH97" i="50"/>
  <c r="BT97" i="50" s="1"/>
  <c r="AI106" i="50"/>
  <c r="BU106" i="50" s="1"/>
  <c r="AI172" i="50"/>
  <c r="BU172" i="50" s="1"/>
  <c r="AA90" i="50"/>
  <c r="BM90" i="50" s="1"/>
  <c r="AH186" i="50"/>
  <c r="BT186" i="50" s="1"/>
  <c r="AI179" i="50"/>
  <c r="BU179" i="50" s="1"/>
  <c r="AH90" i="50"/>
  <c r="BT90" i="50" s="1"/>
  <c r="AA86" i="50"/>
  <c r="BM86" i="50" s="1"/>
  <c r="R283" i="50" l="1"/>
  <c r="BD283" i="50" s="1"/>
  <c r="G9" i="67"/>
  <c r="K283" i="50"/>
  <c r="AW283" i="50" s="1"/>
  <c r="AO85" i="50"/>
  <c r="G27" i="67"/>
  <c r="G45" i="67"/>
  <c r="AP13" i="67"/>
  <c r="M24" i="49"/>
  <c r="AP13" i="85" s="1"/>
  <c r="AP5" i="67"/>
  <c r="M10" i="49"/>
  <c r="AP5" i="85" s="1"/>
  <c r="AP21" i="67"/>
  <c r="M38" i="49"/>
  <c r="AP21" i="85" s="1"/>
  <c r="Q285" i="50"/>
  <c r="BC285" i="50" s="1"/>
  <c r="BC283" i="50"/>
  <c r="X285" i="50"/>
  <c r="BJ285" i="50" s="1"/>
  <c r="BJ283" i="50"/>
  <c r="R285" i="50"/>
  <c r="BD285" i="50" s="1"/>
  <c r="Y285" i="50"/>
  <c r="BK285" i="50" s="1"/>
  <c r="AB93" i="50"/>
  <c r="BN93" i="50" s="1"/>
  <c r="AB89" i="50"/>
  <c r="BN89" i="50" s="1"/>
  <c r="AB106" i="50"/>
  <c r="BN106" i="50" s="1"/>
  <c r="AH190" i="50"/>
  <c r="BT190" i="50" s="1"/>
  <c r="AB91" i="50"/>
  <c r="BN91" i="50" s="1"/>
  <c r="AI182" i="50"/>
  <c r="BU182" i="50" s="1"/>
  <c r="AJ106" i="50"/>
  <c r="BV106" i="50" s="1"/>
  <c r="AI180" i="50"/>
  <c r="BU180" i="50" s="1"/>
  <c r="AI189" i="50"/>
  <c r="BU189" i="50" s="1"/>
  <c r="AI100" i="50"/>
  <c r="BU100" i="50" s="1"/>
  <c r="AH178" i="50"/>
  <c r="BT178" i="50" s="1"/>
  <c r="AI178" i="50"/>
  <c r="BU178" i="50" s="1"/>
  <c r="AJ178" i="50"/>
  <c r="BV178" i="50" s="1"/>
  <c r="AJ179" i="50"/>
  <c r="BV179" i="50" s="1"/>
  <c r="AI90" i="50"/>
  <c r="BU90" i="50" s="1"/>
  <c r="AH172" i="50"/>
  <c r="BT172" i="50" s="1"/>
  <c r="AI105" i="50"/>
  <c r="BU105" i="50" s="1"/>
  <c r="AB108" i="50"/>
  <c r="BN108" i="50" s="1"/>
  <c r="AA108" i="50"/>
  <c r="BM108" i="50" s="1"/>
  <c r="AA100" i="50"/>
  <c r="BM100" i="50" s="1"/>
  <c r="AB90" i="50"/>
  <c r="BN90" i="50" s="1"/>
  <c r="AJ96" i="50"/>
  <c r="BV96" i="50" s="1"/>
  <c r="AI89" i="50"/>
  <c r="BU89" i="50" s="1"/>
  <c r="AH86" i="50"/>
  <c r="BT86" i="50" s="1"/>
  <c r="AI96" i="50"/>
  <c r="BU96" i="50" s="1"/>
  <c r="AH96" i="50"/>
  <c r="BT96" i="50" s="1"/>
  <c r="AA87" i="50"/>
  <c r="BM87" i="50" s="1"/>
  <c r="AA98" i="50"/>
  <c r="BM98" i="50" s="1"/>
  <c r="AH176" i="50"/>
  <c r="BT176" i="50" s="1"/>
  <c r="AH181" i="50"/>
  <c r="BT181" i="50" s="1"/>
  <c r="AI174" i="50"/>
  <c r="BU174" i="50" s="1"/>
  <c r="AH103" i="50"/>
  <c r="BT103" i="50" s="1"/>
  <c r="AH106" i="50"/>
  <c r="BT106" i="50" s="1"/>
  <c r="AH19" i="50"/>
  <c r="BT19" i="50" s="1"/>
  <c r="AH95" i="50"/>
  <c r="BT95" i="50" s="1"/>
  <c r="AH13" i="50"/>
  <c r="BT13" i="50" s="1"/>
  <c r="AH89" i="50"/>
  <c r="AH107" i="50"/>
  <c r="BT107" i="50" s="1"/>
  <c r="AH174" i="50"/>
  <c r="BT174" i="50" s="1"/>
  <c r="AH111" i="50"/>
  <c r="BT111" i="50" s="1"/>
  <c r="AA88" i="50"/>
  <c r="BM88" i="50" s="1"/>
  <c r="AH185" i="50"/>
  <c r="BT185" i="50" s="1"/>
  <c r="AA109" i="50"/>
  <c r="BM109" i="50" s="1"/>
  <c r="AH109" i="50"/>
  <c r="BT109" i="50" s="1"/>
  <c r="AH179" i="50"/>
  <c r="BT179" i="50" s="1"/>
  <c r="AH101" i="50"/>
  <c r="BT101" i="50" s="1"/>
  <c r="AH98" i="50"/>
  <c r="BT98" i="50" s="1"/>
  <c r="AA105" i="50"/>
  <c r="BM105" i="50" s="1"/>
  <c r="AA96" i="50"/>
  <c r="BM96" i="50" s="1"/>
  <c r="AI101" i="50"/>
  <c r="BU101" i="50" s="1"/>
  <c r="AA104" i="50"/>
  <c r="BM104" i="50" s="1"/>
  <c r="AI184" i="50"/>
  <c r="BU184" i="50" s="1"/>
  <c r="AA97" i="50"/>
  <c r="BM97" i="50" s="1"/>
  <c r="AB100" i="50"/>
  <c r="BN100" i="50" s="1"/>
  <c r="AA13" i="50"/>
  <c r="BM13" i="50" s="1"/>
  <c r="AA19" i="50"/>
  <c r="BM19" i="50" s="1"/>
  <c r="AH184" i="50"/>
  <c r="BT184" i="50" s="1"/>
  <c r="K285" i="50" l="1"/>
  <c r="AW285" i="50" s="1"/>
  <c r="AH88" i="50"/>
  <c r="BT88" i="50" s="1"/>
  <c r="BT89" i="50"/>
  <c r="AH10" i="50"/>
  <c r="AI183" i="50"/>
  <c r="BU183" i="50" s="1"/>
  <c r="AI104" i="50"/>
  <c r="BU104" i="50" s="1"/>
  <c r="AI92" i="50"/>
  <c r="BU92" i="50" s="1"/>
  <c r="B16" i="48"/>
  <c r="E16" i="48"/>
  <c r="L16" i="48" s="1"/>
  <c r="D16" i="48"/>
  <c r="K16" i="48" s="1"/>
  <c r="AK179" i="50"/>
  <c r="BW179" i="50" s="1"/>
  <c r="AC90" i="50"/>
  <c r="BO90" i="50" s="1"/>
  <c r="AB13" i="50"/>
  <c r="BN13" i="50" s="1"/>
  <c r="AJ104" i="50"/>
  <c r="BV104" i="50" s="1"/>
  <c r="AJ180" i="50"/>
  <c r="BV180" i="50" s="1"/>
  <c r="AC86" i="50"/>
  <c r="BO86" i="50" s="1"/>
  <c r="AB86" i="50"/>
  <c r="BN86" i="50" s="1"/>
  <c r="AC91" i="50"/>
  <c r="BO91" i="50" s="1"/>
  <c r="AK108" i="50"/>
  <c r="BW108" i="50" s="1"/>
  <c r="AJ100" i="50"/>
  <c r="BV100" i="50" s="1"/>
  <c r="AJ108" i="50"/>
  <c r="BV108" i="50" s="1"/>
  <c r="AI97" i="50"/>
  <c r="BU97" i="50" s="1"/>
  <c r="AJ97" i="50"/>
  <c r="BV97" i="50" s="1"/>
  <c r="AB95" i="50"/>
  <c r="BN95" i="50" s="1"/>
  <c r="AJ175" i="50"/>
  <c r="BV175" i="50" s="1"/>
  <c r="AI99" i="50"/>
  <c r="BU99" i="50" s="1"/>
  <c r="AI175" i="50"/>
  <c r="BU175" i="50" s="1"/>
  <c r="AI186" i="50"/>
  <c r="BU186" i="50" s="1"/>
  <c r="AI108" i="50"/>
  <c r="BU108" i="50" s="1"/>
  <c r="AJ90" i="50"/>
  <c r="BV90" i="50" s="1"/>
  <c r="AK97" i="50"/>
  <c r="BW97" i="50" s="1"/>
  <c r="AL97" i="50"/>
  <c r="BX97" i="50" s="1"/>
  <c r="AI188" i="50"/>
  <c r="BU188" i="50" s="1"/>
  <c r="AI187" i="50"/>
  <c r="BU187" i="50" s="1"/>
  <c r="AI87" i="50"/>
  <c r="BU87" i="50" s="1"/>
  <c r="AI102" i="50"/>
  <c r="BU102" i="50" s="1"/>
  <c r="AJ190" i="50"/>
  <c r="BV190" i="50" s="1"/>
  <c r="AJ186" i="50"/>
  <c r="BV186" i="50" s="1"/>
  <c r="AI93" i="50"/>
  <c r="BU93" i="50" s="1"/>
  <c r="AI173" i="50"/>
  <c r="BU173" i="50" s="1"/>
  <c r="AB19" i="50"/>
  <c r="BN19" i="50" s="1"/>
  <c r="AB103" i="50"/>
  <c r="BN103" i="50" s="1"/>
  <c r="AA94" i="50"/>
  <c r="AB101" i="50"/>
  <c r="BN101" i="50" s="1"/>
  <c r="AC108" i="50"/>
  <c r="BO108" i="50" s="1"/>
  <c r="AB99" i="50"/>
  <c r="BN99" i="50" s="1"/>
  <c r="AB104" i="50"/>
  <c r="BN104" i="50" s="1"/>
  <c r="AJ101" i="50"/>
  <c r="BV101" i="50" s="1"/>
  <c r="C54" i="49"/>
  <c r="I54" i="49" s="1"/>
  <c r="AB107" i="50"/>
  <c r="BN107" i="50" s="1"/>
  <c r="AB102" i="50"/>
  <c r="BN102" i="50" s="1"/>
  <c r="AI98" i="50"/>
  <c r="BU98" i="50" s="1"/>
  <c r="AK104" i="50"/>
  <c r="BW104" i="50" s="1"/>
  <c r="AJ92" i="50"/>
  <c r="BV92" i="50" s="1"/>
  <c r="AI185" i="50"/>
  <c r="BU185" i="50" s="1"/>
  <c r="AH171" i="50"/>
  <c r="BT171" i="50" s="1"/>
  <c r="AJ99" i="50"/>
  <c r="BV99" i="50" s="1"/>
  <c r="AI103" i="50"/>
  <c r="BU103" i="50" s="1"/>
  <c r="AI181" i="50"/>
  <c r="BU181" i="50" s="1"/>
  <c r="AJ89" i="50"/>
  <c r="BV89" i="50" s="1"/>
  <c r="AB97" i="50"/>
  <c r="BN97" i="50" s="1"/>
  <c r="AB96" i="50"/>
  <c r="BN96" i="50" s="1"/>
  <c r="AB92" i="50"/>
  <c r="AJ174" i="50"/>
  <c r="BV174" i="50" s="1"/>
  <c r="AJ172" i="50"/>
  <c r="BV172" i="50" s="1"/>
  <c r="AB98" i="50"/>
  <c r="BN98" i="50" s="1"/>
  <c r="AB87" i="50"/>
  <c r="BN87" i="50" s="1"/>
  <c r="AL108" i="50"/>
  <c r="BX108" i="50" s="1"/>
  <c r="AM108" i="50"/>
  <c r="BY108" i="50" s="1"/>
  <c r="AI177" i="50"/>
  <c r="BU177" i="50" s="1"/>
  <c r="AA10" i="50"/>
  <c r="BM10" i="50" s="1"/>
  <c r="AC100" i="50"/>
  <c r="BO100" i="50" s="1"/>
  <c r="AI91" i="50"/>
  <c r="BU91" i="50" s="1"/>
  <c r="AC95" i="50"/>
  <c r="BO95" i="50" s="1"/>
  <c r="AI109" i="50"/>
  <c r="BU109" i="50" s="1"/>
  <c r="AI95" i="50"/>
  <c r="BU95" i="50" s="1"/>
  <c r="AI19" i="50"/>
  <c r="BU19" i="50" s="1"/>
  <c r="AI111" i="50"/>
  <c r="AD86" i="50"/>
  <c r="BP86" i="50" s="1"/>
  <c r="AI13" i="50"/>
  <c r="BU13" i="50" s="1"/>
  <c r="AK96" i="50"/>
  <c r="BW96" i="50" s="1"/>
  <c r="AJ184" i="50"/>
  <c r="BV184" i="50" s="1"/>
  <c r="AB105" i="50"/>
  <c r="BN105" i="50" s="1"/>
  <c r="AK175" i="50"/>
  <c r="BW175" i="50" s="1"/>
  <c r="AB109" i="50"/>
  <c r="BN109" i="50" s="1"/>
  <c r="AC93" i="50"/>
  <c r="BO93" i="50" s="1"/>
  <c r="C68" i="49"/>
  <c r="I68" i="49" s="1"/>
  <c r="AI107" i="50"/>
  <c r="BU107" i="50" s="1"/>
  <c r="AH94" i="50"/>
  <c r="AI176" i="50"/>
  <c r="BU176" i="50" s="1"/>
  <c r="AJ183" i="50"/>
  <c r="BV183" i="50" s="1"/>
  <c r="AI86" i="50"/>
  <c r="BU86" i="50" s="1"/>
  <c r="B14" i="48" l="1"/>
  <c r="I14" i="48" s="1"/>
  <c r="I16" i="48"/>
  <c r="C89" i="67"/>
  <c r="C107" i="67" s="1"/>
  <c r="BU111" i="50"/>
  <c r="C89" i="85" s="1"/>
  <c r="C107" i="85" s="1"/>
  <c r="AB88" i="50"/>
  <c r="BN88" i="50" s="1"/>
  <c r="BN92" i="50"/>
  <c r="AA85" i="50"/>
  <c r="BM94" i="50"/>
  <c r="AH85" i="50"/>
  <c r="BT85" i="50" s="1"/>
  <c r="BT94" i="50"/>
  <c r="C67" i="49"/>
  <c r="I67" i="49" s="1"/>
  <c r="BT10" i="50"/>
  <c r="AH280" i="50"/>
  <c r="BT280" i="50" s="1"/>
  <c r="AA280" i="50"/>
  <c r="C53" i="49"/>
  <c r="I53" i="49" s="1"/>
  <c r="AI88" i="50"/>
  <c r="BU88" i="50" s="1"/>
  <c r="AL179" i="50"/>
  <c r="BX179" i="50" s="1"/>
  <c r="AC106" i="50"/>
  <c r="BO106" i="50" s="1"/>
  <c r="AB10" i="50"/>
  <c r="AK178" i="50"/>
  <c r="BW178" i="50" s="1"/>
  <c r="AK106" i="50"/>
  <c r="BW106" i="50" s="1"/>
  <c r="C16" i="48"/>
  <c r="J16" i="48" s="1"/>
  <c r="G16" i="48"/>
  <c r="N16" i="48" s="1"/>
  <c r="F16" i="48"/>
  <c r="M16" i="48" s="1"/>
  <c r="AJ105" i="50"/>
  <c r="BV105" i="50" s="1"/>
  <c r="AJ182" i="50"/>
  <c r="BV182" i="50" s="1"/>
  <c r="AJ189" i="50"/>
  <c r="BV189" i="50" s="1"/>
  <c r="AC13" i="50"/>
  <c r="BO13" i="50" s="1"/>
  <c r="AC89" i="50"/>
  <c r="BO89" i="50" s="1"/>
  <c r="AE91" i="50"/>
  <c r="BQ91" i="50" s="1"/>
  <c r="AI10" i="50"/>
  <c r="BU10" i="50" s="1"/>
  <c r="C84" i="85" s="1"/>
  <c r="AK90" i="50"/>
  <c r="BW90" i="50" s="1"/>
  <c r="AM97" i="50"/>
  <c r="BY97" i="50" s="1"/>
  <c r="AB94" i="50"/>
  <c r="AJ13" i="50"/>
  <c r="BV13" i="50" s="1"/>
  <c r="AI94" i="50"/>
  <c r="BU94" i="50" s="1"/>
  <c r="AC19" i="50"/>
  <c r="BO19" i="50" s="1"/>
  <c r="AI171" i="50"/>
  <c r="AJ173" i="50"/>
  <c r="BV173" i="50" s="1"/>
  <c r="AK186" i="50"/>
  <c r="BW186" i="50" s="1"/>
  <c r="AJ102" i="50"/>
  <c r="BV102" i="50" s="1"/>
  <c r="AJ187" i="50"/>
  <c r="BV187" i="50" s="1"/>
  <c r="AJ93" i="50"/>
  <c r="BV93" i="50" s="1"/>
  <c r="AK190" i="50"/>
  <c r="BW190" i="50" s="1"/>
  <c r="AJ87" i="50"/>
  <c r="BV87" i="50" s="1"/>
  <c r="AJ188" i="50"/>
  <c r="BV188" i="50" s="1"/>
  <c r="AC103" i="50"/>
  <c r="BO103" i="50" s="1"/>
  <c r="AC101" i="50"/>
  <c r="BO101" i="50" s="1"/>
  <c r="AC99" i="50"/>
  <c r="BO99" i="50" s="1"/>
  <c r="AD108" i="50"/>
  <c r="BP108" i="50" s="1"/>
  <c r="AL175" i="50"/>
  <c r="BX175" i="50" s="1"/>
  <c r="AM175" i="50"/>
  <c r="BY175" i="50" s="1"/>
  <c r="AK183" i="50"/>
  <c r="BW183" i="50" s="1"/>
  <c r="AJ176" i="50"/>
  <c r="BV176" i="50" s="1"/>
  <c r="D68" i="49"/>
  <c r="J68" i="49" s="1"/>
  <c r="AJ107" i="50"/>
  <c r="BV107" i="50" s="1"/>
  <c r="AD93" i="50"/>
  <c r="BP93" i="50" s="1"/>
  <c r="AM178" i="50"/>
  <c r="BY178" i="50" s="1"/>
  <c r="AL178" i="50"/>
  <c r="BX178" i="50" s="1"/>
  <c r="AK182" i="50"/>
  <c r="BW182" i="50" s="1"/>
  <c r="AD90" i="50"/>
  <c r="BP90" i="50" s="1"/>
  <c r="V58" i="53"/>
  <c r="AC96" i="50"/>
  <c r="BO96" i="50" s="1"/>
  <c r="AK89" i="50"/>
  <c r="BW89" i="50" s="1"/>
  <c r="AK99" i="50"/>
  <c r="BW99" i="50" s="1"/>
  <c r="AJ98" i="50"/>
  <c r="BV98" i="50" s="1"/>
  <c r="AC109" i="50"/>
  <c r="BO109" i="50" s="1"/>
  <c r="AL96" i="50"/>
  <c r="BX96" i="50" s="1"/>
  <c r="AM96" i="50"/>
  <c r="BY96" i="50" s="1"/>
  <c r="AK189" i="50"/>
  <c r="BW189" i="50" s="1"/>
  <c r="AD106" i="50"/>
  <c r="BP106" i="50" s="1"/>
  <c r="AD100" i="50"/>
  <c r="BP100" i="50" s="1"/>
  <c r="U58" i="53"/>
  <c r="AC87" i="50"/>
  <c r="BO87" i="50" s="1"/>
  <c r="AK174" i="50"/>
  <c r="BW174" i="50" s="1"/>
  <c r="AC97" i="50"/>
  <c r="BO97" i="50" s="1"/>
  <c r="G58" i="53"/>
  <c r="AJ103" i="50"/>
  <c r="BV103" i="50" s="1"/>
  <c r="AJ185" i="50"/>
  <c r="BV185" i="50" s="1"/>
  <c r="AL104" i="50"/>
  <c r="BX104" i="50" s="1"/>
  <c r="AM104" i="50"/>
  <c r="BY104" i="50" s="1"/>
  <c r="AC102" i="50"/>
  <c r="BO102" i="50" s="1"/>
  <c r="AK101" i="50"/>
  <c r="BW101" i="50" s="1"/>
  <c r="AK184" i="50"/>
  <c r="BW184" i="50" s="1"/>
  <c r="W58" i="53"/>
  <c r="AJ86" i="50"/>
  <c r="BV86" i="50" s="1"/>
  <c r="AK105" i="50"/>
  <c r="BW105" i="50" s="1"/>
  <c r="AJ19" i="50"/>
  <c r="BV19" i="50" s="1"/>
  <c r="AJ95" i="50"/>
  <c r="BV95" i="50" s="1"/>
  <c r="AJ109" i="50"/>
  <c r="BV109" i="50" s="1"/>
  <c r="AC98" i="50"/>
  <c r="BO98" i="50" s="1"/>
  <c r="AK172" i="50"/>
  <c r="BW172" i="50" s="1"/>
  <c r="AC92" i="50"/>
  <c r="BO92" i="50" s="1"/>
  <c r="AL106" i="50"/>
  <c r="BX106" i="50" s="1"/>
  <c r="AM106" i="50"/>
  <c r="BY106" i="50" s="1"/>
  <c r="AK92" i="50"/>
  <c r="BW92" i="50" s="1"/>
  <c r="AC104" i="50"/>
  <c r="BO104" i="50" s="1"/>
  <c r="AC105" i="50"/>
  <c r="BO105" i="50" s="1"/>
  <c r="N58" i="53"/>
  <c r="AE86" i="50"/>
  <c r="BQ86" i="50" s="1"/>
  <c r="AD95" i="50"/>
  <c r="BP95" i="50" s="1"/>
  <c r="AJ91" i="50"/>
  <c r="AJ177" i="50"/>
  <c r="BV177" i="50" s="1"/>
  <c r="P58" i="53"/>
  <c r="AJ111" i="50"/>
  <c r="AJ181" i="50"/>
  <c r="BV181" i="50" s="1"/>
  <c r="D54" i="49"/>
  <c r="J54" i="49" s="1"/>
  <c r="AC107" i="50"/>
  <c r="BO107" i="50" s="1"/>
  <c r="AH283" i="50" l="1"/>
  <c r="BT283" i="50" s="1"/>
  <c r="C60" i="67"/>
  <c r="BN10" i="50"/>
  <c r="C60" i="85" s="1"/>
  <c r="C102" i="85" s="1"/>
  <c r="D89" i="67"/>
  <c r="D107" i="67" s="1"/>
  <c r="BV111" i="50"/>
  <c r="D89" i="85" s="1"/>
  <c r="D107" i="85" s="1"/>
  <c r="W31" i="67"/>
  <c r="BT58" i="53"/>
  <c r="W31" i="85" s="1"/>
  <c r="V52" i="67"/>
  <c r="BZ58" i="53"/>
  <c r="V52" i="85" s="1"/>
  <c r="X10" i="67"/>
  <c r="BN58" i="53"/>
  <c r="X10" i="85" s="1"/>
  <c r="Y31" i="67"/>
  <c r="BV58" i="53"/>
  <c r="Y31" i="85" s="1"/>
  <c r="W52" i="67"/>
  <c r="CA58" i="53"/>
  <c r="W52" i="85" s="1"/>
  <c r="X52" i="67"/>
  <c r="CB58" i="53"/>
  <c r="X52" i="85" s="1"/>
  <c r="AB85" i="50"/>
  <c r="BN85" i="50" s="1"/>
  <c r="C63" i="85" s="1"/>
  <c r="BN94" i="50"/>
  <c r="C92" i="67"/>
  <c r="C110" i="67" s="1"/>
  <c r="BU171" i="50"/>
  <c r="C92" i="85" s="1"/>
  <c r="C110" i="85" s="1"/>
  <c r="AA283" i="50"/>
  <c r="BM283" i="50" s="1"/>
  <c r="BM85" i="50"/>
  <c r="BM280" i="50"/>
  <c r="AJ88" i="50"/>
  <c r="BV88" i="50" s="1"/>
  <c r="BV91" i="50"/>
  <c r="AI280" i="50"/>
  <c r="BU280" i="50" s="1"/>
  <c r="D67" i="49"/>
  <c r="J67" i="49" s="1"/>
  <c r="C84" i="67"/>
  <c r="C102" i="67" s="1"/>
  <c r="AB283" i="50"/>
  <c r="BN283" i="50" s="1"/>
  <c r="C63" i="67"/>
  <c r="C52" i="49"/>
  <c r="D53" i="49"/>
  <c r="J53" i="49" s="1"/>
  <c r="W58" i="73"/>
  <c r="BR58" i="73" s="1"/>
  <c r="X58" i="73"/>
  <c r="N55" i="53"/>
  <c r="S58" i="73"/>
  <c r="BP58" i="73" s="1"/>
  <c r="T58" i="73"/>
  <c r="W55" i="53"/>
  <c r="AG58" i="73"/>
  <c r="AF58" i="73"/>
  <c r="BW58" i="73" s="1"/>
  <c r="U55" i="53"/>
  <c r="AS51" i="79" s="1"/>
  <c r="AM51" i="79" s="1"/>
  <c r="AC58" i="73"/>
  <c r="AB58" i="73"/>
  <c r="BU58" i="73" s="1"/>
  <c r="V55" i="53"/>
  <c r="AE58" i="73"/>
  <c r="AD58" i="73"/>
  <c r="BV58" i="73" s="1"/>
  <c r="AI85" i="50"/>
  <c r="BU85" i="50" s="1"/>
  <c r="C87" i="85" s="1"/>
  <c r="AB280" i="50"/>
  <c r="BN280" i="50" s="1"/>
  <c r="AM179" i="50"/>
  <c r="BY179" i="50" s="1"/>
  <c r="AJ10" i="50"/>
  <c r="BV10" i="50" s="1"/>
  <c r="D84" i="85" s="1"/>
  <c r="AK180" i="50"/>
  <c r="BW180" i="50" s="1"/>
  <c r="AF91" i="50"/>
  <c r="BR91" i="50" s="1"/>
  <c r="AK100" i="50"/>
  <c r="BW100" i="50" s="1"/>
  <c r="AC10" i="50"/>
  <c r="C66" i="49"/>
  <c r="I66" i="49" s="1"/>
  <c r="AL37" i="85" s="1"/>
  <c r="AC88" i="50"/>
  <c r="BO88" i="50" s="1"/>
  <c r="AJ94" i="50"/>
  <c r="AD91" i="50"/>
  <c r="BP91" i="50" s="1"/>
  <c r="AL90" i="50"/>
  <c r="BX90" i="50" s="1"/>
  <c r="AD89" i="50"/>
  <c r="BP89" i="50" s="1"/>
  <c r="AD19" i="50"/>
  <c r="BP19" i="50" s="1"/>
  <c r="G55" i="53"/>
  <c r="AU35" i="79" s="1"/>
  <c r="AO35" i="79" s="1"/>
  <c r="BG58" i="53"/>
  <c r="P55" i="53"/>
  <c r="AV43" i="79" s="1"/>
  <c r="AP43" i="79" s="1"/>
  <c r="AJ171" i="50"/>
  <c r="AK87" i="50"/>
  <c r="BW87" i="50" s="1"/>
  <c r="AK93" i="50"/>
  <c r="BW93" i="50" s="1"/>
  <c r="AM186" i="50"/>
  <c r="BY186" i="50" s="1"/>
  <c r="AL186" i="50"/>
  <c r="BX186" i="50" s="1"/>
  <c r="AK102" i="50"/>
  <c r="BW102" i="50" s="1"/>
  <c r="AK173" i="50"/>
  <c r="BW173" i="50" s="1"/>
  <c r="AK111" i="50"/>
  <c r="AK188" i="50"/>
  <c r="BW188" i="50" s="1"/>
  <c r="AL190" i="50"/>
  <c r="BX190" i="50" s="1"/>
  <c r="AM190" i="50"/>
  <c r="BY190" i="50" s="1"/>
  <c r="AK187" i="50"/>
  <c r="BW187" i="50" s="1"/>
  <c r="AC94" i="50"/>
  <c r="BO94" i="50" s="1"/>
  <c r="AD101" i="50"/>
  <c r="BP101" i="50" s="1"/>
  <c r="AD103" i="50"/>
  <c r="BP103" i="50" s="1"/>
  <c r="AE108" i="50"/>
  <c r="BQ108" i="50" s="1"/>
  <c r="AF108" i="50"/>
  <c r="BR108" i="50" s="1"/>
  <c r="AD99" i="50"/>
  <c r="BP99" i="50" s="1"/>
  <c r="AK91" i="50"/>
  <c r="AD105" i="50"/>
  <c r="BP105" i="50" s="1"/>
  <c r="AM100" i="50"/>
  <c r="BY100" i="50" s="1"/>
  <c r="AL100" i="50"/>
  <c r="BX100" i="50" s="1"/>
  <c r="AK103" i="50"/>
  <c r="BW103" i="50" s="1"/>
  <c r="AD87" i="50"/>
  <c r="BP87" i="50" s="1"/>
  <c r="AE100" i="50"/>
  <c r="BQ100" i="50" s="1"/>
  <c r="AF100" i="50"/>
  <c r="BR100" i="50" s="1"/>
  <c r="AD96" i="50"/>
  <c r="BP96" i="50" s="1"/>
  <c r="AE90" i="50"/>
  <c r="BQ90" i="50" s="1"/>
  <c r="AE93" i="50"/>
  <c r="BQ93" i="50" s="1"/>
  <c r="AF93" i="50"/>
  <c r="BR93" i="50" s="1"/>
  <c r="AK176" i="50"/>
  <c r="BW176" i="50" s="1"/>
  <c r="AK181" i="50"/>
  <c r="BW181" i="50" s="1"/>
  <c r="AF86" i="50"/>
  <c r="BR86" i="50" s="1"/>
  <c r="AL92" i="50"/>
  <c r="BX92" i="50" s="1"/>
  <c r="AM92" i="50"/>
  <c r="BY92" i="50" s="1"/>
  <c r="L58" i="53"/>
  <c r="BR58" i="53" s="1"/>
  <c r="U31" i="85" s="1"/>
  <c r="Z31" i="85" s="1"/>
  <c r="AD92" i="50"/>
  <c r="BP92" i="50" s="1"/>
  <c r="M58" i="53"/>
  <c r="AK86" i="50"/>
  <c r="BW86" i="50" s="1"/>
  <c r="AD102" i="50"/>
  <c r="BP102" i="50" s="1"/>
  <c r="AK185" i="50"/>
  <c r="BW185" i="50" s="1"/>
  <c r="AM174" i="50"/>
  <c r="BY174" i="50" s="1"/>
  <c r="AL174" i="50"/>
  <c r="BX174" i="50" s="1"/>
  <c r="Y52" i="67"/>
  <c r="AD109" i="50"/>
  <c r="BP109" i="50" s="1"/>
  <c r="AK98" i="50"/>
  <c r="BW98" i="50" s="1"/>
  <c r="AK177" i="50"/>
  <c r="BW177" i="50" s="1"/>
  <c r="AL180" i="50"/>
  <c r="BX180" i="50" s="1"/>
  <c r="AM180" i="50"/>
  <c r="BY180" i="50" s="1"/>
  <c r="AD104" i="50"/>
  <c r="BP104" i="50" s="1"/>
  <c r="AK19" i="50"/>
  <c r="BW19" i="50" s="1"/>
  <c r="AK95" i="50"/>
  <c r="BW95" i="50" s="1"/>
  <c r="AL105" i="50"/>
  <c r="BX105" i="50" s="1"/>
  <c r="AM105" i="50"/>
  <c r="BY105" i="50" s="1"/>
  <c r="AL184" i="50"/>
  <c r="BX184" i="50" s="1"/>
  <c r="AM184" i="50"/>
  <c r="BY184" i="50" s="1"/>
  <c r="AD97" i="50"/>
  <c r="BP97" i="50" s="1"/>
  <c r="AF106" i="50"/>
  <c r="BR106" i="50" s="1"/>
  <c r="AE106" i="50"/>
  <c r="BQ106" i="50" s="1"/>
  <c r="AL89" i="50"/>
  <c r="BX89" i="50" s="1"/>
  <c r="AM182" i="50"/>
  <c r="BY182" i="50" s="1"/>
  <c r="AL182" i="50"/>
  <c r="BX182" i="50" s="1"/>
  <c r="AK107" i="50"/>
  <c r="BW107" i="50" s="1"/>
  <c r="E68" i="49"/>
  <c r="K68" i="49" s="1"/>
  <c r="AM183" i="50"/>
  <c r="BY183" i="50" s="1"/>
  <c r="AL183" i="50"/>
  <c r="BX183" i="50" s="1"/>
  <c r="E58" i="53"/>
  <c r="AD107" i="50"/>
  <c r="BP107" i="50" s="1"/>
  <c r="E54" i="49"/>
  <c r="K54" i="49" s="1"/>
  <c r="AE95" i="50"/>
  <c r="BQ95" i="50" s="1"/>
  <c r="T58" i="53"/>
  <c r="BY58" i="53" s="1"/>
  <c r="U52" i="85" s="1"/>
  <c r="AL172" i="50"/>
  <c r="BX172" i="50" s="1"/>
  <c r="AD98" i="50"/>
  <c r="BP98" i="50" s="1"/>
  <c r="AK109" i="50"/>
  <c r="BW109" i="50" s="1"/>
  <c r="AL101" i="50"/>
  <c r="BX101" i="50" s="1"/>
  <c r="AM101" i="50"/>
  <c r="BY101" i="50" s="1"/>
  <c r="AL189" i="50"/>
  <c r="BX189" i="50" s="1"/>
  <c r="AM189" i="50"/>
  <c r="BY189" i="50" s="1"/>
  <c r="H58" i="53"/>
  <c r="AL99" i="50"/>
  <c r="BX99" i="50" s="1"/>
  <c r="AM99" i="50"/>
  <c r="BY99" i="50" s="1"/>
  <c r="O58" i="53"/>
  <c r="AK13" i="50"/>
  <c r="BW13" i="50" s="1"/>
  <c r="AD13" i="50"/>
  <c r="BP13" i="50" s="1"/>
  <c r="AH285" i="50" l="1"/>
  <c r="BT285" i="50" s="1"/>
  <c r="CB55" i="53"/>
  <c r="AU51" i="84" s="1"/>
  <c r="AO51" i="84" s="1"/>
  <c r="AU51" i="79"/>
  <c r="AO51" i="79" s="1"/>
  <c r="CA55" i="53"/>
  <c r="AT51" i="84" s="1"/>
  <c r="AN51" i="84" s="1"/>
  <c r="AT51" i="79"/>
  <c r="AN51" i="79" s="1"/>
  <c r="BT55" i="53"/>
  <c r="AT43" i="84" s="1"/>
  <c r="AN43" i="84" s="1"/>
  <c r="AT43" i="79"/>
  <c r="AN43" i="79" s="1"/>
  <c r="Z52" i="85"/>
  <c r="AA52" i="85"/>
  <c r="AA31" i="85"/>
  <c r="C105" i="85"/>
  <c r="AA285" i="50"/>
  <c r="BM285" i="50" s="1"/>
  <c r="D60" i="67"/>
  <c r="BO10" i="50"/>
  <c r="D60" i="85" s="1"/>
  <c r="D102" i="85" s="1"/>
  <c r="E89" i="67"/>
  <c r="E107" i="67" s="1"/>
  <c r="BW111" i="50"/>
  <c r="E89" i="85" s="1"/>
  <c r="E107" i="85" s="1"/>
  <c r="C63" i="49"/>
  <c r="I52" i="49"/>
  <c r="AL29" i="85" s="1"/>
  <c r="AL34" i="85" s="1"/>
  <c r="X31" i="67"/>
  <c r="X127" i="67" s="1"/>
  <c r="BU58" i="53"/>
  <c r="X31" i="85" s="1"/>
  <c r="X127" i="85" s="1"/>
  <c r="V49" i="67"/>
  <c r="V57" i="67" s="1"/>
  <c r="V58" i="67" s="1"/>
  <c r="BZ55" i="53"/>
  <c r="AS51" i="84" s="1"/>
  <c r="AM51" i="84" s="1"/>
  <c r="Y28" i="67"/>
  <c r="Y36" i="67" s="1"/>
  <c r="BV55" i="53"/>
  <c r="Y10" i="67"/>
  <c r="Y127" i="67" s="1"/>
  <c r="BO58" i="53"/>
  <c r="Y10" i="85" s="1"/>
  <c r="BG55" i="53"/>
  <c r="DI58" i="53"/>
  <c r="V31" i="67"/>
  <c r="BS58" i="53"/>
  <c r="V31" i="85" s="1"/>
  <c r="X7" i="67"/>
  <c r="BN55" i="53"/>
  <c r="V10" i="67"/>
  <c r="BL58" i="53"/>
  <c r="V10" i="85" s="1"/>
  <c r="D92" i="67"/>
  <c r="D110" i="67" s="1"/>
  <c r="BV171" i="50"/>
  <c r="D92" i="85" s="1"/>
  <c r="D110" i="85" s="1"/>
  <c r="AK88" i="50"/>
  <c r="BW88" i="50" s="1"/>
  <c r="BW91" i="50"/>
  <c r="AJ85" i="50"/>
  <c r="AJ283" i="50" s="1"/>
  <c r="BV283" i="50" s="1"/>
  <c r="BV94" i="50"/>
  <c r="U31" i="67"/>
  <c r="R58" i="53"/>
  <c r="Q58" i="53"/>
  <c r="BW58" i="53" s="1"/>
  <c r="U52" i="67"/>
  <c r="Z52" i="67" s="1"/>
  <c r="Z58" i="53"/>
  <c r="Y58" i="53"/>
  <c r="CD58" i="53" s="1"/>
  <c r="AB285" i="50"/>
  <c r="BN285" i="50" s="1"/>
  <c r="C58" i="73"/>
  <c r="BG58" i="73" s="1"/>
  <c r="T10" i="67"/>
  <c r="T127" i="67" s="1"/>
  <c r="U88" i="53"/>
  <c r="E18" i="20"/>
  <c r="L18" i="20" s="1"/>
  <c r="V88" i="53"/>
  <c r="W49" i="67"/>
  <c r="W57" i="67" s="1"/>
  <c r="W58" i="67" s="1"/>
  <c r="N88" i="53"/>
  <c r="W28" i="67"/>
  <c r="W36" i="67" s="1"/>
  <c r="W37" i="67" s="1"/>
  <c r="W88" i="53"/>
  <c r="X49" i="67"/>
  <c r="X57" i="67" s="1"/>
  <c r="X58" i="67" s="1"/>
  <c r="AI283" i="50"/>
  <c r="C87" i="67"/>
  <c r="C105" i="67" s="1"/>
  <c r="D66" i="49"/>
  <c r="E67" i="49"/>
  <c r="K67" i="49" s="1"/>
  <c r="D84" i="67"/>
  <c r="AC280" i="50"/>
  <c r="BO280" i="50" s="1"/>
  <c r="E53" i="49"/>
  <c r="K53" i="49" s="1"/>
  <c r="AL29" i="67"/>
  <c r="AL34" i="67" s="1"/>
  <c r="AL37" i="67"/>
  <c r="AJ280" i="50"/>
  <c r="BV280" i="50" s="1"/>
  <c r="G18" i="20"/>
  <c r="N18" i="20" s="1"/>
  <c r="F18" i="20"/>
  <c r="M18" i="20" s="1"/>
  <c r="F15" i="20"/>
  <c r="M15" i="20" s="1"/>
  <c r="T55" i="53"/>
  <c r="AA58" i="73"/>
  <c r="Z58" i="73"/>
  <c r="BT58" i="73" s="1"/>
  <c r="AI58" i="73"/>
  <c r="AH58" i="73"/>
  <c r="BX58" i="73" s="1"/>
  <c r="H15" i="20"/>
  <c r="O15" i="20" s="1"/>
  <c r="W55" i="73"/>
  <c r="BR55" i="73" s="1"/>
  <c r="X55" i="73"/>
  <c r="AC55" i="73"/>
  <c r="AB55" i="73"/>
  <c r="BU55" i="73" s="1"/>
  <c r="S55" i="73"/>
  <c r="BP55" i="73" s="1"/>
  <c r="T55" i="73"/>
  <c r="O55" i="53"/>
  <c r="V58" i="73"/>
  <c r="U58" i="73"/>
  <c r="BQ58" i="73" s="1"/>
  <c r="M58" i="73"/>
  <c r="L58" i="73"/>
  <c r="BL58" i="73" s="1"/>
  <c r="G58" i="73"/>
  <c r="F58" i="73"/>
  <c r="BI58" i="73" s="1"/>
  <c r="AE55" i="73"/>
  <c r="AD55" i="73"/>
  <c r="BV55" i="73" s="1"/>
  <c r="J58" i="73"/>
  <c r="BK58" i="73" s="1"/>
  <c r="AG55" i="73"/>
  <c r="AF55" i="73"/>
  <c r="BW55" i="73" s="1"/>
  <c r="M55" i="53"/>
  <c r="R58" i="73"/>
  <c r="Q58" i="73"/>
  <c r="BO58" i="73" s="1"/>
  <c r="L55" i="53"/>
  <c r="P58" i="73"/>
  <c r="O58" i="73"/>
  <c r="BN58" i="73" s="1"/>
  <c r="G12" i="20"/>
  <c r="N12" i="20" s="1"/>
  <c r="K58" i="73"/>
  <c r="D52" i="49"/>
  <c r="J52" i="49" s="1"/>
  <c r="AM29" i="85" s="1"/>
  <c r="AM34" i="85" s="1"/>
  <c r="AC85" i="50"/>
  <c r="BO85" i="50" s="1"/>
  <c r="D63" i="85" s="1"/>
  <c r="AD88" i="50"/>
  <c r="BP88" i="50" s="1"/>
  <c r="AM90" i="50"/>
  <c r="BY90" i="50" s="1"/>
  <c r="AL13" i="50"/>
  <c r="BX13" i="50" s="1"/>
  <c r="AE89" i="50"/>
  <c r="BQ89" i="50" s="1"/>
  <c r="AF89" i="50"/>
  <c r="BR89" i="50" s="1"/>
  <c r="AD10" i="50"/>
  <c r="AK171" i="50"/>
  <c r="AL111" i="50"/>
  <c r="BH58" i="53"/>
  <c r="BB58" i="53"/>
  <c r="E55" i="53"/>
  <c r="AS35" i="79" s="1"/>
  <c r="AM35" i="79" s="1"/>
  <c r="BE58" i="53"/>
  <c r="AY58" i="53"/>
  <c r="BA58" i="53"/>
  <c r="P88" i="53"/>
  <c r="C55" i="53"/>
  <c r="BC58" i="53"/>
  <c r="AW58" i="53"/>
  <c r="H55" i="53"/>
  <c r="AV35" i="79" s="1"/>
  <c r="AP35" i="79" s="1"/>
  <c r="X55" i="53"/>
  <c r="AL93" i="50"/>
  <c r="BX93" i="50" s="1"/>
  <c r="AM93" i="50"/>
  <c r="BY93" i="50" s="1"/>
  <c r="AK10" i="50"/>
  <c r="BW10" i="50" s="1"/>
  <c r="E84" i="85" s="1"/>
  <c r="AL173" i="50"/>
  <c r="BX173" i="50" s="1"/>
  <c r="AM173" i="50"/>
  <c r="BY173" i="50" s="1"/>
  <c r="AL87" i="50"/>
  <c r="BX87" i="50" s="1"/>
  <c r="AM87" i="50"/>
  <c r="BY87" i="50" s="1"/>
  <c r="AL188" i="50"/>
  <c r="BX188" i="50" s="1"/>
  <c r="AM188" i="50"/>
  <c r="BY188" i="50" s="1"/>
  <c r="AM187" i="50"/>
  <c r="BY187" i="50" s="1"/>
  <c r="AL187" i="50"/>
  <c r="BX187" i="50" s="1"/>
  <c r="AL102" i="50"/>
  <c r="BX102" i="50" s="1"/>
  <c r="AM102" i="50"/>
  <c r="BY102" i="50" s="1"/>
  <c r="AD94" i="50"/>
  <c r="BP94" i="50" s="1"/>
  <c r="AE103" i="50"/>
  <c r="BQ103" i="50" s="1"/>
  <c r="AF103" i="50"/>
  <c r="BR103" i="50" s="1"/>
  <c r="AF99" i="50"/>
  <c r="BR99" i="50" s="1"/>
  <c r="AE99" i="50"/>
  <c r="BQ99" i="50" s="1"/>
  <c r="AE101" i="50"/>
  <c r="BQ101" i="50" s="1"/>
  <c r="AF101" i="50"/>
  <c r="BR101" i="50" s="1"/>
  <c r="AM172" i="50"/>
  <c r="BY172" i="50" s="1"/>
  <c r="AE97" i="50"/>
  <c r="BQ97" i="50" s="1"/>
  <c r="AF97" i="50"/>
  <c r="BR97" i="50" s="1"/>
  <c r="AE109" i="50"/>
  <c r="BQ109" i="50" s="1"/>
  <c r="AF109" i="50"/>
  <c r="BR109" i="50" s="1"/>
  <c r="AL86" i="50"/>
  <c r="BX86" i="50" s="1"/>
  <c r="AE92" i="50"/>
  <c r="BQ92" i="50" s="1"/>
  <c r="AF92" i="50"/>
  <c r="BR92" i="50" s="1"/>
  <c r="F58" i="53"/>
  <c r="AE105" i="50"/>
  <c r="BQ105" i="50" s="1"/>
  <c r="AF105" i="50"/>
  <c r="BR105" i="50" s="1"/>
  <c r="AF98" i="50"/>
  <c r="BR98" i="50" s="1"/>
  <c r="AE98" i="50"/>
  <c r="BQ98" i="50" s="1"/>
  <c r="AM89" i="50"/>
  <c r="BY89" i="50" s="1"/>
  <c r="D58" i="53"/>
  <c r="BK58" i="53" s="1"/>
  <c r="U10" i="85" s="1"/>
  <c r="AE19" i="50"/>
  <c r="BQ19" i="50" s="1"/>
  <c r="AE107" i="50"/>
  <c r="BQ107" i="50" s="1"/>
  <c r="F54" i="49"/>
  <c r="L54" i="49" s="1"/>
  <c r="AL19" i="50"/>
  <c r="BX19" i="50" s="1"/>
  <c r="AL95" i="50"/>
  <c r="BX95" i="50" s="1"/>
  <c r="AF104" i="50"/>
  <c r="BR104" i="50" s="1"/>
  <c r="AE104" i="50"/>
  <c r="BQ104" i="50" s="1"/>
  <c r="AL177" i="50"/>
  <c r="BX177" i="50" s="1"/>
  <c r="AM177" i="50"/>
  <c r="BY177" i="50" s="1"/>
  <c r="AE102" i="50"/>
  <c r="BQ102" i="50" s="1"/>
  <c r="AF102" i="50"/>
  <c r="BR102" i="50" s="1"/>
  <c r="AF96" i="50"/>
  <c r="BR96" i="50" s="1"/>
  <c r="AE96" i="50"/>
  <c r="BQ96" i="50" s="1"/>
  <c r="AM103" i="50"/>
  <c r="BY103" i="50" s="1"/>
  <c r="AL103" i="50"/>
  <c r="BX103" i="50" s="1"/>
  <c r="AL109" i="50"/>
  <c r="BX109" i="50" s="1"/>
  <c r="AM109" i="50"/>
  <c r="BY109" i="50" s="1"/>
  <c r="AK94" i="50"/>
  <c r="AL98" i="50"/>
  <c r="BX98" i="50" s="1"/>
  <c r="AM98" i="50"/>
  <c r="BY98" i="50" s="1"/>
  <c r="AM181" i="50"/>
  <c r="BY181" i="50" s="1"/>
  <c r="AL181" i="50"/>
  <c r="BX181" i="50" s="1"/>
  <c r="AM176" i="50"/>
  <c r="BY176" i="50" s="1"/>
  <c r="AL176" i="50"/>
  <c r="BX176" i="50" s="1"/>
  <c r="AE13" i="50"/>
  <c r="BQ13" i="50" s="1"/>
  <c r="AL91" i="50"/>
  <c r="AM91" i="50"/>
  <c r="BY91" i="50" s="1"/>
  <c r="AF95" i="50"/>
  <c r="BR95" i="50" s="1"/>
  <c r="AL107" i="50"/>
  <c r="BX107" i="50" s="1"/>
  <c r="F68" i="49"/>
  <c r="L68" i="49" s="1"/>
  <c r="AL185" i="50"/>
  <c r="BX185" i="50" s="1"/>
  <c r="AM185" i="50"/>
  <c r="BY185" i="50" s="1"/>
  <c r="AF90" i="50"/>
  <c r="BR90" i="50" s="1"/>
  <c r="AE87" i="50"/>
  <c r="BQ87" i="50" s="1"/>
  <c r="AU50" i="79" l="1"/>
  <c r="AO50" i="79" s="1"/>
  <c r="AT50" i="79"/>
  <c r="AN50" i="79" s="1"/>
  <c r="AT42" i="79"/>
  <c r="AN42" i="79" s="1"/>
  <c r="AS50" i="79"/>
  <c r="AM50" i="79" s="1"/>
  <c r="X49" i="85"/>
  <c r="X57" i="85" s="1"/>
  <c r="X58" i="85" s="1"/>
  <c r="W28" i="85"/>
  <c r="W36" i="85" s="1"/>
  <c r="W37" i="85" s="1"/>
  <c r="W49" i="85"/>
  <c r="W57" i="85" s="1"/>
  <c r="W58" i="85" s="1"/>
  <c r="D102" i="67"/>
  <c r="BU55" i="53"/>
  <c r="AU43" i="84" s="1"/>
  <c r="AO43" i="84" s="1"/>
  <c r="AU43" i="79"/>
  <c r="AO43" i="79" s="1"/>
  <c r="BR55" i="53"/>
  <c r="AR43" i="84" s="1"/>
  <c r="AL43" i="84" s="1"/>
  <c r="AR43" i="79"/>
  <c r="AL43" i="79" s="1"/>
  <c r="BV88" i="53"/>
  <c r="AV42" i="84" s="1"/>
  <c r="AP42" i="84" s="1"/>
  <c r="AV42" i="79"/>
  <c r="AP42" i="79" s="1"/>
  <c r="BS55" i="53"/>
  <c r="AS43" i="84" s="1"/>
  <c r="AM43" i="84" s="1"/>
  <c r="AS43" i="79"/>
  <c r="AM43" i="79" s="1"/>
  <c r="BY55" i="53"/>
  <c r="AR51" i="84" s="1"/>
  <c r="AL51" i="84" s="1"/>
  <c r="AR51" i="79"/>
  <c r="AL51" i="79" s="1"/>
  <c r="CC55" i="53"/>
  <c r="AV51" i="84" s="1"/>
  <c r="AP51" i="84" s="1"/>
  <c r="AV51" i="79"/>
  <c r="AP51" i="79" s="1"/>
  <c r="AA52" i="67"/>
  <c r="AU35" i="84"/>
  <c r="AO35" i="84" s="1"/>
  <c r="X7" i="85"/>
  <c r="AV43" i="84"/>
  <c r="AP43" i="84" s="1"/>
  <c r="Y28" i="85"/>
  <c r="Y36" i="85" s="1"/>
  <c r="V49" i="85"/>
  <c r="V57" i="85" s="1"/>
  <c r="V58" i="85" s="1"/>
  <c r="U28" i="85"/>
  <c r="Z10" i="85"/>
  <c r="U127" i="85"/>
  <c r="Z127" i="85" s="1"/>
  <c r="V127" i="85"/>
  <c r="Y127" i="85"/>
  <c r="AA127" i="85" s="1"/>
  <c r="AA10" i="85"/>
  <c r="V127" i="67"/>
  <c r="E60" i="67"/>
  <c r="BP10" i="50"/>
  <c r="E60" i="85" s="1"/>
  <c r="E102" i="85" s="1"/>
  <c r="D20" i="21"/>
  <c r="K20" i="21" s="1"/>
  <c r="AM56" i="85" s="1"/>
  <c r="I63" i="49"/>
  <c r="J66" i="49"/>
  <c r="AM37" i="85" s="1"/>
  <c r="F89" i="67"/>
  <c r="F107" i="67" s="1"/>
  <c r="BX111" i="50"/>
  <c r="F89" i="85" s="1"/>
  <c r="F107" i="85" s="1"/>
  <c r="AY55" i="53"/>
  <c r="DA58" i="53"/>
  <c r="I89" i="1"/>
  <c r="Y89" i="1" s="1"/>
  <c r="CB88" i="53"/>
  <c r="AU50" i="84" s="1"/>
  <c r="AO50" i="84" s="1"/>
  <c r="AW55" i="53"/>
  <c r="CY58" i="53"/>
  <c r="BE55" i="53"/>
  <c r="DG58" i="53"/>
  <c r="T7" i="67"/>
  <c r="T124" i="67" s="1"/>
  <c r="T132" i="67" s="1"/>
  <c r="BJ55" i="53"/>
  <c r="T7" i="85" s="1"/>
  <c r="BB55" i="53"/>
  <c r="DD58" i="53"/>
  <c r="N91" i="53"/>
  <c r="BT91" i="53" s="1"/>
  <c r="BT88" i="53"/>
  <c r="AT42" i="84" s="1"/>
  <c r="AN42" i="84" s="1"/>
  <c r="BH55" i="53"/>
  <c r="DJ58" i="53"/>
  <c r="AD88" i="73"/>
  <c r="CA88" i="53"/>
  <c r="AT50" i="84" s="1"/>
  <c r="AN50" i="84" s="1"/>
  <c r="BA55" i="53"/>
  <c r="DC58" i="53"/>
  <c r="Y7" i="67"/>
  <c r="BO55" i="53"/>
  <c r="AC88" i="73"/>
  <c r="BZ88" i="53"/>
  <c r="AS50" i="84" s="1"/>
  <c r="AM50" i="84" s="1"/>
  <c r="W10" i="67"/>
  <c r="W127" i="67" s="1"/>
  <c r="BM58" i="53"/>
  <c r="W10" i="85" s="1"/>
  <c r="W127" i="85" s="1"/>
  <c r="BC55" i="53"/>
  <c r="DE58" i="53"/>
  <c r="V7" i="67"/>
  <c r="BL55" i="53"/>
  <c r="DI55" i="53"/>
  <c r="E92" i="67"/>
  <c r="E110" i="67" s="1"/>
  <c r="BW171" i="50"/>
  <c r="E92" i="85" s="1"/>
  <c r="E110" i="85" s="1"/>
  <c r="AL88" i="50"/>
  <c r="BX88" i="50" s="1"/>
  <c r="BX91" i="50"/>
  <c r="AK85" i="50"/>
  <c r="BW85" i="50" s="1"/>
  <c r="E87" i="85" s="1"/>
  <c r="BW94" i="50"/>
  <c r="AI285" i="50"/>
  <c r="BU285" i="50" s="1"/>
  <c r="BU283" i="50"/>
  <c r="D87" i="67"/>
  <c r="BV85" i="50"/>
  <c r="D87" i="85" s="1"/>
  <c r="D105" i="85" s="1"/>
  <c r="Z55" i="53"/>
  <c r="Y55" i="53"/>
  <c r="CD55" i="53" s="1"/>
  <c r="U10" i="67"/>
  <c r="AA10" i="67" s="1"/>
  <c r="J58" i="53"/>
  <c r="I58" i="53"/>
  <c r="BP58" i="53" s="1"/>
  <c r="R55" i="53"/>
  <c r="Q55" i="53"/>
  <c r="BW55" i="53" s="1"/>
  <c r="Z31" i="67"/>
  <c r="AA31" i="67"/>
  <c r="AA127" i="67"/>
  <c r="U95" i="53"/>
  <c r="E17" i="20"/>
  <c r="S88" i="73"/>
  <c r="U91" i="53"/>
  <c r="F17" i="20"/>
  <c r="AB88" i="73"/>
  <c r="G89" i="1"/>
  <c r="W89" i="1" s="1"/>
  <c r="E24" i="17"/>
  <c r="N95" i="53"/>
  <c r="T88" i="73"/>
  <c r="F14" i="20"/>
  <c r="H87" i="1"/>
  <c r="X87" i="1" s="1"/>
  <c r="F16" i="17"/>
  <c r="AE88" i="73"/>
  <c r="W95" i="53"/>
  <c r="V95" i="53"/>
  <c r="AF88" i="73"/>
  <c r="G17" i="20"/>
  <c r="F24" i="17"/>
  <c r="G24" i="17"/>
  <c r="W91" i="53"/>
  <c r="V91" i="53"/>
  <c r="AG88" i="73"/>
  <c r="H89" i="1"/>
  <c r="X89" i="1" s="1"/>
  <c r="E15" i="20"/>
  <c r="L15" i="20" s="1"/>
  <c r="V28" i="67"/>
  <c r="V36" i="67" s="1"/>
  <c r="V37" i="67" s="1"/>
  <c r="O88" i="53"/>
  <c r="X28" i="67"/>
  <c r="D18" i="20"/>
  <c r="K18" i="20" s="1"/>
  <c r="U49" i="67"/>
  <c r="X88" i="53"/>
  <c r="Y49" i="67"/>
  <c r="L88" i="53"/>
  <c r="U28" i="67"/>
  <c r="AA28" i="67" s="1"/>
  <c r="Y37" i="67"/>
  <c r="AJ285" i="50"/>
  <c r="BV285" i="50" s="1"/>
  <c r="AM37" i="67"/>
  <c r="E66" i="49"/>
  <c r="F67" i="49"/>
  <c r="L67" i="49" s="1"/>
  <c r="E84" i="67"/>
  <c r="E102" i="67" s="1"/>
  <c r="AD280" i="50"/>
  <c r="BP280" i="50" s="1"/>
  <c r="F53" i="49"/>
  <c r="L53" i="49" s="1"/>
  <c r="AC283" i="50"/>
  <c r="D63" i="67"/>
  <c r="D63" i="49"/>
  <c r="AM29" i="67"/>
  <c r="AM34" i="67" s="1"/>
  <c r="D15" i="20"/>
  <c r="K15" i="20" s="1"/>
  <c r="G15" i="20"/>
  <c r="N15" i="20" s="1"/>
  <c r="G27" i="47"/>
  <c r="D27" i="47"/>
  <c r="J55" i="73"/>
  <c r="BK55" i="73" s="1"/>
  <c r="B27" i="47"/>
  <c r="F27" i="47"/>
  <c r="M88" i="53"/>
  <c r="E58" i="73"/>
  <c r="D58" i="73"/>
  <c r="BH58" i="73" s="1"/>
  <c r="K55" i="73"/>
  <c r="O55" i="73"/>
  <c r="BN55" i="73" s="1"/>
  <c r="P55" i="73"/>
  <c r="H12" i="20"/>
  <c r="O12" i="20" s="1"/>
  <c r="M55" i="73"/>
  <c r="L55" i="73"/>
  <c r="BL55" i="73" s="1"/>
  <c r="H18" i="20"/>
  <c r="O18" i="20" s="1"/>
  <c r="AI55" i="73"/>
  <c r="AH55" i="73"/>
  <c r="BX55" i="73" s="1"/>
  <c r="I58" i="73"/>
  <c r="H58" i="73"/>
  <c r="BJ58" i="73" s="1"/>
  <c r="W88" i="73"/>
  <c r="X88" i="73"/>
  <c r="E12" i="20"/>
  <c r="L12" i="20" s="1"/>
  <c r="G55" i="73"/>
  <c r="F55" i="73"/>
  <c r="BI55" i="73" s="1"/>
  <c r="Q55" i="73"/>
  <c r="BO55" i="73" s="1"/>
  <c r="R55" i="73"/>
  <c r="U55" i="73"/>
  <c r="BQ55" i="73" s="1"/>
  <c r="V55" i="73"/>
  <c r="AA55" i="73"/>
  <c r="Z55" i="73"/>
  <c r="BT55" i="73" s="1"/>
  <c r="AL10" i="50"/>
  <c r="BX10" i="50" s="1"/>
  <c r="F84" i="85" s="1"/>
  <c r="AE88" i="50"/>
  <c r="BQ88" i="50" s="1"/>
  <c r="AE10" i="50"/>
  <c r="AD85" i="50"/>
  <c r="BP85" i="50" s="1"/>
  <c r="E63" i="85" s="1"/>
  <c r="C55" i="73"/>
  <c r="BG55" i="73" s="1"/>
  <c r="E52" i="49"/>
  <c r="K52" i="49" s="1"/>
  <c r="AN29" i="85" s="1"/>
  <c r="AN34" i="85" s="1"/>
  <c r="AK280" i="50"/>
  <c r="BW280" i="50" s="1"/>
  <c r="AF94" i="50"/>
  <c r="BR94" i="50" s="1"/>
  <c r="AF13" i="50"/>
  <c r="BR13" i="50" s="1"/>
  <c r="C88" i="53"/>
  <c r="AE94" i="50"/>
  <c r="BQ94" i="50" s="1"/>
  <c r="AF88" i="50"/>
  <c r="BR88" i="50" s="1"/>
  <c r="J87" i="1"/>
  <c r="Z87" i="1" s="1"/>
  <c r="P95" i="53"/>
  <c r="BV95" i="53" s="1"/>
  <c r="H14" i="20"/>
  <c r="H16" i="17"/>
  <c r="P91" i="53"/>
  <c r="BV91" i="53" s="1"/>
  <c r="D55" i="53"/>
  <c r="BD58" i="53"/>
  <c r="AX58" i="53"/>
  <c r="F55" i="53"/>
  <c r="BF58" i="53"/>
  <c r="AZ58" i="53"/>
  <c r="AL171" i="50"/>
  <c r="AF19" i="50"/>
  <c r="BR19" i="50" s="1"/>
  <c r="AF87" i="50"/>
  <c r="BR87" i="50" s="1"/>
  <c r="AM19" i="50"/>
  <c r="BY19" i="50" s="1"/>
  <c r="AM95" i="50"/>
  <c r="G54" i="49"/>
  <c r="M54" i="49" s="1"/>
  <c r="AF107" i="50"/>
  <c r="BR107" i="50" s="1"/>
  <c r="AM88" i="50"/>
  <c r="BY88" i="50" s="1"/>
  <c r="AM13" i="50"/>
  <c r="BY13" i="50" s="1"/>
  <c r="AM86" i="50"/>
  <c r="BY86" i="50" s="1"/>
  <c r="AM171" i="50"/>
  <c r="G68" i="49"/>
  <c r="M68" i="49" s="1"/>
  <c r="AM107" i="50"/>
  <c r="BY107" i="50" s="1"/>
  <c r="AM111" i="50"/>
  <c r="AL94" i="50"/>
  <c r="AS42" i="79" l="1"/>
  <c r="AM42" i="79" s="1"/>
  <c r="AV50" i="79"/>
  <c r="AP50" i="79" s="1"/>
  <c r="AU42" i="79"/>
  <c r="AO42" i="79" s="1"/>
  <c r="V28" i="85"/>
  <c r="V36" i="85" s="1"/>
  <c r="V37" i="85" s="1"/>
  <c r="U49" i="85"/>
  <c r="X28" i="85"/>
  <c r="X36" i="85" s="1"/>
  <c r="X37" i="85" s="1"/>
  <c r="Y49" i="85"/>
  <c r="Y57" i="85" s="1"/>
  <c r="BM55" i="53"/>
  <c r="W7" i="85" s="1"/>
  <c r="AT35" i="79"/>
  <c r="AN35" i="79" s="1"/>
  <c r="T15" i="67"/>
  <c r="BR88" i="53"/>
  <c r="AR42" i="84" s="1"/>
  <c r="AL42" i="84" s="1"/>
  <c r="AR42" i="79"/>
  <c r="AL42" i="79" s="1"/>
  <c r="BK55" i="53"/>
  <c r="U7" i="85" s="1"/>
  <c r="AR35" i="79"/>
  <c r="AL35" i="79" s="1"/>
  <c r="AA28" i="85"/>
  <c r="Z28" i="85"/>
  <c r="U36" i="85"/>
  <c r="AA36" i="85" s="1"/>
  <c r="Y37" i="85"/>
  <c r="Z49" i="85"/>
  <c r="E105" i="85"/>
  <c r="T124" i="85"/>
  <c r="T15" i="85"/>
  <c r="T91" i="73"/>
  <c r="AS35" i="84"/>
  <c r="AM35" i="84" s="1"/>
  <c r="V7" i="85"/>
  <c r="AV35" i="84"/>
  <c r="AP35" i="84" s="1"/>
  <c r="Y7" i="85"/>
  <c r="E16" i="20"/>
  <c r="L16" i="20" s="1"/>
  <c r="L17" i="20"/>
  <c r="AW12" i="67"/>
  <c r="O16" i="17"/>
  <c r="AW12" i="85" s="1"/>
  <c r="G89" i="67"/>
  <c r="G107" i="67" s="1"/>
  <c r="BY111" i="50"/>
  <c r="G89" i="85" s="1"/>
  <c r="G107" i="85" s="1"/>
  <c r="AU12" i="67"/>
  <c r="M16" i="17"/>
  <c r="AU12" i="85" s="1"/>
  <c r="F16" i="20"/>
  <c r="M16" i="20" s="1"/>
  <c r="M17" i="20"/>
  <c r="M27" i="47"/>
  <c r="AM56" i="67"/>
  <c r="J63" i="49"/>
  <c r="AV18" i="67"/>
  <c r="N24" i="17"/>
  <c r="AV18" i="85" s="1"/>
  <c r="N27" i="47"/>
  <c r="AT18" i="67"/>
  <c r="L24" i="17"/>
  <c r="AT18" i="85" s="1"/>
  <c r="H13" i="20"/>
  <c r="O13" i="20" s="1"/>
  <c r="O14" i="20"/>
  <c r="B22" i="47"/>
  <c r="I27" i="47"/>
  <c r="AU18" i="67"/>
  <c r="M24" i="17"/>
  <c r="AU18" i="85" s="1"/>
  <c r="F13" i="20"/>
  <c r="M13" i="20" s="1"/>
  <c r="M14" i="20"/>
  <c r="F60" i="67"/>
  <c r="BQ10" i="50"/>
  <c r="F60" i="85" s="1"/>
  <c r="F102" i="85" s="1"/>
  <c r="AN37" i="67"/>
  <c r="K66" i="49"/>
  <c r="AN37" i="85" s="1"/>
  <c r="G16" i="20"/>
  <c r="N16" i="20" s="1"/>
  <c r="N17" i="20"/>
  <c r="S91" i="73"/>
  <c r="BP91" i="73" s="1"/>
  <c r="K27" i="47"/>
  <c r="AC106" i="73"/>
  <c r="BU88" i="73"/>
  <c r="AG106" i="73"/>
  <c r="BW88" i="73"/>
  <c r="X106" i="73"/>
  <c r="BR88" i="73"/>
  <c r="T106" i="73"/>
  <c r="BP88" i="73"/>
  <c r="AE106" i="73"/>
  <c r="BV88" i="73"/>
  <c r="BJ88" i="53"/>
  <c r="AI88" i="73"/>
  <c r="CC88" i="53"/>
  <c r="AV50" i="84" s="1"/>
  <c r="AP50" i="84" s="1"/>
  <c r="S95" i="73"/>
  <c r="BP95" i="73" s="1"/>
  <c r="BT95" i="53"/>
  <c r="DJ55" i="53"/>
  <c r="AE95" i="73"/>
  <c r="CA95" i="53"/>
  <c r="AW88" i="53"/>
  <c r="CY55" i="53"/>
  <c r="Q88" i="73"/>
  <c r="BS88" i="53"/>
  <c r="AS42" i="84" s="1"/>
  <c r="AM42" i="84" s="1"/>
  <c r="CA91" i="53"/>
  <c r="AZ55" i="53"/>
  <c r="DB58" i="53"/>
  <c r="U88" i="73"/>
  <c r="BU88" i="53"/>
  <c r="AU42" i="84" s="1"/>
  <c r="AO42" i="84" s="1"/>
  <c r="AF91" i="73"/>
  <c r="BW91" i="73" s="1"/>
  <c r="CB91" i="53"/>
  <c r="BF55" i="53"/>
  <c r="DH58" i="53"/>
  <c r="BZ91" i="53"/>
  <c r="DG55" i="53"/>
  <c r="AX55" i="53"/>
  <c r="CZ58" i="53"/>
  <c r="BD55" i="53"/>
  <c r="DF58" i="53"/>
  <c r="AF95" i="73"/>
  <c r="BW95" i="73" s="1"/>
  <c r="CB95" i="53"/>
  <c r="AB95" i="73"/>
  <c r="BU95" i="73" s="1"/>
  <c r="BZ95" i="53"/>
  <c r="BC88" i="53"/>
  <c r="DE55" i="53"/>
  <c r="DC55" i="53"/>
  <c r="DD55" i="53"/>
  <c r="DA55" i="53"/>
  <c r="G92" i="67"/>
  <c r="G110" i="67" s="1"/>
  <c r="BY171" i="50"/>
  <c r="G92" i="85" s="1"/>
  <c r="G110" i="85" s="1"/>
  <c r="AC285" i="50"/>
  <c r="BO285" i="50" s="1"/>
  <c r="BO283" i="50"/>
  <c r="F92" i="67"/>
  <c r="F110" i="67" s="1"/>
  <c r="BX171" i="50"/>
  <c r="F92" i="85" s="1"/>
  <c r="F110" i="85" s="1"/>
  <c r="E87" i="67"/>
  <c r="D105" i="67"/>
  <c r="AM94" i="50"/>
  <c r="BY94" i="50" s="1"/>
  <c r="BY95" i="50"/>
  <c r="AL85" i="50"/>
  <c r="AL283" i="50" s="1"/>
  <c r="BX283" i="50" s="1"/>
  <c r="BX94" i="50"/>
  <c r="AK283" i="50"/>
  <c r="BW283" i="50" s="1"/>
  <c r="I55" i="53"/>
  <c r="BP55" i="53" s="1"/>
  <c r="J55" i="53"/>
  <c r="L91" i="53"/>
  <c r="R88" i="53"/>
  <c r="Q88" i="53"/>
  <c r="BW88" i="53" s="1"/>
  <c r="Y124" i="67"/>
  <c r="AA124" i="67" s="1"/>
  <c r="AA49" i="67"/>
  <c r="Z10" i="67"/>
  <c r="U127" i="67"/>
  <c r="Z127" i="67" s="1"/>
  <c r="AC95" i="73"/>
  <c r="AB91" i="73"/>
  <c r="BU91" i="73" s="1"/>
  <c r="AC91" i="73"/>
  <c r="T95" i="73"/>
  <c r="O95" i="53"/>
  <c r="X91" i="53"/>
  <c r="CC91" i="53" s="1"/>
  <c r="H24" i="17"/>
  <c r="H17" i="20"/>
  <c r="G16" i="17"/>
  <c r="P88" i="73"/>
  <c r="L95" i="53"/>
  <c r="BR95" i="53" s="1"/>
  <c r="F87" i="1"/>
  <c r="V87" i="1" s="1"/>
  <c r="O88" i="73"/>
  <c r="AG91" i="73"/>
  <c r="AG95" i="73"/>
  <c r="D14" i="20"/>
  <c r="D16" i="17"/>
  <c r="E20" i="21"/>
  <c r="AD95" i="73"/>
  <c r="BV95" i="73" s="1"/>
  <c r="AD91" i="73"/>
  <c r="BV91" i="73" s="1"/>
  <c r="X95" i="53"/>
  <c r="AH88" i="73"/>
  <c r="AE91" i="73"/>
  <c r="V88" i="73"/>
  <c r="I87" i="1"/>
  <c r="Y87" i="1" s="1"/>
  <c r="J89" i="1"/>
  <c r="Z89" i="1" s="1"/>
  <c r="G14" i="20"/>
  <c r="O91" i="53"/>
  <c r="E27" i="47"/>
  <c r="W7" i="67"/>
  <c r="C27" i="47"/>
  <c r="U7" i="67"/>
  <c r="AA7" i="67" s="1"/>
  <c r="U36" i="67"/>
  <c r="AA36" i="67" s="1"/>
  <c r="Z28" i="67"/>
  <c r="Z49" i="67"/>
  <c r="D34" i="17"/>
  <c r="Y57" i="67"/>
  <c r="X36" i="67"/>
  <c r="X37" i="67" s="1"/>
  <c r="X124" i="67"/>
  <c r="V124" i="67"/>
  <c r="F66" i="49"/>
  <c r="G67" i="49"/>
  <c r="M67" i="49" s="1"/>
  <c r="F84" i="67"/>
  <c r="F52" i="49"/>
  <c r="G53" i="49"/>
  <c r="M53" i="49" s="1"/>
  <c r="AD283" i="50"/>
  <c r="E63" i="67"/>
  <c r="E63" i="49"/>
  <c r="AN29" i="67"/>
  <c r="AN34" i="67" s="1"/>
  <c r="AE280" i="50"/>
  <c r="BQ280" i="50" s="1"/>
  <c r="M95" i="53"/>
  <c r="E16" i="17"/>
  <c r="E14" i="20"/>
  <c r="G87" i="1"/>
  <c r="W87" i="1" s="1"/>
  <c r="R88" i="73"/>
  <c r="M91" i="53"/>
  <c r="AL280" i="50"/>
  <c r="BX280" i="50" s="1"/>
  <c r="E55" i="73"/>
  <c r="D55" i="73"/>
  <c r="BH55" i="73" s="1"/>
  <c r="X91" i="73"/>
  <c r="W91" i="73"/>
  <c r="BR91" i="73" s="1"/>
  <c r="W95" i="73"/>
  <c r="BR95" i="73" s="1"/>
  <c r="X95" i="73"/>
  <c r="I55" i="73"/>
  <c r="H55" i="73"/>
  <c r="BJ55" i="73" s="1"/>
  <c r="AE85" i="50"/>
  <c r="BQ85" i="50" s="1"/>
  <c r="F63" i="85" s="1"/>
  <c r="F12" i="20"/>
  <c r="M12" i="20" s="1"/>
  <c r="C88" i="73"/>
  <c r="BG88" i="73" s="1"/>
  <c r="D12" i="20"/>
  <c r="K12" i="20" s="1"/>
  <c r="AF10" i="50"/>
  <c r="BR10" i="50" s="1"/>
  <c r="G60" i="85" s="1"/>
  <c r="C95" i="53"/>
  <c r="C91" i="53"/>
  <c r="BJ91" i="53" s="1"/>
  <c r="E85" i="1"/>
  <c r="AF85" i="50"/>
  <c r="BR85" i="50" s="1"/>
  <c r="G63" i="85" s="1"/>
  <c r="AM10" i="50"/>
  <c r="BY10" i="50" s="1"/>
  <c r="G84" i="85" s="1"/>
  <c r="X124" i="85" l="1"/>
  <c r="AT35" i="84"/>
  <c r="AN35" i="84" s="1"/>
  <c r="H26" i="20"/>
  <c r="G34" i="49" s="1"/>
  <c r="M34" i="49" s="1"/>
  <c r="AP17" i="85" s="1"/>
  <c r="AP18" i="85" s="1"/>
  <c r="AA49" i="85"/>
  <c r="F26" i="20"/>
  <c r="E34" i="49" s="1"/>
  <c r="K34" i="49" s="1"/>
  <c r="AN17" i="85" s="1"/>
  <c r="AN18" i="85" s="1"/>
  <c r="AR35" i="84"/>
  <c r="AL35" i="84" s="1"/>
  <c r="F27" i="20"/>
  <c r="M27" i="20" s="1"/>
  <c r="F102" i="67"/>
  <c r="E27" i="20"/>
  <c r="L27" i="20" s="1"/>
  <c r="E105" i="67"/>
  <c r="G102" i="85"/>
  <c r="V124" i="85"/>
  <c r="U124" i="85"/>
  <c r="Z7" i="85"/>
  <c r="Y124" i="85"/>
  <c r="AA7" i="85"/>
  <c r="Y58" i="85"/>
  <c r="T132" i="85"/>
  <c r="U37" i="85"/>
  <c r="Z36" i="85"/>
  <c r="W124" i="85"/>
  <c r="E13" i="20"/>
  <c r="L13" i="20" s="1"/>
  <c r="L14" i="20"/>
  <c r="E34" i="17"/>
  <c r="E36" i="17" s="1"/>
  <c r="L20" i="21"/>
  <c r="AN56" i="85" s="1"/>
  <c r="AT12" i="67"/>
  <c r="L16" i="17"/>
  <c r="AT12" i="85" s="1"/>
  <c r="AS12" i="67"/>
  <c r="K16" i="17"/>
  <c r="AS12" i="85" s="1"/>
  <c r="AV12" i="67"/>
  <c r="N16" i="17"/>
  <c r="AV12" i="85" s="1"/>
  <c r="F20" i="21"/>
  <c r="F34" i="17" s="1"/>
  <c r="K63" i="49"/>
  <c r="G13" i="20"/>
  <c r="N13" i="20" s="1"/>
  <c r="N14" i="20"/>
  <c r="AD7" i="67"/>
  <c r="I22" i="47"/>
  <c r="AD7" i="85" s="1"/>
  <c r="F63" i="49"/>
  <c r="L52" i="49"/>
  <c r="AO29" i="85" s="1"/>
  <c r="AO34" i="85" s="1"/>
  <c r="J27" i="47"/>
  <c r="D13" i="20"/>
  <c r="K13" i="20" s="1"/>
  <c r="K14" i="20"/>
  <c r="H16" i="20"/>
  <c r="O16" i="20" s="1"/>
  <c r="O17" i="20"/>
  <c r="L66" i="49"/>
  <c r="AO37" i="85" s="1"/>
  <c r="B21" i="47"/>
  <c r="AW18" i="67"/>
  <c r="O24" i="17"/>
  <c r="AW18" i="85" s="1"/>
  <c r="B39" i="47"/>
  <c r="I39" i="47" s="1"/>
  <c r="L27" i="47"/>
  <c r="G27" i="20"/>
  <c r="D36" i="17"/>
  <c r="F132" i="1" s="1"/>
  <c r="K34" i="17"/>
  <c r="AS23" i="85" s="1"/>
  <c r="AS26" i="85" s="1"/>
  <c r="AI106" i="73"/>
  <c r="BX88" i="73"/>
  <c r="V106" i="73"/>
  <c r="BQ88" i="73"/>
  <c r="P106" i="73"/>
  <c r="BN88" i="73"/>
  <c r="R106" i="73"/>
  <c r="BO88" i="73"/>
  <c r="BR91" i="53"/>
  <c r="Q95" i="73"/>
  <c r="BO95" i="73" s="1"/>
  <c r="BS95" i="53"/>
  <c r="DF55" i="53"/>
  <c r="DB55" i="53"/>
  <c r="BJ95" i="53"/>
  <c r="Q91" i="73"/>
  <c r="BO91" i="73" s="1"/>
  <c r="BS91" i="53"/>
  <c r="U91" i="73"/>
  <c r="BQ91" i="73" s="1"/>
  <c r="BU91" i="53"/>
  <c r="U95" i="73"/>
  <c r="BQ95" i="73" s="1"/>
  <c r="BU95" i="53"/>
  <c r="DE88" i="53"/>
  <c r="BC95" i="53"/>
  <c r="DE95" i="53" s="1"/>
  <c r="BC91" i="53"/>
  <c r="CZ55" i="53"/>
  <c r="CY88" i="53"/>
  <c r="AW91" i="53"/>
  <c r="AW95" i="53"/>
  <c r="CY95" i="53" s="1"/>
  <c r="AH95" i="73"/>
  <c r="BX95" i="73" s="1"/>
  <c r="CC95" i="53"/>
  <c r="DH55" i="53"/>
  <c r="AM85" i="50"/>
  <c r="BY85" i="50" s="1"/>
  <c r="G87" i="85" s="1"/>
  <c r="G105" i="85" s="1"/>
  <c r="AD285" i="50"/>
  <c r="BP285" i="50" s="1"/>
  <c r="BP283" i="50"/>
  <c r="F87" i="67"/>
  <c r="BX85" i="50"/>
  <c r="F87" i="85" s="1"/>
  <c r="F105" i="85" s="1"/>
  <c r="AK285" i="50"/>
  <c r="BW285" i="50" s="1"/>
  <c r="E28" i="2"/>
  <c r="U85" i="1"/>
  <c r="O91" i="73"/>
  <c r="BN91" i="73" s="1"/>
  <c r="P91" i="73"/>
  <c r="O95" i="73"/>
  <c r="BN95" i="73" s="1"/>
  <c r="R95" i="53"/>
  <c r="Q95" i="53"/>
  <c r="BW95" i="53" s="1"/>
  <c r="R91" i="53"/>
  <c r="Q91" i="53"/>
  <c r="BW91" i="53" s="1"/>
  <c r="AO10" i="50"/>
  <c r="AO29" i="67"/>
  <c r="AO34" i="67" s="1"/>
  <c r="AI91" i="73"/>
  <c r="V95" i="73"/>
  <c r="G52" i="49"/>
  <c r="G60" i="67"/>
  <c r="AH91" i="73"/>
  <c r="BX91" i="73" s="1"/>
  <c r="AI95" i="73"/>
  <c r="P95" i="73"/>
  <c r="AN56" i="67"/>
  <c r="V91" i="73"/>
  <c r="AS23" i="67"/>
  <c r="AS26" i="67" s="1"/>
  <c r="W124" i="67"/>
  <c r="Y58" i="67"/>
  <c r="Z7" i="67"/>
  <c r="U124" i="67"/>
  <c r="U37" i="67"/>
  <c r="Z36" i="67"/>
  <c r="AO37" i="67"/>
  <c r="AM280" i="50"/>
  <c r="BY280" i="50" s="1"/>
  <c r="G84" i="67"/>
  <c r="AE283" i="50"/>
  <c r="F63" i="67"/>
  <c r="AF283" i="50"/>
  <c r="BR283" i="50" s="1"/>
  <c r="G63" i="67"/>
  <c r="C93" i="53"/>
  <c r="AL285" i="50"/>
  <c r="BX285" i="50" s="1"/>
  <c r="R91" i="73"/>
  <c r="R95" i="73"/>
  <c r="AF280" i="50"/>
  <c r="BR280" i="50" s="1"/>
  <c r="C95" i="73"/>
  <c r="BG95" i="73" s="1"/>
  <c r="C91" i="73"/>
  <c r="BG91" i="73" s="1"/>
  <c r="G66" i="49"/>
  <c r="M66" i="49" s="1"/>
  <c r="AP37" i="85" s="1"/>
  <c r="O26" i="20" l="1"/>
  <c r="E48" i="49"/>
  <c r="K48" i="49" s="1"/>
  <c r="AN25" i="85" s="1"/>
  <c r="AN26" i="85" s="1"/>
  <c r="M26" i="20"/>
  <c r="D48" i="49"/>
  <c r="J48" i="49" s="1"/>
  <c r="AM25" i="85" s="1"/>
  <c r="AM26" i="85" s="1"/>
  <c r="AN17" i="67"/>
  <c r="AN18" i="67" s="1"/>
  <c r="F105" i="67"/>
  <c r="AM283" i="50"/>
  <c r="BY283" i="50" s="1"/>
  <c r="H27" i="20"/>
  <c r="G48" i="49" s="1"/>
  <c r="E26" i="20"/>
  <c r="L26" i="20" s="1"/>
  <c r="AB23" i="78"/>
  <c r="AB23" i="83"/>
  <c r="Z124" i="85"/>
  <c r="E35" i="49"/>
  <c r="F18" i="21" s="1"/>
  <c r="AA124" i="85"/>
  <c r="AD9" i="85"/>
  <c r="AD11" i="85" s="1"/>
  <c r="AD10" i="85"/>
  <c r="AD14" i="85" s="1"/>
  <c r="G87" i="67"/>
  <c r="G105" i="67" s="1"/>
  <c r="AP29" i="67"/>
  <c r="AP34" i="67" s="1"/>
  <c r="M52" i="49"/>
  <c r="AP29" i="85" s="1"/>
  <c r="AP34" i="85" s="1"/>
  <c r="G132" i="1"/>
  <c r="G44" i="2" s="1"/>
  <c r="L36" i="17"/>
  <c r="AP17" i="67"/>
  <c r="AP18" i="67" s="1"/>
  <c r="AO56" i="67"/>
  <c r="M20" i="21"/>
  <c r="AO56" i="85" s="1"/>
  <c r="AT23" i="67"/>
  <c r="AT26" i="67" s="1"/>
  <c r="L34" i="17"/>
  <c r="AT23" i="85" s="1"/>
  <c r="AT26" i="85" s="1"/>
  <c r="F36" i="17"/>
  <c r="H132" i="1" s="1"/>
  <c r="M34" i="17"/>
  <c r="AU23" i="85" s="1"/>
  <c r="AU26" i="85" s="1"/>
  <c r="G35" i="49"/>
  <c r="G26" i="20"/>
  <c r="D19" i="22"/>
  <c r="K36" i="17"/>
  <c r="G20" i="21"/>
  <c r="L63" i="49"/>
  <c r="D26" i="20"/>
  <c r="B40" i="47"/>
  <c r="I21" i="47"/>
  <c r="AD9" i="67"/>
  <c r="AD11" i="67" s="1"/>
  <c r="AD10" i="67"/>
  <c r="AD14" i="67" s="1"/>
  <c r="F48" i="49"/>
  <c r="N27" i="20"/>
  <c r="T18" i="67"/>
  <c r="T135" i="67" s="1"/>
  <c r="BJ93" i="53"/>
  <c r="T18" i="85" s="1"/>
  <c r="T135" i="85" s="1"/>
  <c r="BC93" i="53"/>
  <c r="DE93" i="53" s="1"/>
  <c r="DE91" i="53"/>
  <c r="AW93" i="53"/>
  <c r="CY93" i="53" s="1"/>
  <c r="CY91" i="53"/>
  <c r="AE285" i="50"/>
  <c r="BQ285" i="50" s="1"/>
  <c r="BQ283" i="50"/>
  <c r="F44" i="2"/>
  <c r="V132" i="1"/>
  <c r="G102" i="67"/>
  <c r="G63" i="49"/>
  <c r="C93" i="73"/>
  <c r="BG93" i="73" s="1"/>
  <c r="Z124" i="67"/>
  <c r="AU23" i="67"/>
  <c r="AU26" i="67" s="1"/>
  <c r="AF285" i="50"/>
  <c r="BR285" i="50" s="1"/>
  <c r="AP37" i="67"/>
  <c r="E19" i="22"/>
  <c r="B10" i="48"/>
  <c r="E49" i="49" l="1"/>
  <c r="F19" i="21" s="1"/>
  <c r="AN25" i="67"/>
  <c r="AN26" i="67" s="1"/>
  <c r="AO54" i="67"/>
  <c r="O27" i="20"/>
  <c r="D49" i="49"/>
  <c r="AM25" i="67"/>
  <c r="AM26" i="67" s="1"/>
  <c r="AM285" i="50"/>
  <c r="BY285" i="50" s="1"/>
  <c r="K35" i="49"/>
  <c r="D34" i="49"/>
  <c r="AM17" i="67" s="1"/>
  <c r="AM18" i="67" s="1"/>
  <c r="W132" i="1"/>
  <c r="M48" i="49"/>
  <c r="AP25" i="85" s="1"/>
  <c r="AP26" i="85" s="1"/>
  <c r="G49" i="49"/>
  <c r="M49" i="49" s="1"/>
  <c r="AP25" i="67"/>
  <c r="AP26" i="67" s="1"/>
  <c r="AD41" i="78"/>
  <c r="AD41" i="83"/>
  <c r="Q44" i="2"/>
  <c r="AC41" i="83"/>
  <c r="H18" i="21"/>
  <c r="M35" i="49"/>
  <c r="B43" i="47"/>
  <c r="I43" i="47" s="1"/>
  <c r="I40" i="47"/>
  <c r="AL15" i="79"/>
  <c r="J19" i="22"/>
  <c r="AL15" i="84" s="1"/>
  <c r="F34" i="49"/>
  <c r="N26" i="20"/>
  <c r="F19" i="22"/>
  <c r="M36" i="17"/>
  <c r="C34" i="49"/>
  <c r="K26" i="20"/>
  <c r="F15" i="17"/>
  <c r="M18" i="21"/>
  <c r="AO54" i="85" s="1"/>
  <c r="G34" i="17"/>
  <c r="N20" i="21"/>
  <c r="AP56" i="85" s="1"/>
  <c r="AP56" i="67"/>
  <c r="H20" i="21"/>
  <c r="AQ56" i="67" s="1"/>
  <c r="M63" i="49"/>
  <c r="L48" i="49"/>
  <c r="AO25" i="85" s="1"/>
  <c r="AO26" i="85" s="1"/>
  <c r="F49" i="49"/>
  <c r="AO25" i="67"/>
  <c r="AO26" i="67" s="1"/>
  <c r="B9" i="48"/>
  <c r="I9" i="48" s="1"/>
  <c r="I10" i="48"/>
  <c r="AC41" i="78"/>
  <c r="R44" i="2"/>
  <c r="H44" i="2"/>
  <c r="X132" i="1"/>
  <c r="AM15" i="79"/>
  <c r="K19" i="22"/>
  <c r="AM15" i="84" s="1"/>
  <c r="K49" i="49" l="1"/>
  <c r="H19" i="21"/>
  <c r="J49" i="49"/>
  <c r="E19" i="21"/>
  <c r="J34" i="49"/>
  <c r="AM17" i="85" s="1"/>
  <c r="AM18" i="85" s="1"/>
  <c r="D35" i="49"/>
  <c r="AT47" i="84"/>
  <c r="AN47" i="84" s="1"/>
  <c r="AT47" i="79"/>
  <c r="AN47" i="79" s="1"/>
  <c r="B42" i="48"/>
  <c r="I42" i="48" s="1"/>
  <c r="S44" i="2"/>
  <c r="AE41" i="83"/>
  <c r="B8" i="48"/>
  <c r="I8" i="48" s="1"/>
  <c r="G19" i="21"/>
  <c r="L49" i="49"/>
  <c r="L34" i="49"/>
  <c r="AO17" i="85" s="1"/>
  <c r="AO18" i="85" s="1"/>
  <c r="F35" i="49"/>
  <c r="AO17" i="67"/>
  <c r="AO18" i="67" s="1"/>
  <c r="H34" i="17"/>
  <c r="O20" i="21"/>
  <c r="AQ56" i="85" s="1"/>
  <c r="G36" i="17"/>
  <c r="N34" i="17"/>
  <c r="AV23" i="85" s="1"/>
  <c r="AV26" i="85" s="1"/>
  <c r="AV23" i="67"/>
  <c r="AV26" i="67" s="1"/>
  <c r="AO55" i="67"/>
  <c r="M19" i="21"/>
  <c r="AO55" i="85" s="1"/>
  <c r="F23" i="17"/>
  <c r="I34" i="49"/>
  <c r="AL17" i="85" s="1"/>
  <c r="AL18" i="85" s="1"/>
  <c r="C35" i="49"/>
  <c r="AL17" i="67"/>
  <c r="AL18" i="67" s="1"/>
  <c r="F17" i="17"/>
  <c r="M15" i="17"/>
  <c r="AU11" i="85" s="1"/>
  <c r="AU14" i="85" s="1"/>
  <c r="AU11" i="67"/>
  <c r="AU14" i="67" s="1"/>
  <c r="L19" i="22"/>
  <c r="AN15" i="84" s="1"/>
  <c r="AN15" i="79"/>
  <c r="H15" i="17"/>
  <c r="O18" i="21"/>
  <c r="AQ54" i="85" s="1"/>
  <c r="AQ54" i="67"/>
  <c r="AE41" i="78"/>
  <c r="AQ55" i="67" l="1"/>
  <c r="O19" i="21"/>
  <c r="AQ55" i="85" s="1"/>
  <c r="H23" i="17"/>
  <c r="AV55" i="79" s="1"/>
  <c r="AP55" i="79" s="1"/>
  <c r="L19" i="21"/>
  <c r="AN55" i="85" s="1"/>
  <c r="AN55" i="67"/>
  <c r="E23" i="17"/>
  <c r="E18" i="21"/>
  <c r="J35" i="49"/>
  <c r="B43" i="48"/>
  <c r="I43" i="48" s="1"/>
  <c r="AT55" i="79"/>
  <c r="AN55" i="79" s="1"/>
  <c r="AT55" i="84"/>
  <c r="AN55" i="84" s="1"/>
  <c r="AV47" i="84"/>
  <c r="AP47" i="84" s="1"/>
  <c r="AV47" i="79"/>
  <c r="AP47" i="79" s="1"/>
  <c r="G19" i="22"/>
  <c r="N36" i="17"/>
  <c r="I132" i="1"/>
  <c r="AW11" i="67"/>
  <c r="AW14" i="67" s="1"/>
  <c r="O15" i="17"/>
  <c r="AW11" i="85" s="1"/>
  <c r="AW14" i="85" s="1"/>
  <c r="H17" i="17"/>
  <c r="D18" i="21"/>
  <c r="I35" i="49"/>
  <c r="F12" i="22"/>
  <c r="M17" i="17"/>
  <c r="H86" i="1"/>
  <c r="F25" i="17"/>
  <c r="M23" i="17"/>
  <c r="AU17" i="85" s="1"/>
  <c r="AU20" i="85" s="1"/>
  <c r="AU17" i="67"/>
  <c r="AU20" i="67" s="1"/>
  <c r="G18" i="21"/>
  <c r="L35" i="49"/>
  <c r="AW23" i="67"/>
  <c r="AW26" i="67" s="1"/>
  <c r="O34" i="17"/>
  <c r="AW23" i="85" s="1"/>
  <c r="AW26" i="85" s="1"/>
  <c r="H36" i="17"/>
  <c r="N19" i="21"/>
  <c r="AP55" i="85" s="1"/>
  <c r="G23" i="17"/>
  <c r="AP55" i="67"/>
  <c r="O23" i="17" l="1"/>
  <c r="AW17" i="85" s="1"/>
  <c r="AW20" i="85" s="1"/>
  <c r="H25" i="17"/>
  <c r="O25" i="17" s="1"/>
  <c r="AV55" i="84"/>
  <c r="AP55" i="84" s="1"/>
  <c r="AW17" i="67"/>
  <c r="AW20" i="67" s="1"/>
  <c r="E25" i="17"/>
  <c r="AS55" i="84"/>
  <c r="AM55" i="84" s="1"/>
  <c r="L23" i="17"/>
  <c r="AT17" i="85" s="1"/>
  <c r="AT20" i="85" s="1"/>
  <c r="AT17" i="67"/>
  <c r="AT20" i="67" s="1"/>
  <c r="AS55" i="79"/>
  <c r="AM55" i="79" s="1"/>
  <c r="B44" i="48"/>
  <c r="I44" i="48" s="1"/>
  <c r="L18" i="21"/>
  <c r="AN54" i="85" s="1"/>
  <c r="AN54" i="67"/>
  <c r="E15" i="17"/>
  <c r="AU55" i="79"/>
  <c r="AO55" i="79" s="1"/>
  <c r="AU55" i="84"/>
  <c r="AO55" i="84" s="1"/>
  <c r="AN7" i="79"/>
  <c r="AT41" i="79" s="1"/>
  <c r="AN41" i="79" s="1"/>
  <c r="AN60" i="79" s="1"/>
  <c r="L12" i="22"/>
  <c r="AN7" i="84" s="1"/>
  <c r="G9" i="16"/>
  <c r="P9" i="16" s="1"/>
  <c r="H19" i="22"/>
  <c r="O36" i="17"/>
  <c r="J132" i="1"/>
  <c r="Y132" i="1"/>
  <c r="I44" i="2"/>
  <c r="AF41" i="83" s="1"/>
  <c r="F14" i="22"/>
  <c r="M25" i="17"/>
  <c r="H88" i="1"/>
  <c r="M19" i="22"/>
  <c r="AO15" i="84" s="1"/>
  <c r="AO15" i="79"/>
  <c r="D15" i="17"/>
  <c r="K18" i="21"/>
  <c r="AM54" i="85" s="1"/>
  <c r="AM54" i="67"/>
  <c r="N23" i="17"/>
  <c r="AV17" i="85" s="1"/>
  <c r="AV20" i="85" s="1"/>
  <c r="AV17" i="67"/>
  <c r="AV20" i="67" s="1"/>
  <c r="G25" i="17"/>
  <c r="G15" i="17"/>
  <c r="N18" i="21"/>
  <c r="AP54" i="85" s="1"/>
  <c r="AP54" i="67"/>
  <c r="X86" i="1"/>
  <c r="H29" i="2"/>
  <c r="H12" i="22"/>
  <c r="O17" i="17"/>
  <c r="J86" i="1"/>
  <c r="H14" i="22" l="1"/>
  <c r="J88" i="1"/>
  <c r="Z88" i="1" s="1"/>
  <c r="B46" i="48"/>
  <c r="I46" i="48" s="1"/>
  <c r="AD18" i="85" s="1"/>
  <c r="L25" i="17"/>
  <c r="E14" i="22"/>
  <c r="G88" i="1"/>
  <c r="AS47" i="79"/>
  <c r="AM47" i="79" s="1"/>
  <c r="AT11" i="67"/>
  <c r="AT14" i="67" s="1"/>
  <c r="L15" i="17"/>
  <c r="AT11" i="85" s="1"/>
  <c r="AT14" i="85" s="1"/>
  <c r="AS47" i="84"/>
  <c r="AM47" i="84" s="1"/>
  <c r="E17" i="17"/>
  <c r="AR47" i="84"/>
  <c r="AL47" i="84" s="1"/>
  <c r="AR47" i="79"/>
  <c r="AL47" i="79" s="1"/>
  <c r="AU47" i="84"/>
  <c r="AO47" i="84" s="1"/>
  <c r="AU47" i="79"/>
  <c r="AO47" i="79" s="1"/>
  <c r="AT41" i="84"/>
  <c r="AN41" i="84" s="1"/>
  <c r="AN60" i="84" s="1"/>
  <c r="AE24" i="78"/>
  <c r="AE24" i="83"/>
  <c r="N25" i="17"/>
  <c r="I88" i="1"/>
  <c r="G14" i="22"/>
  <c r="F18" i="22"/>
  <c r="AN9" i="79"/>
  <c r="AT49" i="79" s="1"/>
  <c r="AN49" i="79" s="1"/>
  <c r="AN61" i="79" s="1"/>
  <c r="F17" i="22"/>
  <c r="L14" i="22"/>
  <c r="AN9" i="84" s="1"/>
  <c r="AT49" i="84" s="1"/>
  <c r="AN49" i="84" s="1"/>
  <c r="AN61" i="84" s="1"/>
  <c r="F16" i="22"/>
  <c r="G10" i="16"/>
  <c r="P10" i="16" s="1"/>
  <c r="I9" i="16"/>
  <c r="R9" i="16" s="1"/>
  <c r="AP7" i="79"/>
  <c r="AV41" i="79" s="1"/>
  <c r="AP41" i="79" s="1"/>
  <c r="AP60" i="79" s="1"/>
  <c r="N12" i="22"/>
  <c r="AP7" i="84" s="1"/>
  <c r="AV41" i="84" s="1"/>
  <c r="AP41" i="84" s="1"/>
  <c r="AP60" i="84" s="1"/>
  <c r="AF41" i="78"/>
  <c r="T44" i="2"/>
  <c r="AP15" i="79"/>
  <c r="N19" i="22"/>
  <c r="AP15" i="84" s="1"/>
  <c r="AS11" i="67"/>
  <c r="AS14" i="67" s="1"/>
  <c r="K15" i="17"/>
  <c r="AS11" i="85" s="1"/>
  <c r="AS14" i="85" s="1"/>
  <c r="D17" i="17"/>
  <c r="X88" i="1"/>
  <c r="H30" i="2"/>
  <c r="AE25" i="83" s="1"/>
  <c r="H17" i="22"/>
  <c r="Z86" i="1"/>
  <c r="J29" i="2"/>
  <c r="AG24" i="83" s="1"/>
  <c r="AV11" i="67"/>
  <c r="AV14" i="67" s="1"/>
  <c r="N15" i="17"/>
  <c r="AV11" i="85" s="1"/>
  <c r="AV14" i="85" s="1"/>
  <c r="G17" i="17"/>
  <c r="J44" i="2"/>
  <c r="AG41" i="83" s="1"/>
  <c r="Z132" i="1"/>
  <c r="AD18" i="67" l="1"/>
  <c r="N14" i="22"/>
  <c r="AP9" i="84" s="1"/>
  <c r="AV49" i="84" s="1"/>
  <c r="AP49" i="84" s="1"/>
  <c r="AP61" i="84" s="1"/>
  <c r="H16" i="22"/>
  <c r="H18" i="22"/>
  <c r="AP9" i="79"/>
  <c r="AV49" i="79" s="1"/>
  <c r="AP49" i="79" s="1"/>
  <c r="AP61" i="79" s="1"/>
  <c r="I10" i="16"/>
  <c r="R10" i="16" s="1"/>
  <c r="J30" i="2"/>
  <c r="AG25" i="83" s="1"/>
  <c r="W88" i="1"/>
  <c r="G30" i="2"/>
  <c r="S30" i="2" s="1"/>
  <c r="K14" i="22"/>
  <c r="AM9" i="84" s="1"/>
  <c r="AS49" i="84" s="1"/>
  <c r="AM49" i="84" s="1"/>
  <c r="AM61" i="84" s="1"/>
  <c r="E18" i="22"/>
  <c r="AM9" i="79"/>
  <c r="AS49" i="79" s="1"/>
  <c r="AM49" i="79" s="1"/>
  <c r="AM61" i="79" s="1"/>
  <c r="E16" i="22"/>
  <c r="E17" i="22"/>
  <c r="F10" i="16"/>
  <c r="O10" i="16" s="1"/>
  <c r="E12" i="22"/>
  <c r="L17" i="17"/>
  <c r="G86" i="1"/>
  <c r="AG24" i="78"/>
  <c r="V29" i="2"/>
  <c r="AN13" i="79"/>
  <c r="L18" i="22"/>
  <c r="AN13" i="84" s="1"/>
  <c r="AE25" i="78"/>
  <c r="D12" i="22"/>
  <c r="K17" i="17"/>
  <c r="F86" i="1"/>
  <c r="U44" i="2"/>
  <c r="AG41" i="78"/>
  <c r="AP13" i="79"/>
  <c r="N18" i="22"/>
  <c r="AP13" i="84" s="1"/>
  <c r="AN11" i="79"/>
  <c r="L16" i="22"/>
  <c r="AN11" i="84" s="1"/>
  <c r="M14" i="22"/>
  <c r="AO9" i="84" s="1"/>
  <c r="AU49" i="84" s="1"/>
  <c r="AO49" i="84" s="1"/>
  <c r="AO61" i="84" s="1"/>
  <c r="G16" i="22"/>
  <c r="G17" i="22"/>
  <c r="H10" i="16"/>
  <c r="Q10" i="16" s="1"/>
  <c r="G18" i="22"/>
  <c r="AO9" i="79"/>
  <c r="AU49" i="79" s="1"/>
  <c r="AO49" i="79" s="1"/>
  <c r="AO61" i="79" s="1"/>
  <c r="AP12" i="79"/>
  <c r="N17" i="22"/>
  <c r="AP12" i="84" s="1"/>
  <c r="I86" i="1"/>
  <c r="N17" i="17"/>
  <c r="G12" i="22"/>
  <c r="AP11" i="79"/>
  <c r="Y88" i="1"/>
  <c r="I30" i="2"/>
  <c r="AF25" i="83" s="1"/>
  <c r="AN12" i="79"/>
  <c r="L17" i="22"/>
  <c r="AN12" i="84" s="1"/>
  <c r="N16" i="22" l="1"/>
  <c r="AP11" i="84" s="1"/>
  <c r="AG25" i="78"/>
  <c r="V30" i="2"/>
  <c r="K18" i="22"/>
  <c r="AM13" i="84" s="1"/>
  <c r="AM13" i="79"/>
  <c r="K17" i="22"/>
  <c r="AM12" i="84" s="1"/>
  <c r="AM12" i="79"/>
  <c r="AM11" i="79"/>
  <c r="K16" i="22"/>
  <c r="AM11" i="84" s="1"/>
  <c r="AD25" i="83"/>
  <c r="AD25" i="78"/>
  <c r="W86" i="1"/>
  <c r="G29" i="2"/>
  <c r="F9" i="16"/>
  <c r="O9" i="16" s="1"/>
  <c r="K12" i="22"/>
  <c r="AM7" i="84" s="1"/>
  <c r="AS41" i="84" s="1"/>
  <c r="AM41" i="84" s="1"/>
  <c r="AM60" i="84" s="1"/>
  <c r="AM7" i="79"/>
  <c r="AS41" i="79" s="1"/>
  <c r="AM41" i="79" s="1"/>
  <c r="AM60" i="79" s="1"/>
  <c r="V86" i="1"/>
  <c r="F29" i="2"/>
  <c r="AC24" i="83" s="1"/>
  <c r="AF25" i="78"/>
  <c r="T30" i="2"/>
  <c r="E9" i="16"/>
  <c r="N9" i="16" s="1"/>
  <c r="AL7" i="79"/>
  <c r="AR41" i="79" s="1"/>
  <c r="AL41" i="79" s="1"/>
  <c r="AL60" i="79" s="1"/>
  <c r="J12" i="22"/>
  <c r="AL7" i="84" s="1"/>
  <c r="AR41" i="84" s="1"/>
  <c r="AL41" i="84" s="1"/>
  <c r="AL60" i="84" s="1"/>
  <c r="AO13" i="79"/>
  <c r="M18" i="22"/>
  <c r="AO13" i="84" s="1"/>
  <c r="U30" i="2"/>
  <c r="H9" i="16"/>
  <c r="M12" i="22"/>
  <c r="AO7" i="84" s="1"/>
  <c r="AO7" i="79"/>
  <c r="AO12" i="79"/>
  <c r="M17" i="22"/>
  <c r="AO12" i="84" s="1"/>
  <c r="AO11" i="79"/>
  <c r="M16" i="22"/>
  <c r="AO11" i="84" s="1"/>
  <c r="Y86" i="1"/>
  <c r="I29" i="2"/>
  <c r="AF24" i="83" s="1"/>
  <c r="AD24" i="83" l="1"/>
  <c r="S29" i="2"/>
  <c r="AD24" i="78"/>
  <c r="AU41" i="79"/>
  <c r="AO41" i="79" s="1"/>
  <c r="AO60" i="79" s="1"/>
  <c r="AU41" i="84"/>
  <c r="AO41" i="84" s="1"/>
  <c r="AO60" i="84" s="1"/>
  <c r="Q9" i="16"/>
  <c r="Q29" i="2"/>
  <c r="AC24" i="78"/>
  <c r="R29" i="2"/>
  <c r="AF24" i="78"/>
  <c r="T29" i="2"/>
  <c r="U29" i="2"/>
  <c r="CM13" i="53" l="1"/>
  <c r="AP13" i="53"/>
  <c r="AO13" i="53"/>
  <c r="CR13" i="53" s="1"/>
  <c r="AW13" i="73"/>
  <c r="AV13" i="73"/>
  <c r="CF13" i="73" s="1"/>
  <c r="AJ12" i="53"/>
  <c r="CN13" i="53" l="1"/>
  <c r="AY13" i="73"/>
  <c r="AX13" i="73"/>
  <c r="CG13" i="73" s="1"/>
  <c r="AK12" i="53"/>
  <c r="CM12" i="53"/>
  <c r="AO12" i="53"/>
  <c r="CR12" i="53" s="1"/>
  <c r="AW12" i="73"/>
  <c r="AP12" i="53"/>
  <c r="AV12" i="73"/>
  <c r="CF12" i="73" s="1"/>
  <c r="AJ11" i="53"/>
  <c r="AJ89" i="53"/>
  <c r="CM89" i="53" l="1"/>
  <c r="U118" i="85" s="1"/>
  <c r="Z118" i="85" s="1"/>
  <c r="AP89" i="53"/>
  <c r="AO89" i="53"/>
  <c r="CR89" i="53" s="1"/>
  <c r="AV89" i="73"/>
  <c r="CF89" i="73" s="1"/>
  <c r="U118" i="67"/>
  <c r="Z118" i="67" s="1"/>
  <c r="AW89" i="73"/>
  <c r="CM11" i="53"/>
  <c r="U102" i="85" s="1"/>
  <c r="AW11" i="73"/>
  <c r="U102" i="67"/>
  <c r="AP11" i="53"/>
  <c r="AV11" i="73"/>
  <c r="CF11" i="73" s="1"/>
  <c r="AO11" i="53"/>
  <c r="CR11" i="53" s="1"/>
  <c r="CO13" i="53"/>
  <c r="BA13" i="73"/>
  <c r="AZ13" i="73"/>
  <c r="CH13" i="73" s="1"/>
  <c r="AL12" i="53"/>
  <c r="CN12" i="53"/>
  <c r="AX12" i="73"/>
  <c r="CG12" i="73" s="1"/>
  <c r="AY12" i="73"/>
  <c r="AK11" i="53"/>
  <c r="AK89" i="53"/>
  <c r="V118" i="67" l="1"/>
  <c r="AX89" i="73"/>
  <c r="CG89" i="73" s="1"/>
  <c r="CN89" i="53"/>
  <c r="V118" i="85" s="1"/>
  <c r="AY89" i="73"/>
  <c r="Z102" i="85"/>
  <c r="CN11" i="53"/>
  <c r="V102" i="85" s="1"/>
  <c r="V112" i="85" s="1"/>
  <c r="V113" i="85" s="1"/>
  <c r="AX11" i="73"/>
  <c r="CG11" i="73" s="1"/>
  <c r="AY11" i="73"/>
  <c r="V102" i="67"/>
  <c r="V112" i="67" s="1"/>
  <c r="V113" i="67" s="1"/>
  <c r="AK88" i="53"/>
  <c r="CP13" i="53"/>
  <c r="BC13" i="73"/>
  <c r="BB13" i="73"/>
  <c r="CI13" i="73" s="1"/>
  <c r="AM12" i="53"/>
  <c r="CO12" i="53"/>
  <c r="BA12" i="73"/>
  <c r="AZ12" i="73"/>
  <c r="CH12" i="73" s="1"/>
  <c r="AL89" i="53"/>
  <c r="AL11" i="53"/>
  <c r="Z102" i="67"/>
  <c r="CQ13" i="53"/>
  <c r="BE13" i="73"/>
  <c r="BD13" i="73"/>
  <c r="CJ13" i="73" s="1"/>
  <c r="AN12" i="53"/>
  <c r="W102" i="67" l="1"/>
  <c r="W112" i="67" s="1"/>
  <c r="W113" i="67" s="1"/>
  <c r="CO11" i="53"/>
  <c r="W102" i="85" s="1"/>
  <c r="W112" i="85" s="1"/>
  <c r="W113" i="85" s="1"/>
  <c r="AZ11" i="73"/>
  <c r="CH11" i="73" s="1"/>
  <c r="BA11" i="73"/>
  <c r="AL88" i="53"/>
  <c r="W118" i="67"/>
  <c r="CO89" i="53"/>
  <c r="W118" i="85" s="1"/>
  <c r="BA89" i="73"/>
  <c r="AZ89" i="73"/>
  <c r="CH89" i="73" s="1"/>
  <c r="CP12" i="53"/>
  <c r="BB12" i="73"/>
  <c r="CI12" i="73" s="1"/>
  <c r="BC12" i="73"/>
  <c r="AM89" i="53"/>
  <c r="AM11" i="53"/>
  <c r="CQ12" i="53"/>
  <c r="BE12" i="73"/>
  <c r="BD12" i="73"/>
  <c r="CJ12" i="73" s="1"/>
  <c r="AN11" i="53"/>
  <c r="AN89" i="53"/>
  <c r="CN88" i="53"/>
  <c r="AY88" i="73"/>
  <c r="AK91" i="53"/>
  <c r="E23" i="20"/>
  <c r="AX88" i="73"/>
  <c r="CG88" i="73" s="1"/>
  <c r="E41" i="17"/>
  <c r="AK95" i="53"/>
  <c r="L23" i="20" l="1"/>
  <c r="E22" i="20"/>
  <c r="CN95" i="53"/>
  <c r="AX95" i="73"/>
  <c r="CG95" i="73" s="1"/>
  <c r="AY95" i="73"/>
  <c r="AY91" i="73"/>
  <c r="CN91" i="53"/>
  <c r="AX91" i="73"/>
  <c r="CG91" i="73" s="1"/>
  <c r="BE89" i="73"/>
  <c r="Y118" i="67"/>
  <c r="AA118" i="67" s="1"/>
  <c r="CQ89" i="53"/>
  <c r="Y118" i="85" s="1"/>
  <c r="AA118" i="85" s="1"/>
  <c r="BD89" i="73"/>
  <c r="CJ89" i="73" s="1"/>
  <c r="CO88" i="53"/>
  <c r="BA88" i="73"/>
  <c r="AL91" i="53"/>
  <c r="AZ88" i="73"/>
  <c r="CH88" i="73" s="1"/>
  <c r="F23" i="20"/>
  <c r="AL95" i="53"/>
  <c r="F41" i="17"/>
  <c r="AT30" i="67"/>
  <c r="L41" i="17"/>
  <c r="AT30" i="85" s="1"/>
  <c r="Y102" i="67"/>
  <c r="CQ11" i="53"/>
  <c r="Y102" i="85" s="1"/>
  <c r="BE11" i="73"/>
  <c r="BD11" i="73"/>
  <c r="CJ11" i="73" s="1"/>
  <c r="AN88" i="53"/>
  <c r="CP11" i="53"/>
  <c r="X102" i="85" s="1"/>
  <c r="X112" i="85" s="1"/>
  <c r="X113" i="85" s="1"/>
  <c r="BC11" i="73"/>
  <c r="BB11" i="73"/>
  <c r="CI11" i="73" s="1"/>
  <c r="X102" i="67"/>
  <c r="X112" i="67" s="1"/>
  <c r="X113" i="67" s="1"/>
  <c r="AM88" i="53"/>
  <c r="CP89" i="53"/>
  <c r="X118" i="85" s="1"/>
  <c r="BB89" i="73"/>
  <c r="CI89" i="73" s="1"/>
  <c r="BC89" i="73"/>
  <c r="X118" i="67"/>
  <c r="AU30" i="67" l="1"/>
  <c r="M41" i="17"/>
  <c r="AU30" i="85" s="1"/>
  <c r="BA91" i="73"/>
  <c r="CO91" i="53"/>
  <c r="AZ91" i="73"/>
  <c r="CH91" i="73" s="1"/>
  <c r="CP88" i="53"/>
  <c r="BB88" i="73"/>
  <c r="CI88" i="73" s="1"/>
  <c r="G23" i="20"/>
  <c r="BC88" i="73"/>
  <c r="AM95" i="53"/>
  <c r="G41" i="17"/>
  <c r="AM91" i="53"/>
  <c r="AA102" i="85"/>
  <c r="Y112" i="85"/>
  <c r="CO95" i="53"/>
  <c r="BA95" i="73"/>
  <c r="AZ95" i="73"/>
  <c r="CH95" i="73" s="1"/>
  <c r="CQ88" i="53"/>
  <c r="H23" i="20"/>
  <c r="BD88" i="73"/>
  <c r="CJ88" i="73" s="1"/>
  <c r="AN95" i="53"/>
  <c r="AN91" i="53"/>
  <c r="BE88" i="73"/>
  <c r="H41" i="17"/>
  <c r="AA102" i="67"/>
  <c r="Y112" i="67"/>
  <c r="F22" i="20"/>
  <c r="M23" i="20"/>
  <c r="L22" i="20"/>
  <c r="E29" i="20"/>
  <c r="L29" i="20" l="1"/>
  <c r="D76" i="49"/>
  <c r="O41" i="17"/>
  <c r="AW30" i="85" s="1"/>
  <c r="AW30" i="67"/>
  <c r="BC91" i="73"/>
  <c r="BB91" i="73"/>
  <c r="CI91" i="73" s="1"/>
  <c r="CP91" i="53"/>
  <c r="G22" i="20"/>
  <c r="N23" i="20"/>
  <c r="F29" i="20"/>
  <c r="M22" i="20"/>
  <c r="O23" i="20"/>
  <c r="H22" i="20"/>
  <c r="N41" i="17"/>
  <c r="AV30" i="85" s="1"/>
  <c r="AV30" i="67"/>
  <c r="Y113" i="67"/>
  <c r="AA112" i="67"/>
  <c r="BE91" i="73"/>
  <c r="CQ91" i="53"/>
  <c r="BD91" i="73"/>
  <c r="CJ91" i="73" s="1"/>
  <c r="AA112" i="85"/>
  <c r="Y113" i="85"/>
  <c r="CP95" i="53"/>
  <c r="BB95" i="73"/>
  <c r="CI95" i="73" s="1"/>
  <c r="BC95" i="73"/>
  <c r="CQ95" i="53"/>
  <c r="BE95" i="73"/>
  <c r="BD95" i="73"/>
  <c r="CJ95" i="73" s="1"/>
  <c r="O22" i="20" l="1"/>
  <c r="H29" i="20"/>
  <c r="AM41" i="67"/>
  <c r="AM42" i="67" s="1"/>
  <c r="J76" i="49"/>
  <c r="AM41" i="85" s="1"/>
  <c r="AM42" i="85" s="1"/>
  <c r="D77" i="49"/>
  <c r="BM13" i="53"/>
  <c r="AZ13" i="53"/>
  <c r="BF13" i="53"/>
  <c r="I13" i="73"/>
  <c r="H13" i="73"/>
  <c r="BJ13" i="73" s="1"/>
  <c r="F12" i="53"/>
  <c r="BN13" i="53"/>
  <c r="BA13" i="53"/>
  <c r="BG13" i="53"/>
  <c r="J13" i="73"/>
  <c r="BK13" i="73" s="1"/>
  <c r="K13" i="73"/>
  <c r="G12" i="53"/>
  <c r="N22" i="20"/>
  <c r="G29" i="20"/>
  <c r="BO13" i="53"/>
  <c r="BH13" i="53"/>
  <c r="BB13" i="53"/>
  <c r="M13" i="73"/>
  <c r="L13" i="73"/>
  <c r="BL13" i="73" s="1"/>
  <c r="H12" i="53"/>
  <c r="M29" i="20"/>
  <c r="E76" i="49"/>
  <c r="BK13" i="53"/>
  <c r="J13" i="53"/>
  <c r="I13" i="53"/>
  <c r="BP13" i="53" s="1"/>
  <c r="BD13" i="53"/>
  <c r="AX13" i="53"/>
  <c r="E13" i="73"/>
  <c r="D13" i="73"/>
  <c r="BH13" i="73" s="1"/>
  <c r="D12" i="53"/>
  <c r="BL13" i="53"/>
  <c r="AY13" i="53"/>
  <c r="BE13" i="53"/>
  <c r="F13" i="73"/>
  <c r="BI13" i="73" s="1"/>
  <c r="G13" i="73"/>
  <c r="E12" i="53"/>
  <c r="DD13" i="53" l="1"/>
  <c r="BB12" i="53"/>
  <c r="DH13" i="53"/>
  <c r="BF12" i="53"/>
  <c r="AN41" i="67"/>
  <c r="AN42" i="67" s="1"/>
  <c r="K76" i="49"/>
  <c r="AN41" i="85" s="1"/>
  <c r="AN42" i="85" s="1"/>
  <c r="E77" i="49"/>
  <c r="BO12" i="53"/>
  <c r="L12" i="73"/>
  <c r="BL12" i="73" s="1"/>
  <c r="M12" i="73"/>
  <c r="H89" i="53"/>
  <c r="H11" i="53"/>
  <c r="DJ13" i="53"/>
  <c r="BH12" i="53"/>
  <c r="N29" i="20"/>
  <c r="F76" i="49"/>
  <c r="BM12" i="53"/>
  <c r="I12" i="73"/>
  <c r="H12" i="73"/>
  <c r="BJ12" i="73" s="1"/>
  <c r="F11" i="53"/>
  <c r="F89" i="53"/>
  <c r="DB13" i="53"/>
  <c r="AZ12" i="53"/>
  <c r="J77" i="49"/>
  <c r="E21" i="21"/>
  <c r="DG13" i="53"/>
  <c r="BE12" i="53"/>
  <c r="CZ13" i="53"/>
  <c r="AX12" i="53"/>
  <c r="DI13" i="53"/>
  <c r="BG12" i="53"/>
  <c r="O29" i="20"/>
  <c r="G76" i="49"/>
  <c r="BL12" i="53"/>
  <c r="F12" i="73"/>
  <c r="BI12" i="73" s="1"/>
  <c r="G12" i="73"/>
  <c r="E11" i="53"/>
  <c r="E89" i="53"/>
  <c r="DA13" i="53"/>
  <c r="AY12" i="53"/>
  <c r="BK12" i="53"/>
  <c r="J12" i="53"/>
  <c r="D12" i="73"/>
  <c r="BH12" i="73" s="1"/>
  <c r="I12" i="53"/>
  <c r="BP12" i="53" s="1"/>
  <c r="E12" i="73"/>
  <c r="D89" i="53"/>
  <c r="D11" i="53"/>
  <c r="DF13" i="53"/>
  <c r="BD12" i="53"/>
  <c r="BN12" i="53"/>
  <c r="J12" i="73"/>
  <c r="BK12" i="73" s="1"/>
  <c r="K12" i="73"/>
  <c r="G89" i="53"/>
  <c r="G11" i="53"/>
  <c r="DC13" i="53"/>
  <c r="BA12" i="53"/>
  <c r="BK89" i="53" l="1"/>
  <c r="I89" i="53"/>
  <c r="BP89" i="53" s="1"/>
  <c r="D89" i="73"/>
  <c r="BH89" i="73" s="1"/>
  <c r="AR37" i="79"/>
  <c r="AL37" i="79" s="1"/>
  <c r="U21" i="67"/>
  <c r="J89" i="53"/>
  <c r="E89" i="73"/>
  <c r="D102" i="53"/>
  <c r="AS37" i="79"/>
  <c r="AM37" i="79" s="1"/>
  <c r="BL89" i="53"/>
  <c r="G89" i="73"/>
  <c r="E102" i="53"/>
  <c r="F89" i="73"/>
  <c r="BI89" i="73" s="1"/>
  <c r="V21" i="67"/>
  <c r="V138" i="67" s="1"/>
  <c r="CZ12" i="53"/>
  <c r="AX11" i="53"/>
  <c r="AX89" i="53"/>
  <c r="CZ89" i="53" s="1"/>
  <c r="BM11" i="53"/>
  <c r="W5" i="85" s="1"/>
  <c r="E23" i="47"/>
  <c r="I11" i="73"/>
  <c r="W5" i="67"/>
  <c r="H11" i="73"/>
  <c r="F88" i="53"/>
  <c r="AO41" i="67"/>
  <c r="AO42" i="67" s="1"/>
  <c r="L76" i="49"/>
  <c r="AO41" i="85" s="1"/>
  <c r="AO42" i="85" s="1"/>
  <c r="F77" i="49"/>
  <c r="BO11" i="53"/>
  <c r="Y5" i="85" s="1"/>
  <c r="M11" i="73"/>
  <c r="L11" i="73"/>
  <c r="BL11" i="73" s="1"/>
  <c r="G23" i="47"/>
  <c r="Y5" i="67"/>
  <c r="H88" i="53"/>
  <c r="BN11" i="53"/>
  <c r="X5" i="85" s="1"/>
  <c r="F23" i="47"/>
  <c r="J11" i="73"/>
  <c r="BK11" i="73" s="1"/>
  <c r="X5" i="67"/>
  <c r="K11" i="73"/>
  <c r="G88" i="53"/>
  <c r="DF12" i="53"/>
  <c r="BD11" i="53"/>
  <c r="BD89" i="53"/>
  <c r="DF89" i="53" s="1"/>
  <c r="BL11" i="53"/>
  <c r="V5" i="85" s="1"/>
  <c r="D23" i="47"/>
  <c r="F11" i="73"/>
  <c r="V5" i="67"/>
  <c r="G11" i="73"/>
  <c r="E88" i="53"/>
  <c r="DB12" i="53"/>
  <c r="AZ11" i="53"/>
  <c r="AZ89" i="53"/>
  <c r="DB89" i="53" s="1"/>
  <c r="AV37" i="79"/>
  <c r="AP37" i="79" s="1"/>
  <c r="Y21" i="67"/>
  <c r="H102" i="53"/>
  <c r="BO89" i="53"/>
  <c r="M89" i="73"/>
  <c r="L89" i="73"/>
  <c r="BL89" i="73" s="1"/>
  <c r="F21" i="21"/>
  <c r="K77" i="49"/>
  <c r="AU37" i="79"/>
  <c r="AO37" i="79" s="1"/>
  <c r="X21" i="67"/>
  <c r="X138" i="67" s="1"/>
  <c r="K89" i="73"/>
  <c r="BN89" i="53"/>
  <c r="J89" i="73"/>
  <c r="BK89" i="73" s="1"/>
  <c r="G102" i="53"/>
  <c r="DA12" i="53"/>
  <c r="AY11" i="53"/>
  <c r="AY89" i="53"/>
  <c r="DA89" i="53" s="1"/>
  <c r="DG12" i="53"/>
  <c r="BE89" i="53"/>
  <c r="DG89" i="53" s="1"/>
  <c r="BE11" i="53"/>
  <c r="DJ12" i="53"/>
  <c r="BH11" i="53"/>
  <c r="BH89" i="53"/>
  <c r="DJ89" i="53" s="1"/>
  <c r="DH12" i="53"/>
  <c r="BF89" i="53"/>
  <c r="DH89" i="53" s="1"/>
  <c r="BF11" i="53"/>
  <c r="DD12" i="53"/>
  <c r="BB11" i="53"/>
  <c r="BB89" i="53"/>
  <c r="DD89" i="53" s="1"/>
  <c r="DC12" i="53"/>
  <c r="BA89" i="53"/>
  <c r="DC89" i="53" s="1"/>
  <c r="BA11" i="53"/>
  <c r="BK11" i="53"/>
  <c r="U5" i="85" s="1"/>
  <c r="J11" i="53"/>
  <c r="I11" i="53"/>
  <c r="BP11" i="53" s="1"/>
  <c r="C23" i="47"/>
  <c r="D11" i="73"/>
  <c r="U5" i="67"/>
  <c r="E11" i="73"/>
  <c r="AP41" i="67"/>
  <c r="AP42" i="67" s="1"/>
  <c r="M76" i="49"/>
  <c r="AP41" i="85" s="1"/>
  <c r="AP42" i="85" s="1"/>
  <c r="G77" i="49"/>
  <c r="DI12" i="53"/>
  <c r="BG89" i="53"/>
  <c r="DI89" i="53" s="1"/>
  <c r="BG11" i="53"/>
  <c r="L21" i="21"/>
  <c r="AN57" i="85" s="1"/>
  <c r="E40" i="17"/>
  <c r="AN57" i="67"/>
  <c r="AT37" i="79"/>
  <c r="AN37" i="79" s="1"/>
  <c r="W21" i="67"/>
  <c r="W138" i="67" s="1"/>
  <c r="I89" i="73"/>
  <c r="BM89" i="53"/>
  <c r="H89" i="73"/>
  <c r="BJ89" i="73" s="1"/>
  <c r="F102" i="53"/>
  <c r="AT37" i="84" l="1"/>
  <c r="AN37" i="84" s="1"/>
  <c r="W21" i="85"/>
  <c r="W138" i="85" s="1"/>
  <c r="E100" i="73"/>
  <c r="BH11" i="73"/>
  <c r="Z5" i="85"/>
  <c r="U122" i="85"/>
  <c r="DG11" i="53"/>
  <c r="BE88" i="53"/>
  <c r="AO57" i="67"/>
  <c r="F40" i="17"/>
  <c r="M21" i="21"/>
  <c r="AO57" i="85" s="1"/>
  <c r="H113" i="53"/>
  <c r="BO113" i="53" s="1"/>
  <c r="BO102" i="53"/>
  <c r="V122" i="85"/>
  <c r="V132" i="85" s="1"/>
  <c r="V133" i="85" s="1"/>
  <c r="V15" i="85"/>
  <c r="V16" i="85" s="1"/>
  <c r="X122" i="67"/>
  <c r="X132" i="67" s="1"/>
  <c r="X133" i="67" s="1"/>
  <c r="X15" i="67"/>
  <c r="X16" i="67" s="1"/>
  <c r="BM88" i="53"/>
  <c r="AU34" i="84" s="1"/>
  <c r="AO34" i="84" s="1"/>
  <c r="F11" i="20"/>
  <c r="AT34" i="79"/>
  <c r="AN34" i="79" s="1"/>
  <c r="F95" i="53"/>
  <c r="F10" i="17"/>
  <c r="I88" i="73"/>
  <c r="F91" i="53"/>
  <c r="H88" i="73"/>
  <c r="H85" i="1"/>
  <c r="X85" i="1" s="1"/>
  <c r="E21" i="48"/>
  <c r="L23" i="47"/>
  <c r="E22" i="47"/>
  <c r="L40" i="17"/>
  <c r="AT29" i="85" s="1"/>
  <c r="AT32" i="85" s="1"/>
  <c r="AT29" i="67"/>
  <c r="AT32" i="67" s="1"/>
  <c r="E42" i="17"/>
  <c r="J23" i="47"/>
  <c r="C21" i="48"/>
  <c r="DJ11" i="53"/>
  <c r="BH88" i="53"/>
  <c r="AU37" i="84"/>
  <c r="AO37" i="84" s="1"/>
  <c r="X21" i="85"/>
  <c r="X138" i="85" s="1"/>
  <c r="Y138" i="67"/>
  <c r="AA138" i="67" s="1"/>
  <c r="AA21" i="67"/>
  <c r="DB11" i="53"/>
  <c r="AZ88" i="53"/>
  <c r="V122" i="67"/>
  <c r="V132" i="67" s="1"/>
  <c r="V133" i="67" s="1"/>
  <c r="V15" i="67"/>
  <c r="V16" i="67" s="1"/>
  <c r="BO88" i="53"/>
  <c r="H10" i="17"/>
  <c r="H91" i="53"/>
  <c r="AV34" i="79"/>
  <c r="AP34" i="79" s="1"/>
  <c r="M88" i="73"/>
  <c r="L88" i="73"/>
  <c r="J85" i="1"/>
  <c r="Z85" i="1" s="1"/>
  <c r="H11" i="20"/>
  <c r="H95" i="53"/>
  <c r="I100" i="73"/>
  <c r="BJ11" i="73"/>
  <c r="W122" i="85"/>
  <c r="W132" i="85" s="1"/>
  <c r="W133" i="85" s="1"/>
  <c r="W15" i="85"/>
  <c r="W16" i="85" s="1"/>
  <c r="AS37" i="84"/>
  <c r="AM37" i="84" s="1"/>
  <c r="V21" i="85"/>
  <c r="V138" i="85" s="1"/>
  <c r="F113" i="53"/>
  <c r="BM113" i="53" s="1"/>
  <c r="BM102" i="53"/>
  <c r="M77" i="49"/>
  <c r="H21" i="21"/>
  <c r="DD11" i="53"/>
  <c r="BB88" i="53"/>
  <c r="G100" i="73"/>
  <c r="BI11" i="73"/>
  <c r="DF11" i="53"/>
  <c r="BN88" i="53"/>
  <c r="AV34" i="84" s="1"/>
  <c r="AP34" i="84" s="1"/>
  <c r="G95" i="53"/>
  <c r="I85" i="1"/>
  <c r="Y85" i="1" s="1"/>
  <c r="AU34" i="79"/>
  <c r="AO34" i="79" s="1"/>
  <c r="G10" i="17"/>
  <c r="G11" i="20"/>
  <c r="G91" i="53"/>
  <c r="J88" i="73"/>
  <c r="K88" i="73"/>
  <c r="F21" i="48"/>
  <c r="M23" i="47"/>
  <c r="F22" i="47"/>
  <c r="AA5" i="67"/>
  <c r="Y122" i="67"/>
  <c r="Y15" i="67"/>
  <c r="Y16" i="67" s="1"/>
  <c r="AA5" i="85"/>
  <c r="Y122" i="85"/>
  <c r="Y15" i="85"/>
  <c r="W122" i="67"/>
  <c r="W132" i="67" s="1"/>
  <c r="W133" i="67" s="1"/>
  <c r="W15" i="67"/>
  <c r="W16" i="67" s="1"/>
  <c r="U138" i="67"/>
  <c r="Z138" i="67" s="1"/>
  <c r="Z21" i="67"/>
  <c r="U21" i="85"/>
  <c r="AR37" i="84"/>
  <c r="AL37" i="84" s="1"/>
  <c r="DI11" i="53"/>
  <c r="BG88" i="53"/>
  <c r="Z5" i="67"/>
  <c r="U122" i="67"/>
  <c r="DC11" i="53"/>
  <c r="BA88" i="53"/>
  <c r="DH11" i="53"/>
  <c r="BF88" i="53"/>
  <c r="DA11" i="53"/>
  <c r="AY88" i="53"/>
  <c r="G113" i="53"/>
  <c r="BN113" i="53" s="1"/>
  <c r="BN102" i="53"/>
  <c r="Y21" i="85"/>
  <c r="AV37" i="84"/>
  <c r="AP37" i="84" s="1"/>
  <c r="G88" i="73"/>
  <c r="E11" i="20"/>
  <c r="BL88" i="53"/>
  <c r="AT34" i="84" s="1"/>
  <c r="AN34" i="84" s="1"/>
  <c r="F88" i="73"/>
  <c r="AS34" i="79"/>
  <c r="AM34" i="79" s="1"/>
  <c r="E95" i="53"/>
  <c r="E91" i="53"/>
  <c r="E10" i="17"/>
  <c r="G85" i="1"/>
  <c r="W85" i="1" s="1"/>
  <c r="D21" i="48"/>
  <c r="K23" i="47"/>
  <c r="D22" i="47"/>
  <c r="X122" i="85"/>
  <c r="X132" i="85" s="1"/>
  <c r="X133" i="85" s="1"/>
  <c r="X15" i="85"/>
  <c r="X16" i="85" s="1"/>
  <c r="G21" i="48"/>
  <c r="N23" i="47"/>
  <c r="G22" i="47"/>
  <c r="G21" i="21"/>
  <c r="L77" i="49"/>
  <c r="CZ11" i="53"/>
  <c r="E113" i="53"/>
  <c r="BL113" i="53" s="1"/>
  <c r="BL102" i="53"/>
  <c r="BK102" i="53"/>
  <c r="D113" i="53"/>
  <c r="BK113" i="53" s="1"/>
  <c r="N21" i="48" l="1"/>
  <c r="G20" i="48"/>
  <c r="G39" i="48"/>
  <c r="N39" i="48" s="1"/>
  <c r="BL91" i="53"/>
  <c r="G91" i="73"/>
  <c r="F91" i="73"/>
  <c r="BI91" i="73" s="1"/>
  <c r="AY91" i="53"/>
  <c r="DA91" i="53" s="1"/>
  <c r="AY95" i="53"/>
  <c r="DA95" i="53" s="1"/>
  <c r="DA88" i="53"/>
  <c r="Y16" i="85"/>
  <c r="AA122" i="67"/>
  <c r="Y132" i="67"/>
  <c r="M22" i="47"/>
  <c r="AH7" i="85" s="1"/>
  <c r="AH9" i="85" s="1"/>
  <c r="AH7" i="67"/>
  <c r="AH9" i="67" s="1"/>
  <c r="F21" i="47"/>
  <c r="M21" i="47" s="1"/>
  <c r="BK88" i="73"/>
  <c r="K106" i="73"/>
  <c r="BO95" i="53"/>
  <c r="M95" i="73"/>
  <c r="L95" i="73"/>
  <c r="BL95" i="73" s="1"/>
  <c r="L42" i="17"/>
  <c r="E20" i="22"/>
  <c r="BM91" i="53"/>
  <c r="H91" i="73"/>
  <c r="BJ91" i="73" s="1"/>
  <c r="I91" i="73"/>
  <c r="G40" i="17"/>
  <c r="AP57" i="67"/>
  <c r="N21" i="21"/>
  <c r="AP57" i="85" s="1"/>
  <c r="K21" i="48"/>
  <c r="D20" i="48"/>
  <c r="D39" i="48"/>
  <c r="K39" i="48" s="1"/>
  <c r="BL95" i="53"/>
  <c r="G95" i="73"/>
  <c r="F95" i="73"/>
  <c r="BI95" i="73" s="1"/>
  <c r="E10" i="20"/>
  <c r="L11" i="20"/>
  <c r="Z122" i="67"/>
  <c r="AA122" i="85"/>
  <c r="Y132" i="85"/>
  <c r="BN91" i="53"/>
  <c r="J91" i="73"/>
  <c r="BK91" i="73" s="1"/>
  <c r="K91" i="73"/>
  <c r="H40" i="17"/>
  <c r="AQ57" i="67"/>
  <c r="O21" i="21"/>
  <c r="AQ57" i="85" s="1"/>
  <c r="H10" i="20"/>
  <c r="O11" i="20"/>
  <c r="DB88" i="53"/>
  <c r="AZ95" i="53"/>
  <c r="DB95" i="53" s="1"/>
  <c r="AZ91" i="53"/>
  <c r="DB91" i="53" s="1"/>
  <c r="DJ88" i="53"/>
  <c r="BH95" i="53"/>
  <c r="DJ95" i="53" s="1"/>
  <c r="BH91" i="53"/>
  <c r="DJ91" i="53" s="1"/>
  <c r="L21" i="48"/>
  <c r="E20" i="48"/>
  <c r="E39" i="48"/>
  <c r="L39" i="48" s="1"/>
  <c r="M11" i="20"/>
  <c r="F10" i="20"/>
  <c r="F42" i="17"/>
  <c r="M40" i="17"/>
  <c r="AU29" i="85" s="1"/>
  <c r="AU32" i="85" s="1"/>
  <c r="AU29" i="67"/>
  <c r="AU32" i="67" s="1"/>
  <c r="N22" i="47"/>
  <c r="AI7" i="85" s="1"/>
  <c r="AI9" i="85" s="1"/>
  <c r="AI7" i="67"/>
  <c r="AI9" i="67" s="1"/>
  <c r="G21" i="47"/>
  <c r="N21" i="47" s="1"/>
  <c r="AA21" i="85"/>
  <c r="Y138" i="85"/>
  <c r="AA138" i="85" s="1"/>
  <c r="BF95" i="53"/>
  <c r="DH95" i="53" s="1"/>
  <c r="BF91" i="53"/>
  <c r="DH91" i="53" s="1"/>
  <c r="DH88" i="53"/>
  <c r="BA95" i="53"/>
  <c r="DC95" i="53" s="1"/>
  <c r="BA91" i="53"/>
  <c r="DC91" i="53" s="1"/>
  <c r="DC88" i="53"/>
  <c r="M21" i="48"/>
  <c r="F20" i="48"/>
  <c r="F39" i="48"/>
  <c r="M39" i="48" s="1"/>
  <c r="G10" i="20"/>
  <c r="N11" i="20"/>
  <c r="BN95" i="53"/>
  <c r="J95" i="73"/>
  <c r="BK95" i="73" s="1"/>
  <c r="K95" i="73"/>
  <c r="BO91" i="53"/>
  <c r="L91" i="73"/>
  <c r="BL91" i="73" s="1"/>
  <c r="M91" i="73"/>
  <c r="M10" i="17"/>
  <c r="AU6" i="85" s="1"/>
  <c r="AU6" i="67"/>
  <c r="Z122" i="85"/>
  <c r="K22" i="47"/>
  <c r="AF7" i="85" s="1"/>
  <c r="AF9" i="85" s="1"/>
  <c r="AF7" i="67"/>
  <c r="AF9" i="67" s="1"/>
  <c r="D21" i="47"/>
  <c r="K21" i="47" s="1"/>
  <c r="AT6" i="67"/>
  <c r="L10" i="17"/>
  <c r="AT6" i="85" s="1"/>
  <c r="BI88" i="73"/>
  <c r="G106" i="73"/>
  <c r="DI88" i="53"/>
  <c r="BG95" i="53"/>
  <c r="DI95" i="53" s="1"/>
  <c r="BG91" i="53"/>
  <c r="DI91" i="53" s="1"/>
  <c r="Z21" i="85"/>
  <c r="U138" i="85"/>
  <c r="Z138" i="85" s="1"/>
  <c r="N10" i="17"/>
  <c r="AV6" i="85" s="1"/>
  <c r="AV6" i="67"/>
  <c r="DD88" i="53"/>
  <c r="BB91" i="53"/>
  <c r="DD91" i="53" s="1"/>
  <c r="BB95" i="53"/>
  <c r="DD95" i="53" s="1"/>
  <c r="M106" i="73"/>
  <c r="BL88" i="73"/>
  <c r="AW6" i="67"/>
  <c r="O10" i="17"/>
  <c r="AW6" i="85" s="1"/>
  <c r="J21" i="48"/>
  <c r="C39" i="48"/>
  <c r="L22" i="47"/>
  <c r="AG7" i="85" s="1"/>
  <c r="AG9" i="85" s="1"/>
  <c r="E21" i="47"/>
  <c r="L21" i="47" s="1"/>
  <c r="AG7" i="67"/>
  <c r="AG9" i="67" s="1"/>
  <c r="BJ88" i="73"/>
  <c r="I106" i="73"/>
  <c r="BM95" i="53"/>
  <c r="I95" i="73"/>
  <c r="H95" i="73"/>
  <c r="BJ95" i="73" s="1"/>
  <c r="BE91" i="53"/>
  <c r="DG91" i="53" s="1"/>
  <c r="DG88" i="53"/>
  <c r="BE95" i="53"/>
  <c r="DG95" i="53" s="1"/>
  <c r="O10" i="20" l="1"/>
  <c r="H25" i="20"/>
  <c r="L10" i="20"/>
  <c r="E25" i="20"/>
  <c r="AV29" i="67"/>
  <c r="AV32" i="67" s="1"/>
  <c r="N40" i="17"/>
  <c r="AV29" i="85" s="1"/>
  <c r="AV32" i="85" s="1"/>
  <c r="G42" i="17"/>
  <c r="M20" i="48"/>
  <c r="K20" i="48"/>
  <c r="AA132" i="67"/>
  <c r="Y133" i="67"/>
  <c r="L20" i="48"/>
  <c r="AA132" i="85"/>
  <c r="Y133" i="85"/>
  <c r="K20" i="22"/>
  <c r="AM17" i="84" s="1"/>
  <c r="AM17" i="79"/>
  <c r="N20" i="48"/>
  <c r="J39" i="48"/>
  <c r="N10" i="20"/>
  <c r="G25" i="20"/>
  <c r="F20" i="22"/>
  <c r="M42" i="17"/>
  <c r="M10" i="20"/>
  <c r="F25" i="20"/>
  <c r="O40" i="17"/>
  <c r="AW29" i="85" s="1"/>
  <c r="AW32" i="85" s="1"/>
  <c r="H42" i="17"/>
  <c r="AW29" i="67"/>
  <c r="AW32" i="67" s="1"/>
  <c r="CT92" i="53"/>
  <c r="AR93" i="53"/>
  <c r="CT93" i="53" s="1"/>
  <c r="CU92" i="53"/>
  <c r="AS93" i="53"/>
  <c r="CU93" i="53" s="1"/>
  <c r="CV92" i="53"/>
  <c r="AT93" i="53"/>
  <c r="CV93" i="53" s="1"/>
  <c r="CX92" i="53"/>
  <c r="AV93" i="53"/>
  <c r="CX93" i="53" s="1"/>
  <c r="CW92" i="53"/>
  <c r="AU93" i="53"/>
  <c r="CW93" i="53" s="1"/>
  <c r="O42" i="17" l="1"/>
  <c r="H20" i="22"/>
  <c r="AN17" i="79"/>
  <c r="L20" i="22"/>
  <c r="AN17" i="84" s="1"/>
  <c r="D20" i="49"/>
  <c r="L25" i="20"/>
  <c r="O25" i="20"/>
  <c r="G20" i="49"/>
  <c r="E20" i="49"/>
  <c r="M25" i="20"/>
  <c r="F20" i="49"/>
  <c r="N25" i="20"/>
  <c r="N42" i="17"/>
  <c r="G20" i="22"/>
  <c r="BV92" i="53"/>
  <c r="Y38" i="85" s="1"/>
  <c r="Y38" i="67"/>
  <c r="X92" i="73"/>
  <c r="W92" i="73"/>
  <c r="BR92" i="73" s="1"/>
  <c r="P93" i="53"/>
  <c r="CB92" i="53"/>
  <c r="X59" i="85" s="1"/>
  <c r="X59" i="67"/>
  <c r="AG92" i="73"/>
  <c r="AF92" i="73"/>
  <c r="BW92" i="73" s="1"/>
  <c r="W93" i="53"/>
  <c r="CQ92" i="53"/>
  <c r="Y114" i="85" s="1"/>
  <c r="AA114" i="85" s="1"/>
  <c r="Y114" i="67"/>
  <c r="AA114" i="67" s="1"/>
  <c r="AN93" i="53"/>
  <c r="BD92" i="73"/>
  <c r="CJ92" i="73" s="1"/>
  <c r="BE92" i="73"/>
  <c r="CN92" i="53"/>
  <c r="V114" i="85" s="1"/>
  <c r="V114" i="67"/>
  <c r="AK93" i="53"/>
  <c r="AX92" i="73"/>
  <c r="CG92" i="73" s="1"/>
  <c r="AY92" i="73"/>
  <c r="CM92" i="53"/>
  <c r="U114" i="85" s="1"/>
  <c r="Z114" i="85" s="1"/>
  <c r="AO92" i="53"/>
  <c r="CR92" i="53" s="1"/>
  <c r="AP92" i="53"/>
  <c r="U114" i="67"/>
  <c r="Z114" i="67" s="1"/>
  <c r="AV92" i="73"/>
  <c r="CF92" i="73" s="1"/>
  <c r="AW92" i="73"/>
  <c r="BT92" i="53"/>
  <c r="W38" i="85" s="1"/>
  <c r="W38" i="67"/>
  <c r="T92" i="73"/>
  <c r="S92" i="73"/>
  <c r="BP92" i="73" s="1"/>
  <c r="N93" i="53"/>
  <c r="BS92" i="53"/>
  <c r="V38" i="85" s="1"/>
  <c r="V38" i="67"/>
  <c r="Q92" i="73"/>
  <c r="BO92" i="73" s="1"/>
  <c r="R92" i="73"/>
  <c r="M93" i="53"/>
  <c r="BU92" i="53"/>
  <c r="X38" i="85" s="1"/>
  <c r="X38" i="67"/>
  <c r="U92" i="73"/>
  <c r="BQ92" i="73" s="1"/>
  <c r="V92" i="73"/>
  <c r="O93" i="53"/>
  <c r="CO92" i="53"/>
  <c r="W114" i="85" s="1"/>
  <c r="W114" i="67"/>
  <c r="AL93" i="53"/>
  <c r="AZ92" i="73"/>
  <c r="CH92" i="73" s="1"/>
  <c r="BA92" i="73"/>
  <c r="CT94" i="53"/>
  <c r="CP92" i="53"/>
  <c r="X114" i="85" s="1"/>
  <c r="X114" i="67"/>
  <c r="AM93" i="53"/>
  <c r="BC92" i="73"/>
  <c r="BB92" i="73"/>
  <c r="CI92" i="73" s="1"/>
  <c r="CC92" i="53"/>
  <c r="Y59" i="85" s="1"/>
  <c r="Y59" i="67"/>
  <c r="AI92" i="73"/>
  <c r="AH92" i="73"/>
  <c r="BX92" i="73" s="1"/>
  <c r="X93" i="53"/>
  <c r="CA92" i="53"/>
  <c r="W59" i="85" s="1"/>
  <c r="W59" i="67"/>
  <c r="AE92" i="73"/>
  <c r="AD92" i="73"/>
  <c r="BV92" i="73" s="1"/>
  <c r="V93" i="53"/>
  <c r="CV94" i="53"/>
  <c r="BZ92" i="53"/>
  <c r="V59" i="85" s="1"/>
  <c r="V59" i="67"/>
  <c r="AC92" i="73"/>
  <c r="AB92" i="73"/>
  <c r="BU92" i="73" s="1"/>
  <c r="U93" i="53"/>
  <c r="CA94" i="53"/>
  <c r="W61" i="85" s="1"/>
  <c r="W61" i="67"/>
  <c r="AE94" i="73"/>
  <c r="AD94" i="73"/>
  <c r="BV94" i="73" s="1"/>
  <c r="BY92" i="53"/>
  <c r="U59" i="85" s="1"/>
  <c r="Z59" i="85" s="1"/>
  <c r="Y92" i="53"/>
  <c r="CD92" i="53" s="1"/>
  <c r="Z92" i="53"/>
  <c r="U59" i="67"/>
  <c r="Z59" i="67" s="1"/>
  <c r="AA92" i="73"/>
  <c r="Z92" i="73"/>
  <c r="BT92" i="73" s="1"/>
  <c r="CW94" i="53"/>
  <c r="AO9" i="67" l="1"/>
  <c r="AO10" i="67" s="1"/>
  <c r="F21" i="49"/>
  <c r="L20" i="49"/>
  <c r="AO9" i="85" s="1"/>
  <c r="AO10" i="85" s="1"/>
  <c r="AO17" i="79"/>
  <c r="M20" i="22"/>
  <c r="AO17" i="84" s="1"/>
  <c r="M20" i="49"/>
  <c r="AP9" i="85" s="1"/>
  <c r="AP10" i="85" s="1"/>
  <c r="G21" i="49"/>
  <c r="AP9" i="67"/>
  <c r="AP10" i="67" s="1"/>
  <c r="AP17" i="79"/>
  <c r="N20" i="22"/>
  <c r="AP17" i="84" s="1"/>
  <c r="K20" i="49"/>
  <c r="AN9" i="85" s="1"/>
  <c r="AN10" i="85" s="1"/>
  <c r="E21" i="49"/>
  <c r="AN9" i="67"/>
  <c r="AN10" i="67" s="1"/>
  <c r="J20" i="49"/>
  <c r="AM9" i="85" s="1"/>
  <c r="AM10" i="85" s="1"/>
  <c r="AM9" i="67"/>
  <c r="AM10" i="67" s="1"/>
  <c r="D21" i="49"/>
  <c r="AA59" i="85"/>
  <c r="BS94" i="53"/>
  <c r="V40" i="85" s="1"/>
  <c r="V40" i="67"/>
  <c r="Q94" i="73"/>
  <c r="BO94" i="73" s="1"/>
  <c r="R94" i="73"/>
  <c r="CN94" i="53"/>
  <c r="V116" i="85" s="1"/>
  <c r="V116" i="67"/>
  <c r="AY94" i="73"/>
  <c r="AX94" i="73"/>
  <c r="CG94" i="73" s="1"/>
  <c r="X39" i="67"/>
  <c r="V93" i="73"/>
  <c r="BU93" i="53"/>
  <c r="X39" i="85" s="1"/>
  <c r="U93" i="73"/>
  <c r="BQ93" i="73" s="1"/>
  <c r="CC94" i="53"/>
  <c r="Y61" i="85" s="1"/>
  <c r="Y61" i="67"/>
  <c r="AI94" i="73"/>
  <c r="AH94" i="73"/>
  <c r="BX94" i="73" s="1"/>
  <c r="CQ94" i="53"/>
  <c r="Y116" i="85" s="1"/>
  <c r="AA116" i="85" s="1"/>
  <c r="Y116" i="67"/>
  <c r="AA116" i="67" s="1"/>
  <c r="BD94" i="73"/>
  <c r="CJ94" i="73" s="1"/>
  <c r="BE94" i="73"/>
  <c r="BN92" i="53"/>
  <c r="X17" i="85" s="1"/>
  <c r="X134" i="85" s="1"/>
  <c r="BG92" i="53"/>
  <c r="X17" i="67"/>
  <c r="X134" i="67" s="1"/>
  <c r="K92" i="73"/>
  <c r="J92" i="73"/>
  <c r="BK92" i="73" s="1"/>
  <c r="BA92" i="53"/>
  <c r="G93" i="53"/>
  <c r="CM94" i="53"/>
  <c r="U116" i="85" s="1"/>
  <c r="Z116" i="85" s="1"/>
  <c r="AP94" i="53"/>
  <c r="AO94" i="53"/>
  <c r="CR94" i="53" s="1"/>
  <c r="U116" i="67"/>
  <c r="Z116" i="67" s="1"/>
  <c r="AV94" i="73"/>
  <c r="CF94" i="73" s="1"/>
  <c r="AW94" i="73"/>
  <c r="AC93" i="73"/>
  <c r="V60" i="67"/>
  <c r="BZ93" i="53"/>
  <c r="V60" i="85" s="1"/>
  <c r="AB93" i="73"/>
  <c r="BU93" i="73" s="1"/>
  <c r="BM92" i="53"/>
  <c r="W17" i="85" s="1"/>
  <c r="W134" i="85" s="1"/>
  <c r="BF92" i="53"/>
  <c r="W17" i="67"/>
  <c r="W134" i="67" s="1"/>
  <c r="I92" i="73"/>
  <c r="H92" i="73"/>
  <c r="BJ92" i="73" s="1"/>
  <c r="AZ92" i="53"/>
  <c r="F93" i="53"/>
  <c r="BT94" i="53"/>
  <c r="W40" i="85" s="1"/>
  <c r="W40" i="67"/>
  <c r="S94" i="73"/>
  <c r="BP94" i="73" s="1"/>
  <c r="T94" i="73"/>
  <c r="CP94" i="53"/>
  <c r="X116" i="85" s="1"/>
  <c r="X116" i="67"/>
  <c r="BB94" i="73"/>
  <c r="CI94" i="73" s="1"/>
  <c r="BC94" i="73"/>
  <c r="CB94" i="53"/>
  <c r="X61" i="85" s="1"/>
  <c r="X61" i="67"/>
  <c r="AG94" i="73"/>
  <c r="AF94" i="73"/>
  <c r="BW94" i="73" s="1"/>
  <c r="AZ93" i="73"/>
  <c r="CH93" i="73" s="1"/>
  <c r="W115" i="67"/>
  <c r="BA93" i="73"/>
  <c r="CO93" i="53"/>
  <c r="W115" i="85" s="1"/>
  <c r="BK92" i="53"/>
  <c r="U17" i="85" s="1"/>
  <c r="BD92" i="53"/>
  <c r="I92" i="53"/>
  <c r="BP92" i="53" s="1"/>
  <c r="J92" i="53"/>
  <c r="U17" i="67"/>
  <c r="E92" i="73"/>
  <c r="D92" i="73"/>
  <c r="BH92" i="73" s="1"/>
  <c r="BY94" i="53"/>
  <c r="U61" i="85" s="1"/>
  <c r="Z61" i="85" s="1"/>
  <c r="Z94" i="53"/>
  <c r="Y94" i="53"/>
  <c r="CD94" i="53" s="1"/>
  <c r="U61" i="67"/>
  <c r="Z61" i="67" s="1"/>
  <c r="AA94" i="73"/>
  <c r="Z94" i="73"/>
  <c r="BT94" i="73" s="1"/>
  <c r="BT93" i="53"/>
  <c r="W39" i="85" s="1"/>
  <c r="W39" i="67"/>
  <c r="S93" i="73"/>
  <c r="BP93" i="73" s="1"/>
  <c r="T93" i="73"/>
  <c r="BZ94" i="53"/>
  <c r="V61" i="85" s="1"/>
  <c r="V61" i="67"/>
  <c r="AC94" i="73"/>
  <c r="AB94" i="73"/>
  <c r="BU94" i="73" s="1"/>
  <c r="CX94" i="53"/>
  <c r="AI93" i="73"/>
  <c r="Y60" i="67"/>
  <c r="CC93" i="53"/>
  <c r="Y60" i="85" s="1"/>
  <c r="AH93" i="73"/>
  <c r="BX93" i="73" s="1"/>
  <c r="BO92" i="53"/>
  <c r="Y17" i="85" s="1"/>
  <c r="BH92" i="53"/>
  <c r="Y17" i="67"/>
  <c r="M92" i="73"/>
  <c r="L92" i="73"/>
  <c r="BL92" i="73" s="1"/>
  <c r="BB92" i="53"/>
  <c r="H93" i="53"/>
  <c r="BE93" i="73"/>
  <c r="Y115" i="67"/>
  <c r="AA115" i="67" s="1"/>
  <c r="BD93" i="73"/>
  <c r="CJ93" i="73" s="1"/>
  <c r="CQ93" i="53"/>
  <c r="Y115" i="85" s="1"/>
  <c r="AA115" i="85" s="1"/>
  <c r="CU94" i="53"/>
  <c r="BU94" i="53"/>
  <c r="X40" i="85" s="1"/>
  <c r="X40" i="67"/>
  <c r="U94" i="73"/>
  <c r="BQ94" i="73" s="1"/>
  <c r="V94" i="73"/>
  <c r="BL92" i="53"/>
  <c r="V17" i="85" s="1"/>
  <c r="V134" i="85" s="1"/>
  <c r="BE92" i="53"/>
  <c r="V17" i="67"/>
  <c r="V134" i="67" s="1"/>
  <c r="G92" i="73"/>
  <c r="F92" i="73"/>
  <c r="BI92" i="73" s="1"/>
  <c r="AY92" i="53"/>
  <c r="E93" i="53"/>
  <c r="AD93" i="73"/>
  <c r="BV93" i="73" s="1"/>
  <c r="CA93" i="53"/>
  <c r="W60" i="85" s="1"/>
  <c r="AE93" i="73"/>
  <c r="W60" i="67"/>
  <c r="AA59" i="67"/>
  <c r="BB93" i="73"/>
  <c r="CI93" i="73" s="1"/>
  <c r="CP93" i="53"/>
  <c r="X115" i="85" s="1"/>
  <c r="BC93" i="73"/>
  <c r="X115" i="67"/>
  <c r="CO94" i="53"/>
  <c r="W116" i="85" s="1"/>
  <c r="W116" i="67"/>
  <c r="AZ94" i="73"/>
  <c r="CH94" i="73" s="1"/>
  <c r="BA94" i="73"/>
  <c r="BR94" i="53"/>
  <c r="U40" i="85" s="1"/>
  <c r="Z40" i="85" s="1"/>
  <c r="R94" i="53"/>
  <c r="Q94" i="53"/>
  <c r="BW94" i="53" s="1"/>
  <c r="U40" i="67"/>
  <c r="Z40" i="67" s="1"/>
  <c r="O94" i="73"/>
  <c r="BN94" i="73" s="1"/>
  <c r="P94" i="73"/>
  <c r="BS93" i="53"/>
  <c r="V39" i="85" s="1"/>
  <c r="Q93" i="73"/>
  <c r="BO93" i="73" s="1"/>
  <c r="R93" i="73"/>
  <c r="V39" i="67"/>
  <c r="AY93" i="73"/>
  <c r="AX93" i="73"/>
  <c r="CG93" i="73" s="1"/>
  <c r="V115" i="67"/>
  <c r="CN93" i="53"/>
  <c r="V115" i="85" s="1"/>
  <c r="CB93" i="53"/>
  <c r="X60" i="85" s="1"/>
  <c r="AG93" i="73"/>
  <c r="X60" i="67"/>
  <c r="AF93" i="73"/>
  <c r="BW93" i="73" s="1"/>
  <c r="BV93" i="53"/>
  <c r="Y39" i="85" s="1"/>
  <c r="X93" i="73"/>
  <c r="Y39" i="67"/>
  <c r="W93" i="73"/>
  <c r="BR93" i="73" s="1"/>
  <c r="BV94" i="53"/>
  <c r="Y40" i="85" s="1"/>
  <c r="Y40" i="67"/>
  <c r="X94" i="73"/>
  <c r="W94" i="73"/>
  <c r="BR94" i="73" s="1"/>
  <c r="AA40" i="85" l="1"/>
  <c r="AA40" i="67"/>
  <c r="M21" i="49"/>
  <c r="H17" i="21"/>
  <c r="E17" i="21"/>
  <c r="J21" i="49"/>
  <c r="K21" i="49"/>
  <c r="F17" i="21"/>
  <c r="G17" i="21"/>
  <c r="L21" i="49"/>
  <c r="BM94" i="53"/>
  <c r="W19" i="85" s="1"/>
  <c r="W136" i="85" s="1"/>
  <c r="BF94" i="53"/>
  <c r="DH94" i="53" s="1"/>
  <c r="W19" i="67"/>
  <c r="W136" i="67" s="1"/>
  <c r="I94" i="73"/>
  <c r="AZ94" i="53"/>
  <c r="DB94" i="53" s="1"/>
  <c r="H94" i="73"/>
  <c r="BJ94" i="73" s="1"/>
  <c r="L93" i="73"/>
  <c r="BL93" i="73" s="1"/>
  <c r="Y18" i="67"/>
  <c r="BO93" i="53"/>
  <c r="Y18" i="85" s="1"/>
  <c r="M93" i="73"/>
  <c r="AA17" i="67"/>
  <c r="Y134" i="67"/>
  <c r="AA134" i="67" s="1"/>
  <c r="BO94" i="53"/>
  <c r="Y19" i="85" s="1"/>
  <c r="BH94" i="53"/>
  <c r="DJ94" i="53" s="1"/>
  <c r="Y19" i="67"/>
  <c r="BB94" i="53"/>
  <c r="DD94" i="53" s="1"/>
  <c r="L94" i="73"/>
  <c r="BL94" i="73" s="1"/>
  <c r="M94" i="73"/>
  <c r="BL94" i="53"/>
  <c r="V19" i="85" s="1"/>
  <c r="V136" i="85" s="1"/>
  <c r="BE94" i="53"/>
  <c r="DG94" i="53" s="1"/>
  <c r="V19" i="67"/>
  <c r="V136" i="67" s="1"/>
  <c r="AY94" i="53"/>
  <c r="DA94" i="53" s="1"/>
  <c r="G94" i="73"/>
  <c r="F94" i="73"/>
  <c r="BI94" i="73" s="1"/>
  <c r="I93" i="73"/>
  <c r="W18" i="67"/>
  <c r="W135" i="67" s="1"/>
  <c r="H93" i="73"/>
  <c r="BJ93" i="73" s="1"/>
  <c r="BM93" i="53"/>
  <c r="W18" i="85" s="1"/>
  <c r="W135" i="85" s="1"/>
  <c r="BN94" i="53"/>
  <c r="X19" i="85" s="1"/>
  <c r="X136" i="85" s="1"/>
  <c r="BG94" i="53"/>
  <c r="DI94" i="53" s="1"/>
  <c r="X19" i="67"/>
  <c r="X136" i="67" s="1"/>
  <c r="K94" i="73"/>
  <c r="BA94" i="53"/>
  <c r="DC94" i="53" s="1"/>
  <c r="J94" i="73"/>
  <c r="BK94" i="73" s="1"/>
  <c r="DD92" i="53"/>
  <c r="BB93" i="53"/>
  <c r="DD93" i="53" s="1"/>
  <c r="DJ92" i="53"/>
  <c r="BH93" i="53"/>
  <c r="DJ93" i="53" s="1"/>
  <c r="DB92" i="53"/>
  <c r="AZ93" i="53"/>
  <c r="DB93" i="53" s="1"/>
  <c r="DH92" i="53"/>
  <c r="BF93" i="53"/>
  <c r="DH93" i="53" s="1"/>
  <c r="BK94" i="53"/>
  <c r="U19" i="85" s="1"/>
  <c r="BD94" i="53"/>
  <c r="DF94" i="53" s="1"/>
  <c r="J94" i="53"/>
  <c r="I94" i="53"/>
  <c r="BP94" i="53" s="1"/>
  <c r="U19" i="67"/>
  <c r="E94" i="73"/>
  <c r="AX94" i="53"/>
  <c r="CZ94" i="53" s="1"/>
  <c r="D94" i="73"/>
  <c r="BH94" i="73" s="1"/>
  <c r="BL93" i="53"/>
  <c r="V18" i="85" s="1"/>
  <c r="V135" i="85" s="1"/>
  <c r="G93" i="73"/>
  <c r="F93" i="73"/>
  <c r="BI93" i="73" s="1"/>
  <c r="V18" i="67"/>
  <c r="V135" i="67" s="1"/>
  <c r="AA17" i="85"/>
  <c r="Y134" i="85"/>
  <c r="AA134" i="85" s="1"/>
  <c r="DF92" i="53"/>
  <c r="X18" i="67"/>
  <c r="X135" i="67" s="1"/>
  <c r="BN93" i="53"/>
  <c r="X18" i="85" s="1"/>
  <c r="X135" i="85" s="1"/>
  <c r="J93" i="73"/>
  <c r="BK93" i="73" s="1"/>
  <c r="K93" i="73"/>
  <c r="AA61" i="67"/>
  <c r="DA92" i="53"/>
  <c r="AY93" i="53"/>
  <c r="DA93" i="53" s="1"/>
  <c r="DG92" i="53"/>
  <c r="BE93" i="53"/>
  <c r="DG93" i="53" s="1"/>
  <c r="Z17" i="67"/>
  <c r="Z17" i="85"/>
  <c r="DC92" i="53"/>
  <c r="BA93" i="53"/>
  <c r="DC93" i="53" s="1"/>
  <c r="DI92" i="53"/>
  <c r="BG93" i="53"/>
  <c r="DI93" i="53" s="1"/>
  <c r="AA61" i="85"/>
  <c r="G9" i="17" l="1"/>
  <c r="AP53" i="67"/>
  <c r="AP58" i="67" s="1"/>
  <c r="N17" i="21"/>
  <c r="AP53" i="85" s="1"/>
  <c r="AP58" i="85" s="1"/>
  <c r="G22" i="21"/>
  <c r="N22" i="21" s="1"/>
  <c r="E9" i="17"/>
  <c r="L17" i="21"/>
  <c r="AN53" i="85" s="1"/>
  <c r="AN58" i="85" s="1"/>
  <c r="AN53" i="67"/>
  <c r="AN58" i="67" s="1"/>
  <c r="E22" i="21"/>
  <c r="L22" i="21" s="1"/>
  <c r="F22" i="21"/>
  <c r="M22" i="21" s="1"/>
  <c r="AO53" i="67"/>
  <c r="AO58" i="67" s="1"/>
  <c r="F9" i="17"/>
  <c r="M17" i="21"/>
  <c r="AO53" i="85" s="1"/>
  <c r="AO58" i="85" s="1"/>
  <c r="AQ53" i="67"/>
  <c r="AQ58" i="67" s="1"/>
  <c r="H22" i="21"/>
  <c r="O22" i="21" s="1"/>
  <c r="O17" i="21"/>
  <c r="AQ53" i="85" s="1"/>
  <c r="AQ58" i="85" s="1"/>
  <c r="H9" i="17"/>
  <c r="Y135" i="85"/>
  <c r="AA135" i="85" s="1"/>
  <c r="AA19" i="85"/>
  <c r="Y136" i="85"/>
  <c r="AA136" i="85" s="1"/>
  <c r="Y135" i="67"/>
  <c r="AA135" i="67" s="1"/>
  <c r="U136" i="67"/>
  <c r="Z136" i="67" s="1"/>
  <c r="Z19" i="67"/>
  <c r="U136" i="85"/>
  <c r="Z136" i="85" s="1"/>
  <c r="Z19" i="85"/>
  <c r="AA19" i="67"/>
  <c r="Y136" i="67"/>
  <c r="AA136" i="67" s="1"/>
  <c r="AT39" i="79" l="1"/>
  <c r="AN39" i="79" s="1"/>
  <c r="M9" i="17"/>
  <c r="AU5" i="85" s="1"/>
  <c r="AU8" i="85" s="1"/>
  <c r="AT39" i="84"/>
  <c r="AN39" i="84" s="1"/>
  <c r="F11" i="17"/>
  <c r="AU5" i="67"/>
  <c r="AU8" i="67" s="1"/>
  <c r="AV39" i="84"/>
  <c r="AP39" i="84" s="1"/>
  <c r="AW5" i="67"/>
  <c r="AW8" i="67" s="1"/>
  <c r="O9" i="17"/>
  <c r="AW5" i="85" s="1"/>
  <c r="AW8" i="85" s="1"/>
  <c r="AV39" i="79"/>
  <c r="AP39" i="79" s="1"/>
  <c r="H11" i="17"/>
  <c r="AS39" i="79"/>
  <c r="AM39" i="79" s="1"/>
  <c r="AT5" i="67"/>
  <c r="AT8" i="67" s="1"/>
  <c r="L9" i="17"/>
  <c r="AT5" i="85" s="1"/>
  <c r="AT8" i="85" s="1"/>
  <c r="AS39" i="84"/>
  <c r="AM39" i="84" s="1"/>
  <c r="E11" i="17"/>
  <c r="AV5" i="67"/>
  <c r="AV8" i="67" s="1"/>
  <c r="AU39" i="84"/>
  <c r="AO39" i="84" s="1"/>
  <c r="N9" i="17"/>
  <c r="AV5" i="85" s="1"/>
  <c r="AV8" i="85" s="1"/>
  <c r="AU39" i="79"/>
  <c r="AO39" i="79" s="1"/>
  <c r="G11" i="17"/>
  <c r="G84" i="1" l="1"/>
  <c r="D10" i="47"/>
  <c r="E10" i="22"/>
  <c r="L11" i="17"/>
  <c r="E10" i="47"/>
  <c r="M11" i="17"/>
  <c r="H84" i="1"/>
  <c r="F10" i="22"/>
  <c r="J84" i="1"/>
  <c r="H10" i="22"/>
  <c r="G10" i="47"/>
  <c r="O11" i="17"/>
  <c r="N11" i="17"/>
  <c r="I84" i="1"/>
  <c r="G10" i="22"/>
  <c r="F10" i="47"/>
  <c r="AM5" i="79" l="1"/>
  <c r="K10" i="22"/>
  <c r="AM5" i="84" s="1"/>
  <c r="F8" i="16"/>
  <c r="J90" i="1"/>
  <c r="G10" i="48"/>
  <c r="N10" i="47"/>
  <c r="G9" i="47"/>
  <c r="X84" i="1"/>
  <c r="H28" i="2"/>
  <c r="N10" i="22"/>
  <c r="AP5" i="84" s="1"/>
  <c r="I8" i="16"/>
  <c r="AP5" i="79"/>
  <c r="D9" i="47"/>
  <c r="K10" i="47"/>
  <c r="G90" i="1"/>
  <c r="D10" i="48"/>
  <c r="I90" i="1"/>
  <c r="F10" i="48"/>
  <c r="M10" i="47"/>
  <c r="F9" i="47"/>
  <c r="AN5" i="79"/>
  <c r="G8" i="16"/>
  <c r="L10" i="22"/>
  <c r="AN5" i="84" s="1"/>
  <c r="AO5" i="79"/>
  <c r="H8" i="16"/>
  <c r="M10" i="22"/>
  <c r="AO5" i="84" s="1"/>
  <c r="Y84" i="1"/>
  <c r="I28" i="2"/>
  <c r="J28" i="2"/>
  <c r="Z84" i="1"/>
  <c r="E9" i="47"/>
  <c r="H90" i="1"/>
  <c r="E10" i="48"/>
  <c r="L10" i="47"/>
  <c r="W84" i="1"/>
  <c r="G28" i="2"/>
  <c r="AG4" i="67" l="1"/>
  <c r="L9" i="47"/>
  <c r="AG4" i="85" s="1"/>
  <c r="E39" i="47"/>
  <c r="L39" i="47" s="1"/>
  <c r="E8" i="47"/>
  <c r="AE23" i="83"/>
  <c r="AE23" i="78"/>
  <c r="S28" i="2"/>
  <c r="AU33" i="84"/>
  <c r="AO33" i="84" s="1"/>
  <c r="AO59" i="84" s="1"/>
  <c r="AR27" i="84"/>
  <c r="P8" i="16"/>
  <c r="G11" i="16"/>
  <c r="F40" i="48"/>
  <c r="M40" i="48" s="1"/>
  <c r="M10" i="48"/>
  <c r="F9" i="48"/>
  <c r="AV33" i="79"/>
  <c r="AP33" i="79" s="1"/>
  <c r="AP59" i="79" s="1"/>
  <c r="AS27" i="79"/>
  <c r="Z90" i="1"/>
  <c r="J31" i="2"/>
  <c r="O8" i="16"/>
  <c r="F11" i="16"/>
  <c r="AT33" i="84"/>
  <c r="AN33" i="84" s="1"/>
  <c r="AN59" i="84" s="1"/>
  <c r="AQ27" i="84"/>
  <c r="G31" i="2"/>
  <c r="W90" i="1"/>
  <c r="G9" i="48"/>
  <c r="N10" i="48"/>
  <c r="G40" i="48"/>
  <c r="N40" i="48" s="1"/>
  <c r="E9" i="48"/>
  <c r="L10" i="48"/>
  <c r="E40" i="48"/>
  <c r="L40" i="48" s="1"/>
  <c r="AG23" i="78"/>
  <c r="V28" i="2"/>
  <c r="U28" i="2"/>
  <c r="AG23" i="83"/>
  <c r="Q8" i="16"/>
  <c r="H11" i="16"/>
  <c r="AQ27" i="79"/>
  <c r="AT33" i="79"/>
  <c r="AN33" i="79" s="1"/>
  <c r="AN59" i="79" s="1"/>
  <c r="Y90" i="1"/>
  <c r="I31" i="2"/>
  <c r="D8" i="47"/>
  <c r="D39" i="47"/>
  <c r="K39" i="47" s="1"/>
  <c r="AF4" i="67"/>
  <c r="K9" i="47"/>
  <c r="AF4" i="85" s="1"/>
  <c r="I11" i="16"/>
  <c r="R8" i="16"/>
  <c r="G39" i="47"/>
  <c r="N39" i="47" s="1"/>
  <c r="G8" i="47"/>
  <c r="N9" i="47"/>
  <c r="AI4" i="85" s="1"/>
  <c r="AI4" i="67"/>
  <c r="AS33" i="84"/>
  <c r="AM33" i="84" s="1"/>
  <c r="AP27" i="84"/>
  <c r="AD23" i="83"/>
  <c r="AD23" i="78"/>
  <c r="H31" i="2"/>
  <c r="X90" i="1"/>
  <c r="AF23" i="78"/>
  <c r="AF23" i="83"/>
  <c r="T28" i="2"/>
  <c r="AU33" i="79"/>
  <c r="AO33" i="79" s="1"/>
  <c r="AO59" i="79" s="1"/>
  <c r="AR27" i="79"/>
  <c r="F39" i="47"/>
  <c r="M39" i="47" s="1"/>
  <c r="M9" i="47"/>
  <c r="AH4" i="85" s="1"/>
  <c r="F8" i="47"/>
  <c r="AH4" i="67"/>
  <c r="D9" i="48"/>
  <c r="K10" i="48"/>
  <c r="D40" i="48"/>
  <c r="K40" i="48" s="1"/>
  <c r="AS27" i="84"/>
  <c r="AV33" i="84"/>
  <c r="AP33" i="84" s="1"/>
  <c r="AP59" i="84" s="1"/>
  <c r="AP27" i="79"/>
  <c r="AS33" i="79"/>
  <c r="AM33" i="79" s="1"/>
  <c r="AM59" i="79" s="1"/>
  <c r="K9" i="48" l="1"/>
  <c r="D42" i="48"/>
  <c r="D18" i="48"/>
  <c r="AF26" i="83"/>
  <c r="T31" i="2"/>
  <c r="AF26" i="78"/>
  <c r="AG26" i="78"/>
  <c r="U31" i="2"/>
  <c r="AG26" i="83"/>
  <c r="V31" i="2"/>
  <c r="F18" i="48"/>
  <c r="M9" i="48"/>
  <c r="F42" i="48"/>
  <c r="E40" i="47"/>
  <c r="L8" i="47"/>
  <c r="AH10" i="67"/>
  <c r="AH14" i="67" s="1"/>
  <c r="AH6" i="67"/>
  <c r="AH11" i="67" s="1"/>
  <c r="AF6" i="67"/>
  <c r="AF11" i="67" s="1"/>
  <c r="AF10" i="67"/>
  <c r="AF14" i="67" s="1"/>
  <c r="G18" i="48"/>
  <c r="G42" i="48"/>
  <c r="N9" i="48"/>
  <c r="N8" i="47"/>
  <c r="G40" i="47"/>
  <c r="AF6" i="85"/>
  <c r="AF11" i="85" s="1"/>
  <c r="AF10" i="85"/>
  <c r="AF14" i="85" s="1"/>
  <c r="Q11" i="16"/>
  <c r="H13" i="16"/>
  <c r="M8" i="47"/>
  <c r="F40" i="47"/>
  <c r="AE26" i="83"/>
  <c r="S31" i="2"/>
  <c r="AE26" i="78"/>
  <c r="AI10" i="67"/>
  <c r="AI14" i="67" s="1"/>
  <c r="AI6" i="67"/>
  <c r="AI11" i="67" s="1"/>
  <c r="E18" i="48"/>
  <c r="L9" i="48"/>
  <c r="E42" i="48"/>
  <c r="O11" i="16"/>
  <c r="F13" i="16"/>
  <c r="AG10" i="85"/>
  <c r="AG14" i="85" s="1"/>
  <c r="AG6" i="85"/>
  <c r="AG11" i="85" s="1"/>
  <c r="AH6" i="85"/>
  <c r="AH11" i="85" s="1"/>
  <c r="AH10" i="85"/>
  <c r="AH14" i="85" s="1"/>
  <c r="AI10" i="85"/>
  <c r="AI14" i="85" s="1"/>
  <c r="AI6" i="85"/>
  <c r="AI11" i="85" s="1"/>
  <c r="I13" i="16"/>
  <c r="R11" i="16"/>
  <c r="D40" i="47"/>
  <c r="K8" i="47"/>
  <c r="AD26" i="83"/>
  <c r="AD26" i="78"/>
  <c r="G13" i="16"/>
  <c r="P11" i="16"/>
  <c r="AG10" i="67"/>
  <c r="AG14" i="67" s="1"/>
  <c r="AG6" i="67"/>
  <c r="AG11" i="67" s="1"/>
  <c r="N42" i="48" l="1"/>
  <c r="G43" i="48"/>
  <c r="K18" i="48"/>
  <c r="D14" i="48"/>
  <c r="D48" i="48"/>
  <c r="K48" i="48" s="1"/>
  <c r="F48" i="48"/>
  <c r="M48" i="48" s="1"/>
  <c r="M18" i="48"/>
  <c r="F14" i="48"/>
  <c r="L18" i="48"/>
  <c r="E48" i="48"/>
  <c r="L48" i="48" s="1"/>
  <c r="E14" i="48"/>
  <c r="G14" i="48"/>
  <c r="N18" i="48"/>
  <c r="G48" i="48"/>
  <c r="N48" i="48" s="1"/>
  <c r="M42" i="48"/>
  <c r="F43" i="48"/>
  <c r="D43" i="48"/>
  <c r="K42" i="48"/>
  <c r="AP22" i="79"/>
  <c r="F19" i="16"/>
  <c r="O13" i="16"/>
  <c r="AP22" i="84" s="1"/>
  <c r="E41" i="47"/>
  <c r="L40" i="47"/>
  <c r="R13" i="16"/>
  <c r="AS22" i="84" s="1"/>
  <c r="AS22" i="79"/>
  <c r="I19" i="16"/>
  <c r="P13" i="16"/>
  <c r="AQ22" i="84" s="1"/>
  <c r="G19" i="16"/>
  <c r="AQ22" i="79"/>
  <c r="K40" i="47"/>
  <c r="D41" i="47"/>
  <c r="E43" i="48"/>
  <c r="L42" i="48"/>
  <c r="F41" i="47"/>
  <c r="M40" i="47"/>
  <c r="AR22" i="79"/>
  <c r="Q13" i="16"/>
  <c r="AR22" i="84" s="1"/>
  <c r="H19" i="16"/>
  <c r="G41" i="47"/>
  <c r="N41" i="47" s="1"/>
  <c r="N40" i="47"/>
  <c r="G43" i="47" l="1"/>
  <c r="N43" i="47" s="1"/>
  <c r="K43" i="48"/>
  <c r="L41" i="47"/>
  <c r="F38" i="48"/>
  <c r="M43" i="48"/>
  <c r="L14" i="48"/>
  <c r="E8" i="48"/>
  <c r="L8" i="48" s="1"/>
  <c r="K14" i="48"/>
  <c r="D8" i="48"/>
  <c r="K8" i="48" s="1"/>
  <c r="L43" i="48"/>
  <c r="D43" i="47"/>
  <c r="K43" i="47" s="1"/>
  <c r="E38" i="48"/>
  <c r="K41" i="47"/>
  <c r="N43" i="48"/>
  <c r="N14" i="48"/>
  <c r="G8" i="48"/>
  <c r="N8" i="48" s="1"/>
  <c r="M14" i="48"/>
  <c r="F8" i="48"/>
  <c r="M8" i="48" s="1"/>
  <c r="F43" i="47"/>
  <c r="M43" i="47" s="1"/>
  <c r="M41" i="47"/>
  <c r="G38" i="48"/>
  <c r="E43" i="47"/>
  <c r="L43" i="47" s="1"/>
  <c r="BR92" i="53"/>
  <c r="U38" i="85" s="1"/>
  <c r="Q92" i="53"/>
  <c r="BW92" i="53" s="1"/>
  <c r="R92" i="53"/>
  <c r="U38" i="67"/>
  <c r="P92" i="73"/>
  <c r="O92" i="73"/>
  <c r="BN92" i="73" s="1"/>
  <c r="L93" i="53"/>
  <c r="AX92" i="53"/>
  <c r="G34" i="48" l="1"/>
  <c r="N38" i="48"/>
  <c r="L38" i="48"/>
  <c r="E34" i="48"/>
  <c r="M38" i="48"/>
  <c r="F34" i="48"/>
  <c r="CZ92" i="53"/>
  <c r="Z38" i="67"/>
  <c r="AA38" i="67"/>
  <c r="U134" i="67"/>
  <c r="Z134" i="67" s="1"/>
  <c r="BR93" i="53"/>
  <c r="U39" i="85" s="1"/>
  <c r="Q93" i="53"/>
  <c r="BW93" i="53" s="1"/>
  <c r="O93" i="73"/>
  <c r="BN93" i="73" s="1"/>
  <c r="R93" i="53"/>
  <c r="U39" i="67"/>
  <c r="P93" i="73"/>
  <c r="Z38" i="85"/>
  <c r="AA38" i="85"/>
  <c r="U134" i="85"/>
  <c r="Z134" i="85" s="1"/>
  <c r="N34" i="48" l="1"/>
  <c r="G19" i="48"/>
  <c r="N19" i="48" s="1"/>
  <c r="G44" i="48"/>
  <c r="M34" i="48"/>
  <c r="F19" i="48"/>
  <c r="M19" i="48" s="1"/>
  <c r="F44" i="48"/>
  <c r="L34" i="48"/>
  <c r="E19" i="48"/>
  <c r="L19" i="48" s="1"/>
  <c r="E44" i="48"/>
  <c r="Z39" i="67"/>
  <c r="AA39" i="67"/>
  <c r="Z39" i="85"/>
  <c r="AA39" i="85"/>
  <c r="L44" i="48" l="1"/>
  <c r="N44" i="48"/>
  <c r="M44" i="48"/>
  <c r="BY40" i="60" l="1"/>
  <c r="AJ60" i="53" l="1"/>
  <c r="BY44" i="60"/>
  <c r="AJ64" i="53"/>
  <c r="BY48" i="60"/>
  <c r="AJ67" i="53"/>
  <c r="CM67" i="53" l="1"/>
  <c r="AO67" i="53"/>
  <c r="CR67" i="53" s="1"/>
  <c r="AV67" i="73"/>
  <c r="CF67" i="73" s="1"/>
  <c r="AP67" i="53"/>
  <c r="AW67" i="73"/>
  <c r="AP60" i="53"/>
  <c r="AV60" i="73"/>
  <c r="CF60" i="73" s="1"/>
  <c r="AW60" i="73"/>
  <c r="AO60" i="53"/>
  <c r="CR60" i="53" s="1"/>
  <c r="CM60" i="53"/>
  <c r="AJ59" i="53"/>
  <c r="AW64" i="73"/>
  <c r="AO64" i="53"/>
  <c r="CR64" i="53" s="1"/>
  <c r="AP64" i="53"/>
  <c r="AV64" i="73"/>
  <c r="CF64" i="73" s="1"/>
  <c r="CM64" i="53"/>
  <c r="AJ63" i="53"/>
  <c r="AP63" i="53" l="1"/>
  <c r="AW63" i="73"/>
  <c r="U109" i="67"/>
  <c r="Z109" i="67" s="1"/>
  <c r="AV63" i="73"/>
  <c r="CF63" i="73" s="1"/>
  <c r="AO63" i="53"/>
  <c r="CR63" i="53" s="1"/>
  <c r="CM63" i="53"/>
  <c r="U109" i="85" s="1"/>
  <c r="Z109" i="85" s="1"/>
  <c r="AW59" i="73"/>
  <c r="AV59" i="73"/>
  <c r="CF59" i="73" s="1"/>
  <c r="AP59" i="53"/>
  <c r="AO59" i="53"/>
  <c r="CR59" i="53" s="1"/>
  <c r="U108" i="67"/>
  <c r="CM59" i="53"/>
  <c r="U108" i="85" s="1"/>
  <c r="AJ88" i="53"/>
  <c r="Z108" i="85" l="1"/>
  <c r="U112" i="85"/>
  <c r="AP88" i="53"/>
  <c r="CM88" i="53"/>
  <c r="AW88" i="73"/>
  <c r="AV88" i="73"/>
  <c r="CF88" i="73" s="1"/>
  <c r="D41" i="17"/>
  <c r="AJ95" i="53"/>
  <c r="AJ91" i="53"/>
  <c r="AO88" i="53"/>
  <c r="CR88" i="53" s="1"/>
  <c r="D23" i="20"/>
  <c r="Z108" i="67"/>
  <c r="U112" i="67"/>
  <c r="U113" i="85" l="1"/>
  <c r="Z112" i="85"/>
  <c r="Z112" i="67"/>
  <c r="U113" i="67"/>
  <c r="AO91" i="53"/>
  <c r="CR91" i="53" s="1"/>
  <c r="AW91" i="73"/>
  <c r="CM91" i="53"/>
  <c r="AP91" i="53"/>
  <c r="AJ93" i="53"/>
  <c r="AV91" i="73"/>
  <c r="CF91" i="73" s="1"/>
  <c r="AP95" i="53"/>
  <c r="CM95" i="53"/>
  <c r="AW95" i="73"/>
  <c r="AO95" i="53"/>
  <c r="CR95" i="53" s="1"/>
  <c r="AV95" i="73"/>
  <c r="CF95" i="73" s="1"/>
  <c r="BA40" i="60"/>
  <c r="AV40" i="60"/>
  <c r="D60" i="53"/>
  <c r="K23" i="20"/>
  <c r="D22" i="20"/>
  <c r="AS30" i="67"/>
  <c r="K41" i="17"/>
  <c r="AS30" i="85" s="1"/>
  <c r="AW40" i="60" l="1"/>
  <c r="BM40" i="60"/>
  <c r="T60" i="53"/>
  <c r="AX60" i="53" s="1"/>
  <c r="J60" i="53"/>
  <c r="I60" i="53"/>
  <c r="BP60" i="53" s="1"/>
  <c r="D60" i="73"/>
  <c r="BH60" i="73" s="1"/>
  <c r="BK60" i="53"/>
  <c r="E60" i="73"/>
  <c r="BD60" i="53"/>
  <c r="D59" i="53"/>
  <c r="K22" i="20"/>
  <c r="D29" i="20"/>
  <c r="AP40" i="60"/>
  <c r="BA48" i="60"/>
  <c r="AV48" i="60"/>
  <c r="D67" i="53"/>
  <c r="AW93" i="73"/>
  <c r="AO93" i="53"/>
  <c r="CR93" i="53" s="1"/>
  <c r="AP93" i="53"/>
  <c r="U115" i="67"/>
  <c r="Z115" i="67" s="1"/>
  <c r="CM93" i="53"/>
  <c r="U115" i="85" s="1"/>
  <c r="Z115" i="85" s="1"/>
  <c r="AV93" i="73"/>
  <c r="CF93" i="73" s="1"/>
  <c r="AV44" i="60"/>
  <c r="AP44" i="60"/>
  <c r="BA44" i="60"/>
  <c r="D64" i="53"/>
  <c r="E67" i="73" l="1"/>
  <c r="I67" i="53"/>
  <c r="BP67" i="53" s="1"/>
  <c r="J67" i="53"/>
  <c r="BK67" i="53"/>
  <c r="D67" i="73"/>
  <c r="BH67" i="73" s="1"/>
  <c r="BD67" i="53"/>
  <c r="DF67" i="53" s="1"/>
  <c r="K29" i="20"/>
  <c r="C76" i="49"/>
  <c r="DF60" i="53"/>
  <c r="BD59" i="53"/>
  <c r="CM40" i="60"/>
  <c r="AU40" i="60"/>
  <c r="CZ60" i="53"/>
  <c r="AX59" i="53"/>
  <c r="Z60" i="53"/>
  <c r="AA60" i="73"/>
  <c r="BY60" i="53"/>
  <c r="Y60" i="53"/>
  <c r="CD60" i="53" s="1"/>
  <c r="Z60" i="73"/>
  <c r="BT60" i="73" s="1"/>
  <c r="T59" i="53"/>
  <c r="AW48" i="60"/>
  <c r="BM48" i="60"/>
  <c r="T67" i="53"/>
  <c r="J64" i="53"/>
  <c r="D64" i="73"/>
  <c r="BH64" i="73" s="1"/>
  <c r="E64" i="73"/>
  <c r="I64" i="53"/>
  <c r="BP64" i="53" s="1"/>
  <c r="BK64" i="53"/>
  <c r="BD64" i="53"/>
  <c r="D63" i="53"/>
  <c r="AR36" i="79" s="1"/>
  <c r="AL36" i="79" s="1"/>
  <c r="AU44" i="60"/>
  <c r="CM44" i="60"/>
  <c r="AP48" i="60"/>
  <c r="I59" i="53"/>
  <c r="BP59" i="53" s="1"/>
  <c r="E59" i="73"/>
  <c r="J59" i="53"/>
  <c r="D59" i="73"/>
  <c r="BK59" i="53"/>
  <c r="U11" i="67"/>
  <c r="C25" i="47"/>
  <c r="AW44" i="60"/>
  <c r="BM44" i="60"/>
  <c r="T64" i="53"/>
  <c r="AX64" i="53" s="1"/>
  <c r="D100" i="53" l="1"/>
  <c r="D88" i="53"/>
  <c r="D88" i="73" s="1"/>
  <c r="CZ64" i="53"/>
  <c r="U11" i="85"/>
  <c r="J25" i="47"/>
  <c r="C23" i="48"/>
  <c r="BH59" i="73"/>
  <c r="E102" i="73"/>
  <c r="AA59" i="73"/>
  <c r="BY59" i="53"/>
  <c r="Z59" i="73"/>
  <c r="U53" i="67"/>
  <c r="U128" i="67" s="1"/>
  <c r="Z59" i="53"/>
  <c r="Y59" i="53"/>
  <c r="CD59" i="53" s="1"/>
  <c r="AA11" i="67"/>
  <c r="Z11" i="67"/>
  <c r="CM48" i="60"/>
  <c r="AU48" i="60"/>
  <c r="Z67" i="53"/>
  <c r="BY67" i="53"/>
  <c r="AA67" i="73"/>
  <c r="Z67" i="73"/>
  <c r="BT67" i="73" s="1"/>
  <c r="Y67" i="53"/>
  <c r="CD67" i="53" s="1"/>
  <c r="C77" i="49"/>
  <c r="AL41" i="67"/>
  <c r="AL42" i="67" s="1"/>
  <c r="I76" i="49"/>
  <c r="AL41" i="85" s="1"/>
  <c r="AL42" i="85" s="1"/>
  <c r="AX67" i="53"/>
  <c r="CZ67" i="53" s="1"/>
  <c r="BY64" i="53"/>
  <c r="Z64" i="53"/>
  <c r="AA64" i="73"/>
  <c r="Y64" i="53"/>
  <c r="CD64" i="53" s="1"/>
  <c r="T63" i="53"/>
  <c r="AR52" i="79" s="1"/>
  <c r="AL52" i="79" s="1"/>
  <c r="Z64" i="73"/>
  <c r="BT64" i="73" s="1"/>
  <c r="BK100" i="53"/>
  <c r="D111" i="53"/>
  <c r="BK111" i="53" s="1"/>
  <c r="J63" i="53"/>
  <c r="D63" i="73"/>
  <c r="I63" i="53"/>
  <c r="BP63" i="53" s="1"/>
  <c r="U12" i="67"/>
  <c r="E63" i="73"/>
  <c r="BK63" i="53"/>
  <c r="U12" i="85" s="1"/>
  <c r="CZ59" i="53"/>
  <c r="BD63" i="53"/>
  <c r="DF63" i="53" s="1"/>
  <c r="DF64" i="53"/>
  <c r="DF59" i="53"/>
  <c r="E88" i="73" l="1"/>
  <c r="D11" i="20"/>
  <c r="F85" i="1"/>
  <c r="V85" i="1" s="1"/>
  <c r="D10" i="17"/>
  <c r="D91" i="53"/>
  <c r="BK91" i="53" s="1"/>
  <c r="BK88" i="53"/>
  <c r="AR34" i="84" s="1"/>
  <c r="AL34" i="84" s="1"/>
  <c r="AR34" i="79"/>
  <c r="AL34" i="79" s="1"/>
  <c r="D95" i="53"/>
  <c r="J95" i="53" s="1"/>
  <c r="I88" i="53"/>
  <c r="BP88" i="53" s="1"/>
  <c r="J88" i="53"/>
  <c r="C26" i="47"/>
  <c r="J26" i="47" s="1"/>
  <c r="BD88" i="53"/>
  <c r="DF88" i="53" s="1"/>
  <c r="BH63" i="73"/>
  <c r="E103" i="73"/>
  <c r="U53" i="85"/>
  <c r="AA11" i="85"/>
  <c r="Z11" i="85"/>
  <c r="U15" i="85"/>
  <c r="AS34" i="84"/>
  <c r="AM34" i="84" s="1"/>
  <c r="AM59" i="84" s="1"/>
  <c r="E91" i="73"/>
  <c r="J91" i="53"/>
  <c r="I91" i="53"/>
  <c r="BP91" i="53" s="1"/>
  <c r="D91" i="73"/>
  <c r="BH91" i="73" s="1"/>
  <c r="D93" i="53"/>
  <c r="E106" i="73"/>
  <c r="BH88" i="73"/>
  <c r="C24" i="48"/>
  <c r="J24" i="48" s="1"/>
  <c r="AA63" i="73"/>
  <c r="Y63" i="53"/>
  <c r="CD63" i="53" s="1"/>
  <c r="Z63" i="73"/>
  <c r="U54" i="67"/>
  <c r="U57" i="67" s="1"/>
  <c r="Z63" i="53"/>
  <c r="BY63" i="53"/>
  <c r="U54" i="85" s="1"/>
  <c r="U129" i="85" s="1"/>
  <c r="Z129" i="85" s="1"/>
  <c r="D21" i="21"/>
  <c r="I77" i="49"/>
  <c r="T100" i="53"/>
  <c r="C22" i="47"/>
  <c r="AR36" i="84"/>
  <c r="AL36" i="84" s="1"/>
  <c r="K11" i="20"/>
  <c r="D10" i="20"/>
  <c r="AS6" i="67"/>
  <c r="K10" i="17"/>
  <c r="AS6" i="85" s="1"/>
  <c r="Z12" i="67"/>
  <c r="AA12" i="67"/>
  <c r="U129" i="67"/>
  <c r="Z129" i="67" s="1"/>
  <c r="Z128" i="67"/>
  <c r="T88" i="53"/>
  <c r="Z53" i="67"/>
  <c r="AA53" i="67"/>
  <c r="J23" i="48"/>
  <c r="AX63" i="53"/>
  <c r="Z12" i="85"/>
  <c r="AA12" i="85"/>
  <c r="U15" i="67"/>
  <c r="BT59" i="73"/>
  <c r="AA102" i="73"/>
  <c r="BD91" i="53" l="1"/>
  <c r="DF91" i="53" s="1"/>
  <c r="I95" i="53"/>
  <c r="BP95" i="53" s="1"/>
  <c r="BK95" i="53"/>
  <c r="E95" i="73"/>
  <c r="D95" i="73"/>
  <c r="BH95" i="73" s="1"/>
  <c r="BD95" i="53"/>
  <c r="DF95" i="53" s="1"/>
  <c r="C20" i="48"/>
  <c r="J20" i="48" s="1"/>
  <c r="U132" i="67"/>
  <c r="Z132" i="67" s="1"/>
  <c r="K21" i="21"/>
  <c r="AM57" i="85" s="1"/>
  <c r="D40" i="17"/>
  <c r="AM57" i="67"/>
  <c r="BT63" i="73"/>
  <c r="AA103" i="73"/>
  <c r="AA15" i="85"/>
  <c r="Z15" i="85"/>
  <c r="U16" i="85"/>
  <c r="AA53" i="85"/>
  <c r="Z53" i="85"/>
  <c r="U57" i="85"/>
  <c r="CZ63" i="53"/>
  <c r="AX88" i="53"/>
  <c r="AE7" i="67"/>
  <c r="AE9" i="67" s="1"/>
  <c r="C21" i="47"/>
  <c r="J21" i="47" s="1"/>
  <c r="J22" i="47"/>
  <c r="AE7" i="85" s="1"/>
  <c r="AE9" i="85" s="1"/>
  <c r="AA54" i="85"/>
  <c r="Z54" i="85"/>
  <c r="AA15" i="67"/>
  <c r="U16" i="67"/>
  <c r="Z15" i="67"/>
  <c r="T111" i="53"/>
  <c r="BY111" i="53" s="1"/>
  <c r="BY100" i="53"/>
  <c r="U58" i="67"/>
  <c r="Z57" i="67"/>
  <c r="AA57" i="67"/>
  <c r="T95" i="53"/>
  <c r="BY88" i="53"/>
  <c r="AR50" i="84" s="1"/>
  <c r="AL50" i="84" s="1"/>
  <c r="D24" i="17"/>
  <c r="Z88" i="53"/>
  <c r="Z88" i="73"/>
  <c r="AA88" i="73"/>
  <c r="Y88" i="53"/>
  <c r="CD88" i="53" s="1"/>
  <c r="AR50" i="79"/>
  <c r="AL50" i="79" s="1"/>
  <c r="F89" i="1"/>
  <c r="V89" i="1" s="1"/>
  <c r="D17" i="20"/>
  <c r="T91" i="53"/>
  <c r="K10" i="20"/>
  <c r="D25" i="20"/>
  <c r="Z54" i="67"/>
  <c r="AA54" i="67"/>
  <c r="E93" i="73"/>
  <c r="J93" i="53"/>
  <c r="D93" i="73"/>
  <c r="BH93" i="73" s="1"/>
  <c r="U18" i="67"/>
  <c r="BK93" i="53"/>
  <c r="U18" i="85" s="1"/>
  <c r="I93" i="53"/>
  <c r="BP93" i="53" s="1"/>
  <c r="U128" i="85"/>
  <c r="AR52" i="84"/>
  <c r="AL52" i="84" s="1"/>
  <c r="BD93" i="53" l="1"/>
  <c r="DF93" i="53" s="1"/>
  <c r="U133" i="67"/>
  <c r="K40" i="17"/>
  <c r="AS29" i="85" s="1"/>
  <c r="AS32" i="85" s="1"/>
  <c r="AS29" i="67"/>
  <c r="AS32" i="67" s="1"/>
  <c r="D42" i="17"/>
  <c r="AA18" i="67"/>
  <c r="Z18" i="67"/>
  <c r="Z91" i="73"/>
  <c r="BT91" i="73" s="1"/>
  <c r="Z91" i="53"/>
  <c r="BY91" i="53"/>
  <c r="AA91" i="73"/>
  <c r="Y91" i="53"/>
  <c r="CD91" i="53" s="1"/>
  <c r="T93" i="53"/>
  <c r="AS18" i="67"/>
  <c r="K24" i="17"/>
  <c r="AS18" i="85" s="1"/>
  <c r="CZ88" i="53"/>
  <c r="AX91" i="53"/>
  <c r="AX95" i="53"/>
  <c r="CZ95" i="53" s="1"/>
  <c r="AA18" i="85"/>
  <c r="Z18" i="85"/>
  <c r="K17" i="20"/>
  <c r="D16" i="20"/>
  <c r="U132" i="85"/>
  <c r="Z128" i="85"/>
  <c r="K25" i="20"/>
  <c r="C20" i="49"/>
  <c r="BT88" i="73"/>
  <c r="AA106" i="73"/>
  <c r="AA95" i="73"/>
  <c r="BY95" i="53"/>
  <c r="Z95" i="73"/>
  <c r="BT95" i="73" s="1"/>
  <c r="Y95" i="53"/>
  <c r="CD95" i="53" s="1"/>
  <c r="Z95" i="53"/>
  <c r="Z57" i="85"/>
  <c r="AA57" i="85"/>
  <c r="U58" i="85"/>
  <c r="AX93" i="53" l="1"/>
  <c r="CZ93" i="53" s="1"/>
  <c r="CZ91" i="53"/>
  <c r="AA93" i="73"/>
  <c r="Z93" i="53"/>
  <c r="U60" i="67"/>
  <c r="BY93" i="53"/>
  <c r="U60" i="85" s="1"/>
  <c r="Y93" i="53"/>
  <c r="CD93" i="53" s="1"/>
  <c r="Z93" i="73"/>
  <c r="BT93" i="73" s="1"/>
  <c r="Z132" i="85"/>
  <c r="U133" i="85"/>
  <c r="D20" i="22"/>
  <c r="K42" i="17"/>
  <c r="K16" i="20"/>
  <c r="D27" i="20"/>
  <c r="AL9" i="67"/>
  <c r="AL10" i="67" s="1"/>
  <c r="I20" i="49"/>
  <c r="AL9" i="85" s="1"/>
  <c r="AL10" i="85" s="1"/>
  <c r="C21" i="49"/>
  <c r="K27" i="20" l="1"/>
  <c r="C48" i="49"/>
  <c r="AA60" i="85"/>
  <c r="Z60" i="85"/>
  <c r="U135" i="85"/>
  <c r="Z135" i="85" s="1"/>
  <c r="J20" i="22"/>
  <c r="AL17" i="84" s="1"/>
  <c r="AL17" i="79"/>
  <c r="I21" i="49"/>
  <c r="D17" i="21"/>
  <c r="AA60" i="67"/>
  <c r="Z60" i="67"/>
  <c r="U135" i="67"/>
  <c r="Z135" i="67" s="1"/>
  <c r="K17" i="21" l="1"/>
  <c r="AM53" i="85" s="1"/>
  <c r="AM53" i="67"/>
  <c r="D9" i="17"/>
  <c r="I48" i="49"/>
  <c r="AL25" i="85" s="1"/>
  <c r="AL26" i="85" s="1"/>
  <c r="AL25" i="67"/>
  <c r="AL26" i="67" s="1"/>
  <c r="C49" i="49"/>
  <c r="AR39" i="84" l="1"/>
  <c r="AL39" i="84" s="1"/>
  <c r="AR39" i="79"/>
  <c r="AL39" i="79" s="1"/>
  <c r="AS5" i="67"/>
  <c r="AS8" i="67" s="1"/>
  <c r="D11" i="17"/>
  <c r="K9" i="17"/>
  <c r="AS5" i="85" s="1"/>
  <c r="AS8" i="85" s="1"/>
  <c r="I49" i="49"/>
  <c r="D19" i="21"/>
  <c r="AM55" i="67" l="1"/>
  <c r="AM58" i="67" s="1"/>
  <c r="K19" i="21"/>
  <c r="AM55" i="85" s="1"/>
  <c r="AM58" i="85" s="1"/>
  <c r="D23" i="17"/>
  <c r="D22" i="21"/>
  <c r="K22" i="21" s="1"/>
  <c r="F84" i="1"/>
  <c r="K11" i="17"/>
  <c r="D10" i="22"/>
  <c r="AS17" i="67" l="1"/>
  <c r="AS20" i="67" s="1"/>
  <c r="AR55" i="84"/>
  <c r="AL55" i="84" s="1"/>
  <c r="AR55" i="79"/>
  <c r="AL55" i="79" s="1"/>
  <c r="K23" i="17"/>
  <c r="AS17" i="85" s="1"/>
  <c r="AS20" i="85" s="1"/>
  <c r="D25" i="17"/>
  <c r="E8" i="16"/>
  <c r="AL5" i="79"/>
  <c r="J10" i="22"/>
  <c r="AL5" i="84" s="1"/>
  <c r="V84" i="1"/>
  <c r="F28" i="2"/>
  <c r="AR33" i="79" l="1"/>
  <c r="AL33" i="79" s="1"/>
  <c r="AL59" i="79" s="1"/>
  <c r="N8" i="16"/>
  <c r="Q28" i="2"/>
  <c r="R28" i="2"/>
  <c r="AC23" i="78"/>
  <c r="AC23" i="83"/>
  <c r="AR33" i="84"/>
  <c r="AL33" i="84" s="1"/>
  <c r="AL59" i="84" s="1"/>
  <c r="K25" i="17"/>
  <c r="F88" i="1"/>
  <c r="D14" i="22"/>
  <c r="C10" i="47"/>
  <c r="J10" i="47" l="1"/>
  <c r="F90" i="1"/>
  <c r="C9" i="47"/>
  <c r="C10" i="48"/>
  <c r="F30" i="2"/>
  <c r="V88" i="1"/>
  <c r="D16" i="22"/>
  <c r="E10" i="16"/>
  <c r="AL9" i="79"/>
  <c r="D18" i="22"/>
  <c r="D17" i="22"/>
  <c r="J14" i="22"/>
  <c r="AL9" i="84" s="1"/>
  <c r="AL12" i="79" l="1"/>
  <c r="J17" i="22"/>
  <c r="AL12" i="84" s="1"/>
  <c r="N10" i="16"/>
  <c r="E11" i="16"/>
  <c r="J10" i="48"/>
  <c r="C40" i="48"/>
  <c r="C9" i="48"/>
  <c r="J16" i="22"/>
  <c r="AL11" i="84" s="1"/>
  <c r="AL11" i="79"/>
  <c r="C8" i="47"/>
  <c r="C39" i="47"/>
  <c r="J39" i="47" s="1"/>
  <c r="AE4" i="67"/>
  <c r="J9" i="47"/>
  <c r="AE4" i="85" s="1"/>
  <c r="AL13" i="79"/>
  <c r="J18" i="22"/>
  <c r="AL13" i="84" s="1"/>
  <c r="V90" i="1"/>
  <c r="F31" i="2"/>
  <c r="AR49" i="84"/>
  <c r="AL49" i="84" s="1"/>
  <c r="AL61" i="84" s="1"/>
  <c r="AO27" i="84"/>
  <c r="AR49" i="79"/>
  <c r="AL49" i="79" s="1"/>
  <c r="AL61" i="79" s="1"/>
  <c r="AO27" i="79"/>
  <c r="AC25" i="83"/>
  <c r="AC25" i="78"/>
  <c r="R30" i="2"/>
  <c r="Q30" i="2"/>
  <c r="AE10" i="67" l="1"/>
  <c r="AE14" i="67" s="1"/>
  <c r="AE6" i="67"/>
  <c r="AE11" i="67" s="1"/>
  <c r="E13" i="16"/>
  <c r="N11" i="16"/>
  <c r="R31" i="2"/>
  <c r="AC26" i="78"/>
  <c r="Q31" i="2"/>
  <c r="AC26" i="83"/>
  <c r="J8" i="47"/>
  <c r="C40" i="47"/>
  <c r="J9" i="48"/>
  <c r="C18" i="48"/>
  <c r="C42" i="48"/>
  <c r="AE6" i="85"/>
  <c r="AE11" i="85" s="1"/>
  <c r="AE10" i="85"/>
  <c r="AE14" i="85" s="1"/>
  <c r="C34" i="48"/>
  <c r="J40" i="48"/>
  <c r="J18" i="48" l="1"/>
  <c r="C48" i="48"/>
  <c r="J48" i="48" s="1"/>
  <c r="C14" i="48"/>
  <c r="AO22" i="79"/>
  <c r="E19" i="16"/>
  <c r="N13" i="16"/>
  <c r="AO22" i="84" s="1"/>
  <c r="J34" i="48"/>
  <c r="C19" i="48"/>
  <c r="J19" i="48" s="1"/>
  <c r="J42" i="48"/>
  <c r="C43" i="48"/>
  <c r="J40" i="47"/>
  <c r="C41" i="47"/>
  <c r="J14" i="48" l="1"/>
  <c r="C8" i="48"/>
  <c r="J8" i="48" s="1"/>
  <c r="J41" i="47"/>
  <c r="D38" i="48"/>
  <c r="J43" i="48"/>
  <c r="C44" i="48"/>
  <c r="C43" i="47"/>
  <c r="J43" i="47" s="1"/>
  <c r="D34" i="48" l="1"/>
  <c r="K38" i="48"/>
  <c r="J44" i="48"/>
  <c r="C46" i="48"/>
  <c r="AE18" i="67" l="1"/>
  <c r="J46" i="48"/>
  <c r="AE18" i="85" s="1"/>
  <c r="D45" i="48"/>
  <c r="D19" i="48"/>
  <c r="K19" i="48" s="1"/>
  <c r="D44" i="48"/>
  <c r="K34" i="48"/>
  <c r="AF17" i="67" l="1"/>
  <c r="K45" i="48"/>
  <c r="AF17" i="85" s="1"/>
  <c r="K44" i="48"/>
  <c r="D46" i="48"/>
  <c r="K46" i="48" l="1"/>
  <c r="AF18" i="85" s="1"/>
  <c r="AF18" i="67"/>
  <c r="E45" i="48"/>
  <c r="E46" i="48" l="1"/>
  <c r="L45" i="48"/>
  <c r="AG17" i="85" s="1"/>
  <c r="AG17" i="67"/>
  <c r="AG18" i="67" l="1"/>
  <c r="F45" i="48"/>
  <c r="L46" i="48"/>
  <c r="AG18" i="85" s="1"/>
  <c r="M45" i="48" l="1"/>
  <c r="AH17" i="85" s="1"/>
  <c r="F46" i="48"/>
  <c r="AH17" i="67"/>
  <c r="AH18" i="67" l="1"/>
  <c r="G45" i="48"/>
  <c r="M46" i="48"/>
  <c r="AH18" i="85" s="1"/>
  <c r="G46" i="48" l="1"/>
  <c r="AI17" i="67"/>
  <c r="N45" i="48"/>
  <c r="AI17" i="85" s="1"/>
  <c r="N46" i="48" l="1"/>
  <c r="AI18" i="85" s="1"/>
  <c r="AI18" i="6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dk-kpeev</author>
  </authors>
  <commentList>
    <comment ref="C7" authorId="0" shapeId="0" xr:uid="{00000000-0006-0000-0000-000001000000}">
      <text>
        <r>
          <rPr>
            <b/>
            <sz val="9"/>
            <color indexed="81"/>
            <rFont val="Tahoma"/>
            <family val="2"/>
            <charset val="204"/>
          </rPr>
          <t>ДКЕВР:</t>
        </r>
        <r>
          <rPr>
            <sz val="9"/>
            <color indexed="81"/>
            <rFont val="Tahoma"/>
            <family val="2"/>
            <charset val="204"/>
          </rPr>
          <t xml:space="preserve">
Всички редове са задължителни!</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lllll</author>
    <author>user</author>
  </authors>
  <commentList>
    <comment ref="B18" authorId="0" shapeId="0" xr:uid="{00000000-0006-0000-0100-000001000000}">
      <text>
        <r>
          <rPr>
            <b/>
            <sz val="9"/>
            <color indexed="81"/>
            <rFont val="Tahoma"/>
            <family val="2"/>
            <charset val="204"/>
          </rPr>
          <t>КЕВР:</t>
        </r>
        <r>
          <rPr>
            <sz val="9"/>
            <color indexed="81"/>
            <rFont val="Tahoma"/>
            <family val="2"/>
            <charset val="204"/>
          </rPr>
          <t xml:space="preserve">
посочва се основанието, на което дружеството изпълнява дейността В и К оператор - (договор, концесия, ПЧП, решение на МС или ОС или друго)</t>
        </r>
      </text>
    </comment>
    <comment ref="B19" authorId="0" shapeId="0" xr:uid="{00000000-0006-0000-0100-000002000000}">
      <text>
        <r>
          <rPr>
            <b/>
            <sz val="9"/>
            <color indexed="81"/>
            <rFont val="Tahoma"/>
            <family val="2"/>
            <charset val="204"/>
          </rPr>
          <t>КЕВР:</t>
        </r>
        <r>
          <rPr>
            <sz val="9"/>
            <color indexed="81"/>
            <rFont val="Tahoma"/>
            <family val="2"/>
            <charset val="204"/>
          </rPr>
          <t xml:space="preserve">
в случай на необходимост добавете редове</t>
        </r>
      </text>
    </comment>
    <comment ref="B33" authorId="1" shapeId="0" xr:uid="{00000000-0006-0000-0100-000003000000}">
      <text>
        <r>
          <rPr>
            <b/>
            <sz val="9"/>
            <color indexed="81"/>
            <rFont val="Tahoma"/>
            <family val="2"/>
            <charset val="204"/>
          </rPr>
          <t>user:</t>
        </r>
        <r>
          <rPr>
            <sz val="9"/>
            <color indexed="81"/>
            <rFont val="Tahoma"/>
            <family val="2"/>
            <charset val="204"/>
          </rPr>
          <t xml:space="preserve">
Попълва се наименованието на ВиК оператора, на който се предоставя услугата.</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Ivan Chulev</author>
  </authors>
  <commentList>
    <comment ref="O10" authorId="0" shapeId="0" xr:uid="{10F77F96-CE6D-4728-ACCD-E368A6BB5596}">
      <text>
        <r>
          <rPr>
            <b/>
            <sz val="9"/>
            <color indexed="81"/>
            <rFont val="Tahoma"/>
            <family val="2"/>
            <charset val="204"/>
          </rPr>
          <t>Ivan Chulev:</t>
        </r>
        <r>
          <rPr>
            <sz val="9"/>
            <color indexed="81"/>
            <rFont val="Tahoma"/>
            <family val="2"/>
            <charset val="204"/>
          </rPr>
          <t xml:space="preserve">
след компенсации с корекционен коефициент на разхода 0.1386</t>
        </r>
      </text>
    </comment>
    <comment ref="O11" authorId="0" shapeId="0" xr:uid="{EC0C65C4-2C11-42DA-98E3-478835B710B5}">
      <text>
        <r>
          <rPr>
            <b/>
            <sz val="9"/>
            <color indexed="81"/>
            <rFont val="Tahoma"/>
            <family val="2"/>
            <charset val="204"/>
          </rPr>
          <t>Ivan Chulev:</t>
        </r>
        <r>
          <rPr>
            <sz val="9"/>
            <color indexed="81"/>
            <rFont val="Tahoma"/>
            <family val="2"/>
            <charset val="204"/>
          </rPr>
          <t xml:space="preserve">
след компенсации с корекционен коефициент на разхода 0.1386</t>
        </r>
      </text>
    </comment>
    <comment ref="O26" authorId="0" shapeId="0" xr:uid="{B82E8B70-1DF3-42C3-89CD-D9B5FAA47CBA}">
      <text>
        <r>
          <rPr>
            <b/>
            <sz val="9"/>
            <color indexed="81"/>
            <rFont val="Tahoma"/>
            <family val="2"/>
            <charset val="204"/>
          </rPr>
          <t>Ivan Chulev:</t>
        </r>
        <r>
          <rPr>
            <sz val="9"/>
            <color indexed="81"/>
            <rFont val="Tahoma"/>
            <family val="2"/>
            <charset val="204"/>
          </rPr>
          <t xml:space="preserve">
след компенсации с корекционен коефициент на разхода 0.1386</t>
        </r>
      </text>
    </comment>
    <comment ref="O41" authorId="0" shapeId="0" xr:uid="{529B7F44-856A-4FFD-A0DE-E2C9DA3C8E95}">
      <text>
        <r>
          <rPr>
            <b/>
            <sz val="9"/>
            <color indexed="81"/>
            <rFont val="Tahoma"/>
            <family val="2"/>
            <charset val="204"/>
          </rPr>
          <t>Ivan Chulev:</t>
        </r>
        <r>
          <rPr>
            <sz val="9"/>
            <color indexed="81"/>
            <rFont val="Tahoma"/>
            <family val="2"/>
            <charset val="204"/>
          </rPr>
          <t xml:space="preserve">
след компенсации с корекционен коефициент на разхода 0.1386</t>
        </r>
      </text>
    </comment>
    <comment ref="O42" authorId="0" shapeId="0" xr:uid="{29698EFD-FA3C-428D-A5FF-62E21FD41AEF}">
      <text>
        <r>
          <rPr>
            <b/>
            <sz val="9"/>
            <color indexed="81"/>
            <rFont val="Tahoma"/>
            <family val="2"/>
            <charset val="204"/>
          </rPr>
          <t>Ivan Chulev:</t>
        </r>
        <r>
          <rPr>
            <sz val="9"/>
            <color indexed="81"/>
            <rFont val="Tahoma"/>
            <family val="2"/>
            <charset val="204"/>
          </rPr>
          <t xml:space="preserve">
след компенсации с корекционен коефициент на разхода 0.1386</t>
        </r>
      </text>
    </comment>
    <comment ref="O73" authorId="0" shapeId="0" xr:uid="{2CE1574D-8EA8-483F-9125-274CDE8E000F}">
      <text>
        <r>
          <rPr>
            <b/>
            <sz val="9"/>
            <color indexed="81"/>
            <rFont val="Tahoma"/>
            <family val="2"/>
            <charset val="204"/>
          </rPr>
          <t>Ivan Chulev:</t>
        </r>
        <r>
          <rPr>
            <sz val="9"/>
            <color indexed="81"/>
            <rFont val="Tahoma"/>
            <family val="2"/>
            <charset val="204"/>
          </rPr>
          <t xml:space="preserve">
след компенсации с корекционен коефициент на разхода 0.1386</t>
        </r>
      </text>
    </comment>
    <comment ref="O74" authorId="0" shapeId="0" xr:uid="{D9E1BE25-F70A-4294-BCEE-F602BAC77797}">
      <text>
        <r>
          <rPr>
            <b/>
            <sz val="9"/>
            <color indexed="81"/>
            <rFont val="Tahoma"/>
            <family val="2"/>
            <charset val="204"/>
          </rPr>
          <t>Ivan Chulev:</t>
        </r>
        <r>
          <rPr>
            <sz val="9"/>
            <color indexed="81"/>
            <rFont val="Tahoma"/>
            <family val="2"/>
            <charset val="204"/>
          </rPr>
          <t xml:space="preserve">
след компенсации с корекционен коефициент на разхода 0.1386</t>
        </r>
      </text>
    </comment>
    <comment ref="O94" authorId="0" shapeId="0" xr:uid="{4684FB1A-FE98-46C8-83DC-3B3803B55CAA}">
      <text>
        <r>
          <rPr>
            <b/>
            <sz val="9"/>
            <color indexed="81"/>
            <rFont val="Tahoma"/>
            <family val="2"/>
            <charset val="204"/>
          </rPr>
          <t>Ivan Chulev:</t>
        </r>
        <r>
          <rPr>
            <sz val="9"/>
            <color indexed="81"/>
            <rFont val="Tahoma"/>
            <family val="2"/>
            <charset val="204"/>
          </rPr>
          <t xml:space="preserve">
след компенсации с корекционен коефициент на разхода 0.1386</t>
        </r>
      </text>
    </comment>
    <comment ref="O95" authorId="0" shapeId="0" xr:uid="{1A76EBA8-37B1-4AB9-B92E-62508BE9E2A1}">
      <text>
        <r>
          <rPr>
            <b/>
            <sz val="9"/>
            <color indexed="81"/>
            <rFont val="Tahoma"/>
            <family val="2"/>
            <charset val="204"/>
          </rPr>
          <t>Ivan Chulev:</t>
        </r>
        <r>
          <rPr>
            <sz val="9"/>
            <color indexed="81"/>
            <rFont val="Tahoma"/>
            <family val="2"/>
            <charset val="204"/>
          </rPr>
          <t xml:space="preserve">
след компенсации с корекционен коефициент на разхода 0.1386</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Sylvia</author>
  </authors>
  <commentList>
    <comment ref="AO7" authorId="0" shapeId="0" xr:uid="{00000000-0006-0000-0D00-000001000000}">
      <text>
        <r>
          <rPr>
            <b/>
            <sz val="9"/>
            <color indexed="81"/>
            <rFont val="Tahoma"/>
            <family val="2"/>
            <charset val="204"/>
          </rPr>
          <t>КЕВР:</t>
        </r>
        <r>
          <rPr>
            <sz val="9"/>
            <color indexed="81"/>
            <rFont val="Tahoma"/>
            <family val="2"/>
            <charset val="204"/>
          </rPr>
          <t xml:space="preserve">
резултатите в колоната трябва да са 0!</t>
        </r>
      </text>
    </comment>
    <comment ref="D214" authorId="0" shapeId="0" xr:uid="{00000000-0006-0000-0D00-000002000000}">
      <text>
        <r>
          <rPr>
            <b/>
            <sz val="9"/>
            <color indexed="81"/>
            <rFont val="Tahoma"/>
            <family val="2"/>
            <charset val="204"/>
          </rPr>
          <t>КЕВР:</t>
        </r>
        <r>
          <rPr>
            <sz val="9"/>
            <color indexed="81"/>
            <rFont val="Tahoma"/>
            <family val="2"/>
            <charset val="204"/>
          </rPr>
          <t xml:space="preserve">
при преоценени публични активи, да се нанесе реалната годишна амортизация, изчислена спрямо оставащия полезен живот на активите</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Sylvia</author>
  </authors>
  <commentList>
    <comment ref="E7" authorId="0" shapeId="0" xr:uid="{00000000-0006-0000-0E00-000001000000}">
      <text>
        <r>
          <rPr>
            <b/>
            <sz val="9"/>
            <color indexed="81"/>
            <rFont val="Tahoma"/>
            <family val="2"/>
            <charset val="204"/>
          </rPr>
          <t>КЕВР:</t>
        </r>
        <r>
          <rPr>
            <sz val="9"/>
            <color indexed="81"/>
            <rFont val="Tahoma"/>
            <family val="2"/>
            <charset val="204"/>
          </rPr>
          <t xml:space="preserve">
12 мес./ бр. месеци на амортизация</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tc={F1443688-EC0A-4D04-B2BC-3A30DA983F9F}</author>
  </authors>
  <commentList>
    <comment ref="C14" authorId="0" shapeId="0" xr:uid="{00000000-0006-0000-1400-000001000000}">
      <text>
        <t>[Коментар в нишка]
Вашата версия на Excel ви позволява да прочетете този коментар в нишка; обаче всички редакции към него ще бъдат премахнати, ако файлът бъде отворен в по-нова версия на Excel. Научете повече: https://go.microsoft.com/fwlink/?linkid=870924
Коментар:
    За 2024 г. - 801.00 лева</t>
      </text>
    </comment>
  </commentList>
</comments>
</file>

<file path=xl/sharedStrings.xml><?xml version="1.0" encoding="utf-8"?>
<sst xmlns="http://schemas.openxmlformats.org/spreadsheetml/2006/main" count="7628" uniqueCount="2005">
  <si>
    <t>Приложение № 2</t>
  </si>
  <si>
    <t>№</t>
  </si>
  <si>
    <t>Описание на параметъра</t>
  </si>
  <si>
    <t>F1</t>
  </si>
  <si>
    <t>iE5</t>
  </si>
  <si>
    <t>iD51a</t>
  </si>
  <si>
    <t>iD62a</t>
  </si>
  <si>
    <t>iD63a</t>
  </si>
  <si>
    <t>iD64a</t>
  </si>
  <si>
    <t>iD65a</t>
  </si>
  <si>
    <t>D51a</t>
  </si>
  <si>
    <t>D62a</t>
  </si>
  <si>
    <t>D63a</t>
  </si>
  <si>
    <t>D64a</t>
  </si>
  <si>
    <t>D65a</t>
  </si>
  <si>
    <t>iD51b</t>
  </si>
  <si>
    <t>iD62b</t>
  </si>
  <si>
    <t>iD63b</t>
  </si>
  <si>
    <t>iD64b</t>
  </si>
  <si>
    <t>iD65b</t>
  </si>
  <si>
    <t>D51b</t>
  </si>
  <si>
    <t>D62b</t>
  </si>
  <si>
    <t>D63b</t>
  </si>
  <si>
    <t>D64b</t>
  </si>
  <si>
    <t>D65b</t>
  </si>
  <si>
    <t>iD98</t>
  </si>
  <si>
    <t>iD99</t>
  </si>
  <si>
    <t>D35</t>
  </si>
  <si>
    <t>iC8</t>
  </si>
  <si>
    <t>D28</t>
  </si>
  <si>
    <t>C8</t>
  </si>
  <si>
    <t>F16</t>
  </si>
  <si>
    <t>E10</t>
  </si>
  <si>
    <t>wE4</t>
  </si>
  <si>
    <t>wE2</t>
  </si>
  <si>
    <t>iD97</t>
  </si>
  <si>
    <t>wD38a</t>
  </si>
  <si>
    <t>wD38b</t>
  </si>
  <si>
    <t>wD44</t>
  </si>
  <si>
    <t>wC1</t>
  </si>
  <si>
    <t>zD1</t>
  </si>
  <si>
    <t>A3</t>
  </si>
  <si>
    <t>wD13</t>
  </si>
  <si>
    <t>wA2</t>
  </si>
  <si>
    <t>wA15</t>
  </si>
  <si>
    <t>wA14</t>
  </si>
  <si>
    <t xml:space="preserve">D20 </t>
  </si>
  <si>
    <t>Ефективност на разходите за услугата доставяне на вода на потребителите</t>
  </si>
  <si>
    <t>G1</t>
  </si>
  <si>
    <t>G4</t>
  </si>
  <si>
    <t xml:space="preserve">Ефективност на разходите за услугата отвеждане на отпадъчни води </t>
  </si>
  <si>
    <t>iwG1b</t>
  </si>
  <si>
    <t>iwG4b</t>
  </si>
  <si>
    <t xml:space="preserve">Ефективност на разходите за услугата пречистване на отпадъчни води </t>
  </si>
  <si>
    <t>iwG1c</t>
  </si>
  <si>
    <t>iwG4c</t>
  </si>
  <si>
    <t>iG99</t>
  </si>
  <si>
    <t>iG98</t>
  </si>
  <si>
    <t>iG97</t>
  </si>
  <si>
    <t>iF98</t>
  </si>
  <si>
    <t>F24</t>
  </si>
  <si>
    <t>wF20</t>
  </si>
  <si>
    <t xml:space="preserve">iF88 </t>
  </si>
  <si>
    <t>iF99</t>
  </si>
  <si>
    <t>F23</t>
  </si>
  <si>
    <t>iF17</t>
  </si>
  <si>
    <t>F18</t>
  </si>
  <si>
    <t>F19</t>
  </si>
  <si>
    <t>wF12</t>
  </si>
  <si>
    <t xml:space="preserve">wF13 </t>
  </si>
  <si>
    <t xml:space="preserve">wF14 </t>
  </si>
  <si>
    <t xml:space="preserve">iwF15 </t>
  </si>
  <si>
    <t xml:space="preserve">wF16 </t>
  </si>
  <si>
    <t xml:space="preserve">iF89 </t>
  </si>
  <si>
    <t xml:space="preserve">iE8 </t>
  </si>
  <si>
    <t>iE10</t>
  </si>
  <si>
    <t xml:space="preserve">iwE8 </t>
  </si>
  <si>
    <t xml:space="preserve">iwE10 </t>
  </si>
  <si>
    <t>B1</t>
  </si>
  <si>
    <t>C24</t>
  </si>
  <si>
    <t>wB1</t>
  </si>
  <si>
    <t>C29</t>
  </si>
  <si>
    <t>Параметър</t>
  </si>
  <si>
    <t>5.3</t>
  </si>
  <si>
    <t>5.4</t>
  </si>
  <si>
    <t>Приложение към бизнес план</t>
  </si>
  <si>
    <t>Данни за В и К оператора</t>
  </si>
  <si>
    <t>Описание</t>
  </si>
  <si>
    <t>попълва се от В и К оператора</t>
  </si>
  <si>
    <t>Наименование на В и К оператора:</t>
  </si>
  <si>
    <t>1.1</t>
  </si>
  <si>
    <t>1.2</t>
  </si>
  <si>
    <t>град:</t>
  </si>
  <si>
    <t>1.3</t>
  </si>
  <si>
    <t>ЕИК по БУЛСТАТ:</t>
  </si>
  <si>
    <t>2</t>
  </si>
  <si>
    <t>2.1</t>
  </si>
  <si>
    <t>2.2</t>
  </si>
  <si>
    <t>Прогнозни години:</t>
  </si>
  <si>
    <t>3</t>
  </si>
  <si>
    <t>4</t>
  </si>
  <si>
    <t>4.1</t>
  </si>
  <si>
    <t>4.2</t>
  </si>
  <si>
    <t>4.3</t>
  </si>
  <si>
    <t>5</t>
  </si>
  <si>
    <t>5.1</t>
  </si>
  <si>
    <t>Приложение 1</t>
  </si>
  <si>
    <t>Общи данни за В и К оператора</t>
  </si>
  <si>
    <t>Справки:</t>
  </si>
  <si>
    <t>5.2</t>
  </si>
  <si>
    <t>Приложение 2</t>
  </si>
  <si>
    <t>Техническа част на бизнес плана</t>
  </si>
  <si>
    <t>Приложение 3</t>
  </si>
  <si>
    <t>Икономическа част на бизнес плана</t>
  </si>
  <si>
    <t>Приложение 4</t>
  </si>
  <si>
    <t xml:space="preserve">Социална поносимост и социални дейности </t>
  </si>
  <si>
    <t>ПК1</t>
  </si>
  <si>
    <t>ПК2а</t>
  </si>
  <si>
    <t>ПК2б</t>
  </si>
  <si>
    <t>ПК2в</t>
  </si>
  <si>
    <t>ПК3</t>
  </si>
  <si>
    <t>ПК5</t>
  </si>
  <si>
    <t>ПК7а</t>
  </si>
  <si>
    <t>ПК7б</t>
  </si>
  <si>
    <t>ПК8</t>
  </si>
  <si>
    <t>ПК9</t>
  </si>
  <si>
    <t>ПК10</t>
  </si>
  <si>
    <t>ПК11а</t>
  </si>
  <si>
    <t>ПК11б</t>
  </si>
  <si>
    <t>ПК11в</t>
  </si>
  <si>
    <t>ПК11г</t>
  </si>
  <si>
    <t>ПК12а</t>
  </si>
  <si>
    <t>ПК12б</t>
  </si>
  <si>
    <t>ПК12в</t>
  </si>
  <si>
    <t>ПК12г</t>
  </si>
  <si>
    <t>ПК13</t>
  </si>
  <si>
    <t>ПК14а</t>
  </si>
  <si>
    <t>ПК14б</t>
  </si>
  <si>
    <t>ПК15а</t>
  </si>
  <si>
    <t>ПК15б</t>
  </si>
  <si>
    <t>Приложение № 1</t>
  </si>
  <si>
    <t>1</t>
  </si>
  <si>
    <t>Данни за търговското дружество</t>
  </si>
  <si>
    <t>Наименование на дружеството:</t>
  </si>
  <si>
    <t>Седалище:</t>
  </si>
  <si>
    <t>1.4</t>
  </si>
  <si>
    <t>Адрес на управление:</t>
  </si>
  <si>
    <t>1.5</t>
  </si>
  <si>
    <t>Дружеството се представлява от:</t>
  </si>
  <si>
    <t>1.6</t>
  </si>
  <si>
    <t>Рег.номер по ЗЗЛД в КЗЛД:</t>
  </si>
  <si>
    <t>1.7</t>
  </si>
  <si>
    <t>Рег.номер по ЗДДС, издаден на:</t>
  </si>
  <si>
    <t>1.8</t>
  </si>
  <si>
    <t>В и К оператор по силата на:</t>
  </si>
  <si>
    <t>1.9</t>
  </si>
  <si>
    <t>Съдружници/акционери; дялове</t>
  </si>
  <si>
    <t xml:space="preserve">Адрес за кореспонденция: </t>
  </si>
  <si>
    <t xml:space="preserve">Лица за кореспонденция: </t>
  </si>
  <si>
    <t>2.2.1</t>
  </si>
  <si>
    <t>сл. тел.:</t>
  </si>
  <si>
    <t>мобилен тел.:</t>
  </si>
  <si>
    <t xml:space="preserve">факс: </t>
  </si>
  <si>
    <t>e-mail:</t>
  </si>
  <si>
    <t>2.2.2</t>
  </si>
  <si>
    <t xml:space="preserve">Секретар: </t>
  </si>
  <si>
    <t>Мярка</t>
  </si>
  <si>
    <t>І.</t>
  </si>
  <si>
    <t>Доставяне на вода на потребители</t>
  </si>
  <si>
    <t>2.3</t>
  </si>
  <si>
    <t>%</t>
  </si>
  <si>
    <t>3.1</t>
  </si>
  <si>
    <t>3.2</t>
  </si>
  <si>
    <t>ІІ.</t>
  </si>
  <si>
    <t>Отвеждане на отпадъчни води</t>
  </si>
  <si>
    <t>Отведени количества отпадъчни води</t>
  </si>
  <si>
    <t>7.1</t>
  </si>
  <si>
    <t>Битови и приравнените към тях обществени, търговски и др.</t>
  </si>
  <si>
    <t>7.2</t>
  </si>
  <si>
    <t>Промишлени и други стопански потребители</t>
  </si>
  <si>
    <t>степен на замърсяване 1</t>
  </si>
  <si>
    <t>степен на замърсяване 2</t>
  </si>
  <si>
    <t>степен на замърсяване 3</t>
  </si>
  <si>
    <t>ІІІ.</t>
  </si>
  <si>
    <t>Пречистване на отпадъчни води</t>
  </si>
  <si>
    <t>Пречистени  количества отпадъчни води</t>
  </si>
  <si>
    <t>Пречистени количества отпадъчна вода според:</t>
  </si>
  <si>
    <t>Указания за попълване на справката</t>
  </si>
  <si>
    <t>1. Попълват се само клетките в жълт цвят</t>
  </si>
  <si>
    <t>Приложение № 3</t>
  </si>
  <si>
    <t>(хил. лв.)</t>
  </si>
  <si>
    <t>Дейности</t>
  </si>
  <si>
    <t>Отчет</t>
  </si>
  <si>
    <t>Разчет</t>
  </si>
  <si>
    <t>Общо:</t>
  </si>
  <si>
    <t>Остатъчна стойност от предишния период</t>
  </si>
  <si>
    <t>Получен през периода</t>
  </si>
  <si>
    <t>Погасяване на главници</t>
  </si>
  <si>
    <t>Лихви</t>
  </si>
  <si>
    <t>Лихви (%)</t>
  </si>
  <si>
    <t>Общо погасителни вноски</t>
  </si>
  <si>
    <t>Остатък главница</t>
  </si>
  <si>
    <t xml:space="preserve"> </t>
  </si>
  <si>
    <t xml:space="preserve">№ </t>
  </si>
  <si>
    <t>Наименование</t>
  </si>
  <si>
    <t>1.</t>
  </si>
  <si>
    <t>2.</t>
  </si>
  <si>
    <t>Доставяне на вода на потребителите</t>
  </si>
  <si>
    <t>Отвеждане на отпадъчните води</t>
  </si>
  <si>
    <t>Пречистване на отпадъчните води</t>
  </si>
  <si>
    <t>Доставяне вода на потребителите</t>
  </si>
  <si>
    <t>Съоръжения</t>
  </si>
  <si>
    <t>Транспортни средства</t>
  </si>
  <si>
    <t>Други ДМА</t>
  </si>
  <si>
    <t xml:space="preserve">Програмни продукти </t>
  </si>
  <si>
    <t>Продукти от развойна дейност</t>
  </si>
  <si>
    <t>Други ДНМА</t>
  </si>
  <si>
    <t>Земя</t>
  </si>
  <si>
    <t>Годишна амортизационна квота</t>
  </si>
  <si>
    <t>3.</t>
  </si>
  <si>
    <t xml:space="preserve">Начислена до момента амортизация </t>
  </si>
  <si>
    <t>4.</t>
  </si>
  <si>
    <t>Балансова стойност</t>
  </si>
  <si>
    <t>Разходи по икономически елементи</t>
  </si>
  <si>
    <t>Регулирана дейност</t>
  </si>
  <si>
    <t>Нерегулирана дейност</t>
  </si>
  <si>
    <t>Разходи за материали</t>
  </si>
  <si>
    <t xml:space="preserve">материали </t>
  </si>
  <si>
    <t xml:space="preserve"> - за обеззаразяване</t>
  </si>
  <si>
    <t xml:space="preserve"> - за коагуланти</t>
  </si>
  <si>
    <t xml:space="preserve"> - за флокуланти</t>
  </si>
  <si>
    <t xml:space="preserve"> - за ЛТК (лабораторно-технологични комплекси)</t>
  </si>
  <si>
    <t>електроенергия за технологични нужди</t>
  </si>
  <si>
    <t>горива и смазочни материали</t>
  </si>
  <si>
    <t>1.3.1</t>
  </si>
  <si>
    <t xml:space="preserve"> -за технологични нужди</t>
  </si>
  <si>
    <t>работно облекло</t>
  </si>
  <si>
    <t>канцеларски материали</t>
  </si>
  <si>
    <t>други</t>
  </si>
  <si>
    <t>Разходи за външни услуги</t>
  </si>
  <si>
    <t>застраховки</t>
  </si>
  <si>
    <t>разходи за доставяне на вода на входа на ВС от друг доставчик</t>
  </si>
  <si>
    <t>2.4</t>
  </si>
  <si>
    <t>наеми, в т.ч. и оперативен лизинг</t>
  </si>
  <si>
    <t>2.5</t>
  </si>
  <si>
    <t>съобщителни услуги</t>
  </si>
  <si>
    <t>2.6</t>
  </si>
  <si>
    <t>транспортни услуги</t>
  </si>
  <si>
    <t>2.7</t>
  </si>
  <si>
    <t>вода, осветление и отопление</t>
  </si>
  <si>
    <t>2.8</t>
  </si>
  <si>
    <t>разходи за публикации</t>
  </si>
  <si>
    <t>2.9</t>
  </si>
  <si>
    <t xml:space="preserve"> - юридически</t>
  </si>
  <si>
    <t xml:space="preserve"> - финансово-счетоводни и одиторски</t>
  </si>
  <si>
    <t xml:space="preserve"> - технически</t>
  </si>
  <si>
    <t>2.10</t>
  </si>
  <si>
    <t>въоръжена и противопожарна охрана</t>
  </si>
  <si>
    <t>2.11</t>
  </si>
  <si>
    <t>суми по договори за инкасиране</t>
  </si>
  <si>
    <t>2.12</t>
  </si>
  <si>
    <t>съдебни разходи</t>
  </si>
  <si>
    <t>2.13</t>
  </si>
  <si>
    <t>3.1.</t>
  </si>
  <si>
    <t>3.2.</t>
  </si>
  <si>
    <t>разходи за трудови възнаграждения</t>
  </si>
  <si>
    <t>социални разходи</t>
  </si>
  <si>
    <t>Други разходи</t>
  </si>
  <si>
    <t>6.1</t>
  </si>
  <si>
    <t>безплатна храна, съгласно нормативен документ</t>
  </si>
  <si>
    <t>6.2</t>
  </si>
  <si>
    <t>охрана на труда</t>
  </si>
  <si>
    <t>6.3</t>
  </si>
  <si>
    <t>служебни карти и пътувания</t>
  </si>
  <si>
    <t>6.4</t>
  </si>
  <si>
    <t>командировки</t>
  </si>
  <si>
    <t>6.5</t>
  </si>
  <si>
    <t>ОБЩО РАЗХОДИ</t>
  </si>
  <si>
    <t>Приложение № 4</t>
  </si>
  <si>
    <t>Показател</t>
  </si>
  <si>
    <t xml:space="preserve">Мярка </t>
  </si>
  <si>
    <t xml:space="preserve">Цена за доставяне на вода на потребителите </t>
  </si>
  <si>
    <r>
      <t>лв./куб.м (</t>
    </r>
    <r>
      <rPr>
        <i/>
        <sz val="9"/>
        <rFont val="Times New Roman"/>
        <family val="1"/>
        <charset val="204"/>
      </rPr>
      <t>без ДДС</t>
    </r>
    <r>
      <rPr>
        <sz val="9"/>
        <rFont val="Times New Roman"/>
        <family val="1"/>
        <charset val="204"/>
      </rPr>
      <t>)</t>
    </r>
  </si>
  <si>
    <t xml:space="preserve">Цена за отвеждане на отпадъчни води  </t>
  </si>
  <si>
    <t xml:space="preserve">Цена за пречистване на отпадъчни води  </t>
  </si>
  <si>
    <r>
      <t>лв./куб.м (</t>
    </r>
    <r>
      <rPr>
        <b/>
        <i/>
        <sz val="9"/>
        <rFont val="Times New Roman"/>
        <family val="1"/>
        <charset val="204"/>
      </rPr>
      <t>с ДДС</t>
    </r>
    <r>
      <rPr>
        <b/>
        <sz val="9"/>
        <rFont val="Times New Roman"/>
        <family val="1"/>
        <charset val="204"/>
      </rPr>
      <t>)</t>
    </r>
  </si>
  <si>
    <t>Минимално битово потребление</t>
  </si>
  <si>
    <t>куб.м/мес. на 1 човек</t>
  </si>
  <si>
    <t>лева</t>
  </si>
  <si>
    <t>Средно месечен доход на лице от домакинството в региона</t>
  </si>
  <si>
    <t>лева за месец</t>
  </si>
  <si>
    <t>Социална поносимост на цената на ВиК услугите</t>
  </si>
  <si>
    <t xml:space="preserve">лв./куб.м </t>
  </si>
  <si>
    <t xml:space="preserve">Описание </t>
  </si>
  <si>
    <t>Възвръщаемост за съответната В и К услуга</t>
  </si>
  <si>
    <t>хил.лв.</t>
  </si>
  <si>
    <t>Признати годишни разходи за съответната В и К услуга</t>
  </si>
  <si>
    <t>Необходими годишни приходи за съответната В и К услуга</t>
  </si>
  <si>
    <t>Отведени и пречистени количества вода</t>
  </si>
  <si>
    <t>Количества за битови и приравнени на тях потребители</t>
  </si>
  <si>
    <t>Количества за промишлени и други стопански потребители според степента на замърсяване</t>
  </si>
  <si>
    <t xml:space="preserve"> Коефициенти за разпределение на необходимите приходи</t>
  </si>
  <si>
    <t>Коефициент за замърсеност степен 1</t>
  </si>
  <si>
    <t>Коефициент за замърсеност степен 2</t>
  </si>
  <si>
    <t>Коефициент за замърсеност степен 3</t>
  </si>
  <si>
    <t>Регулаторна база на активите</t>
  </si>
  <si>
    <t xml:space="preserve">Оборотен капитал </t>
  </si>
  <si>
    <t>Показатели за определяне на небходимия оборотен капитал (ОК)</t>
  </si>
  <si>
    <t>5.</t>
  </si>
  <si>
    <t>Нетен цикъл на оборотния капитал</t>
  </si>
  <si>
    <t>дни</t>
  </si>
  <si>
    <t>6.</t>
  </si>
  <si>
    <t>Брой нетни цикли на оборотния капитал в годината</t>
  </si>
  <si>
    <t>-</t>
  </si>
  <si>
    <t>7.</t>
  </si>
  <si>
    <t>Годишни парични разходи за дейността "Доставяне на вода на потребителите"</t>
  </si>
  <si>
    <t>Признати годишни разходи за дейността</t>
  </si>
  <si>
    <t>8.</t>
  </si>
  <si>
    <t>Годишни парични разходи за дейността "Отвеждане на отпадъчни води"</t>
  </si>
  <si>
    <t>Годишни парични разходи за дейността "Пречистване на отпадъчни води"</t>
  </si>
  <si>
    <t>ОК за дейността "Доставяне на вода на потребителите"</t>
  </si>
  <si>
    <t>ОК за дейността "Отвеждане на отпадъчни води"</t>
  </si>
  <si>
    <t>ОК за дейността "Пречистване на отпадъчни води"</t>
  </si>
  <si>
    <t>хил. лв.</t>
  </si>
  <si>
    <t>Данъчни задължения</t>
  </si>
  <si>
    <t>Дял на собствения капитал</t>
  </si>
  <si>
    <t>Дял на привлечения капитал</t>
  </si>
  <si>
    <t xml:space="preserve">Възвръщаемост </t>
  </si>
  <si>
    <t>лв./куб.м</t>
  </si>
  <si>
    <t>Инвестиции</t>
  </si>
  <si>
    <t>iD96</t>
  </si>
  <si>
    <t>Източници за финансиране, общо, в т.ч.:</t>
  </si>
  <si>
    <t>Планирани инвестиции, общо:</t>
  </si>
  <si>
    <t>График за изграждане по години, (хил.лв.)</t>
  </si>
  <si>
    <t>Отчетна стойност</t>
  </si>
  <si>
    <t>1.1.1</t>
  </si>
  <si>
    <t>1.1.2</t>
  </si>
  <si>
    <t>1.1.3</t>
  </si>
  <si>
    <t>1.1.4</t>
  </si>
  <si>
    <t>Минимален месечен разход за вода на член от домакинството</t>
  </si>
  <si>
    <t xml:space="preserve">Количества доставена вода </t>
  </si>
  <si>
    <t>Приложение 5</t>
  </si>
  <si>
    <t>Ценови модел</t>
  </si>
  <si>
    <t>Приложение 6</t>
  </si>
  <si>
    <t>Справка № 2 - Променливи за изчисление на показателите за качество на предоставяните В и К услуги</t>
  </si>
  <si>
    <t xml:space="preserve">Справка № 3 - Показатели за качество на предоставяните В и К услуги </t>
  </si>
  <si>
    <t>Приложение № 5</t>
  </si>
  <si>
    <t>Ел.енергия</t>
  </si>
  <si>
    <t>кВтч</t>
  </si>
  <si>
    <t>Обобщена справка за консумацията и производството на ел.енергия</t>
  </si>
  <si>
    <t>Енергийна ефективност</t>
  </si>
  <si>
    <t>6.2.1</t>
  </si>
  <si>
    <t>Описание на проекта</t>
  </si>
  <si>
    <t>Код 
счетоводна сметка 
ДМА</t>
  </si>
  <si>
    <t xml:space="preserve">рехабилитация и изграждане на нови </t>
  </si>
  <si>
    <t>Сондажи и каптажи</t>
  </si>
  <si>
    <t>Санитарно-охранителни зони</t>
  </si>
  <si>
    <t>Довеждащи съоръжения</t>
  </si>
  <si>
    <t xml:space="preserve">реконструкции и изграждане на нови довеждащи  водопроводи </t>
  </si>
  <si>
    <t>Пречиствателни станции за питейни води</t>
  </si>
  <si>
    <t>сгради,съоръжения и оборудване</t>
  </si>
  <si>
    <t>Помпени станции</t>
  </si>
  <si>
    <t>Хидрофори</t>
  </si>
  <si>
    <t>Рехабилитация  и разширение на водопроводната мрежа над 10 м</t>
  </si>
  <si>
    <t>реконструкции и изграждане на нови  водопроводи над 10 м</t>
  </si>
  <si>
    <t>Сградни водопроводни отклонения</t>
  </si>
  <si>
    <t>подмяна и изграждане на нови</t>
  </si>
  <si>
    <t>Кранове и хидранти</t>
  </si>
  <si>
    <t xml:space="preserve">Управление на налягането </t>
  </si>
  <si>
    <t>Проучване и моделиране на водопроводната мрежа</t>
  </si>
  <si>
    <t>разходи за персонал, външни услуги и СМР за проучване и моделиране</t>
  </si>
  <si>
    <t>разширение на СКАДА и оборудване</t>
  </si>
  <si>
    <t>Лаборатория за питейни води</t>
  </si>
  <si>
    <t>апаратура и оборудване</t>
  </si>
  <si>
    <t>Лекотоварни автомобили за водоснабдяване</t>
  </si>
  <si>
    <t>покупка на нови и капиталов ремонт на съществуващи</t>
  </si>
  <si>
    <t>Тежкотоварни автомобили за водоснабдяване</t>
  </si>
  <si>
    <t>Строителна и специализирана механизация за водоснабдяване</t>
  </si>
  <si>
    <t>Канализационни помпени станции</t>
  </si>
  <si>
    <t>Рехабилитация  и разширение на канализационната мрежа над 10 м</t>
  </si>
  <si>
    <t>реконструкции и изграждане на нови канали над 10 м</t>
  </si>
  <si>
    <t>Сградни канализационни отклонения</t>
  </si>
  <si>
    <t>Проучване и моделиране на канализационната мрежа</t>
  </si>
  <si>
    <t>Лекотоварни автомобили  за канализация</t>
  </si>
  <si>
    <t>Тежкотоварни автомобили  за канализация</t>
  </si>
  <si>
    <t>Пречиствателни станции за отпадъчни води</t>
  </si>
  <si>
    <t>Лаборатория за отпадъчни води</t>
  </si>
  <si>
    <t>Лекотоварни автомобили  за  ПСОВ</t>
  </si>
  <si>
    <t>Тежкотоварни автомобили  за  ПСОВ</t>
  </si>
  <si>
    <t>Строителна и специализирана механизация  за ПСОВ</t>
  </si>
  <si>
    <t>Приходни водомери</t>
  </si>
  <si>
    <t>Приходни водомери с дистанционно отчитане</t>
  </si>
  <si>
    <t>Административни и обслужващи сгради и конструкции</t>
  </si>
  <si>
    <t>изграждане на нови и капиталов ремонт на съществуващи</t>
  </si>
  <si>
    <t>Стопански инвентар и офис оборудване</t>
  </si>
  <si>
    <t>покупка на нов и капиталов ремонт на съществуващ</t>
  </si>
  <si>
    <t>покупка на нови и надграждане и разширяване на съществуващи</t>
  </si>
  <si>
    <t>ИТ хардуер</t>
  </si>
  <si>
    <t>% Водоснабдяване:</t>
  </si>
  <si>
    <t>% Пречистване:</t>
  </si>
  <si>
    <t>ДРУГИ ИНВЕСТИЦИИ- разпределение:</t>
  </si>
  <si>
    <t>ОБЩО ИНВЕСТИЦИИ след разпределение:</t>
  </si>
  <si>
    <t>I.</t>
  </si>
  <si>
    <t>Собствени Дълготрайни Активи</t>
  </si>
  <si>
    <t>Сгради и конструкции</t>
  </si>
  <si>
    <t>Машини, апаратура и специализирано оборудване</t>
  </si>
  <si>
    <t>Строителна и специализирана механизация</t>
  </si>
  <si>
    <t>Ел. оборудване</t>
  </si>
  <si>
    <t xml:space="preserve">Измервателни устройства </t>
  </si>
  <si>
    <t xml:space="preserve"> Друго специализирано оборудване</t>
  </si>
  <si>
    <t xml:space="preserve"> Тежкотоварни</t>
  </si>
  <si>
    <t>Лекотоварни</t>
  </si>
  <si>
    <t>Автомобили</t>
  </si>
  <si>
    <t>Компютърна техника</t>
  </si>
  <si>
    <t>Дълготрайни материални активи в процес на изграждане</t>
  </si>
  <si>
    <t>Нематериални активи в процес на изграждане</t>
  </si>
  <si>
    <t>II.</t>
  </si>
  <si>
    <t>Ел. съоръжения</t>
  </si>
  <si>
    <t>Каптажи</t>
  </si>
  <si>
    <t>Сондажни и шахтови кладенци</t>
  </si>
  <si>
    <t xml:space="preserve">Водопроводи, вкл.СВО </t>
  </si>
  <si>
    <t>Канализация, вкл. СКО</t>
  </si>
  <si>
    <t>Съоръжения в пречиствателни, помпени, хлораторни станции и резервоари</t>
  </si>
  <si>
    <t>Други ВиК съоръжения</t>
  </si>
  <si>
    <t>III.</t>
  </si>
  <si>
    <t>Административни и обслужващи сгради</t>
  </si>
  <si>
    <t>Производствени сгради</t>
  </si>
  <si>
    <t>Машини</t>
  </si>
  <si>
    <t>Апаратура</t>
  </si>
  <si>
    <t>Ел. табла</t>
  </si>
  <si>
    <t>ВиК оборудване</t>
  </si>
  <si>
    <t>Трафопост</t>
  </si>
  <si>
    <t>Електропровод</t>
  </si>
  <si>
    <t>ВиК съоръжения</t>
  </si>
  <si>
    <t>Други съоръжения</t>
  </si>
  <si>
    <t>Офис оборудване</t>
  </si>
  <si>
    <t>1.3.2</t>
  </si>
  <si>
    <t>други разходи за материали</t>
  </si>
  <si>
    <t>1.7.1</t>
  </si>
  <si>
    <t>1.7.2</t>
  </si>
  <si>
    <t>1.7.3</t>
  </si>
  <si>
    <t>консултански услуги</t>
  </si>
  <si>
    <t xml:space="preserve"> - други консултантски услуги</t>
  </si>
  <si>
    <t>обучения на персонала</t>
  </si>
  <si>
    <t>2.14</t>
  </si>
  <si>
    <t>други разходи за външни услуги</t>
  </si>
  <si>
    <t>Разходи за амортизации</t>
  </si>
  <si>
    <t>разходи за амортизации на собствени активи</t>
  </si>
  <si>
    <t>Разходи за възнаграждения</t>
  </si>
  <si>
    <t>Разходи за осигуровки</t>
  </si>
  <si>
    <t>Данъци и такси</t>
  </si>
  <si>
    <t>местни данъци и такси</t>
  </si>
  <si>
    <t>такси за регулиране</t>
  </si>
  <si>
    <t>такси за ползване на водни обекти</t>
  </si>
  <si>
    <t>такси  за заустване</t>
  </si>
  <si>
    <t>други данъци и такси</t>
  </si>
  <si>
    <t>7.3</t>
  </si>
  <si>
    <t>7.4</t>
  </si>
  <si>
    <t>7.5</t>
  </si>
  <si>
    <t>7.6</t>
  </si>
  <si>
    <t>7.7</t>
  </si>
  <si>
    <t xml:space="preserve">Вид оперативен ремонт / Направление на оперативен ремонт
</t>
  </si>
  <si>
    <t>Количества (единица мярка)</t>
  </si>
  <si>
    <t>1.1.</t>
  </si>
  <si>
    <t>Ремонт на водоизточници</t>
  </si>
  <si>
    <t>1.2.</t>
  </si>
  <si>
    <t>1.3.</t>
  </si>
  <si>
    <t>Ремонт на участъци от водопроводната мрежа под 10 м</t>
  </si>
  <si>
    <t>1.4.</t>
  </si>
  <si>
    <t>Ремонт на СВО</t>
  </si>
  <si>
    <t>1.5.</t>
  </si>
  <si>
    <t>Ремонт на спирателни кранове и хидранти</t>
  </si>
  <si>
    <t>1.6.</t>
  </si>
  <si>
    <t>1.7.</t>
  </si>
  <si>
    <t>1.8.</t>
  </si>
  <si>
    <t>1.9.</t>
  </si>
  <si>
    <t>1.10.</t>
  </si>
  <si>
    <t>2.1.</t>
  </si>
  <si>
    <t>Ремонт на участъци от канализационна мрежа под 10 м</t>
  </si>
  <si>
    <t>2.2.</t>
  </si>
  <si>
    <t>Ремонт на СКО</t>
  </si>
  <si>
    <t>2.3.</t>
  </si>
  <si>
    <t>2.4.</t>
  </si>
  <si>
    <t>2.5.</t>
  </si>
  <si>
    <t>2.6.</t>
  </si>
  <si>
    <t>3.3.</t>
  </si>
  <si>
    <t>3.4.</t>
  </si>
  <si>
    <t>3.5.</t>
  </si>
  <si>
    <t xml:space="preserve">Наименование </t>
  </si>
  <si>
    <t>ПРИХОДИ</t>
  </si>
  <si>
    <t>Приходи от оперативна дейност</t>
  </si>
  <si>
    <t>Други приходи</t>
  </si>
  <si>
    <t>Приходи от строителство</t>
  </si>
  <si>
    <t>Приходи от финансирания</t>
  </si>
  <si>
    <t>Финансови приходи</t>
  </si>
  <si>
    <t>Приходи от лихви</t>
  </si>
  <si>
    <t>Положит. разлики от операции с фин.активи</t>
  </si>
  <si>
    <t>Положит. разлики от промяна на валут.курсове</t>
  </si>
  <si>
    <t>Други финансови приходи</t>
  </si>
  <si>
    <t xml:space="preserve">РАЗХОДИ </t>
  </si>
  <si>
    <t>Разходи от оперативна дейност</t>
  </si>
  <si>
    <t>Суровини и материали</t>
  </si>
  <si>
    <t>Външни услуги</t>
  </si>
  <si>
    <t>Разходи за социални осигуровки</t>
  </si>
  <si>
    <t xml:space="preserve">Разходи за амортизация </t>
  </si>
  <si>
    <t>Разходи за  обезценка на вземания</t>
  </si>
  <si>
    <t>Разходи за строителство</t>
  </si>
  <si>
    <t xml:space="preserve">Други разходи </t>
  </si>
  <si>
    <t>Финансови разходи</t>
  </si>
  <si>
    <t xml:space="preserve">Разходи за лихви </t>
  </si>
  <si>
    <t>Разходи от обезценка на финансови активи</t>
  </si>
  <si>
    <t>Отрицателни разлики от промяна на валутни курсове</t>
  </si>
  <si>
    <t>Други финансови разходи</t>
  </si>
  <si>
    <t>Печалба/ Загуба от оперативна дейност</t>
  </si>
  <si>
    <t>Печалба/ Загуба преди данъци</t>
  </si>
  <si>
    <t xml:space="preserve"> Разходи за данъци от печалбата</t>
  </si>
  <si>
    <t>Други данъци, алтернативни на корпоративния данък</t>
  </si>
  <si>
    <t>Печалба/ Загуба</t>
  </si>
  <si>
    <t>ПОСТЪПЛЕНИЯ</t>
  </si>
  <si>
    <t>Постъпления от оперативна дейност</t>
  </si>
  <si>
    <t>Постъпления от други приходи</t>
  </si>
  <si>
    <t>Финансови постъпления</t>
  </si>
  <si>
    <t>Постъпления от лихви</t>
  </si>
  <si>
    <t>Постъпления от финансирания</t>
  </si>
  <si>
    <t>Други финансови постъпления</t>
  </si>
  <si>
    <t xml:space="preserve">ПЛАЩАНИЯ </t>
  </si>
  <si>
    <t>Плащания по оперативна дейност:</t>
  </si>
  <si>
    <t>Възнаграждения</t>
  </si>
  <si>
    <t>Социални осигуровки</t>
  </si>
  <si>
    <t>Такси водоползване</t>
  </si>
  <si>
    <t>Такси заустване</t>
  </si>
  <si>
    <t>Такса регулиране</t>
  </si>
  <si>
    <t>Други плащания по оперативна дейност</t>
  </si>
  <si>
    <t>Други плащания</t>
  </si>
  <si>
    <t>Изплащане на дивиденти към  собственици</t>
  </si>
  <si>
    <t>Финансови и данъчни плащания</t>
  </si>
  <si>
    <t>Плащания на лихви</t>
  </si>
  <si>
    <t>Плащания на заеми</t>
  </si>
  <si>
    <t>Други финансови плащания</t>
  </si>
  <si>
    <t>Данък печалба</t>
  </si>
  <si>
    <t>Нето получен/ платен ДДС</t>
  </si>
  <si>
    <t xml:space="preserve">Други  данъци и такси </t>
  </si>
  <si>
    <t>Нетен паричен поток от оперативна дейност:</t>
  </si>
  <si>
    <t>Нетен паричен поток преди финансирания и данъци:</t>
  </si>
  <si>
    <t>Нетен паричен поток:</t>
  </si>
  <si>
    <t>Салдо на паричните средства в началото на периода:</t>
  </si>
  <si>
    <t>Салдо на паричните средства в края на периода:</t>
  </si>
  <si>
    <t>Призната стойност на ДА</t>
  </si>
  <si>
    <t>Амортизации за периода на използване на ДА</t>
  </si>
  <si>
    <t xml:space="preserve">Дългосрочни задължения по лихвени заеми и кредити за изграждане на извадени от баланса публични ДА </t>
  </si>
  <si>
    <t>Остатък главница към края на текущия период</t>
  </si>
  <si>
    <t>Справка № 5
Персонал</t>
  </si>
  <si>
    <t>Приложение № 6</t>
  </si>
  <si>
    <t>Справка № 5 - Персонал</t>
  </si>
  <si>
    <t>Прогнозни отчети</t>
  </si>
  <si>
    <t>Указания за попълване на справката:</t>
  </si>
  <si>
    <t>Собствена земя</t>
  </si>
  <si>
    <t>Други транспортни средства</t>
  </si>
  <si>
    <t>Земя публична собственост</t>
  </si>
  <si>
    <t xml:space="preserve">ОБЩО отчетна стойност: </t>
  </si>
  <si>
    <t xml:space="preserve">ОБЩО годишна амортизация: </t>
  </si>
  <si>
    <t xml:space="preserve">ОБЩО натрупана амортизация: </t>
  </si>
  <si>
    <t xml:space="preserve">ОБЩО балансова стойност: </t>
  </si>
  <si>
    <t>Тежкотоварни</t>
  </si>
  <si>
    <t xml:space="preserve">Стопански инвентар </t>
  </si>
  <si>
    <t>1. Попълват се само клетките в жълт цвят.</t>
  </si>
  <si>
    <t>4.1.</t>
  </si>
  <si>
    <t>4.2.</t>
  </si>
  <si>
    <t>5.1.</t>
  </si>
  <si>
    <t>5.2.</t>
  </si>
  <si>
    <t xml:space="preserve">Общо количество вода на входа на системата A3/Q4 </t>
  </si>
  <si>
    <t xml:space="preserve">Обща законна консумация iA14/Q5 </t>
  </si>
  <si>
    <t xml:space="preserve">Продадена фактурирана вода Q3 </t>
  </si>
  <si>
    <t>2.1.1</t>
  </si>
  <si>
    <t>битови потребители</t>
  </si>
  <si>
    <t>обществени и търговски потребители</t>
  </si>
  <si>
    <t>стопански потребители</t>
  </si>
  <si>
    <t>2.1.2</t>
  </si>
  <si>
    <t>Нефактурирана измерена консумация на вода Q3A.1</t>
  </si>
  <si>
    <t>Нефактурирана неизмерена консумация на вода Q3A.2</t>
  </si>
  <si>
    <t xml:space="preserve">Търговски загуби на вода Q8 </t>
  </si>
  <si>
    <t>3.1.1</t>
  </si>
  <si>
    <t>Незаконно ползване Q8.1</t>
  </si>
  <si>
    <t>3.1.2</t>
  </si>
  <si>
    <t>Неточност при измерване Q8.2</t>
  </si>
  <si>
    <t xml:space="preserve">Реални загуби на вода Q7 </t>
  </si>
  <si>
    <t>3.2.1</t>
  </si>
  <si>
    <t>Течове във водопроводите за сурова вода и загуби при пречистването Q7.1</t>
  </si>
  <si>
    <t>3.2.2</t>
  </si>
  <si>
    <t>Течове в системата за пренос и разпределение Q7.2</t>
  </si>
  <si>
    <t>3.2.3</t>
  </si>
  <si>
    <t>Течове и препълване на резервоарите за съхранение Q7.3</t>
  </si>
  <si>
    <t>3.2.4</t>
  </si>
  <si>
    <t>Течове в сградните отклонения Q7.4</t>
  </si>
  <si>
    <t xml:space="preserve">Неносеща приходи вода (неотчетена вода) Q9 </t>
  </si>
  <si>
    <t>тон с.в.</t>
  </si>
  <si>
    <t>Произведени утайки от ПСОВ през годината</t>
  </si>
  <si>
    <t>Депонирани утайки, в т.ч.:</t>
  </si>
  <si>
    <t>Остатък утайки към края на периода, в.т.ч.:</t>
  </si>
  <si>
    <t>6</t>
  </si>
  <si>
    <t>лв/тон с.в.</t>
  </si>
  <si>
    <t>2.15</t>
  </si>
  <si>
    <t>Справка № 8 - Ремонтна програма</t>
  </si>
  <si>
    <t>Справка № 9 - Инвестиционна програма</t>
  </si>
  <si>
    <t>Справка № 10 - Инвестиции и източници на финансиране</t>
  </si>
  <si>
    <t>Справка № 11 - Амортизационен план на Дълготрайни Активи</t>
  </si>
  <si>
    <t>Изразходвана ел.енергия за нерегулирана дейност</t>
  </si>
  <si>
    <t>Справка № 13
Анализ на социалната поносимост на предлаганите цени</t>
  </si>
  <si>
    <t>Битови и приравнените към тях потребители</t>
  </si>
  <si>
    <t>Справка № 12 - Годишни разходи</t>
  </si>
  <si>
    <t>Справка № 13 - Анализ на социалната поносимост на предлаганите цени</t>
  </si>
  <si>
    <t>Справка № 14  - Прогнозен отчет за приходите и разходите</t>
  </si>
  <si>
    <t>Справка № 15  - Прогнозен отчет за паричния поток</t>
  </si>
  <si>
    <t>Справка № 16  - Необходими приходи</t>
  </si>
  <si>
    <t>Справка № 17  - Регулаторна база на активите</t>
  </si>
  <si>
    <t>Справка № 18  - Оборотен капитал</t>
  </si>
  <si>
    <t>Оползотворени утайки, произведени в предходната година</t>
  </si>
  <si>
    <t>Оползотворени утайки, произведени през текущата година</t>
  </si>
  <si>
    <t>Депонирани утайки, произведени в предходната година</t>
  </si>
  <si>
    <t>3.3</t>
  </si>
  <si>
    <t>Депонирани утайки, произведени през текущата година</t>
  </si>
  <si>
    <t>Разходи за оползотворяване и депониране на утайки, в т.ч.:</t>
  </si>
  <si>
    <t>Разход за оползотворяване и депониране на тон с.в. утайка</t>
  </si>
  <si>
    <t>Собствени разходи за оползотворяване на утайките</t>
  </si>
  <si>
    <t>Разходи за външни услуги за оползотворяване на утайките</t>
  </si>
  <si>
    <t>Инвестиции в Собствени активи:</t>
  </si>
  <si>
    <t>Инвестиции в Публични активи:</t>
  </si>
  <si>
    <t>% инвестиции, които се заприхождават като активи:</t>
  </si>
  <si>
    <t>Право на ползване на публични активи</t>
  </si>
  <si>
    <t>Общо ополозтворени утайки съгласно методите, описани в Национален план за управление на утайките от градските пречиствателни станции за отпадъчни води, в т.ч.:</t>
  </si>
  <si>
    <t>проверка на  измервателни уреди</t>
  </si>
  <si>
    <t>външни услуги за оползотворяване на утайки</t>
  </si>
  <si>
    <t xml:space="preserve">социални осигуровки </t>
  </si>
  <si>
    <t>7.7.1</t>
  </si>
  <si>
    <t>7.7.2</t>
  </si>
  <si>
    <t>7.7.3</t>
  </si>
  <si>
    <t>7.7.4</t>
  </si>
  <si>
    <t>ОБЩО РАЗХОДИ за оперативен ремонт:</t>
  </si>
  <si>
    <t>разходи за ваучери за храна и други соц. надбавки и помощи за оперативен ремонт</t>
  </si>
  <si>
    <t>социални осигуровки  за оперативен ремонт</t>
  </si>
  <si>
    <t>разходи за трудови възнаграждения за оперативен ремонт</t>
  </si>
  <si>
    <t>външни услуги за оперативен ремонт</t>
  </si>
  <si>
    <t>материали за оперативен ремонт</t>
  </si>
  <si>
    <t>период на амортизация в годината на заприхождаване:</t>
  </si>
  <si>
    <t>Публични Дълготрайни Активи, изградени със собствени средства</t>
  </si>
  <si>
    <t>Публични Дълготрайни Активи, предоставени на ВиК оператора за експлоатация и поддръжка</t>
  </si>
  <si>
    <t>% Отвеждане:</t>
  </si>
  <si>
    <t>ИНВЕСТИЦИИ Водоснабдяване, Отвеждане и Пречистване:</t>
  </si>
  <si>
    <t>Признатите годишни прогнозни разходи за амортизации на активите, използвани за дейността</t>
  </si>
  <si>
    <t>Право на ползване на публични ДА</t>
  </si>
  <si>
    <t>Натрупана амортизация на Право на ползване на публични ДА</t>
  </si>
  <si>
    <t>Справка № 7 - Оползотворяване на утaйки от ПСОВ</t>
  </si>
  <si>
    <t>Измерване на вход  ВС</t>
  </si>
  <si>
    <t xml:space="preserve">Зониране  на водопроводната мрежа-контролно измерване </t>
  </si>
  <si>
    <t>подмяна на съществуващи и монтаж на нови водомери, шахти и водомерни възли на водомерни зони</t>
  </si>
  <si>
    <t>Рехабилитация  и разширение на главни  канализационни колектори и клонове</t>
  </si>
  <si>
    <t>Строителна и специализирана механизация за канализация</t>
  </si>
  <si>
    <t>подмяна на съществуващи и монтаж на нови приходни водомери на СВО, шахти и водомерни възли</t>
  </si>
  <si>
    <t>оборудване за дистанционно отчитане на приходни водомери</t>
  </si>
  <si>
    <t>ГИС</t>
  </si>
  <si>
    <t xml:space="preserve">Резервоари </t>
  </si>
  <si>
    <t>Хлораторни станциии</t>
  </si>
  <si>
    <t>Общи за регулирана дейност</t>
  </si>
  <si>
    <t>СКАДА за отвеждане на отпадъчни води</t>
  </si>
  <si>
    <t>СКАДА за водоснабдяване</t>
  </si>
  <si>
    <t>реконструкции и изграждане на главни канализационни колектори и клонове</t>
  </si>
  <si>
    <t>покупка на нови и капиталов ремонт на съществуващи, за извършване на СМР по водопроводната мрежа</t>
  </si>
  <si>
    <t>СКАДА за пречистване на отпадъчни води</t>
  </si>
  <si>
    <t xml:space="preserve">Автомобили </t>
  </si>
  <si>
    <t xml:space="preserve">Лекотоварни автомобили </t>
  </si>
  <si>
    <t>покупка на нова система и надграждане и разширяване на съществуваща</t>
  </si>
  <si>
    <t xml:space="preserve">разходи за персонал и външни услуги за  изграждане, надграждане и разширение на ГИС </t>
  </si>
  <si>
    <t>Автомобили  за канализация</t>
  </si>
  <si>
    <t>Автомобили  за  ПСОВ</t>
  </si>
  <si>
    <t>Автомобили за водоснабдяване</t>
  </si>
  <si>
    <t>Натурални показатели</t>
  </si>
  <si>
    <t>бр.</t>
  </si>
  <si>
    <t>м</t>
  </si>
  <si>
    <t>м.</t>
  </si>
  <si>
    <t>Права върху интелектуална собственост 
(ГИС, Хидравлични модели, др.)</t>
  </si>
  <si>
    <t>Проверка/
засичане на данни</t>
  </si>
  <si>
    <t>1.11.</t>
  </si>
  <si>
    <t>2.7.</t>
  </si>
  <si>
    <t>3.6.</t>
  </si>
  <si>
    <t>2.16</t>
  </si>
  <si>
    <t>лабораторни проби</t>
  </si>
  <si>
    <t>Собствени ДА и публични ДА, изградени със собствени средства</t>
  </si>
  <si>
    <t>Натрупана амортизация на собствени ДА и на публични ДА, изградени със собствени средства</t>
  </si>
  <si>
    <t xml:space="preserve">Подадена нефактурирана вода A13(Q3A) </t>
  </si>
  <si>
    <t xml:space="preserve">Общи загуби на вода A15(Q6) </t>
  </si>
  <si>
    <t>Дата на изготвяне на справките:</t>
  </si>
  <si>
    <t xml:space="preserve">Управител/Изп.директор: </t>
  </si>
  <si>
    <t xml:space="preserve">Гл. счетоводител/Фин.директор: </t>
  </si>
  <si>
    <t>Гл. техник/Техн. директор:</t>
  </si>
  <si>
    <t>НОРМА НА ВЪЗВРЪЩАЕМОСТ</t>
  </si>
  <si>
    <t>Арматури (спирателни кранове, хидранти, редуцир винтили, въздушници, др.)</t>
  </si>
  <si>
    <t>911102</t>
  </si>
  <si>
    <t>911202</t>
  </si>
  <si>
    <t>91140201</t>
  </si>
  <si>
    <t>91140202</t>
  </si>
  <si>
    <t>91140203</t>
  </si>
  <si>
    <t>91140204</t>
  </si>
  <si>
    <t>91140205</t>
  </si>
  <si>
    <t>91140206</t>
  </si>
  <si>
    <t>91140207</t>
  </si>
  <si>
    <t>91140208</t>
  </si>
  <si>
    <t>91130502</t>
  </si>
  <si>
    <t>9115</t>
  </si>
  <si>
    <t>подмяна на съществуващи и монтаж на нови редуцир вeнтили</t>
  </si>
  <si>
    <t>подмяна на съществуващи и монтаж на нови водомери, водомерни шахти и възли на водоизточници</t>
  </si>
  <si>
    <t>Друго специализирано оборудване за ПСОВ</t>
  </si>
  <si>
    <t>Друго специализирано оборудване за канализация</t>
  </si>
  <si>
    <t>Друго специализирано оборудване за водоснабдяване</t>
  </si>
  <si>
    <t>Оборудване за СКАДА</t>
  </si>
  <si>
    <t>911304</t>
  </si>
  <si>
    <t>91130501</t>
  </si>
  <si>
    <t>91130503</t>
  </si>
  <si>
    <t>911403</t>
  </si>
  <si>
    <t>6.2.2</t>
  </si>
  <si>
    <t>6.2.3</t>
  </si>
  <si>
    <t>2. Постъпленията се посочват със знак "+" , а плащанията - със знак "-".</t>
  </si>
  <si>
    <t>Разходи за социални осигуровки, хил.лв.</t>
  </si>
  <si>
    <t>Ремонт на довеждащи водопроводи</t>
  </si>
  <si>
    <t>Собствени разходи за депониране на утайките</t>
  </si>
  <si>
    <t>Разходи за външни услуги за депониране на утайките</t>
  </si>
  <si>
    <t>разлика</t>
  </si>
  <si>
    <t>2. В случай, че Неносеща приходи вода Q9 не е равна на сбора на компонентите си, на ред "разлика" ще се калкулират стойности различни от нула - което ще покаже необходимост от ревизия на данните в справката</t>
  </si>
  <si>
    <t>2.8.</t>
  </si>
  <si>
    <t>3.7.</t>
  </si>
  <si>
    <t>1.12.</t>
  </si>
  <si>
    <t>1.13.</t>
  </si>
  <si>
    <t>1.14.</t>
  </si>
  <si>
    <t>2.9.</t>
  </si>
  <si>
    <t>3.8.</t>
  </si>
  <si>
    <t>външни услуги за депониране на утайки</t>
  </si>
  <si>
    <t>2.17</t>
  </si>
  <si>
    <t>разходи за амортизации на публични активи, изградени със собствени средства</t>
  </si>
  <si>
    <t xml:space="preserve">разходи за амортизации на публични активи, приети за експлоатация и поддръжка </t>
  </si>
  <si>
    <t>Язовири</t>
  </si>
  <si>
    <t>Водоеми и водохващания</t>
  </si>
  <si>
    <t>2.5 % от средно месечния доход на лице от домакинството</t>
  </si>
  <si>
    <t>Водоеми  и речни водохващания</t>
  </si>
  <si>
    <t>iDMAm</t>
  </si>
  <si>
    <t>iDMAt</t>
  </si>
  <si>
    <t>ПК4а</t>
  </si>
  <si>
    <t>ПК4б</t>
  </si>
  <si>
    <t>Ед. мярка</t>
  </si>
  <si>
    <t>бр/1 000 СВО</t>
  </si>
  <si>
    <t>бр/1 000 СКО</t>
  </si>
  <si>
    <t>бр/100км/год</t>
  </si>
  <si>
    <t>бр/10 000 потреб</t>
  </si>
  <si>
    <t xml:space="preserve">Ниво на покритие с водоснабдителни услуги </t>
  </si>
  <si>
    <t xml:space="preserve">Качество на питейната вода в големи зони на водоснабдяване </t>
  </si>
  <si>
    <t xml:space="preserve">Качество на питейната вода в малки зони на водоснабдяване </t>
  </si>
  <si>
    <t xml:space="preserve">Мониторинг на качеството на питейната вода </t>
  </si>
  <si>
    <t xml:space="preserve">Непрекъснатост на водоснабдяването </t>
  </si>
  <si>
    <t xml:space="preserve">Общи загуби на вода във водоснабдителните системи </t>
  </si>
  <si>
    <t xml:space="preserve">Аварии по водопроводната мрежа </t>
  </si>
  <si>
    <t xml:space="preserve">Налягане във водоснабдителната система </t>
  </si>
  <si>
    <t xml:space="preserve">Ниво на покритие с услуги по отвеждане на отпадъчни води </t>
  </si>
  <si>
    <t>Ниво на покритие с услуги по пречистване на отпадъчни води</t>
  </si>
  <si>
    <t xml:space="preserve">Качество на отпадъчните води  </t>
  </si>
  <si>
    <t xml:space="preserve">Аварии на канализационната мрежа </t>
  </si>
  <si>
    <t xml:space="preserve">Наводнения в имоти на трети лица, причинени от канализацията </t>
  </si>
  <si>
    <t xml:space="preserve">Енергийна ефективност за дейността по пречистване на отпадъчни води </t>
  </si>
  <si>
    <t>Оползотворяване на утайките от ПСОВ</t>
  </si>
  <si>
    <t xml:space="preserve">Рехабилитация на водопроводната мрежа </t>
  </si>
  <si>
    <t xml:space="preserve">Събираемост </t>
  </si>
  <si>
    <t xml:space="preserve">Срок за отговор на писмени жалби на потребителите  </t>
  </si>
  <si>
    <t xml:space="preserve">Присъединяване към водоснабдителната система </t>
  </si>
  <si>
    <t>Присъединяване към канализационната система</t>
  </si>
  <si>
    <t xml:space="preserve">Ефективност на персонала за услугата доставяне на вода на потребителите </t>
  </si>
  <si>
    <t xml:space="preserve">Ефективност на персонала за услугите отвеждане и пречистване </t>
  </si>
  <si>
    <t>ПК</t>
  </si>
  <si>
    <t>ПК11д</t>
  </si>
  <si>
    <t>Активен контрол на течовете</t>
  </si>
  <si>
    <t>ПК12д</t>
  </si>
  <si>
    <t>ПК12е</t>
  </si>
  <si>
    <t xml:space="preserve">Ефективност на привеждане на водомерите в годност </t>
  </si>
  <si>
    <t xml:space="preserve">Ефективност на изграждане на водомерното стопанство </t>
  </si>
  <si>
    <t>Дългосрочно ниво</t>
  </si>
  <si>
    <r>
      <t>м</t>
    </r>
    <r>
      <rPr>
        <vertAlign val="superscript"/>
        <sz val="10"/>
        <rFont val="Times New Roman"/>
        <family val="1"/>
      </rPr>
      <t>3</t>
    </r>
    <r>
      <rPr>
        <sz val="10"/>
        <rFont val="Times New Roman"/>
        <family val="1"/>
      </rPr>
      <t xml:space="preserve">/год </t>
    </r>
  </si>
  <si>
    <t>iA10</t>
  </si>
  <si>
    <t>iA21</t>
  </si>
  <si>
    <t>брой</t>
  </si>
  <si>
    <t xml:space="preserve">Общ брой на направените анализи за качество на питейните води в големи зони на водоснабдяване за отчетната година, които отговарят на изискванията на приложимите стандарти или законови разпоредби. </t>
  </si>
  <si>
    <t>Общ брой анализи за показатели с индикаторно значение за качеството на питейната вода, отговарящи на нормативните изисквания, в големи зони на водоснабдяване;</t>
  </si>
  <si>
    <t>Общ брой анализи по микробиологични показатели за качество на питейната вода, отговарящи на нормативните изисквания, в големи зони на водоснабдяване;</t>
  </si>
  <si>
    <t>Общ брой анализи по физико-химични показатели за качество на питейната вода, отговарящи на нормативните изисквания, в големи зони на водоснабдяване;</t>
  </si>
  <si>
    <t>Общ брой анализи по радиоактивни показатели за качество на питейната вода, отговарящи на нормативните изисквания, в големи зони на водоснабдяване.</t>
  </si>
  <si>
    <t xml:space="preserve">Общ брой на направените анализи за качество на питейните води в големи зони на водоснабдяване, с изключение на анализите, които показват отклонения, разрешени по реда на наредбата по чл. 135, т. 3 от Закона за водите. </t>
  </si>
  <si>
    <t>Общ брой анализи за показатели с индикаторно значение за качеството на питейната вода в големи зони на водоснабдяване;</t>
  </si>
  <si>
    <t>Общ брой анализи по микробиологични показатели за качество на питейната вода в големи зони на водоснабдяване;</t>
  </si>
  <si>
    <t>Общ брой анализи по физико-химични показатели за качество на питейната вода в големи зони на водоснабдяване;</t>
  </si>
  <si>
    <t>Общ брой анализи по радиоактивни показатели за качество на питейната вода в големи зони на водоснабдяване.</t>
  </si>
  <si>
    <t xml:space="preserve">Общ брой на направените анализи за качество на питейните води в малки зони на водоснабдяване, които отговарят на изискванията на приложимите стандарти или законови разпоредби. </t>
  </si>
  <si>
    <t>Общ брой анализи за показатели с индикаторно значение за качеството на питейната вода, отговарящи на нормативните изисквания в малки зони на водоснабдяване;</t>
  </si>
  <si>
    <t>Общ брой анализи по микробиологични показатели за качество на питейната вода, отговарящи на нормативните изисквания в малки зони на водоснабдяване;</t>
  </si>
  <si>
    <t>Общ брой анализи по физико-химични показатели за качество на питейната вода, отговарящи на нормативните изисквания в малки зони на водоснабдяване;</t>
  </si>
  <si>
    <t>Общ брой анализи по радиоактивни показатели за качество на питейната вода, отговарящи на нормативните изисквания в малки зони на водоснабдяване.</t>
  </si>
  <si>
    <t xml:space="preserve">Общ брой на направените анализи за качество на питейните води в малки зони на водоснабдяване, с изключение на анализите, които показват отклонения, разрешени по реда на наредбата по чл. 135, ал. 1, т. 3 от Закона за водите. </t>
  </si>
  <si>
    <t>Общ брой анализи за показатели с индикаторно значение за качеството на питейната вода в малки зони на водоснабдяване;</t>
  </si>
  <si>
    <t>Общ брой анализи по микробиологични показатели за качество на питейната вода в малки зони на водоснабдяване;</t>
  </si>
  <si>
    <t>Общ брой анализи по физико-химични показатели за качество на питейната вода в малки зони на водоснабдяване;</t>
  </si>
  <si>
    <t>Общ брой анализи по радиоактивни показатели за качество на питейната вода в малки зони на водоснабдяване.</t>
  </si>
  <si>
    <t>Общ брой на зоните на водоснабдяване с изпълнен мониторинг</t>
  </si>
  <si>
    <t>Общ брой на зоните на водоснабдяване в обслужваната от ВиК оператора територия.</t>
  </si>
  <si>
    <t xml:space="preserve">Сумата от общия брой на населението засегнато от прекъсвания на водоснабдяването в обслужваната от оператора територия и продължителността на съответстващите прекъсвания (в часове в разглеждания период). </t>
  </si>
  <si>
    <t>брой/часове</t>
  </si>
  <si>
    <t>Подадена вода на вход водоснабдителна система (Q4, съгласно Наредба № 1 от 5.05.2006 г. за утвърждаване на Методика за определяне на допустимите загуби на вода във водоснабдителните системи</t>
  </si>
  <si>
    <t>Неносеща приходи вода (Q9 съгласно Наредба № 1 от 5.05.2006 г. за утвърждаване на Методика за определяне на допустимите загуби на вода във водоснабдителните системи, като се изключва водата подадена към друг оператор</t>
  </si>
  <si>
    <t>Продадена фактурирана вода (Q3, съгласно Наредба № 1 от 5.05.2006 г. за утвърждаване на Методика за определяне на допустимите загуби на вода във водоснабдителните системи, като се изключва водата подадена към друг оператор</t>
  </si>
  <si>
    <t>км</t>
  </si>
  <si>
    <t xml:space="preserve">Общ брой аварии по водопроводната мрежа, включително по арматури и фитинги </t>
  </si>
  <si>
    <t>Обща дължина на довеждащите водопроводи и разпределителната водопроводна мрежа. В изчисляването на дължината на водопроводната мрежа не се включва дължината на сградните водопроводни отклонения.</t>
  </si>
  <si>
    <t xml:space="preserve">Общ брой на водомерни зони в обслужваната от ВиК оператора територия. </t>
  </si>
  <si>
    <t xml:space="preserve">Общ брой потребители, обслужвани от оператора, които ползват услуга доставяне на вода на потребителите  </t>
  </si>
  <si>
    <t xml:space="preserve">Общ брой проби за качество на отпадъчните води, изискуеми съгласно разрешителните за заустване  </t>
  </si>
  <si>
    <t xml:space="preserve">Брой проби, отговарящи на условията, включени в разрешителните за заустване за разглеждания период  </t>
  </si>
  <si>
    <t xml:space="preserve">Брой запушвания на канализационната мрежа, различни от тези в сградните канализационни отклонения за разглеждания период  </t>
  </si>
  <si>
    <t xml:space="preserve">Брой аварии на канализационната мрежа поради структурно разрушаване на канала за разглеждания период  </t>
  </si>
  <si>
    <t xml:space="preserve">Брой запушвания  в сградните канализационни отклонения за разглеждания период  </t>
  </si>
  <si>
    <t xml:space="preserve">км </t>
  </si>
  <si>
    <t xml:space="preserve">Обща дължина на канализационната мрежа, експлоатирана от ВиК оператора </t>
  </si>
  <si>
    <t xml:space="preserve">Общо количество на изразходваната електрическа енергия, за добив, пречистване и доставка на вода от ВиК оператора  </t>
  </si>
  <si>
    <t xml:space="preserve">Общо количество на сухото тегло на утайките от експлоатираните от В и К оператора ПСОВ, произведени през годината, предхождаща отчетната година, и оползотворени до края на отчетната година </t>
  </si>
  <si>
    <t xml:space="preserve">Общо количество на постъпила за пречистване вода на вход ПСОВ, експлоатирани от ВиК оператора </t>
  </si>
  <si>
    <t xml:space="preserve">Обща дължина на рехабилитираната водопроводна мрежа  </t>
  </si>
  <si>
    <t>лв</t>
  </si>
  <si>
    <t xml:space="preserve">Обща сума на приходите от оперативна дейност от услуга доставяне на вода на потребителите  </t>
  </si>
  <si>
    <t xml:space="preserve">Обща сума на отчетените разходи за услуга доставяне на вода на потребителите съгласно ЕСРО </t>
  </si>
  <si>
    <t xml:space="preserve">Обща сума на приходите от оперативна дейност от услугата отвеждане на отпадъчни води  </t>
  </si>
  <si>
    <t xml:space="preserve">Обща сума на отчетените разходи за услугата отвеждане на отпадъчни води съгласно ЕСРО  </t>
  </si>
  <si>
    <t xml:space="preserve">Обща сума на приходите от оперативна дейност от услугата пречистване на отпадъчни води  </t>
  </si>
  <si>
    <t xml:space="preserve">Обща сума на отчетените разходи за услуга пречистване на отпадъчни води съгласно ЕСРО  </t>
  </si>
  <si>
    <t>Общо количество на сухото тегло на утайките от ПСОВ, експлоатирани от ВиК оператора, произведени през годината, предхождаща отчетната година (тон сухо вещество).</t>
  </si>
  <si>
    <t xml:space="preserve">Качество на информацията   </t>
  </si>
  <si>
    <t>D9</t>
  </si>
  <si>
    <t xml:space="preserve">лв с вкл. ДДС </t>
  </si>
  <si>
    <t>iD45</t>
  </si>
  <si>
    <t xml:space="preserve">Обща сума на приходите от продажби на водоснабдителни и канализационни услуги за годината  </t>
  </si>
  <si>
    <t xml:space="preserve">Обща сума на вземанията от потребители и доставчици към края на годината  </t>
  </si>
  <si>
    <t xml:space="preserve">Обща сума на вземанията от потребители и доставчици за предходната година </t>
  </si>
  <si>
    <t>iE6</t>
  </si>
  <si>
    <t>Общ брой водомери на СВО (средства за измерване).</t>
  </si>
  <si>
    <t>iD44</t>
  </si>
  <si>
    <t>Общ брой водомери на СВО (средства за измерване), които са в техническа и метрологична годност и отговарят на одобрения тип</t>
  </si>
  <si>
    <t>Общ брой водомери на СВО (средства за измерване), които са приведени в техническа и метрологична годност през отчетната година и отговарят на одобрения тип, и които са монтирани на СВО през отчетната година</t>
  </si>
  <si>
    <t>Група</t>
  </si>
  <si>
    <t>Население</t>
  </si>
  <si>
    <t xml:space="preserve">Общ брой потребители, обслужвани от оператора, които ползват услуга отвеждане на отпадъчни води </t>
  </si>
  <si>
    <t xml:space="preserve">Общ брой потребители, обслужвани от оператора, които ползват услуга пречистване на отпадъчни води </t>
  </si>
  <si>
    <t>Потребители</t>
  </si>
  <si>
    <t>Качество на питейната вода - големи зони на водоснабдяване</t>
  </si>
  <si>
    <t>Качество на питейната вода - малки зони на водоснабдяване</t>
  </si>
  <si>
    <t>Общ брой населени места в обособената територия, обслужвана от оператора за разглеждания период, в които се предоставя услугата доставяне на вода</t>
  </si>
  <si>
    <t>Общ брой населени места в обособената територия, обслужвана от оператора за разглеждания период, в които се предоставя услугата отвеждане на отпадъчни води</t>
  </si>
  <si>
    <t>Общ брой населени места в обособената територия, обслужвана от оператора за разглеждания период, в които се предоставя услугата пречистване на отпадъчни води</t>
  </si>
  <si>
    <t>Общ брой населени места в обособената територия, обслужвана от оператора за разглеждания период</t>
  </si>
  <si>
    <t>Населени места</t>
  </si>
  <si>
    <t>ВиК активи</t>
  </si>
  <si>
    <t>Общ брой пречиствателни станции за питейни води (ПСПВ)</t>
  </si>
  <si>
    <t>Общ брой резервоари (водоеми)</t>
  </si>
  <si>
    <t>Общ брой водоснабдителни помпени станции (ВПС)</t>
  </si>
  <si>
    <t>Общ брой канализационни помпени станции (КПС)</t>
  </si>
  <si>
    <t>Общ брой пречиствателни станции за отпадъчни води (ПСОВ)</t>
  </si>
  <si>
    <t>Прекъсвания и аварии</t>
  </si>
  <si>
    <t>Качество на отпадъчни води</t>
  </si>
  <si>
    <t>Обща дължина на водопроводната мрежа, за която е реализиран процес на регулярно обследване и активен контрол на течовете (включително микрофони, корелатори, акустични логери и други), при който се откриват и отстраняват скрити течове</t>
  </si>
  <si>
    <t>Рехабилитирана и проучена водопроводна мрежа</t>
  </si>
  <si>
    <t>Електро енергия</t>
  </si>
  <si>
    <t>Водни количества</t>
  </si>
  <si>
    <t>Утайки от ПСОВ</t>
  </si>
  <si>
    <t>Приходи, разходи и събираемост</t>
  </si>
  <si>
    <t>Оплаквания и жалби</t>
  </si>
  <si>
    <t>Отговори на оплаквания и жалби</t>
  </si>
  <si>
    <t>Присъединяване към ВиК мрежи</t>
  </si>
  <si>
    <t>Персонал</t>
  </si>
  <si>
    <t xml:space="preserve">Общ брой на персонала на еквивалентна пълна заетост за услуга доставяне на вода на потребителите </t>
  </si>
  <si>
    <t xml:space="preserve">Общ брой на персонала на еквивалентна пълна заетост за услугите отвеждане и пречистване на отпадъчни води </t>
  </si>
  <si>
    <t xml:space="preserve">Общ брой на окончателните договори за присъединяване към канализационната система, по които са изпълнени предварителните условия за присъединяване и сроковете за присъединяване изтичат до края на отчетната година </t>
  </si>
  <si>
    <t xml:space="preserve">Общ брой на поземлените имоти, присъединени към водоснабдителната система в сроковете и при условията, посочени в окончателните договори за присъединяване по чл. 84, ал. 2 от Закона за устройство на територията </t>
  </si>
  <si>
    <t xml:space="preserve">Общ брой на окончателните договори за присъединяване към водоснабдителната система, по които са изпълнени предварителните условия за присъединяване и сроковете за присъединяване изтичат до края на отчетната година </t>
  </si>
  <si>
    <t xml:space="preserve">Общ брой на поземлените имоти, присъединени към канализационната система в сроковете и при условията, посочени в окончателните договори за присъединяване по чл. 84, ал. 2 от Закона за устройство на територията </t>
  </si>
  <si>
    <t xml:space="preserve">Общ брой оплаквания на потребители по отношение фактуриране на услугите доставяне на вода на потребителите и отвеждане и пречистване на отпадъчни води </t>
  </si>
  <si>
    <t xml:space="preserve">Общ брой други оплаквания за услугата отвеждане и пречистване на отпадъчни води </t>
  </si>
  <si>
    <t xml:space="preserve">Общ брой оплаквания за замърсявания, мирис и гризачи </t>
  </si>
  <si>
    <t xml:space="preserve">Общ брой оплаквания за наводнявания на имоти </t>
  </si>
  <si>
    <t xml:space="preserve">Общ брой оплаквания за  запушвания на канализационната мрежа </t>
  </si>
  <si>
    <t xml:space="preserve">Общ брой оплаквания на потребители за разглеждания период за услугите отвеждане и пречистване на отпадъчни води </t>
  </si>
  <si>
    <t xml:space="preserve">Общ брой други оплаквания за услугата доставяне на вода на потребителите </t>
  </si>
  <si>
    <t xml:space="preserve">Общ брой оплаквания за нарушено водоснабдяване </t>
  </si>
  <si>
    <t xml:space="preserve">Общ брой оплаквания на потребители за разглеждания период за услуга доставяне на вода на потребителите </t>
  </si>
  <si>
    <t xml:space="preserve">Общ брой оплаквания от потребители свързани с налягане във водоснабдителната система за разглеждания период </t>
  </si>
  <si>
    <t xml:space="preserve">Общ брой на отговори на оплаквания на потребители по отношение фактуриране на услугите доставяне на вода на потребителите и отвеждане и пречистване на отпадъчни води  </t>
  </si>
  <si>
    <t xml:space="preserve">Общ брой отговори на оплаквания на потребители за услугите отвеждане и пречистване на отпадъчни води  </t>
  </si>
  <si>
    <t xml:space="preserve">Общ брой отговори на оплаквания на потребители за услуга доставяне на вода на потребителите </t>
  </si>
  <si>
    <t>Общ брой отговори на оплаквания на потребители в срок от 14 дни.</t>
  </si>
  <si>
    <t xml:space="preserve">Общ брой на сградните канализационни отклонения </t>
  </si>
  <si>
    <t>Общ брой на сградните водопроводни отклонения</t>
  </si>
  <si>
    <t>Мониторинг на качеството на питейната вода</t>
  </si>
  <si>
    <t>Общ брой водомери на водоизточници</t>
  </si>
  <si>
    <t>Общ брой контролни водомери по мрежата (различни от водомери на водоизточници)</t>
  </si>
  <si>
    <t>Общ брой разходомери на ПСОВ</t>
  </si>
  <si>
    <t>Общ брой разходомери по канализационна мрежа</t>
  </si>
  <si>
    <t xml:space="preserve">Измерване  </t>
  </si>
  <si>
    <t>Добита сурова вода от повърхностни водоизточници</t>
  </si>
  <si>
    <t>Добита сурова вода от  подземни  водоизточници</t>
  </si>
  <si>
    <t>Подадена сурова вода от друг ВиК оператор/доставчик</t>
  </si>
  <si>
    <t>Подадена пречистена вода от друг ВиК оператор / доставчик</t>
  </si>
  <si>
    <r>
      <t xml:space="preserve">Обща дължина на довеждащите водопроводи и разпределителната водопроводна мрежа. В изчисляването на дължината на водопроводната мрежа не се включва дължината на сградните водопроводни отклонения, </t>
    </r>
    <r>
      <rPr>
        <b/>
        <sz val="10"/>
        <rFont val="Times New Roman"/>
        <family val="1"/>
        <charset val="204"/>
      </rPr>
      <t>както и дължината на водопроводите, по които се довежда вода до друг оператор, само в случаите когато се използват единствено за тази цел.</t>
    </r>
  </si>
  <si>
    <t>Разход, хил.лв.</t>
  </si>
  <si>
    <t>Приход, хил.лв.</t>
  </si>
  <si>
    <t>Брой</t>
  </si>
  <si>
    <t>Профилактика (почистване, продухване, други)</t>
  </si>
  <si>
    <t>Шурфове (изкопни дейности);пътни настилки</t>
  </si>
  <si>
    <t>Шурфове (изкопни дейности) разпределение от спомаг.д-ст</t>
  </si>
  <si>
    <t>2.10.</t>
  </si>
  <si>
    <t>Шурфове (изкопни дейности)разпределение от спомаг.д-ст и у-ние</t>
  </si>
  <si>
    <t>3.9.</t>
  </si>
  <si>
    <r>
      <t>хил.м</t>
    </r>
    <r>
      <rPr>
        <vertAlign val="superscript"/>
        <sz val="9"/>
        <rFont val="Times New Roman"/>
        <family val="1"/>
      </rPr>
      <t>3</t>
    </r>
    <r>
      <rPr>
        <sz val="9"/>
        <rFont val="Times New Roman"/>
        <family val="1"/>
      </rPr>
      <t xml:space="preserve">/год </t>
    </r>
  </si>
  <si>
    <t>Коеф.</t>
  </si>
  <si>
    <t>Стойност на параметъра</t>
  </si>
  <si>
    <t>Норма на възвращаемост на собствения капитал, утвърдена от комисията</t>
  </si>
  <si>
    <t>Дължина на водопроводната мрежа (км)</t>
  </si>
  <si>
    <t>Дължина на канализационната мрежа (км)</t>
  </si>
  <si>
    <t>Количества вода на вход ВС (Q4) (хил.м3)</t>
  </si>
  <si>
    <t>Фактурирани количества отпадъчни води (хил.лв.)</t>
  </si>
  <si>
    <t>Вода на вход ПСОВ (хил.м3)</t>
  </si>
  <si>
    <t>Разходи за външни услуги (без разходи за доставяне на вода на входа на ВС от друг доставчик), хил.лв.</t>
  </si>
  <si>
    <t>Разходи за възнаграждения и осигуровки, хил.лв.</t>
  </si>
  <si>
    <t>Разходи за оперативен ремонт, хил.лв.</t>
  </si>
  <si>
    <t>Променливи разходи, хил.лв.</t>
  </si>
  <si>
    <r>
      <rPr>
        <b/>
        <sz val="9"/>
        <rFont val="Times New Roman"/>
        <family val="1"/>
        <charset val="204"/>
      </rPr>
      <t>Разходи за външни услуги</t>
    </r>
    <r>
      <rPr>
        <sz val="9"/>
        <rFont val="Times New Roman"/>
        <family val="1"/>
        <charset val="204"/>
      </rPr>
      <t xml:space="preserve"> (без разходи за доставяне на вода на входа на ВС от друг доставчик), </t>
    </r>
    <r>
      <rPr>
        <i/>
        <sz val="9"/>
        <rFont val="Times New Roman"/>
        <family val="1"/>
        <charset val="204"/>
      </rPr>
      <t>хил.лв/км за доставяне и отвеждане, хил.лв./хил.м3 вход ПСОВ за пречистване</t>
    </r>
  </si>
  <si>
    <r>
      <rPr>
        <b/>
        <sz val="9"/>
        <rFont val="Times New Roman"/>
        <family val="1"/>
        <charset val="204"/>
      </rPr>
      <t>Разходи за възнаграждения и осигуровки</t>
    </r>
    <r>
      <rPr>
        <sz val="9"/>
        <rFont val="Times New Roman"/>
        <family val="1"/>
        <charset val="204"/>
      </rPr>
      <t xml:space="preserve">, </t>
    </r>
    <r>
      <rPr>
        <i/>
        <sz val="9"/>
        <rFont val="Times New Roman"/>
        <family val="1"/>
        <charset val="204"/>
      </rPr>
      <t>хил.лв/км за доставяне и отвеждане, хил.лв./хил.м3 вход ПСОВ за пречистване</t>
    </r>
  </si>
  <si>
    <r>
      <rPr>
        <b/>
        <sz val="9"/>
        <rFont val="Times New Roman"/>
        <family val="1"/>
        <charset val="204"/>
      </rPr>
      <t>Разходи за оперативен ремонт</t>
    </r>
    <r>
      <rPr>
        <sz val="9"/>
        <rFont val="Times New Roman"/>
        <family val="1"/>
        <charset val="204"/>
      </rPr>
      <t>, хил.лв/км за доставяне и отвеждане, хил.лв./хил.м3 вход ПСОВ за пречистване</t>
    </r>
  </si>
  <si>
    <r>
      <rPr>
        <b/>
        <sz val="9"/>
        <rFont val="Times New Roman"/>
        <family val="1"/>
        <charset val="204"/>
      </rPr>
      <t>Променливи разходи</t>
    </r>
    <r>
      <rPr>
        <sz val="9"/>
        <rFont val="Times New Roman"/>
        <family val="1"/>
        <charset val="204"/>
      </rPr>
      <t xml:space="preserve">, </t>
    </r>
    <r>
      <rPr>
        <i/>
        <sz val="9"/>
        <rFont val="Times New Roman"/>
        <family val="1"/>
        <charset val="204"/>
      </rPr>
      <t>хил.лв./хил.м3 вход ВС за доставяне, фактурирани количества за отвеждане, и вход ПСОВ за пречистване</t>
    </r>
  </si>
  <si>
    <t>Разлика планирани инвестиции спрямо източници на финансиране</t>
  </si>
  <si>
    <t>в т.ч. в публични активи</t>
  </si>
  <si>
    <t>в т.ч. в собствени активи</t>
  </si>
  <si>
    <t>Инвестиции в собствени активи</t>
  </si>
  <si>
    <t>Инвестиции в публични активи</t>
  </si>
  <si>
    <t>Разлика на разходи за амортизации на собствени активи към инвестиции в собствени активи</t>
  </si>
  <si>
    <t>Разходи за амортизации на собствени активи</t>
  </si>
  <si>
    <t>Разходи за амортизации на публични активи, изградени със собствени средства</t>
  </si>
  <si>
    <t>Разлика на разходи за амортизации на публични активи, изградени със собствени средства към инвестиции в публични активи и разходи за главници по инвестиционни заеми</t>
  </si>
  <si>
    <t xml:space="preserve">Разходи за амортизации на публични активи, приети за експлоатация и поддръжка </t>
  </si>
  <si>
    <t>Дял на разходите за амортизации на публични активи, приети за експлоатация и поддръжка, включени в цените</t>
  </si>
  <si>
    <t>Собствени активи</t>
  </si>
  <si>
    <t>в т.ч. със собствени средства</t>
  </si>
  <si>
    <t>в т.ч. с привлечени средства</t>
  </si>
  <si>
    <t>Публични активи</t>
  </si>
  <si>
    <t>Разходи за главници на съществуващи дългосрочни заеми за изграждане на ДА (инвестиционни заеми)</t>
  </si>
  <si>
    <t>2.1.1.</t>
  </si>
  <si>
    <t>2.2.2.</t>
  </si>
  <si>
    <t>2.2.1.</t>
  </si>
  <si>
    <t>6.1.</t>
  </si>
  <si>
    <t>6.2.</t>
  </si>
  <si>
    <t>7.1.</t>
  </si>
  <si>
    <t>7.2.</t>
  </si>
  <si>
    <t>7.3.</t>
  </si>
  <si>
    <t>9.1.</t>
  </si>
  <si>
    <t>9.2.</t>
  </si>
  <si>
    <t>9.3.</t>
  </si>
  <si>
    <t>9.4.</t>
  </si>
  <si>
    <t>9.5.</t>
  </si>
  <si>
    <t>9.6.</t>
  </si>
  <si>
    <t>9.7.</t>
  </si>
  <si>
    <t>10.1.</t>
  </si>
  <si>
    <t>10.2.</t>
  </si>
  <si>
    <t>10.3.</t>
  </si>
  <si>
    <t>10.4.</t>
  </si>
  <si>
    <t>10.5.</t>
  </si>
  <si>
    <t>10.6.</t>
  </si>
  <si>
    <t>10.7.</t>
  </si>
  <si>
    <t>11.1.</t>
  </si>
  <si>
    <t>11.2.</t>
  </si>
  <si>
    <t>11.3.</t>
  </si>
  <si>
    <t>11.4.</t>
  </si>
  <si>
    <t>11.5.</t>
  </si>
  <si>
    <t>11.6.</t>
  </si>
  <si>
    <t>11.7.</t>
  </si>
  <si>
    <t>Разлика планирано финансиране на инвестиционната програма със заемни средства, и планирани заеми</t>
  </si>
  <si>
    <t>2.За  коефициент на степени на замърсеност се попълва:</t>
  </si>
  <si>
    <t>Информационни системи - собствени активи</t>
  </si>
  <si>
    <t>Информационни системи - публични активи</t>
  </si>
  <si>
    <t>Източник на информация (регистър/база данни/друго) - описание</t>
  </si>
  <si>
    <t>Дял на водните количества на вход ВС без измерване (по разрешителни)</t>
  </si>
  <si>
    <t>Общо дял на водните количества</t>
  </si>
  <si>
    <r>
      <t>Дял на водните количества на вход ВС,</t>
    </r>
    <r>
      <rPr>
        <b/>
        <sz val="10"/>
        <rFont val="Times New Roman"/>
        <family val="1"/>
        <charset val="204"/>
      </rPr>
      <t xml:space="preserve"> измервани при водоизточника</t>
    </r>
    <r>
      <rPr>
        <sz val="10"/>
        <rFont val="Times New Roman"/>
        <family val="1"/>
        <charset val="204"/>
      </rPr>
      <t xml:space="preserve">  (чл.194а ал.1 от Закона за водите)</t>
    </r>
  </si>
  <si>
    <r>
      <t>Дял на водните количества на вход ВС,</t>
    </r>
    <r>
      <rPr>
        <b/>
        <sz val="10"/>
        <rFont val="Times New Roman"/>
        <family val="1"/>
        <charset val="204"/>
      </rPr>
      <t xml:space="preserve"> измервани на хранителната тръба на напорния резервоар или на довеждащия водопровод</t>
    </r>
    <r>
      <rPr>
        <sz val="10"/>
        <rFont val="Times New Roman"/>
        <family val="1"/>
        <charset val="204"/>
      </rPr>
      <t>, при техническа невъзможност за монтаж на измервателно устройство при водоизточника (чл.194а, ал.4 от Закона за водите)</t>
    </r>
  </si>
  <si>
    <t>Помпи (вкл.хидрофори)</t>
  </si>
  <si>
    <t xml:space="preserve">Общо количество на изразходваната електрическа енергия за пречистване на отпадъчна вода от ПСОВ експлоатирани от ВиК оператора  </t>
  </si>
  <si>
    <t xml:space="preserve">Общ брой оплаквания на потребители от ВиК услуги за разглеждания период. </t>
  </si>
  <si>
    <t>Общ брой оплаквания за качеството на питейната вода</t>
  </si>
  <si>
    <t>Продадена сурова вода на друг ВиК оператор</t>
  </si>
  <si>
    <t xml:space="preserve">Продадена пречистена вода на друг ВиК оператор </t>
  </si>
  <si>
    <t>степен на замърсеност 1</t>
  </si>
  <si>
    <t>степен на замърсеност 2</t>
  </si>
  <si>
    <t>степен на замърсеност 3</t>
  </si>
  <si>
    <t>Общо утайки за оползотворяване и депониране</t>
  </si>
  <si>
    <t xml:space="preserve">Измервателни уреди </t>
  </si>
  <si>
    <t>3.4</t>
  </si>
  <si>
    <t>Броят на водомерни зони, имащи постоянно измерване на дебит и налягане на вход/изход зона, с интервал на запис на данни от 15 минути и архивиране на данните в електронни бази данни, за период от минимум 1 година, и измервания в критична точка при необходимост</t>
  </si>
  <si>
    <t>Справка № 6 - Отчет и прогнозно ниво на потребление на електроенергия за периода на бизнес плана</t>
  </si>
  <si>
    <t>Справка № 19  - Възвръщаемост на капитала</t>
  </si>
  <si>
    <t>Общ брой водоизточници (основни и резервни)</t>
  </si>
  <si>
    <t>Дял на разходите за социални осигуровки от разходите за възнаграждения, %</t>
  </si>
  <si>
    <t>Дял на социалните разходи от разходите за възнаграждения, %</t>
  </si>
  <si>
    <t>Инвестиционна програма</t>
  </si>
  <si>
    <t xml:space="preserve">Справка № 11.2.
 Новопридобити активи през отчетната година </t>
  </si>
  <si>
    <t>Необходими  приходи</t>
  </si>
  <si>
    <t xml:space="preserve"> Оборотен капитал</t>
  </si>
  <si>
    <t>Възвръщаемост на капитала</t>
  </si>
  <si>
    <t>Справка № 4 -  Отчет и прогнозно ниво на потребление на ВиК услугите за периода на бизнес плана</t>
  </si>
  <si>
    <t>Мобилни телефони</t>
  </si>
  <si>
    <t>Трафопост (трансформатор)</t>
  </si>
  <si>
    <t>Непризнати разходи</t>
  </si>
  <si>
    <t>Постъпления от нерегулирана дейност</t>
  </si>
  <si>
    <t>Приходи от нерегулирана дейност</t>
  </si>
  <si>
    <t>Постъпления от  ВиК услуги</t>
  </si>
  <si>
    <t>Постъпления от начислени лихви за предоставени ВиК услуги</t>
  </si>
  <si>
    <t>Приходи от ВиК услуги</t>
  </si>
  <si>
    <t>Приходи от начислени лихви за предоставени ВиК услуги</t>
  </si>
  <si>
    <t>покупка на ново и капиталов ремонт на съществуващо за извършване на СМР по канализационната мрежа</t>
  </si>
  <si>
    <t>покупка на нова и капиталов ремонт на съществуваща (каналочистачни машини, др.)</t>
  </si>
  <si>
    <t xml:space="preserve">сгради,съоръжения </t>
  </si>
  <si>
    <t>сгради, съоръжения</t>
  </si>
  <si>
    <t>ОБЩО</t>
  </si>
  <si>
    <t>Доставяне на вода с непитейни качества</t>
  </si>
  <si>
    <t>подмяна на съществуващи и монтаж на нови СК и ПХ  (в случаите, когато подмяната им не е част от реконструкция на ВиК мрежата)</t>
  </si>
  <si>
    <t>Помпи, вкл. хидрофорни уредби</t>
  </si>
  <si>
    <t>Друго специализирано оборудване</t>
  </si>
  <si>
    <t>съотношение</t>
  </si>
  <si>
    <t>Процент влажност на произведените утайки</t>
  </si>
  <si>
    <t>Процент влажност на оползотворените утайки</t>
  </si>
  <si>
    <t>Процент влажност на депонираните утайки</t>
  </si>
  <si>
    <t>Загуби при доставяне сурова вода на друг ВиК оператор</t>
  </si>
  <si>
    <t>Загуби при доставяне пречистена вода на друг ВиК оператор</t>
  </si>
  <si>
    <t>Прооверка балансова стойност</t>
  </si>
  <si>
    <r>
      <t>м</t>
    </r>
    <r>
      <rPr>
        <vertAlign val="superscript"/>
        <sz val="8"/>
        <rFont val="Times New Roman"/>
        <family val="1"/>
        <charset val="204"/>
      </rPr>
      <t>3</t>
    </r>
    <r>
      <rPr>
        <sz val="8"/>
        <rFont val="Times New Roman"/>
        <family val="1"/>
      </rPr>
      <t>/км/ден</t>
    </r>
  </si>
  <si>
    <r>
      <t>м</t>
    </r>
    <r>
      <rPr>
        <vertAlign val="superscript"/>
        <sz val="10"/>
        <rFont val="Times New Roman"/>
        <family val="1"/>
        <charset val="204"/>
      </rPr>
      <t>3</t>
    </r>
    <r>
      <rPr>
        <sz val="10"/>
        <rFont val="Times New Roman"/>
        <family val="1"/>
      </rPr>
      <t>/км/ден</t>
    </r>
  </si>
  <si>
    <r>
      <t>м</t>
    </r>
    <r>
      <rPr>
        <vertAlign val="superscript"/>
        <sz val="10"/>
        <rFont val="Times New Roman"/>
        <family val="1"/>
        <charset val="204"/>
      </rPr>
      <t>3</t>
    </r>
  </si>
  <si>
    <t>Год. аморт. норма</t>
  </si>
  <si>
    <t>Счето-водна сметка</t>
  </si>
  <si>
    <t>Очакван ефект във връзка с
 нивата на услугите</t>
  </si>
  <si>
    <t>Проектна готовност в т.ч. 
предварително проучване</t>
  </si>
  <si>
    <t>Разходи за амортизации на публични активи от Група 3 включени в цените на ВиК услуги за финансиране на инвестиции в публични активи и изплащане на главници на инвестиционни заеми</t>
  </si>
  <si>
    <t>Приложение №2</t>
  </si>
  <si>
    <t xml:space="preserve">Лице за контакт с КЕВР: </t>
  </si>
  <si>
    <t>Други съоръжения- собствени активи</t>
  </si>
  <si>
    <t>20403-</t>
  </si>
  <si>
    <t xml:space="preserve">Други съоръжения - публични активи, изградени със собствени средства  </t>
  </si>
  <si>
    <t>Отчетна стойност - НОВИ АКТИВИ</t>
  </si>
  <si>
    <t>Отчетна стойност - АКТИВИ С ИЗТИЧАЩ ЖИВОТ</t>
  </si>
  <si>
    <t>I.-II.</t>
  </si>
  <si>
    <t>2. Справка №12 се попълва за всички ВС</t>
  </si>
  <si>
    <t>1.Попълват се само клетките в жълт цвят</t>
  </si>
  <si>
    <t>Недостиг на собствени средства спрямо предвидените инвестиции в публични ДА</t>
  </si>
  <si>
    <t>5. Справка №11.2 се попълва за всички ВС</t>
  </si>
  <si>
    <t>Плащания ДДС</t>
  </si>
  <si>
    <t>Постъпления от ДДС</t>
  </si>
  <si>
    <t>2022 г.</t>
  </si>
  <si>
    <t>2023 г.</t>
  </si>
  <si>
    <t>2024 г.</t>
  </si>
  <si>
    <t>2025 г.</t>
  </si>
  <si>
    <t>2026 г.</t>
  </si>
  <si>
    <t>Разходи по икономически елементи за оперативен ремонт за услуга доставяне на вода на потребителите</t>
  </si>
  <si>
    <t>за механизация (горива за оперативен ремонт)</t>
  </si>
  <si>
    <t>2.7.1.</t>
  </si>
  <si>
    <t>отстраняване запушвания на канализационната мрежа, различни от тези в сградните канализационни отклонения</t>
  </si>
  <si>
    <t>2.7.2.</t>
  </si>
  <si>
    <t>отстраняване запушвания в СКО</t>
  </si>
  <si>
    <t>Профилактика (почистване, продухване, други), в т.ч.:</t>
  </si>
  <si>
    <t>Общо ремонти за услуга отвеждане на отпадъчните води</t>
  </si>
  <si>
    <t>Разходи по икономически елементи за оперативен ремонт за услуга отвеждане на отпадъчните води</t>
  </si>
  <si>
    <t>Общо ремонти за услуга пречистване на отпадъчните води</t>
  </si>
  <si>
    <t>Разходи по икономически елементи за оперативен ремонт за услуга пречистване на отпадъчните води</t>
  </si>
  <si>
    <t>4.3.</t>
  </si>
  <si>
    <t>4.4.</t>
  </si>
  <si>
    <t>4.5.</t>
  </si>
  <si>
    <t>4.6.</t>
  </si>
  <si>
    <t>4.7.</t>
  </si>
  <si>
    <t>4.8.</t>
  </si>
  <si>
    <t>4.9.</t>
  </si>
  <si>
    <t>4.10.</t>
  </si>
  <si>
    <t>4.11.</t>
  </si>
  <si>
    <t>4.12.</t>
  </si>
  <si>
    <t>4.13.</t>
  </si>
  <si>
    <t>4.14.</t>
  </si>
  <si>
    <t>Общо ремонти за услуга доставяне на вода с непитейни качества</t>
  </si>
  <si>
    <t>Разходи по икономически елементи за оперативен ремонт за услуга доставяне на вода с непитейни качества</t>
  </si>
  <si>
    <t>Доставяне на вода на друг ВиК оператор</t>
  </si>
  <si>
    <t>5.3.</t>
  </si>
  <si>
    <t>5.4.</t>
  </si>
  <si>
    <t>5.5.</t>
  </si>
  <si>
    <t>5.6.</t>
  </si>
  <si>
    <t>5.7.</t>
  </si>
  <si>
    <t>5.8.</t>
  </si>
  <si>
    <t>5.9.</t>
  </si>
  <si>
    <t>5.10.</t>
  </si>
  <si>
    <t>5.11.</t>
  </si>
  <si>
    <t>5.12.</t>
  </si>
  <si>
    <t>5.13.</t>
  </si>
  <si>
    <t>Общо ремонти за услуга доставяне на вода на друг ВиК оператор</t>
  </si>
  <si>
    <t>Разходи по икономически елементи за оперативен ремонт за услуга доставяне на вода на друг ВиК оператор</t>
  </si>
  <si>
    <t>6.3.</t>
  </si>
  <si>
    <t>ВС Доставяне на вода с непитейни качества</t>
  </si>
  <si>
    <t>Общ брой потребители, обслужвани от оператора, които ползват услуга доставяне на вода с непитейни качества</t>
  </si>
  <si>
    <t>ВиК Активи и измерване</t>
  </si>
  <si>
    <r>
      <t>Обща дължина на довеждащите водопроводи и разпределителната водопроводна мрежа. В изчисляването на дължината на водопроводната мрежа не се включва дължината на сградните водопроводни отклонения,</t>
    </r>
    <r>
      <rPr>
        <b/>
        <sz val="10"/>
        <rFont val="Times New Roman"/>
        <family val="1"/>
        <charset val="204"/>
      </rPr>
      <t xml:space="preserve"> както и дължината на водопроводите, по които се довежда вода до друг оператор, само в случаите когато се използват единствено за тази цел.</t>
    </r>
  </si>
  <si>
    <t>Аварии</t>
  </si>
  <si>
    <t>Приходи и разходи</t>
  </si>
  <si>
    <t>ВС Основна</t>
  </si>
  <si>
    <r>
      <t>м</t>
    </r>
    <r>
      <rPr>
        <vertAlign val="superscript"/>
        <sz val="10"/>
        <rFont val="Times New Roman"/>
        <family val="1"/>
      </rPr>
      <t>3</t>
    </r>
    <r>
      <rPr>
        <sz val="10"/>
        <rFont val="Times New Roman"/>
        <family val="1"/>
      </rPr>
      <t>/км/ден</t>
    </r>
  </si>
  <si>
    <t>ІV.</t>
  </si>
  <si>
    <t>V.</t>
  </si>
  <si>
    <t>7</t>
  </si>
  <si>
    <t>Общо утайки за оползотворяване и депониране - реално тегло</t>
  </si>
  <si>
    <t>тон</t>
  </si>
  <si>
    <t>8</t>
  </si>
  <si>
    <t>Общо ополозтворени и депонирани утайки - реално тегло</t>
  </si>
  <si>
    <t>8.1.</t>
  </si>
  <si>
    <t>Оползотворени утайки</t>
  </si>
  <si>
    <t>8.2.</t>
  </si>
  <si>
    <t>Депонирани утайки</t>
  </si>
  <si>
    <t>9</t>
  </si>
  <si>
    <t>лв./тон</t>
  </si>
  <si>
    <t>Компонента</t>
  </si>
  <si>
    <t>Забележка / Описание</t>
  </si>
  <si>
    <t>Включително демографски прогнози на НСИ</t>
  </si>
  <si>
    <t xml:space="preserve">Променлива Е10: Общ брой потребители, обслужвани от оператора, които ползват услуга доставяне на вода на потребителите  </t>
  </si>
  <si>
    <t>Брой битови потребители на услугата доставяне на вода</t>
  </si>
  <si>
    <t>Брой обществени и търговски  потребители на услугата доставяне на вода</t>
  </si>
  <si>
    <t>Брой стопански  потребители на услугата доставяне на вода</t>
  </si>
  <si>
    <t>Фактурирана вода на битови потребители</t>
  </si>
  <si>
    <t>Ефект от намаление на търговски загуби</t>
  </si>
  <si>
    <t>Фактурирана вода на обществени и търговски потребители</t>
  </si>
  <si>
    <t>Фактурирана вода на стопански потребители</t>
  </si>
  <si>
    <t>Общо фактурирана вода на потребителите</t>
  </si>
  <si>
    <t>ОТВЕЖДАНЕ НА ОТПАДЪЧНИ ВОДИ</t>
  </si>
  <si>
    <t>Брой битови потребители на услугата отвеждане</t>
  </si>
  <si>
    <t>Брой обществени и търговски  потребители на услугата отвеждане</t>
  </si>
  <si>
    <t>Брой стопански  потребители на услугата отвеждане</t>
  </si>
  <si>
    <t>Общо фактурирани отведени отпадъчни води на потребителите</t>
  </si>
  <si>
    <t>ПРЕЧИСТВАНЕ НА ОТПАДЪЧНИ ВОДИ</t>
  </si>
  <si>
    <t>Брой битови потребители на услугата пречистване</t>
  </si>
  <si>
    <t>Брой обществени и търговски  потребители на услугата пречистване</t>
  </si>
  <si>
    <t>Брой стопански  потребители на услугата пречистване</t>
  </si>
  <si>
    <t>Общо фактурирани пречистени отпадъчни води на потребителите</t>
  </si>
  <si>
    <t>ИЗЧИСЛЕНИЯ</t>
  </si>
  <si>
    <t>Продадени водни количества</t>
  </si>
  <si>
    <t>IІ.</t>
  </si>
  <si>
    <t>Закупени водни количества</t>
  </si>
  <si>
    <t>ВиК оператор (наименование на продавача):</t>
  </si>
  <si>
    <t>Закупена сурова вода от друг ВиК оператор</t>
  </si>
  <si>
    <r>
      <t>лв./м</t>
    </r>
    <r>
      <rPr>
        <vertAlign val="superscript"/>
        <sz val="10"/>
        <rFont val="Times New Roman"/>
        <family val="1"/>
        <charset val="204"/>
      </rPr>
      <t>3</t>
    </r>
  </si>
  <si>
    <t>Разходи за закупена сурова вода</t>
  </si>
  <si>
    <t>хил.лв./год.</t>
  </si>
  <si>
    <t xml:space="preserve">Закупена пречистена вода от друг ВиК оператор </t>
  </si>
  <si>
    <r>
      <t>м</t>
    </r>
    <r>
      <rPr>
        <vertAlign val="superscript"/>
        <sz val="10"/>
        <rFont val="Times New Roman"/>
        <family val="1"/>
        <charset val="204"/>
      </rPr>
      <t>3</t>
    </r>
    <r>
      <rPr>
        <sz val="10"/>
        <rFont val="Times New Roman"/>
        <family val="1"/>
      </rPr>
      <t xml:space="preserve">/год </t>
    </r>
  </si>
  <si>
    <t>Разходи за закупена пречистена вода</t>
  </si>
  <si>
    <t>Закупена сурова вода на друг ВиК оператор</t>
  </si>
  <si>
    <t xml:space="preserve">Закупена пречистена вода на друг ВиК оператор </t>
  </si>
  <si>
    <t>ефект на изменение (%)</t>
  </si>
  <si>
    <t>Справка № 4.1.</t>
  </si>
  <si>
    <t>Проверка/равнение ефект търговски загуби със Справка № 4</t>
  </si>
  <si>
    <t>Съотношение на населението, ползващо услугата отвеждане на отпадъчни води спрямо населението, ползващо услугата доставяне вода на потребителите</t>
  </si>
  <si>
    <t>Съотношение на населението, ползващо услугата пречистване на отпадъчни води спрямо населението, ползващо услугата доставяне вода на потребителите</t>
  </si>
  <si>
    <t>Съотношение на брой потребители, ползващи услугата отвеждане на отпадъчни води спрямо брой потребители, ползващи услугата доставяне вода на потребителите</t>
  </si>
  <si>
    <t>Съотношение на брой потребители, ползващи услугата пречистване на отпадъчни води спрямо брой потребители, ползващи услугата доставяне вода на потребителите</t>
  </si>
  <si>
    <t>Фактурирани количества</t>
  </si>
  <si>
    <t>Съотношение на фактурирани количества отведени отпадъчни води спрямо фактурираните количества вода доставена на потребителите</t>
  </si>
  <si>
    <t>Съотношение на фактурирани количества пречистени отпадъчни води спрямо фактурираните количества вода доставена на потребителите</t>
  </si>
  <si>
    <t>Обща информация</t>
  </si>
  <si>
    <t>Услуги предоставяни от В и К оператора</t>
  </si>
  <si>
    <t>Доставяне на вода</t>
  </si>
  <si>
    <t>Отвеждане</t>
  </si>
  <si>
    <t>2.1.3</t>
  </si>
  <si>
    <t>Пречистване</t>
  </si>
  <si>
    <t>2.1.4</t>
  </si>
  <si>
    <t>2.1.5</t>
  </si>
  <si>
    <t>Доставяне на вода на друг ВиК оператор, в т.ч.:</t>
  </si>
  <si>
    <t>2.1.5.1</t>
  </si>
  <si>
    <t>2.1.5.2</t>
  </si>
  <si>
    <t>2.1.5.3</t>
  </si>
  <si>
    <t>Налични сертификати</t>
  </si>
  <si>
    <t>ISO 9000:2008 Управление на качеството</t>
  </si>
  <si>
    <t>ISO 14001:2004 Управление на околната среда на организациите</t>
  </si>
  <si>
    <t>OHSAS 18001:2007 Управление на здравословните и безопасни условия на труд</t>
  </si>
  <si>
    <t>Справка № 1 - Обща информация</t>
  </si>
  <si>
    <t>Справка № 4.2. - Отчет и прогноза за продадени и/или закупени водни количества на/от други ВиК оператори</t>
  </si>
  <si>
    <t>Произведени утайки през годината</t>
  </si>
  <si>
    <t>Доставяне на вода nа друг ВиК оператор</t>
  </si>
  <si>
    <t xml:space="preserve">Ръководители </t>
  </si>
  <si>
    <t xml:space="preserve">Специалисти </t>
  </si>
  <si>
    <t xml:space="preserve">Техници и приложни специалисти </t>
  </si>
  <si>
    <t xml:space="preserve"> Помощен административен персонал </t>
  </si>
  <si>
    <t xml:space="preserve"> Персонал, зает с услуги за населението, търговията и охраната </t>
  </si>
  <si>
    <t xml:space="preserve">Квалифицирани работници в селското, горското, ловното и рибното стопанство </t>
  </si>
  <si>
    <t xml:space="preserve">Квалифицирани работници и сродни на тях занаятчии </t>
  </si>
  <si>
    <t xml:space="preserve">Машинни оператори и монтажници </t>
  </si>
  <si>
    <t xml:space="preserve">Професии, неизискващи специална квалификация 
</t>
  </si>
  <si>
    <t>2.1.2.</t>
  </si>
  <si>
    <t>2.1.3.</t>
  </si>
  <si>
    <t>2.1.4.</t>
  </si>
  <si>
    <t>2.1.5.</t>
  </si>
  <si>
    <t>2.1.6.</t>
  </si>
  <si>
    <t>2.1.7.</t>
  </si>
  <si>
    <t>2.1.8.</t>
  </si>
  <si>
    <t>2.1.9.</t>
  </si>
  <si>
    <t>Обслужване на клиентите</t>
  </si>
  <si>
    <t>Транспотрт, администрация и ИТ</t>
  </si>
  <si>
    <t>ВС Доствяне на вода с непитейни качества</t>
  </si>
  <si>
    <t xml:space="preserve">Тежкотоварни автомобили </t>
  </si>
  <si>
    <t xml:space="preserve"> Доставяне на вода с непитейни качества</t>
  </si>
  <si>
    <t>Доставяне на вода за друг ВиК оператор</t>
  </si>
  <si>
    <t xml:space="preserve">  - за механизация (горива за оперативен ремонт)</t>
  </si>
  <si>
    <t>абонаментно обслужване</t>
  </si>
  <si>
    <t xml:space="preserve"> -за транспортни средства</t>
  </si>
  <si>
    <t>1.3.3</t>
  </si>
  <si>
    <t>2.9.1</t>
  </si>
  <si>
    <t>2.9.2</t>
  </si>
  <si>
    <t>2.9.3</t>
  </si>
  <si>
    <t>2.9.4</t>
  </si>
  <si>
    <t>2.18</t>
  </si>
  <si>
    <t>2.18.1</t>
  </si>
  <si>
    <t>2.18.2</t>
  </si>
  <si>
    <t>2.18.3</t>
  </si>
  <si>
    <t>ОБЩО РАЗХОДИ  без амортизации</t>
  </si>
  <si>
    <t>ОБЩО РАЗХОДИ  без АМ на ПДА, предадени за експлоатация</t>
  </si>
  <si>
    <t>Променливи разходи</t>
  </si>
  <si>
    <t xml:space="preserve"> Разходи по икономически елементи</t>
  </si>
  <si>
    <t>Общо разходи</t>
  </si>
  <si>
    <t>ОБЩО ИНВЕСТИЦИИ за регулирана дейност:</t>
  </si>
  <si>
    <t>Доставяне вода с непитейни качества</t>
  </si>
  <si>
    <t>Доставяне вода на друг ВиК оператор</t>
  </si>
  <si>
    <t>Възвръщаемост за доставяне на вода с непитейни качества</t>
  </si>
  <si>
    <t>Възвръщаемост за доставяне на вода на друг ВиК оператор</t>
  </si>
  <si>
    <t>9.</t>
  </si>
  <si>
    <t>ОК за дейността "Доставяне на вода с непитейни качества"</t>
  </si>
  <si>
    <t>10.</t>
  </si>
  <si>
    <t>ОК за дейността "Доставяне на вода на друг ВиК оператор"</t>
  </si>
  <si>
    <t>Годишни парични разходи за дейността "Доставяне на вода с непитейни качества"</t>
  </si>
  <si>
    <t>Годишни парични разходи за дейността "Доставяне на вода на друг ВиК оператор"</t>
  </si>
  <si>
    <t>11.</t>
  </si>
  <si>
    <t>12.</t>
  </si>
  <si>
    <t>ПК6</t>
  </si>
  <si>
    <t>Заеми (хил.лв.)</t>
  </si>
  <si>
    <t>Общо за регулирана дейност</t>
  </si>
  <si>
    <t>Oбщо за регулирана дейност</t>
  </si>
  <si>
    <t>Oбщо за доставяне на вода</t>
  </si>
  <si>
    <t>в т.ч. Разходи за възнаграждения за оперативен ремонт, хил.лв.</t>
  </si>
  <si>
    <t>в т т.ч. Капитализирани разходи за възнаграждения, хил.лв.</t>
  </si>
  <si>
    <t>в т.ч. Разходи за социални осигуровки за оперативен ремонт, хил.лв.</t>
  </si>
  <si>
    <t>в т.ч. Капитализирани разходи за социални осигуровки, хил.лв.</t>
  </si>
  <si>
    <t>в т.ч.. социални разходи (вкл. ваучери за храна) за оперативен рмеонт, хил.лв.</t>
  </si>
  <si>
    <t>Социални разходи (вкл. ваучери за храна), хил.лв.</t>
  </si>
  <si>
    <t xml:space="preserve">в т.ч. капитализирани социални разходи, хил.лв. </t>
  </si>
  <si>
    <t xml:space="preserve">Брой наети лица </t>
  </si>
  <si>
    <t>6.4.</t>
  </si>
  <si>
    <t>6.5.</t>
  </si>
  <si>
    <t>Брой  лица по трудово правоотношение, наети на непълно работно време</t>
  </si>
  <si>
    <t>5.1.1.</t>
  </si>
  <si>
    <t>5.1.2.</t>
  </si>
  <si>
    <t>5.1.3.</t>
  </si>
  <si>
    <t>5.1.4.</t>
  </si>
  <si>
    <t>5.1.5.</t>
  </si>
  <si>
    <t>5.1.6.</t>
  </si>
  <si>
    <t>5.1.7.</t>
  </si>
  <si>
    <t>5.1.8.</t>
  </si>
  <si>
    <t>5.1.9.</t>
  </si>
  <si>
    <t>ОБЩО за регулирана дейност</t>
  </si>
  <si>
    <t>Отвеждане и пречистване на отпадъчните води</t>
  </si>
  <si>
    <t>4.2.1</t>
  </si>
  <si>
    <t>4.2.2</t>
  </si>
  <si>
    <t>4.2.3</t>
  </si>
  <si>
    <t>4.2.4</t>
  </si>
  <si>
    <t>4.2.5</t>
  </si>
  <si>
    <t>5.5</t>
  </si>
  <si>
    <t>5.6</t>
  </si>
  <si>
    <t>Период на данните:</t>
  </si>
  <si>
    <t>Данни за кореспонденция:</t>
  </si>
  <si>
    <t>Опис на приложенията:</t>
  </si>
  <si>
    <t>1.1.1.</t>
  </si>
  <si>
    <t>1.2.1.</t>
  </si>
  <si>
    <t>IIІ.</t>
  </si>
  <si>
    <t>Отчет и прогноза за продадени и/или закупени водни количества на/от други ВиК оператори</t>
  </si>
  <si>
    <t>Справка № 1</t>
  </si>
  <si>
    <t>Променливи за изчисление на показателите за качество на предоставяните В и К услуги</t>
  </si>
  <si>
    <t>Справка № 2</t>
  </si>
  <si>
    <t xml:space="preserve">Показатели за качество на предоставяните В и К услуги </t>
  </si>
  <si>
    <t>Справка № 3</t>
  </si>
  <si>
    <t>Доставяне вода на друг ВиК оператор - Общо</t>
  </si>
  <si>
    <t xml:space="preserve">Справка № 4 </t>
  </si>
  <si>
    <t>Отчет и прогнозно ниво на потребление на В и К услугите за периода на бизнес плана</t>
  </si>
  <si>
    <t>Име и местоположение</t>
  </si>
  <si>
    <t>Община</t>
  </si>
  <si>
    <t>Техническа информация</t>
  </si>
  <si>
    <t>Месец и година на пускане в експлоатация</t>
  </si>
  <si>
    <t>Технически характеристики</t>
  </si>
  <si>
    <t>Друга информация</t>
  </si>
  <si>
    <t>Информация за обекта: етап на проектиране /изграждане, начин на финансиране, друго</t>
  </si>
  <si>
    <t>Разходи</t>
  </si>
  <si>
    <t>Начин на планиране на бъдещите разходи (проект, експертна оценка, друго)</t>
  </si>
  <si>
    <t>социални разходи (вкл. ваучери за храна)</t>
  </si>
  <si>
    <t>социални разходи (вкл. ваучери за храна) за оперативен ремонт</t>
  </si>
  <si>
    <t>Демографски прогнози на НСИ</t>
  </si>
  <si>
    <t>Очаквано присъединяване на нови потребители, в т.ч. промяна на обслужваната територия</t>
  </si>
  <si>
    <t>Прогнози за икономическо развитие на региона</t>
  </si>
  <si>
    <t>Прогнози за население и икономическо развитие</t>
  </si>
  <si>
    <t>Енергийна ефективност за дейността по  доставяне на вода на потребителите</t>
  </si>
  <si>
    <t>Ефективно изменение на нивото на ПК</t>
  </si>
  <si>
    <t>1.1.2.</t>
  </si>
  <si>
    <t>Брой  лица по трудово правоотношение, наети на пълно и непълно работно време (без служители по майчинство)</t>
  </si>
  <si>
    <r>
      <t>Брой  лица по трудово правоотношение, наети на пълно</t>
    </r>
    <r>
      <rPr>
        <sz val="9"/>
        <color rgb="FFFF0000"/>
        <rFont val="Times New Roman"/>
        <family val="1"/>
        <charset val="204"/>
      </rPr>
      <t xml:space="preserve"> </t>
    </r>
    <r>
      <rPr>
        <sz val="9"/>
        <rFont val="Times New Roman"/>
        <family val="1"/>
        <charset val="204"/>
      </rPr>
      <t>работно време (без служители по майчинство)</t>
    </r>
  </si>
  <si>
    <t>темп на изменение спрямо предходната година, %</t>
  </si>
  <si>
    <r>
      <t>Среден размер на възнаграждение на единица персонал</t>
    </r>
    <r>
      <rPr>
        <sz val="9"/>
        <color rgb="FFFF0000"/>
        <rFont val="Times New Roman"/>
        <family val="1"/>
        <charset val="204"/>
      </rPr>
      <t xml:space="preserve"> </t>
    </r>
    <r>
      <rPr>
        <sz val="9"/>
        <rFont val="Times New Roman"/>
        <family val="1"/>
        <charset val="204"/>
      </rPr>
      <t>(хил.лв./бр.)</t>
    </r>
  </si>
  <si>
    <t>1.2.2.</t>
  </si>
  <si>
    <t>1.2.3.</t>
  </si>
  <si>
    <t>1.2.4.</t>
  </si>
  <si>
    <t>1.2.5.</t>
  </si>
  <si>
    <t>1.2.6.</t>
  </si>
  <si>
    <t>1.2.7.</t>
  </si>
  <si>
    <t>1.2.8.</t>
  </si>
  <si>
    <t>1.2.9.</t>
  </si>
  <si>
    <t>увеличение</t>
  </si>
  <si>
    <t>намаление</t>
  </si>
  <si>
    <t>отчет</t>
  </si>
  <si>
    <t>разчет</t>
  </si>
  <si>
    <t xml:space="preserve">Проверка/равнение фактурирани количества на друг ВиК оператор </t>
  </si>
  <si>
    <t>Проверка/равнение загуби при доставяне на друг ВиК оператор</t>
  </si>
  <si>
    <t>Обща дължина на рехабилитираната водопроводна мрежа  ВС Доставяне на вода с непитейни качества</t>
  </si>
  <si>
    <t>Броят на водомерни зони, имащи постоянно измерване на дебит и налягане на вход/изход зона и измервания в критична точка при необходимост</t>
  </si>
  <si>
    <t>Собствени средства (хил.лв.)</t>
  </si>
  <si>
    <t>такси за заустване</t>
  </si>
  <si>
    <t xml:space="preserve"> - за технологични нужди</t>
  </si>
  <si>
    <t xml:space="preserve"> - за транспортни средства</t>
  </si>
  <si>
    <t xml:space="preserve"> - за механизация (горива за оперативен ремонт)</t>
  </si>
  <si>
    <t>Възвръщаемост за доставяне на вода на потребителите</t>
  </si>
  <si>
    <t>Други оперативни ремонти, общи за услугите - разпределение за доставяне вода на потребителите</t>
  </si>
  <si>
    <t>Други оперативни ремонти, общи за услугите - разпределение за отвеждане на отпадъчните води</t>
  </si>
  <si>
    <t>Други оперативни ремонти, общи за услугите - разпределение за пречистване на отпадъчните води</t>
  </si>
  <si>
    <t>Други оперативни ремонти, общи за услугите - разпределение за доставяне на вода с непитейни качества</t>
  </si>
  <si>
    <t>Други оперативни ремонти, общи за услугите - разпределение за доставяне на вода на друг ВиК оператор</t>
  </si>
  <si>
    <t>Ремонт на помпи за доставяне на вода на потребителите</t>
  </si>
  <si>
    <t>Ремонт на други съоръжения за доставяне на вода на потребителите</t>
  </si>
  <si>
    <t>Ремонт на оборудване, апаратура и машини за доставяне на вода на потребителите</t>
  </si>
  <si>
    <t>Ремонт на сгради за доставяне на вода на потребителите</t>
  </si>
  <si>
    <t>Други оперативни ремонти за доставяне на вода на потребителите</t>
  </si>
  <si>
    <t>Общо ремонти за услуга доставяне на вода на потребителите</t>
  </si>
  <si>
    <t>Ремонт на помпи за отвеждане на отпадъчните води</t>
  </si>
  <si>
    <t>Ремонт на оборудване, апаратура и машини за отвеждане на отпадъчните води</t>
  </si>
  <si>
    <t>Ремонт на сгради за отвеждане на отпадъчните води</t>
  </si>
  <si>
    <t>Ремонт на механизация и транспортни средства за отвеждане на отпадъчните води</t>
  </si>
  <si>
    <t>Други оперативни ремонти за отвеждане на отпадъчните води</t>
  </si>
  <si>
    <t>Ремонт на съоръжения за пречистване на отпадъчните води</t>
  </si>
  <si>
    <t>Ремонт на помпи за пречистване на отпадъчните води</t>
  </si>
  <si>
    <t>Ремонт на оборудване, апаратура и машини за пречистване на отпадъчните води</t>
  </si>
  <si>
    <t>Ремонт на сгради за пречистване на отпадъчните води</t>
  </si>
  <si>
    <t>Други оперативни ремонти за пречистване на отпадъчните води</t>
  </si>
  <si>
    <t>Ремонт на помпи за доставяне на вода с непитейни качества</t>
  </si>
  <si>
    <t>Ремонт на други съоръжения за доставяне на вода с непитейни качества</t>
  </si>
  <si>
    <t>Ремонт на оборудване, апаратура и машини за доставяне на вода с непитейни качества</t>
  </si>
  <si>
    <t>Ремонт на механизация и транспортни средства за доставяне на вода с непитейни качества</t>
  </si>
  <si>
    <t>Други оперативни ремонти за доставяне на вода с непитейни качества</t>
  </si>
  <si>
    <t>Ремонт на помпи за доставяне на вода на друг ВиК оператор</t>
  </si>
  <si>
    <t>Ремонт на други съоръжения за доставяне на вода на друг ВиК оператор</t>
  </si>
  <si>
    <t>Ремонт на оборудване, апаратура и машини за доставяне вода на друг ВиК оператор</t>
  </si>
  <si>
    <t>Ремонт на сгради за доставяне на вода на друг ВиК оператор</t>
  </si>
  <si>
    <t>Ремонт на механизация и транспортни средства за доставяне на вода на друг ВиК оператор</t>
  </si>
  <si>
    <t>Други оперативни ремонти за доставяне на вода на друг ВиК оператор</t>
  </si>
  <si>
    <t xml:space="preserve">2. Справка №7 се попълва само за ВС "Основна".  </t>
  </si>
  <si>
    <t>2. Цифрите в редове "Проверка/засичане на данни" трябва да са нули</t>
  </si>
  <si>
    <t>Справка № 9</t>
  </si>
  <si>
    <t>Справка № 12</t>
  </si>
  <si>
    <t>Годишни разходи</t>
  </si>
  <si>
    <t>Отчет и прогнозно ниво на потребление на електроенергия за периода на бизнес плана</t>
  </si>
  <si>
    <t>Справка № 6</t>
  </si>
  <si>
    <t>Справка № 4.2.</t>
  </si>
  <si>
    <t>9.8.</t>
  </si>
  <si>
    <t>% за собствени активи</t>
  </si>
  <si>
    <t>9.9.</t>
  </si>
  <si>
    <t>% за публични активи</t>
  </si>
  <si>
    <t>10.8.</t>
  </si>
  <si>
    <t>10.9.</t>
  </si>
  <si>
    <t>11.8.</t>
  </si>
  <si>
    <t>11.9.</t>
  </si>
  <si>
    <t>Група ВиК оператор</t>
  </si>
  <si>
    <t>Малък ВиК оператор</t>
  </si>
  <si>
    <t>Голям ВиК оператор</t>
  </si>
  <si>
    <t>Среден ВиК оператор</t>
  </si>
  <si>
    <t>Микро ВиК оператор</t>
  </si>
  <si>
    <t>Норма на възвръщаемост на привлечения капитал, утвърдена от комисията</t>
  </si>
  <si>
    <t>Групи ВиК оператори</t>
  </si>
  <si>
    <t>НВск</t>
  </si>
  <si>
    <t>НВпк</t>
  </si>
  <si>
    <t>4. Справка № 2 се попълва за ВС "Основна" и за ВС "Доставяне на вода с непитейни качества". Справка № 2 не се попълва за ВС "Вода за друг ВиК оператор"</t>
  </si>
  <si>
    <t>Възвръщаемост за отвеждане на отпадъчни води</t>
  </si>
  <si>
    <t>Възвръщаемост за пречистване на отпадъчни води</t>
  </si>
  <si>
    <t>ДОСТАВЯНЕ ВОДА НА ПОТРЕБИТЕЛИТЕ - ОСНОВНА</t>
  </si>
  <si>
    <t>Справка № 7</t>
  </si>
  <si>
    <t>Ремонтна програма</t>
  </si>
  <si>
    <t>Справка № 8</t>
  </si>
  <si>
    <t>Справка № 11</t>
  </si>
  <si>
    <t>Амортизационен план на Дълготрайни Активи</t>
  </si>
  <si>
    <t>Инвестиции и източници на финансиране</t>
  </si>
  <si>
    <t>Справка № 10</t>
  </si>
  <si>
    <t>Ремонт на механизация и транспортни средства за доставяне на вода на потребителите</t>
  </si>
  <si>
    <t>Ремонт на механизация и транспортни средства за пречистване на отпадъчните води</t>
  </si>
  <si>
    <t>Ремонт на сгради за доставяне на вода с непитейни качества</t>
  </si>
  <si>
    <t>Справка № 4.1. - Отчет и прогноза за фактурирани количества, население и потребители по услуги</t>
  </si>
  <si>
    <t>Справка № 20  - Цени за регулирани услуги</t>
  </si>
  <si>
    <t>Общ брой на населението по последно преброяване и демографски прогнози на НСИ, ползващо услугата доставяне на вода на потребителите в обособената територия, обслужвана от В и К оператора</t>
  </si>
  <si>
    <t xml:space="preserve">Общ брой на населението по последно преброяване и демографски прогнози на НСИ, ползващо услугата отвеждане на отпадъчни води в обособената територия, обслужвана от оператора за разглеждания период </t>
  </si>
  <si>
    <t>Общ брой на населението по последно преброяване и демографски прогнози на НСИ, ползващо услугата пречистване на отпадъчни води в обособената територия, обслужвана от оператора за разглеждания период</t>
  </si>
  <si>
    <t>Променлива F1: Общ брой на населението по последно преброяване и демографски прогнози на НСИ, ползващо услугата доставяне на вода на потребителите в обособената територия, обслужвана от В и К оператора</t>
  </si>
  <si>
    <t xml:space="preserve">Променлива wE4: Общ брой на населението по последно преброяване и демографски прогнози на НСИ, ползващо услугата отвеждане на отпадъчни води в обособената територия, обслужвана от оператора за разглеждания период </t>
  </si>
  <si>
    <t>Променлива wE2: Общ брой на населението по последно преброяване и демографски прогнози на НСИ, ползващо услугата пречистване на отпадъчни води в обособената територия, обслужвана от оператора за разглеждания период</t>
  </si>
  <si>
    <t xml:space="preserve">Общ брой на населението по последно преброяване и демографски прогнози на НСИ в обособената територия, обслужвана от оператора </t>
  </si>
  <si>
    <t>Разходи за възнаграждения по трудови правоотношения, хил.лв.</t>
  </si>
  <si>
    <t>Разходи за възнаграждения и хонорари, в хил.лв.</t>
  </si>
  <si>
    <t>Наети с договор за управление и контрол, граждански договор, допълнителен труд съгласно чл. 111 от КТ</t>
  </si>
  <si>
    <t>Разходи в Qр</t>
  </si>
  <si>
    <t>Разлика общо изменение - коеф. Qр</t>
  </si>
  <si>
    <t>Разходи за нови обекти и/или дейности, включени в коефициента Qp и ефективност на разходите</t>
  </si>
  <si>
    <t>Средноаритметично
2018-2020 г.</t>
  </si>
  <si>
    <t xml:space="preserve">ефект на изменение </t>
  </si>
  <si>
    <r>
      <t>м</t>
    </r>
    <r>
      <rPr>
        <vertAlign val="superscript"/>
        <sz val="10"/>
        <color indexed="8"/>
        <rFont val="Times New Roman"/>
        <family val="1"/>
        <charset val="204"/>
      </rPr>
      <t>3</t>
    </r>
  </si>
  <si>
    <r>
      <rPr>
        <sz val="10"/>
        <color rgb="FFFF0000"/>
        <rFont val="Times New Roman"/>
        <family val="1"/>
        <charset val="204"/>
      </rPr>
      <t>м</t>
    </r>
    <r>
      <rPr>
        <vertAlign val="superscript"/>
        <sz val="10"/>
        <color rgb="FFFF0000"/>
        <rFont val="Times New Roman"/>
        <family val="1"/>
        <charset val="204"/>
      </rPr>
      <t>3</t>
    </r>
  </si>
  <si>
    <t>ефект на изменение</t>
  </si>
  <si>
    <r>
      <t>м</t>
    </r>
    <r>
      <rPr>
        <vertAlign val="superscript"/>
        <sz val="10"/>
        <color indexed="8"/>
        <rFont val="Times New Roman"/>
        <family val="1"/>
        <charset val="204"/>
      </rPr>
      <t>3</t>
    </r>
    <r>
      <rPr>
        <sz val="10"/>
        <color indexed="8"/>
        <rFont val="Times New Roman"/>
        <family val="1"/>
        <charset val="204"/>
      </rPr>
      <t>/мес.</t>
    </r>
  </si>
  <si>
    <t>л/ж/д</t>
  </si>
  <si>
    <t>контрола</t>
  </si>
  <si>
    <t>3. Справка № 4.1. се попълва само за ВС "Основна"</t>
  </si>
  <si>
    <t xml:space="preserve">2. Справка № 3 е резултативна от данните в Справка № 2 за ВС "Основна" и ВС "Вода с непитейни качества". </t>
  </si>
  <si>
    <t>2. Качеството на информация се посочва с оценка от 1 до 4, съгласно указания НРКВКУ</t>
  </si>
  <si>
    <t>2. В случай на необходмост се добавят редове в раздел Данни за търговското дружество, съдружници/ акционери</t>
  </si>
  <si>
    <t xml:space="preserve">Фактурирано потребление на население </t>
  </si>
  <si>
    <r>
      <t xml:space="preserve">Фактурирано потребление на битови потребители </t>
    </r>
    <r>
      <rPr>
        <b/>
        <sz val="10"/>
        <color indexed="8"/>
        <rFont val="Times New Roman"/>
        <family val="1"/>
        <charset val="204"/>
      </rPr>
      <t/>
    </r>
  </si>
  <si>
    <r>
      <t xml:space="preserve">Фактурирано потребление на обществени и търговски потребители </t>
    </r>
    <r>
      <rPr>
        <b/>
        <sz val="10"/>
        <color indexed="8"/>
        <rFont val="Times New Roman"/>
        <family val="1"/>
        <charset val="204"/>
      </rPr>
      <t/>
    </r>
  </si>
  <si>
    <r>
      <t xml:space="preserve">Фактурирано потребление на стопански потребители </t>
    </r>
    <r>
      <rPr>
        <b/>
        <sz val="10"/>
        <color indexed="8"/>
        <rFont val="Times New Roman"/>
        <family val="1"/>
        <charset val="204"/>
      </rPr>
      <t/>
    </r>
  </si>
  <si>
    <t xml:space="preserve">Ефект от намаление на търговски загуби </t>
  </si>
  <si>
    <t>2. Цифрите в редове "Проверка/равнение ефект търговски загуби със Справка № 4" трябва да са нули</t>
  </si>
  <si>
    <t>3. За ВС "Доставяне на вода на друг ВиК оператор“  се попълват данни за вход, продадена вода и загуби за съответния ВиК оператор. За закупените водни количества от други ВиК оператори/доставчици се представят данни за количества и цени.</t>
  </si>
  <si>
    <t>Обект/ Дейност</t>
  </si>
  <si>
    <t>Обслужвано население, бр.</t>
  </si>
  <si>
    <r>
      <t>Фактурирани количества, м</t>
    </r>
    <r>
      <rPr>
        <vertAlign val="superscript"/>
        <sz val="10"/>
        <color theme="1"/>
        <rFont val="Times New Roman"/>
        <family val="1"/>
        <charset val="204"/>
      </rPr>
      <t>3</t>
    </r>
  </si>
  <si>
    <t>Електроенергия, кВтч</t>
  </si>
  <si>
    <t>Персонал, бр.</t>
  </si>
  <si>
    <t>Разходи за материали, хил. лв.</t>
  </si>
  <si>
    <t>ОБЩО РАЗХОДИ за услугата доставяне на вода, включени в Qр, хил. лв.</t>
  </si>
  <si>
    <t xml:space="preserve"> в т.ч. разходи за коагуланти, хил. лв.</t>
  </si>
  <si>
    <t xml:space="preserve"> в т.ч. разходи за флокуланти, хил. лв.</t>
  </si>
  <si>
    <t xml:space="preserve"> в т.ч. разходи за електроенергия, хил. лв.</t>
  </si>
  <si>
    <t>Разходи за външни услуги, хил. лв.</t>
  </si>
  <si>
    <t>Разходи за възнаграждения, хил. лв.</t>
  </si>
  <si>
    <t>Разходи за осигуровки, хил. лв.</t>
  </si>
  <si>
    <t>Данъци и такси, хил. лв.</t>
  </si>
  <si>
    <t>Други разходи, хил. лв.</t>
  </si>
  <si>
    <t>Технически и икономически параметри</t>
  </si>
  <si>
    <t>2. Справка №13 се попълва само за ВС "Основна"</t>
  </si>
  <si>
    <t xml:space="preserve"> в т.ч. разходи за обеззаразяване, хил. лв.</t>
  </si>
  <si>
    <t>Цени за регулирани услуги</t>
  </si>
  <si>
    <t>Контрола</t>
  </si>
  <si>
    <t>в т.ч. разходи за административна дейност</t>
  </si>
  <si>
    <t>Общ брой служители на заетост, еквивалент на пълна заетост (ЕПЗ)</t>
  </si>
  <si>
    <t>Среден размер на възнаграждение на единица персонал на заетост ЕПЗ (хил.лв./ЕПЗ)</t>
  </si>
  <si>
    <t>Брой служители, бр.</t>
  </si>
  <si>
    <t>3. В случай, че дружеството предоставя услугата доставяне на вода на друг ВиК оператор, се посочват наименованията на съответните ВиК оператори</t>
  </si>
  <si>
    <t>4. Справка № 4 се попълва за всички водоснабдителни системи - ВС "Основна", ВС "Доставяне на вода с непитейни качества", и ВС "Доставяне на вода на друг ВиК оператор". За ВС "Основна" се попълват всички данни за добити и подадени количества в редове 1.1-1.2. и 1.5-1.8, вкл. за ВС "Вода за друг ВиК оператор" (всички системи, ако са повече от една), редове 1.3. и 1.4. не се попълват (данните са резултативни от Справка № 4.2) . За ВС "Доставяне на вода на друг ВиК оператор" (редове 92 - 111  - данните за вход система, продадени водни количества, и неносеща приходи вода Q9 (в т.ч. компонентите на загубите) са резултативни от Справка № 4.2. За ВС "Вода с непитейни качества" се попълват самостоятелни данни за вход, продадена вода и загуби</t>
  </si>
  <si>
    <t xml:space="preserve">3. В случай, че дружеството планира влошване на нивото по даден показател за дадена година спрямо предходната година в съответната клетка ще се появи червена маркировка. </t>
  </si>
  <si>
    <t>Справка № 12.1.</t>
  </si>
  <si>
    <t>Справка № 12.2.</t>
  </si>
  <si>
    <t>Справка № 11.1. - Амортизация на новопридобити активи</t>
  </si>
  <si>
    <t>3. Данните за фактурирани количества за ВС "Основна" и ВС "Доставяне на вода на друг ВиК оператор" са резултативни съответно от Справка № 4.1. и № 4.2. Попълват се данни за фактурирани количества пречистени отпадъчни води единствено за промишлени и други стопански потребители според степени на замърсеност 1, 2, 3.
В случай, че Пречистените фактурирани количества отпадъчни води за промишлени и други стопански потребители в Справка 4.1. не са равни на сумата от Пречистените количества отпадъчни води според степени на замърсеност 1, 2 и 3, на ред "контрола" ще се калкулират стойности различни от нула, което ще покаже необходмост от ревизия на данните в справката</t>
  </si>
  <si>
    <t>3. В т.6 "Наети с договор за управление и контрол, граждански договор, допълнителен труд съгласно чл. 111 от КТ" се посочват наетите лица по договор за управление и контрол, които не са включени в т.1.2. извън-трудови правоотнощения, допълнителен труд по чл.111 от КТ и работещи собственици, като разходи за възнаграждения се посочват всички плащания, имащи характер на хонорари и др. подобни плащания</t>
  </si>
  <si>
    <t>2. В т. 1.2."Общ брой служители на заетост, еквивалент на пълна заетост (ЕПЗ)" се включват и наетите лица по договор за управление и контрол, на които основното работно място и прослужен трудов стаж е в отчетната единица; както и лица, временно отсъстващи поради болест, неплатен отпуск не по-дълъг от 3 месеца. Не се включват лицата в неплатен отпуск за повече от 3 месеца, акто и лицата в отпуск по майчинство.</t>
  </si>
  <si>
    <t xml:space="preserve">3. В колона „Заеми“ се посочват инвестициите планирани от дружеството, които ще се финансират чрез заеми. </t>
  </si>
  <si>
    <t>1. Справката е резултативна.</t>
  </si>
  <si>
    <t>2. Справка №14 се попълва само за цялото дружество</t>
  </si>
  <si>
    <t>3. Справка №15 се попълва за цялото дружество</t>
  </si>
  <si>
    <t xml:space="preserve"> Амортизация на новопридобити активи</t>
  </si>
  <si>
    <t>Справка № 11.1.</t>
  </si>
  <si>
    <t>Прогнозен отчет за паричния поток</t>
  </si>
  <si>
    <t>Справка № 15</t>
  </si>
  <si>
    <t>Прогнозен отчет за приходите и разходите</t>
  </si>
  <si>
    <t>Справка № 14</t>
  </si>
  <si>
    <t>Справка № 16</t>
  </si>
  <si>
    <t>Справка № 17</t>
  </si>
  <si>
    <t>Справка № 18</t>
  </si>
  <si>
    <t>Справка № 19</t>
  </si>
  <si>
    <t>Справка № 20</t>
  </si>
  <si>
    <t>Битови и приравнените към тях обществени и търговски потребители</t>
  </si>
  <si>
    <t>Услуга</t>
  </si>
  <si>
    <t>3.2.1.</t>
  </si>
  <si>
    <t>3.2.2.</t>
  </si>
  <si>
    <t>3.2.3.</t>
  </si>
  <si>
    <t>Код 
счетоводна сметка 
207</t>
  </si>
  <si>
    <t>% 
годишна амортизация</t>
  </si>
  <si>
    <t>ВС Доствяне на вода на друг ВиК оператор</t>
  </si>
  <si>
    <t>в т.ч. Разпределен общ административен персонал</t>
  </si>
  <si>
    <t>К-т за степен на замърсеност на пречистени отпадъчни води</t>
  </si>
  <si>
    <t>Собствени дългтрайни активи  и                                    Публични дълготрайни активи, изградени със собствени средства</t>
  </si>
  <si>
    <t>Нови ДА</t>
  </si>
  <si>
    <t>ДА с изтичащ полезен живот през периода</t>
  </si>
  <si>
    <t>Разпределение на общ административен персонал на заетост ЕПЗ</t>
  </si>
  <si>
    <t xml:space="preserve">Справка № 12.2. - Разходи за експолоатация и поддръжка на нови активи и/или осъществяване на нови дейности, включени в коефициент Qр </t>
  </si>
  <si>
    <t>Дълготрайни активи за периода на бизнес плана</t>
  </si>
  <si>
    <t>Справка № 11.2. - Дълготрайни активи за периода на бизнес плана</t>
  </si>
  <si>
    <t>Пряко зает персонал на заетост ЕПЗ</t>
  </si>
  <si>
    <t xml:space="preserve"> Непряко зает персонал на заетост ЕПЗ</t>
  </si>
  <si>
    <t>5. В т. 1.5."в т.ч. Разпределен общ административен персонал" се посочва разпределеният по дейности и услуги общ административен персонал, съгласно т. 15.7. от Указанията за НРКВКУ. В случай, че рзпределението на общия административен персонал не отговаря на изискванията на т. 15.7. от Указанията за НРКВКУ стойностите няма да се равнят с тези в т. 1.6. "Разпределение на общ административен персонал на заетост ЕПЗ" (която се явява контрола).</t>
  </si>
  <si>
    <t>4. Общият административен персонал е персоналът зает с централното управление на дружеството.</t>
  </si>
  <si>
    <t>Преки разходи</t>
  </si>
  <si>
    <t xml:space="preserve"> Непреки разходи</t>
  </si>
  <si>
    <t>Непреки разходи</t>
  </si>
  <si>
    <t>Параметри на публичните ВиК активи и обслужвани потребители</t>
  </si>
  <si>
    <t>Общ брой населени места, в които се предоставя услугата доставяне на вода</t>
  </si>
  <si>
    <t>Общ брой населени места, в които се предоставя услугата отвеждане на отпадъчни води</t>
  </si>
  <si>
    <t>Общ брой населени места, в които се предоставя услугата пречистване на отпадъчни води</t>
  </si>
  <si>
    <t xml:space="preserve">Общ брой на населението, ползващо услугата доставяне на вода на потребителите </t>
  </si>
  <si>
    <t xml:space="preserve">Брой население, ползващо услугата отвеждане на отпадъчни води </t>
  </si>
  <si>
    <t xml:space="preserve">Брой население, ползващо услугата пречистване на отпадъчни води    </t>
  </si>
  <si>
    <t>Общ брой населени места в обособената територия, обслужвана от ВиК оператора за разглеждания период</t>
  </si>
  <si>
    <t>Общ брой на населението в обособената територия, обслужвана от ВиК оператора</t>
  </si>
  <si>
    <t>Общ брой на водомерни зони в обслужваната от ВиК оператора територия</t>
  </si>
  <si>
    <t>Обща дължина на довеждащите водопроводи и разпределителната водопроводна мрежа</t>
  </si>
  <si>
    <t>Общ брой на сградните водопроводни отклонения (СВО)</t>
  </si>
  <si>
    <t>Общ брой на сградните канализационни отклонения  (СКО)</t>
  </si>
  <si>
    <t>Общ брой водомери на СВО (средства за измерване)</t>
  </si>
  <si>
    <r>
      <t>м</t>
    </r>
    <r>
      <rPr>
        <vertAlign val="superscript"/>
        <sz val="8"/>
        <rFont val="Times New Roman"/>
        <family val="1"/>
        <charset val="204"/>
      </rPr>
      <t>3</t>
    </r>
    <r>
      <rPr>
        <sz val="8"/>
        <rFont val="Times New Roman"/>
        <family val="1"/>
        <charset val="204"/>
      </rPr>
      <t xml:space="preserve">/год </t>
    </r>
  </si>
  <si>
    <r>
      <t>м</t>
    </r>
    <r>
      <rPr>
        <vertAlign val="superscript"/>
        <sz val="8"/>
        <rFont val="Times New Roman"/>
        <family val="1"/>
        <charset val="204"/>
      </rPr>
      <t>3</t>
    </r>
    <r>
      <rPr>
        <sz val="8"/>
        <rFont val="Times New Roman"/>
        <family val="1"/>
        <charset val="204"/>
      </rPr>
      <t>/км/ден</t>
    </r>
  </si>
  <si>
    <t>Ед. 
мярка</t>
  </si>
  <si>
    <t>Общ брой служители на заетост, еквивалентна пълна заетост (ЕПЗ)</t>
  </si>
  <si>
    <t>Среден размер на възнаграждение на единица персонал на ЕПЗ (хил.лв./ЕПЗ)</t>
  </si>
  <si>
    <t>Ед. Мярка</t>
  </si>
  <si>
    <t>ОБЩО за доставяне на вода</t>
  </si>
  <si>
    <t>ОБЩО за отвеждане и пречистване на отпадъчни води</t>
  </si>
  <si>
    <t>бр. ЕПЗ</t>
  </si>
  <si>
    <t>хил.лв. /ЕПЗ</t>
  </si>
  <si>
    <t xml:space="preserve">Брой  лица по трудово правоотношение, наети на пълно и непълно работно време </t>
  </si>
  <si>
    <t>темп на изменение спрямо 2020 г.</t>
  </si>
  <si>
    <t xml:space="preserve"> темп на изменение спрямо 2020 г.</t>
  </si>
  <si>
    <t>темп на изменение спрямо предходната година</t>
  </si>
  <si>
    <t>Дял на социалните разходи от разходите за възнаграждения</t>
  </si>
  <si>
    <t>Дял на разходите за социални осигуровки от разходите за възнаграждения</t>
  </si>
  <si>
    <t xml:space="preserve">Потребена електрическа енергия </t>
  </si>
  <si>
    <t>МВтч</t>
  </si>
  <si>
    <t>Разход, хил. лв.</t>
  </si>
  <si>
    <r>
      <t>кВтч/м</t>
    </r>
    <r>
      <rPr>
        <b/>
        <vertAlign val="superscript"/>
        <sz val="8"/>
        <color rgb="FF1F497D"/>
        <rFont val="Times New Roman"/>
        <family val="1"/>
        <charset val="204"/>
      </rPr>
      <t>3</t>
    </r>
  </si>
  <si>
    <t>Темп на изменение спрямо предходната година</t>
  </si>
  <si>
    <t>ОБЩО  за регулирана дейност</t>
  </si>
  <si>
    <t>Количество</t>
  </si>
  <si>
    <r>
      <t>Специфичен разход кВтч/м</t>
    </r>
    <r>
      <rPr>
        <b/>
        <vertAlign val="superscript"/>
        <sz val="8"/>
        <color rgb="FF1F497D"/>
        <rFont val="Times New Roman"/>
        <family val="1"/>
        <charset val="204"/>
      </rPr>
      <t xml:space="preserve">3 </t>
    </r>
    <r>
      <rPr>
        <b/>
        <sz val="8"/>
        <color rgb="FF1F497D"/>
        <rFont val="Times New Roman"/>
        <family val="1"/>
        <charset val="204"/>
      </rPr>
      <t>вода на вход ПСОВ</t>
    </r>
  </si>
  <si>
    <r>
      <t>Специфичен разход кВтч/м</t>
    </r>
    <r>
      <rPr>
        <b/>
        <vertAlign val="superscript"/>
        <sz val="8"/>
        <color rgb="FF1F497D"/>
        <rFont val="Times New Roman"/>
        <family val="1"/>
        <charset val="204"/>
      </rPr>
      <t>3</t>
    </r>
    <r>
      <rPr>
        <b/>
        <sz val="8"/>
        <color rgb="FF1F497D"/>
        <rFont val="Times New Roman"/>
        <family val="1"/>
        <charset val="204"/>
      </rPr>
      <t xml:space="preserve"> вода на вход ВС</t>
    </r>
  </si>
  <si>
    <t>Ополозтворени утайки съгласно методите, описани в Национален план за управление на утайките от ГПСОВ</t>
  </si>
  <si>
    <t xml:space="preserve">тон  </t>
  </si>
  <si>
    <t>лв./т.</t>
  </si>
  <si>
    <t>лв/тон  с.в.</t>
  </si>
  <si>
    <t>Обща стойност на обектите (хил.лв.)</t>
  </si>
  <si>
    <t xml:space="preserve">Брой </t>
  </si>
  <si>
    <t>Други ремонти,общи за услугите-разпр.</t>
  </si>
  <si>
    <t>водоизточници</t>
  </si>
  <si>
    <t>довеждащи водопроводи</t>
  </si>
  <si>
    <t>участъци от водопроводната мрежа под 10 м</t>
  </si>
  <si>
    <t>СВО</t>
  </si>
  <si>
    <t>спирателни кранове и хидранти</t>
  </si>
  <si>
    <t>помпи за доставяне на вода на потребителите</t>
  </si>
  <si>
    <t>други съоръжения за доставяне на вода на потребителите</t>
  </si>
  <si>
    <t>оборудване, апаратура и машини за доставяне на вода на потребителите</t>
  </si>
  <si>
    <t>механизация и транспортни средства за доставяне на вода на потребителите</t>
  </si>
  <si>
    <t>сгради за доставяне на вода на потребителите</t>
  </si>
  <si>
    <t>СКО</t>
  </si>
  <si>
    <t>Участъци от канализационна мрежа под 10 м</t>
  </si>
  <si>
    <t>помпи за отвеждане на отпадъчните води</t>
  </si>
  <si>
    <t>оборудване, апаратура и машини за отвеждане на отпадъчните води</t>
  </si>
  <si>
    <t>сгради за отвеждане на отпадъчните води</t>
  </si>
  <si>
    <t>механизация и транспортни средства за отвеждане на отпадъчните води</t>
  </si>
  <si>
    <t>Профилактика</t>
  </si>
  <si>
    <t>Други оперативни ремонти, общи за услугите - разпр.</t>
  </si>
  <si>
    <t>съоръжения за пречистване на отпадъчните води</t>
  </si>
  <si>
    <t>помпи за пречистване на отпадъчните води</t>
  </si>
  <si>
    <t>оборудване, апаратура и машини за пречистване на отпадъчните води</t>
  </si>
  <si>
    <t>сгради за пречистване на отпадъчните води</t>
  </si>
  <si>
    <t>механизация и транспортни средства за пречистване на отпадъчните води</t>
  </si>
  <si>
    <t>Предложени нива на показателите за качество</t>
  </si>
  <si>
    <r>
      <t>м</t>
    </r>
    <r>
      <rPr>
        <vertAlign val="superscript"/>
        <sz val="7"/>
        <rFont val="Times New Roman"/>
        <family val="1"/>
        <charset val="204"/>
      </rPr>
      <t>3</t>
    </r>
    <r>
      <rPr>
        <sz val="7"/>
        <rFont val="Times New Roman"/>
        <family val="1"/>
        <charset val="204"/>
      </rPr>
      <t>/км/ден</t>
    </r>
  </si>
  <si>
    <t xml:space="preserve"> Енергийна ефективност за дейността по  доставяне на вода на потребителите</t>
  </si>
  <si>
    <r>
      <t>кВч/м</t>
    </r>
    <r>
      <rPr>
        <vertAlign val="superscript"/>
        <sz val="7"/>
        <rFont val="Times New Roman"/>
        <family val="1"/>
        <charset val="204"/>
      </rPr>
      <t>3</t>
    </r>
  </si>
  <si>
    <t>Показател за качество</t>
  </si>
  <si>
    <t>ВС "Основна"</t>
  </si>
  <si>
    <t>ВС "Доставяне вода с непитейни качества"</t>
  </si>
  <si>
    <t>Общо</t>
  </si>
  <si>
    <t>Дял от общо</t>
  </si>
  <si>
    <t>ПСПВ</t>
  </si>
  <si>
    <t>Резервоари, ХС, ПС, хидрофори</t>
  </si>
  <si>
    <t>Разпределителна водопроводна мрежа над 10 м.</t>
  </si>
  <si>
    <t>СВО, СК, ПХ</t>
  </si>
  <si>
    <t>Измерване на вход, зониране - контролно измерване</t>
  </si>
  <si>
    <t>Управление на налягане, проучване и моделиране</t>
  </si>
  <si>
    <t>СКАДА</t>
  </si>
  <si>
    <t>Общо - публични активи водоснабдяване</t>
  </si>
  <si>
    <t>Собствени активи - автомобили, механизация, оборудване</t>
  </si>
  <si>
    <t>КПС</t>
  </si>
  <si>
    <t>Главни канализационни клонове</t>
  </si>
  <si>
    <t>Канализационна мрежа над 10 м.</t>
  </si>
  <si>
    <t>Проучване и моделиране</t>
  </si>
  <si>
    <t>Общо - публични активи канализация</t>
  </si>
  <si>
    <t>ПСОВ</t>
  </si>
  <si>
    <t>Общо - публични активи пречистване</t>
  </si>
  <si>
    <t>Водомери на СВО</t>
  </si>
  <si>
    <t>Информационни системи - собствени активи и ИТ хардуер</t>
  </si>
  <si>
    <t>Собствени активи - сгради, стопански инвентар, автомобили</t>
  </si>
  <si>
    <t>Общо транспорт, администрация и ИТ</t>
  </si>
  <si>
    <t>Общо инвестиции в публични активи</t>
  </si>
  <si>
    <t>Общо инвестиции в собствени активи</t>
  </si>
  <si>
    <t>ОБЩО ИНВЕСТИЦИИ</t>
  </si>
  <si>
    <t>Средно за периода</t>
  </si>
  <si>
    <t>Инвестиции на жител (лв. / брой)</t>
  </si>
  <si>
    <t>Параметър (хил.лв.)</t>
  </si>
  <si>
    <t>Общо за периода</t>
  </si>
  <si>
    <t>Финансиране със собствени средства</t>
  </si>
  <si>
    <t xml:space="preserve">Общо разходи за амортизации от собствени активи </t>
  </si>
  <si>
    <t>Разлика разходи за амортизации - инвестиции</t>
  </si>
  <si>
    <t>Финансиране с привлечени средства</t>
  </si>
  <si>
    <t>Разходи за главници на инвестиционни заеми</t>
  </si>
  <si>
    <t>Общо разходи за амортизации от публични активи от инвестиционна програма</t>
  </si>
  <si>
    <t>Недостиг за финансиране на инвестиционни разходи</t>
  </si>
  <si>
    <t>Общо разходи за амортизации на публични задбалансови активи</t>
  </si>
  <si>
    <t>Общо разходи за амортизации на публични задбалансови активи - предложени в цените</t>
  </si>
  <si>
    <t>Дял на разходи за амортизации на публични задбалансови активи - предложени в цените</t>
  </si>
  <si>
    <t>Инвестиции по договор</t>
  </si>
  <si>
    <t>Инвестиции в бизнес плана</t>
  </si>
  <si>
    <t>(хил.лв.)</t>
  </si>
  <si>
    <t>Инвестиции по направления и услуги</t>
  </si>
  <si>
    <t>Водоизточници и Санитарно-охранителни зони</t>
  </si>
  <si>
    <t xml:space="preserve">Съществуващ дългосрочен заем за изградeни ДА </t>
  </si>
  <si>
    <t>Общо инвестиции в собствени активи за доставяне на вода с непитейни качеста</t>
  </si>
  <si>
    <t>Общо инвестиции в публични активи за доставяне на вода с непитейни качеста</t>
  </si>
  <si>
    <t>Общо инвестиции в публични активи за доставяне на вода на друг ВиК оператор</t>
  </si>
  <si>
    <t>Общо инвестиции в собствени активи за доставяне на вода на друг ВиК оператор</t>
  </si>
  <si>
    <t>Общо инвестиции за доставяне на вода, отвеждане и пречистване на отпадъчни води (хил. лв.)</t>
  </si>
  <si>
    <t>Общ брой на населението, ползващо услугата доставяне на вода на потребителите в обособената територия, обслужвана от ВиК оператора (бр.)</t>
  </si>
  <si>
    <t>Финансиране на инвестиционната програма</t>
  </si>
  <si>
    <t>Финансиране със привлечени средства</t>
  </si>
  <si>
    <t>Разлика между инвестиционни разходи и разходи за амортизация на публични активи</t>
  </si>
  <si>
    <t>Общо инвестиционни разходи с финансиране от собствени средства и разходи за главници на инвестиционни заеми за публични активи</t>
  </si>
  <si>
    <t xml:space="preserve"> Нов дългосрочен заем за изграждане на публични ДА  </t>
  </si>
  <si>
    <t>Получен през периода (хил.лв.)</t>
  </si>
  <si>
    <t>Погасяване на главници (хил.лв.)</t>
  </si>
  <si>
    <t>Лихви (хил.лв.)</t>
  </si>
  <si>
    <t>Общо погасителни вноски (хил.лв.)</t>
  </si>
  <si>
    <t>Остатък главница (хил.лв.)</t>
  </si>
  <si>
    <t>Остатъчна стойност от предишния период (хил.лв.)</t>
  </si>
  <si>
    <t>Амортизационен план</t>
  </si>
  <si>
    <t>Раздел I: Собствени Дълготрайни Активи</t>
  </si>
  <si>
    <t>Раздел II: Публични Дълготрайни Активи, изградени със собствени средства</t>
  </si>
  <si>
    <t>Раздел III: Публични Дълготрайни Активи, предоставени на ВиК оператора за експлоатация и поддръжка</t>
  </si>
  <si>
    <t>Общо регулирана дейност</t>
  </si>
  <si>
    <t>Раздел III: Публични Дълготрайни Активи, предоставени на ВиК оператора за експлоатация и поддръжка - отчетна стойност</t>
  </si>
  <si>
    <t xml:space="preserve">Доставяне вода на потребителите, в т.ч. </t>
  </si>
  <si>
    <t>новопридобити през периода на бизнес плана</t>
  </si>
  <si>
    <t>Общо за регулирана дейност:</t>
  </si>
  <si>
    <t>Доставяне на вода на друг ВиК оператор:</t>
  </si>
  <si>
    <t>Доставяне на вода с непитейни качества:</t>
  </si>
  <si>
    <t>Разходи по икономически елементи (хил.лв.)</t>
  </si>
  <si>
    <t>Променливи разходи:</t>
  </si>
  <si>
    <t>ПРЕКИ РАЗХОДИ</t>
  </si>
  <si>
    <t>разходи за административна дейност</t>
  </si>
  <si>
    <t>НЕПРЕКИ РАЗХОДИ, в т.ч.:</t>
  </si>
  <si>
    <t>Оперативни разходи</t>
  </si>
  <si>
    <t>ОБЩО РАЗХОДИ за оперативен ремонт</t>
  </si>
  <si>
    <t>Бъдещи нови активи и/ или дейности (хил.лв.)</t>
  </si>
  <si>
    <t>Бъдещи нови активи и/ или дейности (хил. лв.)</t>
  </si>
  <si>
    <t>ОБЩО за пречистване на отпадъчни води</t>
  </si>
  <si>
    <t>ОБЩО за отвеждане на отпадъчни води</t>
  </si>
  <si>
    <t>ОБЩО за доставяне на вода на потребителите</t>
  </si>
  <si>
    <t>Бъдещи разходи за нови активи и/или нови дейности</t>
  </si>
  <si>
    <t>Доставяне на вода на потребителите:</t>
  </si>
  <si>
    <t>Отвеждане на отпадъчни води:</t>
  </si>
  <si>
    <t>Пречистване на отпадъчни води:</t>
  </si>
  <si>
    <t>Общо регулирана дейност:</t>
  </si>
  <si>
    <t>Наименование  (хил.лв.)</t>
  </si>
  <si>
    <t>Приходи от оперативна дейност (вкл. нерегулирана)</t>
  </si>
  <si>
    <t>Разходи от оперативна дейност  (вкл. нерегулирана)</t>
  </si>
  <si>
    <t>Наименование (хил.лв.)</t>
  </si>
  <si>
    <t>Реална норма на възвръщаемост (ROI) - печалба спрямо разходи от оперативна дейност (вкл. нерегулирана)</t>
  </si>
  <si>
    <t>Прогнозни отчети за приходи и разходи / парични потоци</t>
  </si>
  <si>
    <t>Отчет за парични потоци:</t>
  </si>
  <si>
    <t>Описание (хил.лв.)</t>
  </si>
  <si>
    <t>Описание  (хил.лв.)</t>
  </si>
  <si>
    <t>Предложение за цени и приходи от ВиК услуги</t>
  </si>
  <si>
    <t>Отведени количества вода</t>
  </si>
  <si>
    <t>Пречистени количества вода</t>
  </si>
  <si>
    <t>К-т за степен на замърсеност на отведeни и отпадъчни води</t>
  </si>
  <si>
    <t>Цени на ВиК услуги лв./куб.м без ДДС</t>
  </si>
  <si>
    <t>Необходими годишни приходи</t>
  </si>
  <si>
    <t>Прогнозни количества</t>
  </si>
  <si>
    <t>Цени на ВиК услуги</t>
  </si>
  <si>
    <t>Пределна норма на възвръщаемост на привлечения капитал, утвърдена от комисията</t>
  </si>
  <si>
    <t>Възвръщаемост за доставяне на вода</t>
  </si>
  <si>
    <t>Възвръщаемост за друг ВиК оператор</t>
  </si>
  <si>
    <r>
      <t>Описание  хил.м</t>
    </r>
    <r>
      <rPr>
        <b/>
        <vertAlign val="superscript"/>
        <sz val="9"/>
        <rFont val="Times New Roman"/>
        <family val="1"/>
        <charset val="204"/>
      </rPr>
      <t>3</t>
    </r>
    <r>
      <rPr>
        <b/>
        <sz val="9"/>
        <rFont val="Times New Roman"/>
        <family val="1"/>
      </rPr>
      <t xml:space="preserve">/год </t>
    </r>
  </si>
  <si>
    <r>
      <t>Описание  хил.м</t>
    </r>
    <r>
      <rPr>
        <b/>
        <vertAlign val="subscript"/>
        <sz val="9"/>
        <rFont val="Times New Roman"/>
        <family val="1"/>
        <charset val="204"/>
      </rPr>
      <t>3</t>
    </r>
    <r>
      <rPr>
        <b/>
        <sz val="9"/>
        <rFont val="Times New Roman"/>
        <family val="1"/>
      </rPr>
      <t xml:space="preserve">/год </t>
    </r>
  </si>
  <si>
    <t>Количества доставена вода на потребителите</t>
  </si>
  <si>
    <t>Степен на замърсеност 1</t>
  </si>
  <si>
    <t>Степен на замърсеност 2</t>
  </si>
  <si>
    <t>Степен на замърсеност 3</t>
  </si>
  <si>
    <t>Общ товар, кг/год.</t>
  </si>
  <si>
    <t>Обосновка на избраните коефициенти на замърсеност</t>
  </si>
  <si>
    <t>кг/год.</t>
  </si>
  <si>
    <t>Коефициенти на степен на замърсеност</t>
  </si>
  <si>
    <t xml:space="preserve">Степен на замърсеност 1 </t>
  </si>
  <si>
    <t xml:space="preserve">Степен на замърсеност 2 </t>
  </si>
  <si>
    <t xml:space="preserve">Степен на замърсеност 3 </t>
  </si>
  <si>
    <t>мин. 
ст-ст</t>
  </si>
  <si>
    <t>макс.
 ст-ст</t>
  </si>
  <si>
    <t>Товар БПК5 за степен на замърсеност 2</t>
  </si>
  <si>
    <t>Товар БПК5 за степен на замърсеност 1</t>
  </si>
  <si>
    <t>Товар БПК5 за степен на замърсеност 3</t>
  </si>
  <si>
    <t>Товар БПК5 за степен на замърсеност на пречистени отпадъчни води</t>
  </si>
  <si>
    <t>Товар БПК5, кг/год</t>
  </si>
  <si>
    <t>ВиК операторът обосновава избраните стойности на коефициентите на замърсеност, съобразно приноса на товара от БПК5 към общия товар на промишлеността.</t>
  </si>
  <si>
    <t>Общо оперативен ремонт по услуги</t>
  </si>
  <si>
    <t>Изразходвана ел. еннергия за административни и спомагателни нужди</t>
  </si>
  <si>
    <t xml:space="preserve"> Нов дългосрочен заем за изграждане на собствени ДА  </t>
  </si>
  <si>
    <t>куб.м/мес. на 1 чов.</t>
  </si>
  <si>
    <t>Социална поносимост на цената на ВиК услугите (с ДДС)</t>
  </si>
  <si>
    <t>Цената на ВиК услугите за битови и приравнени към тях потребители (с ДДС)</t>
  </si>
  <si>
    <t>Вкл. публични ВиК активи</t>
  </si>
  <si>
    <t>Вкл. собствени ВиК активи</t>
  </si>
  <si>
    <t>Инвестиции в публични активи по БП</t>
  </si>
  <si>
    <t>Общо инвестиции по БП</t>
  </si>
  <si>
    <t xml:space="preserve">на , гр. </t>
  </si>
  <si>
    <t xml:space="preserve">ЕИК по БУЛСТАТ: </t>
  </si>
  <si>
    <t xml:space="preserve">Дата: </t>
  </si>
  <si>
    <t>Отчет и прогноза за фактурирани количества, население и потребители по услуги</t>
  </si>
  <si>
    <t>Изменения на годишните разходи спрямо базовата година</t>
  </si>
  <si>
    <t>Базова година:</t>
  </si>
  <si>
    <t>Справка № 12.1. - Изменения на годишните разходи спрямо базовата година</t>
  </si>
  <si>
    <t>Оползотворяване на утайки от ПСОВ</t>
  </si>
  <si>
    <t>Базова година</t>
  </si>
  <si>
    <r>
      <t>Специфичен разход кВтч/м</t>
    </r>
    <r>
      <rPr>
        <vertAlign val="superscript"/>
        <sz val="9"/>
        <color theme="3"/>
        <rFont val="Times New Roman"/>
        <family val="1"/>
        <charset val="204"/>
      </rPr>
      <t>3</t>
    </r>
    <r>
      <rPr>
        <sz val="9"/>
        <color theme="3"/>
        <rFont val="Times New Roman"/>
        <family val="1"/>
        <charset val="204"/>
      </rPr>
      <t xml:space="preserve"> вода на вход ВС</t>
    </r>
  </si>
  <si>
    <r>
      <t>Специфичен разход кВтч/м</t>
    </r>
    <r>
      <rPr>
        <vertAlign val="superscript"/>
        <sz val="9"/>
        <color theme="3"/>
        <rFont val="Times New Roman"/>
        <family val="1"/>
        <charset val="204"/>
      </rPr>
      <t>3</t>
    </r>
    <r>
      <rPr>
        <sz val="9"/>
        <color theme="3"/>
        <rFont val="Times New Roman"/>
        <family val="1"/>
        <charset val="204"/>
      </rPr>
      <t xml:space="preserve"> фактурирана вода</t>
    </r>
  </si>
  <si>
    <r>
      <t>Специфичен разход кВтч/м</t>
    </r>
    <r>
      <rPr>
        <vertAlign val="superscript"/>
        <sz val="9"/>
        <color theme="3"/>
        <rFont val="Times New Roman"/>
        <family val="1"/>
        <charset val="204"/>
      </rPr>
      <t>3</t>
    </r>
    <r>
      <rPr>
        <sz val="9"/>
        <color theme="3"/>
        <rFont val="Times New Roman"/>
        <family val="1"/>
        <charset val="204"/>
      </rPr>
      <t xml:space="preserve"> вода на вход ПСОВ</t>
    </r>
  </si>
  <si>
    <t xml:space="preserve">социални осигуровки за наети с договор за управление и контрол, граждански договор, допълнителен труд съгласно чл. 111 от КТ </t>
  </si>
  <si>
    <t>социални разходи (вкл. ваучери за храна) за наети с договор за управление и контрол, граждански договор, допълнителен труд съгласно чл. 111 от КТ</t>
  </si>
  <si>
    <t>разходи за възнаграждения и хонорари за наети с договор за управление и контрол, граждански договор, допълнителен труд съгласно чл. 111 от КТ</t>
  </si>
  <si>
    <t>2070209;207080209</t>
  </si>
  <si>
    <t>Изразходвана електроенергия "Ниско напрежение"</t>
  </si>
  <si>
    <t>Електроенергия</t>
  </si>
  <si>
    <t>Изразходвана електроенергия "Средно напражение"</t>
  </si>
  <si>
    <t>Изразходвана електроенергия "Високо напрежение"</t>
  </si>
  <si>
    <t>Общо изразходвана електроенергия</t>
  </si>
  <si>
    <t>Изразходвана електроенергия произведена от собствени източници (когенерация, други)</t>
  </si>
  <si>
    <t>Общо изразходвана електроенергия за технологични нужди</t>
  </si>
  <si>
    <t>Изразходвана електроенергия за административни нужди и спомагателна дейност</t>
  </si>
  <si>
    <t>Изразходвана електроенергия за нерегулирана дейност</t>
  </si>
  <si>
    <t>Обобщена справка за произведена и оползотворена/продадена електроенергия</t>
  </si>
  <si>
    <t>Произведена електроенергия от собствени източници</t>
  </si>
  <si>
    <t>Използвана електроенергия от собствени източници за вътрешни нужди</t>
  </si>
  <si>
    <t>Продадена електроенергия от собствени източници на външния пазар</t>
  </si>
  <si>
    <t>Средна цена на електроенергия, лв/МВтч</t>
  </si>
  <si>
    <t>Обобщена справка за консумацията и производството на електроенергия</t>
  </si>
  <si>
    <t>1. Попълват се само клетките в жълт цвят за съответната група ВиК оператори, съгласно решение на КЕВР</t>
  </si>
  <si>
    <t>Интернет страница</t>
  </si>
  <si>
    <t>5.14.</t>
  </si>
  <si>
    <t>Профилактика (почистване, продухване, други);пътни настилки</t>
  </si>
  <si>
    <t>Проверка /равнение брой потребители</t>
  </si>
  <si>
    <t>Включително очаквано присъединяване на нови потребители, в т.ч. промяна на обслужваната територия</t>
  </si>
  <si>
    <t>Очаквано присъединяване на нови потребители, в т.ч. промяна на обслужваната територия (данни с натрупване)</t>
  </si>
  <si>
    <t xml:space="preserve">Включително очаквано присъединяване на нови потребители, в т.ч. промяна на обслужваната територия </t>
  </si>
  <si>
    <t>Продадена фактурирана вода Q3, в т.ч.:</t>
  </si>
  <si>
    <t>ефект от намаление на търговски загуби Q8</t>
  </si>
  <si>
    <t>2027 г.</t>
  </si>
  <si>
    <t>2028 г.</t>
  </si>
  <si>
    <t>2029 г.</t>
  </si>
  <si>
    <t>2030 г.</t>
  </si>
  <si>
    <t>2031 г.</t>
  </si>
  <si>
    <t>Закупени водни количества за ВС "Доставяне на вода с непитейни качества"</t>
  </si>
  <si>
    <t>Изразходвана електроенергия, произведена от собствени източници (ФЕЦ, когенерация, други) в т.ч.:</t>
  </si>
  <si>
    <t>Описание на технически параметри на собствени източници за производство на електроенергия (когенерация, ФЕЦ, други), година на въвеждане в експлоатация, инсталирана мощност</t>
  </si>
  <si>
    <t xml:space="preserve">2. Справка № 6 се попълва за всички водоснабдителни системи - ВС "Основна", ВС "Доставяне на вода с непитейни качества" и ВС "Доставяне на вода на друг ВиК оператор". </t>
  </si>
  <si>
    <t>Нарастване на БВП съгласно средносрочна бюджетна прогноза 2026 - 2028 г.</t>
  </si>
  <si>
    <t>в т.ч.електроенергия за технологични нужди</t>
  </si>
  <si>
    <t>Справка № 11.3</t>
  </si>
  <si>
    <t>Отписани</t>
  </si>
  <si>
    <t>Прогноза</t>
  </si>
  <si>
    <t>Постъпили през годината</t>
  </si>
  <si>
    <t>Трансфер (отрицателна стойност)</t>
  </si>
  <si>
    <t>Трансферите от см. 207 в собствени и публични ДА</t>
  </si>
  <si>
    <t>2070101;207080101</t>
  </si>
  <si>
    <t>2070102;207080102</t>
  </si>
  <si>
    <t>2070103;207080103</t>
  </si>
  <si>
    <t>2070104;207080104</t>
  </si>
  <si>
    <t>2070105;207080105</t>
  </si>
  <si>
    <t>2070106;207080106</t>
  </si>
  <si>
    <t>2070107;207080107</t>
  </si>
  <si>
    <t>2070108;207080108</t>
  </si>
  <si>
    <t>2070109;207080109</t>
  </si>
  <si>
    <t>2070110;207080110</t>
  </si>
  <si>
    <t>2070111;207080111</t>
  </si>
  <si>
    <t>2070112;207080112</t>
  </si>
  <si>
    <t>2070113;207080113</t>
  </si>
  <si>
    <t>2070114;207080114</t>
  </si>
  <si>
    <t>2070115;207080115</t>
  </si>
  <si>
    <t>2070116;207080116</t>
  </si>
  <si>
    <t>2070117;207080117</t>
  </si>
  <si>
    <t>2070118;207080118</t>
  </si>
  <si>
    <t>2070119;207080119</t>
  </si>
  <si>
    <t>2070120;207080120</t>
  </si>
  <si>
    <t>2070121;207080121</t>
  </si>
  <si>
    <t>2070122;207080122</t>
  </si>
  <si>
    <t>2070123;207080123</t>
  </si>
  <si>
    <t>2070124;207080124</t>
  </si>
  <si>
    <t>2070201;207080201</t>
  </si>
  <si>
    <t>2070202;207080202</t>
  </si>
  <si>
    <t>2070203;207080203</t>
  </si>
  <si>
    <t>2070204;207080204</t>
  </si>
  <si>
    <t>2070205;207080205</t>
  </si>
  <si>
    <t>2070206;207080206</t>
  </si>
  <si>
    <t>2070207;207080207</t>
  </si>
  <si>
    <t>2070208;207080208</t>
  </si>
  <si>
    <t>2070210;207080210</t>
  </si>
  <si>
    <t>2070211;207080211</t>
  </si>
  <si>
    <t>2070301;207080301</t>
  </si>
  <si>
    <t>2070302;207080302</t>
  </si>
  <si>
    <t>2070303;207080303</t>
  </si>
  <si>
    <t>2070304;207080304</t>
  </si>
  <si>
    <t>2070305;207080305</t>
  </si>
  <si>
    <t>2070306;207080306</t>
  </si>
  <si>
    <t>2070307;207080307</t>
  </si>
  <si>
    <t>2070308;207080308</t>
  </si>
  <si>
    <t>2070401;207080401</t>
  </si>
  <si>
    <t>2070402;207080402</t>
  </si>
  <si>
    <t>2070601;207080601</t>
  </si>
  <si>
    <t>2070602;207080602</t>
  </si>
  <si>
    <t>2070603;207080603</t>
  </si>
  <si>
    <t>2070609;207080609</t>
  </si>
  <si>
    <t>2070604;207080604</t>
  </si>
  <si>
    <t>2070610;207080610</t>
  </si>
  <si>
    <t>2070611;207080611</t>
  </si>
  <si>
    <t>2070605;207080605</t>
  </si>
  <si>
    <t>2070606;207080606</t>
  </si>
  <si>
    <t>2070607;207080607</t>
  </si>
  <si>
    <t>2070608;207080608</t>
  </si>
  <si>
    <t>5. Цифрите в редове "Проверка балансова стойност" трябва да са нули, в противен случай да се ревизират отчетна стойност, натрупана амортизация и/или балансова стойност.</t>
  </si>
  <si>
    <t>2. В колона „Собствени средства“, се посочват всички инвестиции, които ще се финансират със собствени средства за периода на бизнес плана, в т. ч. и частта на съфинансиране на инвестиции по програми с финансиране от ЕС, по които ВиК операторът е бенефициент, ако ще се осигурят със собствени средства.</t>
  </si>
  <si>
    <t>Заеми за съфинансиране по програми с финансиране от ЕС (хил.лв.)</t>
  </si>
  <si>
    <t>Постъпили трансфери / начислена амортизация</t>
  </si>
  <si>
    <r>
      <t>лв./м</t>
    </r>
    <r>
      <rPr>
        <vertAlign val="superscript"/>
        <sz val="10"/>
        <rFont val="Times New Roman"/>
        <family val="1"/>
      </rPr>
      <t>3</t>
    </r>
  </si>
  <si>
    <r>
      <t>кВтч/м</t>
    </r>
    <r>
      <rPr>
        <vertAlign val="superscript"/>
        <sz val="8"/>
        <rFont val="Times New Roman"/>
        <family val="1"/>
      </rPr>
      <t>3</t>
    </r>
  </si>
  <si>
    <t>10</t>
  </si>
  <si>
    <t>11</t>
  </si>
  <si>
    <t xml:space="preserve"> Нов дългосрочен заем за изграждане на  ДА по програми с финансиране от ЕС</t>
  </si>
  <si>
    <r>
      <t xml:space="preserve">Изменение дял на ра-ди </t>
    </r>
    <r>
      <rPr>
        <u/>
        <sz val="8"/>
        <rFont val="Times New Roman"/>
        <family val="1"/>
        <charset val="204"/>
      </rPr>
      <t>Водоснабдяване</t>
    </r>
    <r>
      <rPr>
        <sz val="8"/>
        <rFont val="Times New Roman"/>
        <family val="1"/>
        <charset val="204"/>
      </rPr>
      <t>: 
Ремонт на:</t>
    </r>
  </si>
  <si>
    <r>
      <t xml:space="preserve">Изменение дял на ра-ди </t>
    </r>
    <r>
      <rPr>
        <u/>
        <sz val="8"/>
        <rFont val="Times New Roman"/>
        <family val="1"/>
        <charset val="204"/>
      </rPr>
      <t>Отвеждане</t>
    </r>
    <r>
      <rPr>
        <sz val="8"/>
        <rFont val="Times New Roman"/>
        <family val="1"/>
        <charset val="204"/>
      </rPr>
      <t>: 
Ремонт на:</t>
    </r>
  </si>
  <si>
    <r>
      <t xml:space="preserve">Изменение дял на ра-ди </t>
    </r>
    <r>
      <rPr>
        <u/>
        <sz val="8"/>
        <rFont val="Times New Roman"/>
        <family val="1"/>
        <charset val="204"/>
      </rPr>
      <t>Пречистване</t>
    </r>
    <r>
      <rPr>
        <sz val="8"/>
        <rFont val="Times New Roman"/>
        <family val="1"/>
        <charset val="204"/>
      </rPr>
      <t>: 
Ремонт на:</t>
    </r>
  </si>
  <si>
    <t xml:space="preserve">4. В колона „Заеми за съфинансиране по програми с финансиране от ЕС“ се посочва частта на съфинансиране на инвестиции, които ще се осигурят със заем. </t>
  </si>
  <si>
    <t>Съществуващи дългосрочни заеми за ДА</t>
  </si>
  <si>
    <t xml:space="preserve"> Нови дългосрочни заеми за изграждане на  ДА </t>
  </si>
  <si>
    <t>2.Ред 4 обобщава разходите за главници от текущите инвестиционни заеми, както и от бъдещи заеми за изграждане на публични ДА</t>
  </si>
  <si>
    <r>
      <t xml:space="preserve">3. Ред 7.2  се попълва </t>
    </r>
    <r>
      <rPr>
        <b/>
        <i/>
        <sz val="10"/>
        <rFont val="Times New Roman"/>
        <family val="1"/>
        <charset val="204"/>
      </rPr>
      <t>ръчно</t>
    </r>
    <r>
      <rPr>
        <i/>
        <sz val="10"/>
        <rFont val="Times New Roman"/>
        <family val="1"/>
        <charset val="204"/>
      </rPr>
      <t xml:space="preserve"> от ВиК оператора, в зависимост от недостига, изчислен в ред 6.2, и размера на разходите в ред 7.1.</t>
    </r>
  </si>
  <si>
    <t>4. Ред 8 изчислява недостига на собствени средства за инвестиции в публични ДА, след използването на разходи за амортизации на активите от група III на амортизационния план.</t>
  </si>
  <si>
    <t>5. В раздел  9 се посочва обобщенба информация за съществуващи инвестиционни заеми, по които са изградени ДА.</t>
  </si>
  <si>
    <t xml:space="preserve">Нарастване на БВП </t>
  </si>
  <si>
    <t>EUR/куб.м</t>
  </si>
  <si>
    <t xml:space="preserve">Разходи за експлоатация и поддръжка на нови активи и/или осъществяване на нови дейности, включени в коефициент Qр  </t>
  </si>
  <si>
    <t>1. Справката е резултативна</t>
  </si>
  <si>
    <t>Обратен курс: евро за един лев</t>
  </si>
  <si>
    <t>евро</t>
  </si>
  <si>
    <t xml:space="preserve">евро с вкл. ДДС </t>
  </si>
  <si>
    <t>Фиксиран курс на лева към 1 евро</t>
  </si>
  <si>
    <t>хил.евро/год.</t>
  </si>
  <si>
    <t>хил. евро</t>
  </si>
  <si>
    <t>хил. евро/ ЕПЗ</t>
  </si>
  <si>
    <t>Разход хил. евро</t>
  </si>
  <si>
    <t>Средна цена на електроенергия, евро/МВтч</t>
  </si>
  <si>
    <t>Приход хил. евро</t>
  </si>
  <si>
    <t>евро/тон с.в.</t>
  </si>
  <si>
    <t>евро/тон</t>
  </si>
  <si>
    <t xml:space="preserve">Средна цена(лв./бр. ремонт) </t>
  </si>
  <si>
    <t>Обща стойност на обектите (хил.евро)</t>
  </si>
  <si>
    <t xml:space="preserve">Средна цена (евро./бр. ремонт) </t>
  </si>
  <si>
    <t>График за изграждане по години, (хил.евро)</t>
  </si>
  <si>
    <t>Собствени средства (хил.евро)</t>
  </si>
  <si>
    <t>Заеми (хил.евро)</t>
  </si>
  <si>
    <t>Заеми за съфинансиране по програми с финансиране от ЕС (хил.евро)</t>
  </si>
  <si>
    <t>(хил. евро)</t>
  </si>
  <si>
    <r>
      <t>евро/куб.м (</t>
    </r>
    <r>
      <rPr>
        <i/>
        <sz val="9"/>
        <rFont val="Times New Roman"/>
        <family val="1"/>
        <charset val="204"/>
      </rPr>
      <t>без ДДС</t>
    </r>
    <r>
      <rPr>
        <sz val="9"/>
        <rFont val="Times New Roman"/>
        <family val="1"/>
        <charset val="204"/>
      </rPr>
      <t>)</t>
    </r>
  </si>
  <si>
    <r>
      <t>евро/куб.м (</t>
    </r>
    <r>
      <rPr>
        <b/>
        <i/>
        <sz val="9"/>
        <rFont val="Times New Roman"/>
        <family val="1"/>
        <charset val="204"/>
      </rPr>
      <t>с ДДС</t>
    </r>
    <r>
      <rPr>
        <b/>
        <sz val="9"/>
        <rFont val="Times New Roman"/>
        <family val="1"/>
        <charset val="204"/>
      </rPr>
      <t>)</t>
    </r>
  </si>
  <si>
    <t>евро за месец</t>
  </si>
  <si>
    <t xml:space="preserve">евро/куб.м </t>
  </si>
  <si>
    <t>хил.евро</t>
  </si>
  <si>
    <t>w</t>
  </si>
  <si>
    <r>
      <t>евро/м</t>
    </r>
    <r>
      <rPr>
        <vertAlign val="superscript"/>
        <sz val="10"/>
        <rFont val="Times New Roman"/>
        <family val="1"/>
        <charset val="204"/>
      </rPr>
      <t>3</t>
    </r>
  </si>
  <si>
    <t>0,511292 евро</t>
  </si>
  <si>
    <t>хил. евро/ бр.</t>
  </si>
  <si>
    <t>Разход, хил. €</t>
  </si>
  <si>
    <t>€/тон  с.в.</t>
  </si>
  <si>
    <t>€/т.</t>
  </si>
  <si>
    <t>хил.€ /ЕПЗ</t>
  </si>
  <si>
    <t>хил.€/ЕПЗ</t>
  </si>
  <si>
    <t>Обща стойност на обектите (хил.€)</t>
  </si>
  <si>
    <t>Среден размер на възнаграждение на единица персонал на ЕПЗ (хил.€/ЕПЗ)</t>
  </si>
  <si>
    <t>Цени на ВиК услуги €/куб.м без ДДС</t>
  </si>
  <si>
    <t xml:space="preserve">€/куб.м </t>
  </si>
  <si>
    <t>€/куб.м</t>
  </si>
  <si>
    <t>(хил.€)</t>
  </si>
  <si>
    <t>Общо инвестиции за доставяне на вода, отвеждане и пречистване на отпадъчни води (хил. €)</t>
  </si>
  <si>
    <t>Инвестиции на жител (€ / брой)</t>
  </si>
  <si>
    <t>Остатъчна стойност от предишния период (хил. €)</t>
  </si>
  <si>
    <t>Получен през периода (хил. €)</t>
  </si>
  <si>
    <t>Погасяване на главници (хил. €)</t>
  </si>
  <si>
    <t>Лихви (хил. €)</t>
  </si>
  <si>
    <t>Общо погасителни вноски (хил. €)</t>
  </si>
  <si>
    <t>Остатък главница (хил. €)</t>
  </si>
  <si>
    <t>Параметър (хил. €)</t>
  </si>
  <si>
    <t>Разходи по икономически елементи (хил. €)</t>
  </si>
  <si>
    <t>Бъдещи нови активи и/ или дейности (хил. €)</t>
  </si>
  <si>
    <t>Наименование  (хил. €)</t>
  </si>
  <si>
    <t>Наименование (хил. €)</t>
  </si>
  <si>
    <t>Описание (хил. €)</t>
  </si>
  <si>
    <t>хил. €</t>
  </si>
  <si>
    <t>Постоянни разходи, в т.ч.:</t>
  </si>
  <si>
    <t>разходи за амортизация на корпоративни и публични ВиК активи</t>
  </si>
  <si>
    <t>разходи за персонал</t>
  </si>
  <si>
    <t>Променливи разходи, в т.ч.:</t>
  </si>
  <si>
    <t>разходи за електроенергия</t>
  </si>
  <si>
    <t>Възвръщаемост на вложения капитал</t>
  </si>
  <si>
    <t>коефициент пречистване:</t>
  </si>
  <si>
    <t>проверка:</t>
  </si>
  <si>
    <t>доставяне на вода</t>
  </si>
  <si>
    <t>отвеждане на отпадъчни води</t>
  </si>
  <si>
    <t>пречистване на отпадъчни води</t>
  </si>
  <si>
    <t>Нов дългосрочен заем за изграждане на собствени ДА по програми с финансиране от ЕС</t>
  </si>
  <si>
    <t>Нов дългосрочен заем за изграждане на ДА по програми финансиране от ЕС</t>
  </si>
  <si>
    <t>Справка № 11.3. - Амортизационен план на дълготрайни активи за базова година</t>
  </si>
  <si>
    <r>
      <t>Образец на електронен модел на бизнес план за регулаторен период 2027-2031 г., разработен във вариант за базова</t>
    </r>
    <r>
      <rPr>
        <b/>
        <u/>
        <sz val="12"/>
        <rFont val="Times New Roman"/>
        <family val="1"/>
        <charset val="204"/>
      </rPr>
      <t xml:space="preserve"> 2024 г.</t>
    </r>
    <r>
      <rPr>
        <b/>
        <sz val="12"/>
        <rFont val="Times New Roman"/>
        <family val="1"/>
        <charset val="204"/>
      </rPr>
      <t>,                                     приет с Решение № У-1 от 16.07.2025 г. на КЕВР.</t>
    </r>
  </si>
  <si>
    <t>Система за отчитане и фактуриране и данни за текущото преброяване на населението наНСИ</t>
  </si>
  <si>
    <t>Данни за текущото преброяване на населението на НСИ</t>
  </si>
  <si>
    <t>Система за отчитане и фактуриране</t>
  </si>
  <si>
    <t>EKATTE - към 21.07.2020 г.</t>
  </si>
  <si>
    <t>Регистър на лабораторни изследвания за качеството на питейните води</t>
  </si>
  <si>
    <t>Регистър на активи</t>
  </si>
  <si>
    <t>Счетоводна система</t>
  </si>
  <si>
    <t>Регистър на оплаквания от потребители</t>
  </si>
  <si>
    <t>База данни за сключени и изпълнени договори за присъединяване</t>
  </si>
  <si>
    <t>База данни с длъжностите и задълженията на персонала на ВиК оператора</t>
  </si>
  <si>
    <t>База данни за контролни разходомери и дата логери</t>
  </si>
  <si>
    <t xml:space="preserve"> Регистър на водомерите на СВО (средства за измерване)</t>
  </si>
  <si>
    <t xml:space="preserve"> Регистър на аварии</t>
  </si>
  <si>
    <t xml:space="preserve"> База данни за изразходваната електрическа енергия</t>
  </si>
  <si>
    <t xml:space="preserve"> Регистър за утайките от ПСОВ</t>
  </si>
  <si>
    <t>Регистър на лабораторни изследвания за качеството на отпадъчните води</t>
  </si>
  <si>
    <t xml:space="preserve"> База данни с измерените количества вода на вход ВС</t>
  </si>
  <si>
    <t xml:space="preserve"> База данни с измерените количества вода на вход ПСОВ</t>
  </si>
  <si>
    <t>"Водоснабдяване и канализация" ЕООД - гр. Плевен</t>
  </si>
  <si>
    <t>"В и К - Стенето" ЕООД - гр. Троян</t>
  </si>
  <si>
    <t>ВиК оператор (наименование на продавача): "ВиК" ООД гр.Габрово</t>
  </si>
  <si>
    <t>ВиК оператор (наименование на продавача): "ВиК - Стенето" ЕООД гр.Троян</t>
  </si>
  <si>
    <t>ISO 9001:2015</t>
  </si>
  <si>
    <t>ISO 14001:2015</t>
  </si>
  <si>
    <t>ISO 45001:2018</t>
  </si>
  <si>
    <t>гр. Ловеч</t>
  </si>
  <si>
    <t>гр. Ловеч, п.к. 5500, ул. "Райна Княгиня" № 1А</t>
  </si>
  <si>
    <t>www.wss-lovech.bg</t>
  </si>
  <si>
    <t>инж. Йордан  Досев</t>
  </si>
  <si>
    <t>BG 110549443 издаден на 1.4.2005 г.</t>
  </si>
  <si>
    <t>Договор с АВиК от 28.4.2016 г.</t>
  </si>
  <si>
    <t>"Български ВиК холдинг" ЕАД - 120 931 акции (51%)</t>
  </si>
  <si>
    <t>Община Ловеч - 60 390 акции (28%)</t>
  </si>
  <si>
    <t>Община Луковит - 21 340 акции (9%)</t>
  </si>
  <si>
    <t>Община Угърчин - 9 140 акции (4%)</t>
  </si>
  <si>
    <t>Община Летница - 7 110 акции (3%)</t>
  </si>
  <si>
    <t>Община Ябланица - 7 110 акции (3%)</t>
  </si>
  <si>
    <t>Община Априлци - 4 740 акции (2%)</t>
  </si>
  <si>
    <t>"В И К" АД</t>
  </si>
  <si>
    <t>Ловеч</t>
  </si>
  <si>
    <t>110549443</t>
  </si>
  <si>
    <t>гр. Ловеч 5500, ул. "Райна Княгиня" № 1А</t>
  </si>
  <si>
    <t>16.03.2026</t>
  </si>
  <si>
    <t>инж. Йордан Досев</t>
  </si>
  <si>
    <t>068 651 112</t>
  </si>
  <si>
    <t>089 678 7455</t>
  </si>
  <si>
    <t>068 651 113</t>
  </si>
  <si>
    <t>office@wss-lovech.bg</t>
  </si>
  <si>
    <t>Димитър Димитров</t>
  </si>
  <si>
    <t>068 651 101</t>
  </si>
  <si>
    <t>088 4191 888</t>
  </si>
  <si>
    <t>d.dimitrov@wss-lovech.bg</t>
  </si>
  <si>
    <t>инж. Иглика Игнатова</t>
  </si>
  <si>
    <t>088 9404 188</t>
  </si>
  <si>
    <t>Цветомир Цоков</t>
  </si>
  <si>
    <t>068 651 106</t>
  </si>
  <si>
    <t>088 9404 160</t>
  </si>
  <si>
    <t>ts.tsokov@wss-lovech.bg</t>
  </si>
  <si>
    <t>i.ignatova@wss-lovech.bg</t>
  </si>
  <si>
    <t>Адриана Петкова</t>
  </si>
  <si>
    <t>ПСОВ гр. Угърчин</t>
  </si>
  <si>
    <t>Угърчин</t>
  </si>
  <si>
    <t>Капацитет: 2408 Е.Ж.; Qср.д. = 575.45 m3/d</t>
  </si>
  <si>
    <t>ПСОВ гр. Угърчин е в краен етап на изграждане.</t>
  </si>
  <si>
    <t>Съвкупност от данни от проекта и експертна експертна оценка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</si>
</sst>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3" formatCode="_-* #,##0.00_-;\-* #,##0.00_-;_-* &quot;-&quot;??_-;_-@_-"/>
    <numFmt numFmtId="164" formatCode="_-* #,##0.00\ _л_в_._-;\-* #,##0.00\ _л_в_._-;_-* &quot;-&quot;??\ _л_в_._-;_-@_-"/>
    <numFmt numFmtId="165" formatCode="_(* #,##0.00_);_(* \(#,##0.00\);_(* &quot;-&quot;??_);_(@_)"/>
    <numFmt numFmtId="166" formatCode="_-* #,##0.00\ _л_в_-;\-* #,##0.00\ _л_в_-;_-* &quot;-&quot;??\ _л_в_-;_-@_-"/>
    <numFmt numFmtId="167" formatCode="#,##0.0000"/>
    <numFmt numFmtId="168" formatCode="#,##0_ ;[Red]\-#,##0\ "/>
    <numFmt numFmtId="169" formatCode="#,##0;[Red]#,##0"/>
    <numFmt numFmtId="170" formatCode="0.0000"/>
    <numFmt numFmtId="171" formatCode="0\ \г."/>
    <numFmt numFmtId="172" formatCode="#,##0.000"/>
    <numFmt numFmtId="173" formatCode="0.0%"/>
    <numFmt numFmtId="174" formatCode="#,##0\ _л_в_."/>
    <numFmt numFmtId="175" formatCode="0_ ;[Red]\-0\ "/>
    <numFmt numFmtId="176" formatCode="#,##0.0"/>
    <numFmt numFmtId="177" formatCode="0.000"/>
    <numFmt numFmtId="178" formatCode="0.0"/>
    <numFmt numFmtId="179" formatCode="#,##0.00_ ;[Red]\-#,##0.00\ "/>
    <numFmt numFmtId="180" formatCode="#,##0.00000\ &quot;лв.&quot;"/>
    <numFmt numFmtId="181" formatCode="#,##0.0_ ;[Red]\-#,##0.0\ "/>
    <numFmt numFmtId="182" formatCode="#,##0.00000"/>
    <numFmt numFmtId="183" formatCode="#,##0.000000"/>
    <numFmt numFmtId="184" formatCode="General_)"/>
    <numFmt numFmtId="185" formatCode="_-* #,##0.00\ &quot;лв&quot;_-;\-* #,##0.00\ &quot;лв&quot;_-;_-* &quot;-&quot;??\ &quot;лв&quot;_-;_-@_-"/>
    <numFmt numFmtId="186" formatCode="0.000000"/>
  </numFmts>
  <fonts count="193">
    <font>
      <sz val="10"/>
      <name val="Arial"/>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1"/>
      <color theme="1"/>
      <name val="Calibri"/>
      <family val="2"/>
      <scheme val="minor"/>
    </font>
    <font>
      <sz val="11"/>
      <color theme="1"/>
      <name val="Calibri"/>
      <family val="2"/>
      <scheme val="minor"/>
    </font>
    <font>
      <sz val="10"/>
      <name val="Times New Roman"/>
      <family val="1"/>
      <charset val="204"/>
    </font>
    <font>
      <b/>
      <i/>
      <sz val="10"/>
      <name val="Times New Roman"/>
      <family val="1"/>
      <charset val="204"/>
    </font>
    <font>
      <sz val="9"/>
      <name val="Arial"/>
      <family val="2"/>
      <charset val="204"/>
    </font>
    <font>
      <b/>
      <sz val="14"/>
      <name val="Times New Roman"/>
      <family val="1"/>
      <charset val="204"/>
    </font>
    <font>
      <sz val="14"/>
      <name val="Times New Roman"/>
      <family val="1"/>
      <charset val="204"/>
    </font>
    <font>
      <u/>
      <sz val="10"/>
      <color indexed="12"/>
      <name val="Timok"/>
      <family val="2"/>
    </font>
    <font>
      <u/>
      <sz val="9"/>
      <color indexed="12"/>
      <name val="Timok"/>
      <family val="2"/>
    </font>
    <font>
      <b/>
      <sz val="11"/>
      <name val="Times New Roman"/>
      <family val="1"/>
      <charset val="204"/>
    </font>
    <font>
      <b/>
      <sz val="12"/>
      <name val="Times New Roman"/>
      <family val="1"/>
      <charset val="204"/>
    </font>
    <font>
      <b/>
      <sz val="10"/>
      <name val="Times New Roman"/>
      <family val="1"/>
      <charset val="204"/>
    </font>
    <font>
      <sz val="11"/>
      <color indexed="8"/>
      <name val="Calibri"/>
      <family val="2"/>
      <charset val="204"/>
    </font>
    <font>
      <sz val="11"/>
      <color indexed="9"/>
      <name val="Calibri"/>
      <family val="2"/>
      <charset val="204"/>
    </font>
    <font>
      <sz val="10"/>
      <name val="Hebar"/>
      <family val="2"/>
      <charset val="204"/>
    </font>
    <font>
      <b/>
      <sz val="11"/>
      <color indexed="8"/>
      <name val="Calibri"/>
      <family val="2"/>
      <charset val="204"/>
    </font>
    <font>
      <u/>
      <sz val="11"/>
      <color indexed="12"/>
      <name val="Calibri"/>
      <family val="2"/>
      <charset val="204"/>
    </font>
    <font>
      <sz val="10"/>
      <name val="Arial"/>
      <family val="2"/>
      <charset val="204"/>
    </font>
    <font>
      <b/>
      <sz val="18"/>
      <color indexed="62"/>
      <name val="Cambria"/>
      <family val="2"/>
      <charset val="204"/>
    </font>
    <font>
      <b/>
      <sz val="12"/>
      <color indexed="18"/>
      <name val="Arial"/>
      <family val="2"/>
    </font>
    <font>
      <b/>
      <sz val="9"/>
      <color indexed="81"/>
      <name val="Tahoma"/>
      <family val="2"/>
      <charset val="204"/>
    </font>
    <font>
      <sz val="9"/>
      <color indexed="81"/>
      <name val="Tahoma"/>
      <family val="2"/>
      <charset val="204"/>
    </font>
    <font>
      <b/>
      <i/>
      <sz val="12"/>
      <name val="Times New Roman"/>
      <family val="1"/>
      <charset val="204"/>
    </font>
    <font>
      <i/>
      <sz val="12"/>
      <name val="Times New Roman"/>
      <family val="1"/>
      <charset val="204"/>
    </font>
    <font>
      <sz val="12"/>
      <name val="Times New Roman"/>
      <family val="1"/>
      <charset val="204"/>
    </font>
    <font>
      <i/>
      <sz val="11"/>
      <name val="Times New Roman"/>
      <family val="1"/>
      <charset val="204"/>
    </font>
    <font>
      <i/>
      <sz val="8"/>
      <name val="Times New Roman"/>
      <family val="1"/>
      <charset val="204"/>
    </font>
    <font>
      <i/>
      <sz val="10"/>
      <name val="Arial"/>
      <family val="2"/>
      <charset val="204"/>
    </font>
    <font>
      <sz val="10"/>
      <color theme="1"/>
      <name val="Times New Roman"/>
      <family val="1"/>
      <charset val="204"/>
    </font>
    <font>
      <sz val="10"/>
      <name val="Arial"/>
      <family val="2"/>
      <charset val="204"/>
    </font>
    <font>
      <b/>
      <sz val="9"/>
      <name val="Times New Roman"/>
      <family val="1"/>
      <charset val="204"/>
    </font>
    <font>
      <sz val="9"/>
      <name val="Times New Roman"/>
      <family val="1"/>
      <charset val="204"/>
    </font>
    <font>
      <i/>
      <sz val="9"/>
      <name val="Times New Roman"/>
      <family val="1"/>
      <charset val="204"/>
    </font>
    <font>
      <i/>
      <sz val="10"/>
      <name val="Times New Roman"/>
      <family val="1"/>
      <charset val="204"/>
    </font>
    <font>
      <sz val="12"/>
      <name val="Arial"/>
      <family val="2"/>
      <charset val="204"/>
    </font>
    <font>
      <sz val="9"/>
      <name val="Times New Roman"/>
      <family val="1"/>
    </font>
    <font>
      <b/>
      <i/>
      <sz val="9"/>
      <name val="Times New Roman"/>
      <family val="1"/>
      <charset val="204"/>
    </font>
    <font>
      <b/>
      <sz val="9"/>
      <name val="Times New Roman"/>
      <family val="1"/>
    </font>
    <font>
      <b/>
      <u/>
      <sz val="9"/>
      <name val="Times New Roman"/>
      <family val="1"/>
      <charset val="204"/>
    </font>
    <font>
      <b/>
      <sz val="12"/>
      <color indexed="9"/>
      <name val="Times New Roman"/>
      <family val="1"/>
      <charset val="204"/>
    </font>
    <font>
      <b/>
      <u/>
      <sz val="10"/>
      <name val="Times New Roman"/>
      <family val="1"/>
      <charset val="204"/>
    </font>
    <font>
      <sz val="10"/>
      <color indexed="10"/>
      <name val="Times New Roman"/>
      <family val="1"/>
      <charset val="204"/>
    </font>
    <font>
      <sz val="11"/>
      <name val="Times New Roman"/>
      <family val="1"/>
      <charset val="204"/>
    </font>
    <font>
      <b/>
      <i/>
      <sz val="11"/>
      <name val="Times New Roman"/>
      <family val="1"/>
      <charset val="204"/>
    </font>
    <font>
      <sz val="11"/>
      <name val="Arial"/>
      <family val="2"/>
      <charset val="204"/>
    </font>
    <font>
      <sz val="8"/>
      <name val="Times New Roman"/>
      <family val="1"/>
      <charset val="204"/>
    </font>
    <font>
      <sz val="10"/>
      <color indexed="9"/>
      <name val="Arial"/>
      <family val="2"/>
      <charset val="204"/>
    </font>
    <font>
      <sz val="10"/>
      <name val="Times New Roman"/>
      <family val="1"/>
    </font>
    <font>
      <vertAlign val="superscript"/>
      <sz val="10"/>
      <name val="Times New Roman"/>
      <family val="1"/>
    </font>
    <font>
      <sz val="11"/>
      <color indexed="10"/>
      <name val="Times New Roman"/>
      <family val="1"/>
      <charset val="204"/>
    </font>
    <font>
      <sz val="10"/>
      <color indexed="10"/>
      <name val="Times New Roman"/>
      <family val="1"/>
    </font>
    <font>
      <sz val="9"/>
      <color indexed="10"/>
      <name val="Times New Roman"/>
      <family val="1"/>
    </font>
    <font>
      <sz val="11"/>
      <name val="Times New Roman"/>
      <family val="1"/>
    </font>
    <font>
      <sz val="10"/>
      <color indexed="9"/>
      <name val="Times New Roman"/>
      <family val="1"/>
      <charset val="204"/>
    </font>
    <font>
      <b/>
      <sz val="10"/>
      <color rgb="FFFF0000"/>
      <name val="Times New Roman"/>
      <family val="1"/>
      <charset val="204"/>
    </font>
    <font>
      <b/>
      <sz val="10"/>
      <name val="Times New Roman"/>
      <family val="1"/>
    </font>
    <font>
      <u/>
      <sz val="9"/>
      <color indexed="12"/>
      <name val="Times New Roman"/>
      <family val="1"/>
      <charset val="204"/>
    </font>
    <font>
      <b/>
      <sz val="10"/>
      <color theme="1"/>
      <name val="Times New Roman"/>
      <family val="1"/>
      <charset val="204"/>
    </font>
    <font>
      <b/>
      <sz val="10"/>
      <name val="Arial"/>
      <family val="2"/>
      <charset val="204"/>
    </font>
    <font>
      <b/>
      <sz val="12"/>
      <name val="Times New Roman"/>
      <family val="1"/>
    </font>
    <font>
      <sz val="12"/>
      <name val="Times New Roman"/>
      <family val="1"/>
    </font>
    <font>
      <b/>
      <i/>
      <sz val="12"/>
      <name val="Times New Roman"/>
      <family val="1"/>
    </font>
    <font>
      <i/>
      <sz val="12"/>
      <name val="Times New Roman"/>
      <family val="1"/>
    </font>
    <font>
      <b/>
      <sz val="10"/>
      <color indexed="10"/>
      <name val="Times New Roman"/>
      <family val="1"/>
      <charset val="204"/>
    </font>
    <font>
      <sz val="10"/>
      <color rgb="FFFF0000"/>
      <name val="Arial"/>
      <family val="2"/>
      <charset val="204"/>
    </font>
    <font>
      <b/>
      <sz val="9"/>
      <color theme="1"/>
      <name val="Times New Roman"/>
      <family val="1"/>
      <charset val="204"/>
    </font>
    <font>
      <sz val="12"/>
      <name val="TmsCyr"/>
    </font>
    <font>
      <b/>
      <sz val="14"/>
      <name val="Times New Roman"/>
      <family val="1"/>
    </font>
    <font>
      <sz val="10"/>
      <name val="Arial"/>
      <family val="2"/>
    </font>
    <font>
      <sz val="10"/>
      <color rgb="FFFF0000"/>
      <name val="Times New Roman"/>
      <family val="1"/>
      <charset val="204"/>
    </font>
    <font>
      <u/>
      <sz val="11"/>
      <name val="Timok"/>
      <family val="2"/>
    </font>
    <font>
      <b/>
      <i/>
      <sz val="10"/>
      <name val="Times New Roman"/>
      <family val="1"/>
    </font>
    <font>
      <b/>
      <sz val="11"/>
      <name val="Times New Roman"/>
      <family val="1"/>
    </font>
    <font>
      <sz val="11"/>
      <color theme="1"/>
      <name val="Calibri"/>
      <family val="2"/>
      <charset val="204"/>
      <scheme val="minor"/>
    </font>
    <font>
      <i/>
      <sz val="10"/>
      <name val="Times New Roman"/>
      <family val="1"/>
    </font>
    <font>
      <i/>
      <sz val="10"/>
      <color rgb="FF000000"/>
      <name val="Times New Roman"/>
      <family val="1"/>
    </font>
    <font>
      <u/>
      <sz val="12"/>
      <color indexed="12"/>
      <name val="Times New Roman"/>
      <family val="1"/>
    </font>
    <font>
      <sz val="11"/>
      <name val="Arial"/>
      <family val="2"/>
    </font>
    <font>
      <b/>
      <sz val="10"/>
      <name val="Arial"/>
      <family val="2"/>
    </font>
    <font>
      <sz val="10"/>
      <color theme="3"/>
      <name val="Times New Roman"/>
      <family val="1"/>
      <charset val="204"/>
    </font>
    <font>
      <sz val="10"/>
      <color theme="0" tint="-0.499984740745262"/>
      <name val="Times New Roman"/>
      <family val="1"/>
      <charset val="204"/>
    </font>
    <font>
      <sz val="12"/>
      <color theme="0" tint="-0.499984740745262"/>
      <name val="Times New Roman"/>
      <family val="1"/>
      <charset val="204"/>
    </font>
    <font>
      <sz val="10"/>
      <color rgb="FFFF0000"/>
      <name val="Arial"/>
      <family val="2"/>
    </font>
    <font>
      <i/>
      <sz val="10"/>
      <color rgb="FFFF0000"/>
      <name val="Arial"/>
      <family val="2"/>
    </font>
    <font>
      <sz val="11"/>
      <color rgb="FFFF0000"/>
      <name val="Arial"/>
      <family val="2"/>
    </font>
    <font>
      <sz val="9"/>
      <color rgb="FFFF0000"/>
      <name val="Times New Roman"/>
      <family val="1"/>
      <charset val="204"/>
    </font>
    <font>
      <i/>
      <sz val="9"/>
      <color rgb="FFFF0000"/>
      <name val="Times New Roman"/>
      <family val="1"/>
      <charset val="204"/>
    </font>
    <font>
      <sz val="10"/>
      <color theme="1"/>
      <name val="Arial"/>
      <family val="2"/>
      <charset val="204"/>
    </font>
    <font>
      <b/>
      <sz val="10"/>
      <color rgb="FFFF0000"/>
      <name val="Times New Roman"/>
      <family val="1"/>
    </font>
    <font>
      <i/>
      <sz val="10"/>
      <name val="Arial"/>
      <family val="2"/>
    </font>
    <font>
      <sz val="8"/>
      <name val="Times New Roman"/>
      <family val="1"/>
    </font>
    <font>
      <i/>
      <sz val="10"/>
      <color theme="1"/>
      <name val="Times New Roman"/>
      <family val="1"/>
      <charset val="204"/>
    </font>
    <font>
      <i/>
      <sz val="10"/>
      <color rgb="FFFF0000"/>
      <name val="Times New Roman"/>
      <family val="1"/>
    </font>
    <font>
      <sz val="9"/>
      <color theme="3"/>
      <name val="Times New Roman"/>
      <family val="1"/>
      <charset val="204"/>
    </font>
    <font>
      <b/>
      <sz val="9"/>
      <color theme="3"/>
      <name val="Times New Roman"/>
      <family val="1"/>
      <charset val="204"/>
    </font>
    <font>
      <b/>
      <sz val="9"/>
      <color rgb="FFFF0000"/>
      <name val="Times New Roman"/>
      <family val="1"/>
      <charset val="204"/>
    </font>
    <font>
      <vertAlign val="superscript"/>
      <sz val="9"/>
      <name val="Times New Roman"/>
      <family val="1"/>
    </font>
    <font>
      <sz val="9"/>
      <color theme="1"/>
      <name val="Times New Roman"/>
      <family val="1"/>
      <charset val="204"/>
    </font>
    <font>
      <sz val="9"/>
      <name val="Arial"/>
      <family val="2"/>
    </font>
    <font>
      <u/>
      <sz val="12"/>
      <color indexed="12"/>
      <name val="Times New Roman"/>
      <family val="1"/>
      <charset val="204"/>
    </font>
    <font>
      <sz val="10"/>
      <name val="Arial"/>
      <family val="2"/>
      <charset val="204"/>
    </font>
    <font>
      <vertAlign val="superscript"/>
      <sz val="8"/>
      <name val="Times New Roman"/>
      <family val="1"/>
      <charset val="204"/>
    </font>
    <font>
      <vertAlign val="superscript"/>
      <sz val="10"/>
      <name val="Times New Roman"/>
      <family val="1"/>
      <charset val="204"/>
    </font>
    <font>
      <i/>
      <sz val="8"/>
      <color rgb="FFFF0000"/>
      <name val="Arial"/>
      <family val="2"/>
    </font>
    <font>
      <sz val="8"/>
      <name val="Arial"/>
      <family val="2"/>
    </font>
    <font>
      <sz val="11"/>
      <color indexed="8"/>
      <name val="Calibri"/>
      <family val="2"/>
    </font>
    <font>
      <sz val="10"/>
      <color indexed="8"/>
      <name val="Times New Roman"/>
      <family val="1"/>
      <charset val="204"/>
    </font>
    <font>
      <b/>
      <sz val="10"/>
      <color indexed="8"/>
      <name val="Times New Roman"/>
      <family val="1"/>
      <charset val="204"/>
    </font>
    <font>
      <i/>
      <sz val="10"/>
      <color indexed="10"/>
      <name val="Times New Roman"/>
      <family val="1"/>
      <charset val="204"/>
    </font>
    <font>
      <i/>
      <sz val="10"/>
      <color rgb="FFFF0000"/>
      <name val="Times New Roman"/>
      <family val="1"/>
      <charset val="204"/>
    </font>
    <font>
      <b/>
      <sz val="10"/>
      <color rgb="FF990000"/>
      <name val="Times New Roman"/>
      <family val="1"/>
      <charset val="204"/>
    </font>
    <font>
      <b/>
      <sz val="11"/>
      <color rgb="FF990000"/>
      <name val="Times New Roman"/>
      <family val="1"/>
      <charset val="204"/>
    </font>
    <font>
      <i/>
      <sz val="8"/>
      <name val="Arial"/>
      <family val="2"/>
      <charset val="204"/>
    </font>
    <font>
      <b/>
      <sz val="11"/>
      <name val="Arial"/>
      <family val="2"/>
    </font>
    <font>
      <b/>
      <sz val="10"/>
      <color theme="5"/>
      <name val="Arial"/>
      <family val="2"/>
    </font>
    <font>
      <i/>
      <sz val="9"/>
      <name val="Times New Roman"/>
      <family val="1"/>
    </font>
    <font>
      <sz val="14"/>
      <name val="Times New Roman"/>
      <family val="1"/>
    </font>
    <font>
      <b/>
      <i/>
      <sz val="9"/>
      <name val="Times New Roman"/>
      <family val="1"/>
    </font>
    <font>
      <i/>
      <sz val="9"/>
      <color theme="5"/>
      <name val="Times New Roman"/>
      <family val="1"/>
    </font>
    <font>
      <sz val="10"/>
      <color theme="3"/>
      <name val="Times New Roman"/>
      <family val="1"/>
    </font>
    <font>
      <b/>
      <sz val="9"/>
      <color theme="3"/>
      <name val="Times New Roman"/>
      <family val="1"/>
    </font>
    <font>
      <b/>
      <sz val="10"/>
      <color theme="3"/>
      <name val="Times New Roman"/>
      <family val="1"/>
    </font>
    <font>
      <i/>
      <sz val="11"/>
      <name val="Times New Roman"/>
      <family val="1"/>
    </font>
    <font>
      <vertAlign val="superscript"/>
      <sz val="10"/>
      <color indexed="8"/>
      <name val="Times New Roman"/>
      <family val="1"/>
      <charset val="204"/>
    </font>
    <font>
      <vertAlign val="superscript"/>
      <sz val="10"/>
      <color rgb="FFFF0000"/>
      <name val="Times New Roman"/>
      <family val="1"/>
      <charset val="204"/>
    </font>
    <font>
      <vertAlign val="superscript"/>
      <sz val="10"/>
      <color theme="1"/>
      <name val="Times New Roman"/>
      <family val="1"/>
      <charset val="204"/>
    </font>
    <font>
      <b/>
      <sz val="10"/>
      <name val="Times Bold Italic"/>
      <family val="1"/>
    </font>
    <font>
      <sz val="10"/>
      <name val="Times Bold Italic"/>
      <family val="1"/>
    </font>
    <font>
      <sz val="9"/>
      <name val="Times Bold Italic"/>
      <family val="1"/>
    </font>
    <font>
      <b/>
      <sz val="9"/>
      <name val="Times Bold Italic"/>
      <family val="1"/>
    </font>
    <font>
      <i/>
      <sz val="10"/>
      <name val="Times Bold Italic"/>
      <family val="1"/>
    </font>
    <font>
      <sz val="9"/>
      <color rgb="FF00B050"/>
      <name val="Times New Roman"/>
      <family val="1"/>
      <charset val="204"/>
    </font>
    <font>
      <b/>
      <u/>
      <sz val="12"/>
      <name val="Times New Roman"/>
      <family val="1"/>
      <charset val="204"/>
    </font>
    <font>
      <b/>
      <sz val="8"/>
      <name val="Times New Roman"/>
      <family val="1"/>
      <charset val="204"/>
    </font>
    <font>
      <sz val="8"/>
      <color theme="1"/>
      <name val="Times New Roman"/>
      <family val="1"/>
      <charset val="204"/>
    </font>
    <font>
      <b/>
      <sz val="8"/>
      <color theme="1"/>
      <name val="Times New Roman"/>
      <family val="1"/>
      <charset val="204"/>
    </font>
    <font>
      <sz val="7"/>
      <name val="Arial"/>
      <family val="2"/>
      <charset val="204"/>
    </font>
    <font>
      <b/>
      <sz val="7"/>
      <name val="Times New Roman"/>
      <family val="1"/>
      <charset val="204"/>
    </font>
    <font>
      <sz val="7"/>
      <name val="Times New Roman"/>
      <family val="1"/>
      <charset val="204"/>
    </font>
    <font>
      <i/>
      <sz val="7"/>
      <name val="Times New Roman"/>
      <family val="1"/>
      <charset val="204"/>
    </font>
    <font>
      <b/>
      <sz val="8"/>
      <color rgb="FF000000"/>
      <name val="Times New Roman"/>
      <family val="1"/>
      <charset val="204"/>
    </font>
    <font>
      <sz val="8"/>
      <color rgb="FF000000"/>
      <name val="Times New Roman"/>
      <family val="1"/>
      <charset val="204"/>
    </font>
    <font>
      <b/>
      <sz val="8"/>
      <color rgb="FF1F497D"/>
      <name val="Times New Roman"/>
      <family val="1"/>
      <charset val="204"/>
    </font>
    <font>
      <b/>
      <sz val="9"/>
      <color rgb="FF1F497D"/>
      <name val="Times New Roman"/>
      <family val="1"/>
      <charset val="204"/>
    </font>
    <font>
      <b/>
      <vertAlign val="superscript"/>
      <sz val="8"/>
      <color rgb="FF1F497D"/>
      <name val="Times New Roman"/>
      <family val="1"/>
      <charset val="204"/>
    </font>
    <font>
      <b/>
      <i/>
      <sz val="8"/>
      <color rgb="FF000000"/>
      <name val="Times New Roman"/>
      <family val="1"/>
      <charset val="204"/>
    </font>
    <font>
      <i/>
      <sz val="8"/>
      <color theme="1"/>
      <name val="Times New Roman"/>
      <family val="1"/>
      <charset val="204"/>
    </font>
    <font>
      <vertAlign val="superscript"/>
      <sz val="7"/>
      <name val="Times New Roman"/>
      <family val="1"/>
      <charset val="204"/>
    </font>
    <font>
      <b/>
      <sz val="8"/>
      <name val="Times New Roman"/>
      <family val="1"/>
    </font>
    <font>
      <b/>
      <vertAlign val="superscript"/>
      <sz val="9"/>
      <name val="Times New Roman"/>
      <family val="1"/>
      <charset val="204"/>
    </font>
    <font>
      <b/>
      <vertAlign val="subscript"/>
      <sz val="9"/>
      <name val="Times New Roman"/>
      <family val="1"/>
      <charset val="204"/>
    </font>
    <font>
      <vertAlign val="superscript"/>
      <sz val="9"/>
      <color theme="3"/>
      <name val="Times New Roman"/>
      <family val="1"/>
      <charset val="204"/>
    </font>
    <font>
      <i/>
      <sz val="9"/>
      <color rgb="FFFF00FF"/>
      <name val="Times New Roman"/>
      <family val="1"/>
      <charset val="204"/>
    </font>
    <font>
      <i/>
      <sz val="8"/>
      <color rgb="FFFF33CC"/>
      <name val="Times New Roman"/>
      <family val="1"/>
      <charset val="204"/>
    </font>
    <font>
      <b/>
      <i/>
      <sz val="9"/>
      <color rgb="FFFF0000"/>
      <name val="Times New Roman"/>
      <family val="1"/>
      <charset val="204"/>
    </font>
    <font>
      <vertAlign val="superscript"/>
      <sz val="8"/>
      <name val="Times New Roman"/>
      <family val="1"/>
    </font>
    <font>
      <b/>
      <i/>
      <sz val="8"/>
      <name val="Times New Roman"/>
      <family val="1"/>
      <charset val="204"/>
    </font>
    <font>
      <u/>
      <sz val="8"/>
      <name val="Times New Roman"/>
      <family val="1"/>
      <charset val="204"/>
    </font>
    <font>
      <sz val="12"/>
      <color theme="4" tint="-0.499984740745262"/>
      <name val="Times New Roman"/>
      <family val="1"/>
      <charset val="204"/>
    </font>
    <font>
      <b/>
      <i/>
      <sz val="12"/>
      <color theme="4" tint="-0.499984740745262"/>
      <name val="Times New Roman"/>
      <family val="1"/>
      <charset val="204"/>
    </font>
    <font>
      <sz val="10"/>
      <color rgb="FFFF0000"/>
      <name val="Times New Roman"/>
      <family val="1"/>
    </font>
    <font>
      <b/>
      <i/>
      <sz val="14"/>
      <name val="Times New Roman"/>
      <family val="1"/>
      <charset val="204"/>
    </font>
    <font>
      <sz val="10"/>
      <color indexed="12"/>
      <name val="Timok"/>
      <family val="2"/>
    </font>
    <font>
      <b/>
      <sz val="9"/>
      <color rgb="FF002060"/>
      <name val="Times New Roman"/>
      <family val="1"/>
      <charset val="204"/>
    </font>
    <font>
      <sz val="10"/>
      <name val="Arial"/>
      <family val="2"/>
      <charset val="204"/>
    </font>
    <font>
      <sz val="12"/>
      <name val="Helv"/>
    </font>
    <font>
      <sz val="11"/>
      <color indexed="20"/>
      <name val="Calibri"/>
      <family val="2"/>
      <charset val="204"/>
    </font>
    <font>
      <b/>
      <sz val="11"/>
      <color indexed="52"/>
      <name val="Calibri"/>
      <family val="2"/>
      <charset val="204"/>
    </font>
    <font>
      <b/>
      <sz val="11"/>
      <color indexed="9"/>
      <name val="Calibri"/>
      <family val="2"/>
      <charset val="204"/>
    </font>
    <font>
      <i/>
      <sz val="11"/>
      <color indexed="23"/>
      <name val="Calibri"/>
      <family val="2"/>
      <charset val="204"/>
    </font>
    <font>
      <sz val="11"/>
      <color indexed="17"/>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sz val="11"/>
      <color indexed="62"/>
      <name val="Calibri"/>
      <family val="2"/>
      <charset val="204"/>
    </font>
    <font>
      <sz val="11"/>
      <color indexed="52"/>
      <name val="Calibri"/>
      <family val="2"/>
      <charset val="204"/>
    </font>
    <font>
      <sz val="11"/>
      <color indexed="60"/>
      <name val="Calibri"/>
      <family val="2"/>
      <charset val="204"/>
    </font>
    <font>
      <b/>
      <sz val="11"/>
      <color indexed="63"/>
      <name val="Calibri"/>
      <family val="2"/>
      <charset val="204"/>
    </font>
    <font>
      <b/>
      <sz val="18"/>
      <color indexed="56"/>
      <name val="Cambria"/>
      <family val="2"/>
      <charset val="204"/>
    </font>
    <font>
      <sz val="11"/>
      <color indexed="10"/>
      <name val="Calibri"/>
      <family val="2"/>
      <charset val="204"/>
    </font>
    <font>
      <u/>
      <sz val="10"/>
      <color theme="10"/>
      <name val="Arial"/>
      <family val="2"/>
      <charset val="204"/>
    </font>
    <font>
      <b/>
      <sz val="9"/>
      <name val="Arial"/>
      <family val="2"/>
      <charset val="204"/>
    </font>
    <font>
      <sz val="11"/>
      <color rgb="FFFF0000"/>
      <name val="Times New Roman"/>
      <family val="1"/>
      <charset val="204"/>
    </font>
  </fonts>
  <fills count="75">
    <fill>
      <patternFill patternType="none"/>
    </fill>
    <fill>
      <patternFill patternType="gray125"/>
    </fill>
    <fill>
      <patternFill patternType="solid">
        <fgColor indexed="42"/>
        <bgColor indexed="64"/>
      </patternFill>
    </fill>
    <fill>
      <patternFill patternType="solid">
        <fgColor indexed="26"/>
        <bgColor indexed="64"/>
      </patternFill>
    </fill>
    <fill>
      <patternFill patternType="solid">
        <fgColor indexed="31"/>
        <bgColor indexed="31"/>
      </patternFill>
    </fill>
    <fill>
      <patternFill patternType="solid">
        <fgColor indexed="44"/>
        <bgColor indexed="4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42"/>
        <bgColor indexed="42"/>
      </patternFill>
    </fill>
    <fill>
      <patternFill patternType="solid">
        <fgColor indexed="27"/>
        <bgColor indexed="27"/>
      </patternFill>
    </fill>
    <fill>
      <patternFill patternType="solid">
        <fgColor indexed="47"/>
        <bgColor indexed="47"/>
      </patternFill>
    </fill>
    <fill>
      <patternFill patternType="solid">
        <fgColor indexed="15"/>
      </patternFill>
    </fill>
    <fill>
      <patternFill patternType="solid">
        <fgColor indexed="22"/>
      </patternFill>
    </fill>
    <fill>
      <patternFill patternType="gray125">
        <bgColor indexed="42"/>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21"/>
      </patternFill>
    </fill>
    <fill>
      <patternFill patternType="solid">
        <fgColor indexed="44"/>
      </patternFill>
    </fill>
    <fill>
      <patternFill patternType="solid">
        <fgColor indexed="9"/>
        <bgColor indexed="64"/>
      </patternFill>
    </fill>
    <fill>
      <patternFill patternType="solid">
        <fgColor indexed="41"/>
        <bgColor indexed="64"/>
      </patternFill>
    </fill>
    <fill>
      <patternFill patternType="solid">
        <fgColor theme="4" tint="0.79998168889431442"/>
        <bgColor indexed="64"/>
      </patternFill>
    </fill>
    <fill>
      <patternFill patternType="solid">
        <fgColor indexed="47"/>
        <bgColor indexed="64"/>
      </patternFill>
    </fill>
    <fill>
      <patternFill patternType="solid">
        <fgColor indexed="27"/>
        <bgColor indexed="64"/>
      </patternFill>
    </fill>
    <fill>
      <patternFill patternType="solid">
        <fgColor indexed="29"/>
        <bgColor indexed="64"/>
      </patternFill>
    </fill>
    <fill>
      <patternFill patternType="solid">
        <fgColor theme="0"/>
        <bgColor indexed="64"/>
      </patternFill>
    </fill>
    <fill>
      <patternFill patternType="solid">
        <fgColor indexed="65"/>
        <bgColor indexed="64"/>
      </patternFill>
    </fill>
    <fill>
      <patternFill patternType="solid">
        <fgColor rgb="FFFFFFCC"/>
        <bgColor indexed="64"/>
      </patternFill>
    </fill>
    <fill>
      <patternFill patternType="lightGray">
        <bgColor theme="0"/>
      </patternFill>
    </fill>
    <fill>
      <patternFill patternType="solid">
        <fgColor rgb="FF07EDF9"/>
        <bgColor indexed="64"/>
      </patternFill>
    </fill>
    <fill>
      <patternFill patternType="solid">
        <fgColor rgb="FFCCFFFF"/>
        <bgColor indexed="64"/>
      </patternFill>
    </fill>
    <fill>
      <patternFill patternType="solid">
        <fgColor rgb="FFB7ECFF"/>
        <bgColor indexed="64"/>
      </patternFill>
    </fill>
    <fill>
      <patternFill patternType="solid">
        <fgColor rgb="FFEAEAEA"/>
        <bgColor indexed="64"/>
      </patternFill>
    </fill>
    <fill>
      <patternFill patternType="solid">
        <fgColor rgb="FF00CCFF"/>
        <bgColor indexed="64"/>
      </patternFill>
    </fill>
    <fill>
      <patternFill patternType="solid">
        <fgColor rgb="FF66FFFF"/>
        <bgColor indexed="64"/>
      </patternFill>
    </fill>
    <fill>
      <patternFill patternType="solid">
        <fgColor rgb="FFCCECFF"/>
        <bgColor indexed="64"/>
      </patternFill>
    </fill>
    <fill>
      <patternFill patternType="solid">
        <fgColor theme="0" tint="-0.14999847407452621"/>
        <bgColor indexed="64"/>
      </patternFill>
    </fill>
    <fill>
      <patternFill patternType="solid">
        <fgColor theme="0" tint="-0.14999847407452621"/>
        <bgColor indexed="63"/>
      </patternFill>
    </fill>
    <fill>
      <patternFill patternType="solid">
        <fgColor rgb="FFCCFFCC"/>
        <bgColor indexed="64"/>
      </patternFill>
    </fill>
    <fill>
      <patternFill patternType="solid">
        <fgColor rgb="FFBCF6C6"/>
        <bgColor indexed="64"/>
      </patternFill>
    </fill>
    <fill>
      <patternFill patternType="solid">
        <fgColor indexed="22"/>
        <bgColor indexed="64"/>
      </patternFill>
    </fill>
    <fill>
      <patternFill patternType="lightGray">
        <bgColor indexed="9"/>
      </patternFill>
    </fill>
    <fill>
      <patternFill patternType="solid">
        <fgColor theme="9" tint="0.79998168889431442"/>
        <bgColor indexed="64"/>
      </patternFill>
    </fill>
    <fill>
      <patternFill patternType="solid">
        <fgColor theme="0" tint="-0.14996795556505021"/>
        <bgColor indexed="64"/>
      </patternFill>
    </fill>
    <fill>
      <patternFill patternType="solid">
        <fgColor rgb="FFFFCC99"/>
        <bgColor indexed="64"/>
      </patternFill>
    </fill>
    <fill>
      <patternFill patternType="solid">
        <fgColor rgb="FFFFFFFF"/>
        <bgColor indexed="64"/>
      </patternFill>
    </fill>
    <fill>
      <patternFill patternType="solid">
        <fgColor rgb="FFD9D9D9"/>
        <bgColor indexed="64"/>
      </patternFill>
    </fill>
    <fill>
      <patternFill patternType="lightGray">
        <fgColor theme="0" tint="-0.24994659260841701"/>
        <bgColor rgb="FFBFBFBF"/>
      </patternFill>
    </fill>
    <fill>
      <patternFill patternType="gray125">
        <bgColor rgb="FFDFDFDF"/>
      </patternFill>
    </fill>
    <fill>
      <patternFill patternType="solid">
        <fgColor theme="1"/>
        <bgColor indexed="64"/>
      </patternFill>
    </fill>
    <fill>
      <patternFill patternType="solid">
        <fgColor rgb="FFFF8080"/>
        <bgColor indexed="64"/>
      </patternFill>
    </fill>
    <fill>
      <patternFill patternType="solid">
        <fgColor theme="0" tint="-0.24994659260841701"/>
        <bgColor indexed="64"/>
      </patternFill>
    </fill>
    <fill>
      <patternFill patternType="solid">
        <fgColor theme="4" tint="0.79998168889431442"/>
        <bgColor indexed="63"/>
      </patternFill>
    </fill>
    <fill>
      <patternFill patternType="mediumGray">
        <bgColor rgb="FFFFFFFF"/>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s>
  <borders count="187">
    <border>
      <left/>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style="thin">
        <color indexed="8"/>
      </top>
      <bottom/>
      <diagonal/>
    </border>
    <border>
      <left/>
      <right style="thin">
        <color indexed="64"/>
      </right>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right/>
      <top/>
      <bottom style="medium">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style="medium">
        <color indexed="64"/>
      </right>
      <top/>
      <bottom/>
      <diagonal/>
    </border>
    <border>
      <left style="medium">
        <color indexed="64"/>
      </left>
      <right/>
      <top/>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 diagonalUp="1" diagonalDown="1">
      <left style="medium">
        <color indexed="64"/>
      </left>
      <right style="medium">
        <color indexed="64"/>
      </right>
      <top style="thin">
        <color indexed="64"/>
      </top>
      <bottom style="thin">
        <color indexed="64"/>
      </bottom>
      <diagonal style="thin">
        <color indexed="64"/>
      </diagonal>
    </border>
    <border diagonalUp="1" diagonalDown="1">
      <left/>
      <right style="medium">
        <color indexed="64"/>
      </right>
      <top style="thin">
        <color indexed="64"/>
      </top>
      <bottom style="thin">
        <color indexed="64"/>
      </bottom>
      <diagonal style="thin">
        <color indexed="64"/>
      </diagonal>
    </border>
    <border>
      <left/>
      <right style="medium">
        <color indexed="64"/>
      </right>
      <top style="thin">
        <color indexed="8"/>
      </top>
      <bottom/>
      <diagonal/>
    </border>
    <border>
      <left style="medium">
        <color indexed="64"/>
      </left>
      <right style="medium">
        <color indexed="64"/>
      </right>
      <top style="thin">
        <color indexed="8"/>
      </top>
      <bottom style="medium">
        <color indexed="64"/>
      </bottom>
      <diagonal/>
    </border>
    <border diagonalUp="1" diagonalDown="1">
      <left style="medium">
        <color indexed="64"/>
      </left>
      <right style="medium">
        <color indexed="64"/>
      </right>
      <top style="medium">
        <color indexed="64"/>
      </top>
      <bottom style="thin">
        <color indexed="64"/>
      </bottom>
      <diagonal style="thin">
        <color indexed="64"/>
      </diagonal>
    </border>
    <border>
      <left style="dashed">
        <color auto="1"/>
      </left>
      <right style="dashed">
        <color auto="1"/>
      </right>
      <top style="dashed">
        <color auto="1"/>
      </top>
      <bottom style="dashed">
        <color auto="1"/>
      </bottom>
      <diagonal/>
    </border>
    <border>
      <left style="dashed">
        <color auto="1"/>
      </left>
      <right style="dashed">
        <color auto="1"/>
      </right>
      <top style="dashed">
        <color auto="1"/>
      </top>
      <bottom/>
      <diagonal/>
    </border>
    <border>
      <left style="dashed">
        <color auto="1"/>
      </left>
      <right style="dashed">
        <color auto="1"/>
      </right>
      <top/>
      <bottom/>
      <diagonal/>
    </border>
    <border>
      <left style="dashed">
        <color auto="1"/>
      </left>
      <right style="dashed">
        <color auto="1"/>
      </right>
      <top/>
      <bottom style="dashed">
        <color auto="1"/>
      </bottom>
      <diagonal/>
    </border>
    <border diagonalUp="1" diagonalDown="1">
      <left style="medium">
        <color indexed="64"/>
      </left>
      <right style="thin">
        <color indexed="64"/>
      </right>
      <top style="medium">
        <color indexed="64"/>
      </top>
      <bottom style="thin">
        <color indexed="64"/>
      </bottom>
      <diagonal style="thin">
        <color indexed="64"/>
      </diagonal>
    </border>
    <border diagonalUp="1" diagonalDown="1">
      <left style="thin">
        <color indexed="64"/>
      </left>
      <right style="medium">
        <color indexed="64"/>
      </right>
      <top style="medium">
        <color indexed="64"/>
      </top>
      <bottom style="thin">
        <color indexed="64"/>
      </bottom>
      <diagonal style="thin">
        <color indexed="64"/>
      </diagonal>
    </border>
    <border diagonalUp="1" diagonalDown="1">
      <left style="medium">
        <color indexed="64"/>
      </left>
      <right style="medium">
        <color indexed="64"/>
      </right>
      <top style="thin">
        <color indexed="64"/>
      </top>
      <bottom style="medium">
        <color indexed="64"/>
      </bottom>
      <diagonal style="thin">
        <color indexed="64"/>
      </diagonal>
    </border>
    <border diagonalUp="1" diagonalDown="1">
      <left style="medium">
        <color indexed="64"/>
      </left>
      <right style="thin">
        <color indexed="64"/>
      </right>
      <top style="thin">
        <color indexed="64"/>
      </top>
      <bottom style="medium">
        <color indexed="64"/>
      </bottom>
      <diagonal style="thin">
        <color indexed="64"/>
      </diagonal>
    </border>
    <border diagonalUp="1" diagonalDown="1">
      <left style="thin">
        <color indexed="64"/>
      </left>
      <right style="medium">
        <color indexed="64"/>
      </right>
      <top style="thin">
        <color indexed="64"/>
      </top>
      <bottom style="medium">
        <color indexed="64"/>
      </bottom>
      <diagonal style="thin">
        <color indexed="64"/>
      </diagonal>
    </border>
    <border diagonalUp="1" diagonalDown="1">
      <left style="thin">
        <color indexed="64"/>
      </left>
      <right style="medium">
        <color indexed="64"/>
      </right>
      <top style="thin">
        <color indexed="64"/>
      </top>
      <bottom style="thin">
        <color indexed="64"/>
      </bottom>
      <diagonal style="thin">
        <color indexed="64"/>
      </diagonal>
    </border>
    <border diagonalUp="1" diagonalDown="1">
      <left style="medium">
        <color indexed="64"/>
      </left>
      <right style="medium">
        <color indexed="64"/>
      </right>
      <top/>
      <bottom/>
      <diagonal style="thin">
        <color indexed="64"/>
      </diagonal>
    </border>
    <border diagonalUp="1" diagonalDown="1">
      <left style="thin">
        <color indexed="64"/>
      </left>
      <right style="medium">
        <color indexed="64"/>
      </right>
      <top/>
      <bottom/>
      <diagonal style="thin">
        <color indexed="64"/>
      </diagonal>
    </border>
    <border diagonalUp="1" diagonalDown="1">
      <left style="medium">
        <color indexed="64"/>
      </left>
      <right/>
      <top style="thin">
        <color indexed="64"/>
      </top>
      <bottom style="thin">
        <color indexed="64"/>
      </bottom>
      <diagonal style="thin">
        <color indexed="64"/>
      </diagonal>
    </border>
    <border diagonalUp="1" diagonalDown="1">
      <left style="medium">
        <color indexed="64"/>
      </left>
      <right style="thin">
        <color indexed="64"/>
      </right>
      <top style="thin">
        <color indexed="64"/>
      </top>
      <bottom style="thin">
        <color indexed="64"/>
      </bottom>
      <diagonal style="thin">
        <color indexed="64"/>
      </diagonal>
    </border>
    <border>
      <left style="medium">
        <color indexed="64"/>
      </left>
      <right/>
      <top style="thin">
        <color indexed="8"/>
      </top>
      <bottom/>
      <diagonal/>
    </border>
    <border>
      <left style="thin">
        <color indexed="64"/>
      </left>
      <right/>
      <top/>
      <bottom style="medium">
        <color indexed="64"/>
      </bottom>
      <diagonal/>
    </border>
    <border diagonalUp="1" diagonalDown="1">
      <left style="thin">
        <color indexed="64"/>
      </left>
      <right style="thin">
        <color indexed="64"/>
      </right>
      <top style="medium">
        <color indexed="64"/>
      </top>
      <bottom/>
      <diagonal style="thin">
        <color indexed="64"/>
      </diagonal>
    </border>
    <border diagonalUp="1" diagonalDown="1">
      <left style="thin">
        <color indexed="64"/>
      </left>
      <right style="medium">
        <color indexed="64"/>
      </right>
      <top style="medium">
        <color indexed="64"/>
      </top>
      <bottom/>
      <diagonal style="thin">
        <color indexed="64"/>
      </diagonal>
    </border>
    <border diagonalUp="1" diagonalDown="1">
      <left style="thin">
        <color indexed="64"/>
      </left>
      <right style="thin">
        <color indexed="64"/>
      </right>
      <top/>
      <bottom/>
      <diagonal style="thin">
        <color indexed="64"/>
      </diagonal>
    </border>
    <border diagonalUp="1" diagonalDown="1">
      <left style="thin">
        <color indexed="64"/>
      </left>
      <right style="thin">
        <color indexed="64"/>
      </right>
      <top/>
      <bottom style="medium">
        <color indexed="64"/>
      </bottom>
      <diagonal style="thin">
        <color indexed="64"/>
      </diagonal>
    </border>
    <border diagonalUp="1" diagonalDown="1">
      <left style="thin">
        <color indexed="64"/>
      </left>
      <right style="medium">
        <color indexed="64"/>
      </right>
      <top/>
      <bottom style="medium">
        <color indexed="64"/>
      </bottom>
      <diagonal style="thin">
        <color indexed="64"/>
      </diagonal>
    </border>
    <border diagonalUp="1" diagonalDown="1">
      <left/>
      <right style="thin">
        <color indexed="64"/>
      </right>
      <top style="medium">
        <color indexed="64"/>
      </top>
      <bottom/>
      <diagonal style="thin">
        <color indexed="64"/>
      </diagonal>
    </border>
    <border diagonalUp="1" diagonalDown="1">
      <left/>
      <right style="thin">
        <color indexed="64"/>
      </right>
      <top/>
      <bottom/>
      <diagonal style="thin">
        <color indexed="64"/>
      </diagonal>
    </border>
    <border diagonalUp="1" diagonalDown="1">
      <left/>
      <right style="thin">
        <color indexed="64"/>
      </right>
      <top/>
      <bottom style="medium">
        <color indexed="64"/>
      </bottom>
      <diagonal style="thin">
        <color indexed="64"/>
      </diagonal>
    </border>
    <border diagonalUp="1" diagonalDown="1">
      <left style="medium">
        <color indexed="64"/>
      </left>
      <right style="medium">
        <color indexed="64"/>
      </right>
      <top style="medium">
        <color indexed="64"/>
      </top>
      <bottom/>
      <diagonal style="thin">
        <color indexed="64"/>
      </diagonal>
    </border>
    <border diagonalUp="1" diagonalDown="1">
      <left style="medium">
        <color indexed="64"/>
      </left>
      <right style="medium">
        <color indexed="64"/>
      </right>
      <top/>
      <bottom style="medium">
        <color indexed="64"/>
      </bottom>
      <diagonal style="thin">
        <color indexed="64"/>
      </diagonal>
    </border>
    <border diagonalUp="1" diagonalDown="1">
      <left style="thin">
        <color indexed="64"/>
      </left>
      <right style="thin">
        <color indexed="64"/>
      </right>
      <top style="medium">
        <color indexed="64"/>
      </top>
      <bottom style="thin">
        <color indexed="64"/>
      </bottom>
      <diagonal style="thin">
        <color indexed="64"/>
      </diagonal>
    </border>
    <border diagonalUp="1" diagonalDown="1">
      <left style="thin">
        <color indexed="64"/>
      </left>
      <right style="thin">
        <color indexed="64"/>
      </right>
      <top style="thin">
        <color indexed="64"/>
      </top>
      <bottom style="thin">
        <color indexed="64"/>
      </bottom>
      <diagonal style="thin">
        <color indexed="64"/>
      </diagonal>
    </border>
    <border diagonalUp="1" diagonalDown="1">
      <left style="thin">
        <color indexed="64"/>
      </left>
      <right style="thin">
        <color indexed="64"/>
      </right>
      <top style="thin">
        <color indexed="64"/>
      </top>
      <bottom style="medium">
        <color indexed="64"/>
      </bottom>
      <diagonal style="thin">
        <color indexed="64"/>
      </diagonal>
    </border>
    <border>
      <left/>
      <right style="medium">
        <color indexed="64"/>
      </right>
      <top style="thin">
        <color indexed="8"/>
      </top>
      <bottom style="medium">
        <color indexed="64"/>
      </bottom>
      <diagonal/>
    </border>
    <border diagonalUp="1" diagonalDown="1">
      <left style="medium">
        <color indexed="64"/>
      </left>
      <right style="medium">
        <color indexed="64"/>
      </right>
      <top style="thin">
        <color indexed="64"/>
      </top>
      <bottom/>
      <diagonal style="thin">
        <color indexed="64"/>
      </diagonal>
    </border>
    <border diagonalUp="1" diagonalDown="1">
      <left style="thin">
        <color indexed="64"/>
      </left>
      <right style="thin">
        <color indexed="64"/>
      </right>
      <top/>
      <bottom style="thin">
        <color indexed="64"/>
      </bottom>
      <diagonal style="thin">
        <color indexed="64"/>
      </diagonal>
    </border>
    <border>
      <left style="hair">
        <color indexed="64"/>
      </left>
      <right style="hair">
        <color indexed="64"/>
      </right>
      <top style="medium">
        <color indexed="64"/>
      </top>
      <bottom style="hair">
        <color indexed="64"/>
      </bottom>
      <diagonal/>
    </border>
    <border>
      <left style="hair">
        <color indexed="64"/>
      </left>
      <right style="hair">
        <color indexed="64"/>
      </right>
      <top/>
      <bottom style="hair">
        <color indexed="64"/>
      </bottom>
      <diagonal/>
    </border>
    <border diagonalUp="1" diagonalDown="1">
      <left style="hair">
        <color indexed="64"/>
      </left>
      <right style="hair">
        <color indexed="64"/>
      </right>
      <top style="hair">
        <color indexed="64"/>
      </top>
      <bottom style="hair">
        <color indexed="64"/>
      </bottom>
      <diagonal style="hair">
        <color indexed="64"/>
      </diagonal>
    </border>
    <border>
      <left style="hair">
        <color indexed="64"/>
      </left>
      <right style="hair">
        <color indexed="64"/>
      </right>
      <top style="hair">
        <color indexed="64"/>
      </top>
      <bottom style="hair">
        <color indexed="64"/>
      </bottom>
      <diagonal/>
    </border>
    <border>
      <left style="hair">
        <color indexed="64"/>
      </left>
      <right/>
      <top/>
      <bottom/>
      <diagonal/>
    </border>
    <border diagonalUp="1" diagonalDown="1">
      <left/>
      <right style="thin">
        <color indexed="64"/>
      </right>
      <top style="thin">
        <color indexed="64"/>
      </top>
      <bottom style="thin">
        <color indexed="64"/>
      </bottom>
      <diagonal style="thin">
        <color indexed="64"/>
      </diagonal>
    </border>
    <border diagonalUp="1" diagonalDown="1">
      <left/>
      <right style="medium">
        <color indexed="64"/>
      </right>
      <top style="medium">
        <color indexed="64"/>
      </top>
      <bottom/>
      <diagonal style="thin">
        <color indexed="64"/>
      </diagonal>
    </border>
    <border diagonalUp="1" diagonalDown="1">
      <left/>
      <right style="medium">
        <color indexed="64"/>
      </right>
      <top style="medium">
        <color indexed="64"/>
      </top>
      <bottom style="thin">
        <color indexed="64"/>
      </bottom>
      <diagonal style="thin">
        <color indexed="64"/>
      </diagonal>
    </border>
    <border diagonalUp="1" diagonalDown="1">
      <left/>
      <right style="medium">
        <color indexed="64"/>
      </right>
      <top style="thin">
        <color indexed="64"/>
      </top>
      <bottom style="medium">
        <color indexed="64"/>
      </bottom>
      <diagonal style="thin">
        <color indexed="64"/>
      </diagonal>
    </border>
    <border>
      <left style="thin">
        <color indexed="64"/>
      </left>
      <right style="double">
        <color indexed="64"/>
      </right>
      <top style="thin">
        <color indexed="64"/>
      </top>
      <bottom style="thin">
        <color indexed="64"/>
      </bottom>
      <diagonal/>
    </border>
    <border diagonalUp="1" diagonalDown="1">
      <left/>
      <right/>
      <top style="thin">
        <color indexed="64"/>
      </top>
      <bottom style="thin">
        <color indexed="64"/>
      </bottom>
      <diagonal style="thin">
        <color indexed="64"/>
      </diagonal>
    </border>
    <border diagonalUp="1" diagonalDown="1">
      <left style="thin">
        <color indexed="64"/>
      </left>
      <right/>
      <top style="thin">
        <color indexed="64"/>
      </top>
      <bottom style="thin">
        <color indexed="64"/>
      </bottom>
      <diagonal style="thin">
        <color indexed="64"/>
      </diagonal>
    </border>
    <border diagonalUp="1" diagonalDown="1">
      <left style="medium">
        <color indexed="64"/>
      </left>
      <right style="medium">
        <color indexed="64"/>
      </right>
      <top/>
      <bottom style="thin">
        <color indexed="64"/>
      </bottom>
      <diagonal style="thin">
        <color indexed="64"/>
      </diagonal>
    </border>
    <border diagonalUp="1" diagonalDown="1">
      <left/>
      <right style="medium">
        <color indexed="64"/>
      </right>
      <top/>
      <bottom style="medium">
        <color indexed="64"/>
      </bottom>
      <diagonal style="thin">
        <color indexed="64"/>
      </diagonal>
    </border>
    <border diagonalUp="1" diagonalDown="1">
      <left style="medium">
        <color indexed="64"/>
      </left>
      <right style="thin">
        <color indexed="64"/>
      </right>
      <top/>
      <bottom style="medium">
        <color indexed="64"/>
      </bottom>
      <diagonal style="thin">
        <color indexed="64"/>
      </diagonal>
    </border>
    <border diagonalUp="1" diagonalDown="1">
      <left style="medium">
        <color indexed="64"/>
      </left>
      <right style="thin">
        <color indexed="64"/>
      </right>
      <top/>
      <bottom style="thin">
        <color indexed="64"/>
      </bottom>
      <diagonal style="thin">
        <color indexed="64"/>
      </diagonal>
    </border>
    <border diagonalUp="1" diagonalDown="1">
      <left style="medium">
        <color indexed="64"/>
      </left>
      <right style="thin">
        <color indexed="64"/>
      </right>
      <top style="thin">
        <color indexed="64"/>
      </top>
      <bottom/>
      <diagonal style="thin">
        <color indexed="64"/>
      </diagonal>
    </border>
    <border>
      <left/>
      <right style="hair">
        <color indexed="64"/>
      </right>
      <top/>
      <bottom/>
      <diagonal/>
    </border>
    <border>
      <left style="hair">
        <color indexed="64"/>
      </left>
      <right style="hair">
        <color indexed="64"/>
      </right>
      <top style="medium">
        <color indexed="64"/>
      </top>
      <bottom/>
      <diagonal/>
    </border>
    <border diagonalUp="1" diagonalDown="1">
      <left style="thin">
        <color indexed="64"/>
      </left>
      <right style="medium">
        <color indexed="64"/>
      </right>
      <top/>
      <bottom style="thin">
        <color indexed="64"/>
      </bottom>
      <diagonal style="thin">
        <color indexed="64"/>
      </diagonal>
    </border>
    <border diagonalUp="1" diagonalDown="1">
      <left style="thin">
        <color indexed="64"/>
      </left>
      <right style="thin">
        <color indexed="64"/>
      </right>
      <top style="thin">
        <color indexed="64"/>
      </top>
      <bottom/>
      <diagonal style="thin">
        <color indexed="64"/>
      </diagonal>
    </border>
    <border diagonalUp="1" diagonalDown="1">
      <left style="thin">
        <color indexed="64"/>
      </left>
      <right style="medium">
        <color indexed="64"/>
      </right>
      <top style="thin">
        <color indexed="64"/>
      </top>
      <bottom/>
      <diagonal style="thin">
        <color indexed="64"/>
      </diagonal>
    </border>
    <border>
      <left style="hair">
        <color indexed="64"/>
      </left>
      <right/>
      <top/>
      <bottom style="hair">
        <color indexed="64"/>
      </bottom>
      <diagonal/>
    </border>
    <border>
      <left/>
      <right style="hair">
        <color indexed="64"/>
      </right>
      <top/>
      <bottom style="hair">
        <color indexed="64"/>
      </bottom>
      <diagonal/>
    </border>
    <border diagonalUp="1" diagonalDown="1">
      <left style="hair">
        <color indexed="64"/>
      </left>
      <right style="hair">
        <color indexed="64"/>
      </right>
      <top/>
      <bottom style="hair">
        <color indexed="64"/>
      </bottom>
      <diagonal style="hair">
        <color indexed="64"/>
      </diagonal>
    </border>
    <border diagonalUp="1" diagonalDown="1">
      <left style="thin">
        <color indexed="64"/>
      </left>
      <right style="medium">
        <color indexed="64"/>
      </right>
      <top style="medium">
        <color indexed="64"/>
      </top>
      <bottom style="medium">
        <color indexed="64"/>
      </bottom>
      <diagonal style="thin">
        <color indexed="64"/>
      </diagonal>
    </border>
    <border diagonalUp="1" diagonalDown="1">
      <left style="medium">
        <color indexed="64"/>
      </left>
      <right style="thin">
        <color indexed="64"/>
      </right>
      <top style="medium">
        <color indexed="64"/>
      </top>
      <bottom style="medium">
        <color indexed="64"/>
      </bottom>
      <diagonal style="thin">
        <color indexed="64"/>
      </diagonal>
    </border>
    <border diagonalUp="1" diagonalDown="1">
      <left style="thin">
        <color indexed="64"/>
      </left>
      <right style="thin">
        <color indexed="64"/>
      </right>
      <top style="medium">
        <color indexed="64"/>
      </top>
      <bottom style="medium">
        <color indexed="64"/>
      </bottom>
      <diagonal style="thin">
        <color indexed="64"/>
      </diagonal>
    </border>
    <border diagonalUp="1" diagonalDown="1">
      <left/>
      <right style="thin">
        <color indexed="64"/>
      </right>
      <top style="medium">
        <color indexed="64"/>
      </top>
      <bottom style="thin">
        <color indexed="64"/>
      </bottom>
      <diagonal style="thin">
        <color indexed="64"/>
      </diagonal>
    </border>
    <border diagonalUp="1" diagonalDown="1">
      <left/>
      <right style="thin">
        <color indexed="64"/>
      </right>
      <top style="thin">
        <color indexed="64"/>
      </top>
      <bottom style="medium">
        <color indexed="64"/>
      </bottom>
      <diagonal style="thin">
        <color indexed="64"/>
      </diagonal>
    </border>
    <border diagonalUp="1" diagonalDown="1">
      <left style="thin">
        <color indexed="64"/>
      </left>
      <right/>
      <top style="medium">
        <color indexed="64"/>
      </top>
      <bottom style="thin">
        <color indexed="64"/>
      </bottom>
      <diagonal style="thin">
        <color indexed="64"/>
      </diagonal>
    </border>
    <border diagonalUp="1" diagonalDown="1">
      <left/>
      <right style="thin">
        <color indexed="64"/>
      </right>
      <top style="thin">
        <color indexed="64"/>
      </top>
      <bottom/>
      <diagonal style="thin">
        <color indexed="64"/>
      </diagonal>
    </border>
    <border diagonalUp="1" diagonalDown="1">
      <left style="thin">
        <color indexed="64"/>
      </left>
      <right/>
      <top style="thin">
        <color indexed="64"/>
      </top>
      <bottom/>
      <diagonal style="thin">
        <color indexed="64"/>
      </diagonal>
    </border>
    <border diagonalUp="1" diagonalDown="1">
      <left/>
      <right style="thin">
        <color indexed="64"/>
      </right>
      <top/>
      <bottom style="thin">
        <color indexed="64"/>
      </bottom>
      <diagonal style="thin">
        <color indexed="64"/>
      </diagonal>
    </border>
    <border diagonalUp="1" diagonalDown="1">
      <left style="medium">
        <color indexed="64"/>
      </left>
      <right style="medium">
        <color indexed="64"/>
      </right>
      <top style="medium">
        <color indexed="64"/>
      </top>
      <bottom style="medium">
        <color indexed="64"/>
      </bottom>
      <diagonal style="thin">
        <color indexed="64"/>
      </diagonal>
    </border>
    <border diagonalUp="1" diagonalDown="1">
      <left style="medium">
        <color indexed="64"/>
      </left>
      <right style="thin">
        <color indexed="64"/>
      </right>
      <top/>
      <bottom/>
      <diagonal style="thin">
        <color indexed="64"/>
      </diagonal>
    </border>
    <border>
      <left style="medium">
        <color theme="0" tint="-0.24994659260841701"/>
      </left>
      <right style="medium">
        <color theme="0" tint="-0.24994659260841701"/>
      </right>
      <top style="medium">
        <color theme="0" tint="-0.24994659260841701"/>
      </top>
      <bottom style="medium">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theme="0" tint="-0.24994659260841701"/>
      </left>
      <right style="medium">
        <color theme="0" tint="-0.24994659260841701"/>
      </right>
      <top style="medium">
        <color theme="0" tint="-0.24994659260841701"/>
      </top>
      <bottom/>
      <diagonal/>
    </border>
    <border>
      <left style="medium">
        <color theme="0" tint="-0.24994659260841701"/>
      </left>
      <right style="medium">
        <color theme="0" tint="-0.24994659260841701"/>
      </right>
      <top/>
      <bottom/>
      <diagonal/>
    </border>
    <border>
      <left style="medium">
        <color theme="0" tint="-0.24994659260841701"/>
      </left>
      <right style="medium">
        <color theme="0" tint="-0.24994659260841701"/>
      </right>
      <top/>
      <bottom style="medium">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medium">
        <color theme="0" tint="-0.24994659260841701"/>
      </left>
      <right/>
      <top style="medium">
        <color theme="0" tint="-0.24994659260841701"/>
      </top>
      <bottom style="medium">
        <color theme="0" tint="-0.24994659260841701"/>
      </bottom>
      <diagonal/>
    </border>
    <border>
      <left/>
      <right/>
      <top style="medium">
        <color theme="0" tint="-0.24994659260841701"/>
      </top>
      <bottom style="medium">
        <color theme="0" tint="-0.24994659260841701"/>
      </bottom>
      <diagonal/>
    </border>
    <border>
      <left/>
      <right style="medium">
        <color theme="0" tint="-0.24994659260841701"/>
      </right>
      <top style="medium">
        <color theme="0" tint="-0.24994659260841701"/>
      </top>
      <bottom style="medium">
        <color theme="0" tint="-0.24994659260841701"/>
      </bottom>
      <diagonal/>
    </border>
    <border>
      <left style="thin">
        <color theme="0" tint="-0.24994659260841701"/>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bottom style="thin">
        <color theme="0" tint="-0.24994659260841701"/>
      </bottom>
      <diagonal/>
    </border>
    <border>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top/>
      <bottom/>
      <diagonal/>
    </border>
    <border>
      <left style="thin">
        <color theme="0" tint="-0.24994659260841701"/>
      </left>
      <right style="thin">
        <color theme="0" tint="-0.24994659260841701"/>
      </right>
      <top/>
      <bottom/>
      <diagonal/>
    </border>
    <border>
      <left/>
      <right style="thin">
        <color theme="0" tint="-0.24994659260841701"/>
      </right>
      <top/>
      <bottom/>
      <diagonal/>
    </border>
    <border>
      <left/>
      <right/>
      <top style="medium">
        <color theme="0" tint="-0.24994659260841701"/>
      </top>
      <bottom/>
      <diagonal/>
    </border>
    <border>
      <left/>
      <right/>
      <top/>
      <bottom style="medium">
        <color theme="0" tint="-0.24994659260841701"/>
      </bottom>
      <diagonal/>
    </border>
    <border>
      <left/>
      <right/>
      <top/>
      <bottom style="thin">
        <color theme="0" tint="-0.24994659260841701"/>
      </bottom>
      <diagonal/>
    </border>
    <border>
      <left/>
      <right/>
      <top style="thin">
        <color theme="0" tint="-0.24994659260841701"/>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469">
    <xf numFmtId="0" fontId="0" fillId="0" borderId="0"/>
    <xf numFmtId="9" fontId="11" fillId="0" borderId="0" applyFont="0" applyFill="0" applyBorder="0" applyAlignment="0" applyProtection="0"/>
    <xf numFmtId="0" fontId="17" fillId="0" borderId="0" applyNumberFormat="0" applyFill="0" applyBorder="0" applyAlignment="0" applyProtection="0">
      <alignment vertical="top"/>
      <protection locked="0"/>
    </xf>
    <xf numFmtId="0" fontId="22" fillId="4" borderId="0" applyNumberFormat="0" applyBorder="0" applyAlignment="0" applyProtection="0"/>
    <xf numFmtId="0" fontId="22" fillId="4" borderId="0" applyNumberFormat="0" applyBorder="0" applyAlignment="0" applyProtection="0"/>
    <xf numFmtId="0" fontId="23" fillId="5"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23" fillId="8" borderId="0" applyNumberFormat="0" applyBorder="0" applyAlignment="0" applyProtection="0"/>
    <xf numFmtId="0" fontId="22" fillId="6" borderId="0" applyNumberFormat="0" applyBorder="0" applyAlignment="0" applyProtection="0"/>
    <xf numFmtId="0" fontId="22" fillId="9" borderId="0" applyNumberFormat="0" applyBorder="0" applyAlignment="0" applyProtection="0"/>
    <xf numFmtId="0" fontId="23" fillId="7" borderId="0" applyNumberFormat="0" applyBorder="0" applyAlignment="0" applyProtection="0"/>
    <xf numFmtId="0" fontId="22" fillId="4" borderId="0" applyNumberFormat="0" applyBorder="0" applyAlignment="0" applyProtection="0"/>
    <xf numFmtId="0" fontId="22" fillId="7" borderId="0" applyNumberFormat="0" applyBorder="0" applyAlignment="0" applyProtection="0"/>
    <xf numFmtId="0" fontId="23" fillId="7" borderId="0" applyNumberFormat="0" applyBorder="0" applyAlignment="0" applyProtection="0"/>
    <xf numFmtId="0" fontId="22" fillId="10" borderId="0" applyNumberFormat="0" applyBorder="0" applyAlignment="0" applyProtection="0"/>
    <xf numFmtId="0" fontId="22" fillId="4" borderId="0" applyNumberFormat="0" applyBorder="0" applyAlignment="0" applyProtection="0"/>
    <xf numFmtId="0" fontId="23" fillId="5" borderId="0" applyNumberFormat="0" applyBorder="0" applyAlignment="0" applyProtection="0"/>
    <xf numFmtId="0" fontId="22" fillId="6" borderId="0" applyNumberFormat="0" applyBorder="0" applyAlignment="0" applyProtection="0"/>
    <xf numFmtId="0" fontId="22" fillId="11" borderId="0" applyNumberFormat="0" applyBorder="0" applyAlignment="0" applyProtection="0"/>
    <xf numFmtId="0" fontId="23" fillId="11" borderId="0" applyNumberFormat="0" applyBorder="0" applyAlignment="0" applyProtection="0"/>
    <xf numFmtId="1" fontId="24" fillId="12" borderId="0">
      <alignment horizontal="center" vertical="center" wrapText="1"/>
    </xf>
    <xf numFmtId="4" fontId="24" fillId="13" borderId="7">
      <alignment vertical="center"/>
      <protection locked="0"/>
    </xf>
    <xf numFmtId="0" fontId="24" fillId="14" borderId="0">
      <alignment horizontal="right"/>
    </xf>
    <xf numFmtId="0" fontId="25"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49" fontId="24" fillId="18" borderId="0">
      <alignment vertical="top" wrapText="1"/>
    </xf>
    <xf numFmtId="38" fontId="24" fillId="13" borderId="0">
      <alignment horizontal="right" vertical="center" wrapText="1"/>
    </xf>
    <xf numFmtId="0" fontId="26" fillId="0" borderId="0" applyNumberFormat="0" applyFill="0" applyBorder="0" applyAlignment="0" applyProtection="0">
      <alignment vertical="top"/>
      <protection locked="0"/>
    </xf>
    <xf numFmtId="0" fontId="27" fillId="19" borderId="8">
      <alignment wrapText="1"/>
    </xf>
    <xf numFmtId="0" fontId="22" fillId="0" borderId="0"/>
    <xf numFmtId="0" fontId="27" fillId="0" borderId="0"/>
    <xf numFmtId="9" fontId="22" fillId="0" borderId="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8" fillId="0" borderId="0" applyNumberFormat="0" applyFill="0" applyBorder="0" applyAlignment="0" applyProtection="0"/>
    <xf numFmtId="3" fontId="24" fillId="0" borderId="0">
      <alignment horizontal="right" vertical="center" wrapText="1"/>
      <protection locked="0"/>
    </xf>
    <xf numFmtId="0" fontId="29" fillId="0" borderId="0"/>
    <xf numFmtId="0" fontId="22" fillId="0" borderId="0"/>
    <xf numFmtId="0" fontId="44" fillId="0" borderId="0"/>
    <xf numFmtId="9" fontId="39" fillId="0" borderId="0" applyFont="0" applyFill="0" applyBorder="0" applyAlignment="0" applyProtection="0"/>
    <xf numFmtId="0" fontId="39" fillId="0" borderId="0"/>
    <xf numFmtId="0" fontId="44" fillId="0" borderId="0"/>
    <xf numFmtId="166" fontId="39" fillId="0" borderId="0" applyFont="0" applyFill="0" applyBorder="0" applyAlignment="0" applyProtection="0"/>
    <xf numFmtId="0" fontId="11" fillId="0" borderId="0"/>
    <xf numFmtId="164" fontId="27" fillId="0" borderId="0" applyFont="0" applyFill="0" applyBorder="0" applyAlignment="0" applyProtection="0"/>
    <xf numFmtId="0" fontId="76" fillId="0" borderId="0"/>
    <xf numFmtId="166" fontId="27" fillId="0" borderId="0" applyFont="0" applyFill="0" applyBorder="0" applyAlignment="0" applyProtection="0"/>
    <xf numFmtId="0" fontId="78" fillId="0" borderId="0"/>
    <xf numFmtId="9" fontId="10" fillId="0" borderId="0" applyFont="0" applyFill="0" applyBorder="0" applyAlignment="0" applyProtection="0"/>
    <xf numFmtId="9" fontId="9" fillId="0" borderId="0" applyFont="0" applyFill="0" applyBorder="0" applyAlignment="0" applyProtection="0"/>
    <xf numFmtId="0" fontId="83" fillId="0" borderId="0"/>
    <xf numFmtId="0" fontId="97" fillId="0" borderId="0"/>
    <xf numFmtId="0" fontId="83" fillId="0" borderId="0"/>
    <xf numFmtId="165" fontId="110" fillId="0" borderId="0" applyFont="0" applyFill="0" applyBorder="0" applyAlignment="0" applyProtection="0"/>
    <xf numFmtId="0" fontId="9" fillId="0" borderId="0"/>
    <xf numFmtId="0" fontId="8" fillId="0" borderId="0"/>
    <xf numFmtId="0" fontId="8" fillId="0" borderId="0"/>
    <xf numFmtId="9" fontId="27" fillId="0" borderId="0" applyFont="0" applyFill="0" applyBorder="0" applyAlignment="0" applyProtection="0"/>
    <xf numFmtId="9" fontId="115" fillId="0" borderId="0" applyFont="0" applyFill="0" applyBorder="0" applyAlignment="0" applyProtection="0"/>
    <xf numFmtId="9" fontId="115" fillId="0" borderId="0" applyFont="0" applyFill="0" applyBorder="0" applyAlignment="0" applyProtection="0"/>
    <xf numFmtId="165" fontId="27" fillId="0" borderId="0" applyFont="0" applyFill="0" applyBorder="0" applyAlignment="0" applyProtection="0"/>
    <xf numFmtId="9" fontId="115" fillId="0" borderId="0" applyFont="0" applyFill="0" applyBorder="0" applyAlignment="0" applyProtection="0"/>
    <xf numFmtId="0" fontId="7" fillId="0" borderId="0"/>
    <xf numFmtId="0" fontId="7" fillId="0" borderId="0"/>
    <xf numFmtId="0" fontId="115" fillId="0" borderId="0"/>
    <xf numFmtId="0" fontId="22" fillId="0" borderId="0"/>
    <xf numFmtId="0" fontId="22" fillId="0" borderId="0"/>
    <xf numFmtId="9" fontId="9" fillId="0" borderId="0" applyFont="0" applyFill="0" applyBorder="0" applyAlignment="0" applyProtection="0"/>
    <xf numFmtId="9" fontId="9"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7" fillId="0" borderId="0" applyNumberFormat="0" applyFill="0" applyBorder="0" applyAlignment="0" applyProtection="0">
      <alignment vertical="top"/>
      <protection locked="0"/>
    </xf>
    <xf numFmtId="0" fontId="27" fillId="0" borderId="0"/>
    <xf numFmtId="0" fontId="5" fillId="0" borderId="0"/>
    <xf numFmtId="0" fontId="4" fillId="0" borderId="0"/>
    <xf numFmtId="0" fontId="4" fillId="0" borderId="0"/>
    <xf numFmtId="0" fontId="22" fillId="0" borderId="0"/>
    <xf numFmtId="0" fontId="78" fillId="0" borderId="0"/>
    <xf numFmtId="0" fontId="4" fillId="0" borderId="0"/>
    <xf numFmtId="0" fontId="4" fillId="0" borderId="0"/>
    <xf numFmtId="9" fontId="4" fillId="0" borderId="0" applyFont="0" applyFill="0" applyBorder="0" applyAlignment="0" applyProtection="0"/>
    <xf numFmtId="0" fontId="22" fillId="0" borderId="0"/>
    <xf numFmtId="0" fontId="3" fillId="0" borderId="0"/>
    <xf numFmtId="9" fontId="3" fillId="0" borderId="0" applyFont="0" applyFill="0" applyBorder="0" applyAlignment="0" applyProtection="0"/>
    <xf numFmtId="0" fontId="3" fillId="0" borderId="0"/>
    <xf numFmtId="0" fontId="3" fillId="0" borderId="0"/>
    <xf numFmtId="0" fontId="2" fillId="0" borderId="0"/>
    <xf numFmtId="0" fontId="174" fillId="0" borderId="0"/>
    <xf numFmtId="0" fontId="22" fillId="55" borderId="0" applyNumberFormat="0" applyBorder="0" applyAlignment="0" applyProtection="0"/>
    <xf numFmtId="0" fontId="22" fillId="56" borderId="0" applyNumberFormat="0" applyBorder="0" applyAlignment="0" applyProtection="0"/>
    <xf numFmtId="0" fontId="22" fillId="57" borderId="0" applyNumberFormat="0" applyBorder="0" applyAlignment="0" applyProtection="0"/>
    <xf numFmtId="0" fontId="22" fillId="58" borderId="0" applyNumberFormat="0" applyBorder="0" applyAlignment="0" applyProtection="0"/>
    <xf numFmtId="0" fontId="22" fillId="59" borderId="0" applyNumberFormat="0" applyBorder="0" applyAlignment="0" applyProtection="0"/>
    <xf numFmtId="0" fontId="22" fillId="60" borderId="0" applyNumberFormat="0" applyBorder="0" applyAlignment="0" applyProtection="0"/>
    <xf numFmtId="0" fontId="22" fillId="19" borderId="0" applyNumberFormat="0" applyBorder="0" applyAlignment="0" applyProtection="0"/>
    <xf numFmtId="0" fontId="22" fillId="61" borderId="0" applyNumberFormat="0" applyBorder="0" applyAlignment="0" applyProtection="0"/>
    <xf numFmtId="0" fontId="22" fillId="62" borderId="0" applyNumberFormat="0" applyBorder="0" applyAlignment="0" applyProtection="0"/>
    <xf numFmtId="0" fontId="22" fillId="58" borderId="0" applyNumberFormat="0" applyBorder="0" applyAlignment="0" applyProtection="0"/>
    <xf numFmtId="0" fontId="22" fillId="19" borderId="0" applyNumberFormat="0" applyBorder="0" applyAlignment="0" applyProtection="0"/>
    <xf numFmtId="0" fontId="22" fillId="63" borderId="0" applyNumberFormat="0" applyBorder="0" applyAlignment="0" applyProtection="0"/>
    <xf numFmtId="0" fontId="23" fillId="64" borderId="0" applyNumberFormat="0" applyBorder="0" applyAlignment="0" applyProtection="0"/>
    <xf numFmtId="0" fontId="23" fillId="61" borderId="0" applyNumberFormat="0" applyBorder="0" applyAlignment="0" applyProtection="0"/>
    <xf numFmtId="0" fontId="23" fillId="62" borderId="0" applyNumberFormat="0" applyBorder="0" applyAlignment="0" applyProtection="0"/>
    <xf numFmtId="0" fontId="23" fillId="65" borderId="0" applyNumberFormat="0" applyBorder="0" applyAlignment="0" applyProtection="0"/>
    <xf numFmtId="0" fontId="23" fillId="66" borderId="0" applyNumberFormat="0" applyBorder="0" applyAlignment="0" applyProtection="0"/>
    <xf numFmtId="0" fontId="23" fillId="67" borderId="0" applyNumberFormat="0" applyBorder="0" applyAlignment="0" applyProtection="0"/>
    <xf numFmtId="0" fontId="23" fillId="68" borderId="0" applyNumberFormat="0" applyBorder="0" applyAlignment="0" applyProtection="0"/>
    <xf numFmtId="0" fontId="23" fillId="69" borderId="0" applyNumberFormat="0" applyBorder="0" applyAlignment="0" applyProtection="0"/>
    <xf numFmtId="0" fontId="23" fillId="70" borderId="0" applyNumberFormat="0" applyBorder="0" applyAlignment="0" applyProtection="0"/>
    <xf numFmtId="0" fontId="23" fillId="65" borderId="0" applyNumberFormat="0" applyBorder="0" applyAlignment="0" applyProtection="0"/>
    <xf numFmtId="0" fontId="23" fillId="66" borderId="0" applyNumberFormat="0" applyBorder="0" applyAlignment="0" applyProtection="0"/>
    <xf numFmtId="0" fontId="23" fillId="71" borderId="0" applyNumberFormat="0" applyBorder="0" applyAlignment="0" applyProtection="0"/>
    <xf numFmtId="0" fontId="176" fillId="56" borderId="0" applyNumberFormat="0" applyBorder="0" applyAlignment="0" applyProtection="0"/>
    <xf numFmtId="0" fontId="177" fillId="13" borderId="178" applyNumberFormat="0" applyAlignment="0" applyProtection="0"/>
    <xf numFmtId="0" fontId="178" fillId="72" borderId="179" applyNumberFormat="0" applyAlignment="0" applyProtection="0"/>
    <xf numFmtId="0" fontId="179" fillId="0" borderId="0" applyNumberFormat="0" applyFill="0" applyBorder="0" applyAlignment="0" applyProtection="0"/>
    <xf numFmtId="0" fontId="180" fillId="57" borderId="0" applyNumberFormat="0" applyBorder="0" applyAlignment="0" applyProtection="0"/>
    <xf numFmtId="0" fontId="181" fillId="0" borderId="180" applyNumberFormat="0" applyFill="0" applyAlignment="0" applyProtection="0"/>
    <xf numFmtId="0" fontId="182" fillId="0" borderId="181" applyNumberFormat="0" applyFill="0" applyAlignment="0" applyProtection="0"/>
    <xf numFmtId="0" fontId="183" fillId="0" borderId="182" applyNumberFormat="0" applyFill="0" applyAlignment="0" applyProtection="0"/>
    <xf numFmtId="0" fontId="183" fillId="0" borderId="0" applyNumberFormat="0" applyFill="0" applyBorder="0" applyAlignment="0" applyProtection="0"/>
    <xf numFmtId="0" fontId="184" fillId="60" borderId="178" applyNumberFormat="0" applyAlignment="0" applyProtection="0"/>
    <xf numFmtId="0" fontId="185" fillId="0" borderId="183" applyNumberFormat="0" applyFill="0" applyAlignment="0" applyProtection="0"/>
    <xf numFmtId="0" fontId="186" fillId="73" borderId="0" applyNumberFormat="0" applyBorder="0" applyAlignment="0" applyProtection="0"/>
    <xf numFmtId="0" fontId="27" fillId="0" borderId="0"/>
    <xf numFmtId="0" fontId="27" fillId="0" borderId="0"/>
    <xf numFmtId="0" fontId="27" fillId="74" borderId="184" applyNumberFormat="0" applyFont="0" applyAlignment="0" applyProtection="0"/>
    <xf numFmtId="0" fontId="187" fillId="13" borderId="185" applyNumberFormat="0" applyAlignment="0" applyProtection="0"/>
    <xf numFmtId="9" fontId="78" fillId="0" borderId="0" applyFont="0" applyFill="0" applyBorder="0" applyAlignment="0" applyProtection="0"/>
    <xf numFmtId="184" fontId="175" fillId="0" borderId="0"/>
    <xf numFmtId="0" fontId="188" fillId="0" borderId="0" applyNumberFormat="0" applyFill="0" applyBorder="0" applyAlignment="0" applyProtection="0"/>
    <xf numFmtId="0" fontId="25" fillId="0" borderId="186" applyNumberFormat="0" applyFill="0" applyAlignment="0" applyProtection="0"/>
    <xf numFmtId="0" fontId="189" fillId="0" borderId="0" applyNumberFormat="0" applyFill="0" applyBorder="0" applyAlignment="0" applyProtection="0"/>
    <xf numFmtId="0" fontId="1" fillId="0" borderId="0"/>
    <xf numFmtId="0" fontId="1" fillId="0" borderId="0"/>
    <xf numFmtId="0" fontId="1" fillId="0" borderId="0"/>
    <xf numFmtId="0" fontId="1" fillId="0" borderId="0"/>
    <xf numFmtId="0" fontId="22" fillId="0" borderId="0"/>
    <xf numFmtId="0" fontId="27" fillId="0" borderId="0"/>
    <xf numFmtId="0" fontId="1" fillId="0" borderId="0"/>
    <xf numFmtId="0" fontId="1" fillId="0" borderId="0"/>
    <xf numFmtId="0" fontId="1" fillId="0" borderId="0"/>
    <xf numFmtId="0" fontId="1" fillId="0" borderId="0"/>
    <xf numFmtId="0" fontId="9" fillId="0" borderId="0"/>
    <xf numFmtId="0" fontId="1" fillId="0" borderId="0"/>
    <xf numFmtId="185" fontId="27" fillId="0" borderId="0" applyFont="0" applyFill="0" applyBorder="0" applyAlignment="0" applyProtection="0"/>
    <xf numFmtId="0" fontId="27" fillId="0" borderId="0"/>
    <xf numFmtId="0" fontId="190" fillId="0" borderId="0" applyNumberFormat="0" applyFill="0" applyBorder="0" applyAlignment="0" applyProtection="0"/>
    <xf numFmtId="0" fontId="1" fillId="0" borderId="0"/>
    <xf numFmtId="0" fontId="1" fillId="0" borderId="0"/>
    <xf numFmtId="4" fontId="24" fillId="13" borderId="7">
      <alignment vertical="center"/>
      <protection locked="0"/>
    </xf>
    <xf numFmtId="4" fontId="24" fillId="13" borderId="7">
      <alignment vertical="center"/>
      <protection locked="0"/>
    </xf>
    <xf numFmtId="4" fontId="24" fillId="13" borderId="7">
      <alignment vertical="center"/>
      <protection locked="0"/>
    </xf>
    <xf numFmtId="4" fontId="24" fillId="13" borderId="7">
      <alignment vertical="center"/>
      <protection locked="0"/>
    </xf>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0" fontId="27" fillId="0" borderId="0"/>
    <xf numFmtId="0" fontId="9" fillId="0" borderId="0"/>
    <xf numFmtId="0" fontId="9"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27" fillId="0" borderId="0"/>
    <xf numFmtId="0" fontId="27" fillId="0" borderId="0"/>
    <xf numFmtId="0" fontId="1" fillId="0" borderId="0"/>
    <xf numFmtId="0" fontId="27" fillId="0" borderId="0"/>
    <xf numFmtId="0" fontId="1" fillId="0" borderId="0"/>
    <xf numFmtId="0" fontId="27" fillId="0" borderId="0"/>
    <xf numFmtId="43" fontId="27" fillId="0" borderId="0" applyFont="0" applyFill="0" applyBorder="0" applyAlignment="0" applyProtection="0"/>
    <xf numFmtId="0" fontId="1" fillId="0" borderId="0"/>
    <xf numFmtId="0" fontId="1" fillId="0" borderId="0"/>
    <xf numFmtId="0" fontId="1" fillId="0" borderId="0"/>
    <xf numFmtId="9" fontId="27"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27" fillId="0" borderId="0"/>
    <xf numFmtId="0" fontId="1" fillId="0" borderId="0"/>
    <xf numFmtId="0" fontId="1" fillId="0" borderId="0"/>
    <xf numFmtId="43" fontId="27"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7"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7" fillId="0" borderId="0" applyFont="0" applyFill="0" applyBorder="0" applyAlignment="0" applyProtection="0"/>
    <xf numFmtId="0" fontId="1" fillId="0" borderId="0"/>
    <xf numFmtId="0" fontId="1" fillId="0" borderId="0"/>
    <xf numFmtId="0"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7"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7"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7"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7" fillId="0" borderId="0" applyFont="0" applyFill="0" applyBorder="0" applyAlignment="0" applyProtection="0"/>
    <xf numFmtId="0" fontId="1" fillId="0" borderId="0"/>
    <xf numFmtId="0" fontId="1" fillId="0" borderId="0"/>
    <xf numFmtId="0" fontId="27" fillId="0" borderId="0"/>
    <xf numFmtId="9" fontId="9" fillId="0" borderId="0" applyFont="0" applyFill="0" applyBorder="0" applyAlignment="0" applyProtection="0"/>
    <xf numFmtId="0" fontId="17" fillId="0" borderId="0" applyNumberFormat="0" applyFill="0" applyBorder="0" applyAlignment="0" applyProtection="0">
      <alignment vertical="top"/>
      <protection locked="0"/>
    </xf>
    <xf numFmtId="0" fontId="1" fillId="0" borderId="0"/>
    <xf numFmtId="0" fontId="97" fillId="0" borderId="0"/>
    <xf numFmtId="0" fontId="1" fillId="0" borderId="0"/>
    <xf numFmtId="0" fontId="9" fillId="0" borderId="0"/>
    <xf numFmtId="0" fontId="1" fillId="0" borderId="0"/>
    <xf numFmtId="0" fontId="1" fillId="0" borderId="0"/>
    <xf numFmtId="9" fontId="115" fillId="0" borderId="0" applyFont="0" applyFill="0" applyBorder="0" applyAlignment="0" applyProtection="0"/>
    <xf numFmtId="9" fontId="11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23" fillId="68" borderId="0" applyNumberFormat="0" applyBorder="0" applyAlignment="0" applyProtection="0"/>
    <xf numFmtId="0" fontId="22" fillId="55" borderId="0" applyNumberFormat="0" applyBorder="0" applyAlignment="0" applyProtection="0"/>
    <xf numFmtId="0" fontId="22" fillId="56" borderId="0" applyNumberFormat="0" applyBorder="0" applyAlignment="0" applyProtection="0"/>
    <xf numFmtId="0" fontId="22" fillId="57" borderId="0" applyNumberFormat="0" applyBorder="0" applyAlignment="0" applyProtection="0"/>
    <xf numFmtId="0" fontId="22" fillId="58" borderId="0" applyNumberFormat="0" applyBorder="0" applyAlignment="0" applyProtection="0"/>
    <xf numFmtId="0" fontId="22" fillId="59" borderId="0" applyNumberFormat="0" applyBorder="0" applyAlignment="0" applyProtection="0"/>
    <xf numFmtId="0" fontId="22" fillId="60" borderId="0" applyNumberFormat="0" applyBorder="0" applyAlignment="0" applyProtection="0"/>
    <xf numFmtId="0" fontId="22" fillId="19" borderId="0" applyNumberFormat="0" applyBorder="0" applyAlignment="0" applyProtection="0"/>
    <xf numFmtId="0" fontId="22" fillId="61" borderId="0" applyNumberFormat="0" applyBorder="0" applyAlignment="0" applyProtection="0"/>
    <xf numFmtId="0" fontId="22" fillId="62" borderId="0" applyNumberFormat="0" applyBorder="0" applyAlignment="0" applyProtection="0"/>
    <xf numFmtId="0" fontId="22" fillId="58" borderId="0" applyNumberFormat="0" applyBorder="0" applyAlignment="0" applyProtection="0"/>
    <xf numFmtId="0" fontId="22" fillId="19" borderId="0" applyNumberFormat="0" applyBorder="0" applyAlignment="0" applyProtection="0"/>
    <xf numFmtId="0" fontId="22" fillId="63" borderId="0" applyNumberFormat="0" applyBorder="0" applyAlignment="0" applyProtection="0"/>
    <xf numFmtId="0" fontId="23" fillId="64" borderId="0" applyNumberFormat="0" applyBorder="0" applyAlignment="0" applyProtection="0"/>
    <xf numFmtId="0" fontId="23" fillId="61" borderId="0" applyNumberFormat="0" applyBorder="0" applyAlignment="0" applyProtection="0"/>
    <xf numFmtId="0" fontId="23" fillId="62" borderId="0" applyNumberFormat="0" applyBorder="0" applyAlignment="0" applyProtection="0"/>
    <xf numFmtId="0" fontId="23" fillId="65" borderId="0" applyNumberFormat="0" applyBorder="0" applyAlignment="0" applyProtection="0"/>
    <xf numFmtId="0" fontId="23" fillId="66" borderId="0" applyNumberFormat="0" applyBorder="0" applyAlignment="0" applyProtection="0"/>
    <xf numFmtId="0" fontId="23" fillId="67" borderId="0" applyNumberFormat="0" applyBorder="0" applyAlignment="0" applyProtection="0"/>
    <xf numFmtId="0" fontId="23" fillId="68" borderId="0" applyNumberFormat="0" applyBorder="0" applyAlignment="0" applyProtection="0"/>
    <xf numFmtId="0" fontId="23" fillId="69" borderId="0" applyNumberFormat="0" applyBorder="0" applyAlignment="0" applyProtection="0"/>
    <xf numFmtId="0" fontId="23" fillId="70" borderId="0" applyNumberFormat="0" applyBorder="0" applyAlignment="0" applyProtection="0"/>
    <xf numFmtId="0" fontId="23" fillId="65" borderId="0" applyNumberFormat="0" applyBorder="0" applyAlignment="0" applyProtection="0"/>
    <xf numFmtId="0" fontId="23" fillId="66" borderId="0" applyNumberFormat="0" applyBorder="0" applyAlignment="0" applyProtection="0"/>
    <xf numFmtId="0" fontId="23" fillId="71" borderId="0" applyNumberFormat="0" applyBorder="0" applyAlignment="0" applyProtection="0"/>
    <xf numFmtId="0" fontId="23" fillId="71" borderId="0" applyNumberFormat="0" applyBorder="0" applyAlignment="0" applyProtection="0"/>
    <xf numFmtId="0" fontId="23" fillId="66" borderId="0" applyNumberFormat="0" applyBorder="0" applyAlignment="0" applyProtection="0"/>
    <xf numFmtId="0" fontId="176" fillId="56" borderId="0" applyNumberFormat="0" applyBorder="0" applyAlignment="0" applyProtection="0"/>
    <xf numFmtId="0" fontId="177" fillId="13" borderId="178" applyNumberFormat="0" applyAlignment="0" applyProtection="0"/>
    <xf numFmtId="0" fontId="178" fillId="72" borderId="179" applyNumberFormat="0" applyAlignment="0" applyProtection="0"/>
    <xf numFmtId="0" fontId="23" fillId="65" borderId="0" applyNumberFormat="0" applyBorder="0" applyAlignment="0" applyProtection="0"/>
    <xf numFmtId="0" fontId="23" fillId="70" borderId="0" applyNumberFormat="0" applyBorder="0" applyAlignment="0" applyProtection="0"/>
    <xf numFmtId="0" fontId="179" fillId="0" borderId="0" applyNumberFormat="0" applyFill="0" applyBorder="0" applyAlignment="0" applyProtection="0"/>
    <xf numFmtId="0" fontId="180" fillId="57" borderId="0" applyNumberFormat="0" applyBorder="0" applyAlignment="0" applyProtection="0"/>
    <xf numFmtId="0" fontId="23" fillId="69" borderId="0" applyNumberFormat="0" applyBorder="0" applyAlignment="0" applyProtection="0"/>
    <xf numFmtId="0" fontId="181" fillId="0" borderId="180" applyNumberFormat="0" applyFill="0" applyAlignment="0" applyProtection="0"/>
    <xf numFmtId="0" fontId="182" fillId="0" borderId="181" applyNumberFormat="0" applyFill="0" applyAlignment="0" applyProtection="0"/>
    <xf numFmtId="0" fontId="183" fillId="0" borderId="182" applyNumberFormat="0" applyFill="0" applyAlignment="0" applyProtection="0"/>
    <xf numFmtId="0" fontId="183" fillId="0" borderId="0" applyNumberFormat="0" applyFill="0" applyBorder="0" applyAlignment="0" applyProtection="0"/>
    <xf numFmtId="0" fontId="184" fillId="60" borderId="178" applyNumberFormat="0" applyAlignment="0" applyProtection="0"/>
    <xf numFmtId="0" fontId="185" fillId="0" borderId="183" applyNumberFormat="0" applyFill="0" applyAlignment="0" applyProtection="0"/>
    <xf numFmtId="0" fontId="186" fillId="73" borderId="0" applyNumberFormat="0" applyBorder="0" applyAlignment="0" applyProtection="0"/>
    <xf numFmtId="0" fontId="27" fillId="0" borderId="0"/>
    <xf numFmtId="0" fontId="27" fillId="74" borderId="184" applyNumberFormat="0" applyFont="0" applyAlignment="0" applyProtection="0"/>
    <xf numFmtId="0" fontId="187" fillId="13" borderId="185" applyNumberFormat="0" applyAlignment="0" applyProtection="0"/>
    <xf numFmtId="9" fontId="78" fillId="0" borderId="0" applyFont="0" applyFill="0" applyBorder="0" applyAlignment="0" applyProtection="0"/>
    <xf numFmtId="0" fontId="188" fillId="0" borderId="0" applyNumberFormat="0" applyFill="0" applyBorder="0" applyAlignment="0" applyProtection="0"/>
    <xf numFmtId="0" fontId="25" fillId="0" borderId="186" applyNumberFormat="0" applyFill="0" applyAlignment="0" applyProtection="0"/>
    <xf numFmtId="0" fontId="189" fillId="0" borderId="0" applyNumberFormat="0" applyFill="0" applyBorder="0" applyAlignment="0" applyProtection="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90"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 fillId="0" borderId="0"/>
    <xf numFmtId="0" fontId="27" fillId="0" borderId="0"/>
    <xf numFmtId="0" fontId="1" fillId="0" borderId="0"/>
    <xf numFmtId="9" fontId="9" fillId="0" borderId="0" applyFont="0" applyFill="0" applyBorder="0" applyAlignment="0" applyProtection="0"/>
    <xf numFmtId="0" fontId="17" fillId="0" borderId="0" applyNumberFormat="0" applyFill="0" applyBorder="0" applyAlignment="0" applyProtection="0">
      <alignment vertical="top"/>
      <protection locked="0"/>
    </xf>
    <xf numFmtId="0" fontId="1" fillId="0" borderId="0"/>
    <xf numFmtId="0" fontId="1" fillId="0" borderId="0"/>
    <xf numFmtId="164" fontId="27" fillId="0" borderId="0" applyFont="0" applyFill="0" applyBorder="0" applyAlignment="0" applyProtection="0"/>
    <xf numFmtId="0" fontId="1" fillId="0" borderId="0"/>
    <xf numFmtId="0" fontId="1" fillId="0" borderId="0"/>
    <xf numFmtId="43" fontId="27" fillId="0" borderId="0" applyFont="0" applyFill="0" applyBorder="0" applyAlignment="0" applyProtection="0"/>
  </cellStyleXfs>
  <cellXfs count="5653">
    <xf numFmtId="0" fontId="0" fillId="0" borderId="0" xfId="0"/>
    <xf numFmtId="0" fontId="12" fillId="0" borderId="0" xfId="0" applyFont="1" applyAlignment="1">
      <alignment vertical="center"/>
    </xf>
    <xf numFmtId="0" fontId="21" fillId="0" borderId="0" xfId="0" applyFont="1"/>
    <xf numFmtId="0" fontId="40" fillId="0" borderId="0" xfId="31" applyFont="1" applyAlignment="1">
      <alignment horizontal="center" vertical="center"/>
    </xf>
    <xf numFmtId="0" fontId="45" fillId="0" borderId="0" xfId="0" applyFont="1" applyAlignment="1">
      <alignment vertical="center"/>
    </xf>
    <xf numFmtId="0" fontId="57" fillId="0" borderId="0" xfId="40" quotePrefix="1" applyFont="1" applyAlignment="1">
      <alignment horizontal="center" vertical="center" wrapText="1"/>
    </xf>
    <xf numFmtId="49" fontId="12" fillId="0" borderId="52" xfId="0" applyNumberFormat="1" applyFont="1" applyBorder="1" applyAlignment="1">
      <alignment horizontal="center" vertical="center" wrapText="1"/>
    </xf>
    <xf numFmtId="0" fontId="52" fillId="0" borderId="0" xfId="0" applyFont="1" applyAlignment="1">
      <alignment vertical="center"/>
    </xf>
    <xf numFmtId="0" fontId="52" fillId="20" borderId="0" xfId="0" applyFont="1" applyFill="1" applyAlignment="1">
      <alignment vertical="center"/>
    </xf>
    <xf numFmtId="0" fontId="45" fillId="20" borderId="0" xfId="40" applyFont="1" applyFill="1" applyAlignment="1">
      <alignment vertical="center"/>
    </xf>
    <xf numFmtId="0" fontId="45" fillId="0" borderId="0" xfId="40" applyFont="1" applyAlignment="1">
      <alignment vertical="center"/>
    </xf>
    <xf numFmtId="0" fontId="27" fillId="0" borderId="0" xfId="0" applyFont="1"/>
    <xf numFmtId="0" fontId="57" fillId="0" borderId="0" xfId="40" applyFont="1" applyAlignment="1">
      <alignment vertical="center"/>
    </xf>
    <xf numFmtId="0" fontId="60" fillId="0" borderId="0" xfId="40" applyFont="1" applyAlignment="1">
      <alignment vertical="center"/>
    </xf>
    <xf numFmtId="0" fontId="61" fillId="0" borderId="0" xfId="40" applyFont="1" applyAlignment="1">
      <alignment vertical="center"/>
    </xf>
    <xf numFmtId="0" fontId="63" fillId="0" borderId="0" xfId="0" applyFont="1" applyAlignment="1">
      <alignment vertical="center"/>
    </xf>
    <xf numFmtId="0" fontId="64" fillId="0" borderId="0" xfId="0" applyFont="1" applyAlignment="1">
      <alignment vertical="center"/>
    </xf>
    <xf numFmtId="0" fontId="27" fillId="27" borderId="0" xfId="32" applyFill="1"/>
    <xf numFmtId="49" fontId="69" fillId="20" borderId="17" xfId="32" applyNumberFormat="1" applyFont="1" applyFill="1" applyBorder="1" applyAlignment="1">
      <alignment horizontal="left" vertical="center"/>
    </xf>
    <xf numFmtId="0" fontId="52" fillId="26" borderId="0" xfId="0" applyFont="1" applyFill="1" applyAlignment="1">
      <alignment vertical="center"/>
    </xf>
    <xf numFmtId="0" fontId="45" fillId="0" borderId="0" xfId="32" applyFont="1" applyAlignment="1">
      <alignment vertical="center"/>
    </xf>
    <xf numFmtId="0" fontId="45" fillId="20" borderId="0" xfId="32" applyFont="1" applyFill="1" applyAlignment="1">
      <alignment vertical="center"/>
    </xf>
    <xf numFmtId="0" fontId="12" fillId="27" borderId="0" xfId="32" applyFont="1" applyFill="1"/>
    <xf numFmtId="0" fontId="35" fillId="27" borderId="0" xfId="40" applyFont="1" applyFill="1" applyAlignment="1">
      <alignment vertical="center"/>
    </xf>
    <xf numFmtId="0" fontId="12" fillId="27" borderId="0" xfId="0" applyFont="1" applyFill="1"/>
    <xf numFmtId="49" fontId="34" fillId="27" borderId="5" xfId="0" applyNumberFormat="1" applyFont="1" applyFill="1" applyBorder="1" applyAlignment="1">
      <alignment horizontal="left" vertical="center"/>
    </xf>
    <xf numFmtId="49" fontId="34" fillId="27" borderId="17" xfId="0" applyNumberFormat="1" applyFont="1" applyFill="1" applyBorder="1" applyAlignment="1">
      <alignment horizontal="left" vertical="center"/>
    </xf>
    <xf numFmtId="49" fontId="12" fillId="27" borderId="0" xfId="0" applyNumberFormat="1" applyFont="1" applyFill="1" applyAlignment="1">
      <alignment horizontal="right"/>
    </xf>
    <xf numFmtId="0" fontId="12" fillId="27" borderId="0" xfId="49" applyFont="1" applyFill="1"/>
    <xf numFmtId="0" fontId="21" fillId="27" borderId="0" xfId="49" applyFont="1" applyFill="1"/>
    <xf numFmtId="0" fontId="68" fillId="27" borderId="0" xfId="49" applyFont="1" applyFill="1"/>
    <xf numFmtId="49" fontId="12" fillId="27" borderId="0" xfId="49" applyNumberFormat="1" applyFont="1" applyFill="1" applyAlignment="1">
      <alignment horizontal="left" vertical="center" wrapText="1"/>
    </xf>
    <xf numFmtId="0" fontId="12" fillId="27" borderId="0" xfId="0" applyFont="1" applyFill="1" applyAlignment="1">
      <alignment vertical="center"/>
    </xf>
    <xf numFmtId="0" fontId="21" fillId="27" borderId="0" xfId="0" applyFont="1" applyFill="1" applyAlignment="1">
      <alignment horizontal="right"/>
    </xf>
    <xf numFmtId="0" fontId="12" fillId="27" borderId="0" xfId="31" applyFont="1" applyFill="1"/>
    <xf numFmtId="0" fontId="36" fillId="27" borderId="0" xfId="0" applyFont="1" applyFill="1" applyAlignment="1">
      <alignment horizontal="center"/>
    </xf>
    <xf numFmtId="0" fontId="21" fillId="27" borderId="0" xfId="0" applyFont="1" applyFill="1"/>
    <xf numFmtId="49" fontId="21" fillId="27" borderId="0" xfId="0" applyNumberFormat="1" applyFont="1" applyFill="1" applyAlignment="1">
      <alignment horizontal="right"/>
    </xf>
    <xf numFmtId="0" fontId="27" fillId="27" borderId="0" xfId="49" applyFont="1" applyFill="1"/>
    <xf numFmtId="0" fontId="54" fillId="27" borderId="0" xfId="49" applyFont="1" applyFill="1"/>
    <xf numFmtId="0" fontId="68" fillId="27" borderId="0" xfId="49" applyFont="1" applyFill="1" applyAlignment="1">
      <alignment vertical="center"/>
    </xf>
    <xf numFmtId="168" fontId="21" fillId="27" borderId="0" xfId="49" applyNumberFormat="1" applyFont="1" applyFill="1" applyAlignment="1">
      <alignment horizontal="right" vertical="center"/>
    </xf>
    <xf numFmtId="0" fontId="78" fillId="27" borderId="0" xfId="49" applyFill="1"/>
    <xf numFmtId="0" fontId="65" fillId="27" borderId="0" xfId="0" applyFont="1" applyFill="1" applyAlignment="1">
      <alignment vertical="center"/>
    </xf>
    <xf numFmtId="0" fontId="52" fillId="27" borderId="0" xfId="49" applyFont="1" applyFill="1" applyAlignment="1">
      <alignment vertical="center"/>
    </xf>
    <xf numFmtId="0" fontId="52" fillId="27" borderId="0" xfId="49" applyFont="1" applyFill="1" applyAlignment="1">
      <alignment horizontal="center" vertical="center"/>
    </xf>
    <xf numFmtId="168" fontId="57" fillId="20" borderId="0" xfId="52" applyNumberFormat="1" applyFont="1" applyFill="1" applyAlignment="1" applyProtection="1">
      <alignment vertical="center"/>
      <protection locked="0"/>
    </xf>
    <xf numFmtId="168" fontId="57" fillId="20" borderId="0" xfId="52" applyNumberFormat="1" applyFont="1" applyFill="1" applyAlignment="1" applyProtection="1">
      <alignment horizontal="right" vertical="center"/>
      <protection locked="0"/>
    </xf>
    <xf numFmtId="168" fontId="57" fillId="20" borderId="0" xfId="52" applyNumberFormat="1" applyFont="1" applyFill="1" applyAlignment="1">
      <alignment vertical="center"/>
    </xf>
    <xf numFmtId="49" fontId="40" fillId="24" borderId="52" xfId="32" applyNumberFormat="1" applyFont="1" applyFill="1" applyBorder="1" applyAlignment="1">
      <alignment horizontal="center" vertical="center" wrapText="1"/>
    </xf>
    <xf numFmtId="0" fontId="40" fillId="24" borderId="53" xfId="32" applyFont="1" applyFill="1" applyBorder="1" applyAlignment="1">
      <alignment horizontal="left" vertical="center"/>
    </xf>
    <xf numFmtId="49" fontId="41" fillId="0" borderId="52" xfId="32" applyNumberFormat="1" applyFont="1" applyBorder="1" applyAlignment="1">
      <alignment horizontal="center" vertical="center" wrapText="1"/>
    </xf>
    <xf numFmtId="0" fontId="41" fillId="20" borderId="53" xfId="32" applyFont="1" applyFill="1" applyBorder="1" applyAlignment="1">
      <alignment vertical="center"/>
    </xf>
    <xf numFmtId="0" fontId="40" fillId="24" borderId="53" xfId="32" applyFont="1" applyFill="1" applyBorder="1" applyAlignment="1">
      <alignment horizontal="left" vertical="center" wrapText="1"/>
    </xf>
    <xf numFmtId="49" fontId="41" fillId="0" borderId="54" xfId="32" applyNumberFormat="1" applyFont="1" applyBorder="1" applyAlignment="1">
      <alignment horizontal="center" vertical="center" wrapText="1"/>
    </xf>
    <xf numFmtId="0" fontId="41" fillId="20" borderId="53" xfId="32" applyFont="1" applyFill="1" applyBorder="1" applyAlignment="1">
      <alignment horizontal="left" vertical="center" wrapText="1"/>
    </xf>
    <xf numFmtId="168" fontId="41" fillId="20" borderId="0" xfId="32" applyNumberFormat="1" applyFont="1" applyFill="1" applyAlignment="1" applyProtection="1">
      <alignment horizontal="right" vertical="center"/>
      <protection locked="0"/>
    </xf>
    <xf numFmtId="168" fontId="41" fillId="20" borderId="0" xfId="32" applyNumberFormat="1" applyFont="1" applyFill="1" applyAlignment="1">
      <alignment vertical="center"/>
    </xf>
    <xf numFmtId="168" fontId="41" fillId="20" borderId="0" xfId="32" applyNumberFormat="1" applyFont="1" applyFill="1" applyAlignment="1">
      <alignment horizontal="right" vertical="center"/>
    </xf>
    <xf numFmtId="0" fontId="53" fillId="26" borderId="0" xfId="32" applyFont="1" applyFill="1" applyAlignment="1">
      <alignment horizontal="right" vertical="center"/>
    </xf>
    <xf numFmtId="49" fontId="40" fillId="0" borderId="0" xfId="32" applyNumberFormat="1" applyFont="1" applyAlignment="1">
      <alignment horizontal="center" vertical="center" wrapText="1"/>
    </xf>
    <xf numFmtId="0" fontId="40" fillId="0" borderId="0" xfId="32" applyFont="1" applyAlignment="1">
      <alignment horizontal="left" vertical="center"/>
    </xf>
    <xf numFmtId="3" fontId="41" fillId="3" borderId="24" xfId="32" applyNumberFormat="1" applyFont="1" applyFill="1" applyBorder="1" applyAlignment="1" applyProtection="1">
      <alignment horizontal="center" vertical="center"/>
      <protection locked="0"/>
    </xf>
    <xf numFmtId="3" fontId="41" fillId="3" borderId="17" xfId="32" applyNumberFormat="1" applyFont="1" applyFill="1" applyBorder="1" applyAlignment="1" applyProtection="1">
      <alignment horizontal="center" vertical="center"/>
      <protection locked="0"/>
    </xf>
    <xf numFmtId="3" fontId="41" fillId="3" borderId="23" xfId="32" applyNumberFormat="1" applyFont="1" applyFill="1" applyBorder="1" applyAlignment="1" applyProtection="1">
      <alignment horizontal="center" vertical="center"/>
      <protection locked="0"/>
    </xf>
    <xf numFmtId="168" fontId="41" fillId="20" borderId="0" xfId="32" applyNumberFormat="1" applyFont="1" applyFill="1" applyAlignment="1">
      <alignment horizontal="center" vertical="center"/>
    </xf>
    <xf numFmtId="0" fontId="52" fillId="27" borderId="0" xfId="0" applyFont="1" applyFill="1" applyAlignment="1">
      <alignment horizontal="left" vertical="center" wrapText="1"/>
    </xf>
    <xf numFmtId="0" fontId="99" fillId="27" borderId="0" xfId="49" applyFont="1" applyFill="1"/>
    <xf numFmtId="0" fontId="12" fillId="27" borderId="0" xfId="49" applyFont="1" applyFill="1" applyAlignment="1">
      <alignment horizontal="center"/>
    </xf>
    <xf numFmtId="0" fontId="12" fillId="3" borderId="7" xfId="0" applyFont="1" applyFill="1" applyBorder="1" applyAlignment="1" applyProtection="1">
      <alignment horizontal="center" vertical="center" wrapText="1"/>
      <protection locked="0"/>
    </xf>
    <xf numFmtId="0" fontId="12" fillId="3" borderId="73" xfId="0" applyFont="1" applyFill="1" applyBorder="1" applyAlignment="1" applyProtection="1">
      <alignment horizontal="center" vertical="center" wrapText="1"/>
      <protection locked="0"/>
    </xf>
    <xf numFmtId="0" fontId="12" fillId="3" borderId="76" xfId="0" applyFont="1" applyFill="1" applyBorder="1" applyAlignment="1" applyProtection="1">
      <alignment horizontal="center" vertical="center" wrapText="1"/>
      <protection locked="0"/>
    </xf>
    <xf numFmtId="0" fontId="12" fillId="3" borderId="53" xfId="0" applyFont="1" applyFill="1" applyBorder="1" applyAlignment="1" applyProtection="1">
      <alignment horizontal="center" vertical="center" wrapText="1"/>
      <protection locked="0"/>
    </xf>
    <xf numFmtId="0" fontId="12" fillId="3" borderId="77" xfId="0" applyFont="1" applyFill="1" applyBorder="1" applyAlignment="1" applyProtection="1">
      <alignment horizontal="center" vertical="center" wrapText="1"/>
      <protection locked="0"/>
    </xf>
    <xf numFmtId="0" fontId="12" fillId="3" borderId="57" xfId="0" applyFont="1" applyFill="1" applyBorder="1" applyAlignment="1" applyProtection="1">
      <alignment horizontal="center" vertical="center" wrapText="1"/>
      <protection locked="0"/>
    </xf>
    <xf numFmtId="0" fontId="12" fillId="3" borderId="72" xfId="0" applyFont="1" applyFill="1" applyBorder="1" applyAlignment="1" applyProtection="1">
      <alignment horizontal="center" vertical="center" wrapText="1"/>
      <protection locked="0"/>
    </xf>
    <xf numFmtId="0" fontId="12" fillId="3" borderId="32" xfId="0" applyFont="1" applyFill="1" applyBorder="1" applyAlignment="1" applyProtection="1">
      <alignment horizontal="center" vertical="center" wrapText="1"/>
      <protection locked="0"/>
    </xf>
    <xf numFmtId="0" fontId="12" fillId="3" borderId="79" xfId="0" applyFont="1" applyFill="1" applyBorder="1" applyAlignment="1" applyProtection="1">
      <alignment horizontal="center" vertical="center" wrapText="1"/>
      <protection locked="0"/>
    </xf>
    <xf numFmtId="0" fontId="12" fillId="3" borderId="51" xfId="0" applyFont="1" applyFill="1" applyBorder="1" applyAlignment="1" applyProtection="1">
      <alignment horizontal="center" vertical="center" wrapText="1"/>
      <protection locked="0"/>
    </xf>
    <xf numFmtId="0" fontId="12" fillId="3" borderId="17" xfId="0" applyFont="1" applyFill="1" applyBorder="1" applyAlignment="1" applyProtection="1">
      <alignment horizontal="center" vertical="center" wrapText="1"/>
      <protection locked="0"/>
    </xf>
    <xf numFmtId="0" fontId="12" fillId="3" borderId="21" xfId="0" applyFont="1" applyFill="1" applyBorder="1" applyAlignment="1" applyProtection="1">
      <alignment horizontal="center" vertical="center" wrapText="1"/>
      <protection locked="0"/>
    </xf>
    <xf numFmtId="49" fontId="57" fillId="27" borderId="17" xfId="52" applyNumberFormat="1" applyFont="1" applyFill="1" applyBorder="1" applyAlignment="1">
      <alignment horizontal="center" vertical="center" wrapText="1"/>
    </xf>
    <xf numFmtId="49" fontId="84" fillId="27" borderId="17" xfId="52" applyNumberFormat="1" applyFont="1" applyFill="1" applyBorder="1" applyAlignment="1">
      <alignment horizontal="center" vertical="center" wrapText="1"/>
    </xf>
    <xf numFmtId="49" fontId="65" fillId="27" borderId="21" xfId="52" applyNumberFormat="1" applyFont="1" applyFill="1" applyBorder="1" applyAlignment="1">
      <alignment horizontal="center" vertical="center" wrapText="1"/>
    </xf>
    <xf numFmtId="49" fontId="57" fillId="26" borderId="17" xfId="52" applyNumberFormat="1" applyFont="1" applyFill="1" applyBorder="1" applyAlignment="1">
      <alignment horizontal="center" vertical="center" wrapText="1"/>
    </xf>
    <xf numFmtId="49" fontId="57" fillId="26" borderId="21" xfId="52" applyNumberFormat="1" applyFont="1" applyFill="1" applyBorder="1" applyAlignment="1">
      <alignment horizontal="center" vertical="center" wrapText="1"/>
    </xf>
    <xf numFmtId="49" fontId="65" fillId="23" borderId="2" xfId="52" applyNumberFormat="1" applyFont="1" applyFill="1" applyBorder="1" applyAlignment="1">
      <alignment horizontal="center" vertical="center" wrapText="1"/>
    </xf>
    <xf numFmtId="0" fontId="57" fillId="27" borderId="51" xfId="40" quotePrefix="1" applyFont="1" applyFill="1" applyBorder="1" applyAlignment="1">
      <alignment horizontal="center" vertical="center" wrapText="1"/>
    </xf>
    <xf numFmtId="49" fontId="57" fillId="27" borderId="17" xfId="40" applyNumberFormat="1" applyFont="1" applyFill="1" applyBorder="1" applyAlignment="1">
      <alignment horizontal="center" vertical="center" wrapText="1"/>
    </xf>
    <xf numFmtId="0" fontId="65" fillId="23" borderId="2" xfId="40" applyFont="1" applyFill="1" applyBorder="1" applyAlignment="1">
      <alignment horizontal="center" vertical="center" wrapText="1"/>
    </xf>
    <xf numFmtId="49" fontId="57" fillId="27" borderId="51" xfId="40" quotePrefix="1" applyNumberFormat="1" applyFont="1" applyFill="1" applyBorder="1" applyAlignment="1">
      <alignment horizontal="center" vertical="center" wrapText="1"/>
    </xf>
    <xf numFmtId="49" fontId="57" fillId="27" borderId="21" xfId="40" applyNumberFormat="1" applyFont="1" applyFill="1" applyBorder="1" applyAlignment="1">
      <alignment horizontal="center" vertical="center" wrapText="1"/>
    </xf>
    <xf numFmtId="0" fontId="84" fillId="20" borderId="17" xfId="52" applyFont="1" applyFill="1" applyBorder="1" applyAlignment="1">
      <alignment horizontal="left" vertical="center"/>
    </xf>
    <xf numFmtId="0" fontId="65" fillId="20" borderId="21" xfId="52" applyFont="1" applyFill="1" applyBorder="1" applyAlignment="1">
      <alignment horizontal="left" vertical="center" wrapText="1"/>
    </xf>
    <xf numFmtId="0" fontId="57" fillId="26" borderId="17" xfId="52" applyFont="1" applyFill="1" applyBorder="1" applyAlignment="1">
      <alignment horizontal="left" vertical="center"/>
    </xf>
    <xf numFmtId="0" fontId="57" fillId="26" borderId="21" xfId="52" applyFont="1" applyFill="1" applyBorder="1" applyAlignment="1">
      <alignment horizontal="left" vertical="center"/>
    </xf>
    <xf numFmtId="0" fontId="57" fillId="26" borderId="17" xfId="52" applyFont="1" applyFill="1" applyBorder="1" applyAlignment="1">
      <alignment horizontal="left" vertical="center" wrapText="1"/>
    </xf>
    <xf numFmtId="0" fontId="57" fillId="20" borderId="21" xfId="52" applyFont="1" applyFill="1" applyBorder="1" applyAlignment="1">
      <alignment horizontal="left" vertical="center"/>
    </xf>
    <xf numFmtId="0" fontId="41" fillId="27" borderId="7" xfId="0" applyFont="1" applyFill="1" applyBorder="1" applyAlignment="1">
      <alignment horizontal="left" vertical="center" wrapText="1"/>
    </xf>
    <xf numFmtId="0" fontId="12" fillId="3" borderId="14" xfId="0" applyFont="1" applyFill="1" applyBorder="1" applyAlignment="1" applyProtection="1">
      <alignment horizontal="center" vertical="center" wrapText="1"/>
      <protection locked="0"/>
    </xf>
    <xf numFmtId="0" fontId="12" fillId="3" borderId="15" xfId="0" applyFont="1" applyFill="1" applyBorder="1" applyAlignment="1" applyProtection="1">
      <alignment horizontal="center" vertical="center" wrapText="1"/>
      <protection locked="0"/>
    </xf>
    <xf numFmtId="0" fontId="41" fillId="0" borderId="7" xfId="0" applyFont="1" applyBorder="1" applyAlignment="1">
      <alignment horizontal="left" vertical="center" wrapText="1"/>
    </xf>
    <xf numFmtId="3" fontId="12" fillId="3" borderId="75" xfId="32" applyNumberFormat="1" applyFont="1" applyFill="1" applyBorder="1" applyAlignment="1" applyProtection="1">
      <alignment horizontal="center" vertical="center"/>
      <protection locked="0"/>
    </xf>
    <xf numFmtId="0" fontId="47" fillId="0" borderId="52" xfId="40" quotePrefix="1" applyFont="1" applyBorder="1" applyAlignment="1">
      <alignment horizontal="center" vertical="center" wrapText="1"/>
    </xf>
    <xf numFmtId="0" fontId="45" fillId="0" borderId="52" xfId="40" quotePrefix="1" applyFont="1" applyBorder="1" applyAlignment="1">
      <alignment horizontal="center" vertical="center" wrapText="1"/>
    </xf>
    <xf numFmtId="0" fontId="45" fillId="0" borderId="56" xfId="40" quotePrefix="1" applyFont="1" applyBorder="1" applyAlignment="1">
      <alignment horizontal="center" vertical="center" wrapText="1"/>
    </xf>
    <xf numFmtId="49" fontId="12" fillId="0" borderId="75" xfId="0" applyNumberFormat="1" applyFont="1" applyBorder="1" applyAlignment="1">
      <alignment horizontal="center" vertical="center" wrapText="1"/>
    </xf>
    <xf numFmtId="49" fontId="12" fillId="0" borderId="56" xfId="0" applyNumberFormat="1" applyFont="1" applyBorder="1" applyAlignment="1">
      <alignment horizontal="center" vertical="center" wrapText="1"/>
    </xf>
    <xf numFmtId="49" fontId="41" fillId="27" borderId="49" xfId="49" applyNumberFormat="1" applyFont="1" applyFill="1" applyBorder="1" applyAlignment="1">
      <alignment horizontal="left" vertical="center" wrapText="1"/>
    </xf>
    <xf numFmtId="49" fontId="40" fillId="24" borderId="38" xfId="49" applyNumberFormat="1" applyFont="1" applyFill="1" applyBorder="1" applyAlignment="1">
      <alignment horizontal="left" vertical="center" wrapText="1"/>
    </xf>
    <xf numFmtId="0" fontId="40" fillId="24" borderId="38" xfId="49" applyFont="1" applyFill="1" applyBorder="1" applyAlignment="1">
      <alignment horizontal="left" vertical="center" wrapText="1"/>
    </xf>
    <xf numFmtId="0" fontId="41" fillId="20" borderId="27" xfId="49" applyFont="1" applyFill="1" applyBorder="1" applyAlignment="1">
      <alignment horizontal="left" vertical="center" wrapText="1"/>
    </xf>
    <xf numFmtId="0" fontId="41" fillId="27" borderId="54" xfId="49" applyFont="1" applyFill="1" applyBorder="1" applyAlignment="1">
      <alignment horizontal="left" vertical="center" wrapText="1"/>
    </xf>
    <xf numFmtId="0" fontId="41" fillId="20" borderId="52" xfId="49" applyFont="1" applyFill="1" applyBorder="1" applyAlignment="1">
      <alignment horizontal="left" vertical="center" wrapText="1"/>
    </xf>
    <xf numFmtId="0" fontId="47" fillId="0" borderId="7" xfId="0" applyFont="1" applyBorder="1" applyAlignment="1">
      <alignment horizontal="left" vertical="center" wrapText="1"/>
    </xf>
    <xf numFmtId="0" fontId="47" fillId="0" borderId="7" xfId="0" applyFont="1" applyBorder="1" applyAlignment="1">
      <alignment horizontal="center" vertical="center" wrapText="1"/>
    </xf>
    <xf numFmtId="10" fontId="47" fillId="0" borderId="7" xfId="41" applyNumberFormat="1" applyFont="1" applyBorder="1" applyAlignment="1" applyProtection="1">
      <alignment horizontal="center" vertical="center"/>
    </xf>
    <xf numFmtId="10" fontId="47" fillId="0" borderId="53" xfId="41" applyNumberFormat="1" applyFont="1" applyBorder="1" applyAlignment="1" applyProtection="1">
      <alignment horizontal="center" vertical="center"/>
    </xf>
    <xf numFmtId="0" fontId="47" fillId="21" borderId="7" xfId="0" applyFont="1" applyFill="1" applyBorder="1" applyAlignment="1">
      <alignment horizontal="left" vertical="center" wrapText="1"/>
    </xf>
    <xf numFmtId="0" fontId="47" fillId="21" borderId="7" xfId="0" applyFont="1" applyFill="1" applyBorder="1" applyAlignment="1">
      <alignment horizontal="center" vertical="center" wrapText="1"/>
    </xf>
    <xf numFmtId="3" fontId="45" fillId="0" borderId="7" xfId="41" applyNumberFormat="1" applyFont="1" applyFill="1" applyBorder="1" applyAlignment="1" applyProtection="1">
      <alignment horizontal="center" vertical="center"/>
    </xf>
    <xf numFmtId="3" fontId="45" fillId="0" borderId="53" xfId="41" applyNumberFormat="1" applyFont="1" applyFill="1" applyBorder="1" applyAlignment="1" applyProtection="1">
      <alignment horizontal="center" vertical="center"/>
    </xf>
    <xf numFmtId="49" fontId="45" fillId="20" borderId="52" xfId="32" applyNumberFormat="1" applyFont="1" applyFill="1" applyBorder="1" applyAlignment="1">
      <alignment horizontal="center" vertical="center" wrapText="1"/>
    </xf>
    <xf numFmtId="0" fontId="45" fillId="0" borderId="23" xfId="32" applyFont="1" applyBorder="1" applyAlignment="1">
      <alignment vertical="center" wrapText="1"/>
    </xf>
    <xf numFmtId="0" fontId="47" fillId="0" borderId="52" xfId="0" applyFont="1" applyBorder="1" applyAlignment="1">
      <alignment horizontal="center" vertical="center" wrapText="1"/>
    </xf>
    <xf numFmtId="0" fontId="47" fillId="21" borderId="52" xfId="0" applyFont="1" applyFill="1" applyBorder="1" applyAlignment="1">
      <alignment horizontal="center" vertical="center" wrapText="1"/>
    </xf>
    <xf numFmtId="0" fontId="47" fillId="21" borderId="38" xfId="32" applyFont="1" applyFill="1" applyBorder="1" applyAlignment="1">
      <alignment horizontal="center" vertical="center" wrapText="1"/>
    </xf>
    <xf numFmtId="0" fontId="47" fillId="21" borderId="8" xfId="32" applyFont="1" applyFill="1" applyBorder="1" applyAlignment="1">
      <alignment vertical="center" wrapText="1"/>
    </xf>
    <xf numFmtId="0" fontId="12" fillId="3" borderId="31" xfId="0" applyFont="1" applyFill="1" applyBorder="1" applyAlignment="1" applyProtection="1">
      <alignment horizontal="center" vertical="center" wrapText="1"/>
      <protection locked="0"/>
    </xf>
    <xf numFmtId="0" fontId="12" fillId="3" borderId="50" xfId="0" applyFont="1" applyFill="1" applyBorder="1" applyAlignment="1" applyProtection="1">
      <alignment horizontal="center" vertical="center" wrapText="1"/>
      <protection locked="0"/>
    </xf>
    <xf numFmtId="0" fontId="12" fillId="3" borderId="18" xfId="0" applyFont="1" applyFill="1" applyBorder="1" applyAlignment="1" applyProtection="1">
      <alignment horizontal="center" vertical="center" wrapText="1"/>
      <protection locked="0"/>
    </xf>
    <xf numFmtId="0" fontId="12" fillId="3" borderId="5" xfId="0" applyFont="1" applyFill="1" applyBorder="1" applyAlignment="1" applyProtection="1">
      <alignment horizontal="center" vertical="center" wrapText="1"/>
      <protection locked="0"/>
    </xf>
    <xf numFmtId="0" fontId="12" fillId="3" borderId="44" xfId="0" applyFont="1" applyFill="1" applyBorder="1" applyAlignment="1" applyProtection="1">
      <alignment horizontal="center" vertical="center" wrapText="1"/>
      <protection locked="0"/>
    </xf>
    <xf numFmtId="0" fontId="12" fillId="3" borderId="74" xfId="0" applyFont="1" applyFill="1" applyBorder="1" applyAlignment="1" applyProtection="1">
      <alignment horizontal="center" vertical="center" wrapText="1"/>
      <protection locked="0"/>
    </xf>
    <xf numFmtId="0" fontId="12" fillId="3" borderId="62" xfId="0" applyFont="1" applyFill="1" applyBorder="1" applyAlignment="1" applyProtection="1">
      <alignment horizontal="center" vertical="center" wrapText="1"/>
      <protection locked="0"/>
    </xf>
    <xf numFmtId="0" fontId="12" fillId="3" borderId="78" xfId="0" applyFont="1" applyFill="1" applyBorder="1" applyAlignment="1" applyProtection="1">
      <alignment horizontal="center" vertical="center" wrapText="1"/>
      <protection locked="0"/>
    </xf>
    <xf numFmtId="0" fontId="41" fillId="27" borderId="53" xfId="49" applyFont="1" applyFill="1" applyBorder="1" applyAlignment="1">
      <alignment horizontal="left" vertical="center" wrapText="1"/>
    </xf>
    <xf numFmtId="49" fontId="40" fillId="20" borderId="52" xfId="32" applyNumberFormat="1" applyFont="1" applyFill="1" applyBorder="1" applyAlignment="1">
      <alignment horizontal="center" vertical="center" wrapText="1"/>
    </xf>
    <xf numFmtId="0" fontId="40" fillId="0" borderId="23" xfId="32" applyFont="1" applyBorder="1" applyAlignment="1">
      <alignment vertical="center" wrapText="1"/>
    </xf>
    <xf numFmtId="0" fontId="40" fillId="0" borderId="0" xfId="32" applyFont="1" applyAlignment="1">
      <alignment vertical="center"/>
    </xf>
    <xf numFmtId="49" fontId="40" fillId="0" borderId="52" xfId="32" applyNumberFormat="1" applyFont="1" applyBorder="1" applyAlignment="1">
      <alignment horizontal="center" vertical="center" wrapText="1"/>
    </xf>
    <xf numFmtId="49" fontId="40" fillId="20" borderId="49" xfId="32" applyNumberFormat="1" applyFont="1" applyFill="1" applyBorder="1" applyAlignment="1">
      <alignment horizontal="center" vertical="center" wrapText="1"/>
    </xf>
    <xf numFmtId="0" fontId="40" fillId="0" borderId="33" xfId="32" applyFont="1" applyBorder="1" applyAlignment="1">
      <alignment vertical="center" wrapText="1"/>
    </xf>
    <xf numFmtId="0" fontId="40" fillId="0" borderId="54" xfId="32" applyFont="1" applyBorder="1" applyAlignment="1">
      <alignment horizontal="center" vertical="center"/>
    </xf>
    <xf numFmtId="0" fontId="40" fillId="0" borderId="37" xfId="32" applyFont="1" applyBorder="1" applyAlignment="1">
      <alignment vertical="center" wrapText="1"/>
    </xf>
    <xf numFmtId="0" fontId="0" fillId="26" borderId="0" xfId="0" applyFill="1" applyAlignment="1">
      <alignment horizontal="center" vertical="center"/>
    </xf>
    <xf numFmtId="0" fontId="0" fillId="26" borderId="0" xfId="0" applyFill="1" applyAlignment="1">
      <alignment vertical="center"/>
    </xf>
    <xf numFmtId="0" fontId="0" fillId="27" borderId="0" xfId="0" applyFill="1" applyAlignment="1">
      <alignment vertical="center"/>
    </xf>
    <xf numFmtId="0" fontId="0" fillId="27" borderId="0" xfId="0" applyFill="1" applyAlignment="1">
      <alignment horizontal="center" vertical="center"/>
    </xf>
    <xf numFmtId="0" fontId="19" fillId="26" borderId="0" xfId="0" applyFont="1" applyFill="1" applyAlignment="1">
      <alignment vertical="center" wrapText="1"/>
    </xf>
    <xf numFmtId="0" fontId="19" fillId="26" borderId="0" xfId="0" applyFont="1" applyFill="1" applyAlignment="1">
      <alignment horizontal="center" vertical="center" wrapText="1"/>
    </xf>
    <xf numFmtId="0" fontId="27" fillId="27" borderId="0" xfId="32" applyFill="1" applyAlignment="1">
      <alignment vertical="center"/>
    </xf>
    <xf numFmtId="0" fontId="68" fillId="27" borderId="0" xfId="32" applyFont="1" applyFill="1" applyAlignment="1">
      <alignment vertical="center"/>
    </xf>
    <xf numFmtId="0" fontId="27" fillId="26" borderId="0" xfId="32" applyFill="1" applyAlignment="1">
      <alignment vertical="center"/>
    </xf>
    <xf numFmtId="171" fontId="40" fillId="37" borderId="56" xfId="0" applyNumberFormat="1" applyFont="1" applyFill="1" applyBorder="1" applyAlignment="1">
      <alignment horizontal="center" vertical="center" wrapText="1"/>
    </xf>
    <xf numFmtId="171" fontId="40" fillId="37" borderId="77" xfId="0" applyNumberFormat="1" applyFont="1" applyFill="1" applyBorder="1" applyAlignment="1">
      <alignment horizontal="center" vertical="center" wrapText="1"/>
    </xf>
    <xf numFmtId="171" fontId="40" fillId="37" borderId="57" xfId="0" applyNumberFormat="1" applyFont="1" applyFill="1" applyBorder="1" applyAlignment="1">
      <alignment horizontal="center" vertical="center" wrapText="1"/>
    </xf>
    <xf numFmtId="171" fontId="40" fillId="37" borderId="56" xfId="32" applyNumberFormat="1" applyFont="1" applyFill="1" applyBorder="1" applyAlignment="1">
      <alignment horizontal="center" vertical="center" wrapText="1"/>
    </xf>
    <xf numFmtId="171" fontId="40" fillId="37" borderId="77" xfId="32" applyNumberFormat="1" applyFont="1" applyFill="1" applyBorder="1" applyAlignment="1">
      <alignment horizontal="center" vertical="center" wrapText="1"/>
    </xf>
    <xf numFmtId="171" fontId="40" fillId="37" borderId="57" xfId="32" applyNumberFormat="1" applyFont="1" applyFill="1" applyBorder="1" applyAlignment="1">
      <alignment horizontal="center" vertical="center" wrapText="1"/>
    </xf>
    <xf numFmtId="171" fontId="40" fillId="31" borderId="75" xfId="0" applyNumberFormat="1" applyFont="1" applyFill="1" applyBorder="1" applyAlignment="1">
      <alignment horizontal="center" vertical="center" wrapText="1"/>
    </xf>
    <xf numFmtId="171" fontId="40" fillId="31" borderId="73" xfId="0" applyNumberFormat="1" applyFont="1" applyFill="1" applyBorder="1" applyAlignment="1">
      <alignment horizontal="center" vertical="center" wrapText="1"/>
    </xf>
    <xf numFmtId="171" fontId="40" fillId="31" borderId="76" xfId="0" applyNumberFormat="1" applyFont="1" applyFill="1" applyBorder="1" applyAlignment="1">
      <alignment horizontal="center" vertical="center" wrapText="1"/>
    </xf>
    <xf numFmtId="171" fontId="40" fillId="31" borderId="75" xfId="32" applyNumberFormat="1" applyFont="1" applyFill="1" applyBorder="1" applyAlignment="1">
      <alignment horizontal="center" vertical="center" wrapText="1"/>
    </xf>
    <xf numFmtId="171" fontId="40" fillId="31" borderId="73" xfId="32" applyNumberFormat="1" applyFont="1" applyFill="1" applyBorder="1" applyAlignment="1">
      <alignment horizontal="center" vertical="center" wrapText="1"/>
    </xf>
    <xf numFmtId="171" fontId="40" fillId="31" borderId="76" xfId="32" applyNumberFormat="1" applyFont="1" applyFill="1" applyBorder="1" applyAlignment="1">
      <alignment horizontal="center" vertical="center" wrapText="1"/>
    </xf>
    <xf numFmtId="0" fontId="27" fillId="26" borderId="0" xfId="0" applyFont="1" applyFill="1" applyAlignment="1">
      <alignment vertical="center"/>
    </xf>
    <xf numFmtId="0" fontId="68" fillId="27" borderId="0" xfId="0" applyFont="1" applyFill="1" applyAlignment="1">
      <alignment vertical="center"/>
    </xf>
    <xf numFmtId="0" fontId="88" fillId="27" borderId="0" xfId="0" applyFont="1" applyFill="1" applyAlignment="1">
      <alignment vertical="center"/>
    </xf>
    <xf numFmtId="0" fontId="65" fillId="23" borderId="35" xfId="52" applyFont="1" applyFill="1" applyBorder="1" applyAlignment="1">
      <alignment horizontal="center" vertical="center" wrapText="1"/>
    </xf>
    <xf numFmtId="49" fontId="65" fillId="31" borderId="29" xfId="52" applyNumberFormat="1" applyFont="1" applyFill="1" applyBorder="1" applyAlignment="1">
      <alignment horizontal="center" vertical="center" wrapText="1"/>
    </xf>
    <xf numFmtId="49" fontId="57" fillId="27" borderId="24" xfId="52" applyNumberFormat="1" applyFont="1" applyFill="1" applyBorder="1" applyAlignment="1">
      <alignment horizontal="center" vertical="center" wrapText="1"/>
    </xf>
    <xf numFmtId="49" fontId="57" fillId="27" borderId="30" xfId="52" applyNumberFormat="1" applyFont="1" applyFill="1" applyBorder="1" applyAlignment="1">
      <alignment horizontal="center" vertical="center" wrapText="1"/>
    </xf>
    <xf numFmtId="0" fontId="65" fillId="31" borderId="29" xfId="52" applyFont="1" applyFill="1" applyBorder="1" applyAlignment="1">
      <alignment horizontal="left" vertical="center" wrapText="1"/>
    </xf>
    <xf numFmtId="0" fontId="65" fillId="23" borderId="11" xfId="52" applyFont="1" applyFill="1" applyBorder="1" applyAlignment="1">
      <alignment horizontal="center" vertical="center" wrapText="1"/>
    </xf>
    <xf numFmtId="0" fontId="65" fillId="23" borderId="41" xfId="52" applyFont="1" applyFill="1" applyBorder="1" applyAlignment="1">
      <alignment horizontal="center" vertical="center" wrapText="1"/>
    </xf>
    <xf numFmtId="0" fontId="65" fillId="37" borderId="2" xfId="52" applyFont="1" applyFill="1" applyBorder="1" applyAlignment="1">
      <alignment horizontal="center" vertical="center" wrapText="1"/>
    </xf>
    <xf numFmtId="3" fontId="41" fillId="3" borderId="7" xfId="0" applyNumberFormat="1" applyFont="1" applyFill="1" applyBorder="1" applyAlignment="1" applyProtection="1">
      <alignment horizontal="center" vertical="center"/>
      <protection locked="0"/>
    </xf>
    <xf numFmtId="49" fontId="12" fillId="27" borderId="0" xfId="49" applyNumberFormat="1" applyFont="1" applyFill="1" applyAlignment="1">
      <alignment horizontal="center" vertical="center" wrapText="1"/>
    </xf>
    <xf numFmtId="0" fontId="19" fillId="27" borderId="0" xfId="49" applyFont="1" applyFill="1" applyAlignment="1">
      <alignment vertical="center" wrapText="1"/>
    </xf>
    <xf numFmtId="0" fontId="12" fillId="27" borderId="0" xfId="49" applyFont="1" applyFill="1" applyAlignment="1">
      <alignment horizontal="center" vertical="center" wrapText="1"/>
    </xf>
    <xf numFmtId="0" fontId="12" fillId="27" borderId="0" xfId="49" applyFont="1" applyFill="1" applyAlignment="1">
      <alignment vertical="center" wrapText="1"/>
    </xf>
    <xf numFmtId="0" fontId="0" fillId="0" borderId="0" xfId="0" applyAlignment="1">
      <alignment horizontal="center"/>
    </xf>
    <xf numFmtId="0" fontId="15" fillId="27" borderId="0" xfId="32" applyFont="1" applyFill="1" applyAlignment="1">
      <alignment vertical="center" wrapText="1"/>
    </xf>
    <xf numFmtId="0" fontId="20" fillId="27" borderId="0" xfId="32" applyFont="1" applyFill="1" applyAlignment="1">
      <alignment vertical="center" wrapText="1"/>
    </xf>
    <xf numFmtId="3" fontId="12" fillId="3" borderId="73" xfId="0" applyNumberFormat="1" applyFont="1" applyFill="1" applyBorder="1" applyAlignment="1" applyProtection="1">
      <alignment horizontal="center" vertical="center" wrapText="1"/>
      <protection locked="0"/>
    </xf>
    <xf numFmtId="3" fontId="12" fillId="3" borderId="76" xfId="0" applyNumberFormat="1" applyFont="1" applyFill="1" applyBorder="1" applyAlignment="1" applyProtection="1">
      <alignment horizontal="center" vertical="center" wrapText="1"/>
      <protection locked="0"/>
    </xf>
    <xf numFmtId="3" fontId="12" fillId="3" borderId="7" xfId="0" applyNumberFormat="1" applyFont="1" applyFill="1" applyBorder="1" applyAlignment="1" applyProtection="1">
      <alignment horizontal="center" vertical="center" wrapText="1"/>
      <protection locked="0"/>
    </xf>
    <xf numFmtId="3" fontId="12" fillId="3" borderId="53" xfId="0" applyNumberFormat="1" applyFont="1" applyFill="1" applyBorder="1" applyAlignment="1" applyProtection="1">
      <alignment horizontal="center" vertical="center" wrapText="1"/>
      <protection locked="0"/>
    </xf>
    <xf numFmtId="3" fontId="12" fillId="3" borderId="32" xfId="0" applyNumberFormat="1" applyFont="1" applyFill="1" applyBorder="1" applyAlignment="1" applyProtection="1">
      <alignment horizontal="center" vertical="center" wrapText="1"/>
      <protection locked="0"/>
    </xf>
    <xf numFmtId="3" fontId="12" fillId="3" borderId="77" xfId="0" applyNumberFormat="1" applyFont="1" applyFill="1" applyBorder="1" applyAlignment="1" applyProtection="1">
      <alignment horizontal="center" vertical="center" wrapText="1"/>
      <protection locked="0"/>
    </xf>
    <xf numFmtId="3" fontId="12" fillId="3" borderId="57" xfId="0" applyNumberFormat="1" applyFont="1" applyFill="1" applyBorder="1" applyAlignment="1" applyProtection="1">
      <alignment horizontal="center" vertical="center" wrapText="1"/>
      <protection locked="0"/>
    </xf>
    <xf numFmtId="3" fontId="12" fillId="3" borderId="31" xfId="0" applyNumberFormat="1" applyFont="1" applyFill="1" applyBorder="1" applyAlignment="1" applyProtection="1">
      <alignment horizontal="center" vertical="center" wrapText="1"/>
      <protection locked="0"/>
    </xf>
    <xf numFmtId="3" fontId="12" fillId="3" borderId="50" xfId="0" applyNumberFormat="1" applyFont="1" applyFill="1" applyBorder="1" applyAlignment="1" applyProtection="1">
      <alignment horizontal="center" vertical="center" wrapText="1"/>
      <protection locked="0"/>
    </xf>
    <xf numFmtId="3" fontId="12" fillId="3" borderId="62" xfId="0" applyNumberFormat="1" applyFont="1" applyFill="1" applyBorder="1" applyAlignment="1" applyProtection="1">
      <alignment horizontal="center" vertical="center" wrapText="1"/>
      <protection locked="0"/>
    </xf>
    <xf numFmtId="3" fontId="12" fillId="3" borderId="15" xfId="0" applyNumberFormat="1" applyFont="1" applyFill="1" applyBorder="1" applyAlignment="1" applyProtection="1">
      <alignment horizontal="center" vertical="center" wrapText="1"/>
      <protection locked="0"/>
    </xf>
    <xf numFmtId="3" fontId="12" fillId="3" borderId="79" xfId="0" applyNumberFormat="1" applyFont="1" applyFill="1" applyBorder="1" applyAlignment="1" applyProtection="1">
      <alignment horizontal="center" vertical="center" wrapText="1"/>
      <protection locked="0"/>
    </xf>
    <xf numFmtId="173" fontId="12" fillId="3" borderId="7" xfId="0" applyNumberFormat="1" applyFont="1" applyFill="1" applyBorder="1" applyAlignment="1" applyProtection="1">
      <alignment horizontal="center" vertical="center" wrapText="1"/>
      <protection locked="0"/>
    </xf>
    <xf numFmtId="173" fontId="12" fillId="3" borderId="53" xfId="0" applyNumberFormat="1" applyFont="1" applyFill="1" applyBorder="1" applyAlignment="1" applyProtection="1">
      <alignment horizontal="center" vertical="center" wrapText="1"/>
      <protection locked="0"/>
    </xf>
    <xf numFmtId="3" fontId="65" fillId="24" borderId="44" xfId="52" applyNumberFormat="1" applyFont="1" applyFill="1" applyBorder="1" applyAlignment="1">
      <alignment horizontal="center" vertical="center" wrapText="1"/>
    </xf>
    <xf numFmtId="3" fontId="65" fillId="24" borderId="31" xfId="52" applyNumberFormat="1" applyFont="1" applyFill="1" applyBorder="1" applyAlignment="1">
      <alignment horizontal="center" vertical="center" wrapText="1"/>
    </xf>
    <xf numFmtId="3" fontId="65" fillId="24" borderId="50" xfId="52" applyNumberFormat="1" applyFont="1" applyFill="1" applyBorder="1" applyAlignment="1">
      <alignment horizontal="center" vertical="center" wrapText="1"/>
    </xf>
    <xf numFmtId="173" fontId="65" fillId="24" borderId="69" xfId="52" applyNumberFormat="1" applyFont="1" applyFill="1" applyBorder="1" applyAlignment="1">
      <alignment horizontal="center" vertical="center" wrapText="1"/>
    </xf>
    <xf numFmtId="173" fontId="65" fillId="24" borderId="63" xfId="52" applyNumberFormat="1" applyFont="1" applyFill="1" applyBorder="1" applyAlignment="1">
      <alignment horizontal="center" vertical="center" wrapText="1"/>
    </xf>
    <xf numFmtId="173" fontId="65" fillId="24" borderId="55" xfId="52" applyNumberFormat="1" applyFont="1" applyFill="1" applyBorder="1" applyAlignment="1">
      <alignment horizontal="center" vertical="center" wrapText="1"/>
    </xf>
    <xf numFmtId="3" fontId="65" fillId="31" borderId="72" xfId="52" applyNumberFormat="1" applyFont="1" applyFill="1" applyBorder="1" applyAlignment="1">
      <alignment horizontal="center" vertical="center"/>
    </xf>
    <xf numFmtId="3" fontId="65" fillId="31" borderId="14" xfId="52" applyNumberFormat="1" applyFont="1" applyFill="1" applyBorder="1" applyAlignment="1">
      <alignment horizontal="center" vertical="center"/>
    </xf>
    <xf numFmtId="3" fontId="57" fillId="3" borderId="32" xfId="52" applyNumberFormat="1" applyFont="1" applyFill="1" applyBorder="1" applyAlignment="1" applyProtection="1">
      <alignment horizontal="center" vertical="center"/>
      <protection locked="0"/>
    </xf>
    <xf numFmtId="3" fontId="57" fillId="3" borderId="15" xfId="52" applyNumberFormat="1" applyFont="1" applyFill="1" applyBorder="1" applyAlignment="1" applyProtection="1">
      <alignment horizontal="center" vertical="center"/>
      <protection locked="0"/>
    </xf>
    <xf numFmtId="3" fontId="57" fillId="3" borderId="7" xfId="52" applyNumberFormat="1" applyFont="1" applyFill="1" applyBorder="1" applyAlignment="1" applyProtection="1">
      <alignment horizontal="center" vertical="center"/>
      <protection locked="0"/>
    </xf>
    <xf numFmtId="3" fontId="57" fillId="3" borderId="53" xfId="52" applyNumberFormat="1" applyFont="1" applyFill="1" applyBorder="1" applyAlignment="1" applyProtection="1">
      <alignment horizontal="center" vertical="center"/>
      <protection locked="0"/>
    </xf>
    <xf numFmtId="3" fontId="57" fillId="3" borderId="79" xfId="52" applyNumberFormat="1" applyFont="1" applyFill="1" applyBorder="1" applyAlignment="1" applyProtection="1">
      <alignment horizontal="center" vertical="center"/>
      <protection locked="0"/>
    </xf>
    <xf numFmtId="3" fontId="57" fillId="3" borderId="77" xfId="52" applyNumberFormat="1" applyFont="1" applyFill="1" applyBorder="1" applyAlignment="1" applyProtection="1">
      <alignment horizontal="center" vertical="center"/>
      <protection locked="0"/>
    </xf>
    <xf numFmtId="3" fontId="65" fillId="31" borderId="44" xfId="52" applyNumberFormat="1" applyFont="1" applyFill="1" applyBorder="1" applyAlignment="1">
      <alignment horizontal="center" vertical="center"/>
    </xf>
    <xf numFmtId="3" fontId="65" fillId="31" borderId="31" xfId="52" applyNumberFormat="1" applyFont="1" applyFill="1" applyBorder="1" applyAlignment="1">
      <alignment horizontal="center" vertical="center"/>
    </xf>
    <xf numFmtId="3" fontId="65" fillId="31" borderId="50" xfId="52" applyNumberFormat="1" applyFont="1" applyFill="1" applyBorder="1" applyAlignment="1">
      <alignment horizontal="center" vertical="center"/>
    </xf>
    <xf numFmtId="173" fontId="65" fillId="31" borderId="69" xfId="52" applyNumberFormat="1" applyFont="1" applyFill="1" applyBorder="1" applyAlignment="1">
      <alignment horizontal="center" vertical="center"/>
    </xf>
    <xf numFmtId="173" fontId="65" fillId="31" borderId="63" xfId="52" applyNumberFormat="1" applyFont="1" applyFill="1" applyBorder="1" applyAlignment="1">
      <alignment horizontal="center" vertical="center"/>
    </xf>
    <xf numFmtId="173" fontId="65" fillId="31" borderId="55" xfId="52" applyNumberFormat="1" applyFont="1" applyFill="1" applyBorder="1" applyAlignment="1">
      <alignment horizontal="center" vertical="center"/>
    </xf>
    <xf numFmtId="3" fontId="65" fillId="27" borderId="72" xfId="52" applyNumberFormat="1" applyFont="1" applyFill="1" applyBorder="1" applyAlignment="1">
      <alignment horizontal="center" vertical="center"/>
    </xf>
    <xf numFmtId="3" fontId="65" fillId="27" borderId="73" xfId="52" applyNumberFormat="1" applyFont="1" applyFill="1" applyBorder="1" applyAlignment="1">
      <alignment horizontal="center" vertical="center"/>
    </xf>
    <xf numFmtId="3" fontId="65" fillId="27" borderId="76" xfId="52" applyNumberFormat="1" applyFont="1" applyFill="1" applyBorder="1" applyAlignment="1">
      <alignment horizontal="center" vertical="center"/>
    </xf>
    <xf numFmtId="173" fontId="65" fillId="27" borderId="32" xfId="52" applyNumberFormat="1" applyFont="1" applyFill="1" applyBorder="1" applyAlignment="1">
      <alignment horizontal="center" vertical="center"/>
    </xf>
    <xf numFmtId="173" fontId="65" fillId="27" borderId="7" xfId="52" applyNumberFormat="1" applyFont="1" applyFill="1" applyBorder="1" applyAlignment="1">
      <alignment horizontal="center" vertical="center"/>
    </xf>
    <xf numFmtId="173" fontId="65" fillId="27" borderId="53" xfId="52" applyNumberFormat="1" applyFont="1" applyFill="1" applyBorder="1" applyAlignment="1">
      <alignment horizontal="center" vertical="center"/>
    </xf>
    <xf numFmtId="3" fontId="65" fillId="27" borderId="7" xfId="52" applyNumberFormat="1" applyFont="1" applyFill="1" applyBorder="1" applyAlignment="1">
      <alignment horizontal="center" vertical="center"/>
    </xf>
    <xf numFmtId="3" fontId="65" fillId="27" borderId="53" xfId="52" applyNumberFormat="1" applyFont="1" applyFill="1" applyBorder="1" applyAlignment="1">
      <alignment horizontal="center" vertical="center"/>
    </xf>
    <xf numFmtId="10" fontId="65" fillId="27" borderId="32" xfId="52" applyNumberFormat="1" applyFont="1" applyFill="1" applyBorder="1" applyAlignment="1">
      <alignment horizontal="center" vertical="center"/>
    </xf>
    <xf numFmtId="10" fontId="65" fillId="27" borderId="7" xfId="52" applyNumberFormat="1" applyFont="1" applyFill="1" applyBorder="1" applyAlignment="1">
      <alignment horizontal="center" vertical="center"/>
    </xf>
    <xf numFmtId="10" fontId="65" fillId="27" borderId="53" xfId="52" applyNumberFormat="1" applyFont="1" applyFill="1" applyBorder="1" applyAlignment="1">
      <alignment horizontal="center" vertical="center"/>
    </xf>
    <xf numFmtId="3" fontId="57" fillId="3" borderId="19" xfId="52" applyNumberFormat="1" applyFont="1" applyFill="1" applyBorder="1" applyAlignment="1" applyProtection="1">
      <alignment horizontal="center" vertical="center"/>
      <protection locked="0"/>
    </xf>
    <xf numFmtId="3" fontId="65" fillId="31" borderId="73" xfId="52" applyNumberFormat="1" applyFont="1" applyFill="1" applyBorder="1" applyAlignment="1">
      <alignment horizontal="center" vertical="center"/>
    </xf>
    <xf numFmtId="3" fontId="65" fillId="31" borderId="76" xfId="52" applyNumberFormat="1" applyFont="1" applyFill="1" applyBorder="1" applyAlignment="1">
      <alignment horizontal="center" vertical="center"/>
    </xf>
    <xf numFmtId="173" fontId="65" fillId="31" borderId="32" xfId="52" applyNumberFormat="1" applyFont="1" applyFill="1" applyBorder="1" applyAlignment="1">
      <alignment horizontal="center" vertical="center"/>
    </xf>
    <xf numFmtId="173" fontId="65" fillId="31" borderId="7" xfId="52" applyNumberFormat="1" applyFont="1" applyFill="1" applyBorder="1" applyAlignment="1">
      <alignment horizontal="center" vertical="center"/>
    </xf>
    <xf numFmtId="173" fontId="65" fillId="31" borderId="53" xfId="52" applyNumberFormat="1" applyFont="1" applyFill="1" applyBorder="1" applyAlignment="1">
      <alignment horizontal="center" vertical="center"/>
    </xf>
    <xf numFmtId="4" fontId="65" fillId="31" borderId="69" xfId="52" applyNumberFormat="1" applyFont="1" applyFill="1" applyBorder="1" applyAlignment="1">
      <alignment horizontal="center" vertical="center"/>
    </xf>
    <xf numFmtId="4" fontId="65" fillId="31" borderId="63" xfId="52" applyNumberFormat="1" applyFont="1" applyFill="1" applyBorder="1" applyAlignment="1">
      <alignment horizontal="center" vertical="center"/>
    </xf>
    <xf numFmtId="4" fontId="65" fillId="31" borderId="55" xfId="52" applyNumberFormat="1" applyFont="1" applyFill="1" applyBorder="1" applyAlignment="1">
      <alignment horizontal="center" vertical="center"/>
    </xf>
    <xf numFmtId="3" fontId="65" fillId="26" borderId="72" xfId="52" applyNumberFormat="1" applyFont="1" applyFill="1" applyBorder="1" applyAlignment="1">
      <alignment horizontal="center" vertical="center"/>
    </xf>
    <xf numFmtId="3" fontId="65" fillId="26" borderId="73" xfId="52" applyNumberFormat="1" applyFont="1" applyFill="1" applyBorder="1" applyAlignment="1">
      <alignment horizontal="center" vertical="center"/>
    </xf>
    <xf numFmtId="3" fontId="65" fillId="26" borderId="76" xfId="52" applyNumberFormat="1" applyFont="1" applyFill="1" applyBorder="1" applyAlignment="1">
      <alignment horizontal="center" vertical="center"/>
    </xf>
    <xf numFmtId="173" fontId="65" fillId="26" borderId="32" xfId="52" applyNumberFormat="1" applyFont="1" applyFill="1" applyBorder="1" applyAlignment="1">
      <alignment horizontal="center" vertical="center"/>
    </xf>
    <xf numFmtId="173" fontId="65" fillId="26" borderId="7" xfId="52" applyNumberFormat="1" applyFont="1" applyFill="1" applyBorder="1" applyAlignment="1">
      <alignment horizontal="center" vertical="center"/>
    </xf>
    <xf numFmtId="173" fontId="65" fillId="26" borderId="53" xfId="52" applyNumberFormat="1" applyFont="1" applyFill="1" applyBorder="1" applyAlignment="1">
      <alignment horizontal="center" vertical="center"/>
    </xf>
    <xf numFmtId="4" fontId="65" fillId="31" borderId="32" xfId="52" applyNumberFormat="1" applyFont="1" applyFill="1" applyBorder="1" applyAlignment="1">
      <alignment horizontal="center" vertical="center"/>
    </xf>
    <xf numFmtId="4" fontId="65" fillId="31" borderId="7" xfId="52" applyNumberFormat="1" applyFont="1" applyFill="1" applyBorder="1" applyAlignment="1">
      <alignment horizontal="center" vertical="center"/>
    </xf>
    <xf numFmtId="4" fontId="65" fillId="31" borderId="53" xfId="52" applyNumberFormat="1" applyFont="1" applyFill="1" applyBorder="1" applyAlignment="1">
      <alignment horizontal="center" vertical="center"/>
    </xf>
    <xf numFmtId="3" fontId="98" fillId="31" borderId="79" xfId="52" applyNumberFormat="1" applyFont="1" applyFill="1" applyBorder="1" applyAlignment="1">
      <alignment horizontal="center" vertical="center"/>
    </xf>
    <xf numFmtId="3" fontId="98" fillId="31" borderId="77" xfId="52" applyNumberFormat="1" applyFont="1" applyFill="1" applyBorder="1" applyAlignment="1">
      <alignment horizontal="center" vertical="center"/>
    </xf>
    <xf numFmtId="3" fontId="98" fillId="31" borderId="57" xfId="52" applyNumberFormat="1" applyFont="1" applyFill="1" applyBorder="1" applyAlignment="1">
      <alignment horizontal="center" vertical="center"/>
    </xf>
    <xf numFmtId="9" fontId="41" fillId="3" borderId="24" xfId="32" applyNumberFormat="1" applyFont="1" applyFill="1" applyBorder="1" applyAlignment="1" applyProtection="1">
      <alignment horizontal="center" vertical="center"/>
      <protection locked="0"/>
    </xf>
    <xf numFmtId="9" fontId="41" fillId="3" borderId="17" xfId="32" applyNumberFormat="1" applyFont="1" applyFill="1" applyBorder="1" applyAlignment="1" applyProtection="1">
      <alignment horizontal="center" vertical="center"/>
      <protection locked="0"/>
    </xf>
    <xf numFmtId="3" fontId="41" fillId="28" borderId="24" xfId="32" applyNumberFormat="1" applyFont="1" applyFill="1" applyBorder="1" applyAlignment="1" applyProtection="1">
      <alignment horizontal="center" vertical="center"/>
      <protection locked="0"/>
    </xf>
    <xf numFmtId="0" fontId="41" fillId="0" borderId="53" xfId="31" applyFont="1" applyBorder="1" applyAlignment="1">
      <alignment vertical="center" wrapText="1"/>
    </xf>
    <xf numFmtId="0" fontId="40" fillId="0" borderId="1" xfId="31" applyFont="1" applyBorder="1" applyAlignment="1">
      <alignment horizontal="center" vertical="center" wrapText="1"/>
    </xf>
    <xf numFmtId="0" fontId="40" fillId="0" borderId="3" xfId="31" applyFont="1" applyBorder="1" applyAlignment="1">
      <alignment horizontal="center" vertical="center" wrapText="1"/>
    </xf>
    <xf numFmtId="171" fontId="40" fillId="37" borderId="2" xfId="32" applyNumberFormat="1" applyFont="1" applyFill="1" applyBorder="1" applyAlignment="1">
      <alignment horizontal="center" wrapText="1"/>
    </xf>
    <xf numFmtId="171" fontId="40" fillId="37" borderId="65" xfId="32" applyNumberFormat="1" applyFont="1" applyFill="1" applyBorder="1" applyAlignment="1">
      <alignment horizontal="center" wrapText="1"/>
    </xf>
    <xf numFmtId="171" fontId="40" fillId="37" borderId="9" xfId="32" applyNumberFormat="1" applyFont="1" applyFill="1" applyBorder="1" applyAlignment="1">
      <alignment horizontal="center" wrapText="1"/>
    </xf>
    <xf numFmtId="171" fontId="40" fillId="37" borderId="10" xfId="32" applyNumberFormat="1" applyFont="1" applyFill="1" applyBorder="1" applyAlignment="1">
      <alignment horizontal="center" wrapText="1"/>
    </xf>
    <xf numFmtId="171" fontId="47" fillId="37" borderId="77" xfId="0" applyNumberFormat="1" applyFont="1" applyFill="1" applyBorder="1" applyAlignment="1">
      <alignment horizontal="center" wrapText="1"/>
    </xf>
    <xf numFmtId="171" fontId="47" fillId="37" borderId="57" xfId="0" applyNumberFormat="1" applyFont="1" applyFill="1" applyBorder="1" applyAlignment="1">
      <alignment horizontal="center" wrapText="1"/>
    </xf>
    <xf numFmtId="171" fontId="47" fillId="37" borderId="56" xfId="0" applyNumberFormat="1" applyFont="1" applyFill="1" applyBorder="1" applyAlignment="1">
      <alignment horizontal="center" wrapText="1"/>
    </xf>
    <xf numFmtId="0" fontId="47" fillId="37" borderId="38" xfId="0" applyFont="1" applyFill="1" applyBorder="1" applyAlignment="1">
      <alignment horizontal="center" vertical="center" wrapText="1"/>
    </xf>
    <xf numFmtId="0" fontId="47" fillId="37" borderId="9" xfId="0" applyFont="1" applyFill="1" applyBorder="1" applyAlignment="1">
      <alignment horizontal="center" vertical="center" wrapText="1"/>
    </xf>
    <xf numFmtId="0" fontId="47" fillId="37" borderId="9" xfId="40" applyFont="1" applyFill="1" applyBorder="1" applyAlignment="1">
      <alignment horizontal="center" vertical="center"/>
    </xf>
    <xf numFmtId="174" fontId="96" fillId="26" borderId="9" xfId="37" applyNumberFormat="1" applyFont="1" applyFill="1" applyBorder="1" applyAlignment="1" applyProtection="1">
      <alignment horizontal="left" vertical="center" wrapText="1"/>
    </xf>
    <xf numFmtId="174" fontId="95" fillId="26" borderId="9" xfId="37" applyNumberFormat="1" applyFont="1" applyFill="1" applyBorder="1" applyAlignment="1" applyProtection="1">
      <alignment horizontal="center" vertical="center" wrapText="1"/>
    </xf>
    <xf numFmtId="3" fontId="12" fillId="3" borderId="24" xfId="32" applyNumberFormat="1" applyFont="1" applyFill="1" applyBorder="1" applyAlignment="1" applyProtection="1">
      <alignment horizontal="center" vertical="center"/>
      <protection locked="0"/>
    </xf>
    <xf numFmtId="3" fontId="12" fillId="3" borderId="15" xfId="32" applyNumberFormat="1" applyFont="1" applyFill="1" applyBorder="1" applyAlignment="1" applyProtection="1">
      <alignment horizontal="center" vertical="center"/>
      <protection locked="0"/>
    </xf>
    <xf numFmtId="3" fontId="12" fillId="3" borderId="62" xfId="32" applyNumberFormat="1" applyFont="1" applyFill="1" applyBorder="1" applyAlignment="1" applyProtection="1">
      <alignment horizontal="center" vertical="center"/>
      <protection locked="0"/>
    </xf>
    <xf numFmtId="4" fontId="41" fillId="0" borderId="32" xfId="0" applyNumberFormat="1" applyFont="1" applyBorder="1" applyAlignment="1">
      <alignment horizontal="center" vertical="center"/>
    </xf>
    <xf numFmtId="4" fontId="41" fillId="0" borderId="15" xfId="0" applyNumberFormat="1" applyFont="1" applyBorder="1" applyAlignment="1">
      <alignment horizontal="center" vertical="center"/>
    </xf>
    <xf numFmtId="4" fontId="41" fillId="0" borderId="7" xfId="0" applyNumberFormat="1" applyFont="1" applyBorder="1" applyAlignment="1">
      <alignment horizontal="center" vertical="center"/>
    </xf>
    <xf numFmtId="4" fontId="41" fillId="20" borderId="32" xfId="0" applyNumberFormat="1" applyFont="1" applyFill="1" applyBorder="1" applyAlignment="1">
      <alignment horizontal="center" vertical="center"/>
    </xf>
    <xf numFmtId="4" fontId="41" fillId="20" borderId="7" xfId="0" applyNumberFormat="1" applyFont="1" applyFill="1" applyBorder="1" applyAlignment="1">
      <alignment horizontal="center" vertical="center"/>
    </xf>
    <xf numFmtId="4" fontId="41" fillId="20" borderId="15" xfId="0" applyNumberFormat="1" applyFont="1" applyFill="1" applyBorder="1" applyAlignment="1">
      <alignment horizontal="center" vertical="center"/>
    </xf>
    <xf numFmtId="4" fontId="41" fillId="20" borderId="69" xfId="0" applyNumberFormat="1" applyFont="1" applyFill="1" applyBorder="1" applyAlignment="1">
      <alignment horizontal="center" vertical="center"/>
    </xf>
    <xf numFmtId="4" fontId="41" fillId="20" borderId="63" xfId="0" applyNumberFormat="1" applyFont="1" applyFill="1" applyBorder="1" applyAlignment="1">
      <alignment horizontal="center" vertical="center"/>
    </xf>
    <xf numFmtId="4" fontId="41" fillId="20" borderId="55" xfId="0" applyNumberFormat="1" applyFont="1" applyFill="1" applyBorder="1" applyAlignment="1">
      <alignment horizontal="center" vertical="center"/>
    </xf>
    <xf numFmtId="0" fontId="21" fillId="0" borderId="40" xfId="40" quotePrefix="1" applyFont="1" applyBorder="1" applyAlignment="1">
      <alignment horizontal="center" vertical="center" wrapText="1"/>
    </xf>
    <xf numFmtId="171" fontId="47" fillId="37" borderId="63" xfId="0" applyNumberFormat="1" applyFont="1" applyFill="1" applyBorder="1" applyAlignment="1">
      <alignment horizontal="center" wrapText="1"/>
    </xf>
    <xf numFmtId="171" fontId="47" fillId="37" borderId="55" xfId="0" applyNumberFormat="1" applyFont="1" applyFill="1" applyBorder="1" applyAlignment="1">
      <alignment horizontal="center" wrapText="1"/>
    </xf>
    <xf numFmtId="0" fontId="45" fillId="0" borderId="0" xfId="40" applyFont="1" applyAlignment="1">
      <alignment horizontal="right" vertical="center"/>
    </xf>
    <xf numFmtId="3" fontId="12" fillId="0" borderId="73" xfId="0" applyNumberFormat="1" applyFont="1" applyBorder="1" applyAlignment="1">
      <alignment horizontal="center" vertical="center" wrapText="1"/>
    </xf>
    <xf numFmtId="3" fontId="12" fillId="0" borderId="76" xfId="0" applyNumberFormat="1" applyFont="1" applyBorder="1" applyAlignment="1">
      <alignment horizontal="center" vertical="center" wrapText="1"/>
    </xf>
    <xf numFmtId="3" fontId="12" fillId="0" borderId="77" xfId="0" applyNumberFormat="1" applyFont="1" applyBorder="1" applyAlignment="1">
      <alignment horizontal="center" vertical="center" wrapText="1"/>
    </xf>
    <xf numFmtId="3" fontId="12" fillId="0" borderId="57" xfId="0" applyNumberFormat="1" applyFont="1" applyBorder="1" applyAlignment="1">
      <alignment horizontal="center" vertical="center" wrapText="1"/>
    </xf>
    <xf numFmtId="3" fontId="12" fillId="0" borderId="7" xfId="0" applyNumberFormat="1" applyFont="1" applyBorder="1" applyAlignment="1">
      <alignment horizontal="center" vertical="center" wrapText="1"/>
    </xf>
    <xf numFmtId="3" fontId="12" fillId="0" borderId="53" xfId="0" applyNumberFormat="1" applyFont="1" applyBorder="1" applyAlignment="1">
      <alignment horizontal="center" vertical="center" wrapText="1"/>
    </xf>
    <xf numFmtId="3" fontId="12" fillId="26" borderId="73" xfId="0" applyNumberFormat="1" applyFont="1" applyFill="1" applyBorder="1" applyAlignment="1">
      <alignment horizontal="center" vertical="center" wrapText="1"/>
    </xf>
    <xf numFmtId="3" fontId="12" fillId="26" borderId="76" xfId="0" applyNumberFormat="1" applyFont="1" applyFill="1" applyBorder="1" applyAlignment="1">
      <alignment horizontal="center" vertical="center" wrapText="1"/>
    </xf>
    <xf numFmtId="3" fontId="12" fillId="26" borderId="77" xfId="0" applyNumberFormat="1" applyFont="1" applyFill="1" applyBorder="1" applyAlignment="1">
      <alignment horizontal="center" vertical="center" wrapText="1"/>
    </xf>
    <xf numFmtId="3" fontId="12" fillId="26" borderId="57" xfId="0" applyNumberFormat="1" applyFont="1" applyFill="1" applyBorder="1" applyAlignment="1">
      <alignment horizontal="center" vertical="center" wrapText="1"/>
    </xf>
    <xf numFmtId="173" fontId="21" fillId="26" borderId="7" xfId="0" applyNumberFormat="1" applyFont="1" applyFill="1" applyBorder="1" applyAlignment="1">
      <alignment horizontal="center" vertical="center" wrapText="1"/>
    </xf>
    <xf numFmtId="173" fontId="21" fillId="26" borderId="53" xfId="0" applyNumberFormat="1" applyFont="1" applyFill="1" applyBorder="1" applyAlignment="1">
      <alignment horizontal="center" vertical="center" wrapText="1"/>
    </xf>
    <xf numFmtId="3" fontId="41" fillId="28" borderId="52" xfId="0" applyNumberFormat="1" applyFont="1" applyFill="1" applyBorder="1" applyAlignment="1" applyProtection="1">
      <alignment horizontal="center" vertical="center"/>
      <protection locked="0"/>
    </xf>
    <xf numFmtId="3" fontId="41" fillId="28" borderId="7" xfId="0" applyNumberFormat="1" applyFont="1" applyFill="1" applyBorder="1" applyAlignment="1" applyProtection="1">
      <alignment horizontal="center" vertical="center"/>
      <protection locked="0"/>
    </xf>
    <xf numFmtId="3" fontId="41" fillId="28" borderId="52" xfId="0" applyNumberFormat="1" applyFont="1" applyFill="1" applyBorder="1" applyAlignment="1" applyProtection="1">
      <alignment horizontal="right" vertical="center"/>
      <protection locked="0"/>
    </xf>
    <xf numFmtId="3" fontId="41" fillId="28" borderId="7" xfId="0" applyNumberFormat="1" applyFont="1" applyFill="1" applyBorder="1" applyAlignment="1" applyProtection="1">
      <alignment horizontal="right" vertical="center"/>
      <protection locked="0"/>
    </xf>
    <xf numFmtId="3" fontId="41" fillId="28" borderId="53" xfId="0" applyNumberFormat="1" applyFont="1" applyFill="1" applyBorder="1" applyAlignment="1" applyProtection="1">
      <alignment horizontal="right" vertical="center"/>
      <protection locked="0"/>
    </xf>
    <xf numFmtId="3" fontId="42" fillId="28" borderId="56" xfId="0" applyNumberFormat="1" applyFont="1" applyFill="1" applyBorder="1" applyAlignment="1" applyProtection="1">
      <alignment horizontal="center" vertical="center"/>
      <protection locked="0"/>
    </xf>
    <xf numFmtId="3" fontId="42" fillId="28" borderId="77" xfId="0" applyNumberFormat="1" applyFont="1" applyFill="1" applyBorder="1" applyAlignment="1" applyProtection="1">
      <alignment horizontal="center" vertical="center"/>
      <protection locked="0"/>
    </xf>
    <xf numFmtId="3" fontId="42" fillId="28" borderId="57" xfId="0" applyNumberFormat="1" applyFont="1" applyFill="1" applyBorder="1" applyAlignment="1" applyProtection="1">
      <alignment horizontal="center" vertical="center"/>
      <protection locked="0"/>
    </xf>
    <xf numFmtId="172" fontId="41" fillId="27" borderId="7" xfId="0" applyNumberFormat="1" applyFont="1" applyFill="1" applyBorder="1" applyAlignment="1">
      <alignment horizontal="center" vertical="center"/>
    </xf>
    <xf numFmtId="172" fontId="40" fillId="24" borderId="7" xfId="0" applyNumberFormat="1" applyFont="1" applyFill="1" applyBorder="1" applyAlignment="1">
      <alignment horizontal="center" vertical="center"/>
    </xf>
    <xf numFmtId="3" fontId="41" fillId="29" borderId="7" xfId="49" applyNumberFormat="1" applyFont="1" applyFill="1" applyBorder="1" applyAlignment="1">
      <alignment horizontal="right" vertical="center"/>
    </xf>
    <xf numFmtId="4" fontId="14" fillId="26" borderId="7" xfId="0" applyNumberFormat="1" applyFont="1" applyFill="1" applyBorder="1" applyAlignment="1">
      <alignment horizontal="center" vertical="center"/>
    </xf>
    <xf numFmtId="172" fontId="104" fillId="26" borderId="7" xfId="49" applyNumberFormat="1" applyFont="1" applyFill="1" applyBorder="1" applyAlignment="1">
      <alignment horizontal="center" vertical="center"/>
    </xf>
    <xf numFmtId="3" fontId="41" fillId="27" borderId="0" xfId="49" applyNumberFormat="1" applyFont="1" applyFill="1" applyAlignment="1">
      <alignment horizontal="center" vertical="center"/>
    </xf>
    <xf numFmtId="0" fontId="103" fillId="0" borderId="7" xfId="0" applyFont="1" applyBorder="1" applyAlignment="1">
      <alignment horizontal="left" vertical="center" wrapText="1"/>
    </xf>
    <xf numFmtId="3" fontId="40" fillId="24" borderId="7" xfId="0" applyNumberFormat="1" applyFont="1" applyFill="1" applyBorder="1" applyAlignment="1">
      <alignment horizontal="left" vertical="center" wrapText="1"/>
    </xf>
    <xf numFmtId="3" fontId="40" fillId="24" borderId="17" xfId="32" applyNumberFormat="1" applyFont="1" applyFill="1" applyBorder="1" applyAlignment="1">
      <alignment horizontal="center" vertical="center"/>
    </xf>
    <xf numFmtId="3" fontId="41" fillId="26" borderId="17" xfId="32" applyNumberFormat="1" applyFont="1" applyFill="1" applyBorder="1" applyAlignment="1">
      <alignment horizontal="center" vertical="center"/>
    </xf>
    <xf numFmtId="3" fontId="41" fillId="26" borderId="23" xfId="32" applyNumberFormat="1" applyFont="1" applyFill="1" applyBorder="1" applyAlignment="1">
      <alignment horizontal="center" vertical="center"/>
    </xf>
    <xf numFmtId="3" fontId="41" fillId="26" borderId="24" xfId="32" applyNumberFormat="1" applyFont="1" applyFill="1" applyBorder="1" applyAlignment="1">
      <alignment horizontal="center" vertical="center"/>
    </xf>
    <xf numFmtId="3" fontId="40" fillId="31" borderId="17" xfId="32" applyNumberFormat="1" applyFont="1" applyFill="1" applyBorder="1" applyAlignment="1">
      <alignment horizontal="center" vertical="center"/>
    </xf>
    <xf numFmtId="176" fontId="40" fillId="24" borderId="17" xfId="32" applyNumberFormat="1" applyFont="1" applyFill="1" applyBorder="1" applyAlignment="1">
      <alignment horizontal="center" vertical="center"/>
    </xf>
    <xf numFmtId="176" fontId="40" fillId="0" borderId="0" xfId="32" applyNumberFormat="1" applyFont="1" applyAlignment="1">
      <alignment horizontal="center" vertical="center"/>
    </xf>
    <xf numFmtId="3" fontId="40" fillId="31" borderId="38" xfId="32" applyNumberFormat="1" applyFont="1" applyFill="1" applyBorder="1" applyAlignment="1">
      <alignment horizontal="center" vertical="center"/>
    </xf>
    <xf numFmtId="3" fontId="40" fillId="31" borderId="9" xfId="32" applyNumberFormat="1" applyFont="1" applyFill="1" applyBorder="1" applyAlignment="1">
      <alignment horizontal="center" vertical="center"/>
    </xf>
    <xf numFmtId="3" fontId="40" fillId="31" borderId="65" xfId="32" applyNumberFormat="1" applyFont="1" applyFill="1" applyBorder="1" applyAlignment="1">
      <alignment horizontal="center" vertical="center"/>
    </xf>
    <xf numFmtId="3" fontId="40" fillId="31" borderId="80" xfId="32" applyNumberFormat="1" applyFont="1" applyFill="1" applyBorder="1" applyAlignment="1">
      <alignment horizontal="center" vertical="center"/>
    </xf>
    <xf numFmtId="3" fontId="40" fillId="31" borderId="58" xfId="32" applyNumberFormat="1" applyFont="1" applyFill="1" applyBorder="1" applyAlignment="1">
      <alignment horizontal="center" vertical="center"/>
    </xf>
    <xf numFmtId="0" fontId="40" fillId="31" borderId="75" xfId="32" applyFont="1" applyFill="1" applyBorder="1" applyAlignment="1">
      <alignment horizontal="center" vertical="center"/>
    </xf>
    <xf numFmtId="0" fontId="40" fillId="31" borderId="76" xfId="32" applyFont="1" applyFill="1" applyBorder="1" applyAlignment="1">
      <alignment vertical="center"/>
    </xf>
    <xf numFmtId="49" fontId="41" fillId="27" borderId="56" xfId="32" applyNumberFormat="1" applyFont="1" applyFill="1" applyBorder="1" applyAlignment="1">
      <alignment horizontal="center" vertical="center" wrapText="1"/>
    </xf>
    <xf numFmtId="49" fontId="21" fillId="37" borderId="35" xfId="0" applyNumberFormat="1" applyFont="1" applyFill="1" applyBorder="1" applyAlignment="1">
      <alignment horizontal="center" vertical="center"/>
    </xf>
    <xf numFmtId="49" fontId="21" fillId="37" borderId="41" xfId="0" applyNumberFormat="1" applyFont="1" applyFill="1" applyBorder="1" applyAlignment="1">
      <alignment horizontal="center" vertical="center"/>
    </xf>
    <xf numFmtId="0" fontId="21" fillId="37" borderId="35" xfId="0" applyFont="1" applyFill="1" applyBorder="1" applyAlignment="1">
      <alignment horizontal="center" vertical="center"/>
    </xf>
    <xf numFmtId="0" fontId="21" fillId="37" borderId="2" xfId="0" applyFont="1" applyFill="1" applyBorder="1" applyAlignment="1">
      <alignment horizontal="center" vertical="center" wrapText="1"/>
    </xf>
    <xf numFmtId="0" fontId="21" fillId="37" borderId="3" xfId="0" applyFont="1" applyFill="1" applyBorder="1" applyAlignment="1">
      <alignment horizontal="center" vertical="center" wrapText="1"/>
    </xf>
    <xf numFmtId="0" fontId="12" fillId="0" borderId="0" xfId="0" applyFont="1" applyAlignment="1">
      <alignment horizontal="center" vertical="center"/>
    </xf>
    <xf numFmtId="3" fontId="12" fillId="3" borderId="17" xfId="0" applyNumberFormat="1" applyFont="1" applyFill="1" applyBorder="1" applyAlignment="1" applyProtection="1">
      <alignment horizontal="center" vertical="center" wrapText="1"/>
      <protection locked="0"/>
    </xf>
    <xf numFmtId="3" fontId="12" fillId="3" borderId="51" xfId="0" applyNumberFormat="1" applyFont="1" applyFill="1" applyBorder="1" applyAlignment="1" applyProtection="1">
      <alignment horizontal="center" vertical="center" wrapText="1"/>
      <protection locked="0"/>
    </xf>
    <xf numFmtId="3" fontId="12" fillId="3" borderId="21" xfId="0" applyNumberFormat="1" applyFont="1" applyFill="1" applyBorder="1" applyAlignment="1" applyProtection="1">
      <alignment horizontal="center" vertical="center" wrapText="1"/>
      <protection locked="0"/>
    </xf>
    <xf numFmtId="3" fontId="12" fillId="0" borderId="51" xfId="0" applyNumberFormat="1" applyFont="1" applyBorder="1" applyAlignment="1">
      <alignment horizontal="center" vertical="center" wrapText="1"/>
    </xf>
    <xf numFmtId="3" fontId="12" fillId="0" borderId="17" xfId="0" applyNumberFormat="1" applyFont="1" applyBorder="1" applyAlignment="1">
      <alignment horizontal="center" vertical="center" wrapText="1"/>
    </xf>
    <xf numFmtId="3" fontId="12" fillId="0" borderId="39" xfId="0" applyNumberFormat="1" applyFont="1" applyBorder="1" applyAlignment="1">
      <alignment horizontal="center" vertical="center" wrapText="1"/>
    </xf>
    <xf numFmtId="173" fontId="12" fillId="3" borderId="17" xfId="0" applyNumberFormat="1" applyFont="1" applyFill="1" applyBorder="1" applyAlignment="1" applyProtection="1">
      <alignment horizontal="center" vertical="center" wrapText="1"/>
      <protection locked="0"/>
    </xf>
    <xf numFmtId="173" fontId="21" fillId="26" borderId="17" xfId="0" applyNumberFormat="1" applyFont="1" applyFill="1" applyBorder="1" applyAlignment="1">
      <alignment horizontal="center" vertical="center" wrapText="1"/>
    </xf>
    <xf numFmtId="3" fontId="12" fillId="3" borderId="5" xfId="0" applyNumberFormat="1" applyFont="1" applyFill="1" applyBorder="1" applyAlignment="1" applyProtection="1">
      <alignment horizontal="center" vertical="center" wrapText="1"/>
      <protection locked="0"/>
    </xf>
    <xf numFmtId="3" fontId="12" fillId="26" borderId="51" xfId="0" applyNumberFormat="1" applyFont="1" applyFill="1" applyBorder="1" applyAlignment="1">
      <alignment horizontal="center" vertical="center" wrapText="1"/>
    </xf>
    <xf numFmtId="3" fontId="12" fillId="26" borderId="21" xfId="0" applyNumberFormat="1" applyFont="1" applyFill="1" applyBorder="1" applyAlignment="1">
      <alignment horizontal="center" vertical="center" wrapText="1"/>
    </xf>
    <xf numFmtId="3" fontId="12" fillId="0" borderId="21" xfId="0" applyNumberFormat="1" applyFont="1" applyBorder="1" applyAlignment="1">
      <alignment horizontal="center" vertical="center" wrapText="1"/>
    </xf>
    <xf numFmtId="0" fontId="12" fillId="0" borderId="0" xfId="2" applyFont="1" applyBorder="1" applyAlignment="1" applyProtection="1">
      <alignment horizontal="center" vertical="center"/>
    </xf>
    <xf numFmtId="0" fontId="70" fillId="27" borderId="29" xfId="0" applyFont="1" applyFill="1" applyBorder="1" applyAlignment="1">
      <alignment horizontal="left" vertical="center"/>
    </xf>
    <xf numFmtId="49" fontId="33" fillId="27" borderId="14" xfId="0" applyNumberFormat="1" applyFont="1" applyFill="1" applyBorder="1" applyAlignment="1">
      <alignment horizontal="left" vertical="center"/>
    </xf>
    <xf numFmtId="49" fontId="33" fillId="27" borderId="6" xfId="0" applyNumberFormat="1" applyFont="1" applyFill="1" applyBorder="1" applyAlignment="1">
      <alignment horizontal="left" vertical="center"/>
    </xf>
    <xf numFmtId="49" fontId="33" fillId="27" borderId="24" xfId="0" applyNumberFormat="1" applyFont="1" applyFill="1" applyBorder="1" applyAlignment="1">
      <alignment horizontal="left" vertical="center"/>
    </xf>
    <xf numFmtId="49" fontId="33" fillId="27" borderId="15" xfId="0" applyNumberFormat="1" applyFont="1" applyFill="1" applyBorder="1" applyAlignment="1">
      <alignment horizontal="left" vertical="center"/>
    </xf>
    <xf numFmtId="168" fontId="12" fillId="27" borderId="0" xfId="49" applyNumberFormat="1" applyFont="1" applyFill="1" applyAlignment="1">
      <alignment horizontal="right" vertical="center" wrapText="1"/>
    </xf>
    <xf numFmtId="168" fontId="12" fillId="27" borderId="0" xfId="49" applyNumberFormat="1" applyFont="1" applyFill="1" applyAlignment="1">
      <alignment horizontal="center" vertical="center" wrapText="1"/>
    </xf>
    <xf numFmtId="4" fontId="40" fillId="27" borderId="75" xfId="49" applyNumberFormat="1" applyFont="1" applyFill="1" applyBorder="1" applyAlignment="1">
      <alignment horizontal="center" vertical="center"/>
    </xf>
    <xf numFmtId="4" fontId="40" fillId="27" borderId="73" xfId="49" applyNumberFormat="1" applyFont="1" applyFill="1" applyBorder="1" applyAlignment="1">
      <alignment horizontal="center" vertical="center"/>
    </xf>
    <xf numFmtId="4" fontId="40" fillId="27" borderId="76" xfId="49" applyNumberFormat="1" applyFont="1" applyFill="1" applyBorder="1" applyAlignment="1">
      <alignment horizontal="center" vertical="center"/>
    </xf>
    <xf numFmtId="4" fontId="40" fillId="27" borderId="72" xfId="49" applyNumberFormat="1" applyFont="1" applyFill="1" applyBorder="1" applyAlignment="1">
      <alignment horizontal="center" vertical="center"/>
    </xf>
    <xf numFmtId="4" fontId="40" fillId="27" borderId="52" xfId="49" applyNumberFormat="1" applyFont="1" applyFill="1" applyBorder="1" applyAlignment="1">
      <alignment horizontal="center" vertical="center"/>
    </xf>
    <xf numFmtId="4" fontId="40" fillId="27" borderId="7" xfId="49" applyNumberFormat="1" applyFont="1" applyFill="1" applyBorder="1" applyAlignment="1">
      <alignment horizontal="center" vertical="center"/>
    </xf>
    <xf numFmtId="4" fontId="40" fillId="27" borderId="53" xfId="49" applyNumberFormat="1" applyFont="1" applyFill="1" applyBorder="1" applyAlignment="1">
      <alignment horizontal="center" vertical="center"/>
    </xf>
    <xf numFmtId="4" fontId="40" fillId="27" borderId="32" xfId="49" applyNumberFormat="1" applyFont="1" applyFill="1" applyBorder="1" applyAlignment="1">
      <alignment horizontal="center" vertical="center"/>
    </xf>
    <xf numFmtId="4" fontId="40" fillId="27" borderId="56" xfId="49" applyNumberFormat="1" applyFont="1" applyFill="1" applyBorder="1" applyAlignment="1">
      <alignment horizontal="center" vertical="center"/>
    </xf>
    <xf numFmtId="4" fontId="40" fillId="27" borderId="77" xfId="49" applyNumberFormat="1" applyFont="1" applyFill="1" applyBorder="1" applyAlignment="1">
      <alignment horizontal="center" vertical="center"/>
    </xf>
    <xf numFmtId="4" fontId="40" fillId="27" borderId="57" xfId="49" applyNumberFormat="1" applyFont="1" applyFill="1" applyBorder="1" applyAlignment="1">
      <alignment horizontal="center" vertical="center"/>
    </xf>
    <xf numFmtId="4" fontId="40" fillId="27" borderId="79" xfId="49" applyNumberFormat="1" applyFont="1" applyFill="1" applyBorder="1" applyAlignment="1">
      <alignment horizontal="center" vertical="center"/>
    </xf>
    <xf numFmtId="0" fontId="65" fillId="37" borderId="2" xfId="52" applyFont="1" applyFill="1" applyBorder="1" applyAlignment="1">
      <alignment horizontal="center" vertical="center"/>
    </xf>
    <xf numFmtId="0" fontId="65" fillId="37" borderId="65" xfId="52" applyFont="1" applyFill="1" applyBorder="1" applyAlignment="1">
      <alignment horizontal="center" vertical="center"/>
    </xf>
    <xf numFmtId="0" fontId="65" fillId="23" borderId="11" xfId="52" applyFont="1" applyFill="1" applyBorder="1" applyAlignment="1">
      <alignment horizontal="center" vertical="center"/>
    </xf>
    <xf numFmtId="0" fontId="57" fillId="31" borderId="51" xfId="52" applyFont="1" applyFill="1" applyBorder="1" applyAlignment="1">
      <alignment horizontal="center" vertical="center" wrapText="1"/>
    </xf>
    <xf numFmtId="0" fontId="41" fillId="26" borderId="24" xfId="0" applyFont="1" applyFill="1" applyBorder="1" applyAlignment="1">
      <alignment vertical="center" wrapText="1"/>
    </xf>
    <xf numFmtId="0" fontId="57" fillId="20" borderId="17" xfId="52" applyFont="1" applyFill="1" applyBorder="1" applyAlignment="1">
      <alignment horizontal="center" vertical="center" wrapText="1"/>
    </xf>
    <xf numFmtId="0" fontId="57" fillId="31" borderId="5" xfId="52" applyFont="1" applyFill="1" applyBorder="1" applyAlignment="1">
      <alignment horizontal="center" vertical="center" wrapText="1"/>
    </xf>
    <xf numFmtId="0" fontId="57" fillId="31" borderId="39" xfId="52" applyFont="1" applyFill="1" applyBorder="1" applyAlignment="1">
      <alignment horizontal="center" vertical="center" wrapText="1"/>
    </xf>
    <xf numFmtId="0" fontId="57" fillId="20" borderId="51" xfId="52" applyFont="1" applyFill="1" applyBorder="1" applyAlignment="1">
      <alignment horizontal="center" vertical="center" wrapText="1"/>
    </xf>
    <xf numFmtId="0" fontId="57" fillId="20" borderId="21" xfId="52" applyFont="1" applyFill="1" applyBorder="1" applyAlignment="1">
      <alignment horizontal="center" vertical="center" wrapText="1"/>
    </xf>
    <xf numFmtId="0" fontId="57" fillId="31" borderId="17" xfId="52" applyFont="1" applyFill="1" applyBorder="1" applyAlignment="1">
      <alignment horizontal="center" vertical="center" wrapText="1"/>
    </xf>
    <xf numFmtId="0" fontId="57" fillId="31" borderId="21" xfId="52" applyFont="1" applyFill="1" applyBorder="1" applyAlignment="1">
      <alignment horizontal="center" vertical="center" wrapText="1"/>
    </xf>
    <xf numFmtId="0" fontId="57" fillId="23" borderId="8" xfId="52" applyFont="1" applyFill="1" applyBorder="1" applyAlignment="1">
      <alignment horizontal="center" vertical="center" wrapText="1"/>
    </xf>
    <xf numFmtId="4" fontId="41" fillId="0" borderId="17" xfId="0" applyNumberFormat="1" applyFont="1" applyBorder="1" applyAlignment="1">
      <alignment horizontal="center" vertical="center"/>
    </xf>
    <xf numFmtId="4" fontId="41" fillId="20" borderId="17" xfId="0" applyNumberFormat="1" applyFont="1" applyFill="1" applyBorder="1" applyAlignment="1">
      <alignment horizontal="center" vertical="center"/>
    </xf>
    <xf numFmtId="4" fontId="41" fillId="20" borderId="39" xfId="0" applyNumberFormat="1" applyFont="1" applyFill="1" applyBorder="1" applyAlignment="1">
      <alignment horizontal="center" vertical="center"/>
    </xf>
    <xf numFmtId="10" fontId="40" fillId="31" borderId="1" xfId="1" applyNumberFormat="1" applyFont="1" applyFill="1" applyBorder="1" applyAlignment="1" applyProtection="1">
      <alignment horizontal="center" vertical="center"/>
    </xf>
    <xf numFmtId="10" fontId="40" fillId="31" borderId="2" xfId="1" applyNumberFormat="1" applyFont="1" applyFill="1" applyBorder="1" applyAlignment="1" applyProtection="1">
      <alignment horizontal="center" vertical="center"/>
    </xf>
    <xf numFmtId="10" fontId="40" fillId="31" borderId="65" xfId="1" applyNumberFormat="1" applyFont="1" applyFill="1" applyBorder="1" applyAlignment="1" applyProtection="1">
      <alignment horizontal="center" vertical="center"/>
    </xf>
    <xf numFmtId="10" fontId="40" fillId="31" borderId="9" xfId="1" applyNumberFormat="1" applyFont="1" applyFill="1" applyBorder="1" applyAlignment="1" applyProtection="1">
      <alignment horizontal="center" vertical="center"/>
    </xf>
    <xf numFmtId="10" fontId="40" fillId="31" borderId="10" xfId="1" applyNumberFormat="1" applyFont="1" applyFill="1" applyBorder="1" applyAlignment="1" applyProtection="1">
      <alignment horizontal="center" vertical="center"/>
    </xf>
    <xf numFmtId="0" fontId="35" fillId="27" borderId="0" xfId="40" applyFont="1" applyFill="1" applyAlignment="1">
      <alignment horizontal="left" vertical="center"/>
    </xf>
    <xf numFmtId="0" fontId="41" fillId="0" borderId="10" xfId="49" applyFont="1" applyBorder="1" applyAlignment="1">
      <alignment horizontal="left" vertical="center" wrapText="1"/>
    </xf>
    <xf numFmtId="0" fontId="41" fillId="26" borderId="60" xfId="49" applyFont="1" applyFill="1" applyBorder="1" applyAlignment="1">
      <alignment horizontal="left" vertical="center" wrapText="1"/>
    </xf>
    <xf numFmtId="169" fontId="42" fillId="26" borderId="99" xfId="49" applyNumberFormat="1" applyFont="1" applyFill="1" applyBorder="1" applyAlignment="1">
      <alignment horizontal="center" vertical="center" wrapText="1"/>
    </xf>
    <xf numFmtId="169" fontId="42" fillId="26" borderId="90" xfId="49" applyNumberFormat="1" applyFont="1" applyFill="1" applyBorder="1" applyAlignment="1">
      <alignment horizontal="center" vertical="center" wrapText="1"/>
    </xf>
    <xf numFmtId="0" fontId="12" fillId="3" borderId="29" xfId="0" applyFont="1" applyFill="1" applyBorder="1" applyAlignment="1" applyProtection="1">
      <alignment horizontal="center" vertical="center" wrapText="1"/>
      <protection locked="0"/>
    </xf>
    <xf numFmtId="0" fontId="12" fillId="3" borderId="24" xfId="0" applyFont="1" applyFill="1" applyBorder="1" applyAlignment="1" applyProtection="1">
      <alignment horizontal="center" vertical="center" wrapText="1"/>
      <protection locked="0"/>
    </xf>
    <xf numFmtId="0" fontId="12" fillId="3" borderId="71" xfId="0" applyFont="1" applyFill="1" applyBorder="1" applyAlignment="1" applyProtection="1">
      <alignment horizontal="center" vertical="center" wrapText="1"/>
      <protection locked="0"/>
    </xf>
    <xf numFmtId="3" fontId="12" fillId="3" borderId="23" xfId="0" applyNumberFormat="1" applyFont="1" applyFill="1" applyBorder="1" applyAlignment="1" applyProtection="1">
      <alignment horizontal="center" vertical="center" wrapText="1"/>
      <protection locked="0"/>
    </xf>
    <xf numFmtId="0" fontId="12" fillId="3" borderId="52" xfId="0" applyFont="1" applyFill="1" applyBorder="1" applyAlignment="1" applyProtection="1">
      <alignment horizontal="center" vertical="center" wrapText="1"/>
      <protection locked="0"/>
    </xf>
    <xf numFmtId="0" fontId="12" fillId="3" borderId="75" xfId="0" applyFont="1" applyFill="1" applyBorder="1" applyAlignment="1" applyProtection="1">
      <alignment horizontal="center" vertical="center" wrapText="1"/>
      <protection locked="0"/>
    </xf>
    <xf numFmtId="0" fontId="12" fillId="3" borderId="101" xfId="0" applyFont="1" applyFill="1" applyBorder="1" applyAlignment="1" applyProtection="1">
      <alignment horizontal="center" vertical="center" wrapText="1"/>
      <protection locked="0"/>
    </xf>
    <xf numFmtId="10" fontId="12" fillId="3" borderId="17" xfId="0" applyNumberFormat="1" applyFont="1" applyFill="1" applyBorder="1" applyAlignment="1" applyProtection="1">
      <alignment horizontal="center" vertical="center" wrapText="1"/>
      <protection locked="0"/>
    </xf>
    <xf numFmtId="3" fontId="12" fillId="3" borderId="52" xfId="32" applyNumberFormat="1" applyFont="1" applyFill="1" applyBorder="1" applyAlignment="1" applyProtection="1">
      <alignment horizontal="center" vertical="center"/>
      <protection locked="0"/>
    </xf>
    <xf numFmtId="49" fontId="41" fillId="26" borderId="49" xfId="49" applyNumberFormat="1" applyFont="1" applyFill="1" applyBorder="1" applyAlignment="1">
      <alignment horizontal="left" vertical="center" wrapText="1"/>
    </xf>
    <xf numFmtId="3" fontId="12" fillId="28" borderId="17" xfId="32" applyNumberFormat="1" applyFont="1" applyFill="1" applyBorder="1" applyAlignment="1" applyProtection="1">
      <alignment horizontal="center" vertical="center"/>
      <protection locked="0"/>
    </xf>
    <xf numFmtId="3" fontId="41" fillId="28" borderId="17" xfId="32" applyNumberFormat="1" applyFont="1" applyFill="1" applyBorder="1" applyAlignment="1" applyProtection="1">
      <alignment horizontal="center"/>
      <protection locked="0"/>
    </xf>
    <xf numFmtId="4" fontId="12" fillId="3" borderId="17" xfId="32" applyNumberFormat="1" applyFont="1" applyFill="1" applyBorder="1" applyAlignment="1" applyProtection="1">
      <alignment horizontal="center" vertical="center"/>
      <protection locked="0"/>
    </xf>
    <xf numFmtId="172" fontId="41" fillId="0" borderId="72" xfId="0" applyNumberFormat="1" applyFont="1" applyBorder="1" applyAlignment="1">
      <alignment horizontal="center" vertical="center"/>
    </xf>
    <xf numFmtId="172" fontId="41" fillId="0" borderId="14" xfId="0" applyNumberFormat="1" applyFont="1" applyBorder="1" applyAlignment="1">
      <alignment horizontal="center" vertical="center"/>
    </xf>
    <xf numFmtId="172" fontId="41" fillId="0" borderId="32" xfId="0" applyNumberFormat="1" applyFont="1" applyBorder="1" applyAlignment="1">
      <alignment horizontal="center" vertical="center"/>
    </xf>
    <xf numFmtId="172" fontId="41" fillId="0" borderId="15" xfId="0" applyNumberFormat="1" applyFont="1" applyBorder="1" applyAlignment="1">
      <alignment horizontal="center" vertical="center"/>
    </xf>
    <xf numFmtId="2" fontId="12" fillId="3" borderId="21" xfId="0" applyNumberFormat="1" applyFont="1" applyFill="1" applyBorder="1" applyAlignment="1" applyProtection="1">
      <alignment horizontal="center" vertical="center" wrapText="1"/>
      <protection locked="0"/>
    </xf>
    <xf numFmtId="4" fontId="40" fillId="24" borderId="7" xfId="0" applyNumberFormat="1" applyFont="1" applyFill="1" applyBorder="1" applyAlignment="1">
      <alignment horizontal="center" vertical="center"/>
    </xf>
    <xf numFmtId="3" fontId="12" fillId="3" borderId="17" xfId="32" applyNumberFormat="1" applyFont="1" applyFill="1" applyBorder="1" applyAlignment="1" applyProtection="1">
      <alignment horizontal="center" vertical="center"/>
      <protection locked="0"/>
    </xf>
    <xf numFmtId="3" fontId="12" fillId="3" borderId="21" xfId="32" applyNumberFormat="1" applyFont="1" applyFill="1" applyBorder="1" applyAlignment="1" applyProtection="1">
      <alignment horizontal="center" vertical="center"/>
      <protection locked="0"/>
    </xf>
    <xf numFmtId="3" fontId="12" fillId="3" borderId="7" xfId="32" applyNumberFormat="1" applyFont="1" applyFill="1" applyBorder="1" applyAlignment="1" applyProtection="1">
      <alignment horizontal="center" vertical="center"/>
      <protection locked="0"/>
    </xf>
    <xf numFmtId="3" fontId="12" fillId="3" borderId="53" xfId="32" applyNumberFormat="1" applyFont="1" applyFill="1" applyBorder="1" applyAlignment="1" applyProtection="1">
      <alignment horizontal="center" vertical="center"/>
      <protection locked="0"/>
    </xf>
    <xf numFmtId="3" fontId="12" fillId="3" borderId="32" xfId="32" applyNumberFormat="1" applyFont="1" applyFill="1" applyBorder="1" applyAlignment="1" applyProtection="1">
      <alignment horizontal="center" vertical="center"/>
      <protection locked="0"/>
    </xf>
    <xf numFmtId="176" fontId="41" fillId="3" borderId="23" xfId="32" applyNumberFormat="1" applyFont="1" applyFill="1" applyBorder="1" applyAlignment="1" applyProtection="1">
      <alignment horizontal="center" vertical="center"/>
      <protection locked="0"/>
    </xf>
    <xf numFmtId="176" fontId="41" fillId="3" borderId="17" xfId="32" applyNumberFormat="1" applyFont="1" applyFill="1" applyBorder="1" applyAlignment="1" applyProtection="1">
      <alignment horizontal="center" vertical="center"/>
      <protection locked="0"/>
    </xf>
    <xf numFmtId="3" fontId="40" fillId="31" borderId="60" xfId="32" applyNumberFormat="1" applyFont="1" applyFill="1" applyBorder="1" applyAlignment="1">
      <alignment horizontal="center" vertical="center"/>
    </xf>
    <xf numFmtId="3" fontId="41" fillId="3" borderId="52" xfId="32" applyNumberFormat="1" applyFont="1" applyFill="1" applyBorder="1" applyAlignment="1" applyProtection="1">
      <alignment horizontal="center" vertical="center"/>
      <protection locked="0"/>
    </xf>
    <xf numFmtId="3" fontId="41" fillId="3" borderId="7" xfId="32" applyNumberFormat="1" applyFont="1" applyFill="1" applyBorder="1" applyAlignment="1" applyProtection="1">
      <alignment horizontal="center" vertical="center"/>
      <protection locked="0"/>
    </xf>
    <xf numFmtId="3" fontId="40" fillId="31" borderId="1" xfId="32" applyNumberFormat="1" applyFont="1" applyFill="1" applyBorder="1" applyAlignment="1">
      <alignment horizontal="center" vertical="center"/>
    </xf>
    <xf numFmtId="3" fontId="41" fillId="3" borderId="58" xfId="32" applyNumberFormat="1" applyFont="1" applyFill="1" applyBorder="1" applyAlignment="1" applyProtection="1">
      <alignment horizontal="center" vertical="center"/>
      <protection locked="0"/>
    </xf>
    <xf numFmtId="3" fontId="41" fillId="29" borderId="56" xfId="49" applyNumberFormat="1" applyFont="1" applyFill="1" applyBorder="1" applyAlignment="1">
      <alignment horizontal="right" vertical="center"/>
    </xf>
    <xf numFmtId="3" fontId="41" fillId="29" borderId="77" xfId="49" applyNumberFormat="1" applyFont="1" applyFill="1" applyBorder="1" applyAlignment="1">
      <alignment horizontal="right" vertical="center"/>
    </xf>
    <xf numFmtId="3" fontId="41" fillId="29" borderId="57" xfId="49" applyNumberFormat="1" applyFont="1" applyFill="1" applyBorder="1" applyAlignment="1">
      <alignment horizontal="right" vertical="center"/>
    </xf>
    <xf numFmtId="3" fontId="42" fillId="3" borderId="7" xfId="32" applyNumberFormat="1" applyFont="1" applyFill="1" applyBorder="1" applyAlignment="1" applyProtection="1">
      <alignment horizontal="center" vertical="center"/>
      <protection locked="0"/>
    </xf>
    <xf numFmtId="3" fontId="42" fillId="3" borderId="53" xfId="32" applyNumberFormat="1" applyFont="1" applyFill="1" applyBorder="1" applyAlignment="1" applyProtection="1">
      <alignment horizontal="center" vertical="center"/>
      <protection locked="0"/>
    </xf>
    <xf numFmtId="3" fontId="42" fillId="3" borderId="63" xfId="32" applyNumberFormat="1" applyFont="1" applyFill="1" applyBorder="1" applyAlignment="1" applyProtection="1">
      <alignment horizontal="center" vertical="center"/>
      <protection locked="0"/>
    </xf>
    <xf numFmtId="3" fontId="42" fillId="3" borderId="55" xfId="32" applyNumberFormat="1" applyFont="1" applyFill="1" applyBorder="1" applyAlignment="1" applyProtection="1">
      <alignment horizontal="center" vertical="center"/>
      <protection locked="0"/>
    </xf>
    <xf numFmtId="3" fontId="40" fillId="31" borderId="8" xfId="32" applyNumberFormat="1" applyFont="1" applyFill="1" applyBorder="1" applyAlignment="1">
      <alignment vertical="center"/>
    </xf>
    <xf numFmtId="3" fontId="40" fillId="31" borderId="3" xfId="32" applyNumberFormat="1" applyFont="1" applyFill="1" applyBorder="1" applyAlignment="1">
      <alignment vertical="center"/>
    </xf>
    <xf numFmtId="0" fontId="41" fillId="27" borderId="49" xfId="32" applyFont="1" applyFill="1" applyBorder="1" applyAlignment="1">
      <alignment horizontal="center" vertical="center"/>
    </xf>
    <xf numFmtId="0" fontId="41" fillId="27" borderId="52" xfId="32" applyFont="1" applyFill="1" applyBorder="1" applyAlignment="1">
      <alignment horizontal="center" vertical="center"/>
    </xf>
    <xf numFmtId="0" fontId="41" fillId="27" borderId="54" xfId="32" applyFont="1" applyFill="1" applyBorder="1" applyAlignment="1">
      <alignment horizontal="center" vertical="center"/>
    </xf>
    <xf numFmtId="3" fontId="41" fillId="3" borderId="53" xfId="32" applyNumberFormat="1" applyFont="1" applyFill="1" applyBorder="1" applyAlignment="1" applyProtection="1">
      <alignment horizontal="center" vertical="center"/>
      <protection locked="0"/>
    </xf>
    <xf numFmtId="0" fontId="41" fillId="27" borderId="24" xfId="32" applyFont="1" applyFill="1" applyBorder="1" applyAlignment="1">
      <alignment horizontal="center" vertical="center"/>
    </xf>
    <xf numFmtId="3" fontId="41" fillId="3" borderId="54" xfId="32" applyNumberFormat="1" applyFont="1" applyFill="1" applyBorder="1" applyAlignment="1" applyProtection="1">
      <alignment horizontal="center" vertical="center"/>
      <protection locked="0"/>
    </xf>
    <xf numFmtId="3" fontId="41" fillId="3" borderId="49" xfId="32" applyNumberFormat="1" applyFont="1" applyFill="1" applyBorder="1" applyAlignment="1" applyProtection="1">
      <alignment horizontal="center" vertical="center"/>
      <protection locked="0"/>
    </xf>
    <xf numFmtId="3" fontId="41" fillId="3" borderId="31" xfId="32" applyNumberFormat="1" applyFont="1" applyFill="1" applyBorder="1" applyAlignment="1" applyProtection="1">
      <alignment horizontal="center" vertical="center"/>
      <protection locked="0"/>
    </xf>
    <xf numFmtId="3" fontId="41" fillId="3" borderId="50" xfId="32" applyNumberFormat="1" applyFont="1" applyFill="1" applyBorder="1" applyAlignment="1" applyProtection="1">
      <alignment horizontal="center" vertical="center"/>
      <protection locked="0"/>
    </xf>
    <xf numFmtId="3" fontId="42" fillId="3" borderId="75" xfId="32" applyNumberFormat="1" applyFont="1" applyFill="1" applyBorder="1" applyAlignment="1" applyProtection="1">
      <alignment horizontal="center" vertical="center"/>
      <protection locked="0"/>
    </xf>
    <xf numFmtId="3" fontId="42" fillId="3" borderId="73" xfId="32" applyNumberFormat="1" applyFont="1" applyFill="1" applyBorder="1" applyAlignment="1" applyProtection="1">
      <alignment horizontal="center" vertical="center"/>
      <protection locked="0"/>
    </xf>
    <xf numFmtId="3" fontId="42" fillId="3" borderId="76" xfId="32" applyNumberFormat="1" applyFont="1" applyFill="1" applyBorder="1" applyAlignment="1" applyProtection="1">
      <alignment horizontal="center" vertical="center"/>
      <protection locked="0"/>
    </xf>
    <xf numFmtId="3" fontId="42" fillId="3" borderId="52" xfId="32" applyNumberFormat="1" applyFont="1" applyFill="1" applyBorder="1" applyAlignment="1" applyProtection="1">
      <alignment horizontal="center" vertical="center"/>
      <protection locked="0"/>
    </xf>
    <xf numFmtId="3" fontId="41" fillId="28" borderId="52" xfId="32" applyNumberFormat="1" applyFont="1" applyFill="1" applyBorder="1" applyAlignment="1" applyProtection="1">
      <alignment horizontal="center" vertical="center"/>
      <protection locked="0"/>
    </xf>
    <xf numFmtId="0" fontId="93" fillId="27" borderId="0" xfId="49" applyFont="1" applyFill="1" applyAlignment="1">
      <alignment horizontal="left" vertical="center" wrapText="1"/>
    </xf>
    <xf numFmtId="0" fontId="0" fillId="27" borderId="0" xfId="0" applyFill="1" applyAlignment="1">
      <alignment horizontal="left" vertical="center" wrapText="1"/>
    </xf>
    <xf numFmtId="3" fontId="79" fillId="27" borderId="0" xfId="49" applyNumberFormat="1" applyFont="1" applyFill="1" applyAlignment="1">
      <alignment horizontal="center" vertical="center"/>
    </xf>
    <xf numFmtId="3" fontId="12" fillId="3" borderId="51" xfId="31" applyNumberFormat="1" applyFont="1" applyFill="1" applyBorder="1" applyAlignment="1" applyProtection="1">
      <alignment horizontal="center" vertical="center" wrapText="1"/>
      <protection locked="0"/>
    </xf>
    <xf numFmtId="3" fontId="12" fillId="3" borderId="72" xfId="31" applyNumberFormat="1" applyFont="1" applyFill="1" applyBorder="1" applyAlignment="1" applyProtection="1">
      <alignment horizontal="center" vertical="center" wrapText="1"/>
      <protection locked="0"/>
    </xf>
    <xf numFmtId="3" fontId="12" fillId="3" borderId="14" xfId="31" applyNumberFormat="1" applyFont="1" applyFill="1" applyBorder="1" applyAlignment="1" applyProtection="1">
      <alignment horizontal="center" vertical="center" wrapText="1"/>
      <protection locked="0"/>
    </xf>
    <xf numFmtId="3" fontId="12" fillId="3" borderId="17" xfId="31" applyNumberFormat="1" applyFont="1" applyFill="1" applyBorder="1" applyAlignment="1" applyProtection="1">
      <alignment horizontal="center" vertical="center" wrapText="1"/>
      <protection locked="0"/>
    </xf>
    <xf numFmtId="3" fontId="12" fillId="3" borderId="32" xfId="31" applyNumberFormat="1" applyFont="1" applyFill="1" applyBorder="1" applyAlignment="1" applyProtection="1">
      <alignment horizontal="center" vertical="center" wrapText="1"/>
      <protection locked="0"/>
    </xf>
    <xf numFmtId="3" fontId="12" fillId="3" borderId="15" xfId="31" applyNumberFormat="1" applyFont="1" applyFill="1" applyBorder="1" applyAlignment="1" applyProtection="1">
      <alignment horizontal="center" vertical="center" wrapText="1"/>
      <protection locked="0"/>
    </xf>
    <xf numFmtId="3" fontId="12" fillId="3" borderId="5" xfId="31" applyNumberFormat="1" applyFont="1" applyFill="1" applyBorder="1" applyAlignment="1" applyProtection="1">
      <alignment horizontal="center" vertical="center" wrapText="1"/>
      <protection locked="0"/>
    </xf>
    <xf numFmtId="3" fontId="12" fillId="3" borderId="44" xfId="31" applyNumberFormat="1" applyFont="1" applyFill="1" applyBorder="1" applyAlignment="1" applyProtection="1">
      <alignment horizontal="center" vertical="center" wrapText="1"/>
      <protection locked="0"/>
    </xf>
    <xf numFmtId="3" fontId="12" fillId="3" borderId="6" xfId="31" applyNumberFormat="1" applyFont="1" applyFill="1" applyBorder="1" applyAlignment="1" applyProtection="1">
      <alignment horizontal="center" vertical="center" wrapText="1"/>
      <protection locked="0"/>
    </xf>
    <xf numFmtId="3" fontId="12" fillId="3" borderId="23" xfId="31" applyNumberFormat="1" applyFont="1" applyFill="1" applyBorder="1" applyAlignment="1" applyProtection="1">
      <alignment horizontal="center" vertical="center" wrapText="1"/>
      <protection locked="0"/>
    </xf>
    <xf numFmtId="3" fontId="12" fillId="3" borderId="7" xfId="31" applyNumberFormat="1" applyFont="1" applyFill="1" applyBorder="1" applyAlignment="1" applyProtection="1">
      <alignment horizontal="center" vertical="center" wrapText="1"/>
      <protection locked="0"/>
    </xf>
    <xf numFmtId="3" fontId="12" fillId="3" borderId="53" xfId="31" applyNumberFormat="1" applyFont="1" applyFill="1" applyBorder="1" applyAlignment="1" applyProtection="1">
      <alignment horizontal="center" vertical="center" wrapText="1"/>
      <protection locked="0"/>
    </xf>
    <xf numFmtId="3" fontId="12" fillId="3" borderId="62" xfId="31" applyNumberFormat="1" applyFont="1" applyFill="1" applyBorder="1" applyAlignment="1" applyProtection="1">
      <alignment horizontal="center" vertical="center" wrapText="1"/>
      <protection locked="0"/>
    </xf>
    <xf numFmtId="3" fontId="12" fillId="3" borderId="2" xfId="31" applyNumberFormat="1" applyFont="1" applyFill="1" applyBorder="1" applyAlignment="1" applyProtection="1">
      <alignment horizontal="center" vertical="center" wrapText="1"/>
      <protection locked="0"/>
    </xf>
    <xf numFmtId="3" fontId="12" fillId="3" borderId="38" xfId="31" applyNumberFormat="1" applyFont="1" applyFill="1" applyBorder="1" applyAlignment="1" applyProtection="1">
      <alignment horizontal="center" vertical="center" wrapText="1"/>
      <protection locked="0"/>
    </xf>
    <xf numFmtId="3" fontId="12" fillId="3" borderId="8" xfId="31" applyNumberFormat="1" applyFont="1" applyFill="1" applyBorder="1" applyAlignment="1" applyProtection="1">
      <alignment horizontal="center" vertical="center" wrapText="1"/>
      <protection locked="0"/>
    </xf>
    <xf numFmtId="3" fontId="12" fillId="3" borderId="60" xfId="31" applyNumberFormat="1" applyFont="1" applyFill="1" applyBorder="1" applyAlignment="1" applyProtection="1">
      <alignment horizontal="center" vertical="center" wrapText="1"/>
      <protection locked="0"/>
    </xf>
    <xf numFmtId="3" fontId="12" fillId="3" borderId="9" xfId="31" applyNumberFormat="1" applyFont="1" applyFill="1" applyBorder="1" applyAlignment="1" applyProtection="1">
      <alignment horizontal="center" vertical="center" wrapText="1"/>
      <protection locked="0"/>
    </xf>
    <xf numFmtId="3" fontId="12" fillId="3" borderId="10" xfId="31" applyNumberFormat="1" applyFont="1" applyFill="1" applyBorder="1" applyAlignment="1" applyProtection="1">
      <alignment horizontal="center" vertical="center" wrapText="1"/>
      <protection locked="0"/>
    </xf>
    <xf numFmtId="3" fontId="12" fillId="3" borderId="3" xfId="31" applyNumberFormat="1" applyFont="1" applyFill="1" applyBorder="1" applyAlignment="1" applyProtection="1">
      <alignment horizontal="center" vertical="center" wrapText="1"/>
      <protection locked="0"/>
    </xf>
    <xf numFmtId="3" fontId="12" fillId="3" borderId="75" xfId="31" applyNumberFormat="1" applyFont="1" applyFill="1" applyBorder="1" applyAlignment="1" applyProtection="1">
      <alignment horizontal="center" vertical="center" wrapText="1"/>
      <protection locked="0"/>
    </xf>
    <xf numFmtId="3" fontId="12" fillId="3" borderId="73" xfId="31" applyNumberFormat="1" applyFont="1" applyFill="1" applyBorder="1" applyAlignment="1" applyProtection="1">
      <alignment horizontal="center" vertical="center" wrapText="1"/>
      <protection locked="0"/>
    </xf>
    <xf numFmtId="0" fontId="12" fillId="3" borderId="72" xfId="31" applyFont="1" applyFill="1" applyBorder="1" applyAlignment="1" applyProtection="1">
      <alignment horizontal="center" vertical="center" wrapText="1"/>
      <protection locked="0"/>
    </xf>
    <xf numFmtId="0" fontId="12" fillId="3" borderId="74" xfId="31" applyFont="1" applyFill="1" applyBorder="1" applyAlignment="1" applyProtection="1">
      <alignment horizontal="center" vertical="center" wrapText="1"/>
      <protection locked="0"/>
    </xf>
    <xf numFmtId="3" fontId="12" fillId="3" borderId="76" xfId="31" applyNumberFormat="1" applyFont="1" applyFill="1" applyBorder="1" applyAlignment="1" applyProtection="1">
      <alignment horizontal="center" vertical="center" wrapText="1"/>
      <protection locked="0"/>
    </xf>
    <xf numFmtId="0" fontId="12" fillId="3" borderId="75" xfId="31" applyFont="1" applyFill="1" applyBorder="1" applyAlignment="1" applyProtection="1">
      <alignment horizontal="center" vertical="center" wrapText="1"/>
      <protection locked="0"/>
    </xf>
    <xf numFmtId="0" fontId="12" fillId="3" borderId="73" xfId="31" applyFont="1" applyFill="1" applyBorder="1" applyAlignment="1" applyProtection="1">
      <alignment horizontal="center" vertical="center" wrapText="1"/>
      <protection locked="0"/>
    </xf>
    <xf numFmtId="3" fontId="12" fillId="3" borderId="74" xfId="31" applyNumberFormat="1" applyFont="1" applyFill="1" applyBorder="1" applyAlignment="1" applyProtection="1">
      <alignment horizontal="center" vertical="center" wrapText="1"/>
      <protection locked="0"/>
    </xf>
    <xf numFmtId="0" fontId="12" fillId="3" borderId="76" xfId="31" applyFont="1" applyFill="1" applyBorder="1" applyAlignment="1" applyProtection="1">
      <alignment horizontal="center" vertical="center" wrapText="1"/>
      <protection locked="0"/>
    </xf>
    <xf numFmtId="3" fontId="12" fillId="3" borderId="77" xfId="31" applyNumberFormat="1" applyFont="1" applyFill="1" applyBorder="1" applyAlignment="1" applyProtection="1">
      <alignment horizontal="center" vertical="center" wrapText="1"/>
      <protection locked="0"/>
    </xf>
    <xf numFmtId="0" fontId="12" fillId="3" borderId="32" xfId="31" applyFont="1" applyFill="1" applyBorder="1" applyAlignment="1" applyProtection="1">
      <alignment horizontal="center" vertical="center" wrapText="1"/>
      <protection locked="0"/>
    </xf>
    <xf numFmtId="0" fontId="12" fillId="3" borderId="62" xfId="31" applyFont="1" applyFill="1" applyBorder="1" applyAlignment="1" applyProtection="1">
      <alignment horizontal="center" vertical="center" wrapText="1"/>
      <protection locked="0"/>
    </xf>
    <xf numFmtId="3" fontId="12" fillId="3" borderId="19" xfId="31" applyNumberFormat="1" applyFont="1" applyFill="1" applyBorder="1" applyAlignment="1" applyProtection="1">
      <alignment horizontal="center" vertical="center" wrapText="1"/>
      <protection locked="0"/>
    </xf>
    <xf numFmtId="0" fontId="12" fillId="3" borderId="56" xfId="31" applyFont="1" applyFill="1" applyBorder="1" applyAlignment="1" applyProtection="1">
      <alignment horizontal="center" vertical="center" wrapText="1"/>
      <protection locked="0"/>
    </xf>
    <xf numFmtId="0" fontId="12" fillId="3" borderId="64" xfId="31" applyFont="1" applyFill="1" applyBorder="1" applyAlignment="1" applyProtection="1">
      <alignment horizontal="center" vertical="center" wrapText="1"/>
      <protection locked="0"/>
    </xf>
    <xf numFmtId="3" fontId="12" fillId="3" borderId="64" xfId="31" applyNumberFormat="1" applyFont="1" applyFill="1" applyBorder="1" applyAlignment="1" applyProtection="1">
      <alignment horizontal="center" vertical="center" wrapText="1"/>
      <protection locked="0"/>
    </xf>
    <xf numFmtId="0" fontId="12" fillId="3" borderId="57" xfId="31" applyFont="1" applyFill="1" applyBorder="1" applyAlignment="1" applyProtection="1">
      <alignment horizontal="center" vertical="center" wrapText="1"/>
      <protection locked="0"/>
    </xf>
    <xf numFmtId="0" fontId="12" fillId="3" borderId="37" xfId="31" applyFont="1" applyFill="1" applyBorder="1" applyAlignment="1" applyProtection="1">
      <alignment horizontal="center" vertical="center" wrapText="1"/>
      <protection locked="0"/>
    </xf>
    <xf numFmtId="3" fontId="12" fillId="3" borderId="57" xfId="31" applyNumberFormat="1" applyFont="1" applyFill="1" applyBorder="1" applyAlignment="1" applyProtection="1">
      <alignment horizontal="center" vertical="center" wrapText="1"/>
      <protection locked="0"/>
    </xf>
    <xf numFmtId="3" fontId="12" fillId="28" borderId="51" xfId="31" applyNumberFormat="1" applyFont="1" applyFill="1" applyBorder="1" applyAlignment="1" applyProtection="1">
      <alignment horizontal="center" vertical="center" wrapText="1"/>
      <protection locked="0"/>
    </xf>
    <xf numFmtId="0" fontId="12" fillId="28" borderId="73" xfId="31" applyFont="1" applyFill="1" applyBorder="1" applyAlignment="1" applyProtection="1">
      <alignment horizontal="center" vertical="center" wrapText="1"/>
      <protection locked="0"/>
    </xf>
    <xf numFmtId="3" fontId="12" fillId="28" borderId="73" xfId="31" applyNumberFormat="1" applyFont="1" applyFill="1" applyBorder="1" applyAlignment="1" applyProtection="1">
      <alignment horizontal="center" vertical="center" wrapText="1"/>
      <protection locked="0"/>
    </xf>
    <xf numFmtId="0" fontId="12" fillId="28" borderId="74" xfId="31" applyFont="1" applyFill="1" applyBorder="1" applyAlignment="1" applyProtection="1">
      <alignment horizontal="center" vertical="center" wrapText="1"/>
      <protection locked="0"/>
    </xf>
    <xf numFmtId="3" fontId="12" fillId="28" borderId="77" xfId="31" applyNumberFormat="1" applyFont="1" applyFill="1" applyBorder="1" applyAlignment="1" applyProtection="1">
      <alignment horizontal="center" vertical="center" wrapText="1"/>
      <protection locked="0"/>
    </xf>
    <xf numFmtId="0" fontId="12" fillId="28" borderId="57" xfId="31" applyFont="1" applyFill="1" applyBorder="1" applyAlignment="1" applyProtection="1">
      <alignment horizontal="center" vertical="center" wrapText="1"/>
      <protection locked="0"/>
    </xf>
    <xf numFmtId="0" fontId="12" fillId="0" borderId="51" xfId="2" applyFont="1" applyBorder="1" applyAlignment="1" applyProtection="1">
      <alignment horizontal="center" vertical="center" wrapText="1"/>
    </xf>
    <xf numFmtId="0" fontId="12" fillId="0" borderId="17" xfId="2" applyFont="1" applyBorder="1" applyAlignment="1" applyProtection="1">
      <alignment horizontal="center" vertical="center" wrapText="1"/>
    </xf>
    <xf numFmtId="0" fontId="12" fillId="0" borderId="21" xfId="2" applyFont="1" applyBorder="1" applyAlignment="1" applyProtection="1">
      <alignment horizontal="center" vertical="center" wrapText="1"/>
    </xf>
    <xf numFmtId="0" fontId="12" fillId="0" borderId="5" xfId="2" applyFont="1" applyBorder="1" applyAlignment="1" applyProtection="1">
      <alignment horizontal="center" vertical="center" wrapText="1"/>
    </xf>
    <xf numFmtId="3" fontId="21" fillId="0" borderId="51" xfId="0" applyNumberFormat="1" applyFont="1" applyBorder="1" applyAlignment="1">
      <alignment horizontal="center" vertical="center" wrapText="1"/>
    </xf>
    <xf numFmtId="3" fontId="21" fillId="0" borderId="73" xfId="0" applyNumberFormat="1" applyFont="1" applyBorder="1" applyAlignment="1">
      <alignment horizontal="center" vertical="center" wrapText="1"/>
    </xf>
    <xf numFmtId="3" fontId="21" fillId="0" borderId="76" xfId="0" applyNumberFormat="1" applyFont="1" applyBorder="1" applyAlignment="1">
      <alignment horizontal="center" vertical="center" wrapText="1"/>
    </xf>
    <xf numFmtId="3" fontId="21" fillId="0" borderId="17" xfId="0" applyNumberFormat="1" applyFont="1" applyBorder="1" applyAlignment="1">
      <alignment horizontal="center" vertical="center" wrapText="1"/>
    </xf>
    <xf numFmtId="3" fontId="21" fillId="0" borderId="7" xfId="0" applyNumberFormat="1" applyFont="1" applyBorder="1" applyAlignment="1">
      <alignment horizontal="center" vertical="center" wrapText="1"/>
    </xf>
    <xf numFmtId="3" fontId="21" fillId="0" borderId="53" xfId="0" applyNumberFormat="1" applyFont="1" applyBorder="1" applyAlignment="1">
      <alignment horizontal="center" vertical="center" wrapText="1"/>
    </xf>
    <xf numFmtId="0" fontId="12" fillId="0" borderId="39" xfId="2" applyFont="1" applyBorder="1" applyAlignment="1" applyProtection="1">
      <alignment horizontal="center" vertical="center" wrapText="1"/>
    </xf>
    <xf numFmtId="0" fontId="21" fillId="0" borderId="17" xfId="2" applyFont="1" applyBorder="1" applyAlignment="1" applyProtection="1">
      <alignment horizontal="center" vertical="center" wrapText="1"/>
    </xf>
    <xf numFmtId="0" fontId="12" fillId="0" borderId="51" xfId="77" applyFont="1" applyFill="1" applyBorder="1" applyAlignment="1" applyProtection="1">
      <alignment horizontal="center" vertical="center" wrapText="1"/>
    </xf>
    <xf numFmtId="0" fontId="12" fillId="0" borderId="51" xfId="77" applyFont="1" applyBorder="1" applyAlignment="1" applyProtection="1">
      <alignment horizontal="center" vertical="center" wrapText="1"/>
    </xf>
    <xf numFmtId="0" fontId="12" fillId="0" borderId="17" xfId="77" applyFont="1" applyBorder="1" applyAlignment="1" applyProtection="1">
      <alignment horizontal="center" vertical="center" wrapText="1"/>
    </xf>
    <xf numFmtId="0" fontId="12" fillId="0" borderId="21" xfId="77" applyFont="1" applyBorder="1" applyAlignment="1" applyProtection="1">
      <alignment horizontal="center" vertical="center" wrapText="1"/>
    </xf>
    <xf numFmtId="0" fontId="12" fillId="0" borderId="5" xfId="77" applyFont="1" applyBorder="1" applyAlignment="1" applyProtection="1">
      <alignment horizontal="center" vertical="center" wrapText="1"/>
    </xf>
    <xf numFmtId="3" fontId="12" fillId="0" borderId="51" xfId="77" applyNumberFormat="1" applyFont="1" applyBorder="1" applyAlignment="1" applyProtection="1">
      <alignment horizontal="center" vertical="center" wrapText="1"/>
    </xf>
    <xf numFmtId="3" fontId="12" fillId="0" borderId="73" xfId="77" applyNumberFormat="1" applyFont="1" applyBorder="1" applyAlignment="1" applyProtection="1">
      <alignment horizontal="center" vertical="center" wrapText="1"/>
    </xf>
    <xf numFmtId="3" fontId="12" fillId="0" borderId="17" xfId="77" applyNumberFormat="1" applyFont="1" applyBorder="1" applyAlignment="1" applyProtection="1">
      <alignment horizontal="center" vertical="center" wrapText="1"/>
    </xf>
    <xf numFmtId="3" fontId="12" fillId="0" borderId="7" xfId="77" applyNumberFormat="1" applyFont="1" applyBorder="1" applyAlignment="1" applyProtection="1">
      <alignment horizontal="center" vertical="center" wrapText="1"/>
    </xf>
    <xf numFmtId="3" fontId="12" fillId="0" borderId="21" xfId="77" applyNumberFormat="1" applyFont="1" applyBorder="1" applyAlignment="1" applyProtection="1">
      <alignment horizontal="center" vertical="center" wrapText="1"/>
    </xf>
    <xf numFmtId="3" fontId="12" fillId="0" borderId="77" xfId="77" applyNumberFormat="1" applyFont="1" applyBorder="1" applyAlignment="1" applyProtection="1">
      <alignment horizontal="center" vertical="center" wrapText="1"/>
    </xf>
    <xf numFmtId="3" fontId="12" fillId="3" borderId="21" xfId="31" applyNumberFormat="1" applyFont="1" applyFill="1" applyBorder="1" applyAlignment="1" applyProtection="1">
      <alignment horizontal="center" vertical="center" wrapText="1"/>
      <protection locked="0"/>
    </xf>
    <xf numFmtId="0" fontId="65" fillId="23" borderId="2" xfId="57" applyFont="1" applyFill="1" applyBorder="1" applyAlignment="1">
      <alignment horizontal="center" vertical="center" wrapText="1"/>
    </xf>
    <xf numFmtId="0" fontId="65" fillId="23" borderId="65" xfId="57" applyFont="1" applyFill="1" applyBorder="1" applyAlignment="1">
      <alignment horizontal="center" vertical="center" wrapText="1"/>
    </xf>
    <xf numFmtId="0" fontId="65" fillId="23" borderId="9" xfId="57" applyFont="1" applyFill="1" applyBorder="1" applyAlignment="1">
      <alignment horizontal="center" vertical="center" wrapText="1"/>
    </xf>
    <xf numFmtId="0" fontId="65" fillId="23" borderId="10" xfId="57" applyFont="1" applyFill="1" applyBorder="1" applyAlignment="1">
      <alignment horizontal="center" vertical="center" wrapText="1"/>
    </xf>
    <xf numFmtId="49" fontId="65" fillId="31" borderId="17" xfId="57" applyNumberFormat="1" applyFont="1" applyFill="1" applyBorder="1" applyAlignment="1">
      <alignment horizontal="center" vertical="center" wrapText="1"/>
    </xf>
    <xf numFmtId="0" fontId="65" fillId="31" borderId="15" xfId="57" applyFont="1" applyFill="1" applyBorder="1" applyAlignment="1">
      <alignment horizontal="left" vertical="center" wrapText="1"/>
    </xf>
    <xf numFmtId="0" fontId="57" fillId="31" borderId="51" xfId="57" applyFont="1" applyFill="1" applyBorder="1" applyAlignment="1">
      <alignment horizontal="center" vertical="center" wrapText="1"/>
    </xf>
    <xf numFmtId="3" fontId="65" fillId="31" borderId="49" xfId="57" applyNumberFormat="1" applyFont="1" applyFill="1" applyBorder="1" applyAlignment="1">
      <alignment horizontal="center" vertical="center"/>
    </xf>
    <xf numFmtId="3" fontId="65" fillId="31" borderId="31" xfId="57" applyNumberFormat="1" applyFont="1" applyFill="1" applyBorder="1" applyAlignment="1">
      <alignment horizontal="center" vertical="center"/>
    </xf>
    <xf numFmtId="3" fontId="65" fillId="31" borderId="50" xfId="57" applyNumberFormat="1" applyFont="1" applyFill="1" applyBorder="1" applyAlignment="1">
      <alignment horizontal="center" vertical="center"/>
    </xf>
    <xf numFmtId="49" fontId="57" fillId="27" borderId="17" xfId="57" applyNumberFormat="1" applyFont="1" applyFill="1" applyBorder="1" applyAlignment="1">
      <alignment horizontal="center" vertical="center" wrapText="1"/>
    </xf>
    <xf numFmtId="0" fontId="57" fillId="20" borderId="17" xfId="57" applyFont="1" applyFill="1" applyBorder="1" applyAlignment="1">
      <alignment horizontal="center" vertical="center" wrapText="1"/>
    </xf>
    <xf numFmtId="3" fontId="57" fillId="3" borderId="52" xfId="57" applyNumberFormat="1" applyFont="1" applyFill="1" applyBorder="1" applyAlignment="1" applyProtection="1">
      <alignment horizontal="center" vertical="center"/>
      <protection locked="0"/>
    </xf>
    <xf numFmtId="3" fontId="57" fillId="3" borderId="7" xfId="57" applyNumberFormat="1" applyFont="1" applyFill="1" applyBorder="1" applyAlignment="1" applyProtection="1">
      <alignment horizontal="center" vertical="center"/>
      <protection locked="0"/>
    </xf>
    <xf numFmtId="3" fontId="57" fillId="3" borderId="53" xfId="57" applyNumberFormat="1" applyFont="1" applyFill="1" applyBorder="1" applyAlignment="1" applyProtection="1">
      <alignment horizontal="center" vertical="center"/>
      <protection locked="0"/>
    </xf>
    <xf numFmtId="49" fontId="57" fillId="27" borderId="39" xfId="57" applyNumberFormat="1" applyFont="1" applyFill="1" applyBorder="1" applyAlignment="1">
      <alignment horizontal="center" vertical="center" wrapText="1"/>
    </xf>
    <xf numFmtId="3" fontId="65" fillId="31" borderId="75" xfId="57" applyNumberFormat="1" applyFont="1" applyFill="1" applyBorder="1" applyAlignment="1">
      <alignment horizontal="center" vertical="center"/>
    </xf>
    <xf numFmtId="3" fontId="65" fillId="31" borderId="73" xfId="57" applyNumberFormat="1" applyFont="1" applyFill="1" applyBorder="1" applyAlignment="1">
      <alignment horizontal="center" vertical="center"/>
    </xf>
    <xf numFmtId="3" fontId="65" fillId="31" borderId="76" xfId="57" applyNumberFormat="1" applyFont="1" applyFill="1" applyBorder="1" applyAlignment="1">
      <alignment horizontal="center" vertical="center"/>
    </xf>
    <xf numFmtId="0" fontId="57" fillId="31" borderId="17" xfId="57" applyFont="1" applyFill="1" applyBorder="1" applyAlignment="1">
      <alignment horizontal="center" vertical="center" wrapText="1"/>
    </xf>
    <xf numFmtId="173" fontId="65" fillId="31" borderId="52" xfId="57" applyNumberFormat="1" applyFont="1" applyFill="1" applyBorder="1" applyAlignment="1">
      <alignment horizontal="center" vertical="center"/>
    </xf>
    <xf numFmtId="173" fontId="65" fillId="31" borderId="7" xfId="57" applyNumberFormat="1" applyFont="1" applyFill="1" applyBorder="1" applyAlignment="1">
      <alignment horizontal="center" vertical="center"/>
    </xf>
    <xf numFmtId="173" fontId="65" fillId="31" borderId="53" xfId="57" applyNumberFormat="1" applyFont="1" applyFill="1" applyBorder="1" applyAlignment="1">
      <alignment horizontal="center" vertical="center"/>
    </xf>
    <xf numFmtId="0" fontId="57" fillId="20" borderId="5" xfId="57" applyFont="1" applyFill="1" applyBorder="1" applyAlignment="1">
      <alignment horizontal="center" vertical="center" wrapText="1"/>
    </xf>
    <xf numFmtId="3" fontId="65" fillId="27" borderId="49" xfId="57" applyNumberFormat="1" applyFont="1" applyFill="1" applyBorder="1" applyAlignment="1">
      <alignment horizontal="center" vertical="center"/>
    </xf>
    <xf numFmtId="3" fontId="65" fillId="27" borderId="31" xfId="57" applyNumberFormat="1" applyFont="1" applyFill="1" applyBorder="1" applyAlignment="1">
      <alignment horizontal="center" vertical="center"/>
    </xf>
    <xf numFmtId="3" fontId="65" fillId="27" borderId="50" xfId="57" applyNumberFormat="1" applyFont="1" applyFill="1" applyBorder="1" applyAlignment="1">
      <alignment horizontal="center" vertical="center"/>
    </xf>
    <xf numFmtId="173" fontId="65" fillId="27" borderId="52" xfId="57" applyNumberFormat="1" applyFont="1" applyFill="1" applyBorder="1" applyAlignment="1">
      <alignment horizontal="center" vertical="center"/>
    </xf>
    <xf numFmtId="173" fontId="65" fillId="27" borderId="7" xfId="57" applyNumberFormat="1" applyFont="1" applyFill="1" applyBorder="1" applyAlignment="1">
      <alignment horizontal="center" vertical="center"/>
    </xf>
    <xf numFmtId="173" fontId="65" fillId="27" borderId="53" xfId="57" applyNumberFormat="1" applyFont="1" applyFill="1" applyBorder="1" applyAlignment="1">
      <alignment horizontal="center" vertical="center"/>
    </xf>
    <xf numFmtId="0" fontId="57" fillId="20" borderId="21" xfId="57" applyFont="1" applyFill="1" applyBorder="1" applyAlignment="1">
      <alignment horizontal="center" vertical="center" wrapText="1"/>
    </xf>
    <xf numFmtId="49" fontId="65" fillId="27" borderId="17" xfId="57" applyNumberFormat="1" applyFont="1" applyFill="1" applyBorder="1" applyAlignment="1">
      <alignment horizontal="center" vertical="center" wrapText="1"/>
    </xf>
    <xf numFmtId="0" fontId="65" fillId="20" borderId="15" xfId="57" applyFont="1" applyFill="1" applyBorder="1" applyAlignment="1">
      <alignment horizontal="left" vertical="center" wrapText="1"/>
    </xf>
    <xf numFmtId="49" fontId="65" fillId="27" borderId="21" xfId="57" applyNumberFormat="1" applyFont="1" applyFill="1" applyBorder="1" applyAlignment="1">
      <alignment horizontal="center" vertical="center" wrapText="1"/>
    </xf>
    <xf numFmtId="0" fontId="65" fillId="20" borderId="19" xfId="57" applyFont="1" applyFill="1" applyBorder="1" applyAlignment="1">
      <alignment horizontal="left" vertical="center" wrapText="1"/>
    </xf>
    <xf numFmtId="3" fontId="57" fillId="3" borderId="56" xfId="57" applyNumberFormat="1" applyFont="1" applyFill="1" applyBorder="1" applyAlignment="1" applyProtection="1">
      <alignment horizontal="center" vertical="center"/>
      <protection locked="0"/>
    </xf>
    <xf numFmtId="3" fontId="57" fillId="3" borderId="77" xfId="57" applyNumberFormat="1" applyFont="1" applyFill="1" applyBorder="1" applyAlignment="1" applyProtection="1">
      <alignment horizontal="center" vertical="center"/>
      <protection locked="0"/>
    </xf>
    <xf numFmtId="3" fontId="57" fillId="3" borderId="57" xfId="57" applyNumberFormat="1" applyFont="1" applyFill="1" applyBorder="1" applyAlignment="1" applyProtection="1">
      <alignment horizontal="center" vertical="center"/>
      <protection locked="0"/>
    </xf>
    <xf numFmtId="4" fontId="65" fillId="31" borderId="52" xfId="57" applyNumberFormat="1" applyFont="1" applyFill="1" applyBorder="1" applyAlignment="1">
      <alignment horizontal="center" vertical="center"/>
    </xf>
    <xf numFmtId="4" fontId="65" fillId="31" borderId="7" xfId="57" applyNumberFormat="1" applyFont="1" applyFill="1" applyBorder="1" applyAlignment="1">
      <alignment horizontal="center" vertical="center"/>
    </xf>
    <xf numFmtId="3" fontId="65" fillId="26" borderId="49" xfId="57" applyNumberFormat="1" applyFont="1" applyFill="1" applyBorder="1" applyAlignment="1">
      <alignment horizontal="center" vertical="center"/>
    </xf>
    <xf numFmtId="3" fontId="65" fillId="26" borderId="31" xfId="57" applyNumberFormat="1" applyFont="1" applyFill="1" applyBorder="1" applyAlignment="1">
      <alignment horizontal="center" vertical="center"/>
    </xf>
    <xf numFmtId="3" fontId="65" fillId="26" borderId="50" xfId="57" applyNumberFormat="1" applyFont="1" applyFill="1" applyBorder="1" applyAlignment="1">
      <alignment horizontal="center" vertical="center"/>
    </xf>
    <xf numFmtId="173" fontId="65" fillId="26" borderId="52" xfId="57" applyNumberFormat="1" applyFont="1" applyFill="1" applyBorder="1" applyAlignment="1">
      <alignment horizontal="center" vertical="center"/>
    </xf>
    <xf numFmtId="173" fontId="65" fillId="26" borderId="7" xfId="57" applyNumberFormat="1" applyFont="1" applyFill="1" applyBorder="1" applyAlignment="1">
      <alignment horizontal="center" vertical="center"/>
    </xf>
    <xf numFmtId="173" fontId="65" fillId="26" borderId="53" xfId="57" applyNumberFormat="1" applyFont="1" applyFill="1" applyBorder="1" applyAlignment="1">
      <alignment horizontal="center" vertical="center"/>
    </xf>
    <xf numFmtId="49" fontId="57" fillId="26" borderId="17" xfId="57" applyNumberFormat="1" applyFont="1" applyFill="1" applyBorder="1" applyAlignment="1">
      <alignment horizontal="center" vertical="center" wrapText="1"/>
    </xf>
    <xf numFmtId="0" fontId="57" fillId="26" borderId="15" xfId="57" applyFont="1" applyFill="1" applyBorder="1" applyAlignment="1">
      <alignment horizontal="left" vertical="center"/>
    </xf>
    <xf numFmtId="49" fontId="57" fillId="26" borderId="21" xfId="57" applyNumberFormat="1" applyFont="1" applyFill="1" applyBorder="1" applyAlignment="1">
      <alignment horizontal="center" vertical="center" wrapText="1"/>
    </xf>
    <xf numFmtId="0" fontId="57" fillId="26" borderId="19" xfId="57" applyFont="1" applyFill="1" applyBorder="1" applyAlignment="1">
      <alignment horizontal="left" vertical="center"/>
    </xf>
    <xf numFmtId="0" fontId="57" fillId="20" borderId="51" xfId="57" applyFont="1" applyFill="1" applyBorder="1" applyAlignment="1">
      <alignment horizontal="center" vertical="center" wrapText="1"/>
    </xf>
    <xf numFmtId="0" fontId="57" fillId="26" borderId="15" xfId="57" applyFont="1" applyFill="1" applyBorder="1" applyAlignment="1">
      <alignment horizontal="left" vertical="center" wrapText="1"/>
    </xf>
    <xf numFmtId="0" fontId="57" fillId="20" borderId="19" xfId="57" applyFont="1" applyFill="1" applyBorder="1" applyAlignment="1">
      <alignment horizontal="left" vertical="center"/>
    </xf>
    <xf numFmtId="0" fontId="57" fillId="31" borderId="5" xfId="57" applyFont="1" applyFill="1" applyBorder="1" applyAlignment="1">
      <alignment horizontal="center" vertical="center" wrapText="1"/>
    </xf>
    <xf numFmtId="0" fontId="57" fillId="31" borderId="21" xfId="57" applyFont="1" applyFill="1" applyBorder="1" applyAlignment="1">
      <alignment horizontal="center" vertical="center" wrapText="1"/>
    </xf>
    <xf numFmtId="3" fontId="98" fillId="31" borderId="56" xfId="58" applyNumberFormat="1" applyFont="1" applyFill="1" applyBorder="1" applyAlignment="1">
      <alignment horizontal="center" vertical="center"/>
    </xf>
    <xf numFmtId="3" fontId="98" fillId="31" borderId="77" xfId="58" applyNumberFormat="1" applyFont="1" applyFill="1" applyBorder="1" applyAlignment="1">
      <alignment horizontal="center" vertical="center"/>
    </xf>
    <xf numFmtId="3" fontId="98" fillId="31" borderId="57" xfId="58" applyNumberFormat="1" applyFont="1" applyFill="1" applyBorder="1" applyAlignment="1">
      <alignment horizontal="center" vertical="center"/>
    </xf>
    <xf numFmtId="3" fontId="12" fillId="0" borderId="76" xfId="77" applyNumberFormat="1" applyFont="1" applyBorder="1" applyAlignment="1" applyProtection="1">
      <alignment horizontal="center" vertical="center" wrapText="1"/>
    </xf>
    <xf numFmtId="3" fontId="12" fillId="0" borderId="53" xfId="77" applyNumberFormat="1" applyFont="1" applyBorder="1" applyAlignment="1" applyProtection="1">
      <alignment horizontal="center" vertical="center" wrapText="1"/>
    </xf>
    <xf numFmtId="3" fontId="12" fillId="0" borderId="57" xfId="77" applyNumberFormat="1" applyFont="1" applyBorder="1" applyAlignment="1" applyProtection="1">
      <alignment horizontal="center" vertical="center" wrapText="1"/>
    </xf>
    <xf numFmtId="4" fontId="65" fillId="31" borderId="24" xfId="57" applyNumberFormat="1" applyFont="1" applyFill="1" applyBorder="1" applyAlignment="1">
      <alignment horizontal="center" vertical="center"/>
    </xf>
    <xf numFmtId="4" fontId="65" fillId="31" borderId="62" xfId="57" applyNumberFormat="1" applyFont="1" applyFill="1" applyBorder="1" applyAlignment="1">
      <alignment horizontal="center" vertical="center"/>
    </xf>
    <xf numFmtId="4" fontId="65" fillId="31" borderId="23" xfId="57" applyNumberFormat="1" applyFont="1" applyFill="1" applyBorder="1" applyAlignment="1">
      <alignment horizontal="center" vertical="center"/>
    </xf>
    <xf numFmtId="4" fontId="65" fillId="31" borderId="53" xfId="57" applyNumberFormat="1" applyFont="1" applyFill="1" applyBorder="1" applyAlignment="1">
      <alignment horizontal="center" vertical="center"/>
    </xf>
    <xf numFmtId="49" fontId="65" fillId="0" borderId="29" xfId="80" applyNumberFormat="1" applyFont="1" applyBorder="1" applyAlignment="1">
      <alignment horizontal="center" vertical="center" wrapText="1"/>
    </xf>
    <xf numFmtId="0" fontId="57" fillId="20" borderId="17" xfId="80" applyFont="1" applyFill="1" applyBorder="1" applyAlignment="1">
      <alignment horizontal="center" vertical="center" wrapText="1"/>
    </xf>
    <xf numFmtId="3" fontId="57" fillId="3" borderId="32" xfId="80" applyNumberFormat="1" applyFont="1" applyFill="1" applyBorder="1" applyAlignment="1" applyProtection="1">
      <alignment horizontal="center" vertical="center"/>
      <protection locked="0"/>
    </xf>
    <xf numFmtId="3" fontId="57" fillId="3" borderId="7" xfId="80" applyNumberFormat="1" applyFont="1" applyFill="1" applyBorder="1" applyAlignment="1" applyProtection="1">
      <alignment horizontal="center" vertical="center"/>
      <protection locked="0"/>
    </xf>
    <xf numFmtId="3" fontId="57" fillId="3" borderId="53" xfId="80" applyNumberFormat="1" applyFont="1" applyFill="1" applyBorder="1" applyAlignment="1" applyProtection="1">
      <alignment horizontal="center" vertical="center"/>
      <protection locked="0"/>
    </xf>
    <xf numFmtId="0" fontId="41" fillId="0" borderId="26" xfId="0" applyFont="1" applyBorder="1" applyAlignment="1">
      <alignment horizontal="left" vertical="center" wrapText="1"/>
    </xf>
    <xf numFmtId="3" fontId="57" fillId="3" borderId="69" xfId="80" applyNumberFormat="1" applyFont="1" applyFill="1" applyBorder="1" applyAlignment="1" applyProtection="1">
      <alignment horizontal="center" vertical="center"/>
      <protection locked="0"/>
    </xf>
    <xf numFmtId="3" fontId="57" fillId="3" borderId="63" xfId="80" applyNumberFormat="1" applyFont="1" applyFill="1" applyBorder="1" applyAlignment="1" applyProtection="1">
      <alignment horizontal="center" vertical="center"/>
      <protection locked="0"/>
    </xf>
    <xf numFmtId="3" fontId="57" fillId="3" borderId="55" xfId="80" applyNumberFormat="1" applyFont="1" applyFill="1" applyBorder="1" applyAlignment="1" applyProtection="1">
      <alignment horizontal="center" vertical="center"/>
      <protection locked="0"/>
    </xf>
    <xf numFmtId="3" fontId="57" fillId="3" borderId="54" xfId="80" applyNumberFormat="1" applyFont="1" applyFill="1" applyBorder="1" applyAlignment="1" applyProtection="1">
      <alignment horizontal="center" vertical="center"/>
      <protection locked="0"/>
    </xf>
    <xf numFmtId="3" fontId="57" fillId="3" borderId="64" xfId="80" applyNumberFormat="1" applyFont="1" applyFill="1" applyBorder="1" applyAlignment="1" applyProtection="1">
      <alignment horizontal="center" vertical="center"/>
      <protection locked="0"/>
    </xf>
    <xf numFmtId="3" fontId="57" fillId="3" borderId="18" xfId="80" applyNumberFormat="1" applyFont="1" applyFill="1" applyBorder="1" applyAlignment="1" applyProtection="1">
      <alignment horizontal="center" vertical="center"/>
      <protection locked="0"/>
    </xf>
    <xf numFmtId="0" fontId="41" fillId="0" borderId="39" xfId="0" applyFont="1" applyBorder="1" applyAlignment="1">
      <alignment vertical="center" wrapText="1"/>
    </xf>
    <xf numFmtId="0" fontId="41" fillId="0" borderId="17" xfId="0" applyFont="1" applyBorder="1" applyAlignment="1">
      <alignment vertical="center" wrapText="1"/>
    </xf>
    <xf numFmtId="0" fontId="41" fillId="0" borderId="21" xfId="0" applyFont="1" applyBorder="1" applyAlignment="1">
      <alignment vertical="center" wrapText="1"/>
    </xf>
    <xf numFmtId="0" fontId="12" fillId="3" borderId="48" xfId="0" applyFont="1" applyFill="1" applyBorder="1" applyAlignment="1" applyProtection="1">
      <alignment horizontal="center" vertical="center" wrapText="1"/>
      <protection locked="0"/>
    </xf>
    <xf numFmtId="0" fontId="12" fillId="3" borderId="6" xfId="0" applyFont="1" applyFill="1" applyBorder="1" applyAlignment="1" applyProtection="1">
      <alignment horizontal="center" vertical="center" wrapText="1"/>
      <protection locked="0"/>
    </xf>
    <xf numFmtId="0" fontId="12" fillId="3" borderId="25" xfId="0" applyFont="1" applyFill="1" applyBorder="1" applyAlignment="1" applyProtection="1">
      <alignment horizontal="center" vertical="center" wrapText="1"/>
      <protection locked="0"/>
    </xf>
    <xf numFmtId="0" fontId="12" fillId="3" borderId="30" xfId="0" applyFont="1" applyFill="1" applyBorder="1" applyAlignment="1" applyProtection="1">
      <alignment horizontal="center" vertical="center" wrapText="1"/>
      <protection locked="0"/>
    </xf>
    <xf numFmtId="0" fontId="12" fillId="3" borderId="41" xfId="0" applyFont="1" applyFill="1" applyBorder="1" applyAlignment="1" applyProtection="1">
      <alignment horizontal="center" vertical="center" wrapText="1"/>
      <protection locked="0"/>
    </xf>
    <xf numFmtId="0" fontId="12" fillId="3" borderId="56" xfId="0" applyFont="1" applyFill="1" applyBorder="1" applyAlignment="1" applyProtection="1">
      <alignment horizontal="center" vertical="center" wrapText="1"/>
      <protection locked="0"/>
    </xf>
    <xf numFmtId="0" fontId="12" fillId="3" borderId="27" xfId="0" applyFont="1" applyFill="1" applyBorder="1" applyAlignment="1" applyProtection="1">
      <alignment horizontal="center" vertical="center" wrapText="1"/>
      <protection locked="0"/>
    </xf>
    <xf numFmtId="0" fontId="12" fillId="3" borderId="36" xfId="0" applyFont="1" applyFill="1" applyBorder="1" applyAlignment="1" applyProtection="1">
      <alignment horizontal="center" vertical="center" wrapText="1"/>
      <protection locked="0"/>
    </xf>
    <xf numFmtId="0" fontId="12" fillId="3" borderId="22" xfId="0" applyFont="1" applyFill="1" applyBorder="1" applyAlignment="1" applyProtection="1">
      <alignment horizontal="center" vertical="center" wrapText="1"/>
      <protection locked="0"/>
    </xf>
    <xf numFmtId="0" fontId="12" fillId="3" borderId="58" xfId="0" applyFont="1" applyFill="1" applyBorder="1" applyAlignment="1" applyProtection="1">
      <alignment horizontal="center" vertical="center" wrapText="1"/>
      <protection locked="0"/>
    </xf>
    <xf numFmtId="49" fontId="43" fillId="3" borderId="24" xfId="31" applyNumberFormat="1" applyFont="1" applyFill="1" applyBorder="1" applyAlignment="1" applyProtection="1">
      <alignment horizontal="right" vertical="center"/>
      <protection locked="0"/>
    </xf>
    <xf numFmtId="0" fontId="69" fillId="20" borderId="17" xfId="32" applyFont="1" applyFill="1" applyBorder="1" applyAlignment="1">
      <alignment horizontal="right" vertical="center"/>
    </xf>
    <xf numFmtId="0" fontId="41" fillId="26" borderId="36" xfId="0" applyFont="1" applyFill="1" applyBorder="1" applyAlignment="1">
      <alignment vertical="center" wrapText="1"/>
    </xf>
    <xf numFmtId="0" fontId="40" fillId="24" borderId="55" xfId="32" applyFont="1" applyFill="1" applyBorder="1" applyAlignment="1">
      <alignment horizontal="left" vertical="center"/>
    </xf>
    <xf numFmtId="0" fontId="19" fillId="27" borderId="20" xfId="32" applyFont="1" applyFill="1" applyBorder="1" applyAlignment="1">
      <alignment horizontal="center" vertical="center" wrapText="1"/>
    </xf>
    <xf numFmtId="172" fontId="14" fillId="26" borderId="7" xfId="0" applyNumberFormat="1" applyFont="1" applyFill="1" applyBorder="1" applyAlignment="1">
      <alignment horizontal="center" vertical="center"/>
    </xf>
    <xf numFmtId="171" fontId="40" fillId="37" borderId="47" xfId="32" applyNumberFormat="1" applyFont="1" applyFill="1" applyBorder="1" applyAlignment="1">
      <alignment horizontal="center" vertical="center" wrapText="1"/>
    </xf>
    <xf numFmtId="171" fontId="40" fillId="37" borderId="71" xfId="32" applyNumberFormat="1" applyFont="1" applyFill="1" applyBorder="1" applyAlignment="1">
      <alignment horizontal="center" vertical="center" wrapText="1"/>
    </xf>
    <xf numFmtId="171" fontId="40" fillId="37" borderId="48" xfId="32" applyNumberFormat="1" applyFont="1" applyFill="1" applyBorder="1" applyAlignment="1">
      <alignment horizontal="center" vertical="center" wrapText="1"/>
    </xf>
    <xf numFmtId="171" fontId="40" fillId="31" borderId="51" xfId="32" applyNumberFormat="1" applyFont="1" applyFill="1" applyBorder="1" applyAlignment="1">
      <alignment horizontal="center" vertical="center" wrapText="1"/>
    </xf>
    <xf numFmtId="3" fontId="41" fillId="28" borderId="53" xfId="0" applyNumberFormat="1" applyFont="1" applyFill="1" applyBorder="1" applyAlignment="1" applyProtection="1">
      <alignment horizontal="center" vertical="center"/>
      <protection locked="0"/>
    </xf>
    <xf numFmtId="3" fontId="41" fillId="28" borderId="49" xfId="0" applyNumberFormat="1" applyFont="1" applyFill="1" applyBorder="1" applyAlignment="1" applyProtection="1">
      <alignment horizontal="center" vertical="center"/>
      <protection locked="0"/>
    </xf>
    <xf numFmtId="3" fontId="41" fillId="28" borderId="31" xfId="0" applyNumberFormat="1" applyFont="1" applyFill="1" applyBorder="1" applyAlignment="1" applyProtection="1">
      <alignment horizontal="center" vertical="center"/>
      <protection locked="0"/>
    </xf>
    <xf numFmtId="3" fontId="41" fillId="28" borderId="50" xfId="0" applyNumberFormat="1" applyFont="1" applyFill="1" applyBorder="1" applyAlignment="1" applyProtection="1">
      <alignment horizontal="center" vertical="center"/>
      <protection locked="0"/>
    </xf>
    <xf numFmtId="3" fontId="41" fillId="28" borderId="56" xfId="0" applyNumberFormat="1" applyFont="1" applyFill="1" applyBorder="1" applyAlignment="1" applyProtection="1">
      <alignment horizontal="center" vertical="center"/>
      <protection locked="0"/>
    </xf>
    <xf numFmtId="3" fontId="41" fillId="28" borderId="77" xfId="0" applyNumberFormat="1" applyFont="1" applyFill="1" applyBorder="1" applyAlignment="1" applyProtection="1">
      <alignment horizontal="center" vertical="center"/>
      <protection locked="0"/>
    </xf>
    <xf numFmtId="3" fontId="41" fillId="28" borderId="57" xfId="0" applyNumberFormat="1" applyFont="1" applyFill="1" applyBorder="1" applyAlignment="1" applyProtection="1">
      <alignment horizontal="center" vertical="center"/>
      <protection locked="0"/>
    </xf>
    <xf numFmtId="0" fontId="41" fillId="26" borderId="53" xfId="0" applyFont="1" applyFill="1" applyBorder="1" applyAlignment="1">
      <alignment vertical="center" wrapText="1"/>
    </xf>
    <xf numFmtId="0" fontId="42" fillId="27" borderId="25" xfId="0" applyFont="1" applyFill="1" applyBorder="1" applyAlignment="1">
      <alignment horizontal="center" vertical="center" wrapText="1"/>
    </xf>
    <xf numFmtId="0" fontId="42" fillId="0" borderId="50" xfId="0" applyFont="1" applyBorder="1" applyAlignment="1">
      <alignment horizontal="right" vertical="center" wrapText="1"/>
    </xf>
    <xf numFmtId="0" fontId="42" fillId="0" borderId="53" xfId="0" applyFont="1" applyBorder="1" applyAlignment="1">
      <alignment horizontal="right" vertical="center" wrapText="1"/>
    </xf>
    <xf numFmtId="0" fontId="42" fillId="0" borderId="57" xfId="0" applyFont="1" applyBorder="1" applyAlignment="1">
      <alignment horizontal="right" vertical="center"/>
    </xf>
    <xf numFmtId="168" fontId="41" fillId="3" borderId="7" xfId="0" applyNumberFormat="1" applyFont="1" applyFill="1" applyBorder="1" applyAlignment="1" applyProtection="1">
      <alignment horizontal="center" vertical="center"/>
      <protection locked="0"/>
    </xf>
    <xf numFmtId="168" fontId="41" fillId="3" borderId="7" xfId="0" applyNumberFormat="1" applyFont="1" applyFill="1" applyBorder="1" applyAlignment="1" applyProtection="1">
      <alignment horizontal="center" vertical="center" wrapText="1"/>
      <protection locked="0"/>
    </xf>
    <xf numFmtId="168" fontId="40" fillId="24" borderId="7" xfId="0" applyNumberFormat="1" applyFont="1" applyFill="1" applyBorder="1" applyAlignment="1">
      <alignment horizontal="center" vertical="center"/>
    </xf>
    <xf numFmtId="168" fontId="41" fillId="29" borderId="7" xfId="49" applyNumberFormat="1" applyFont="1" applyFill="1" applyBorder="1" applyAlignment="1">
      <alignment horizontal="right" vertical="center"/>
    </xf>
    <xf numFmtId="168" fontId="14" fillId="26" borderId="7" xfId="0" applyNumberFormat="1" applyFont="1" applyFill="1" applyBorder="1" applyAlignment="1">
      <alignment horizontal="center" vertical="center"/>
    </xf>
    <xf numFmtId="168" fontId="41" fillId="27" borderId="7" xfId="0" applyNumberFormat="1" applyFont="1" applyFill="1" applyBorder="1" applyAlignment="1">
      <alignment horizontal="center" vertical="center"/>
    </xf>
    <xf numFmtId="0" fontId="45" fillId="0" borderId="0" xfId="32" applyFont="1" applyAlignment="1">
      <alignment horizontal="center" vertical="center"/>
    </xf>
    <xf numFmtId="0" fontId="45" fillId="0" borderId="0" xfId="43" applyFont="1" applyAlignment="1">
      <alignment horizontal="center" vertical="center"/>
    </xf>
    <xf numFmtId="168" fontId="47" fillId="21" borderId="38" xfId="48" applyNumberFormat="1" applyFont="1" applyFill="1" applyBorder="1" applyAlignment="1" applyProtection="1">
      <alignment horizontal="center" vertical="center"/>
    </xf>
    <xf numFmtId="168" fontId="47" fillId="21" borderId="9" xfId="48" applyNumberFormat="1" applyFont="1" applyFill="1" applyBorder="1" applyAlignment="1" applyProtection="1">
      <alignment horizontal="center" vertical="center"/>
    </xf>
    <xf numFmtId="168" fontId="47" fillId="21" borderId="10" xfId="48" applyNumberFormat="1" applyFont="1" applyFill="1" applyBorder="1" applyAlignment="1" applyProtection="1">
      <alignment horizontal="center" vertical="center"/>
    </xf>
    <xf numFmtId="0" fontId="121" fillId="0" borderId="0" xfId="0" quotePrefix="1" applyFont="1" applyAlignment="1">
      <alignment horizontal="center" vertical="center"/>
    </xf>
    <xf numFmtId="0" fontId="121" fillId="0" borderId="0" xfId="0" applyFont="1" applyAlignment="1">
      <alignment vertical="center"/>
    </xf>
    <xf numFmtId="0" fontId="120" fillId="0" borderId="0" xfId="0" applyFont="1" applyAlignment="1">
      <alignment horizontal="center" vertical="center"/>
    </xf>
    <xf numFmtId="3" fontId="120" fillId="0" borderId="0" xfId="0" applyNumberFormat="1" applyFont="1" applyAlignment="1">
      <alignment horizontal="center" vertical="center"/>
    </xf>
    <xf numFmtId="171" fontId="47" fillId="37" borderId="79" xfId="0" applyNumberFormat="1" applyFont="1" applyFill="1" applyBorder="1" applyAlignment="1">
      <alignment horizontal="center" wrapText="1"/>
    </xf>
    <xf numFmtId="0" fontId="27" fillId="27" borderId="0" xfId="0" applyFont="1" applyFill="1" applyAlignment="1">
      <alignment vertical="center"/>
    </xf>
    <xf numFmtId="0" fontId="42" fillId="0" borderId="53" xfId="0" applyFont="1" applyBorder="1" applyAlignment="1">
      <alignment horizontal="right" vertical="center"/>
    </xf>
    <xf numFmtId="0" fontId="87" fillId="27" borderId="0" xfId="49" applyFont="1" applyFill="1" applyAlignment="1">
      <alignment vertical="center"/>
    </xf>
    <xf numFmtId="49" fontId="41" fillId="0" borderId="53" xfId="0" applyNumberFormat="1" applyFont="1" applyBorder="1" applyAlignment="1">
      <alignment vertical="center" wrapText="1"/>
    </xf>
    <xf numFmtId="49" fontId="41" fillId="0" borderId="57" xfId="0" applyNumberFormat="1" applyFont="1" applyBorder="1" applyAlignment="1">
      <alignment vertical="center" wrapText="1"/>
    </xf>
    <xf numFmtId="0" fontId="41" fillId="26" borderId="7" xfId="0" applyFont="1" applyFill="1" applyBorder="1" applyAlignment="1">
      <alignment horizontal="left" vertical="center" wrapText="1"/>
    </xf>
    <xf numFmtId="0" fontId="20" fillId="27" borderId="0" xfId="49" applyFont="1" applyFill="1" applyAlignment="1">
      <alignment horizontal="center" vertical="center"/>
    </xf>
    <xf numFmtId="0" fontId="68" fillId="26" borderId="0" xfId="0" applyFont="1" applyFill="1" applyAlignment="1">
      <alignment vertical="center"/>
    </xf>
    <xf numFmtId="0" fontId="37" fillId="26" borderId="0" xfId="0" applyFont="1" applyFill="1" applyAlignment="1">
      <alignment vertical="center"/>
    </xf>
    <xf numFmtId="0" fontId="12" fillId="0" borderId="0" xfId="31" applyFont="1" applyAlignment="1">
      <alignment vertical="center"/>
    </xf>
    <xf numFmtId="0" fontId="16" fillId="0" borderId="0" xfId="0" applyFont="1" applyAlignment="1">
      <alignment vertical="center"/>
    </xf>
    <xf numFmtId="49" fontId="12" fillId="0" borderId="0" xfId="31" applyNumberFormat="1" applyFont="1" applyAlignment="1">
      <alignment horizontal="center" vertical="center"/>
    </xf>
    <xf numFmtId="0" fontId="66" fillId="0" borderId="0" xfId="2" quotePrefix="1" applyFont="1" applyAlignment="1" applyProtection="1">
      <alignment vertical="center"/>
    </xf>
    <xf numFmtId="0" fontId="41" fillId="0" borderId="0" xfId="0" applyFont="1" applyAlignment="1">
      <alignment vertical="center"/>
    </xf>
    <xf numFmtId="0" fontId="43" fillId="0" borderId="0" xfId="31" applyFont="1" applyAlignment="1">
      <alignment horizontal="right" vertical="center"/>
    </xf>
    <xf numFmtId="0" fontId="41" fillId="0" borderId="0" xfId="31" applyFont="1" applyAlignment="1">
      <alignment horizontal="right" vertical="center"/>
    </xf>
    <xf numFmtId="0" fontId="12" fillId="0" borderId="0" xfId="31" applyFont="1" applyAlignment="1">
      <alignment horizontal="center" vertical="center"/>
    </xf>
    <xf numFmtId="0" fontId="21" fillId="0" borderId="0" xfId="31" applyFont="1" applyAlignment="1">
      <alignment horizontal="center" vertical="center"/>
    </xf>
    <xf numFmtId="174" fontId="41" fillId="0" borderId="73" xfId="28" applyNumberFormat="1" applyFont="1" applyFill="1" applyBorder="1">
      <alignment horizontal="right" vertical="center" wrapText="1"/>
    </xf>
    <xf numFmtId="174" fontId="41" fillId="0" borderId="76" xfId="28" applyNumberFormat="1" applyFont="1" applyFill="1" applyBorder="1">
      <alignment horizontal="right" vertical="center" wrapText="1"/>
    </xf>
    <xf numFmtId="174" fontId="41" fillId="0" borderId="73" xfId="37" applyNumberFormat="1" applyFont="1" applyBorder="1" applyProtection="1">
      <alignment horizontal="right" vertical="center" wrapText="1"/>
    </xf>
    <xf numFmtId="49" fontId="12" fillId="0" borderId="0" xfId="31" applyNumberFormat="1" applyFont="1" applyAlignment="1">
      <alignment vertical="center"/>
    </xf>
    <xf numFmtId="0" fontId="54" fillId="27" borderId="0" xfId="49" applyFont="1" applyFill="1" applyAlignment="1">
      <alignment vertical="center"/>
    </xf>
    <xf numFmtId="0" fontId="78" fillId="27" borderId="0" xfId="49" applyFill="1" applyAlignment="1">
      <alignment vertical="center"/>
    </xf>
    <xf numFmtId="0" fontId="15" fillId="27" borderId="0" xfId="49" applyFont="1" applyFill="1" applyAlignment="1">
      <alignment vertical="center" wrapText="1"/>
    </xf>
    <xf numFmtId="0" fontId="52" fillId="27" borderId="0" xfId="49" applyFont="1" applyFill="1" applyAlignment="1">
      <alignment horizontal="left" vertical="center"/>
    </xf>
    <xf numFmtId="0" fontId="80" fillId="27" borderId="0" xfId="2" quotePrefix="1" applyFont="1" applyFill="1" applyAlignment="1" applyProtection="1">
      <alignment vertical="center"/>
    </xf>
    <xf numFmtId="10" fontId="62" fillId="27" borderId="0" xfId="49" applyNumberFormat="1" applyFont="1" applyFill="1" applyAlignment="1">
      <alignment horizontal="center" vertical="center" wrapText="1"/>
    </xf>
    <xf numFmtId="170" fontId="19" fillId="27" borderId="0" xfId="49" applyNumberFormat="1" applyFont="1" applyFill="1" applyAlignment="1">
      <alignment horizontal="center" vertical="center" wrapText="1"/>
    </xf>
    <xf numFmtId="0" fontId="19" fillId="27" borderId="0" xfId="49" applyFont="1" applyFill="1" applyAlignment="1">
      <alignment horizontal="center" vertical="center" wrapText="1"/>
    </xf>
    <xf numFmtId="9" fontId="62" fillId="27" borderId="0" xfId="49" applyNumberFormat="1" applyFont="1" applyFill="1" applyAlignment="1">
      <alignment horizontal="center" vertical="center" wrapText="1"/>
    </xf>
    <xf numFmtId="1" fontId="40" fillId="27" borderId="0" xfId="49" applyNumberFormat="1" applyFont="1" applyFill="1" applyAlignment="1">
      <alignment horizontal="center" vertical="center" wrapText="1"/>
    </xf>
    <xf numFmtId="0" fontId="35" fillId="27" borderId="20" xfId="49" applyFont="1" applyFill="1" applyBorder="1" applyAlignment="1">
      <alignment vertical="center" wrapText="1"/>
    </xf>
    <xf numFmtId="171" fontId="40" fillId="37" borderId="2" xfId="49" applyNumberFormat="1" applyFont="1" applyFill="1" applyBorder="1" applyAlignment="1">
      <alignment horizontal="center" vertical="center" wrapText="1"/>
    </xf>
    <xf numFmtId="171" fontId="40" fillId="37" borderId="79" xfId="49" applyNumberFormat="1" applyFont="1" applyFill="1" applyBorder="1" applyAlignment="1">
      <alignment horizontal="center" vertical="center" wrapText="1"/>
    </xf>
    <xf numFmtId="171" fontId="40" fillId="37" borderId="77" xfId="49" applyNumberFormat="1" applyFont="1" applyFill="1" applyBorder="1" applyAlignment="1">
      <alignment horizontal="center" vertical="center" wrapText="1"/>
    </xf>
    <xf numFmtId="171" fontId="40" fillId="37" borderId="43" xfId="49" applyNumberFormat="1" applyFont="1" applyFill="1" applyBorder="1" applyAlignment="1">
      <alignment horizontal="center" vertical="center" wrapText="1"/>
    </xf>
    <xf numFmtId="0" fontId="37" fillId="27" borderId="0" xfId="49" applyFont="1" applyFill="1" applyAlignment="1">
      <alignment vertical="center"/>
    </xf>
    <xf numFmtId="0" fontId="27" fillId="27" borderId="0" xfId="49" applyFont="1" applyFill="1" applyAlignment="1">
      <alignment vertical="center"/>
    </xf>
    <xf numFmtId="0" fontId="78" fillId="26" borderId="0" xfId="49" applyFill="1" applyAlignment="1">
      <alignment vertical="center"/>
    </xf>
    <xf numFmtId="0" fontId="52" fillId="26" borderId="0" xfId="49" applyFont="1" applyFill="1" applyAlignment="1">
      <alignment vertical="center"/>
    </xf>
    <xf numFmtId="0" fontId="19" fillId="27" borderId="0" xfId="49" applyFont="1" applyFill="1" applyAlignment="1">
      <alignment horizontal="center" vertical="center"/>
    </xf>
    <xf numFmtId="0" fontId="12" fillId="27" borderId="0" xfId="49" applyFont="1" applyFill="1" applyAlignment="1">
      <alignment vertical="center"/>
    </xf>
    <xf numFmtId="0" fontId="21" fillId="27" borderId="0" xfId="0" applyFont="1" applyFill="1" applyAlignment="1">
      <alignment horizontal="right" vertical="center"/>
    </xf>
    <xf numFmtId="49" fontId="12" fillId="27" borderId="0" xfId="0" applyNumberFormat="1" applyFont="1" applyFill="1" applyAlignment="1">
      <alignment horizontal="right" vertical="center"/>
    </xf>
    <xf numFmtId="0" fontId="12" fillId="27" borderId="0" xfId="31" applyFont="1" applyFill="1" applyAlignment="1">
      <alignment vertical="center"/>
    </xf>
    <xf numFmtId="0" fontId="36" fillId="27" borderId="0" xfId="0" applyFont="1" applyFill="1" applyAlignment="1">
      <alignment horizontal="center" vertical="center"/>
    </xf>
    <xf numFmtId="49" fontId="52" fillId="27" borderId="0" xfId="49" applyNumberFormat="1" applyFont="1" applyFill="1" applyAlignment="1">
      <alignment horizontal="center" vertical="center"/>
    </xf>
    <xf numFmtId="0" fontId="21" fillId="27" borderId="0" xfId="49" applyFont="1" applyFill="1" applyAlignment="1">
      <alignment vertical="center"/>
    </xf>
    <xf numFmtId="49" fontId="21" fillId="27" borderId="0" xfId="0" applyNumberFormat="1" applyFont="1" applyFill="1" applyAlignment="1">
      <alignment horizontal="right" vertical="center"/>
    </xf>
    <xf numFmtId="0" fontId="52" fillId="27" borderId="0" xfId="49" applyFont="1" applyFill="1" applyAlignment="1">
      <alignment horizontal="center" vertical="center" wrapText="1"/>
    </xf>
    <xf numFmtId="0" fontId="35" fillId="27" borderId="0" xfId="49" applyFont="1" applyFill="1" applyAlignment="1">
      <alignment horizontal="left" vertical="center"/>
    </xf>
    <xf numFmtId="0" fontId="62" fillId="27" borderId="0" xfId="49" applyFont="1" applyFill="1" applyAlignment="1">
      <alignment vertical="center"/>
    </xf>
    <xf numFmtId="0" fontId="62" fillId="27" borderId="0" xfId="49" applyFont="1" applyFill="1" applyAlignment="1">
      <alignment horizontal="center" vertical="center"/>
    </xf>
    <xf numFmtId="0" fontId="52" fillId="27" borderId="0" xfId="49" applyFont="1" applyFill="1" applyAlignment="1">
      <alignment horizontal="left" vertical="center" wrapText="1"/>
    </xf>
    <xf numFmtId="171" fontId="40" fillId="37" borderId="78" xfId="49" applyNumberFormat="1" applyFont="1" applyFill="1" applyBorder="1" applyAlignment="1">
      <alignment horizontal="center" vertical="center" wrapText="1"/>
    </xf>
    <xf numFmtId="171" fontId="40" fillId="37" borderId="28" xfId="49" applyNumberFormat="1" applyFont="1" applyFill="1" applyBorder="1" applyAlignment="1">
      <alignment horizontal="center" vertical="center" wrapText="1"/>
    </xf>
    <xf numFmtId="171" fontId="40" fillId="37" borderId="20" xfId="49" applyNumberFormat="1" applyFont="1" applyFill="1" applyBorder="1" applyAlignment="1">
      <alignment horizontal="center" vertical="center" wrapText="1"/>
    </xf>
    <xf numFmtId="171" fontId="40" fillId="37" borderId="56" xfId="49" applyNumberFormat="1" applyFont="1" applyFill="1" applyBorder="1" applyAlignment="1">
      <alignment horizontal="center" vertical="center"/>
    </xf>
    <xf numFmtId="171" fontId="40" fillId="37" borderId="77" xfId="49" applyNumberFormat="1" applyFont="1" applyFill="1" applyBorder="1" applyAlignment="1">
      <alignment horizontal="center" vertical="center"/>
    </xf>
    <xf numFmtId="171" fontId="40" fillId="37" borderId="57" xfId="49" applyNumberFormat="1" applyFont="1" applyFill="1" applyBorder="1" applyAlignment="1">
      <alignment horizontal="center" vertical="center"/>
    </xf>
    <xf numFmtId="171" fontId="40" fillId="37" borderId="79" xfId="49" applyNumberFormat="1" applyFont="1" applyFill="1" applyBorder="1" applyAlignment="1">
      <alignment horizontal="center" vertical="center"/>
    </xf>
    <xf numFmtId="0" fontId="41" fillId="27" borderId="29" xfId="49" applyFont="1" applyFill="1" applyBorder="1" applyAlignment="1">
      <alignment vertical="center" wrapText="1"/>
    </xf>
    <xf numFmtId="0" fontId="41" fillId="27" borderId="24" xfId="49" applyFont="1" applyFill="1" applyBorder="1" applyAlignment="1">
      <alignment vertical="center" wrapText="1"/>
    </xf>
    <xf numFmtId="0" fontId="41" fillId="27" borderId="30" xfId="49" applyFont="1" applyFill="1" applyBorder="1" applyAlignment="1">
      <alignment vertical="center" wrapText="1"/>
    </xf>
    <xf numFmtId="9" fontId="41" fillId="33" borderId="53" xfId="1" applyFont="1" applyFill="1" applyBorder="1" applyAlignment="1" applyProtection="1">
      <alignment horizontal="center" vertical="center" wrapText="1"/>
    </xf>
    <xf numFmtId="175" fontId="52" fillId="27" borderId="0" xfId="49" applyNumberFormat="1" applyFont="1" applyFill="1" applyAlignment="1">
      <alignment horizontal="center" vertical="center"/>
    </xf>
    <xf numFmtId="175" fontId="52" fillId="27" borderId="0" xfId="49" applyNumberFormat="1" applyFont="1" applyFill="1" applyAlignment="1">
      <alignment horizontal="center" vertical="center" wrapText="1"/>
    </xf>
    <xf numFmtId="175" fontId="19" fillId="27" borderId="0" xfId="49" applyNumberFormat="1" applyFont="1" applyFill="1" applyAlignment="1">
      <alignment horizontal="center" vertical="center" wrapText="1"/>
    </xf>
    <xf numFmtId="175" fontId="15" fillId="27" borderId="0" xfId="49" applyNumberFormat="1" applyFont="1" applyFill="1" applyAlignment="1">
      <alignment vertical="center" wrapText="1"/>
    </xf>
    <xf numFmtId="175" fontId="40" fillId="27" borderId="0" xfId="49" applyNumberFormat="1" applyFont="1" applyFill="1" applyAlignment="1">
      <alignment horizontal="center" vertical="center" wrapText="1"/>
    </xf>
    <xf numFmtId="49" fontId="41" fillId="0" borderId="49" xfId="32" applyNumberFormat="1" applyFont="1" applyBorder="1" applyAlignment="1">
      <alignment horizontal="center" vertical="center" wrapText="1"/>
    </xf>
    <xf numFmtId="49" fontId="41" fillId="0" borderId="50" xfId="0" applyNumberFormat="1" applyFont="1" applyBorder="1" applyAlignment="1">
      <alignment vertical="center" wrapText="1"/>
    </xf>
    <xf numFmtId="0" fontId="27" fillId="0" borderId="0" xfId="0" applyFont="1" applyAlignment="1">
      <alignment vertical="center"/>
    </xf>
    <xf numFmtId="0" fontId="40" fillId="31" borderId="76" xfId="32" applyFont="1" applyFill="1" applyBorder="1" applyAlignment="1">
      <alignment vertical="center" wrapText="1"/>
    </xf>
    <xf numFmtId="16" fontId="41" fillId="26" borderId="24" xfId="32" applyNumberFormat="1" applyFont="1" applyFill="1" applyBorder="1" applyAlignment="1">
      <alignment horizontal="center" vertical="center"/>
    </xf>
    <xf numFmtId="0" fontId="42" fillId="27" borderId="29" xfId="0" applyFont="1" applyFill="1" applyBorder="1" applyAlignment="1">
      <alignment horizontal="center" vertical="center" wrapText="1"/>
    </xf>
    <xf numFmtId="0" fontId="42" fillId="0" borderId="76" xfId="0" applyFont="1" applyBorder="1" applyAlignment="1">
      <alignment horizontal="right" vertical="center" wrapText="1"/>
    </xf>
    <xf numFmtId="168" fontId="41" fillId="28" borderId="7" xfId="0" applyNumberFormat="1" applyFont="1" applyFill="1" applyBorder="1" applyAlignment="1" applyProtection="1">
      <alignment horizontal="center" vertical="center"/>
      <protection locked="0"/>
    </xf>
    <xf numFmtId="0" fontId="12" fillId="3" borderId="34" xfId="88" applyFont="1" applyFill="1" applyBorder="1" applyAlignment="1" applyProtection="1">
      <alignment horizontal="center" vertical="center" wrapText="1"/>
      <protection locked="0"/>
    </xf>
    <xf numFmtId="0" fontId="12" fillId="3" borderId="21" xfId="88" applyFont="1" applyFill="1" applyBorder="1" applyAlignment="1" applyProtection="1">
      <alignment horizontal="center" vertical="center" wrapText="1"/>
      <protection locked="0"/>
    </xf>
    <xf numFmtId="0" fontId="12" fillId="3" borderId="17" xfId="88" applyFont="1" applyFill="1" applyBorder="1" applyAlignment="1" applyProtection="1">
      <alignment horizontal="center" vertical="center" wrapText="1"/>
      <protection locked="0"/>
    </xf>
    <xf numFmtId="0" fontId="12" fillId="3" borderId="51" xfId="88" applyFont="1" applyFill="1" applyBorder="1" applyAlignment="1" applyProtection="1">
      <alignment horizontal="center" vertical="center" wrapText="1"/>
      <protection locked="0"/>
    </xf>
    <xf numFmtId="3" fontId="12" fillId="3" borderId="53" xfId="88" applyNumberFormat="1" applyFont="1" applyFill="1" applyBorder="1" applyAlignment="1" applyProtection="1">
      <alignment horizontal="center" vertical="center" wrapText="1"/>
      <protection locked="0"/>
    </xf>
    <xf numFmtId="3" fontId="12" fillId="3" borderId="7" xfId="88" applyNumberFormat="1" applyFont="1" applyFill="1" applyBorder="1" applyAlignment="1" applyProtection="1">
      <alignment horizontal="center" vertical="center" wrapText="1"/>
      <protection locked="0"/>
    </xf>
    <xf numFmtId="0" fontId="12" fillId="3" borderId="5" xfId="88" applyFont="1" applyFill="1" applyBorder="1" applyAlignment="1" applyProtection="1">
      <alignment horizontal="center" vertical="center" wrapText="1"/>
      <protection locked="0"/>
    </xf>
    <xf numFmtId="3" fontId="12" fillId="3" borderId="76" xfId="88" applyNumberFormat="1" applyFont="1" applyFill="1" applyBorder="1" applyAlignment="1" applyProtection="1">
      <alignment horizontal="center" vertical="center" wrapText="1"/>
      <protection locked="0"/>
    </xf>
    <xf numFmtId="3" fontId="12" fillId="3" borderId="73" xfId="88" applyNumberFormat="1" applyFont="1" applyFill="1" applyBorder="1" applyAlignment="1" applyProtection="1">
      <alignment horizontal="center" vertical="center" wrapText="1"/>
      <protection locked="0"/>
    </xf>
    <xf numFmtId="3" fontId="12" fillId="3" borderId="32" xfId="88" applyNumberFormat="1" applyFont="1" applyFill="1" applyBorder="1" applyAlignment="1" applyProtection="1">
      <alignment horizontal="center" vertical="center" wrapText="1"/>
      <protection locked="0"/>
    </xf>
    <xf numFmtId="3" fontId="12" fillId="3" borderId="52" xfId="88" applyNumberFormat="1" applyFont="1" applyFill="1" applyBorder="1" applyAlignment="1" applyProtection="1">
      <alignment horizontal="center" vertical="center" wrapText="1"/>
      <protection locked="0"/>
    </xf>
    <xf numFmtId="3" fontId="12" fillId="3" borderId="61" xfId="88" applyNumberFormat="1" applyFont="1" applyFill="1" applyBorder="1" applyAlignment="1" applyProtection="1">
      <alignment horizontal="center" vertical="center" wrapText="1"/>
      <protection locked="0"/>
    </xf>
    <xf numFmtId="3" fontId="12" fillId="3" borderId="31" xfId="88" applyNumberFormat="1" applyFont="1" applyFill="1" applyBorder="1" applyAlignment="1" applyProtection="1">
      <alignment horizontal="center" vertical="center" wrapText="1"/>
      <protection locked="0"/>
    </xf>
    <xf numFmtId="3" fontId="12" fillId="3" borderId="74" xfId="88" applyNumberFormat="1" applyFont="1" applyFill="1" applyBorder="1" applyAlignment="1" applyProtection="1">
      <alignment horizontal="center" vertical="center" wrapText="1"/>
      <protection locked="0"/>
    </xf>
    <xf numFmtId="3" fontId="12" fillId="28" borderId="7" xfId="88" applyNumberFormat="1" applyFont="1" applyFill="1" applyBorder="1" applyAlignment="1" applyProtection="1">
      <alignment horizontal="center" vertical="center" wrapText="1"/>
      <protection locked="0"/>
    </xf>
    <xf numFmtId="3" fontId="12" fillId="3" borderId="50" xfId="88" applyNumberFormat="1" applyFont="1" applyFill="1" applyBorder="1" applyAlignment="1" applyProtection="1">
      <alignment horizontal="center" vertical="center" wrapText="1"/>
      <protection locked="0"/>
    </xf>
    <xf numFmtId="3" fontId="12" fillId="28" borderId="53" xfId="88" applyNumberFormat="1" applyFont="1" applyFill="1" applyBorder="1" applyAlignment="1" applyProtection="1">
      <alignment horizontal="center" vertical="center" wrapText="1"/>
      <protection locked="0"/>
    </xf>
    <xf numFmtId="3" fontId="12" fillId="3" borderId="15" xfId="88" applyNumberFormat="1" applyFont="1" applyFill="1" applyBorder="1" applyAlignment="1" applyProtection="1">
      <alignment horizontal="center" vertical="center" wrapText="1"/>
      <protection locked="0"/>
    </xf>
    <xf numFmtId="3" fontId="12" fillId="28" borderId="14" xfId="88" applyNumberFormat="1" applyFont="1" applyFill="1" applyBorder="1" applyAlignment="1" applyProtection="1">
      <alignment horizontal="center" vertical="center" wrapText="1"/>
      <protection locked="0"/>
    </xf>
    <xf numFmtId="3" fontId="12" fillId="28" borderId="73" xfId="88" applyNumberFormat="1" applyFont="1" applyFill="1" applyBorder="1" applyAlignment="1" applyProtection="1">
      <alignment horizontal="center" vertical="center" wrapText="1"/>
      <protection locked="0"/>
    </xf>
    <xf numFmtId="3" fontId="12" fillId="28" borderId="74" xfId="88" applyNumberFormat="1" applyFont="1" applyFill="1" applyBorder="1" applyAlignment="1" applyProtection="1">
      <alignment horizontal="center" vertical="center" wrapText="1"/>
      <protection locked="0"/>
    </xf>
    <xf numFmtId="3" fontId="12" fillId="28" borderId="31" xfId="88" applyNumberFormat="1" applyFont="1" applyFill="1" applyBorder="1" applyAlignment="1" applyProtection="1">
      <alignment horizontal="center" vertical="center" wrapText="1"/>
      <protection locked="0"/>
    </xf>
    <xf numFmtId="0" fontId="20" fillId="20" borderId="29" xfId="0" applyFont="1" applyFill="1" applyBorder="1" applyAlignment="1">
      <alignment horizontal="right" vertical="center"/>
    </xf>
    <xf numFmtId="0" fontId="20" fillId="20" borderId="24" xfId="0" applyFont="1" applyFill="1" applyBorder="1" applyAlignment="1">
      <alignment horizontal="right" vertical="center"/>
    </xf>
    <xf numFmtId="0" fontId="65" fillId="31" borderId="15" xfId="52" applyFont="1" applyFill="1" applyBorder="1" applyAlignment="1">
      <alignment horizontal="left" vertical="center" wrapText="1"/>
    </xf>
    <xf numFmtId="0" fontId="57" fillId="20" borderId="15" xfId="52" applyFont="1" applyFill="1" applyBorder="1" applyAlignment="1">
      <alignment horizontal="left" vertical="center"/>
    </xf>
    <xf numFmtId="49" fontId="57" fillId="27" borderId="39" xfId="52" applyNumberFormat="1" applyFont="1" applyFill="1" applyBorder="1" applyAlignment="1">
      <alignment horizontal="center" vertical="center" wrapText="1"/>
    </xf>
    <xf numFmtId="0" fontId="57" fillId="20" borderId="39" xfId="52" applyFont="1" applyFill="1" applyBorder="1" applyAlignment="1">
      <alignment horizontal="center" vertical="center" wrapText="1"/>
    </xf>
    <xf numFmtId="49" fontId="62" fillId="27" borderId="0" xfId="40" applyNumberFormat="1" applyFont="1" applyFill="1" applyAlignment="1">
      <alignment horizontal="center" vertical="center" wrapText="1"/>
    </xf>
    <xf numFmtId="0" fontId="57" fillId="20" borderId="30" xfId="80" applyFont="1" applyFill="1" applyBorder="1" applyAlignment="1">
      <alignment horizontal="center" vertical="center" wrapText="1"/>
    </xf>
    <xf numFmtId="0" fontId="82" fillId="44" borderId="2" xfId="52" applyFont="1" applyFill="1" applyBorder="1" applyAlignment="1">
      <alignment horizontal="center" vertical="center" wrapText="1"/>
    </xf>
    <xf numFmtId="0" fontId="20" fillId="27" borderId="20" xfId="32" applyFont="1" applyFill="1" applyBorder="1" applyAlignment="1">
      <alignment horizontal="center" vertical="center" wrapText="1"/>
    </xf>
    <xf numFmtId="3" fontId="12" fillId="3" borderId="52" xfId="0" applyNumberFormat="1" applyFont="1" applyFill="1" applyBorder="1" applyAlignment="1" applyProtection="1">
      <alignment horizontal="center" vertical="center" wrapText="1"/>
      <protection locked="0"/>
    </xf>
    <xf numFmtId="3" fontId="12" fillId="3" borderId="24" xfId="0" applyNumberFormat="1" applyFont="1" applyFill="1" applyBorder="1" applyAlignment="1" applyProtection="1">
      <alignment horizontal="center" vertical="center" wrapText="1"/>
      <protection locked="0"/>
    </xf>
    <xf numFmtId="0" fontId="57" fillId="31" borderId="39" xfId="57" applyFont="1" applyFill="1" applyBorder="1" applyAlignment="1">
      <alignment horizontal="center" vertical="center" wrapText="1"/>
    </xf>
    <xf numFmtId="173" fontId="65" fillId="31" borderId="54" xfId="57" applyNumberFormat="1" applyFont="1" applyFill="1" applyBorder="1" applyAlignment="1">
      <alignment horizontal="center" vertical="center"/>
    </xf>
    <xf numFmtId="3" fontId="65" fillId="26" borderId="75" xfId="57" applyNumberFormat="1" applyFont="1" applyFill="1" applyBorder="1" applyAlignment="1">
      <alignment horizontal="center" vertical="center"/>
    </xf>
    <xf numFmtId="173" fontId="65" fillId="31" borderId="63" xfId="57" applyNumberFormat="1" applyFont="1" applyFill="1" applyBorder="1" applyAlignment="1">
      <alignment horizontal="center" vertical="center"/>
    </xf>
    <xf numFmtId="3" fontId="65" fillId="26" borderId="73" xfId="57" applyNumberFormat="1" applyFont="1" applyFill="1" applyBorder="1" applyAlignment="1">
      <alignment horizontal="center" vertical="center"/>
    </xf>
    <xf numFmtId="173" fontId="65" fillId="31" borderId="77" xfId="57" applyNumberFormat="1" applyFont="1" applyFill="1" applyBorder="1" applyAlignment="1">
      <alignment horizontal="center" vertical="center"/>
    </xf>
    <xf numFmtId="173" fontId="65" fillId="31" borderId="55" xfId="57" applyNumberFormat="1" applyFont="1" applyFill="1" applyBorder="1" applyAlignment="1">
      <alignment horizontal="center" vertical="center"/>
    </xf>
    <xf numFmtId="3" fontId="65" fillId="26" borderId="76" xfId="57" applyNumberFormat="1" applyFont="1" applyFill="1" applyBorder="1" applyAlignment="1">
      <alignment horizontal="center" vertical="center"/>
    </xf>
    <xf numFmtId="0" fontId="69" fillId="20" borderId="1" xfId="32" applyFont="1" applyFill="1" applyBorder="1" applyAlignment="1">
      <alignment horizontal="right" vertical="center"/>
    </xf>
    <xf numFmtId="0" fontId="57" fillId="20" borderId="39" xfId="80" applyFont="1" applyFill="1" applyBorder="1" applyAlignment="1">
      <alignment horizontal="center" vertical="center" wrapText="1"/>
    </xf>
    <xf numFmtId="0" fontId="57" fillId="20" borderId="21" xfId="80" applyFont="1" applyFill="1" applyBorder="1" applyAlignment="1">
      <alignment horizontal="center" vertical="center" wrapText="1"/>
    </xf>
    <xf numFmtId="0" fontId="100" fillId="0" borderId="17" xfId="2" applyFont="1" applyBorder="1" applyAlignment="1" applyProtection="1">
      <alignment horizontal="center" vertical="center" wrapText="1"/>
    </xf>
    <xf numFmtId="0" fontId="100" fillId="0" borderId="21" xfId="2" applyFont="1" applyBorder="1" applyAlignment="1" applyProtection="1">
      <alignment horizontal="center" vertical="center" wrapText="1"/>
    </xf>
    <xf numFmtId="0" fontId="16" fillId="27" borderId="0" xfId="32" applyFont="1" applyFill="1" applyAlignment="1">
      <alignment vertical="center" wrapText="1"/>
    </xf>
    <xf numFmtId="0" fontId="34" fillId="27" borderId="0" xfId="32" applyFont="1" applyFill="1" applyAlignment="1">
      <alignment vertical="center" wrapText="1"/>
    </xf>
    <xf numFmtId="171" fontId="41" fillId="31" borderId="51" xfId="32" applyNumberFormat="1" applyFont="1" applyFill="1" applyBorder="1" applyAlignment="1">
      <alignment horizontal="center" vertical="center" wrapText="1"/>
    </xf>
    <xf numFmtId="0" fontId="78" fillId="27" borderId="0" xfId="0" applyFont="1" applyFill="1" applyAlignment="1">
      <alignment vertical="center"/>
    </xf>
    <xf numFmtId="0" fontId="40" fillId="26" borderId="53" xfId="0" applyFont="1" applyFill="1" applyBorder="1" applyAlignment="1">
      <alignment horizontal="left" vertical="center" wrapText="1"/>
    </xf>
    <xf numFmtId="49" fontId="41" fillId="27" borderId="47" xfId="32" applyNumberFormat="1" applyFont="1" applyFill="1" applyBorder="1" applyAlignment="1">
      <alignment horizontal="center" vertical="center" wrapText="1"/>
    </xf>
    <xf numFmtId="0" fontId="41" fillId="27" borderId="48" xfId="32" applyFont="1" applyFill="1" applyBorder="1" applyAlignment="1">
      <alignment horizontal="left" vertical="center" wrapText="1"/>
    </xf>
    <xf numFmtId="49" fontId="41" fillId="27" borderId="75" xfId="32" applyNumberFormat="1" applyFont="1" applyFill="1" applyBorder="1" applyAlignment="1">
      <alignment horizontal="center" vertical="center" wrapText="1"/>
    </xf>
    <xf numFmtId="49" fontId="41" fillId="27" borderId="6" xfId="32" applyNumberFormat="1" applyFont="1" applyFill="1" applyBorder="1" applyAlignment="1">
      <alignment vertical="center" wrapText="1"/>
    </xf>
    <xf numFmtId="49" fontId="41" fillId="27" borderId="19" xfId="32" applyNumberFormat="1" applyFont="1" applyFill="1" applyBorder="1" applyAlignment="1">
      <alignment vertical="center" wrapText="1"/>
    </xf>
    <xf numFmtId="0" fontId="42" fillId="27" borderId="27" xfId="0" applyFont="1" applyFill="1" applyBorder="1" applyAlignment="1">
      <alignment horizontal="center" vertical="center" wrapText="1"/>
    </xf>
    <xf numFmtId="0" fontId="42" fillId="0" borderId="25" xfId="0" applyFont="1" applyBorder="1" applyAlignment="1">
      <alignment horizontal="center" vertical="center" wrapText="1"/>
    </xf>
    <xf numFmtId="0" fontId="42" fillId="0" borderId="24" xfId="0" applyFont="1" applyBorder="1" applyAlignment="1">
      <alignment horizontal="center" vertical="center" wrapText="1"/>
    </xf>
    <xf numFmtId="0" fontId="87" fillId="0" borderId="0" xfId="49" applyFont="1" applyAlignment="1">
      <alignment vertical="center"/>
    </xf>
    <xf numFmtId="0" fontId="40" fillId="0" borderId="29" xfId="31" applyFont="1" applyBorder="1" applyAlignment="1">
      <alignment horizontal="center" vertical="center" wrapText="1"/>
    </xf>
    <xf numFmtId="0" fontId="40" fillId="0" borderId="14" xfId="31" applyFont="1" applyBorder="1" applyAlignment="1">
      <alignment horizontal="center" vertical="center" wrapText="1"/>
    </xf>
    <xf numFmtId="3" fontId="12" fillId="28" borderId="62" xfId="88" applyNumberFormat="1" applyFont="1" applyFill="1" applyBorder="1" applyAlignment="1" applyProtection="1">
      <alignment horizontal="center" vertical="center" wrapText="1"/>
      <protection locked="0"/>
    </xf>
    <xf numFmtId="10" fontId="12" fillId="0" borderId="75" xfId="0" applyNumberFormat="1" applyFont="1" applyBorder="1" applyAlignment="1">
      <alignment horizontal="center" vertical="center"/>
    </xf>
    <xf numFmtId="10" fontId="12" fillId="0" borderId="73" xfId="0" applyNumberFormat="1" applyFont="1" applyBorder="1" applyAlignment="1">
      <alignment horizontal="center" vertical="center"/>
    </xf>
    <xf numFmtId="10" fontId="12" fillId="0" borderId="52" xfId="0" applyNumberFormat="1" applyFont="1" applyBorder="1" applyAlignment="1">
      <alignment horizontal="center" vertical="center"/>
    </xf>
    <xf numFmtId="10" fontId="12" fillId="0" borderId="7" xfId="0" applyNumberFormat="1" applyFont="1" applyBorder="1" applyAlignment="1">
      <alignment horizontal="center" vertical="center"/>
    </xf>
    <xf numFmtId="10" fontId="12" fillId="0" borderId="14" xfId="0" applyNumberFormat="1" applyFont="1" applyBorder="1" applyAlignment="1">
      <alignment horizontal="center" vertical="center"/>
    </xf>
    <xf numFmtId="10" fontId="12" fillId="0" borderId="15" xfId="0" applyNumberFormat="1" applyFont="1" applyBorder="1" applyAlignment="1">
      <alignment horizontal="center" vertical="center"/>
    </xf>
    <xf numFmtId="2" fontId="12" fillId="0" borderId="15" xfId="0" applyNumberFormat="1" applyFont="1" applyBorder="1" applyAlignment="1">
      <alignment horizontal="center" vertical="center"/>
    </xf>
    <xf numFmtId="0" fontId="19" fillId="2" borderId="42" xfId="0" applyFont="1" applyFill="1" applyBorder="1" applyAlignment="1">
      <alignment vertical="center" wrapText="1"/>
    </xf>
    <xf numFmtId="0" fontId="19" fillId="2" borderId="48" xfId="0" applyFont="1" applyFill="1" applyBorder="1" applyAlignment="1">
      <alignment vertical="center" wrapText="1"/>
    </xf>
    <xf numFmtId="0" fontId="19" fillId="2" borderId="101" xfId="0" applyFont="1" applyFill="1" applyBorder="1" applyAlignment="1">
      <alignment vertical="center" wrapText="1"/>
    </xf>
    <xf numFmtId="3" fontId="65" fillId="31" borderId="29" xfId="57" applyNumberFormat="1" applyFont="1" applyFill="1" applyBorder="1" applyAlignment="1">
      <alignment horizontal="center" vertical="center"/>
    </xf>
    <xf numFmtId="3" fontId="65" fillId="31" borderId="49" xfId="52" applyNumberFormat="1" applyFont="1" applyFill="1" applyBorder="1" applyAlignment="1">
      <alignment horizontal="center" vertical="center"/>
    </xf>
    <xf numFmtId="3" fontId="57" fillId="3" borderId="52" xfId="52" applyNumberFormat="1" applyFont="1" applyFill="1" applyBorder="1" applyAlignment="1" applyProtection="1">
      <alignment horizontal="center" vertical="center"/>
      <protection locked="0"/>
    </xf>
    <xf numFmtId="3" fontId="57" fillId="3" borderId="56" xfId="52" applyNumberFormat="1" applyFont="1" applyFill="1" applyBorder="1" applyAlignment="1" applyProtection="1">
      <alignment horizontal="center" vertical="center"/>
      <protection locked="0"/>
    </xf>
    <xf numFmtId="3" fontId="57" fillId="3" borderId="63" xfId="52" applyNumberFormat="1" applyFont="1" applyFill="1" applyBorder="1" applyAlignment="1" applyProtection="1">
      <alignment horizontal="center" vertical="center"/>
      <protection locked="0"/>
    </xf>
    <xf numFmtId="3" fontId="57" fillId="3" borderId="55" xfId="52" applyNumberFormat="1" applyFont="1" applyFill="1" applyBorder="1" applyAlignment="1" applyProtection="1">
      <alignment horizontal="center" vertical="center"/>
      <protection locked="0"/>
    </xf>
    <xf numFmtId="10" fontId="65" fillId="27" borderId="52" xfId="52" applyNumberFormat="1" applyFont="1" applyFill="1" applyBorder="1" applyAlignment="1">
      <alignment horizontal="center" vertical="center"/>
    </xf>
    <xf numFmtId="3" fontId="65" fillId="31" borderId="75" xfId="52" applyNumberFormat="1" applyFont="1" applyFill="1" applyBorder="1" applyAlignment="1">
      <alignment horizontal="center" vertical="center"/>
    </xf>
    <xf numFmtId="3" fontId="98" fillId="31" borderId="56" xfId="54" applyNumberFormat="1" applyFont="1" applyFill="1" applyBorder="1" applyAlignment="1">
      <alignment horizontal="center" vertical="center"/>
    </xf>
    <xf numFmtId="3" fontId="98" fillId="31" borderId="77" xfId="54" applyNumberFormat="1" applyFont="1" applyFill="1" applyBorder="1" applyAlignment="1">
      <alignment horizontal="center" vertical="center"/>
    </xf>
    <xf numFmtId="3" fontId="98" fillId="31" borderId="57" xfId="54" applyNumberFormat="1" applyFont="1" applyFill="1" applyBorder="1" applyAlignment="1">
      <alignment horizontal="center" vertical="center"/>
    </xf>
    <xf numFmtId="3" fontId="65" fillId="27" borderId="73" xfId="57" applyNumberFormat="1" applyFont="1" applyFill="1" applyBorder="1" applyAlignment="1">
      <alignment horizontal="center" vertical="center"/>
    </xf>
    <xf numFmtId="3" fontId="65" fillId="27" borderId="76" xfId="57" applyNumberFormat="1" applyFont="1" applyFill="1" applyBorder="1" applyAlignment="1">
      <alignment horizontal="center" vertical="center"/>
    </xf>
    <xf numFmtId="0" fontId="42" fillId="0" borderId="50" xfId="32" applyFont="1" applyBorder="1" applyAlignment="1">
      <alignment horizontal="right" vertical="center" wrapText="1"/>
    </xf>
    <xf numFmtId="49" fontId="41" fillId="0" borderId="25" xfId="32" applyNumberFormat="1" applyFont="1" applyBorder="1" applyAlignment="1">
      <alignment horizontal="center" vertical="center" wrapText="1"/>
    </xf>
    <xf numFmtId="49" fontId="41" fillId="26" borderId="49" xfId="32" applyNumberFormat="1" applyFont="1" applyFill="1" applyBorder="1" applyAlignment="1">
      <alignment horizontal="center" vertical="center" wrapText="1"/>
    </xf>
    <xf numFmtId="0" fontId="41" fillId="26" borderId="50" xfId="32" applyFont="1" applyFill="1" applyBorder="1" applyAlignment="1">
      <alignment vertical="center" wrapText="1"/>
    </xf>
    <xf numFmtId="0" fontId="41" fillId="0" borderId="50" xfId="32" applyFont="1" applyBorder="1" applyAlignment="1">
      <alignment vertical="center" wrapText="1"/>
    </xf>
    <xf numFmtId="0" fontId="41" fillId="0" borderId="53" xfId="32" applyFont="1" applyBorder="1" applyAlignment="1">
      <alignment vertical="center" wrapText="1"/>
    </xf>
    <xf numFmtId="16" fontId="40" fillId="26" borderId="52" xfId="32" applyNumberFormat="1" applyFont="1" applyFill="1" applyBorder="1" applyAlignment="1">
      <alignment horizontal="center" vertical="center"/>
    </xf>
    <xf numFmtId="0" fontId="40" fillId="26" borderId="53" xfId="0" applyFont="1" applyFill="1" applyBorder="1" applyAlignment="1">
      <alignment vertical="center" wrapText="1"/>
    </xf>
    <xf numFmtId="9" fontId="40" fillId="24" borderId="10" xfId="1" applyFont="1" applyFill="1" applyBorder="1" applyAlignment="1" applyProtection="1">
      <alignment horizontal="center" vertical="center" wrapText="1"/>
    </xf>
    <xf numFmtId="9" fontId="41" fillId="33" borderId="50" xfId="1" applyFont="1" applyFill="1" applyBorder="1" applyAlignment="1" applyProtection="1">
      <alignment horizontal="center" vertical="center" wrapText="1"/>
    </xf>
    <xf numFmtId="9" fontId="41" fillId="26" borderId="53" xfId="1" applyFont="1" applyFill="1" applyBorder="1" applyAlignment="1" applyProtection="1">
      <alignment horizontal="center" vertical="center" wrapText="1"/>
    </xf>
    <xf numFmtId="9" fontId="41" fillId="43" borderId="76" xfId="1" applyFont="1" applyFill="1" applyBorder="1" applyAlignment="1" applyProtection="1">
      <alignment horizontal="center" vertical="center" wrapText="1"/>
    </xf>
    <xf numFmtId="9" fontId="41" fillId="43" borderId="53" xfId="1" applyFont="1" applyFill="1" applyBorder="1" applyAlignment="1" applyProtection="1">
      <alignment horizontal="center" vertical="center" wrapText="1"/>
    </xf>
    <xf numFmtId="9" fontId="41" fillId="43" borderId="57" xfId="1" applyFont="1" applyFill="1" applyBorder="1" applyAlignment="1" applyProtection="1">
      <alignment horizontal="center" vertical="center" wrapText="1"/>
    </xf>
    <xf numFmtId="9" fontId="41" fillId="0" borderId="53" xfId="1" applyFont="1" applyFill="1" applyBorder="1" applyAlignment="1" applyProtection="1">
      <alignment horizontal="center" vertical="center" wrapText="1"/>
    </xf>
    <xf numFmtId="9" fontId="40" fillId="0" borderId="10" xfId="1" applyFont="1" applyFill="1" applyBorder="1" applyAlignment="1" applyProtection="1">
      <alignment horizontal="center" vertical="center" wrapText="1"/>
    </xf>
    <xf numFmtId="0" fontId="40" fillId="37" borderId="14" xfId="49" applyFont="1" applyFill="1" applyBorder="1" applyAlignment="1">
      <alignment horizontal="center" vertical="center" wrapText="1"/>
    </xf>
    <xf numFmtId="171" fontId="40" fillId="37" borderId="19" xfId="49" applyNumberFormat="1" applyFont="1" applyFill="1" applyBorder="1" applyAlignment="1">
      <alignment horizontal="center" vertical="center"/>
    </xf>
    <xf numFmtId="4" fontId="40" fillId="27" borderId="14" xfId="49" applyNumberFormat="1" applyFont="1" applyFill="1" applyBorder="1" applyAlignment="1">
      <alignment horizontal="center" vertical="center"/>
    </xf>
    <xf numFmtId="4" fontId="40" fillId="27" borderId="15" xfId="49" applyNumberFormat="1" applyFont="1" applyFill="1" applyBorder="1" applyAlignment="1">
      <alignment horizontal="center" vertical="center"/>
    </xf>
    <xf numFmtId="4" fontId="40" fillId="27" borderId="19" xfId="49" applyNumberFormat="1" applyFont="1" applyFill="1" applyBorder="1" applyAlignment="1">
      <alignment horizontal="center" vertical="center"/>
    </xf>
    <xf numFmtId="0" fontId="40" fillId="37" borderId="22" xfId="49" applyFont="1" applyFill="1" applyBorder="1" applyAlignment="1">
      <alignment horizontal="center" vertical="center" wrapText="1"/>
    </xf>
    <xf numFmtId="171" fontId="40" fillId="37" borderId="28" xfId="49" applyNumberFormat="1" applyFont="1" applyFill="1" applyBorder="1" applyAlignment="1">
      <alignment horizontal="center" vertical="center"/>
    </xf>
    <xf numFmtId="4" fontId="40" fillId="27" borderId="22" xfId="49" applyNumberFormat="1" applyFont="1" applyFill="1" applyBorder="1" applyAlignment="1">
      <alignment horizontal="center" vertical="center"/>
    </xf>
    <xf numFmtId="4" fontId="40" fillId="27" borderId="23" xfId="49" applyNumberFormat="1" applyFont="1" applyFill="1" applyBorder="1" applyAlignment="1">
      <alignment horizontal="center" vertical="center"/>
    </xf>
    <xf numFmtId="4" fontId="40" fillId="27" borderId="28" xfId="49" applyNumberFormat="1" applyFont="1" applyFill="1" applyBorder="1" applyAlignment="1">
      <alignment horizontal="center" vertical="center"/>
    </xf>
    <xf numFmtId="49" fontId="41" fillId="27" borderId="52" xfId="49" applyNumberFormat="1" applyFont="1" applyFill="1" applyBorder="1" applyAlignment="1">
      <alignment horizontal="left" vertical="center" wrapText="1"/>
    </xf>
    <xf numFmtId="49" fontId="42" fillId="27" borderId="52" xfId="49" applyNumberFormat="1" applyFont="1" applyFill="1" applyBorder="1" applyAlignment="1">
      <alignment horizontal="left" vertical="center" wrapText="1"/>
    </xf>
    <xf numFmtId="49" fontId="42" fillId="27" borderId="49" xfId="49" applyNumberFormat="1" applyFont="1" applyFill="1" applyBorder="1" applyAlignment="1">
      <alignment horizontal="left" vertical="center" wrapText="1"/>
    </xf>
    <xf numFmtId="49" fontId="42" fillId="27" borderId="54" xfId="49" applyNumberFormat="1" applyFont="1" applyFill="1" applyBorder="1" applyAlignment="1">
      <alignment horizontal="left" vertical="center" wrapText="1"/>
    </xf>
    <xf numFmtId="0" fontId="40" fillId="0" borderId="42" xfId="31" applyFont="1" applyBorder="1" applyAlignment="1">
      <alignment horizontal="center" vertical="center" wrapText="1"/>
    </xf>
    <xf numFmtId="0" fontId="40" fillId="0" borderId="43" xfId="31" applyFont="1" applyBorder="1" applyAlignment="1">
      <alignment horizontal="center" vertical="center" wrapText="1"/>
    </xf>
    <xf numFmtId="168" fontId="52" fillId="27" borderId="0" xfId="49" applyNumberFormat="1" applyFont="1" applyFill="1" applyAlignment="1">
      <alignment horizontal="center" vertical="center"/>
    </xf>
    <xf numFmtId="168" fontId="62" fillId="27" borderId="0" xfId="49" applyNumberFormat="1" applyFont="1" applyFill="1" applyAlignment="1">
      <alignment horizontal="center" vertical="center" wrapText="1"/>
    </xf>
    <xf numFmtId="168" fontId="62" fillId="27" borderId="0" xfId="49" applyNumberFormat="1" applyFont="1" applyFill="1" applyAlignment="1">
      <alignment horizontal="right" vertical="center" wrapText="1"/>
    </xf>
    <xf numFmtId="168" fontId="52" fillId="27" borderId="0" xfId="49" applyNumberFormat="1" applyFont="1" applyFill="1" applyAlignment="1">
      <alignment horizontal="center" vertical="center" wrapText="1"/>
    </xf>
    <xf numFmtId="168" fontId="19" fillId="27" borderId="0" xfId="49" applyNumberFormat="1" applyFont="1" applyFill="1" applyAlignment="1">
      <alignment horizontal="center" vertical="center" wrapText="1"/>
    </xf>
    <xf numFmtId="168" fontId="19" fillId="27" borderId="0" xfId="49" applyNumberFormat="1" applyFont="1" applyFill="1" applyAlignment="1">
      <alignment horizontal="center" vertical="center"/>
    </xf>
    <xf numFmtId="168" fontId="40" fillId="37" borderId="29" xfId="49" applyNumberFormat="1" applyFont="1" applyFill="1" applyBorder="1" applyAlignment="1">
      <alignment horizontal="center" vertical="center" wrapText="1"/>
    </xf>
    <xf numFmtId="168" fontId="40" fillId="37" borderId="30" xfId="49" applyNumberFormat="1" applyFont="1" applyFill="1" applyBorder="1" applyAlignment="1">
      <alignment horizontal="center" vertical="center"/>
    </xf>
    <xf numFmtId="168" fontId="40" fillId="27" borderId="29" xfId="49" applyNumberFormat="1" applyFont="1" applyFill="1" applyBorder="1" applyAlignment="1">
      <alignment horizontal="center" vertical="center"/>
    </xf>
    <xf numFmtId="168" fontId="40" fillId="27" borderId="24" xfId="49" applyNumberFormat="1" applyFont="1" applyFill="1" applyBorder="1" applyAlignment="1">
      <alignment horizontal="center" vertical="center"/>
    </xf>
    <xf numFmtId="168" fontId="40" fillId="27" borderId="30" xfId="49" applyNumberFormat="1" applyFont="1" applyFill="1" applyBorder="1" applyAlignment="1">
      <alignment horizontal="center" vertical="center"/>
    </xf>
    <xf numFmtId="168" fontId="40" fillId="37" borderId="22" xfId="49" applyNumberFormat="1" applyFont="1" applyFill="1" applyBorder="1" applyAlignment="1">
      <alignment horizontal="center" vertical="center" wrapText="1"/>
    </xf>
    <xf numFmtId="168" fontId="40" fillId="37" borderId="28" xfId="49" applyNumberFormat="1" applyFont="1" applyFill="1" applyBorder="1" applyAlignment="1">
      <alignment horizontal="center" vertical="center"/>
    </xf>
    <xf numFmtId="168" fontId="40" fillId="27" borderId="22" xfId="49" applyNumberFormat="1" applyFont="1" applyFill="1" applyBorder="1" applyAlignment="1">
      <alignment horizontal="center" vertical="center"/>
    </xf>
    <xf numFmtId="168" fontId="40" fillId="27" borderId="23" xfId="49" applyNumberFormat="1" applyFont="1" applyFill="1" applyBorder="1" applyAlignment="1">
      <alignment horizontal="center" vertical="center"/>
    </xf>
    <xf numFmtId="168" fontId="40" fillId="27" borderId="28" xfId="49" applyNumberFormat="1" applyFont="1" applyFill="1" applyBorder="1" applyAlignment="1">
      <alignment horizontal="center" vertical="center"/>
    </xf>
    <xf numFmtId="168" fontId="15" fillId="27" borderId="0" xfId="49" applyNumberFormat="1" applyFont="1" applyFill="1" applyAlignment="1">
      <alignment vertical="center" wrapText="1"/>
    </xf>
    <xf numFmtId="0" fontId="21" fillId="26" borderId="0" xfId="0" applyFont="1" applyFill="1" applyAlignment="1">
      <alignment horizontal="center" vertical="center" wrapText="1"/>
    </xf>
    <xf numFmtId="49" fontId="21" fillId="26" borderId="0" xfId="0" applyNumberFormat="1" applyFont="1" applyFill="1" applyAlignment="1">
      <alignment horizontal="center" vertical="center"/>
    </xf>
    <xf numFmtId="10" fontId="21" fillId="0" borderId="52" xfId="0" applyNumberFormat="1" applyFont="1" applyBorder="1" applyAlignment="1">
      <alignment horizontal="center" vertical="center"/>
    </xf>
    <xf numFmtId="10" fontId="21" fillId="0" borderId="45" xfId="0" applyNumberFormat="1" applyFont="1" applyBorder="1" applyAlignment="1">
      <alignment horizontal="center" vertical="center"/>
    </xf>
    <xf numFmtId="10" fontId="21" fillId="0" borderId="21" xfId="0" applyNumberFormat="1" applyFont="1" applyBorder="1" applyAlignment="1">
      <alignment horizontal="center" vertical="center"/>
    </xf>
    <xf numFmtId="10" fontId="21" fillId="0" borderId="17" xfId="0" applyNumberFormat="1" applyFont="1" applyBorder="1" applyAlignment="1">
      <alignment horizontal="center" vertical="center"/>
    </xf>
    <xf numFmtId="10" fontId="21" fillId="0" borderId="66" xfId="0" applyNumberFormat="1" applyFont="1" applyBorder="1" applyAlignment="1">
      <alignment horizontal="center" vertical="center"/>
    </xf>
    <xf numFmtId="3" fontId="12" fillId="3" borderId="29" xfId="31" applyNumberFormat="1" applyFont="1" applyFill="1" applyBorder="1" applyAlignment="1" applyProtection="1">
      <alignment horizontal="center" vertical="center" wrapText="1"/>
      <protection locked="0"/>
    </xf>
    <xf numFmtId="3" fontId="12" fillId="0" borderId="30" xfId="0" applyNumberFormat="1" applyFont="1" applyBorder="1" applyAlignment="1">
      <alignment horizontal="center" vertical="center" wrapText="1"/>
    </xf>
    <xf numFmtId="3" fontId="12" fillId="0" borderId="78" xfId="0" applyNumberFormat="1" applyFont="1" applyBorder="1" applyAlignment="1">
      <alignment horizontal="center" vertical="center" wrapText="1"/>
    </xf>
    <xf numFmtId="0" fontId="40" fillId="24" borderId="76" xfId="78" applyFont="1" applyFill="1" applyBorder="1" applyAlignment="1">
      <alignment horizontal="left" vertical="center"/>
    </xf>
    <xf numFmtId="0" fontId="41" fillId="26" borderId="53" xfId="78" applyFont="1" applyFill="1" applyBorder="1" applyAlignment="1">
      <alignment horizontal="left" vertical="center"/>
    </xf>
    <xf numFmtId="0" fontId="40" fillId="31" borderId="53" xfId="78" applyFont="1" applyFill="1" applyBorder="1" applyAlignment="1">
      <alignment horizontal="left" vertical="center"/>
    </xf>
    <xf numFmtId="0" fontId="40" fillId="24" borderId="53" xfId="78" applyFont="1" applyFill="1" applyBorder="1" applyAlignment="1">
      <alignment horizontal="left" vertical="center"/>
    </xf>
    <xf numFmtId="9" fontId="40" fillId="24" borderId="9" xfId="1" applyFont="1" applyFill="1" applyBorder="1" applyAlignment="1" applyProtection="1">
      <alignment horizontal="center" vertical="center" wrapText="1"/>
    </xf>
    <xf numFmtId="9" fontId="41" fillId="33" borderId="31" xfId="1" applyFont="1" applyFill="1" applyBorder="1" applyAlignment="1" applyProtection="1">
      <alignment horizontal="center" vertical="center" wrapText="1"/>
    </xf>
    <xf numFmtId="9" fontId="41" fillId="26" borderId="7" xfId="1" applyFont="1" applyFill="1" applyBorder="1" applyAlignment="1" applyProtection="1">
      <alignment horizontal="center" vertical="center" wrapText="1"/>
    </xf>
    <xf numFmtId="9" fontId="41" fillId="33" borderId="7" xfId="1" applyFont="1" applyFill="1" applyBorder="1" applyAlignment="1" applyProtection="1">
      <alignment horizontal="center" vertical="center" wrapText="1"/>
    </xf>
    <xf numFmtId="9" fontId="41" fillId="43" borderId="73" xfId="1" applyFont="1" applyFill="1" applyBorder="1" applyAlignment="1" applyProtection="1">
      <alignment horizontal="center" vertical="center" wrapText="1"/>
    </xf>
    <xf numFmtId="9" fontId="41" fillId="43" borderId="7" xfId="1" applyFont="1" applyFill="1" applyBorder="1" applyAlignment="1" applyProtection="1">
      <alignment horizontal="center" vertical="center" wrapText="1"/>
    </xf>
    <xf numFmtId="9" fontId="41" fillId="43" borderId="77" xfId="1" applyFont="1" applyFill="1" applyBorder="1" applyAlignment="1" applyProtection="1">
      <alignment horizontal="center" vertical="center" wrapText="1"/>
    </xf>
    <xf numFmtId="9" fontId="41" fillId="26" borderId="77" xfId="1" applyFont="1" applyFill="1" applyBorder="1" applyAlignment="1" applyProtection="1">
      <alignment horizontal="center" vertical="center" wrapText="1"/>
    </xf>
    <xf numFmtId="9" fontId="40" fillId="0" borderId="9" xfId="1" applyFont="1" applyFill="1" applyBorder="1" applyAlignment="1" applyProtection="1">
      <alignment horizontal="center" vertical="center" wrapText="1"/>
    </xf>
    <xf numFmtId="9" fontId="40" fillId="24" borderId="60" xfId="1" applyFont="1" applyFill="1" applyBorder="1" applyAlignment="1" applyProtection="1">
      <alignment horizontal="center" vertical="center" wrapText="1"/>
    </xf>
    <xf numFmtId="9" fontId="41" fillId="33" borderId="62" xfId="1" applyFont="1" applyFill="1" applyBorder="1" applyAlignment="1" applyProtection="1">
      <alignment horizontal="center" vertical="center" wrapText="1"/>
    </xf>
    <xf numFmtId="9" fontId="41" fillId="26" borderId="23" xfId="1" applyFont="1" applyFill="1" applyBorder="1" applyAlignment="1" applyProtection="1">
      <alignment horizontal="center" vertical="center" wrapText="1"/>
    </xf>
    <xf numFmtId="9" fontId="41" fillId="33" borderId="61" xfId="1" applyFont="1" applyFill="1" applyBorder="1" applyAlignment="1" applyProtection="1">
      <alignment horizontal="center" vertical="center" wrapText="1"/>
    </xf>
    <xf numFmtId="9" fontId="40" fillId="24" borderId="8" xfId="1" applyFont="1" applyFill="1" applyBorder="1" applyAlignment="1" applyProtection="1">
      <alignment horizontal="center" vertical="center" wrapText="1"/>
    </xf>
    <xf numFmtId="9" fontId="40" fillId="0" borderId="60" xfId="1" applyFont="1" applyFill="1" applyBorder="1" applyAlignment="1" applyProtection="1">
      <alignment horizontal="center" vertical="center" wrapText="1"/>
    </xf>
    <xf numFmtId="9" fontId="40" fillId="24" borderId="3" xfId="1" applyFont="1" applyFill="1" applyBorder="1" applyAlignment="1" applyProtection="1">
      <alignment horizontal="center" vertical="center" wrapText="1"/>
    </xf>
    <xf numFmtId="9" fontId="41" fillId="26" borderId="15" xfId="1" applyFont="1" applyFill="1" applyBorder="1" applyAlignment="1" applyProtection="1">
      <alignment horizontal="center" vertical="center" wrapText="1"/>
    </xf>
    <xf numFmtId="9" fontId="41" fillId="33" borderId="33" xfId="1" applyFont="1" applyFill="1" applyBorder="1" applyAlignment="1" applyProtection="1">
      <alignment horizontal="center" vertical="center" wrapText="1"/>
    </xf>
    <xf numFmtId="9" fontId="41" fillId="33" borderId="6" xfId="1" applyFont="1" applyFill="1" applyBorder="1" applyAlignment="1" applyProtection="1">
      <alignment horizontal="center" vertical="center" wrapText="1"/>
    </xf>
    <xf numFmtId="0" fontId="40" fillId="24" borderId="3" xfId="49" applyFont="1" applyFill="1" applyBorder="1" applyAlignment="1">
      <alignment horizontal="left" vertical="center" wrapText="1"/>
    </xf>
    <xf numFmtId="0" fontId="41" fillId="27" borderId="50" xfId="49" applyFont="1" applyFill="1" applyBorder="1" applyAlignment="1">
      <alignment horizontal="left" vertical="center" wrapText="1"/>
    </xf>
    <xf numFmtId="0" fontId="41" fillId="0" borderId="53" xfId="49" applyFont="1" applyBorder="1" applyAlignment="1">
      <alignment horizontal="left" vertical="center" wrapText="1"/>
    </xf>
    <xf numFmtId="0" fontId="40" fillId="24" borderId="10" xfId="49" applyFont="1" applyFill="1" applyBorder="1" applyAlignment="1">
      <alignment horizontal="left" vertical="center" wrapText="1"/>
    </xf>
    <xf numFmtId="0" fontId="41" fillId="0" borderId="50" xfId="49" applyFont="1" applyBorder="1" applyAlignment="1">
      <alignment horizontal="left" vertical="center" wrapText="1"/>
    </xf>
    <xf numFmtId="49" fontId="42" fillId="27" borderId="36" xfId="49" applyNumberFormat="1" applyFont="1" applyFill="1" applyBorder="1" applyAlignment="1">
      <alignment horizontal="left" vertical="center" wrapText="1"/>
    </xf>
    <xf numFmtId="0" fontId="41" fillId="0" borderId="55" xfId="49" applyFont="1" applyBorder="1" applyAlignment="1">
      <alignment horizontal="left" vertical="center" wrapText="1"/>
    </xf>
    <xf numFmtId="0" fontId="41" fillId="0" borderId="50" xfId="31" applyFont="1" applyBorder="1" applyAlignment="1">
      <alignment horizontal="left" vertical="center" wrapText="1"/>
    </xf>
    <xf numFmtId="49" fontId="41" fillId="0" borderId="53" xfId="49" applyNumberFormat="1" applyFont="1" applyBorder="1" applyAlignment="1">
      <alignment horizontal="left" vertical="center" wrapText="1"/>
    </xf>
    <xf numFmtId="49" fontId="41" fillId="27" borderId="53" xfId="49" applyNumberFormat="1" applyFont="1" applyFill="1" applyBorder="1" applyAlignment="1">
      <alignment horizontal="left" vertical="center" wrapText="1"/>
    </xf>
    <xf numFmtId="0" fontId="40" fillId="37" borderId="2" xfId="49" applyFont="1" applyFill="1" applyBorder="1" applyAlignment="1">
      <alignment horizontal="center" vertical="center"/>
    </xf>
    <xf numFmtId="3" fontId="40" fillId="24" borderId="65" xfId="49" applyNumberFormat="1" applyFont="1" applyFill="1" applyBorder="1" applyAlignment="1">
      <alignment horizontal="center" vertical="center" wrapText="1"/>
    </xf>
    <xf numFmtId="3" fontId="41" fillId="27" borderId="44" xfId="49" applyNumberFormat="1" applyFont="1" applyFill="1" applyBorder="1" applyAlignment="1">
      <alignment horizontal="center" vertical="center" wrapText="1"/>
    </xf>
    <xf numFmtId="3" fontId="41" fillId="0" borderId="32" xfId="49" applyNumberFormat="1" applyFont="1" applyBorder="1" applyAlignment="1">
      <alignment horizontal="center" vertical="center" wrapText="1"/>
    </xf>
    <xf numFmtId="3" fontId="41" fillId="27" borderId="32" xfId="49" applyNumberFormat="1" applyFont="1" applyFill="1" applyBorder="1" applyAlignment="1">
      <alignment horizontal="center" vertical="center" wrapText="1"/>
    </xf>
    <xf numFmtId="9" fontId="41" fillId="26" borderId="62" xfId="1" applyFont="1" applyFill="1" applyBorder="1" applyAlignment="1" applyProtection="1">
      <alignment horizontal="center" vertical="center" wrapText="1"/>
    </xf>
    <xf numFmtId="49" fontId="65" fillId="0" borderId="0" xfId="57" applyNumberFormat="1" applyFont="1" applyAlignment="1">
      <alignment horizontal="center" vertical="center" wrapText="1"/>
    </xf>
    <xf numFmtId="49" fontId="65" fillId="0" borderId="135" xfId="57" applyNumberFormat="1" applyFont="1" applyBorder="1" applyAlignment="1">
      <alignment horizontal="center" vertical="center" wrapText="1"/>
    </xf>
    <xf numFmtId="3" fontId="57" fillId="3" borderId="69" xfId="52" applyNumberFormat="1" applyFont="1" applyFill="1" applyBorder="1" applyAlignment="1" applyProtection="1">
      <alignment horizontal="center" vertical="center"/>
      <protection locked="0"/>
    </xf>
    <xf numFmtId="3" fontId="65" fillId="31" borderId="22" xfId="57" applyNumberFormat="1" applyFont="1" applyFill="1" applyBorder="1" applyAlignment="1">
      <alignment horizontal="center" vertical="center"/>
    </xf>
    <xf numFmtId="3" fontId="65" fillId="31" borderId="74" xfId="57" applyNumberFormat="1" applyFont="1" applyFill="1" applyBorder="1" applyAlignment="1">
      <alignment horizontal="center" vertical="center"/>
    </xf>
    <xf numFmtId="3" fontId="12" fillId="26" borderId="5" xfId="0" applyNumberFormat="1" applyFont="1" applyFill="1" applyBorder="1" applyAlignment="1">
      <alignment horizontal="center" vertical="center" wrapText="1"/>
    </xf>
    <xf numFmtId="0" fontId="12" fillId="26" borderId="17" xfId="0" applyFont="1" applyFill="1" applyBorder="1" applyAlignment="1">
      <alignment horizontal="center" vertical="center" wrapText="1"/>
    </xf>
    <xf numFmtId="1" fontId="12" fillId="26" borderId="17" xfId="0" applyNumberFormat="1" applyFont="1" applyFill="1" applyBorder="1" applyAlignment="1">
      <alignment horizontal="center" vertical="center" wrapText="1"/>
    </xf>
    <xf numFmtId="0" fontId="12" fillId="26" borderId="21" xfId="0" applyFont="1" applyFill="1" applyBorder="1" applyAlignment="1">
      <alignment horizontal="center" vertical="center" wrapText="1"/>
    </xf>
    <xf numFmtId="3" fontId="12" fillId="26" borderId="17" xfId="0" applyNumberFormat="1" applyFont="1" applyFill="1" applyBorder="1" applyAlignment="1">
      <alignment horizontal="center" vertical="center" wrapText="1"/>
    </xf>
    <xf numFmtId="3" fontId="12" fillId="26" borderId="39" xfId="0" applyNumberFormat="1" applyFont="1" applyFill="1" applyBorder="1" applyAlignment="1">
      <alignment horizontal="center" vertical="center" wrapText="1"/>
    </xf>
    <xf numFmtId="3" fontId="12" fillId="3" borderId="72" xfId="88" applyNumberFormat="1" applyFont="1" applyFill="1" applyBorder="1" applyAlignment="1" applyProtection="1">
      <alignment horizontal="center" vertical="center" wrapText="1"/>
      <protection locked="0"/>
    </xf>
    <xf numFmtId="3" fontId="12" fillId="28" borderId="44" xfId="88" applyNumberFormat="1" applyFont="1" applyFill="1" applyBorder="1" applyAlignment="1" applyProtection="1">
      <alignment horizontal="center" vertical="center" wrapText="1"/>
      <protection locked="0"/>
    </xf>
    <xf numFmtId="3" fontId="12" fillId="3" borderId="44" xfId="88" applyNumberFormat="1" applyFont="1" applyFill="1" applyBorder="1" applyAlignment="1" applyProtection="1">
      <alignment horizontal="center" vertical="center" wrapText="1"/>
      <protection locked="0"/>
    </xf>
    <xf numFmtId="3" fontId="12" fillId="28" borderId="32" xfId="88" applyNumberFormat="1" applyFont="1" applyFill="1" applyBorder="1" applyAlignment="1" applyProtection="1">
      <alignment horizontal="center" vertical="center" wrapText="1"/>
      <protection locked="0"/>
    </xf>
    <xf numFmtId="173" fontId="65" fillId="31" borderId="56" xfId="57" applyNumberFormat="1" applyFont="1" applyFill="1" applyBorder="1" applyAlignment="1">
      <alignment horizontal="center" vertical="center"/>
    </xf>
    <xf numFmtId="173" fontId="65" fillId="31" borderId="57" xfId="57" applyNumberFormat="1" applyFont="1" applyFill="1" applyBorder="1" applyAlignment="1">
      <alignment horizontal="center" vertical="center"/>
    </xf>
    <xf numFmtId="0" fontId="57" fillId="20" borderId="39" xfId="57" applyFont="1" applyFill="1" applyBorder="1" applyAlignment="1">
      <alignment horizontal="center" vertical="center" wrapText="1"/>
    </xf>
    <xf numFmtId="173" fontId="65" fillId="27" borderId="56" xfId="57" applyNumberFormat="1" applyFont="1" applyFill="1" applyBorder="1" applyAlignment="1">
      <alignment horizontal="center" vertical="center"/>
    </xf>
    <xf numFmtId="173" fontId="65" fillId="27" borderId="77" xfId="57" applyNumberFormat="1" applyFont="1" applyFill="1" applyBorder="1" applyAlignment="1">
      <alignment horizontal="center" vertical="center"/>
    </xf>
    <xf numFmtId="173" fontId="65" fillId="27" borderId="57" xfId="57" applyNumberFormat="1" applyFont="1" applyFill="1" applyBorder="1" applyAlignment="1">
      <alignment horizontal="center" vertical="center"/>
    </xf>
    <xf numFmtId="173" fontId="65" fillId="26" borderId="56" xfId="57" applyNumberFormat="1" applyFont="1" applyFill="1" applyBorder="1" applyAlignment="1">
      <alignment horizontal="center" vertical="center"/>
    </xf>
    <xf numFmtId="173" fontId="65" fillId="26" borderId="77" xfId="57" applyNumberFormat="1" applyFont="1" applyFill="1" applyBorder="1" applyAlignment="1">
      <alignment horizontal="center" vertical="center"/>
    </xf>
    <xf numFmtId="173" fontId="65" fillId="26" borderId="57" xfId="57" applyNumberFormat="1" applyFont="1" applyFill="1" applyBorder="1" applyAlignment="1">
      <alignment horizontal="center" vertical="center"/>
    </xf>
    <xf numFmtId="0" fontId="65" fillId="23" borderId="8" xfId="57" applyFont="1" applyFill="1" applyBorder="1" applyAlignment="1">
      <alignment horizontal="center" vertical="center"/>
    </xf>
    <xf numFmtId="3" fontId="57" fillId="0" borderId="32" xfId="52" applyNumberFormat="1" applyFont="1" applyBorder="1" applyAlignment="1">
      <alignment horizontal="center" vertical="center"/>
    </xf>
    <xf numFmtId="3" fontId="57" fillId="0" borderId="53" xfId="52" applyNumberFormat="1" applyFont="1" applyBorder="1" applyAlignment="1">
      <alignment horizontal="center" vertical="center"/>
    </xf>
    <xf numFmtId="3" fontId="57" fillId="0" borderId="57" xfId="52" applyNumberFormat="1" applyFont="1" applyBorder="1" applyAlignment="1">
      <alignment horizontal="center" vertical="center"/>
    </xf>
    <xf numFmtId="0" fontId="118" fillId="20" borderId="119" xfId="88" applyFont="1" applyFill="1" applyBorder="1" applyAlignment="1">
      <alignment horizontal="right" vertical="center" wrapText="1"/>
    </xf>
    <xf numFmtId="3" fontId="118" fillId="20" borderId="118" xfId="88" applyNumberFormat="1" applyFont="1" applyFill="1" applyBorder="1" applyAlignment="1">
      <alignment horizontal="center" vertical="center" wrapText="1"/>
    </xf>
    <xf numFmtId="3" fontId="118" fillId="20" borderId="136" xfId="88" applyNumberFormat="1" applyFont="1" applyFill="1" applyBorder="1" applyAlignment="1">
      <alignment horizontal="center" vertical="center" wrapText="1"/>
    </xf>
    <xf numFmtId="0" fontId="38" fillId="26" borderId="121" xfId="88" applyFont="1" applyFill="1" applyBorder="1" applyAlignment="1">
      <alignment horizontal="center" vertical="center" wrapText="1"/>
    </xf>
    <xf numFmtId="3" fontId="118" fillId="20" borderId="119" xfId="88" applyNumberFormat="1" applyFont="1" applyFill="1" applyBorder="1" applyAlignment="1">
      <alignment horizontal="center" vertical="center" wrapText="1"/>
    </xf>
    <xf numFmtId="3" fontId="118" fillId="20" borderId="121" xfId="88" applyNumberFormat="1" applyFont="1" applyFill="1" applyBorder="1" applyAlignment="1">
      <alignment horizontal="center" vertical="center" wrapText="1"/>
    </xf>
    <xf numFmtId="10" fontId="65" fillId="31" borderId="52" xfId="57" applyNumberFormat="1" applyFont="1" applyFill="1" applyBorder="1" applyAlignment="1">
      <alignment horizontal="center" vertical="center"/>
    </xf>
    <xf numFmtId="10" fontId="65" fillId="31" borderId="7" xfId="57" applyNumberFormat="1" applyFont="1" applyFill="1" applyBorder="1" applyAlignment="1">
      <alignment horizontal="center" vertical="center"/>
    </xf>
    <xf numFmtId="10" fontId="65" fillId="31" borderId="53" xfId="57" applyNumberFormat="1" applyFont="1" applyFill="1" applyBorder="1" applyAlignment="1">
      <alignment horizontal="center" vertical="center"/>
    </xf>
    <xf numFmtId="10" fontId="65" fillId="31" borderId="32" xfId="52" applyNumberFormat="1" applyFont="1" applyFill="1" applyBorder="1" applyAlignment="1">
      <alignment horizontal="center" vertical="center"/>
    </xf>
    <xf numFmtId="10" fontId="65" fillId="31" borderId="7" xfId="52" applyNumberFormat="1" applyFont="1" applyFill="1" applyBorder="1" applyAlignment="1">
      <alignment horizontal="center" vertical="center"/>
    </xf>
    <xf numFmtId="10" fontId="65" fillId="31" borderId="53" xfId="52" applyNumberFormat="1" applyFont="1" applyFill="1" applyBorder="1" applyAlignment="1">
      <alignment horizontal="center" vertical="center"/>
    </xf>
    <xf numFmtId="3" fontId="41" fillId="29" borderId="19" xfId="49" applyNumberFormat="1" applyFont="1" applyFill="1" applyBorder="1" applyAlignment="1">
      <alignment horizontal="right" vertical="center"/>
    </xf>
    <xf numFmtId="3" fontId="42" fillId="3" borderId="54" xfId="32" applyNumberFormat="1" applyFont="1" applyFill="1" applyBorder="1" applyAlignment="1" applyProtection="1">
      <alignment horizontal="center" vertical="center"/>
      <protection locked="0"/>
    </xf>
    <xf numFmtId="3" fontId="41" fillId="29" borderId="8" xfId="49" applyNumberFormat="1" applyFont="1" applyFill="1" applyBorder="1" applyAlignment="1">
      <alignment horizontal="right" vertical="center"/>
    </xf>
    <xf numFmtId="3" fontId="41" fillId="29" borderId="3" xfId="49" applyNumberFormat="1" applyFont="1" applyFill="1" applyBorder="1" applyAlignment="1">
      <alignment horizontal="right" vertical="center"/>
    </xf>
    <xf numFmtId="3" fontId="41" fillId="29" borderId="79" xfId="49" applyNumberFormat="1" applyFont="1" applyFill="1" applyBorder="1" applyAlignment="1">
      <alignment horizontal="right" vertical="center"/>
    </xf>
    <xf numFmtId="3" fontId="40" fillId="31" borderId="10" xfId="32" applyNumberFormat="1" applyFont="1" applyFill="1" applyBorder="1" applyAlignment="1">
      <alignment horizontal="center" vertical="center"/>
    </xf>
    <xf numFmtId="0" fontId="40" fillId="26" borderId="49" xfId="32" applyFont="1" applyFill="1" applyBorder="1" applyAlignment="1">
      <alignment horizontal="center" vertical="center"/>
    </xf>
    <xf numFmtId="0" fontId="40" fillId="26" borderId="50" xfId="32" applyFont="1" applyFill="1" applyBorder="1" applyAlignment="1">
      <alignment vertical="center"/>
    </xf>
    <xf numFmtId="49" fontId="40" fillId="27" borderId="49" xfId="32" applyNumberFormat="1" applyFont="1" applyFill="1" applyBorder="1" applyAlignment="1">
      <alignment horizontal="center" vertical="center" wrapText="1"/>
    </xf>
    <xf numFmtId="0" fontId="40" fillId="27" borderId="50" xfId="32" applyFont="1" applyFill="1" applyBorder="1" applyAlignment="1">
      <alignment horizontal="left" vertical="center" wrapText="1"/>
    </xf>
    <xf numFmtId="1" fontId="21" fillId="26" borderId="51" xfId="0" applyNumberFormat="1" applyFont="1" applyFill="1" applyBorder="1" applyAlignment="1">
      <alignment horizontal="center" vertical="center"/>
    </xf>
    <xf numFmtId="9" fontId="21" fillId="26" borderId="17" xfId="0" applyNumberFormat="1" applyFont="1" applyFill="1" applyBorder="1" applyAlignment="1">
      <alignment horizontal="center" vertical="center"/>
    </xf>
    <xf numFmtId="1" fontId="21" fillId="26" borderId="17" xfId="0" applyNumberFormat="1" applyFont="1" applyFill="1" applyBorder="1" applyAlignment="1">
      <alignment horizontal="center" vertical="center"/>
    </xf>
    <xf numFmtId="10" fontId="21" fillId="26" borderId="17" xfId="0" applyNumberFormat="1" applyFont="1" applyFill="1" applyBorder="1" applyAlignment="1">
      <alignment horizontal="center" vertical="center"/>
    </xf>
    <xf numFmtId="178" fontId="21" fillId="26" borderId="21" xfId="0" applyNumberFormat="1" applyFont="1" applyFill="1" applyBorder="1" applyAlignment="1">
      <alignment horizontal="center" vertical="center"/>
    </xf>
    <xf numFmtId="3" fontId="40" fillId="0" borderId="52" xfId="0" applyNumberFormat="1" applyFont="1" applyBorder="1" applyAlignment="1">
      <alignment horizontal="center" vertical="center"/>
    </xf>
    <xf numFmtId="3" fontId="40" fillId="0" borderId="7" xfId="0" applyNumberFormat="1" applyFont="1" applyBorder="1" applyAlignment="1">
      <alignment horizontal="center" vertical="center"/>
    </xf>
    <xf numFmtId="3" fontId="40" fillId="0" borderId="53" xfId="0" applyNumberFormat="1" applyFont="1" applyBorder="1" applyAlignment="1">
      <alignment horizontal="center" vertical="center"/>
    </xf>
    <xf numFmtId="3" fontId="40" fillId="27" borderId="52" xfId="0" applyNumberFormat="1" applyFont="1" applyFill="1" applyBorder="1" applyAlignment="1">
      <alignment horizontal="center" vertical="center"/>
    </xf>
    <xf numFmtId="3" fontId="40" fillId="27" borderId="7" xfId="0" applyNumberFormat="1" applyFont="1" applyFill="1" applyBorder="1" applyAlignment="1">
      <alignment horizontal="center" vertical="center"/>
    </xf>
    <xf numFmtId="3" fontId="40" fillId="27" borderId="53" xfId="0" applyNumberFormat="1" applyFont="1" applyFill="1" applyBorder="1" applyAlignment="1">
      <alignment horizontal="center" vertical="center"/>
    </xf>
    <xf numFmtId="173" fontId="40" fillId="27" borderId="17" xfId="70" applyNumberFormat="1" applyFont="1" applyFill="1" applyBorder="1" applyAlignment="1" applyProtection="1">
      <alignment horizontal="center" vertical="center"/>
    </xf>
    <xf numFmtId="3" fontId="41" fillId="27" borderId="52" xfId="0" applyNumberFormat="1" applyFont="1" applyFill="1" applyBorder="1" applyAlignment="1">
      <alignment horizontal="center" vertical="center"/>
    </xf>
    <xf numFmtId="3" fontId="41" fillId="27" borderId="7" xfId="0" applyNumberFormat="1" applyFont="1" applyFill="1" applyBorder="1" applyAlignment="1">
      <alignment horizontal="center" vertical="center"/>
    </xf>
    <xf numFmtId="3" fontId="41" fillId="27" borderId="53" xfId="0" applyNumberFormat="1" applyFont="1" applyFill="1" applyBorder="1" applyAlignment="1">
      <alignment horizontal="center" vertical="center"/>
    </xf>
    <xf numFmtId="173" fontId="41" fillId="27" borderId="17" xfId="70" applyNumberFormat="1" applyFont="1" applyFill="1" applyBorder="1" applyAlignment="1" applyProtection="1">
      <alignment horizontal="center" vertical="center"/>
    </xf>
    <xf numFmtId="3" fontId="41" fillId="27" borderId="49" xfId="0" applyNumberFormat="1" applyFont="1" applyFill="1" applyBorder="1" applyAlignment="1">
      <alignment horizontal="center" vertical="center"/>
    </xf>
    <xf numFmtId="3" fontId="41" fillId="27" borderId="31" xfId="0" applyNumberFormat="1" applyFont="1" applyFill="1" applyBorder="1" applyAlignment="1">
      <alignment horizontal="center" vertical="center"/>
    </xf>
    <xf numFmtId="3" fontId="41" fillId="27" borderId="50" xfId="0" applyNumberFormat="1" applyFont="1" applyFill="1" applyBorder="1" applyAlignment="1">
      <alignment horizontal="center" vertical="center"/>
    </xf>
    <xf numFmtId="173" fontId="41" fillId="27" borderId="5" xfId="70" applyNumberFormat="1" applyFont="1" applyFill="1" applyBorder="1" applyAlignment="1" applyProtection="1">
      <alignment horizontal="center" vertical="center"/>
    </xf>
    <xf numFmtId="173" fontId="40" fillId="27" borderId="5" xfId="70" applyNumberFormat="1" applyFont="1" applyFill="1" applyBorder="1" applyAlignment="1" applyProtection="1">
      <alignment horizontal="center" vertical="center"/>
    </xf>
    <xf numFmtId="3" fontId="57" fillId="26" borderId="32" xfId="80" applyNumberFormat="1" applyFont="1" applyFill="1" applyBorder="1" applyAlignment="1">
      <alignment horizontal="center" vertical="center"/>
    </xf>
    <xf numFmtId="3" fontId="57" fillId="26" borderId="53" xfId="80" applyNumberFormat="1" applyFont="1" applyFill="1" applyBorder="1" applyAlignment="1">
      <alignment horizontal="center" vertical="center"/>
    </xf>
    <xf numFmtId="3" fontId="57" fillId="26" borderId="30" xfId="80" applyNumberFormat="1" applyFont="1" applyFill="1" applyBorder="1" applyAlignment="1">
      <alignment horizontal="center" vertical="center"/>
    </xf>
    <xf numFmtId="3" fontId="57" fillId="26" borderId="77" xfId="80" applyNumberFormat="1" applyFont="1" applyFill="1" applyBorder="1" applyAlignment="1">
      <alignment horizontal="center" vertical="center"/>
    </xf>
    <xf numFmtId="3" fontId="57" fillId="26" borderId="28" xfId="80" applyNumberFormat="1" applyFont="1" applyFill="1" applyBorder="1" applyAlignment="1">
      <alignment horizontal="center" vertical="center"/>
    </xf>
    <xf numFmtId="3" fontId="57" fillId="26" borderId="78" xfId="80" applyNumberFormat="1" applyFont="1" applyFill="1" applyBorder="1" applyAlignment="1">
      <alignment horizontal="center" vertical="center"/>
    </xf>
    <xf numFmtId="3" fontId="57" fillId="26" borderId="57" xfId="80" applyNumberFormat="1" applyFont="1" applyFill="1" applyBorder="1" applyAlignment="1">
      <alignment horizontal="center" vertical="center"/>
    </xf>
    <xf numFmtId="3" fontId="57" fillId="0" borderId="69" xfId="80" applyNumberFormat="1" applyFont="1" applyBorder="1" applyAlignment="1">
      <alignment horizontal="center" vertical="center"/>
    </xf>
    <xf numFmtId="3" fontId="57" fillId="0" borderId="18" xfId="80" applyNumberFormat="1" applyFont="1" applyBorder="1" applyAlignment="1">
      <alignment horizontal="center" vertical="center"/>
    </xf>
    <xf numFmtId="3" fontId="57" fillId="0" borderId="56" xfId="80" applyNumberFormat="1" applyFont="1" applyBorder="1" applyAlignment="1">
      <alignment horizontal="center" vertical="center"/>
    </xf>
    <xf numFmtId="3" fontId="57" fillId="0" borderId="4" xfId="80" applyNumberFormat="1" applyFont="1" applyBorder="1" applyAlignment="1">
      <alignment horizontal="center" vertical="center"/>
    </xf>
    <xf numFmtId="3" fontId="57" fillId="0" borderId="77" xfId="80" applyNumberFormat="1" applyFont="1" applyBorder="1" applyAlignment="1">
      <alignment horizontal="center" vertical="center"/>
    </xf>
    <xf numFmtId="3" fontId="57" fillId="0" borderId="57" xfId="80" applyNumberFormat="1" applyFont="1" applyBorder="1" applyAlignment="1">
      <alignment horizontal="center" vertical="center"/>
    </xf>
    <xf numFmtId="3" fontId="57" fillId="0" borderId="31" xfId="80" applyNumberFormat="1" applyFont="1" applyBorder="1" applyAlignment="1">
      <alignment horizontal="center" vertical="center"/>
    </xf>
    <xf numFmtId="3" fontId="57" fillId="0" borderId="53" xfId="80" applyNumberFormat="1" applyFont="1" applyBorder="1" applyAlignment="1">
      <alignment horizontal="center" vertical="center"/>
    </xf>
    <xf numFmtId="3" fontId="12" fillId="26" borderId="90" xfId="88" applyNumberFormat="1" applyFont="1" applyFill="1" applyBorder="1" applyAlignment="1">
      <alignment horizontal="center" vertical="center" wrapText="1"/>
    </xf>
    <xf numFmtId="3" fontId="12" fillId="26" borderId="112" xfId="88" applyNumberFormat="1" applyFont="1" applyFill="1" applyBorder="1" applyAlignment="1">
      <alignment horizontal="center" vertical="center" wrapText="1"/>
    </xf>
    <xf numFmtId="3" fontId="12" fillId="26" borderId="91" xfId="88" applyNumberFormat="1" applyFont="1" applyFill="1" applyBorder="1" applyAlignment="1">
      <alignment horizontal="center" vertical="center" wrapText="1"/>
    </xf>
    <xf numFmtId="3" fontId="12" fillId="26" borderId="72" xfId="88" applyNumberFormat="1" applyFont="1" applyFill="1" applyBorder="1" applyAlignment="1">
      <alignment horizontal="center" vertical="center" wrapText="1"/>
    </xf>
    <xf numFmtId="3" fontId="12" fillId="26" borderId="73" xfId="88" applyNumberFormat="1" applyFont="1" applyFill="1" applyBorder="1" applyAlignment="1">
      <alignment horizontal="center" vertical="center" wrapText="1"/>
    </xf>
    <xf numFmtId="3" fontId="12" fillId="26" borderId="49" xfId="88" applyNumberFormat="1" applyFont="1" applyFill="1" applyBorder="1" applyAlignment="1">
      <alignment horizontal="center" vertical="center" wrapText="1"/>
    </xf>
    <xf numFmtId="3" fontId="12" fillId="26" borderId="44" xfId="88" applyNumberFormat="1" applyFont="1" applyFill="1" applyBorder="1" applyAlignment="1">
      <alignment horizontal="center" vertical="center" wrapText="1"/>
    </xf>
    <xf numFmtId="173" fontId="43" fillId="26" borderId="44" xfId="70" applyNumberFormat="1" applyFont="1" applyFill="1" applyBorder="1" applyAlignment="1" applyProtection="1">
      <alignment horizontal="center" vertical="center" wrapText="1"/>
    </xf>
    <xf numFmtId="10" fontId="119" fillId="26" borderId="31" xfId="70" applyNumberFormat="1" applyFont="1" applyFill="1" applyBorder="1" applyAlignment="1" applyProtection="1">
      <alignment horizontal="center" vertical="center" wrapText="1"/>
    </xf>
    <xf numFmtId="10" fontId="119" fillId="26" borderId="50" xfId="70" applyNumberFormat="1" applyFont="1" applyFill="1" applyBorder="1" applyAlignment="1" applyProtection="1">
      <alignment horizontal="center" vertical="center" wrapText="1"/>
    </xf>
    <xf numFmtId="3" fontId="116" fillId="20" borderId="72" xfId="88" applyNumberFormat="1" applyFont="1" applyFill="1" applyBorder="1" applyAlignment="1">
      <alignment horizontal="center" vertical="center" wrapText="1"/>
    </xf>
    <xf numFmtId="3" fontId="116" fillId="20" borderId="73" xfId="88" applyNumberFormat="1" applyFont="1" applyFill="1" applyBorder="1" applyAlignment="1">
      <alignment horizontal="center" vertical="center" wrapText="1"/>
    </xf>
    <xf numFmtId="3" fontId="116" fillId="20" borderId="76" xfId="88" applyNumberFormat="1" applyFont="1" applyFill="1" applyBorder="1" applyAlignment="1">
      <alignment horizontal="center" vertical="center" wrapText="1"/>
    </xf>
    <xf numFmtId="3" fontId="116" fillId="20" borderId="32" xfId="88" applyNumberFormat="1" applyFont="1" applyFill="1" applyBorder="1" applyAlignment="1">
      <alignment horizontal="center" vertical="center" wrapText="1"/>
    </xf>
    <xf numFmtId="3" fontId="116" fillId="20" borderId="7" xfId="88" applyNumberFormat="1" applyFont="1" applyFill="1" applyBorder="1" applyAlignment="1">
      <alignment horizontal="center" vertical="center" wrapText="1"/>
    </xf>
    <xf numFmtId="3" fontId="116" fillId="20" borderId="53" xfId="88" applyNumberFormat="1" applyFont="1" applyFill="1" applyBorder="1" applyAlignment="1">
      <alignment horizontal="center" vertical="center" wrapText="1"/>
    </xf>
    <xf numFmtId="3" fontId="12" fillId="26" borderId="99" xfId="88" applyNumberFormat="1" applyFont="1" applyFill="1" applyBorder="1" applyAlignment="1">
      <alignment horizontal="center" vertical="center" wrapText="1"/>
    </xf>
    <xf numFmtId="3" fontId="12" fillId="26" borderId="113" xfId="88" applyNumberFormat="1" applyFont="1" applyFill="1" applyBorder="1" applyAlignment="1">
      <alignment horizontal="center" vertical="center" wrapText="1"/>
    </xf>
    <xf numFmtId="3" fontId="12" fillId="26" borderId="95" xfId="88" applyNumberFormat="1" applyFont="1" applyFill="1" applyBorder="1" applyAlignment="1">
      <alignment horizontal="center" vertical="center" wrapText="1"/>
    </xf>
    <xf numFmtId="3" fontId="117" fillId="26" borderId="24" xfId="88" applyNumberFormat="1" applyFont="1" applyFill="1" applyBorder="1" applyAlignment="1">
      <alignment horizontal="center" vertical="center" wrapText="1"/>
    </xf>
    <xf numFmtId="3" fontId="117" fillId="26" borderId="7" xfId="88" applyNumberFormat="1" applyFont="1" applyFill="1" applyBorder="1" applyAlignment="1">
      <alignment horizontal="center" vertical="center" wrapText="1"/>
    </xf>
    <xf numFmtId="3" fontId="117" fillId="26" borderId="15" xfId="88" applyNumberFormat="1" applyFont="1" applyFill="1" applyBorder="1" applyAlignment="1">
      <alignment horizontal="center" vertical="center" wrapText="1"/>
    </xf>
    <xf numFmtId="3" fontId="12" fillId="26" borderId="31" xfId="88" applyNumberFormat="1" applyFont="1" applyFill="1" applyBorder="1" applyAlignment="1">
      <alignment horizontal="center" vertical="center" wrapText="1"/>
    </xf>
    <xf numFmtId="10" fontId="119" fillId="26" borderId="61" xfId="70" applyNumberFormat="1" applyFont="1" applyFill="1" applyBorder="1" applyAlignment="1" applyProtection="1">
      <alignment horizontal="center" vertical="center" wrapText="1"/>
    </xf>
    <xf numFmtId="3" fontId="117" fillId="26" borderId="79" xfId="88" applyNumberFormat="1" applyFont="1" applyFill="1" applyBorder="1" applyAlignment="1">
      <alignment horizontal="center" vertical="center" wrapText="1"/>
    </xf>
    <xf numFmtId="0" fontId="41" fillId="26" borderId="29" xfId="49" applyFont="1" applyFill="1" applyBorder="1" applyAlignment="1">
      <alignment vertical="center" wrapText="1"/>
    </xf>
    <xf numFmtId="169" fontId="41" fillId="26" borderId="75" xfId="49" applyNumberFormat="1" applyFont="1" applyFill="1" applyBorder="1" applyAlignment="1">
      <alignment horizontal="center" vertical="center"/>
    </xf>
    <xf numFmtId="169" fontId="41" fillId="26" borderId="73" xfId="49" applyNumberFormat="1" applyFont="1" applyFill="1" applyBorder="1" applyAlignment="1">
      <alignment horizontal="center" vertical="center"/>
    </xf>
    <xf numFmtId="169" fontId="41" fillId="26" borderId="76" xfId="49" applyNumberFormat="1" applyFont="1" applyFill="1" applyBorder="1" applyAlignment="1">
      <alignment horizontal="center" vertical="center"/>
    </xf>
    <xf numFmtId="168" fontId="41" fillId="26" borderId="29" xfId="49" applyNumberFormat="1" applyFont="1" applyFill="1" applyBorder="1" applyAlignment="1">
      <alignment horizontal="center" vertical="center"/>
    </xf>
    <xf numFmtId="169" fontId="41" fillId="26" borderId="14" xfId="49" applyNumberFormat="1" applyFont="1" applyFill="1" applyBorder="1" applyAlignment="1">
      <alignment horizontal="center" vertical="center"/>
    </xf>
    <xf numFmtId="169" fontId="41" fillId="26" borderId="72" xfId="49" applyNumberFormat="1" applyFont="1" applyFill="1" applyBorder="1" applyAlignment="1">
      <alignment horizontal="center" vertical="center"/>
    </xf>
    <xf numFmtId="168" fontId="41" fillId="26" borderId="22" xfId="49" applyNumberFormat="1" applyFont="1" applyFill="1" applyBorder="1" applyAlignment="1">
      <alignment horizontal="center" vertical="center"/>
    </xf>
    <xf numFmtId="169" fontId="41" fillId="26" borderId="22" xfId="49" applyNumberFormat="1" applyFont="1" applyFill="1" applyBorder="1" applyAlignment="1">
      <alignment horizontal="center" vertical="center"/>
    </xf>
    <xf numFmtId="0" fontId="41" fillId="26" borderId="24" xfId="49" applyFont="1" applyFill="1" applyBorder="1" applyAlignment="1">
      <alignment vertical="center"/>
    </xf>
    <xf numFmtId="169" fontId="41" fillId="26" borderId="52" xfId="49" applyNumberFormat="1" applyFont="1" applyFill="1" applyBorder="1" applyAlignment="1">
      <alignment horizontal="center" vertical="center"/>
    </xf>
    <xf numFmtId="169" fontId="41" fillId="26" borderId="7" xfId="49" applyNumberFormat="1" applyFont="1" applyFill="1" applyBorder="1" applyAlignment="1">
      <alignment horizontal="center" vertical="center"/>
    </xf>
    <xf numFmtId="169" fontId="41" fillId="26" borderId="53" xfId="49" applyNumberFormat="1" applyFont="1" applyFill="1" applyBorder="1" applyAlignment="1">
      <alignment horizontal="center" vertical="center"/>
    </xf>
    <xf numFmtId="168" fontId="41" fillId="26" borderId="24" xfId="49" applyNumberFormat="1" applyFont="1" applyFill="1" applyBorder="1" applyAlignment="1">
      <alignment horizontal="center" vertical="center"/>
    </xf>
    <xf numFmtId="169" fontId="41" fillId="26" borderId="15" xfId="49" applyNumberFormat="1" applyFont="1" applyFill="1" applyBorder="1" applyAlignment="1">
      <alignment horizontal="center" vertical="center"/>
    </xf>
    <xf numFmtId="169" fontId="41" fillId="26" borderId="32" xfId="49" applyNumberFormat="1" applyFont="1" applyFill="1" applyBorder="1" applyAlignment="1">
      <alignment horizontal="center" vertical="center"/>
    </xf>
    <xf numFmtId="168" fontId="41" fillId="26" borderId="23" xfId="49" applyNumberFormat="1" applyFont="1" applyFill="1" applyBorder="1" applyAlignment="1">
      <alignment horizontal="center" vertical="center"/>
    </xf>
    <xf numFmtId="169" fontId="41" fillId="26" borderId="23" xfId="49" applyNumberFormat="1" applyFont="1" applyFill="1" applyBorder="1" applyAlignment="1">
      <alignment horizontal="center" vertical="center"/>
    </xf>
    <xf numFmtId="0" fontId="41" fillId="26" borderId="30" xfId="49" applyFont="1" applyFill="1" applyBorder="1" applyAlignment="1">
      <alignment vertical="center"/>
    </xf>
    <xf numFmtId="169" fontId="41" fillId="26" borderId="56" xfId="49" applyNumberFormat="1" applyFont="1" applyFill="1" applyBorder="1" applyAlignment="1">
      <alignment horizontal="center" vertical="center"/>
    </xf>
    <xf numFmtId="169" fontId="41" fillId="26" borderId="77" xfId="49" applyNumberFormat="1" applyFont="1" applyFill="1" applyBorder="1" applyAlignment="1">
      <alignment horizontal="center" vertical="center"/>
    </xf>
    <xf numFmtId="169" fontId="41" fillId="26" borderId="57" xfId="49" applyNumberFormat="1" applyFont="1" applyFill="1" applyBorder="1" applyAlignment="1">
      <alignment horizontal="center" vertical="center"/>
    </xf>
    <xf numFmtId="168" fontId="41" fillId="26" borderId="30" xfId="49" applyNumberFormat="1" applyFont="1" applyFill="1" applyBorder="1" applyAlignment="1">
      <alignment horizontal="center" vertical="center"/>
    </xf>
    <xf numFmtId="169" fontId="41" fillId="26" borderId="19" xfId="49" applyNumberFormat="1" applyFont="1" applyFill="1" applyBorder="1" applyAlignment="1">
      <alignment horizontal="center" vertical="center"/>
    </xf>
    <xf numFmtId="169" fontId="41" fillId="26" borderId="79" xfId="49" applyNumberFormat="1" applyFont="1" applyFill="1" applyBorder="1" applyAlignment="1">
      <alignment horizontal="center" vertical="center"/>
    </xf>
    <xf numFmtId="168" fontId="41" fillId="26" borderId="28" xfId="49" applyNumberFormat="1" applyFont="1" applyFill="1" applyBorder="1" applyAlignment="1">
      <alignment horizontal="center" vertical="center"/>
    </xf>
    <xf numFmtId="169" fontId="41" fillId="26" borderId="28" xfId="49" applyNumberFormat="1" applyFont="1" applyFill="1" applyBorder="1" applyAlignment="1">
      <alignment horizontal="center" vertical="center"/>
    </xf>
    <xf numFmtId="0" fontId="41" fillId="26" borderId="1" xfId="49" applyFont="1" applyFill="1" applyBorder="1" applyAlignment="1">
      <alignment vertical="center"/>
    </xf>
    <xf numFmtId="0" fontId="41" fillId="26" borderId="38" xfId="49" applyFont="1" applyFill="1" applyBorder="1" applyAlignment="1">
      <alignment horizontal="center" vertical="center"/>
    </xf>
    <xf numFmtId="0" fontId="41" fillId="26" borderId="9" xfId="49" applyFont="1" applyFill="1" applyBorder="1" applyAlignment="1">
      <alignment horizontal="center" vertical="center"/>
    </xf>
    <xf numFmtId="0" fontId="41" fillId="26" borderId="10" xfId="49" applyFont="1" applyFill="1" applyBorder="1" applyAlignment="1">
      <alignment horizontal="center" vertical="center"/>
    </xf>
    <xf numFmtId="168" fontId="40" fillId="26" borderId="1" xfId="49" applyNumberFormat="1" applyFont="1" applyFill="1" applyBorder="1" applyAlignment="1">
      <alignment horizontal="center" vertical="center"/>
    </xf>
    <xf numFmtId="0" fontId="40" fillId="26" borderId="3" xfId="49" applyFont="1" applyFill="1" applyBorder="1" applyAlignment="1">
      <alignment horizontal="center" vertical="center"/>
    </xf>
    <xf numFmtId="0" fontId="40" fillId="26" borderId="65" xfId="49" applyFont="1" applyFill="1" applyBorder="1" applyAlignment="1">
      <alignment horizontal="center" vertical="center"/>
    </xf>
    <xf numFmtId="0" fontId="40" fillId="26" borderId="9" xfId="49" applyFont="1" applyFill="1" applyBorder="1" applyAlignment="1">
      <alignment horizontal="center" vertical="center"/>
    </xf>
    <xf numFmtId="0" fontId="40" fillId="26" borderId="10" xfId="49" applyFont="1" applyFill="1" applyBorder="1" applyAlignment="1">
      <alignment horizontal="center" vertical="center"/>
    </xf>
    <xf numFmtId="168" fontId="40" fillId="26" borderId="8" xfId="49" applyNumberFormat="1" applyFont="1" applyFill="1" applyBorder="1" applyAlignment="1">
      <alignment horizontal="center" vertical="center"/>
    </xf>
    <xf numFmtId="0" fontId="40" fillId="26" borderId="8" xfId="49" applyFont="1" applyFill="1" applyBorder="1" applyAlignment="1">
      <alignment horizontal="center" vertical="center"/>
    </xf>
    <xf numFmtId="0" fontId="40" fillId="26" borderId="38" xfId="49" applyFont="1" applyFill="1" applyBorder="1" applyAlignment="1">
      <alignment horizontal="center" vertical="center"/>
    </xf>
    <xf numFmtId="0" fontId="41" fillId="26" borderId="29" xfId="49" applyFont="1" applyFill="1" applyBorder="1" applyAlignment="1">
      <alignment vertical="center"/>
    </xf>
    <xf numFmtId="3" fontId="41" fillId="26" borderId="75" xfId="49" applyNumberFormat="1" applyFont="1" applyFill="1" applyBorder="1" applyAlignment="1">
      <alignment horizontal="center" vertical="center"/>
    </xf>
    <xf numFmtId="3" fontId="41" fillId="26" borderId="73" xfId="49" applyNumberFormat="1" applyFont="1" applyFill="1" applyBorder="1" applyAlignment="1">
      <alignment horizontal="center" vertical="center"/>
    </xf>
    <xf numFmtId="3" fontId="41" fillId="26" borderId="76" xfId="49" applyNumberFormat="1" applyFont="1" applyFill="1" applyBorder="1" applyAlignment="1">
      <alignment horizontal="center" vertical="center"/>
    </xf>
    <xf numFmtId="168" fontId="41" fillId="29" borderId="29" xfId="49" applyNumberFormat="1" applyFont="1" applyFill="1" applyBorder="1" applyAlignment="1">
      <alignment horizontal="center" vertical="center"/>
    </xf>
    <xf numFmtId="3" fontId="41" fillId="29" borderId="14" xfId="49" applyNumberFormat="1" applyFont="1" applyFill="1" applyBorder="1" applyAlignment="1">
      <alignment horizontal="center" vertical="center"/>
    </xf>
    <xf numFmtId="3" fontId="41" fillId="29" borderId="72" xfId="49" applyNumberFormat="1" applyFont="1" applyFill="1" applyBorder="1" applyAlignment="1">
      <alignment horizontal="center" vertical="center"/>
    </xf>
    <xf numFmtId="3" fontId="41" fillId="29" borderId="73" xfId="49" applyNumberFormat="1" applyFont="1" applyFill="1" applyBorder="1" applyAlignment="1">
      <alignment horizontal="center" vertical="center"/>
    </xf>
    <xf numFmtId="3" fontId="41" fillId="29" borderId="76" xfId="49" applyNumberFormat="1" applyFont="1" applyFill="1" applyBorder="1" applyAlignment="1">
      <alignment horizontal="center" vertical="center"/>
    </xf>
    <xf numFmtId="168" fontId="41" fillId="29" borderId="22" xfId="49" applyNumberFormat="1" applyFont="1" applyFill="1" applyBorder="1" applyAlignment="1">
      <alignment horizontal="center" vertical="center"/>
    </xf>
    <xf numFmtId="3" fontId="41" fillId="29" borderId="22" xfId="49" applyNumberFormat="1" applyFont="1" applyFill="1" applyBorder="1" applyAlignment="1">
      <alignment horizontal="center" vertical="center"/>
    </xf>
    <xf numFmtId="3" fontId="41" fillId="29" borderId="75" xfId="49" applyNumberFormat="1" applyFont="1" applyFill="1" applyBorder="1" applyAlignment="1">
      <alignment horizontal="center" vertical="center"/>
    </xf>
    <xf numFmtId="0" fontId="108" fillId="26" borderId="52" xfId="49" applyFont="1" applyFill="1" applyBorder="1" applyAlignment="1">
      <alignment horizontal="center" vertical="center"/>
    </xf>
    <xf numFmtId="3" fontId="41" fillId="29" borderId="7" xfId="49" applyNumberFormat="1" applyFont="1" applyFill="1" applyBorder="1" applyAlignment="1">
      <alignment horizontal="center" vertical="center"/>
    </xf>
    <xf numFmtId="3" fontId="41" fillId="29" borderId="53" xfId="49" applyNumberFormat="1" applyFont="1" applyFill="1" applyBorder="1" applyAlignment="1">
      <alignment horizontal="center" vertical="center"/>
    </xf>
    <xf numFmtId="3" fontId="41" fillId="26" borderId="15" xfId="49" applyNumberFormat="1" applyFont="1" applyFill="1" applyBorder="1" applyAlignment="1">
      <alignment horizontal="center" vertical="center"/>
    </xf>
    <xf numFmtId="3" fontId="41" fillId="26" borderId="32" xfId="49" applyNumberFormat="1" applyFont="1" applyFill="1" applyBorder="1" applyAlignment="1">
      <alignment horizontal="center" vertical="center"/>
    </xf>
    <xf numFmtId="3" fontId="41" fillId="26" borderId="7" xfId="49" applyNumberFormat="1" applyFont="1" applyFill="1" applyBorder="1" applyAlignment="1">
      <alignment horizontal="center" vertical="center"/>
    </xf>
    <xf numFmtId="3" fontId="41" fillId="26" borderId="53" xfId="49" applyNumberFormat="1" applyFont="1" applyFill="1" applyBorder="1" applyAlignment="1">
      <alignment horizontal="center" vertical="center"/>
    </xf>
    <xf numFmtId="3" fontId="41" fillId="26" borderId="23" xfId="49" applyNumberFormat="1" applyFont="1" applyFill="1" applyBorder="1" applyAlignment="1">
      <alignment horizontal="center" vertical="center"/>
    </xf>
    <xf numFmtId="3" fontId="41" fillId="29" borderId="52" xfId="49" applyNumberFormat="1" applyFont="1" applyFill="1" applyBorder="1" applyAlignment="1">
      <alignment horizontal="center" vertical="center"/>
    </xf>
    <xf numFmtId="3" fontId="41" fillId="26" borderId="52" xfId="49" applyNumberFormat="1" applyFont="1" applyFill="1" applyBorder="1" applyAlignment="1">
      <alignment horizontal="center" vertical="center"/>
    </xf>
    <xf numFmtId="168" fontId="41" fillId="29" borderId="24" xfId="49" applyNumberFormat="1" applyFont="1" applyFill="1" applyBorder="1" applyAlignment="1">
      <alignment horizontal="center" vertical="center"/>
    </xf>
    <xf numFmtId="3" fontId="41" fillId="29" borderId="15" xfId="49" applyNumberFormat="1" applyFont="1" applyFill="1" applyBorder="1" applyAlignment="1">
      <alignment horizontal="center" vertical="center"/>
    </xf>
    <xf numFmtId="3" fontId="41" fillId="29" borderId="32" xfId="49" applyNumberFormat="1" applyFont="1" applyFill="1" applyBorder="1" applyAlignment="1">
      <alignment horizontal="center" vertical="center"/>
    </xf>
    <xf numFmtId="168" fontId="41" fillId="29" borderId="23" xfId="49" applyNumberFormat="1" applyFont="1" applyFill="1" applyBorder="1" applyAlignment="1">
      <alignment horizontal="center" vertical="center"/>
    </xf>
    <xf numFmtId="3" fontId="41" fillId="29" borderId="23" xfId="49" applyNumberFormat="1" applyFont="1" applyFill="1" applyBorder="1" applyAlignment="1">
      <alignment horizontal="center" vertical="center"/>
    </xf>
    <xf numFmtId="168" fontId="41" fillId="29" borderId="30" xfId="49" applyNumberFormat="1" applyFont="1" applyFill="1" applyBorder="1" applyAlignment="1">
      <alignment horizontal="right" vertical="center"/>
    </xf>
    <xf numFmtId="168" fontId="41" fillId="29" borderId="28" xfId="49" applyNumberFormat="1" applyFont="1" applyFill="1" applyBorder="1" applyAlignment="1">
      <alignment horizontal="right" vertical="center"/>
    </xf>
    <xf numFmtId="3" fontId="41" fillId="29" borderId="28" xfId="49" applyNumberFormat="1" applyFont="1" applyFill="1" applyBorder="1" applyAlignment="1">
      <alignment horizontal="right" vertical="center"/>
    </xf>
    <xf numFmtId="3" fontId="41" fillId="26" borderId="56" xfId="49" applyNumberFormat="1" applyFont="1" applyFill="1" applyBorder="1" applyAlignment="1">
      <alignment horizontal="center" vertical="center"/>
    </xf>
    <xf numFmtId="3" fontId="41" fillId="26" borderId="77" xfId="49" applyNumberFormat="1" applyFont="1" applyFill="1" applyBorder="1" applyAlignment="1">
      <alignment horizontal="center" vertical="center"/>
    </xf>
    <xf numFmtId="3" fontId="41" fillId="26" borderId="57" xfId="49" applyNumberFormat="1" applyFont="1" applyFill="1" applyBorder="1" applyAlignment="1">
      <alignment horizontal="center" vertical="center"/>
    </xf>
    <xf numFmtId="0" fontId="52" fillId="26" borderId="1" xfId="49" applyFont="1" applyFill="1" applyBorder="1" applyAlignment="1">
      <alignment vertical="center"/>
    </xf>
    <xf numFmtId="3" fontId="52" fillId="26" borderId="38" xfId="49" applyNumberFormat="1" applyFont="1" applyFill="1" applyBorder="1" applyAlignment="1">
      <alignment horizontal="center" vertical="center"/>
    </xf>
    <xf numFmtId="3" fontId="52" fillId="26" borderId="9" xfId="49" applyNumberFormat="1" applyFont="1" applyFill="1" applyBorder="1" applyAlignment="1">
      <alignment horizontal="center" vertical="center"/>
    </xf>
    <xf numFmtId="3" fontId="52" fillId="26" borderId="10" xfId="49" applyNumberFormat="1" applyFont="1" applyFill="1" applyBorder="1" applyAlignment="1">
      <alignment horizontal="center" vertical="center"/>
    </xf>
    <xf numFmtId="168" fontId="19" fillId="26" borderId="1" xfId="49" applyNumberFormat="1" applyFont="1" applyFill="1" applyBorder="1" applyAlignment="1">
      <alignment horizontal="center" vertical="center"/>
    </xf>
    <xf numFmtId="0" fontId="19" fillId="26" borderId="3" xfId="49" applyFont="1" applyFill="1" applyBorder="1" applyAlignment="1">
      <alignment horizontal="center" vertical="center"/>
    </xf>
    <xf numFmtId="0" fontId="19" fillId="26" borderId="65" xfId="49" applyFont="1" applyFill="1" applyBorder="1" applyAlignment="1">
      <alignment horizontal="center" vertical="center"/>
    </xf>
    <xf numFmtId="0" fontId="19" fillId="26" borderId="9" xfId="49" applyFont="1" applyFill="1" applyBorder="1" applyAlignment="1">
      <alignment horizontal="center" vertical="center"/>
    </xf>
    <xf numFmtId="0" fontId="19" fillId="26" borderId="10" xfId="49" applyFont="1" applyFill="1" applyBorder="1" applyAlignment="1">
      <alignment horizontal="center" vertical="center"/>
    </xf>
    <xf numFmtId="168" fontId="19" fillId="26" borderId="8" xfId="49" applyNumberFormat="1" applyFont="1" applyFill="1" applyBorder="1" applyAlignment="1">
      <alignment horizontal="center" vertical="center"/>
    </xf>
    <xf numFmtId="0" fontId="19" fillId="26" borderId="8" xfId="49" applyFont="1" applyFill="1" applyBorder="1" applyAlignment="1">
      <alignment horizontal="center" vertical="center"/>
    </xf>
    <xf numFmtId="0" fontId="19" fillId="26" borderId="38" xfId="49" applyFont="1" applyFill="1" applyBorder="1" applyAlignment="1">
      <alignment horizontal="center" vertical="center"/>
    </xf>
    <xf numFmtId="0" fontId="52" fillId="26" borderId="10" xfId="49" applyFont="1" applyFill="1" applyBorder="1" applyAlignment="1">
      <alignment horizontal="center" vertical="center"/>
    </xf>
    <xf numFmtId="3" fontId="41" fillId="28" borderId="4" xfId="32" applyNumberFormat="1" applyFont="1" applyFill="1" applyBorder="1" applyAlignment="1" applyProtection="1">
      <alignment horizontal="center" vertical="center"/>
      <protection locked="0"/>
    </xf>
    <xf numFmtId="3" fontId="41" fillId="28" borderId="67" xfId="32" applyNumberFormat="1" applyFont="1" applyFill="1" applyBorder="1" applyAlignment="1" applyProtection="1">
      <alignment horizontal="center" vertical="center"/>
      <protection locked="0"/>
    </xf>
    <xf numFmtId="0" fontId="40" fillId="0" borderId="19" xfId="31" applyFont="1" applyBorder="1" applyAlignment="1">
      <alignment horizontal="center" vertical="center" wrapText="1"/>
    </xf>
    <xf numFmtId="0" fontId="41" fillId="37" borderId="26" xfId="49" applyFont="1" applyFill="1" applyBorder="1" applyAlignment="1">
      <alignment horizontal="center" vertical="center" wrapText="1"/>
    </xf>
    <xf numFmtId="3" fontId="40" fillId="24" borderId="2" xfId="49" applyNumberFormat="1" applyFont="1" applyFill="1" applyBorder="1" applyAlignment="1">
      <alignment horizontal="center" vertical="center" wrapText="1"/>
    </xf>
    <xf numFmtId="3" fontId="41" fillId="27" borderId="5" xfId="49" applyNumberFormat="1" applyFont="1" applyFill="1" applyBorder="1" applyAlignment="1">
      <alignment horizontal="center" vertical="center" wrapText="1"/>
    </xf>
    <xf numFmtId="3" fontId="41" fillId="0" borderId="17" xfId="49" applyNumberFormat="1" applyFont="1" applyBorder="1" applyAlignment="1">
      <alignment horizontal="center" vertical="center" wrapText="1"/>
    </xf>
    <xf numFmtId="3" fontId="41" fillId="0" borderId="5" xfId="49" applyNumberFormat="1" applyFont="1" applyBorder="1" applyAlignment="1">
      <alignment horizontal="center" vertical="center" wrapText="1"/>
    </xf>
    <xf numFmtId="3" fontId="41" fillId="0" borderId="39" xfId="49" applyNumberFormat="1" applyFont="1" applyBorder="1" applyAlignment="1">
      <alignment horizontal="center" vertical="center" wrapText="1"/>
    </xf>
    <xf numFmtId="3" fontId="41" fillId="0" borderId="5" xfId="31" applyNumberFormat="1" applyFont="1" applyBorder="1" applyAlignment="1">
      <alignment horizontal="center" vertical="center" wrapText="1"/>
    </xf>
    <xf numFmtId="3" fontId="41" fillId="0" borderId="26" xfId="31" applyNumberFormat="1" applyFont="1" applyBorder="1" applyAlignment="1">
      <alignment horizontal="center" vertical="center" wrapText="1"/>
    </xf>
    <xf numFmtId="3" fontId="41" fillId="27" borderId="17" xfId="49" applyNumberFormat="1" applyFont="1" applyFill="1" applyBorder="1" applyAlignment="1">
      <alignment horizontal="center" vertical="center" wrapText="1"/>
    </xf>
    <xf numFmtId="3" fontId="41" fillId="0" borderId="17" xfId="31" applyNumberFormat="1" applyFont="1" applyBorder="1" applyAlignment="1">
      <alignment horizontal="center" vertical="center" wrapText="1"/>
    </xf>
    <xf numFmtId="3" fontId="40" fillId="0" borderId="2" xfId="31" applyNumberFormat="1" applyFont="1" applyBorder="1" applyAlignment="1">
      <alignment horizontal="center" vertical="center" wrapText="1"/>
    </xf>
    <xf numFmtId="3" fontId="40" fillId="0" borderId="51" xfId="31" applyNumberFormat="1" applyFont="1" applyBorder="1" applyAlignment="1">
      <alignment horizontal="center" vertical="center" wrapText="1"/>
    </xf>
    <xf numFmtId="9" fontId="41" fillId="0" borderId="7" xfId="1" applyFont="1" applyFill="1" applyBorder="1" applyAlignment="1" applyProtection="1">
      <alignment horizontal="center" vertical="center" wrapText="1"/>
    </xf>
    <xf numFmtId="9" fontId="41" fillId="0" borderId="62" xfId="1" applyFont="1" applyFill="1" applyBorder="1" applyAlignment="1" applyProtection="1">
      <alignment horizontal="center" vertical="center" wrapText="1"/>
    </xf>
    <xf numFmtId="9" fontId="41" fillId="0" borderId="77" xfId="1" applyFont="1" applyFill="1" applyBorder="1" applyAlignment="1" applyProtection="1">
      <alignment horizontal="center" vertical="center" wrapText="1"/>
    </xf>
    <xf numFmtId="9" fontId="41" fillId="0" borderId="78" xfId="1" applyFont="1" applyFill="1" applyBorder="1" applyAlignment="1" applyProtection="1">
      <alignment horizontal="center" vertical="center" wrapText="1"/>
    </xf>
    <xf numFmtId="9" fontId="41" fillId="0" borderId="73" xfId="1" applyFont="1" applyFill="1" applyBorder="1" applyAlignment="1" applyProtection="1">
      <alignment horizontal="center" vertical="center" wrapText="1"/>
    </xf>
    <xf numFmtId="9" fontId="41" fillId="0" borderId="72" xfId="1" applyFont="1" applyFill="1" applyBorder="1" applyAlignment="1" applyProtection="1">
      <alignment horizontal="center" vertical="center" wrapText="1"/>
    </xf>
    <xf numFmtId="9" fontId="41" fillId="0" borderId="22" xfId="1" applyFont="1" applyFill="1" applyBorder="1" applyAlignment="1" applyProtection="1">
      <alignment horizontal="center" vertical="center" wrapText="1"/>
    </xf>
    <xf numFmtId="9" fontId="41" fillId="0" borderId="23" xfId="1" applyFont="1" applyFill="1" applyBorder="1" applyAlignment="1" applyProtection="1">
      <alignment horizontal="center" vertical="center" wrapText="1"/>
    </xf>
    <xf numFmtId="9" fontId="41" fillId="0" borderId="32" xfId="1" applyFont="1" applyFill="1" applyBorder="1" applyAlignment="1" applyProtection="1">
      <alignment horizontal="center" vertical="center" wrapText="1"/>
    </xf>
    <xf numFmtId="3" fontId="41" fillId="33" borderId="44" xfId="49" applyNumberFormat="1" applyFont="1" applyFill="1" applyBorder="1" applyAlignment="1">
      <alignment horizontal="center" vertical="center" wrapText="1"/>
    </xf>
    <xf numFmtId="3" fontId="41" fillId="33" borderId="31" xfId="49" applyNumberFormat="1" applyFont="1" applyFill="1" applyBorder="1" applyAlignment="1">
      <alignment horizontal="center" vertical="center" wrapText="1"/>
    </xf>
    <xf numFmtId="3" fontId="41" fillId="26" borderId="32" xfId="49" applyNumberFormat="1" applyFont="1" applyFill="1" applyBorder="1" applyAlignment="1">
      <alignment horizontal="center" vertical="center" wrapText="1"/>
    </xf>
    <xf numFmtId="3" fontId="41" fillId="26" borderId="7" xfId="49" applyNumberFormat="1" applyFont="1" applyFill="1" applyBorder="1" applyAlignment="1">
      <alignment horizontal="center" vertical="center" wrapText="1"/>
    </xf>
    <xf numFmtId="3" fontId="41" fillId="33" borderId="32" xfId="49" applyNumberFormat="1" applyFont="1" applyFill="1" applyBorder="1" applyAlignment="1">
      <alignment horizontal="center" vertical="center" wrapText="1"/>
    </xf>
    <xf numFmtId="3" fontId="41" fillId="33" borderId="7" xfId="49" applyNumberFormat="1" applyFont="1" applyFill="1" applyBorder="1" applyAlignment="1">
      <alignment horizontal="center" vertical="center" wrapText="1"/>
    </xf>
    <xf numFmtId="3" fontId="41" fillId="0" borderId="7" xfId="49" applyNumberFormat="1" applyFont="1" applyBorder="1" applyAlignment="1">
      <alignment horizontal="center" vertical="center" wrapText="1"/>
    </xf>
    <xf numFmtId="3" fontId="41" fillId="0" borderId="79" xfId="49" applyNumberFormat="1" applyFont="1" applyBorder="1" applyAlignment="1">
      <alignment horizontal="center" vertical="center" wrapText="1"/>
    </xf>
    <xf numFmtId="3" fontId="41" fillId="0" borderId="77" xfId="49" applyNumberFormat="1" applyFont="1" applyBorder="1" applyAlignment="1">
      <alignment horizontal="center" vertical="center" wrapText="1"/>
    </xf>
    <xf numFmtId="3" fontId="41" fillId="0" borderId="22" xfId="49" applyNumberFormat="1" applyFont="1" applyBorder="1" applyAlignment="1">
      <alignment horizontal="center" vertical="center" wrapText="1"/>
    </xf>
    <xf numFmtId="3" fontId="41" fillId="0" borderId="72" xfId="49" applyNumberFormat="1" applyFont="1" applyBorder="1" applyAlignment="1">
      <alignment horizontal="center" vertical="center" wrapText="1"/>
    </xf>
    <xf numFmtId="3" fontId="41" fillId="0" borderId="23" xfId="49" applyNumberFormat="1" applyFont="1" applyBorder="1" applyAlignment="1">
      <alignment horizontal="center" vertical="center" wrapText="1"/>
    </xf>
    <xf numFmtId="3" fontId="41" fillId="33" borderId="23" xfId="49" applyNumberFormat="1" applyFont="1" applyFill="1" applyBorder="1" applyAlignment="1">
      <alignment horizontal="center" vertical="center" wrapText="1"/>
    </xf>
    <xf numFmtId="3" fontId="41" fillId="26" borderId="23" xfId="49" applyNumberFormat="1" applyFont="1" applyFill="1" applyBorder="1" applyAlignment="1">
      <alignment horizontal="center" vertical="center" wrapText="1"/>
    </xf>
    <xf numFmtId="3" fontId="41" fillId="33" borderId="33" xfId="49" applyNumberFormat="1" applyFont="1" applyFill="1" applyBorder="1" applyAlignment="1">
      <alignment horizontal="center" vertical="center" wrapText="1"/>
    </xf>
    <xf numFmtId="3" fontId="41" fillId="0" borderId="73" xfId="49" applyNumberFormat="1" applyFont="1" applyBorder="1" applyAlignment="1">
      <alignment horizontal="center" vertical="center" wrapText="1"/>
    </xf>
    <xf numFmtId="3" fontId="41" fillId="0" borderId="81" xfId="49" applyNumberFormat="1" applyFont="1" applyBorder="1" applyAlignment="1">
      <alignment horizontal="center" vertical="center" wrapText="1"/>
    </xf>
    <xf numFmtId="3" fontId="40" fillId="24" borderId="9" xfId="49" applyNumberFormat="1" applyFont="1" applyFill="1" applyBorder="1" applyAlignment="1">
      <alignment horizontal="center" vertical="center" wrapText="1"/>
    </xf>
    <xf numFmtId="3" fontId="40" fillId="24" borderId="8" xfId="49" applyNumberFormat="1" applyFont="1" applyFill="1" applyBorder="1" applyAlignment="1">
      <alignment horizontal="center" vertical="center" wrapText="1"/>
    </xf>
    <xf numFmtId="3" fontId="41" fillId="33" borderId="62" xfId="49" applyNumberFormat="1" applyFont="1" applyFill="1" applyBorder="1" applyAlignment="1">
      <alignment horizontal="center" vertical="center" wrapText="1"/>
    </xf>
    <xf numFmtId="3" fontId="40" fillId="24" borderId="60" xfId="49" applyNumberFormat="1" applyFont="1" applyFill="1" applyBorder="1" applyAlignment="1">
      <alignment horizontal="center" vertical="center" wrapText="1"/>
    </xf>
    <xf numFmtId="3" fontId="41" fillId="26" borderId="28" xfId="49" applyNumberFormat="1" applyFont="1" applyFill="1" applyBorder="1" applyAlignment="1">
      <alignment horizontal="center" vertical="center" wrapText="1"/>
    </xf>
    <xf numFmtId="3" fontId="41" fillId="26" borderId="77" xfId="49" applyNumberFormat="1" applyFont="1" applyFill="1" applyBorder="1" applyAlignment="1">
      <alignment horizontal="center" vertical="center" wrapText="1"/>
    </xf>
    <xf numFmtId="3" fontId="40" fillId="0" borderId="8" xfId="31" applyNumberFormat="1" applyFont="1" applyBorder="1" applyAlignment="1">
      <alignment horizontal="center" vertical="center" wrapText="1"/>
    </xf>
    <xf numFmtId="3" fontId="40" fillId="0" borderId="9" xfId="31" applyNumberFormat="1" applyFont="1" applyBorder="1" applyAlignment="1">
      <alignment horizontal="center" vertical="center" wrapText="1"/>
    </xf>
    <xf numFmtId="3" fontId="40" fillId="0" borderId="8" xfId="49" applyNumberFormat="1" applyFont="1" applyBorder="1" applyAlignment="1">
      <alignment horizontal="center" vertical="center" wrapText="1"/>
    </xf>
    <xf numFmtId="3" fontId="40" fillId="0" borderId="9" xfId="49" applyNumberFormat="1" applyFont="1" applyBorder="1" applyAlignment="1">
      <alignment horizontal="center" vertical="center" wrapText="1"/>
    </xf>
    <xf numFmtId="3" fontId="40" fillId="0" borderId="23" xfId="49" applyNumberFormat="1" applyFont="1" applyBorder="1" applyAlignment="1">
      <alignment horizontal="center" vertical="center" wrapText="1"/>
    </xf>
    <xf numFmtId="3" fontId="40" fillId="0" borderId="32" xfId="49" applyNumberFormat="1" applyFont="1" applyBorder="1" applyAlignment="1">
      <alignment horizontal="center" vertical="center" wrapText="1"/>
    </xf>
    <xf numFmtId="3" fontId="40" fillId="0" borderId="7" xfId="49" applyNumberFormat="1" applyFont="1" applyBorder="1" applyAlignment="1">
      <alignment horizontal="center" vertical="center" wrapText="1"/>
    </xf>
    <xf numFmtId="0" fontId="88" fillId="27" borderId="0" xfId="49" applyFont="1" applyFill="1" applyAlignment="1">
      <alignment vertical="center"/>
    </xf>
    <xf numFmtId="3" fontId="40" fillId="24" borderId="2" xfId="1" applyNumberFormat="1" applyFont="1" applyFill="1" applyBorder="1" applyAlignment="1" applyProtection="1">
      <alignment horizontal="center" vertical="center" wrapText="1"/>
    </xf>
    <xf numFmtId="3" fontId="41" fillId="33" borderId="5" xfId="1" applyNumberFormat="1" applyFont="1" applyFill="1" applyBorder="1" applyAlignment="1" applyProtection="1">
      <alignment horizontal="center" vertical="center" wrapText="1"/>
    </xf>
    <xf numFmtId="3" fontId="41" fillId="26" borderId="17" xfId="1" applyNumberFormat="1" applyFont="1" applyFill="1" applyBorder="1" applyAlignment="1" applyProtection="1">
      <alignment horizontal="center" vertical="center" wrapText="1"/>
    </xf>
    <xf numFmtId="3" fontId="41" fillId="33" borderId="17" xfId="1" applyNumberFormat="1" applyFont="1" applyFill="1" applyBorder="1" applyAlignment="1" applyProtection="1">
      <alignment horizontal="center" vertical="center" wrapText="1"/>
    </xf>
    <xf numFmtId="3" fontId="41" fillId="26" borderId="21" xfId="1" applyNumberFormat="1" applyFont="1" applyFill="1" applyBorder="1" applyAlignment="1" applyProtection="1">
      <alignment horizontal="center" vertical="center" wrapText="1"/>
    </xf>
    <xf numFmtId="3" fontId="40" fillId="0" borderId="2" xfId="1" applyNumberFormat="1" applyFont="1" applyFill="1" applyBorder="1" applyAlignment="1" applyProtection="1">
      <alignment horizontal="center" vertical="center" wrapText="1"/>
    </xf>
    <xf numFmtId="3" fontId="40" fillId="0" borderId="17" xfId="49" applyNumberFormat="1" applyFont="1" applyBorder="1" applyAlignment="1">
      <alignment horizontal="center" vertical="center" wrapText="1"/>
    </xf>
    <xf numFmtId="0" fontId="41" fillId="27" borderId="0" xfId="49" applyFont="1" applyFill="1" applyAlignment="1">
      <alignment vertical="center"/>
    </xf>
    <xf numFmtId="168" fontId="41" fillId="27" borderId="0" xfId="49" applyNumberFormat="1" applyFont="1" applyFill="1" applyAlignment="1">
      <alignment horizontal="center" vertical="center"/>
    </xf>
    <xf numFmtId="0" fontId="41" fillId="27" borderId="0" xfId="49" applyFont="1" applyFill="1" applyAlignment="1">
      <alignment horizontal="center" vertical="center"/>
    </xf>
    <xf numFmtId="168" fontId="40" fillId="27" borderId="0" xfId="49" applyNumberFormat="1" applyFont="1" applyFill="1" applyAlignment="1">
      <alignment horizontal="center" vertical="center"/>
    </xf>
    <xf numFmtId="0" fontId="40" fillId="27" borderId="0" xfId="49" applyFont="1" applyFill="1" applyAlignment="1">
      <alignment horizontal="center" vertical="center"/>
    </xf>
    <xf numFmtId="175" fontId="40" fillId="27" borderId="0" xfId="49" applyNumberFormat="1" applyFont="1" applyFill="1" applyAlignment="1">
      <alignment horizontal="center" vertical="center"/>
    </xf>
    <xf numFmtId="175" fontId="41" fillId="27" borderId="0" xfId="49" applyNumberFormat="1" applyFont="1" applyFill="1" applyAlignment="1">
      <alignment horizontal="center" vertical="center"/>
    </xf>
    <xf numFmtId="0" fontId="41" fillId="27" borderId="0" xfId="49" applyFont="1" applyFill="1" applyAlignment="1">
      <alignment horizontal="center" vertical="center" wrapText="1"/>
    </xf>
    <xf numFmtId="175" fontId="41" fillId="27" borderId="0" xfId="49" applyNumberFormat="1" applyFont="1" applyFill="1" applyAlignment="1">
      <alignment horizontal="center" vertical="center" wrapText="1"/>
    </xf>
    <xf numFmtId="3" fontId="41" fillId="0" borderId="17" xfId="1" applyNumberFormat="1" applyFont="1" applyFill="1" applyBorder="1" applyAlignment="1" applyProtection="1">
      <alignment horizontal="center" vertical="center" wrapText="1"/>
    </xf>
    <xf numFmtId="3" fontId="41" fillId="0" borderId="21" xfId="1" applyNumberFormat="1" applyFont="1" applyFill="1" applyBorder="1" applyAlignment="1" applyProtection="1">
      <alignment horizontal="center" vertical="center" wrapText="1"/>
    </xf>
    <xf numFmtId="3" fontId="41" fillId="0" borderId="39" xfId="1" applyNumberFormat="1" applyFont="1" applyFill="1" applyBorder="1" applyAlignment="1" applyProtection="1">
      <alignment horizontal="center" vertical="center" wrapText="1"/>
    </xf>
    <xf numFmtId="3" fontId="41" fillId="0" borderId="5" xfId="1" applyNumberFormat="1" applyFont="1" applyFill="1" applyBorder="1" applyAlignment="1" applyProtection="1">
      <alignment horizontal="center" vertical="center" wrapText="1"/>
    </xf>
    <xf numFmtId="3" fontId="41" fillId="0" borderId="51" xfId="1" applyNumberFormat="1" applyFont="1" applyFill="1" applyBorder="1" applyAlignment="1" applyProtection="1">
      <alignment horizontal="center" vertical="center" wrapText="1"/>
    </xf>
    <xf numFmtId="9" fontId="41" fillId="0" borderId="57" xfId="1" applyFont="1" applyFill="1" applyBorder="1" applyAlignment="1" applyProtection="1">
      <alignment horizontal="center" vertical="center" wrapText="1"/>
    </xf>
    <xf numFmtId="9" fontId="41" fillId="0" borderId="15" xfId="1" applyFont="1" applyFill="1" applyBorder="1" applyAlignment="1" applyProtection="1">
      <alignment horizontal="center" vertical="center" wrapText="1"/>
    </xf>
    <xf numFmtId="9" fontId="41" fillId="0" borderId="14" xfId="1" applyFont="1" applyFill="1" applyBorder="1" applyAlignment="1" applyProtection="1">
      <alignment horizontal="center" vertical="center" wrapText="1"/>
    </xf>
    <xf numFmtId="3" fontId="41" fillId="33" borderId="17" xfId="49" applyNumberFormat="1" applyFont="1" applyFill="1" applyBorder="1" applyAlignment="1">
      <alignment horizontal="center" vertical="center" wrapText="1"/>
    </xf>
    <xf numFmtId="3" fontId="41" fillId="33" borderId="5" xfId="49" applyNumberFormat="1" applyFont="1" applyFill="1" applyBorder="1" applyAlignment="1">
      <alignment horizontal="center" vertical="center" wrapText="1"/>
    </xf>
    <xf numFmtId="9" fontId="41" fillId="33" borderId="15" xfId="1" applyFont="1" applyFill="1" applyBorder="1" applyAlignment="1" applyProtection="1">
      <alignment horizontal="center" vertical="center" wrapText="1"/>
    </xf>
    <xf numFmtId="49" fontId="36" fillId="27" borderId="49" xfId="49" applyNumberFormat="1" applyFont="1" applyFill="1" applyBorder="1" applyAlignment="1">
      <alignment horizontal="left" vertical="center" wrapText="1"/>
    </xf>
    <xf numFmtId="0" fontId="36" fillId="27" borderId="50" xfId="49" applyFont="1" applyFill="1" applyBorder="1" applyAlignment="1">
      <alignment horizontal="left" vertical="center" wrapText="1"/>
    </xf>
    <xf numFmtId="3" fontId="36" fillId="27" borderId="5" xfId="49" applyNumberFormat="1" applyFont="1" applyFill="1" applyBorder="1" applyAlignment="1">
      <alignment horizontal="center" vertical="center" wrapText="1"/>
    </xf>
    <xf numFmtId="3" fontId="36" fillId="0" borderId="32" xfId="32" applyNumberFormat="1" applyFont="1" applyBorder="1" applyAlignment="1">
      <alignment horizontal="center" vertical="center"/>
    </xf>
    <xf numFmtId="9" fontId="36" fillId="0" borderId="7" xfId="1" applyFont="1" applyFill="1" applyBorder="1" applyAlignment="1" applyProtection="1">
      <alignment horizontal="center" vertical="center"/>
    </xf>
    <xf numFmtId="3" fontId="36" fillId="0" borderId="7" xfId="32" applyNumberFormat="1" applyFont="1" applyBorder="1" applyAlignment="1">
      <alignment horizontal="center" vertical="center"/>
    </xf>
    <xf numFmtId="9" fontId="36" fillId="0" borderId="62" xfId="1" applyFont="1" applyFill="1" applyBorder="1" applyAlignment="1" applyProtection="1">
      <alignment horizontal="center" vertical="center"/>
    </xf>
    <xf numFmtId="3" fontId="36" fillId="0" borderId="17" xfId="1" applyNumberFormat="1" applyFont="1" applyFill="1" applyBorder="1" applyAlignment="1" applyProtection="1">
      <alignment horizontal="center" vertical="center"/>
    </xf>
    <xf numFmtId="9" fontId="36" fillId="0" borderId="53" xfId="1" applyFont="1" applyFill="1" applyBorder="1" applyAlignment="1" applyProtection="1">
      <alignment horizontal="center" vertical="center"/>
    </xf>
    <xf numFmtId="3" fontId="36" fillId="0" borderId="23" xfId="32" applyNumberFormat="1" applyFont="1" applyBorder="1" applyAlignment="1">
      <alignment horizontal="center" vertical="center"/>
    </xf>
    <xf numFmtId="0" fontId="122" fillId="27" borderId="0" xfId="49" applyFont="1" applyFill="1" applyAlignment="1">
      <alignment vertical="center"/>
    </xf>
    <xf numFmtId="0" fontId="36" fillId="0" borderId="50" xfId="49" applyFont="1" applyBorder="1" applyAlignment="1">
      <alignment horizontal="left" vertical="center" wrapText="1"/>
    </xf>
    <xf numFmtId="3" fontId="36" fillId="0" borderId="5" xfId="49" applyNumberFormat="1" applyFont="1" applyBorder="1" applyAlignment="1">
      <alignment horizontal="center" vertical="center" wrapText="1"/>
    </xf>
    <xf numFmtId="49" fontId="36" fillId="27" borderId="52" xfId="49" applyNumberFormat="1" applyFont="1" applyFill="1" applyBorder="1" applyAlignment="1">
      <alignment horizontal="left" vertical="center" wrapText="1"/>
    </xf>
    <xf numFmtId="0" fontId="36" fillId="0" borderId="53" xfId="49" applyFont="1" applyBorder="1" applyAlignment="1">
      <alignment horizontal="left" vertical="center" wrapText="1"/>
    </xf>
    <xf numFmtId="3" fontId="36" fillId="0" borderId="17" xfId="49" applyNumberFormat="1" applyFont="1" applyBorder="1" applyAlignment="1">
      <alignment horizontal="center" vertical="center" wrapText="1"/>
    </xf>
    <xf numFmtId="3" fontId="36" fillId="0" borderId="32" xfId="49" applyNumberFormat="1" applyFont="1" applyBorder="1" applyAlignment="1">
      <alignment horizontal="center" vertical="center" wrapText="1"/>
    </xf>
    <xf numFmtId="9" fontId="36" fillId="0" borderId="7" xfId="1" applyFont="1" applyFill="1" applyBorder="1" applyAlignment="1" applyProtection="1">
      <alignment horizontal="center" vertical="center" wrapText="1"/>
    </xf>
    <xf numFmtId="3" fontId="36" fillId="0" borderId="7" xfId="49" applyNumberFormat="1" applyFont="1" applyBorder="1" applyAlignment="1">
      <alignment horizontal="center" vertical="center" wrapText="1"/>
    </xf>
    <xf numFmtId="9" fontId="36" fillId="0" borderId="62" xfId="1" applyFont="1" applyFill="1" applyBorder="1" applyAlignment="1" applyProtection="1">
      <alignment horizontal="center" vertical="center" wrapText="1"/>
    </xf>
    <xf numFmtId="3" fontId="36" fillId="0" borderId="17" xfId="1" applyNumberFormat="1" applyFont="1" applyFill="1" applyBorder="1" applyAlignment="1" applyProtection="1">
      <alignment horizontal="center" vertical="center" wrapText="1"/>
    </xf>
    <xf numFmtId="9" fontId="36" fillId="0" borderId="53" xfId="1" applyFont="1" applyFill="1" applyBorder="1" applyAlignment="1" applyProtection="1">
      <alignment horizontal="center" vertical="center" wrapText="1"/>
    </xf>
    <xf numFmtId="3" fontId="36" fillId="0" borderId="23" xfId="49" applyNumberFormat="1" applyFont="1" applyBorder="1" applyAlignment="1">
      <alignment horizontal="center" vertical="center" wrapText="1"/>
    </xf>
    <xf numFmtId="9" fontId="36" fillId="0" borderId="32" xfId="1" applyFont="1" applyFill="1" applyBorder="1" applyAlignment="1" applyProtection="1">
      <alignment horizontal="center" vertical="center" wrapText="1"/>
    </xf>
    <xf numFmtId="9" fontId="36" fillId="0" borderId="23" xfId="1" applyFont="1" applyFill="1" applyBorder="1" applyAlignment="1" applyProtection="1">
      <alignment horizontal="center" vertical="center" wrapText="1"/>
    </xf>
    <xf numFmtId="9" fontId="36" fillId="0" borderId="15" xfId="1" applyFont="1" applyFill="1" applyBorder="1" applyAlignment="1" applyProtection="1">
      <alignment horizontal="center" vertical="center" wrapText="1"/>
    </xf>
    <xf numFmtId="9" fontId="40" fillId="0" borderId="3" xfId="1" applyFont="1" applyFill="1" applyBorder="1" applyAlignment="1" applyProtection="1">
      <alignment horizontal="center" vertical="center" wrapText="1"/>
    </xf>
    <xf numFmtId="0" fontId="123" fillId="0" borderId="0" xfId="49" applyFont="1" applyAlignment="1">
      <alignment vertical="center"/>
    </xf>
    <xf numFmtId="0" fontId="123" fillId="27" borderId="0" xfId="49" applyFont="1" applyFill="1" applyAlignment="1">
      <alignment vertical="center"/>
    </xf>
    <xf numFmtId="9" fontId="40" fillId="0" borderId="7" xfId="1" applyFont="1" applyFill="1" applyBorder="1" applyAlignment="1" applyProtection="1">
      <alignment horizontal="center" vertical="center" wrapText="1"/>
    </xf>
    <xf numFmtId="9" fontId="40" fillId="0" borderId="32" xfId="1" applyFont="1" applyFill="1" applyBorder="1" applyAlignment="1" applyProtection="1">
      <alignment horizontal="center" vertical="center" wrapText="1"/>
    </xf>
    <xf numFmtId="9" fontId="40" fillId="0" borderId="23" xfId="1" applyFont="1" applyFill="1" applyBorder="1" applyAlignment="1" applyProtection="1">
      <alignment horizontal="center" vertical="center" wrapText="1"/>
    </xf>
    <xf numFmtId="9" fontId="40" fillId="0" borderId="15" xfId="1" applyFont="1" applyFill="1" applyBorder="1" applyAlignment="1" applyProtection="1">
      <alignment horizontal="center" vertical="center" wrapText="1"/>
    </xf>
    <xf numFmtId="3" fontId="40" fillId="0" borderId="17" xfId="1" applyNumberFormat="1" applyFont="1" applyFill="1" applyBorder="1" applyAlignment="1" applyProtection="1">
      <alignment horizontal="center" vertical="center" wrapText="1"/>
    </xf>
    <xf numFmtId="0" fontId="88" fillId="0" borderId="0" xfId="49" applyFont="1" applyAlignment="1">
      <alignment vertical="center"/>
    </xf>
    <xf numFmtId="0" fontId="124" fillId="27" borderId="0" xfId="49" applyFont="1" applyFill="1" applyAlignment="1">
      <alignment vertical="center"/>
    </xf>
    <xf numFmtId="3" fontId="41" fillId="27" borderId="7" xfId="49" applyNumberFormat="1" applyFont="1" applyFill="1" applyBorder="1" applyAlignment="1">
      <alignment horizontal="center" vertical="center" wrapText="1"/>
    </xf>
    <xf numFmtId="3" fontId="41" fillId="27" borderId="77" xfId="49" applyNumberFormat="1" applyFont="1" applyFill="1" applyBorder="1" applyAlignment="1">
      <alignment horizontal="center" vertical="center" wrapText="1"/>
    </xf>
    <xf numFmtId="3" fontId="41" fillId="27" borderId="31" xfId="49" applyNumberFormat="1" applyFont="1" applyFill="1" applyBorder="1" applyAlignment="1">
      <alignment horizontal="center" vertical="center" wrapText="1"/>
    </xf>
    <xf numFmtId="3" fontId="41" fillId="27" borderId="50" xfId="49" applyNumberFormat="1" applyFont="1" applyFill="1" applyBorder="1" applyAlignment="1">
      <alignment horizontal="center" vertical="center" wrapText="1"/>
    </xf>
    <xf numFmtId="3" fontId="41" fillId="27" borderId="52" xfId="49" applyNumberFormat="1" applyFont="1" applyFill="1" applyBorder="1" applyAlignment="1">
      <alignment horizontal="center" vertical="center" wrapText="1"/>
    </xf>
    <xf numFmtId="3" fontId="41" fillId="27" borderId="53" xfId="49" applyNumberFormat="1" applyFont="1" applyFill="1" applyBorder="1" applyAlignment="1">
      <alignment horizontal="center" vertical="center" wrapText="1"/>
    </xf>
    <xf numFmtId="3" fontId="41" fillId="27" borderId="56" xfId="49" applyNumberFormat="1" applyFont="1" applyFill="1" applyBorder="1" applyAlignment="1">
      <alignment horizontal="center" vertical="center" wrapText="1"/>
    </xf>
    <xf numFmtId="3" fontId="41" fillId="27" borderId="57" xfId="49" applyNumberFormat="1" applyFont="1" applyFill="1" applyBorder="1" applyAlignment="1">
      <alignment horizontal="center" vertical="center" wrapText="1"/>
    </xf>
    <xf numFmtId="3" fontId="41" fillId="27" borderId="49" xfId="49" applyNumberFormat="1" applyFont="1" applyFill="1" applyBorder="1" applyAlignment="1">
      <alignment horizontal="center" vertical="center" wrapText="1"/>
    </xf>
    <xf numFmtId="2" fontId="41" fillId="0" borderId="61" xfId="83" applyNumberFormat="1" applyFont="1" applyBorder="1" applyAlignment="1">
      <alignment horizontal="left" vertical="center" wrapText="1"/>
    </xf>
    <xf numFmtId="2" fontId="41" fillId="0" borderId="62" xfId="83" applyNumberFormat="1" applyFont="1" applyBorder="1" applyAlignment="1">
      <alignment horizontal="left" vertical="center" wrapText="1"/>
    </xf>
    <xf numFmtId="2" fontId="41" fillId="0" borderId="78" xfId="83" applyNumberFormat="1" applyFont="1" applyBorder="1" applyAlignment="1">
      <alignment horizontal="left" vertical="center" wrapText="1"/>
    </xf>
    <xf numFmtId="3" fontId="41" fillId="27" borderId="79" xfId="49" applyNumberFormat="1" applyFont="1" applyFill="1" applyBorder="1" applyAlignment="1">
      <alignment horizontal="center" vertical="center" wrapText="1"/>
    </xf>
    <xf numFmtId="2" fontId="41" fillId="37" borderId="26" xfId="83" applyNumberFormat="1" applyFont="1" applyFill="1" applyBorder="1" applyAlignment="1">
      <alignment horizontal="center" vertical="center" wrapText="1"/>
    </xf>
    <xf numFmtId="2" fontId="41" fillId="37" borderId="34" xfId="83" applyNumberFormat="1" applyFont="1" applyFill="1" applyBorder="1" applyAlignment="1">
      <alignment horizontal="center" vertical="center" wrapText="1"/>
    </xf>
    <xf numFmtId="49" fontId="41" fillId="20" borderId="52" xfId="32" applyNumberFormat="1" applyFont="1" applyFill="1" applyBorder="1" applyAlignment="1">
      <alignment horizontal="center" vertical="center" wrapText="1"/>
    </xf>
    <xf numFmtId="0" fontId="41" fillId="0" borderId="23" xfId="32" applyFont="1" applyBorder="1" applyAlignment="1">
      <alignment vertical="center" wrapText="1"/>
    </xf>
    <xf numFmtId="171" fontId="47" fillId="37" borderId="56" xfId="32" applyNumberFormat="1" applyFont="1" applyFill="1" applyBorder="1" applyAlignment="1">
      <alignment horizontal="center" vertical="center" wrapText="1"/>
    </xf>
    <xf numFmtId="171" fontId="47" fillId="37" borderId="77" xfId="32" applyNumberFormat="1" applyFont="1" applyFill="1" applyBorder="1" applyAlignment="1">
      <alignment horizontal="center" vertical="center" wrapText="1"/>
    </xf>
    <xf numFmtId="171" fontId="47" fillId="37" borderId="57" xfId="32" applyNumberFormat="1" applyFont="1" applyFill="1" applyBorder="1" applyAlignment="1">
      <alignment horizontal="center" vertical="center" wrapText="1"/>
    </xf>
    <xf numFmtId="9" fontId="41" fillId="0" borderId="76" xfId="1" applyFont="1" applyFill="1" applyBorder="1" applyAlignment="1" applyProtection="1">
      <alignment horizontal="center" vertical="center" wrapText="1"/>
    </xf>
    <xf numFmtId="9" fontId="40" fillId="0" borderId="53" xfId="1" applyFont="1" applyFill="1" applyBorder="1" applyAlignment="1" applyProtection="1">
      <alignment horizontal="center" vertical="center" wrapText="1"/>
    </xf>
    <xf numFmtId="3" fontId="40" fillId="24" borderId="1" xfId="49" applyNumberFormat="1" applyFont="1" applyFill="1" applyBorder="1" applyAlignment="1">
      <alignment horizontal="center" vertical="center" wrapText="1"/>
    </xf>
    <xf numFmtId="3" fontId="41" fillId="33" borderId="25" xfId="49" applyNumberFormat="1" applyFont="1" applyFill="1" applyBorder="1" applyAlignment="1">
      <alignment horizontal="center" vertical="center" wrapText="1"/>
    </xf>
    <xf numFmtId="3" fontId="12" fillId="0" borderId="24" xfId="32" applyNumberFormat="1" applyFont="1" applyBorder="1" applyAlignment="1">
      <alignment horizontal="center" vertical="center"/>
    </xf>
    <xf numFmtId="3" fontId="41" fillId="26" borderId="24" xfId="49" applyNumberFormat="1" applyFont="1" applyFill="1" applyBorder="1" applyAlignment="1">
      <alignment horizontal="center" vertical="center" wrapText="1"/>
    </xf>
    <xf numFmtId="3" fontId="41" fillId="33" borderId="24" xfId="49" applyNumberFormat="1" applyFont="1" applyFill="1" applyBorder="1" applyAlignment="1">
      <alignment horizontal="center" vertical="center" wrapText="1"/>
    </xf>
    <xf numFmtId="3" fontId="42" fillId="0" borderId="24" xfId="49" applyNumberFormat="1" applyFont="1" applyBorder="1" applyAlignment="1">
      <alignment horizontal="center" vertical="center" wrapText="1"/>
    </xf>
    <xf numFmtId="3" fontId="41" fillId="43" borderId="29" xfId="49" applyNumberFormat="1" applyFont="1" applyFill="1" applyBorder="1" applyAlignment="1">
      <alignment horizontal="center" vertical="center" wrapText="1"/>
    </xf>
    <xf numFmtId="3" fontId="41" fillId="43" borderId="24" xfId="49" applyNumberFormat="1" applyFont="1" applyFill="1" applyBorder="1" applyAlignment="1">
      <alignment horizontal="center" vertical="center" wrapText="1"/>
    </xf>
    <xf numFmtId="3" fontId="41" fillId="43" borderId="30" xfId="49" applyNumberFormat="1" applyFont="1" applyFill="1" applyBorder="1" applyAlignment="1">
      <alignment horizontal="center" vertical="center" wrapText="1"/>
    </xf>
    <xf numFmtId="3" fontId="41" fillId="0" borderId="24" xfId="49" applyNumberFormat="1" applyFont="1" applyBorder="1" applyAlignment="1">
      <alignment horizontal="center" vertical="center" wrapText="1"/>
    </xf>
    <xf numFmtId="3" fontId="40" fillId="0" borderId="1" xfId="31" applyNumberFormat="1" applyFont="1" applyBorder="1" applyAlignment="1">
      <alignment horizontal="center" vertical="center" wrapText="1"/>
    </xf>
    <xf numFmtId="3" fontId="40" fillId="0" borderId="1" xfId="49" applyNumberFormat="1" applyFont="1" applyBorder="1" applyAlignment="1">
      <alignment horizontal="center" vertical="center" wrapText="1"/>
    </xf>
    <xf numFmtId="3" fontId="42" fillId="26" borderId="24" xfId="49" applyNumberFormat="1" applyFont="1" applyFill="1" applyBorder="1" applyAlignment="1">
      <alignment horizontal="center" vertical="center" wrapText="1"/>
    </xf>
    <xf numFmtId="49" fontId="45" fillId="0" borderId="52" xfId="0" applyNumberFormat="1" applyFont="1" applyBorder="1" applyAlignment="1">
      <alignment horizontal="center" vertical="center" wrapText="1"/>
    </xf>
    <xf numFmtId="0" fontId="45" fillId="0" borderId="7" xfId="0" applyFont="1" applyBorder="1" applyAlignment="1">
      <alignment horizontal="left" vertical="center" wrapText="1"/>
    </xf>
    <xf numFmtId="0" fontId="45" fillId="0" borderId="7" xfId="0" applyFont="1" applyBorder="1" applyAlignment="1">
      <alignment horizontal="center" vertical="center" wrapText="1"/>
    </xf>
    <xf numFmtId="3" fontId="45" fillId="0" borderId="63" xfId="59" applyNumberFormat="1" applyFont="1" applyFill="1" applyBorder="1" applyAlignment="1" applyProtection="1">
      <alignment horizontal="center" vertical="center"/>
    </xf>
    <xf numFmtId="0" fontId="47" fillId="0" borderId="56" xfId="0" applyFont="1" applyBorder="1" applyAlignment="1">
      <alignment horizontal="center" vertical="center"/>
    </xf>
    <xf numFmtId="0" fontId="47" fillId="0" borderId="77" xfId="0" applyFont="1" applyBorder="1" applyAlignment="1">
      <alignment horizontal="left" vertical="center" wrapText="1"/>
    </xf>
    <xf numFmtId="0" fontId="47" fillId="0" borderId="77" xfId="0" applyFont="1" applyBorder="1" applyAlignment="1">
      <alignment horizontal="center" vertical="center" wrapText="1"/>
    </xf>
    <xf numFmtId="3" fontId="47" fillId="0" borderId="77" xfId="0" applyNumberFormat="1" applyFont="1" applyBorder="1" applyAlignment="1">
      <alignment horizontal="center" vertical="center"/>
    </xf>
    <xf numFmtId="0" fontId="15" fillId="26" borderId="0" xfId="83" applyFont="1" applyFill="1" applyAlignment="1">
      <alignment vertical="center" wrapText="1"/>
    </xf>
    <xf numFmtId="0" fontId="57" fillId="27" borderId="0" xfId="32" applyFont="1" applyFill="1" applyAlignment="1">
      <alignment horizontal="center" vertical="center"/>
    </xf>
    <xf numFmtId="0" fontId="57" fillId="27" borderId="0" xfId="32" applyFont="1" applyFill="1" applyAlignment="1">
      <alignment vertical="center"/>
    </xf>
    <xf numFmtId="0" fontId="57" fillId="27" borderId="0" xfId="32" applyFont="1" applyFill="1" applyAlignment="1">
      <alignment vertical="center" wrapText="1"/>
    </xf>
    <xf numFmtId="0" fontId="84" fillId="27" borderId="0" xfId="32" applyFont="1" applyFill="1" applyAlignment="1">
      <alignment horizontal="center" vertical="center"/>
    </xf>
    <xf numFmtId="0" fontId="57" fillId="27" borderId="0" xfId="32" applyFont="1" applyFill="1" applyAlignment="1">
      <alignment horizontal="center" vertical="center" wrapText="1"/>
    </xf>
    <xf numFmtId="0" fontId="84" fillId="27" borderId="0" xfId="32" applyFont="1" applyFill="1" applyAlignment="1">
      <alignment horizontal="left" vertical="center" wrapText="1"/>
    </xf>
    <xf numFmtId="0" fontId="126" fillId="27" borderId="0" xfId="32" applyFont="1" applyFill="1" applyAlignment="1">
      <alignment vertical="center"/>
    </xf>
    <xf numFmtId="0" fontId="62" fillId="27" borderId="0" xfId="32" applyFont="1" applyFill="1" applyAlignment="1">
      <alignment vertical="center"/>
    </xf>
    <xf numFmtId="3" fontId="57" fillId="3" borderId="49" xfId="32" applyNumberFormat="1" applyFont="1" applyFill="1" applyBorder="1" applyAlignment="1" applyProtection="1">
      <alignment horizontal="center" vertical="center"/>
      <protection locked="0"/>
    </xf>
    <xf numFmtId="3" fontId="57" fillId="3" borderId="50" xfId="32" applyNumberFormat="1" applyFont="1" applyFill="1" applyBorder="1" applyAlignment="1" applyProtection="1">
      <alignment horizontal="center" vertical="center"/>
      <protection locked="0"/>
    </xf>
    <xf numFmtId="3" fontId="57" fillId="3" borderId="44" xfId="32" applyNumberFormat="1" applyFont="1" applyFill="1" applyBorder="1" applyAlignment="1" applyProtection="1">
      <alignment horizontal="center" vertical="center"/>
      <protection locked="0"/>
    </xf>
    <xf numFmtId="3" fontId="57" fillId="3" borderId="31" xfId="32" applyNumberFormat="1" applyFont="1" applyFill="1" applyBorder="1" applyAlignment="1" applyProtection="1">
      <alignment horizontal="center" vertical="center"/>
      <protection locked="0"/>
    </xf>
    <xf numFmtId="3" fontId="57" fillId="3" borderId="61" xfId="32" applyNumberFormat="1" applyFont="1" applyFill="1" applyBorder="1" applyAlignment="1" applyProtection="1">
      <alignment horizontal="center" vertical="center"/>
      <protection locked="0"/>
    </xf>
    <xf numFmtId="3" fontId="57" fillId="3" borderId="25" xfId="32" applyNumberFormat="1" applyFont="1" applyFill="1" applyBorder="1" applyAlignment="1" applyProtection="1">
      <alignment horizontal="center" vertical="center"/>
      <protection locked="0"/>
    </xf>
    <xf numFmtId="3" fontId="57" fillId="3" borderId="5" xfId="32" applyNumberFormat="1" applyFont="1" applyFill="1" applyBorder="1" applyAlignment="1" applyProtection="1">
      <alignment horizontal="center" vertical="center"/>
      <protection locked="0"/>
    </xf>
    <xf numFmtId="3" fontId="57" fillId="3" borderId="52" xfId="32" applyNumberFormat="1" applyFont="1" applyFill="1" applyBorder="1" applyAlignment="1" applyProtection="1">
      <alignment horizontal="center" vertical="center"/>
      <protection locked="0"/>
    </xf>
    <xf numFmtId="3" fontId="57" fillId="3" borderId="53" xfId="32" applyNumberFormat="1" applyFont="1" applyFill="1" applyBorder="1" applyAlignment="1" applyProtection="1">
      <alignment horizontal="center" vertical="center"/>
      <protection locked="0"/>
    </xf>
    <xf numFmtId="3" fontId="57" fillId="3" borderId="32" xfId="32" applyNumberFormat="1" applyFont="1" applyFill="1" applyBorder="1" applyAlignment="1" applyProtection="1">
      <alignment horizontal="center" vertical="center"/>
      <protection locked="0"/>
    </xf>
    <xf numFmtId="3" fontId="57" fillId="3" borderId="7" xfId="32" applyNumberFormat="1" applyFont="1" applyFill="1" applyBorder="1" applyAlignment="1" applyProtection="1">
      <alignment horizontal="center" vertical="center"/>
      <protection locked="0"/>
    </xf>
    <xf numFmtId="3" fontId="57" fillId="3" borderId="62" xfId="32" applyNumberFormat="1" applyFont="1" applyFill="1" applyBorder="1" applyAlignment="1" applyProtection="1">
      <alignment horizontal="center" vertical="center"/>
      <protection locked="0"/>
    </xf>
    <xf numFmtId="3" fontId="57" fillId="3" borderId="24" xfId="32" applyNumberFormat="1" applyFont="1" applyFill="1" applyBorder="1" applyAlignment="1" applyProtection="1">
      <alignment horizontal="center" vertical="center"/>
      <protection locked="0"/>
    </xf>
    <xf numFmtId="3" fontId="57" fillId="3" borderId="17" xfId="32" applyNumberFormat="1" applyFont="1" applyFill="1" applyBorder="1" applyAlignment="1" applyProtection="1">
      <alignment horizontal="center" vertical="center" wrapText="1"/>
      <protection locked="0"/>
    </xf>
    <xf numFmtId="3" fontId="57" fillId="3" borderId="17" xfId="32" applyNumberFormat="1" applyFont="1" applyFill="1" applyBorder="1" applyAlignment="1" applyProtection="1">
      <alignment horizontal="center" vertical="center"/>
      <protection locked="0"/>
    </xf>
    <xf numFmtId="3" fontId="57" fillId="3" borderId="54" xfId="32" applyNumberFormat="1" applyFont="1" applyFill="1" applyBorder="1" applyAlignment="1" applyProtection="1">
      <alignment horizontal="center" vertical="center"/>
      <protection locked="0"/>
    </xf>
    <xf numFmtId="3" fontId="57" fillId="3" borderId="55" xfId="32" applyNumberFormat="1" applyFont="1" applyFill="1" applyBorder="1" applyAlignment="1" applyProtection="1">
      <alignment horizontal="center" vertical="center"/>
      <protection locked="0"/>
    </xf>
    <xf numFmtId="3" fontId="57" fillId="3" borderId="69" xfId="32" applyNumberFormat="1" applyFont="1" applyFill="1" applyBorder="1" applyAlignment="1" applyProtection="1">
      <alignment horizontal="center" vertical="center"/>
      <protection locked="0"/>
    </xf>
    <xf numFmtId="3" fontId="57" fillId="3" borderId="63" xfId="32" applyNumberFormat="1" applyFont="1" applyFill="1" applyBorder="1" applyAlignment="1" applyProtection="1">
      <alignment horizontal="center" vertical="center"/>
      <protection locked="0"/>
    </xf>
    <xf numFmtId="3" fontId="57" fillId="3" borderId="64" xfId="32" applyNumberFormat="1" applyFont="1" applyFill="1" applyBorder="1" applyAlignment="1" applyProtection="1">
      <alignment horizontal="center" vertical="center"/>
      <protection locked="0"/>
    </xf>
    <xf numFmtId="3" fontId="57" fillId="3" borderId="36" xfId="32" applyNumberFormat="1" applyFont="1" applyFill="1" applyBorder="1" applyAlignment="1" applyProtection="1">
      <alignment horizontal="center" vertical="center"/>
      <protection locked="0"/>
    </xf>
    <xf numFmtId="3" fontId="57" fillId="3" borderId="39" xfId="32" applyNumberFormat="1" applyFont="1" applyFill="1" applyBorder="1" applyAlignment="1" applyProtection="1">
      <alignment horizontal="center" vertical="center" wrapText="1"/>
      <protection locked="0"/>
    </xf>
    <xf numFmtId="3" fontId="57" fillId="3" borderId="5" xfId="32" applyNumberFormat="1" applyFont="1" applyFill="1" applyBorder="1" applyAlignment="1" applyProtection="1">
      <alignment horizontal="center" vertical="center" wrapText="1"/>
      <protection locked="0"/>
    </xf>
    <xf numFmtId="3" fontId="57" fillId="3" borderId="6" xfId="32" applyNumberFormat="1" applyFont="1" applyFill="1" applyBorder="1" applyAlignment="1" applyProtection="1">
      <alignment horizontal="center" vertical="center"/>
      <protection locked="0"/>
    </xf>
    <xf numFmtId="3" fontId="57" fillId="3" borderId="39" xfId="32" applyNumberFormat="1" applyFont="1" applyFill="1" applyBorder="1" applyAlignment="1" applyProtection="1">
      <alignment horizontal="center" vertical="center"/>
      <protection locked="0"/>
    </xf>
    <xf numFmtId="3" fontId="57" fillId="3" borderId="18" xfId="32" applyNumberFormat="1" applyFont="1" applyFill="1" applyBorder="1" applyAlignment="1" applyProtection="1">
      <alignment horizontal="center" vertical="center"/>
      <protection locked="0"/>
    </xf>
    <xf numFmtId="3" fontId="57" fillId="3" borderId="23" xfId="32" applyNumberFormat="1" applyFont="1" applyFill="1" applyBorder="1" applyAlignment="1" applyProtection="1">
      <alignment horizontal="center" vertical="center"/>
      <protection locked="0"/>
    </xf>
    <xf numFmtId="3" fontId="57" fillId="3" borderId="127" xfId="32" applyNumberFormat="1" applyFont="1" applyFill="1" applyBorder="1" applyAlignment="1" applyProtection="1">
      <alignment horizontal="center" vertical="center"/>
      <protection locked="0"/>
    </xf>
    <xf numFmtId="3" fontId="57" fillId="3" borderId="30" xfId="32" applyNumberFormat="1" applyFont="1" applyFill="1" applyBorder="1" applyAlignment="1" applyProtection="1">
      <alignment horizontal="center" vertical="center"/>
      <protection locked="0"/>
    </xf>
    <xf numFmtId="3" fontId="57" fillId="3" borderId="21" xfId="32" applyNumberFormat="1" applyFont="1" applyFill="1" applyBorder="1" applyAlignment="1" applyProtection="1">
      <alignment horizontal="center" vertical="center"/>
      <protection locked="0"/>
    </xf>
    <xf numFmtId="3" fontId="57" fillId="3" borderId="56" xfId="32" applyNumberFormat="1" applyFont="1" applyFill="1" applyBorder="1" applyAlignment="1" applyProtection="1">
      <alignment horizontal="center" vertical="center"/>
      <protection locked="0"/>
    </xf>
    <xf numFmtId="3" fontId="57" fillId="3" borderId="57" xfId="32" applyNumberFormat="1" applyFont="1" applyFill="1" applyBorder="1" applyAlignment="1" applyProtection="1">
      <alignment horizontal="center" vertical="center"/>
      <protection locked="0"/>
    </xf>
    <xf numFmtId="3" fontId="57" fillId="3" borderId="79" xfId="32" applyNumberFormat="1" applyFont="1" applyFill="1" applyBorder="1" applyAlignment="1" applyProtection="1">
      <alignment horizontal="center" vertical="center"/>
      <protection locked="0"/>
    </xf>
    <xf numFmtId="0" fontId="57" fillId="26" borderId="0" xfId="0" applyFont="1" applyFill="1" applyAlignment="1">
      <alignment vertical="center"/>
    </xf>
    <xf numFmtId="3" fontId="84" fillId="27" borderId="0" xfId="32" applyNumberFormat="1" applyFont="1" applyFill="1" applyAlignment="1">
      <alignment horizontal="center" vertical="center"/>
    </xf>
    <xf numFmtId="3" fontId="57" fillId="27" borderId="0" xfId="32" applyNumberFormat="1" applyFont="1" applyFill="1" applyAlignment="1">
      <alignment horizontal="center" vertical="center"/>
    </xf>
    <xf numFmtId="0" fontId="129" fillId="27" borderId="0" xfId="32" applyFont="1" applyFill="1" applyAlignment="1">
      <alignment vertical="center"/>
    </xf>
    <xf numFmtId="0" fontId="131" fillId="27" borderId="0" xfId="32" applyFont="1" applyFill="1" applyAlignment="1">
      <alignment vertical="center"/>
    </xf>
    <xf numFmtId="0" fontId="65" fillId="27" borderId="0" xfId="32" applyFont="1" applyFill="1" applyAlignment="1">
      <alignment vertical="center"/>
    </xf>
    <xf numFmtId="0" fontId="45" fillId="27" borderId="0" xfId="0" applyFont="1" applyFill="1" applyAlignment="1">
      <alignment vertical="center"/>
    </xf>
    <xf numFmtId="0" fontId="125" fillId="27" borderId="0" xfId="0" applyFont="1" applyFill="1" applyAlignment="1">
      <alignment horizontal="center" vertical="center"/>
    </xf>
    <xf numFmtId="0" fontId="45" fillId="27" borderId="0" xfId="0" applyFont="1" applyFill="1" applyAlignment="1">
      <alignment horizontal="center" vertical="center"/>
    </xf>
    <xf numFmtId="0" fontId="47" fillId="27" borderId="0" xfId="0" applyFont="1" applyFill="1" applyAlignment="1">
      <alignment vertical="center"/>
    </xf>
    <xf numFmtId="0" fontId="127" fillId="27" borderId="0" xfId="0" applyFont="1" applyFill="1" applyAlignment="1">
      <alignment horizontal="center" vertical="center"/>
    </xf>
    <xf numFmtId="0" fontId="47" fillId="27" borderId="0" xfId="0" applyFont="1" applyFill="1" applyAlignment="1">
      <alignment horizontal="center" vertical="center"/>
    </xf>
    <xf numFmtId="0" fontId="125" fillId="27" borderId="0" xfId="31" applyFont="1" applyFill="1" applyAlignment="1">
      <alignment horizontal="left" vertical="center"/>
    </xf>
    <xf numFmtId="0" fontId="78" fillId="27" borderId="0" xfId="49" applyFill="1" applyAlignment="1">
      <alignment vertical="center" wrapText="1"/>
    </xf>
    <xf numFmtId="0" fontId="14" fillId="27" borderId="0" xfId="49" applyFont="1" applyFill="1" applyAlignment="1">
      <alignment vertical="center" wrapText="1"/>
    </xf>
    <xf numFmtId="0" fontId="12" fillId="27" borderId="0" xfId="49" applyFont="1" applyFill="1" applyAlignment="1">
      <alignment horizontal="center" vertical="center"/>
    </xf>
    <xf numFmtId="0" fontId="92" fillId="27" borderId="0" xfId="49" applyFont="1" applyFill="1" applyAlignment="1">
      <alignment vertical="center"/>
    </xf>
    <xf numFmtId="0" fontId="0" fillId="0" borderId="0" xfId="0" applyAlignment="1">
      <alignment vertical="center"/>
    </xf>
    <xf numFmtId="0" fontId="14" fillId="0" borderId="0" xfId="0" applyFont="1" applyAlignment="1">
      <alignment vertical="center"/>
    </xf>
    <xf numFmtId="0" fontId="18" fillId="0" borderId="0" xfId="2" quotePrefix="1" applyFont="1" applyAlignment="1" applyProtection="1">
      <alignment vertical="center"/>
    </xf>
    <xf numFmtId="0" fontId="18" fillId="0" borderId="0" xfId="2" quotePrefix="1" applyFont="1" applyFill="1" applyAlignment="1" applyProtection="1">
      <alignment vertical="center"/>
    </xf>
    <xf numFmtId="0" fontId="17" fillId="0" borderId="0" xfId="2" quotePrefix="1" applyAlignment="1" applyProtection="1">
      <alignment vertical="center"/>
    </xf>
    <xf numFmtId="0" fontId="55" fillId="0" borderId="0" xfId="0" applyFont="1" applyAlignment="1">
      <alignment vertical="center"/>
    </xf>
    <xf numFmtId="0" fontId="34" fillId="0" borderId="0" xfId="0" applyFont="1" applyAlignment="1">
      <alignment vertical="center"/>
    </xf>
    <xf numFmtId="171" fontId="47" fillId="37" borderId="9" xfId="0" applyNumberFormat="1" applyFont="1" applyFill="1" applyBorder="1" applyAlignment="1">
      <alignment horizontal="center" vertical="center" wrapText="1"/>
    </xf>
    <xf numFmtId="171" fontId="47" fillId="37" borderId="10" xfId="0" applyNumberFormat="1" applyFont="1" applyFill="1" applyBorder="1" applyAlignment="1">
      <alignment horizontal="center" vertical="center" wrapText="1"/>
    </xf>
    <xf numFmtId="0" fontId="12" fillId="0" borderId="0" xfId="40" quotePrefix="1" applyFont="1" applyAlignment="1">
      <alignment horizontal="center" vertical="center" wrapText="1"/>
    </xf>
    <xf numFmtId="0" fontId="45" fillId="26" borderId="0" xfId="32" applyFont="1" applyFill="1" applyAlignment="1">
      <alignment vertical="center"/>
    </xf>
    <xf numFmtId="49" fontId="47" fillId="26" borderId="75" xfId="32" applyNumberFormat="1" applyFont="1" applyFill="1" applyBorder="1" applyAlignment="1">
      <alignment horizontal="center" vertical="center" wrapText="1"/>
    </xf>
    <xf numFmtId="0" fontId="47" fillId="26" borderId="22" xfId="32" applyFont="1" applyFill="1" applyBorder="1" applyAlignment="1">
      <alignment vertical="center" wrapText="1"/>
    </xf>
    <xf numFmtId="0" fontId="47" fillId="26" borderId="0" xfId="32" applyFont="1" applyFill="1" applyAlignment="1">
      <alignment vertical="center"/>
    </xf>
    <xf numFmtId="49" fontId="45" fillId="26" borderId="52" xfId="32" applyNumberFormat="1" applyFont="1" applyFill="1" applyBorder="1" applyAlignment="1">
      <alignment horizontal="center" vertical="center" wrapText="1"/>
    </xf>
    <xf numFmtId="0" fontId="45" fillId="26" borderId="23" xfId="32" applyFont="1" applyFill="1" applyBorder="1" applyAlignment="1">
      <alignment vertical="center" wrapText="1"/>
    </xf>
    <xf numFmtId="49" fontId="47" fillId="26" borderId="52" xfId="32" applyNumberFormat="1" applyFont="1" applyFill="1" applyBorder="1" applyAlignment="1">
      <alignment horizontal="center" vertical="center" wrapText="1"/>
    </xf>
    <xf numFmtId="0" fontId="47" fillId="26" borderId="23" xfId="32" applyFont="1" applyFill="1" applyBorder="1" applyAlignment="1">
      <alignment vertical="center" wrapText="1"/>
    </xf>
    <xf numFmtId="0" fontId="47" fillId="26" borderId="56" xfId="32" applyFont="1" applyFill="1" applyBorder="1" applyAlignment="1">
      <alignment horizontal="center" vertical="center"/>
    </xf>
    <xf numFmtId="0" fontId="47" fillId="26" borderId="28" xfId="32" applyFont="1" applyFill="1" applyBorder="1" applyAlignment="1">
      <alignment vertical="center" wrapText="1"/>
    </xf>
    <xf numFmtId="49" fontId="47" fillId="26" borderId="49" xfId="32" applyNumberFormat="1" applyFont="1" applyFill="1" applyBorder="1" applyAlignment="1">
      <alignment horizontal="center" vertical="center" wrapText="1"/>
    </xf>
    <xf numFmtId="0" fontId="47" fillId="26" borderId="33" xfId="32" applyFont="1" applyFill="1" applyBorder="1" applyAlignment="1">
      <alignment vertical="center" wrapText="1"/>
    </xf>
    <xf numFmtId="0" fontId="47" fillId="26" borderId="54" xfId="32" applyFont="1" applyFill="1" applyBorder="1" applyAlignment="1">
      <alignment horizontal="center" vertical="center"/>
    </xf>
    <xf numFmtId="0" fontId="47" fillId="26" borderId="37" xfId="32" applyFont="1" applyFill="1" applyBorder="1" applyAlignment="1">
      <alignment vertical="center" wrapText="1"/>
    </xf>
    <xf numFmtId="0" fontId="41" fillId="31" borderId="38" xfId="32" applyFont="1" applyFill="1" applyBorder="1" applyAlignment="1">
      <alignment horizontal="center" vertical="center"/>
    </xf>
    <xf numFmtId="0" fontId="42" fillId="27" borderId="75" xfId="32" applyFont="1" applyFill="1" applyBorder="1" applyAlignment="1">
      <alignment horizontal="center" vertical="center"/>
    </xf>
    <xf numFmtId="0" fontId="42" fillId="27" borderId="52" xfId="32" applyFont="1" applyFill="1" applyBorder="1" applyAlignment="1">
      <alignment horizontal="center" vertical="center"/>
    </xf>
    <xf numFmtId="0" fontId="42" fillId="27" borderId="49" xfId="32" applyFont="1" applyFill="1" applyBorder="1" applyAlignment="1">
      <alignment horizontal="center" vertical="center"/>
    </xf>
    <xf numFmtId="0" fontId="42" fillId="27" borderId="54" xfId="32" applyFont="1" applyFill="1" applyBorder="1" applyAlignment="1">
      <alignment horizontal="center" vertical="center"/>
    </xf>
    <xf numFmtId="0" fontId="65" fillId="23" borderId="35" xfId="52" applyFont="1" applyFill="1" applyBorder="1" applyAlignment="1">
      <alignment horizontal="left" vertical="center"/>
    </xf>
    <xf numFmtId="3" fontId="57" fillId="20" borderId="0" xfId="52" applyNumberFormat="1" applyFont="1" applyFill="1" applyAlignment="1" applyProtection="1">
      <alignment horizontal="right" vertical="center"/>
      <protection locked="0"/>
    </xf>
    <xf numFmtId="0" fontId="85" fillId="27" borderId="17" xfId="52" applyFont="1" applyFill="1" applyBorder="1" applyAlignment="1">
      <alignment vertical="center"/>
    </xf>
    <xf numFmtId="3" fontId="57" fillId="26" borderId="0" xfId="52" applyNumberFormat="1" applyFont="1" applyFill="1" applyAlignment="1" applyProtection="1">
      <alignment horizontal="right" vertical="center"/>
      <protection locked="0"/>
    </xf>
    <xf numFmtId="0" fontId="65" fillId="23" borderId="2" xfId="52" applyFont="1" applyFill="1" applyBorder="1" applyAlignment="1">
      <alignment horizontal="left" vertical="center"/>
    </xf>
    <xf numFmtId="0" fontId="57" fillId="27" borderId="51" xfId="52" applyFont="1" applyFill="1" applyBorder="1" applyAlignment="1">
      <alignment horizontal="left" vertical="center" wrapText="1"/>
    </xf>
    <xf numFmtId="0" fontId="57" fillId="27" borderId="17" xfId="52" applyFont="1" applyFill="1" applyBorder="1" applyAlignment="1">
      <alignment horizontal="left" vertical="center" wrapText="1"/>
    </xf>
    <xf numFmtId="49" fontId="57" fillId="27" borderId="17" xfId="52" applyNumberFormat="1" applyFont="1" applyFill="1" applyBorder="1" applyAlignment="1">
      <alignment vertical="center"/>
    </xf>
    <xf numFmtId="0" fontId="57" fillId="27" borderId="17" xfId="52" applyFont="1" applyFill="1" applyBorder="1" applyAlignment="1">
      <alignment horizontal="right" vertical="center"/>
    </xf>
    <xf numFmtId="0" fontId="57" fillId="27" borderId="21" xfId="52" applyFont="1" applyFill="1" applyBorder="1" applyAlignment="1">
      <alignment horizontal="right" vertical="center"/>
    </xf>
    <xf numFmtId="0" fontId="21" fillId="0" borderId="0" xfId="0" applyFont="1" applyAlignment="1">
      <alignment vertical="center"/>
    </xf>
    <xf numFmtId="0" fontId="41" fillId="0" borderId="68" xfId="0" applyFont="1" applyBorder="1" applyAlignment="1">
      <alignment horizontal="left" vertical="center"/>
    </xf>
    <xf numFmtId="0" fontId="41" fillId="27" borderId="27" xfId="0" applyFont="1" applyFill="1" applyBorder="1" applyAlignment="1">
      <alignment horizontal="center" vertical="center" wrapText="1"/>
    </xf>
    <xf numFmtId="0" fontId="41" fillId="27" borderId="25" xfId="0" applyFont="1" applyFill="1" applyBorder="1" applyAlignment="1">
      <alignment horizontal="center" vertical="center" wrapText="1"/>
    </xf>
    <xf numFmtId="0" fontId="27" fillId="26" borderId="0" xfId="0" applyFont="1" applyFill="1" applyAlignment="1">
      <alignment horizontal="center" vertical="center"/>
    </xf>
    <xf numFmtId="10" fontId="12" fillId="3" borderId="52" xfId="70" applyNumberFormat="1" applyFont="1" applyFill="1" applyBorder="1" applyAlignment="1" applyProtection="1">
      <alignment horizontal="center" vertical="center"/>
      <protection locked="0"/>
    </xf>
    <xf numFmtId="10" fontId="12" fillId="3" borderId="7" xfId="70" applyNumberFormat="1" applyFont="1" applyFill="1" applyBorder="1" applyAlignment="1" applyProtection="1">
      <alignment horizontal="center" vertical="center"/>
      <protection locked="0"/>
    </xf>
    <xf numFmtId="10" fontId="12" fillId="3" borderId="53" xfId="70" applyNumberFormat="1" applyFont="1" applyFill="1" applyBorder="1" applyAlignment="1" applyProtection="1">
      <alignment horizontal="center" vertical="center"/>
      <protection locked="0"/>
    </xf>
    <xf numFmtId="10" fontId="12" fillId="3" borderId="56" xfId="70" applyNumberFormat="1" applyFont="1" applyFill="1" applyBorder="1" applyAlignment="1" applyProtection="1">
      <alignment horizontal="center" vertical="center"/>
      <protection locked="0"/>
    </xf>
    <xf numFmtId="10" fontId="12" fillId="3" borderId="77" xfId="70" applyNumberFormat="1" applyFont="1" applyFill="1" applyBorder="1" applyAlignment="1" applyProtection="1">
      <alignment horizontal="center" vertical="center"/>
      <protection locked="0"/>
    </xf>
    <xf numFmtId="10" fontId="12" fillId="3" borderId="57" xfId="70" applyNumberFormat="1" applyFont="1" applyFill="1" applyBorder="1" applyAlignment="1" applyProtection="1">
      <alignment horizontal="center" vertical="center"/>
      <protection locked="0"/>
    </xf>
    <xf numFmtId="174" fontId="41" fillId="26" borderId="73" xfId="37" applyNumberFormat="1" applyFont="1" applyFill="1" applyBorder="1" applyProtection="1">
      <alignment horizontal="right" vertical="center" wrapText="1"/>
    </xf>
    <xf numFmtId="174" fontId="41" fillId="26" borderId="73" xfId="28" applyNumberFormat="1" applyFont="1" applyFill="1" applyBorder="1">
      <alignment horizontal="right" vertical="center" wrapText="1"/>
    </xf>
    <xf numFmtId="174" fontId="41" fillId="26" borderId="76" xfId="28" applyNumberFormat="1" applyFont="1" applyFill="1" applyBorder="1">
      <alignment horizontal="right" vertical="center" wrapText="1"/>
    </xf>
    <xf numFmtId="0" fontId="19" fillId="0" borderId="1" xfId="40" applyFont="1" applyBorder="1"/>
    <xf numFmtId="0" fontId="54" fillId="0" borderId="0" xfId="0" applyFont="1" applyAlignment="1">
      <alignment vertical="center"/>
    </xf>
    <xf numFmtId="0" fontId="41" fillId="0" borderId="7" xfId="40" applyFont="1" applyBorder="1" applyAlignment="1">
      <alignment vertical="center"/>
    </xf>
    <xf numFmtId="0" fontId="41" fillId="0" borderId="77" xfId="40" applyFont="1" applyBorder="1" applyAlignment="1">
      <alignment vertical="center"/>
    </xf>
    <xf numFmtId="0" fontId="45" fillId="0" borderId="0" xfId="40" applyFont="1"/>
    <xf numFmtId="0" fontId="40" fillId="0" borderId="73" xfId="40" applyFont="1" applyBorder="1" applyAlignment="1">
      <alignment horizontal="center" vertical="center"/>
    </xf>
    <xf numFmtId="10" fontId="40" fillId="0" borderId="73" xfId="70" applyNumberFormat="1" applyFont="1" applyBorder="1" applyAlignment="1" applyProtection="1">
      <alignment horizontal="center" vertical="center"/>
    </xf>
    <xf numFmtId="10" fontId="40" fillId="0" borderId="76" xfId="70" applyNumberFormat="1" applyFont="1" applyBorder="1" applyAlignment="1" applyProtection="1">
      <alignment horizontal="center" vertical="center"/>
    </xf>
    <xf numFmtId="10" fontId="40" fillId="26" borderId="7" xfId="59" applyNumberFormat="1" applyFont="1" applyFill="1" applyBorder="1" applyAlignment="1" applyProtection="1">
      <alignment horizontal="center" vertical="center"/>
    </xf>
    <xf numFmtId="10" fontId="47" fillId="21" borderId="7" xfId="59" applyNumberFormat="1" applyFont="1" applyFill="1" applyBorder="1" applyAlignment="1" applyProtection="1">
      <alignment horizontal="center" vertical="center"/>
    </xf>
    <xf numFmtId="10" fontId="47" fillId="21" borderId="53" xfId="59" applyNumberFormat="1" applyFont="1" applyFill="1" applyBorder="1" applyAlignment="1" applyProtection="1">
      <alignment horizontal="center" vertical="center"/>
    </xf>
    <xf numFmtId="0" fontId="12" fillId="28" borderId="79" xfId="31" applyFont="1" applyFill="1" applyBorder="1" applyAlignment="1" applyProtection="1">
      <alignment horizontal="center" vertical="center" wrapText="1"/>
      <protection locked="0"/>
    </xf>
    <xf numFmtId="3" fontId="12" fillId="28" borderId="21" xfId="31" applyNumberFormat="1" applyFont="1" applyFill="1" applyBorder="1" applyAlignment="1" applyProtection="1">
      <alignment horizontal="center" vertical="center" wrapText="1"/>
      <protection locked="0"/>
    </xf>
    <xf numFmtId="0" fontId="41" fillId="0" borderId="52" xfId="40" applyFont="1" applyBorder="1" applyAlignment="1">
      <alignment horizontal="center" vertical="center"/>
    </xf>
    <xf numFmtId="0" fontId="41" fillId="0" borderId="56" xfId="40" applyFont="1" applyBorder="1" applyAlignment="1">
      <alignment horizontal="center" vertical="center"/>
    </xf>
    <xf numFmtId="3" fontId="12" fillId="20" borderId="39" xfId="88" applyNumberFormat="1" applyFont="1" applyFill="1" applyBorder="1" applyAlignment="1">
      <alignment horizontal="center" vertical="center" wrapText="1"/>
    </xf>
    <xf numFmtId="3" fontId="12" fillId="26" borderId="32" xfId="88" applyNumberFormat="1" applyFont="1" applyFill="1" applyBorder="1" applyAlignment="1">
      <alignment horizontal="center" vertical="center" wrapText="1"/>
    </xf>
    <xf numFmtId="3" fontId="41" fillId="0" borderId="73" xfId="37" applyFont="1" applyBorder="1" applyProtection="1">
      <alignment horizontal="right" vertical="center" wrapText="1"/>
    </xf>
    <xf numFmtId="38" fontId="41" fillId="0" borderId="73" xfId="28" applyFont="1" applyFill="1" applyBorder="1">
      <alignment horizontal="right" vertical="center" wrapText="1"/>
    </xf>
    <xf numFmtId="38" fontId="41" fillId="0" borderId="76" xfId="28" applyFont="1" applyFill="1" applyBorder="1">
      <alignment horizontal="right" vertical="center" wrapText="1"/>
    </xf>
    <xf numFmtId="10" fontId="41" fillId="26" borderId="7" xfId="70" applyNumberFormat="1" applyFont="1" applyFill="1" applyBorder="1" applyAlignment="1" applyProtection="1">
      <alignment horizontal="right" vertical="center" wrapText="1"/>
    </xf>
    <xf numFmtId="10" fontId="41" fillId="26" borderId="53" xfId="70" applyNumberFormat="1" applyFont="1" applyFill="1" applyBorder="1" applyAlignment="1" applyProtection="1">
      <alignment horizontal="right" vertical="center" wrapText="1"/>
    </xf>
    <xf numFmtId="9" fontId="42" fillId="26" borderId="99" xfId="49" applyNumberFormat="1" applyFont="1" applyFill="1" applyBorder="1" applyAlignment="1">
      <alignment horizontal="center" vertical="center" wrapText="1"/>
    </xf>
    <xf numFmtId="171" fontId="41" fillId="37" borderId="56" xfId="49" applyNumberFormat="1" applyFont="1" applyFill="1" applyBorder="1" applyAlignment="1">
      <alignment horizontal="center" vertical="center" wrapText="1"/>
    </xf>
    <xf numFmtId="171" fontId="41" fillId="37" borderId="77" xfId="49" applyNumberFormat="1" applyFont="1" applyFill="1" applyBorder="1" applyAlignment="1">
      <alignment horizontal="center" vertical="center" wrapText="1"/>
    </xf>
    <xf numFmtId="171" fontId="41" fillId="37" borderId="57" xfId="49" applyNumberFormat="1" applyFont="1" applyFill="1" applyBorder="1" applyAlignment="1">
      <alignment horizontal="center" vertical="center" wrapText="1"/>
    </xf>
    <xf numFmtId="0" fontId="40" fillId="37" borderId="0" xfId="49" applyFont="1" applyFill="1" applyAlignment="1">
      <alignment horizontal="center" vertical="center" wrapText="1"/>
    </xf>
    <xf numFmtId="3" fontId="117" fillId="26" borderId="56" xfId="88" applyNumberFormat="1" applyFont="1" applyFill="1" applyBorder="1" applyAlignment="1">
      <alignment horizontal="center" vertical="center" wrapText="1"/>
    </xf>
    <xf numFmtId="3" fontId="117" fillId="26" borderId="19" xfId="88" applyNumberFormat="1" applyFont="1" applyFill="1" applyBorder="1" applyAlignment="1">
      <alignment horizontal="center" vertical="center" wrapText="1"/>
    </xf>
    <xf numFmtId="3" fontId="57" fillId="26" borderId="32" xfId="52" applyNumberFormat="1" applyFont="1" applyFill="1" applyBorder="1" applyAlignment="1">
      <alignment horizontal="center" vertical="center"/>
    </xf>
    <xf numFmtId="3" fontId="57" fillId="26" borderId="15" xfId="52" applyNumberFormat="1" applyFont="1" applyFill="1" applyBorder="1" applyAlignment="1">
      <alignment horizontal="center" vertical="center"/>
    </xf>
    <xf numFmtId="3" fontId="21" fillId="26" borderId="72" xfId="52" applyNumberFormat="1" applyFont="1" applyFill="1" applyBorder="1" applyAlignment="1">
      <alignment horizontal="center" vertical="center"/>
    </xf>
    <xf numFmtId="3" fontId="21" fillId="26" borderId="73" xfId="52" applyNumberFormat="1" applyFont="1" applyFill="1" applyBorder="1" applyAlignment="1">
      <alignment horizontal="center" vertical="center"/>
    </xf>
    <xf numFmtId="3" fontId="21" fillId="26" borderId="76" xfId="52" applyNumberFormat="1" applyFont="1" applyFill="1" applyBorder="1" applyAlignment="1">
      <alignment horizontal="center" vertical="center"/>
    </xf>
    <xf numFmtId="3" fontId="21" fillId="26" borderId="32" xfId="52" applyNumberFormat="1" applyFont="1" applyFill="1" applyBorder="1" applyAlignment="1">
      <alignment horizontal="center" vertical="center"/>
    </xf>
    <xf numFmtId="3" fontId="21" fillId="26" borderId="7" xfId="52" applyNumberFormat="1" applyFont="1" applyFill="1" applyBorder="1" applyAlignment="1">
      <alignment horizontal="center" vertical="center"/>
    </xf>
    <xf numFmtId="3" fontId="21" fillId="26" borderId="53" xfId="52" applyNumberFormat="1" applyFont="1" applyFill="1" applyBorder="1" applyAlignment="1">
      <alignment horizontal="center" vertical="center"/>
    </xf>
    <xf numFmtId="0" fontId="57" fillId="20" borderId="14" xfId="52" applyFont="1" applyFill="1" applyBorder="1" applyAlignment="1">
      <alignment horizontal="center" vertical="center" wrapText="1"/>
    </xf>
    <xf numFmtId="0" fontId="57" fillId="20" borderId="15" xfId="52" applyFont="1" applyFill="1" applyBorder="1" applyAlignment="1">
      <alignment horizontal="center" vertical="center" wrapText="1"/>
    </xf>
    <xf numFmtId="0" fontId="57" fillId="20" borderId="19" xfId="52" applyFont="1" applyFill="1" applyBorder="1" applyAlignment="1">
      <alignment horizontal="center" vertical="center" wrapText="1"/>
    </xf>
    <xf numFmtId="3" fontId="98" fillId="27" borderId="32" xfId="52" applyNumberFormat="1" applyFont="1" applyFill="1" applyBorder="1" applyAlignment="1">
      <alignment horizontal="center" vertical="center"/>
    </xf>
    <xf numFmtId="3" fontId="98" fillId="27" borderId="7" xfId="52" applyNumberFormat="1" applyFont="1" applyFill="1" applyBorder="1" applyAlignment="1">
      <alignment horizontal="center" vertical="center"/>
    </xf>
    <xf numFmtId="3" fontId="98" fillId="27" borderId="53" xfId="52" applyNumberFormat="1" applyFont="1" applyFill="1" applyBorder="1" applyAlignment="1">
      <alignment horizontal="center" vertical="center"/>
    </xf>
    <xf numFmtId="3" fontId="65" fillId="27" borderId="75" xfId="57" applyNumberFormat="1" applyFont="1" applyFill="1" applyBorder="1" applyAlignment="1">
      <alignment horizontal="center" vertical="center"/>
    </xf>
    <xf numFmtId="171" fontId="41" fillId="37" borderId="79" xfId="49" applyNumberFormat="1" applyFont="1" applyFill="1" applyBorder="1" applyAlignment="1">
      <alignment horizontal="center" vertical="center" wrapText="1"/>
    </xf>
    <xf numFmtId="171" fontId="41" fillId="37" borderId="38" xfId="49" applyNumberFormat="1" applyFont="1" applyFill="1" applyBorder="1" applyAlignment="1">
      <alignment horizontal="center" vertical="center" wrapText="1"/>
    </xf>
    <xf numFmtId="171" fontId="41" fillId="37" borderId="9" xfId="49" applyNumberFormat="1" applyFont="1" applyFill="1" applyBorder="1" applyAlignment="1">
      <alignment horizontal="center" vertical="center" wrapText="1"/>
    </xf>
    <xf numFmtId="171" fontId="41" fillId="37" borderId="65" xfId="49" applyNumberFormat="1" applyFont="1" applyFill="1" applyBorder="1" applyAlignment="1">
      <alignment horizontal="center" vertical="center" wrapText="1"/>
    </xf>
    <xf numFmtId="2" fontId="12" fillId="0" borderId="52" xfId="0" applyNumberFormat="1" applyFont="1" applyBorder="1" applyAlignment="1">
      <alignment horizontal="center" vertical="center"/>
    </xf>
    <xf numFmtId="2" fontId="12" fillId="0" borderId="7" xfId="0" applyNumberFormat="1" applyFont="1" applyBorder="1" applyAlignment="1">
      <alignment horizontal="center" vertical="center"/>
    </xf>
    <xf numFmtId="177" fontId="12" fillId="0" borderId="52" xfId="0" applyNumberFormat="1" applyFont="1" applyBorder="1" applyAlignment="1">
      <alignment horizontal="center" vertical="center"/>
    </xf>
    <xf numFmtId="177" fontId="12" fillId="0" borderId="7" xfId="0" applyNumberFormat="1" applyFont="1" applyBorder="1" applyAlignment="1">
      <alignment horizontal="center" vertical="center"/>
    </xf>
    <xf numFmtId="2" fontId="12" fillId="0" borderId="77" xfId="0" applyNumberFormat="1" applyFont="1" applyBorder="1" applyAlignment="1">
      <alignment horizontal="center" vertical="center"/>
    </xf>
    <xf numFmtId="2" fontId="12" fillId="0" borderId="73" xfId="0" applyNumberFormat="1" applyFont="1" applyBorder="1" applyAlignment="1">
      <alignment horizontal="center" vertical="center"/>
    </xf>
    <xf numFmtId="177" fontId="12" fillId="0" borderId="15" xfId="0" applyNumberFormat="1" applyFont="1" applyBorder="1" applyAlignment="1">
      <alignment horizontal="center" vertical="center"/>
    </xf>
    <xf numFmtId="2" fontId="12" fillId="0" borderId="53" xfId="0" applyNumberFormat="1" applyFont="1" applyBorder="1" applyAlignment="1">
      <alignment horizontal="center" vertical="center"/>
    </xf>
    <xf numFmtId="2" fontId="12" fillId="0" borderId="57" xfId="0" applyNumberFormat="1" applyFont="1" applyBorder="1" applyAlignment="1">
      <alignment horizontal="center" vertical="center"/>
    </xf>
    <xf numFmtId="2" fontId="12" fillId="0" borderId="75" xfId="0" applyNumberFormat="1" applyFont="1" applyBorder="1" applyAlignment="1">
      <alignment horizontal="center" vertical="center"/>
    </xf>
    <xf numFmtId="2" fontId="12" fillId="0" borderId="56" xfId="0" applyNumberFormat="1" applyFont="1" applyBorder="1" applyAlignment="1">
      <alignment horizontal="center" vertical="center"/>
    </xf>
    <xf numFmtId="168" fontId="19" fillId="27" borderId="0" xfId="49" applyNumberFormat="1" applyFont="1" applyFill="1" applyAlignment="1">
      <alignment horizontal="left" vertical="center"/>
    </xf>
    <xf numFmtId="174" fontId="96" fillId="26" borderId="0" xfId="37" applyNumberFormat="1" applyFont="1" applyFill="1" applyAlignment="1" applyProtection="1">
      <alignment horizontal="left" vertical="center" wrapText="1"/>
    </xf>
    <xf numFmtId="174" fontId="95" fillId="26" borderId="0" xfId="37" applyNumberFormat="1" applyFont="1" applyFill="1" applyAlignment="1" applyProtection="1">
      <alignment horizontal="center" vertical="center" wrapText="1"/>
    </xf>
    <xf numFmtId="172" fontId="41" fillId="0" borderId="75" xfId="0" applyNumberFormat="1" applyFont="1" applyBorder="1" applyAlignment="1">
      <alignment horizontal="center" vertical="center"/>
    </xf>
    <xf numFmtId="172" fontId="41" fillId="0" borderId="52" xfId="0" applyNumberFormat="1" applyFont="1" applyBorder="1" applyAlignment="1">
      <alignment horizontal="center" vertical="center"/>
    </xf>
    <xf numFmtId="4" fontId="41" fillId="0" borderId="52" xfId="0" applyNumberFormat="1" applyFont="1" applyBorder="1" applyAlignment="1">
      <alignment horizontal="center" vertical="center"/>
    </xf>
    <xf numFmtId="4" fontId="41" fillId="20" borderId="52" xfId="0" applyNumberFormat="1" applyFont="1" applyFill="1" applyBorder="1" applyAlignment="1">
      <alignment horizontal="center" vertical="center"/>
    </xf>
    <xf numFmtId="4" fontId="41" fillId="20" borderId="54" xfId="0" applyNumberFormat="1" applyFont="1" applyFill="1" applyBorder="1" applyAlignment="1">
      <alignment horizontal="center" vertical="center"/>
    </xf>
    <xf numFmtId="0" fontId="43" fillId="27" borderId="0" xfId="40" applyFont="1" applyFill="1" applyAlignment="1">
      <alignment horizontal="left" vertical="center"/>
    </xf>
    <xf numFmtId="171" fontId="40" fillId="37" borderId="38" xfId="0" applyNumberFormat="1" applyFont="1" applyFill="1" applyBorder="1" applyAlignment="1">
      <alignment horizontal="center" vertical="center" wrapText="1"/>
    </xf>
    <xf numFmtId="171" fontId="40" fillId="37" borderId="9" xfId="0" applyNumberFormat="1" applyFont="1" applyFill="1" applyBorder="1" applyAlignment="1">
      <alignment horizontal="center" vertical="center" wrapText="1"/>
    </xf>
    <xf numFmtId="171" fontId="40" fillId="37" borderId="10" xfId="0" applyNumberFormat="1" applyFont="1" applyFill="1" applyBorder="1" applyAlignment="1">
      <alignment horizontal="center" vertical="center" wrapText="1"/>
    </xf>
    <xf numFmtId="0" fontId="41" fillId="0" borderId="50" xfId="0" applyFont="1" applyBorder="1" applyAlignment="1">
      <alignment horizontal="right" vertical="center" wrapText="1"/>
    </xf>
    <xf numFmtId="0" fontId="41" fillId="26" borderId="53" xfId="0" applyFont="1" applyFill="1" applyBorder="1" applyAlignment="1">
      <alignment horizontal="right" vertical="center" wrapText="1"/>
    </xf>
    <xf numFmtId="0" fontId="41" fillId="27" borderId="30" xfId="0" applyFont="1" applyFill="1" applyBorder="1" applyAlignment="1">
      <alignment horizontal="center" vertical="center" wrapText="1"/>
    </xf>
    <xf numFmtId="3" fontId="41" fillId="3" borderId="66" xfId="32" applyNumberFormat="1" applyFont="1" applyFill="1" applyBorder="1" applyAlignment="1" applyProtection="1">
      <alignment horizontal="center" vertical="center"/>
      <protection locked="0"/>
    </xf>
    <xf numFmtId="3" fontId="41" fillId="3" borderId="4" xfId="32" applyNumberFormat="1" applyFont="1" applyFill="1" applyBorder="1" applyAlignment="1" applyProtection="1">
      <alignment horizontal="center" vertical="center"/>
      <protection locked="0"/>
    </xf>
    <xf numFmtId="3" fontId="41" fillId="26" borderId="5" xfId="32" applyNumberFormat="1" applyFont="1" applyFill="1" applyBorder="1" applyAlignment="1">
      <alignment horizontal="center" vertical="center"/>
    </xf>
    <xf numFmtId="49" fontId="41" fillId="0" borderId="52" xfId="0" applyNumberFormat="1" applyFont="1" applyBorder="1" applyAlignment="1">
      <alignment horizontal="center" vertical="center"/>
    </xf>
    <xf numFmtId="0" fontId="41" fillId="0" borderId="7" xfId="0" applyFont="1" applyBorder="1" applyAlignment="1">
      <alignment horizontal="center" vertical="center"/>
    </xf>
    <xf numFmtId="3" fontId="41" fillId="0" borderId="7" xfId="0" applyNumberFormat="1" applyFont="1" applyBorder="1" applyAlignment="1">
      <alignment horizontal="center" vertical="center"/>
    </xf>
    <xf numFmtId="3" fontId="41" fillId="0" borderId="53" xfId="0" applyNumberFormat="1" applyFont="1" applyBorder="1" applyAlignment="1">
      <alignment horizontal="center" vertical="center"/>
    </xf>
    <xf numFmtId="49" fontId="40" fillId="0" borderId="52" xfId="0" applyNumberFormat="1" applyFont="1" applyBorder="1" applyAlignment="1">
      <alignment horizontal="center" vertical="center"/>
    </xf>
    <xf numFmtId="0" fontId="40" fillId="0" borderId="7" xfId="0" applyFont="1" applyBorder="1" applyAlignment="1">
      <alignment horizontal="left" vertical="center" wrapText="1"/>
    </xf>
    <xf numFmtId="3" fontId="41" fillId="0" borderId="62" xfId="0" applyNumberFormat="1" applyFont="1" applyBorder="1" applyAlignment="1">
      <alignment horizontal="center" vertical="center"/>
    </xf>
    <xf numFmtId="0" fontId="40" fillId="0" borderId="7" xfId="0" applyFont="1" applyBorder="1" applyAlignment="1">
      <alignment vertical="center" wrapText="1"/>
    </xf>
    <xf numFmtId="49" fontId="41" fillId="0" borderId="56" xfId="0" applyNumberFormat="1" applyFont="1" applyBorder="1" applyAlignment="1">
      <alignment horizontal="center" vertical="center"/>
    </xf>
    <xf numFmtId="0" fontId="41" fillId="0" borderId="77" xfId="0" applyFont="1" applyBorder="1" applyAlignment="1">
      <alignment horizontal="left" vertical="center" wrapText="1"/>
    </xf>
    <xf numFmtId="0" fontId="41" fillId="0" borderId="77" xfId="0" applyFont="1" applyBorder="1" applyAlignment="1">
      <alignment horizontal="center" vertical="center"/>
    </xf>
    <xf numFmtId="3" fontId="41" fillId="0" borderId="78" xfId="0" applyNumberFormat="1" applyFont="1" applyBorder="1" applyAlignment="1">
      <alignment horizontal="center" vertical="center"/>
    </xf>
    <xf numFmtId="3" fontId="41" fillId="0" borderId="57" xfId="0" applyNumberFormat="1" applyFont="1" applyBorder="1" applyAlignment="1">
      <alignment horizontal="center" vertical="center"/>
    </xf>
    <xf numFmtId="49" fontId="40" fillId="0" borderId="49" xfId="0" applyNumberFormat="1" applyFont="1" applyBorder="1" applyAlignment="1">
      <alignment horizontal="center" vertical="center"/>
    </xf>
    <xf numFmtId="0" fontId="40" fillId="0" borderId="31" xfId="0" applyFont="1" applyBorder="1" applyAlignment="1">
      <alignment horizontal="left" vertical="center" wrapText="1"/>
    </xf>
    <xf numFmtId="0" fontId="41" fillId="0" borderId="31" xfId="0" applyFont="1" applyBorder="1" applyAlignment="1">
      <alignment horizontal="center" vertical="center"/>
    </xf>
    <xf numFmtId="3" fontId="40" fillId="0" borderId="31" xfId="0" applyNumberFormat="1" applyFont="1" applyBorder="1" applyAlignment="1">
      <alignment horizontal="center" vertical="center"/>
    </xf>
    <xf numFmtId="3" fontId="40" fillId="0" borderId="50" xfId="0" applyNumberFormat="1" applyFont="1" applyBorder="1" applyAlignment="1">
      <alignment horizontal="center" vertical="center"/>
    </xf>
    <xf numFmtId="0" fontId="40" fillId="21" borderId="38" xfId="0" quotePrefix="1" applyFont="1" applyFill="1" applyBorder="1" applyAlignment="1">
      <alignment horizontal="center" vertical="center"/>
    </xf>
    <xf numFmtId="0" fontId="40" fillId="21" borderId="9" xfId="0" applyFont="1" applyFill="1" applyBorder="1" applyAlignment="1">
      <alignment vertical="center"/>
    </xf>
    <xf numFmtId="0" fontId="40" fillId="21" borderId="9" xfId="0" applyFont="1" applyFill="1" applyBorder="1" applyAlignment="1">
      <alignment horizontal="center" vertical="center"/>
    </xf>
    <xf numFmtId="3" fontId="40" fillId="21" borderId="9" xfId="0" applyNumberFormat="1" applyFont="1" applyFill="1" applyBorder="1" applyAlignment="1">
      <alignment horizontal="center" vertical="center"/>
    </xf>
    <xf numFmtId="3" fontId="40" fillId="21" borderId="3" xfId="0" applyNumberFormat="1" applyFont="1" applyFill="1" applyBorder="1" applyAlignment="1">
      <alignment horizontal="center" vertical="center"/>
    </xf>
    <xf numFmtId="3" fontId="40" fillId="21" borderId="10" xfId="0" applyNumberFormat="1" applyFont="1" applyFill="1" applyBorder="1" applyAlignment="1">
      <alignment horizontal="center" vertical="center"/>
    </xf>
    <xf numFmtId="3" fontId="41" fillId="27" borderId="61" xfId="32" applyNumberFormat="1" applyFont="1" applyFill="1" applyBorder="1" applyAlignment="1">
      <alignment horizontal="left" vertical="center" wrapText="1"/>
    </xf>
    <xf numFmtId="3" fontId="41" fillId="27" borderId="62" xfId="32" applyNumberFormat="1" applyFont="1" applyFill="1" applyBorder="1" applyAlignment="1">
      <alignment horizontal="left" vertical="center" wrapText="1"/>
    </xf>
    <xf numFmtId="3" fontId="41" fillId="27" borderId="62" xfId="32" applyNumberFormat="1" applyFont="1" applyFill="1" applyBorder="1" applyAlignment="1">
      <alignment horizontal="left" vertical="center"/>
    </xf>
    <xf numFmtId="3" fontId="40" fillId="31" borderId="60" xfId="32" applyNumberFormat="1" applyFont="1" applyFill="1" applyBorder="1" applyAlignment="1">
      <alignment horizontal="left" vertical="center" wrapText="1"/>
    </xf>
    <xf numFmtId="3" fontId="41" fillId="31" borderId="2" xfId="32" applyNumberFormat="1" applyFont="1" applyFill="1" applyBorder="1" applyAlignment="1">
      <alignment horizontal="center" vertical="center"/>
    </xf>
    <xf numFmtId="3" fontId="42" fillId="0" borderId="74" xfId="32" applyNumberFormat="1" applyFont="1" applyBorder="1" applyAlignment="1">
      <alignment horizontal="left" vertical="center" wrapText="1"/>
    </xf>
    <xf numFmtId="3" fontId="42" fillId="26" borderId="51" xfId="32" applyNumberFormat="1" applyFont="1" applyFill="1" applyBorder="1" applyAlignment="1">
      <alignment horizontal="center" vertical="center"/>
    </xf>
    <xf numFmtId="3" fontId="42" fillId="0" borderId="62" xfId="32" applyNumberFormat="1" applyFont="1" applyBorder="1" applyAlignment="1">
      <alignment horizontal="left" vertical="center" wrapText="1"/>
    </xf>
    <xf numFmtId="3" fontId="42" fillId="26" borderId="17" xfId="32" applyNumberFormat="1" applyFont="1" applyFill="1" applyBorder="1" applyAlignment="1">
      <alignment horizontal="center" vertical="center"/>
    </xf>
    <xf numFmtId="3" fontId="41" fillId="0" borderId="62" xfId="32" applyNumberFormat="1" applyFont="1" applyBorder="1" applyAlignment="1">
      <alignment horizontal="left" vertical="center" wrapText="1"/>
    </xf>
    <xf numFmtId="3" fontId="41" fillId="27" borderId="64" xfId="32" applyNumberFormat="1" applyFont="1" applyFill="1" applyBorder="1" applyAlignment="1">
      <alignment horizontal="left" vertical="center" wrapText="1"/>
    </xf>
    <xf numFmtId="3" fontId="41" fillId="26" borderId="39" xfId="32" applyNumberFormat="1" applyFont="1" applyFill="1" applyBorder="1" applyAlignment="1">
      <alignment horizontal="center" vertical="center"/>
    </xf>
    <xf numFmtId="3" fontId="40" fillId="31" borderId="60" xfId="32" applyNumberFormat="1" applyFont="1" applyFill="1" applyBorder="1" applyAlignment="1">
      <alignment vertical="center"/>
    </xf>
    <xf numFmtId="3" fontId="42" fillId="0" borderId="61" xfId="32" applyNumberFormat="1" applyFont="1" applyBorder="1" applyAlignment="1">
      <alignment horizontal="left" vertical="center" wrapText="1"/>
    </xf>
    <xf numFmtId="3" fontId="42" fillId="0" borderId="64" xfId="32" applyNumberFormat="1" applyFont="1" applyBorder="1" applyAlignment="1">
      <alignment horizontal="left" vertical="center" wrapText="1"/>
    </xf>
    <xf numFmtId="3" fontId="42" fillId="0" borderId="76" xfId="32" applyNumberFormat="1" applyFont="1" applyBorder="1" applyAlignment="1">
      <alignment horizontal="left" vertical="center" wrapText="1"/>
    </xf>
    <xf numFmtId="3" fontId="42" fillId="0" borderId="53" xfId="32" applyNumberFormat="1" applyFont="1" applyBorder="1" applyAlignment="1">
      <alignment horizontal="left" vertical="center" wrapText="1"/>
    </xf>
    <xf numFmtId="3" fontId="41" fillId="31" borderId="1" xfId="32" applyNumberFormat="1" applyFont="1" applyFill="1" applyBorder="1" applyAlignment="1">
      <alignment horizontal="center" vertical="center"/>
    </xf>
    <xf numFmtId="3" fontId="40" fillId="31" borderId="20" xfId="32" applyNumberFormat="1" applyFont="1" applyFill="1" applyBorder="1" applyAlignment="1">
      <alignment vertical="center"/>
    </xf>
    <xf numFmtId="3" fontId="41" fillId="27" borderId="61" xfId="32" applyNumberFormat="1" applyFont="1" applyFill="1" applyBorder="1" applyAlignment="1">
      <alignment vertical="center" wrapText="1"/>
    </xf>
    <xf numFmtId="0" fontId="65" fillId="45" borderId="11" xfId="52" applyFont="1" applyFill="1" applyBorder="1" applyAlignment="1">
      <alignment horizontal="center" vertical="center" wrapText="1"/>
    </xf>
    <xf numFmtId="0" fontId="40" fillId="39" borderId="47" xfId="32" applyFont="1" applyFill="1" applyBorder="1" applyAlignment="1">
      <alignment horizontal="center" vertical="center" wrapText="1"/>
    </xf>
    <xf numFmtId="3" fontId="40" fillId="39" borderId="8" xfId="32" applyNumberFormat="1" applyFont="1" applyFill="1" applyBorder="1" applyAlignment="1">
      <alignment vertical="center" wrapText="1"/>
    </xf>
    <xf numFmtId="0" fontId="40" fillId="39" borderId="38" xfId="32" applyFont="1" applyFill="1" applyBorder="1" applyAlignment="1">
      <alignment horizontal="center" vertical="center" wrapText="1"/>
    </xf>
    <xf numFmtId="0" fontId="41" fillId="26" borderId="27" xfId="49" applyFont="1" applyFill="1" applyBorder="1" applyAlignment="1">
      <alignment horizontal="left" vertical="center" wrapText="1"/>
    </xf>
    <xf numFmtId="0" fontId="41" fillId="26" borderId="50" xfId="49" applyFont="1" applyFill="1" applyBorder="1" applyAlignment="1">
      <alignment horizontal="left" vertical="center" wrapText="1"/>
    </xf>
    <xf numFmtId="3" fontId="41" fillId="26" borderId="5" xfId="49" applyNumberFormat="1" applyFont="1" applyFill="1" applyBorder="1" applyAlignment="1">
      <alignment horizontal="center" vertical="center" wrapText="1"/>
    </xf>
    <xf numFmtId="3" fontId="41" fillId="26" borderId="22" xfId="49" applyNumberFormat="1" applyFont="1" applyFill="1" applyBorder="1" applyAlignment="1">
      <alignment horizontal="center" vertical="center" wrapText="1"/>
    </xf>
    <xf numFmtId="9" fontId="41" fillId="26" borderId="73" xfId="1" applyFont="1" applyFill="1" applyBorder="1" applyAlignment="1" applyProtection="1">
      <alignment horizontal="center" vertical="center" wrapText="1"/>
    </xf>
    <xf numFmtId="3" fontId="41" fillId="26" borderId="73" xfId="49" applyNumberFormat="1" applyFont="1" applyFill="1" applyBorder="1" applyAlignment="1">
      <alignment horizontal="center" vertical="center" wrapText="1"/>
    </xf>
    <xf numFmtId="9" fontId="41" fillId="26" borderId="74" xfId="1" applyFont="1" applyFill="1" applyBorder="1" applyAlignment="1" applyProtection="1">
      <alignment horizontal="center" vertical="center" wrapText="1"/>
    </xf>
    <xf numFmtId="3" fontId="41" fillId="26" borderId="51" xfId="1" applyNumberFormat="1" applyFont="1" applyFill="1" applyBorder="1" applyAlignment="1" applyProtection="1">
      <alignment horizontal="center" vertical="center" wrapText="1"/>
    </xf>
    <xf numFmtId="9" fontId="41" fillId="26" borderId="76" xfId="1" applyFont="1" applyFill="1" applyBorder="1" applyAlignment="1" applyProtection="1">
      <alignment horizontal="center" vertical="center" wrapText="1"/>
    </xf>
    <xf numFmtId="0" fontId="41" fillId="26" borderId="52" xfId="49" applyFont="1" applyFill="1" applyBorder="1" applyAlignment="1">
      <alignment horizontal="left" vertical="center" wrapText="1"/>
    </xf>
    <xf numFmtId="0" fontId="41" fillId="26" borderId="54" xfId="49" applyFont="1" applyFill="1" applyBorder="1" applyAlignment="1">
      <alignment horizontal="left" vertical="center" wrapText="1"/>
    </xf>
    <xf numFmtId="0" fontId="41" fillId="26" borderId="55" xfId="49" applyFont="1" applyFill="1" applyBorder="1" applyAlignment="1">
      <alignment horizontal="left" vertical="center" wrapText="1"/>
    </xf>
    <xf numFmtId="3" fontId="41" fillId="26" borderId="39" xfId="49" applyNumberFormat="1" applyFont="1" applyFill="1" applyBorder="1" applyAlignment="1">
      <alignment horizontal="center" vertical="center" wrapText="1"/>
    </xf>
    <xf numFmtId="9" fontId="41" fillId="26" borderId="78" xfId="1" applyFont="1" applyFill="1" applyBorder="1" applyAlignment="1" applyProtection="1">
      <alignment horizontal="center" vertical="center" wrapText="1"/>
    </xf>
    <xf numFmtId="9" fontId="41" fillId="26" borderId="57" xfId="1" applyFont="1" applyFill="1" applyBorder="1" applyAlignment="1" applyProtection="1">
      <alignment horizontal="center" vertical="center" wrapText="1"/>
    </xf>
    <xf numFmtId="49" fontId="21" fillId="40" borderId="1" xfId="83" applyNumberFormat="1" applyFont="1" applyFill="1" applyBorder="1" applyAlignment="1">
      <alignment vertical="center"/>
    </xf>
    <xf numFmtId="49" fontId="21" fillId="40" borderId="8" xfId="83" applyNumberFormat="1" applyFont="1" applyFill="1" applyBorder="1" applyAlignment="1">
      <alignment vertical="center" wrapText="1"/>
    </xf>
    <xf numFmtId="3" fontId="42" fillId="0" borderId="37" xfId="32" applyNumberFormat="1" applyFont="1" applyBorder="1" applyAlignment="1">
      <alignment horizontal="left" vertical="center" wrapText="1"/>
    </xf>
    <xf numFmtId="49" fontId="40" fillId="24" borderId="75" xfId="78" applyNumberFormat="1" applyFont="1" applyFill="1" applyBorder="1" applyAlignment="1">
      <alignment horizontal="center" vertical="center" wrapText="1"/>
    </xf>
    <xf numFmtId="49" fontId="41" fillId="26" borderId="52" xfId="78" applyNumberFormat="1" applyFont="1" applyFill="1" applyBorder="1" applyAlignment="1">
      <alignment horizontal="center" vertical="center" wrapText="1"/>
    </xf>
    <xf numFmtId="49" fontId="40" fillId="31" borderId="52" xfId="78" applyNumberFormat="1" applyFont="1" applyFill="1" applyBorder="1" applyAlignment="1">
      <alignment horizontal="center" vertical="center" wrapText="1"/>
    </xf>
    <xf numFmtId="49" fontId="40" fillId="24" borderId="52" xfId="78" applyNumberFormat="1" applyFont="1" applyFill="1" applyBorder="1" applyAlignment="1">
      <alignment horizontal="center" vertical="center" wrapText="1"/>
    </xf>
    <xf numFmtId="49" fontId="41" fillId="26" borderId="56" xfId="78" applyNumberFormat="1" applyFont="1" applyFill="1" applyBorder="1" applyAlignment="1">
      <alignment horizontal="center" vertical="center" wrapText="1"/>
    </xf>
    <xf numFmtId="3" fontId="141" fillId="0" borderId="66" xfId="0" applyNumberFormat="1" applyFont="1" applyBorder="1" applyAlignment="1">
      <alignment horizontal="center" vertical="center"/>
    </xf>
    <xf numFmtId="3" fontId="141" fillId="0" borderId="4" xfId="0" applyNumberFormat="1" applyFont="1" applyBorder="1" applyAlignment="1">
      <alignment horizontal="center" vertical="center"/>
    </xf>
    <xf numFmtId="3" fontId="141" fillId="0" borderId="68" xfId="0" applyNumberFormat="1" applyFont="1" applyBorder="1" applyAlignment="1">
      <alignment horizontal="center" vertical="center"/>
    </xf>
    <xf numFmtId="3" fontId="41" fillId="0" borderId="50" xfId="0" applyNumberFormat="1" applyFont="1" applyBorder="1" applyAlignment="1">
      <alignment horizontal="center" vertical="center"/>
    </xf>
    <xf numFmtId="3" fontId="41" fillId="0" borderId="49" xfId="0" applyNumberFormat="1" applyFont="1" applyBorder="1" applyAlignment="1">
      <alignment horizontal="center" vertical="center"/>
    </xf>
    <xf numFmtId="3" fontId="41" fillId="0" borderId="31" xfId="0" applyNumberFormat="1" applyFont="1" applyBorder="1" applyAlignment="1">
      <alignment horizontal="center" vertical="center"/>
    </xf>
    <xf numFmtId="3" fontId="40" fillId="26" borderId="31" xfId="0" applyNumberFormat="1" applyFont="1" applyFill="1" applyBorder="1" applyAlignment="1">
      <alignment horizontal="center" vertical="center"/>
    </xf>
    <xf numFmtId="3" fontId="40" fillId="26" borderId="50" xfId="0" applyNumberFormat="1" applyFont="1" applyFill="1" applyBorder="1" applyAlignment="1">
      <alignment horizontal="center" vertical="center"/>
    </xf>
    <xf numFmtId="3" fontId="40" fillId="26" borderId="49" xfId="0" applyNumberFormat="1" applyFont="1" applyFill="1" applyBorder="1" applyAlignment="1">
      <alignment horizontal="center" vertical="center"/>
    </xf>
    <xf numFmtId="3" fontId="41" fillId="27" borderId="56" xfId="0" applyNumberFormat="1" applyFont="1" applyFill="1" applyBorder="1" applyAlignment="1">
      <alignment horizontal="center" vertical="center"/>
    </xf>
    <xf numFmtId="3" fontId="41" fillId="27" borderId="77" xfId="0" applyNumberFormat="1" applyFont="1" applyFill="1" applyBorder="1" applyAlignment="1">
      <alignment horizontal="center" vertical="center"/>
    </xf>
    <xf numFmtId="3" fontId="41" fillId="27" borderId="57" xfId="0" applyNumberFormat="1" applyFont="1" applyFill="1" applyBorder="1" applyAlignment="1">
      <alignment horizontal="center" vertical="center"/>
    </xf>
    <xf numFmtId="173" fontId="41" fillId="27" borderId="39" xfId="70" applyNumberFormat="1" applyFont="1" applyFill="1" applyBorder="1" applyAlignment="1" applyProtection="1">
      <alignment horizontal="center" vertical="center"/>
    </xf>
    <xf numFmtId="173" fontId="40" fillId="27" borderId="39" xfId="70" applyNumberFormat="1" applyFont="1" applyFill="1" applyBorder="1" applyAlignment="1" applyProtection="1">
      <alignment horizontal="center" vertical="center"/>
    </xf>
    <xf numFmtId="173" fontId="41" fillId="27" borderId="51" xfId="70" applyNumberFormat="1" applyFont="1" applyFill="1" applyBorder="1" applyAlignment="1" applyProtection="1">
      <alignment horizontal="center" vertical="center"/>
    </xf>
    <xf numFmtId="173" fontId="40" fillId="27" borderId="51" xfId="70" applyNumberFormat="1" applyFont="1" applyFill="1" applyBorder="1" applyAlignment="1" applyProtection="1">
      <alignment horizontal="center" vertical="center"/>
    </xf>
    <xf numFmtId="3" fontId="41" fillId="0" borderId="66" xfId="0" applyNumberFormat="1" applyFont="1" applyBorder="1" applyAlignment="1">
      <alignment horizontal="center" vertical="center"/>
    </xf>
    <xf numFmtId="3" fontId="41" fillId="0" borderId="4" xfId="0" applyNumberFormat="1" applyFont="1" applyBorder="1" applyAlignment="1">
      <alignment horizontal="center" vertical="center"/>
    </xf>
    <xf numFmtId="3" fontId="41" fillId="27" borderId="4" xfId="0" applyNumberFormat="1" applyFont="1" applyFill="1" applyBorder="1" applyAlignment="1">
      <alignment horizontal="center" vertical="center"/>
    </xf>
    <xf numFmtId="3" fontId="41" fillId="27" borderId="68" xfId="0" applyNumberFormat="1" applyFont="1" applyFill="1" applyBorder="1" applyAlignment="1">
      <alignment horizontal="center" vertical="center"/>
    </xf>
    <xf numFmtId="173" fontId="41" fillId="27" borderId="34" xfId="70" applyNumberFormat="1" applyFont="1" applyFill="1" applyBorder="1" applyAlignment="1" applyProtection="1">
      <alignment horizontal="center" vertical="center"/>
    </xf>
    <xf numFmtId="173" fontId="40" fillId="27" borderId="34" xfId="70" applyNumberFormat="1" applyFont="1" applyFill="1" applyBorder="1" applyAlignment="1" applyProtection="1">
      <alignment horizontal="center" vertical="center"/>
    </xf>
    <xf numFmtId="3" fontId="41" fillId="31" borderId="75" xfId="0" applyNumberFormat="1" applyFont="1" applyFill="1" applyBorder="1" applyAlignment="1">
      <alignment horizontal="center" vertical="center"/>
    </xf>
    <xf numFmtId="3" fontId="41" fillId="31" borderId="73" xfId="0" applyNumberFormat="1" applyFont="1" applyFill="1" applyBorder="1" applyAlignment="1">
      <alignment horizontal="center" vertical="center"/>
    </xf>
    <xf numFmtId="3" fontId="41" fillId="31" borderId="76" xfId="0" applyNumberFormat="1" applyFont="1" applyFill="1" applyBorder="1" applyAlignment="1">
      <alignment horizontal="center" vertical="center"/>
    </xf>
    <xf numFmtId="173" fontId="41" fillId="31" borderId="51" xfId="70" applyNumberFormat="1" applyFont="1" applyFill="1" applyBorder="1" applyAlignment="1" applyProtection="1">
      <alignment horizontal="center" vertical="center"/>
    </xf>
    <xf numFmtId="173" fontId="40" fillId="31" borderId="51" xfId="70" applyNumberFormat="1" applyFont="1" applyFill="1" applyBorder="1" applyAlignment="1" applyProtection="1">
      <alignment horizontal="center" vertical="center"/>
    </xf>
    <xf numFmtId="173" fontId="40" fillId="26" borderId="5" xfId="70" applyNumberFormat="1" applyFont="1" applyFill="1" applyBorder="1" applyAlignment="1" applyProtection="1">
      <alignment horizontal="center" vertical="center"/>
    </xf>
    <xf numFmtId="173" fontId="41" fillId="27" borderId="5" xfId="51" applyNumberFormat="1" applyFont="1" applyFill="1" applyBorder="1" applyAlignment="1" applyProtection="1">
      <alignment horizontal="center" vertical="center"/>
    </xf>
    <xf numFmtId="173" fontId="40" fillId="27" borderId="5" xfId="51" applyNumberFormat="1" applyFont="1" applyFill="1" applyBorder="1" applyAlignment="1" applyProtection="1">
      <alignment horizontal="center" vertical="center"/>
    </xf>
    <xf numFmtId="173" fontId="41" fillId="27" borderId="17" xfId="51" applyNumberFormat="1" applyFont="1" applyFill="1" applyBorder="1" applyAlignment="1" applyProtection="1">
      <alignment horizontal="center" vertical="center"/>
    </xf>
    <xf numFmtId="173" fontId="40" fillId="27" borderId="17" xfId="51" applyNumberFormat="1" applyFont="1" applyFill="1" applyBorder="1" applyAlignment="1" applyProtection="1">
      <alignment horizontal="center" vertical="center"/>
    </xf>
    <xf numFmtId="173" fontId="41" fillId="0" borderId="5" xfId="70" applyNumberFormat="1" applyFont="1" applyFill="1" applyBorder="1" applyAlignment="1" applyProtection="1">
      <alignment horizontal="center" vertical="center"/>
    </xf>
    <xf numFmtId="173" fontId="40" fillId="0" borderId="5" xfId="70" applyNumberFormat="1" applyFont="1" applyFill="1" applyBorder="1" applyAlignment="1" applyProtection="1">
      <alignment horizontal="center" vertical="center"/>
    </xf>
    <xf numFmtId="173" fontId="41" fillId="27" borderId="21" xfId="70" applyNumberFormat="1" applyFont="1" applyFill="1" applyBorder="1" applyAlignment="1" applyProtection="1">
      <alignment horizontal="center" vertical="center"/>
    </xf>
    <xf numFmtId="173" fontId="40" fillId="27" borderId="21" xfId="70" applyNumberFormat="1" applyFont="1" applyFill="1" applyBorder="1" applyAlignment="1" applyProtection="1">
      <alignment horizontal="center" vertical="center"/>
    </xf>
    <xf numFmtId="173" fontId="41" fillId="0" borderId="17" xfId="70" applyNumberFormat="1" applyFont="1" applyFill="1" applyBorder="1" applyAlignment="1" applyProtection="1">
      <alignment horizontal="center" vertical="center"/>
    </xf>
    <xf numFmtId="173" fontId="40" fillId="0" borderId="17" xfId="70" applyNumberFormat="1" applyFont="1" applyFill="1" applyBorder="1" applyAlignment="1" applyProtection="1">
      <alignment horizontal="center" vertical="center"/>
    </xf>
    <xf numFmtId="4" fontId="40" fillId="26" borderId="49" xfId="0" applyNumberFormat="1" applyFont="1" applyFill="1" applyBorder="1" applyAlignment="1">
      <alignment horizontal="center" vertical="center"/>
    </xf>
    <xf numFmtId="4" fontId="40" fillId="26" borderId="31" xfId="0" applyNumberFormat="1" applyFont="1" applyFill="1" applyBorder="1" applyAlignment="1">
      <alignment horizontal="center" vertical="center"/>
    </xf>
    <xf numFmtId="4" fontId="40" fillId="26" borderId="50" xfId="0" applyNumberFormat="1" applyFont="1" applyFill="1" applyBorder="1" applyAlignment="1">
      <alignment horizontal="center" vertical="center"/>
    </xf>
    <xf numFmtId="4" fontId="95" fillId="26" borderId="130" xfId="0" applyNumberFormat="1" applyFont="1" applyFill="1" applyBorder="1" applyAlignment="1">
      <alignment horizontal="center" vertical="center"/>
    </xf>
    <xf numFmtId="4" fontId="105" fillId="26" borderId="130" xfId="0" applyNumberFormat="1" applyFont="1" applyFill="1" applyBorder="1" applyAlignment="1">
      <alignment horizontal="center" vertical="center"/>
    </xf>
    <xf numFmtId="4" fontId="41" fillId="0" borderId="99" xfId="0" applyNumberFormat="1" applyFont="1" applyBorder="1" applyAlignment="1">
      <alignment horizontal="center" vertical="center"/>
    </xf>
    <xf numFmtId="10" fontId="41" fillId="0" borderId="31" xfId="70" applyNumberFormat="1" applyFont="1" applyFill="1" applyBorder="1" applyAlignment="1" applyProtection="1">
      <alignment horizontal="center" vertical="center"/>
    </xf>
    <xf numFmtId="4" fontId="41" fillId="0" borderId="134" xfId="0" applyNumberFormat="1" applyFont="1" applyBorder="1" applyAlignment="1">
      <alignment horizontal="center" vertical="center"/>
    </xf>
    <xf numFmtId="10" fontId="41" fillId="0" borderId="4" xfId="70" applyNumberFormat="1" applyFont="1" applyFill="1" applyBorder="1" applyAlignment="1" applyProtection="1">
      <alignment horizontal="center" vertical="center"/>
    </xf>
    <xf numFmtId="4" fontId="95" fillId="26" borderId="92" xfId="0" applyNumberFormat="1" applyFont="1" applyFill="1" applyBorder="1" applyAlignment="1">
      <alignment horizontal="center" vertical="center"/>
    </xf>
    <xf numFmtId="4" fontId="105" fillId="26" borderId="92" xfId="0" applyNumberFormat="1" applyFont="1" applyFill="1" applyBorder="1" applyAlignment="1">
      <alignment horizontal="center" vertical="center"/>
    </xf>
    <xf numFmtId="4" fontId="40" fillId="26" borderId="73" xfId="0" applyNumberFormat="1" applyFont="1" applyFill="1" applyBorder="1" applyAlignment="1">
      <alignment horizontal="center" vertical="center"/>
    </xf>
    <xf numFmtId="4" fontId="40" fillId="26" borderId="76" xfId="0" applyNumberFormat="1" applyFont="1" applyFill="1" applyBorder="1" applyAlignment="1">
      <alignment horizontal="center" vertical="center"/>
    </xf>
    <xf numFmtId="4" fontId="40" fillId="26" borderId="7" xfId="0" applyNumberFormat="1" applyFont="1" applyFill="1" applyBorder="1" applyAlignment="1">
      <alignment horizontal="center" vertical="center"/>
    </xf>
    <xf numFmtId="4" fontId="40" fillId="26" borderId="53" xfId="0" applyNumberFormat="1" applyFont="1" applyFill="1" applyBorder="1" applyAlignment="1">
      <alignment horizontal="center" vertical="center"/>
    </xf>
    <xf numFmtId="4" fontId="40" fillId="26" borderId="77" xfId="0" applyNumberFormat="1" applyFont="1" applyFill="1" applyBorder="1" applyAlignment="1">
      <alignment horizontal="center" vertical="center"/>
    </xf>
    <xf numFmtId="4" fontId="40" fillId="26" borderId="57" xfId="0" applyNumberFormat="1" applyFont="1" applyFill="1" applyBorder="1" applyAlignment="1">
      <alignment horizontal="center" vertical="center"/>
    </xf>
    <xf numFmtId="9" fontId="40" fillId="27" borderId="49" xfId="51" applyFont="1" applyFill="1" applyBorder="1" applyAlignment="1" applyProtection="1">
      <alignment horizontal="center" vertical="center"/>
    </xf>
    <xf numFmtId="9" fontId="40" fillId="27" borderId="31" xfId="51" applyFont="1" applyFill="1" applyBorder="1" applyAlignment="1" applyProtection="1">
      <alignment horizontal="center" vertical="center"/>
    </xf>
    <xf numFmtId="9" fontId="40" fillId="27" borderId="50" xfId="51" applyFont="1" applyFill="1" applyBorder="1" applyAlignment="1" applyProtection="1">
      <alignment horizontal="center" vertical="center"/>
    </xf>
    <xf numFmtId="9" fontId="40" fillId="26" borderId="56" xfId="51" applyFont="1" applyFill="1" applyBorder="1" applyAlignment="1" applyProtection="1">
      <alignment horizontal="center" vertical="center"/>
    </xf>
    <xf numFmtId="9" fontId="40" fillId="26" borderId="77" xfId="51" applyFont="1" applyFill="1" applyBorder="1" applyAlignment="1" applyProtection="1">
      <alignment horizontal="center" vertical="center"/>
    </xf>
    <xf numFmtId="9" fontId="40" fillId="26" borderId="57" xfId="51" applyFont="1" applyFill="1" applyBorder="1" applyAlignment="1" applyProtection="1">
      <alignment horizontal="center" vertical="center"/>
    </xf>
    <xf numFmtId="4" fontId="41" fillId="26" borderId="47" xfId="0" applyNumberFormat="1" applyFont="1" applyFill="1" applyBorder="1" applyAlignment="1">
      <alignment horizontal="center" vertical="center"/>
    </xf>
    <xf numFmtId="4" fontId="41" fillId="26" borderId="71" xfId="0" applyNumberFormat="1" applyFont="1" applyFill="1" applyBorder="1" applyAlignment="1">
      <alignment horizontal="center" vertical="center"/>
    </xf>
    <xf numFmtId="4" fontId="41" fillId="26" borderId="48" xfId="0" applyNumberFormat="1" applyFont="1" applyFill="1" applyBorder="1" applyAlignment="1">
      <alignment horizontal="center" vertical="center"/>
    </xf>
    <xf numFmtId="0" fontId="40" fillId="37" borderId="40" xfId="49" applyFont="1" applyFill="1" applyBorder="1" applyAlignment="1">
      <alignment horizontal="center" vertical="center" wrapText="1"/>
    </xf>
    <xf numFmtId="0" fontId="40" fillId="37" borderId="11" xfId="49" applyFont="1" applyFill="1" applyBorder="1" applyAlignment="1">
      <alignment horizontal="center" vertical="center" wrapText="1"/>
    </xf>
    <xf numFmtId="0" fontId="40" fillId="37" borderId="41" xfId="49" applyFont="1" applyFill="1" applyBorder="1" applyAlignment="1">
      <alignment horizontal="center" vertical="center" wrapText="1"/>
    </xf>
    <xf numFmtId="0" fontId="40" fillId="37" borderId="27" xfId="49" applyFont="1" applyFill="1" applyBorder="1" applyAlignment="1">
      <alignment horizontal="center" vertical="center" wrapText="1"/>
    </xf>
    <xf numFmtId="0" fontId="40" fillId="37" borderId="16" xfId="49" applyFont="1" applyFill="1" applyBorder="1" applyAlignment="1">
      <alignment horizontal="center" vertical="center" wrapText="1"/>
    </xf>
    <xf numFmtId="0" fontId="70" fillId="0" borderId="0" xfId="32" applyFont="1"/>
    <xf numFmtId="0" fontId="69" fillId="37" borderId="30" xfId="32" applyFont="1" applyFill="1" applyBorder="1" applyAlignment="1">
      <alignment horizontal="center" vertical="center"/>
    </xf>
    <xf numFmtId="49" fontId="69" fillId="0" borderId="5" xfId="32" applyNumberFormat="1" applyFont="1" applyBorder="1" applyAlignment="1">
      <alignment horizontal="left" vertical="center"/>
    </xf>
    <xf numFmtId="0" fontId="69" fillId="0" borderId="29" xfId="32" applyFont="1" applyBorder="1" applyAlignment="1">
      <alignment horizontal="right" vertical="center"/>
    </xf>
    <xf numFmtId="49" fontId="70" fillId="0" borderId="17" xfId="32" applyNumberFormat="1" applyFont="1" applyBorder="1" applyAlignment="1">
      <alignment horizontal="left" vertical="center"/>
    </xf>
    <xf numFmtId="0" fontId="70" fillId="0" borderId="24" xfId="32" applyFont="1" applyBorder="1" applyAlignment="1">
      <alignment horizontal="right" vertical="center"/>
    </xf>
    <xf numFmtId="49" fontId="69" fillId="0" borderId="39" xfId="32" applyNumberFormat="1" applyFont="1" applyBorder="1" applyAlignment="1">
      <alignment horizontal="left" vertical="center"/>
    </xf>
    <xf numFmtId="0" fontId="69" fillId="0" borderId="36" xfId="32" applyFont="1" applyBorder="1" applyAlignment="1">
      <alignment horizontal="right" vertical="center"/>
    </xf>
    <xf numFmtId="0" fontId="69" fillId="0" borderId="25" xfId="32" applyFont="1" applyBorder="1" applyAlignment="1">
      <alignment horizontal="right" vertical="center"/>
    </xf>
    <xf numFmtId="49" fontId="20" fillId="27" borderId="2" xfId="0" applyNumberFormat="1" applyFont="1" applyFill="1" applyBorder="1" applyAlignment="1">
      <alignment horizontal="left" vertical="center"/>
    </xf>
    <xf numFmtId="0" fontId="20" fillId="27" borderId="1" xfId="0" applyFont="1" applyFill="1" applyBorder="1" applyAlignment="1">
      <alignment horizontal="right" vertical="center"/>
    </xf>
    <xf numFmtId="49" fontId="34" fillId="27" borderId="1" xfId="0" applyNumberFormat="1" applyFont="1" applyFill="1" applyBorder="1" applyAlignment="1">
      <alignment horizontal="left" vertical="center"/>
    </xf>
    <xf numFmtId="49" fontId="34" fillId="27" borderId="3" xfId="0" applyNumberFormat="1" applyFont="1" applyFill="1" applyBorder="1" applyAlignment="1">
      <alignment horizontal="left" vertical="center"/>
    </xf>
    <xf numFmtId="0" fontId="32" fillId="27" borderId="24" xfId="0" applyFont="1" applyFill="1" applyBorder="1" applyAlignment="1">
      <alignment horizontal="right"/>
    </xf>
    <xf numFmtId="0" fontId="34" fillId="27" borderId="24" xfId="0" applyFont="1" applyFill="1" applyBorder="1" applyAlignment="1">
      <alignment horizontal="right"/>
    </xf>
    <xf numFmtId="49" fontId="34" fillId="27" borderId="21" xfId="0" applyNumberFormat="1" applyFont="1" applyFill="1" applyBorder="1" applyAlignment="1">
      <alignment horizontal="left" vertical="center"/>
    </xf>
    <xf numFmtId="0" fontId="34" fillId="27" borderId="30" xfId="0" applyFont="1" applyFill="1" applyBorder="1" applyAlignment="1">
      <alignment horizontal="right"/>
    </xf>
    <xf numFmtId="49" fontId="69" fillId="0" borderId="17" xfId="32" applyNumberFormat="1" applyFont="1" applyBorder="1" applyAlignment="1">
      <alignment horizontal="left" vertical="center"/>
    </xf>
    <xf numFmtId="0" fontId="69" fillId="0" borderId="51" xfId="32" applyFont="1" applyBorder="1" applyAlignment="1">
      <alignment horizontal="right" vertical="center"/>
    </xf>
    <xf numFmtId="0" fontId="86" fillId="0" borderId="23" xfId="2" applyNumberFormat="1" applyFont="1" applyFill="1" applyBorder="1" applyAlignment="1" applyProtection="1">
      <alignment horizontal="left" vertical="center" wrapText="1"/>
    </xf>
    <xf numFmtId="14" fontId="69" fillId="0" borderId="0" xfId="32" applyNumberFormat="1" applyFont="1"/>
    <xf numFmtId="0" fontId="69" fillId="0" borderId="0" xfId="32" applyFont="1" applyAlignment="1">
      <alignment horizontal="right"/>
    </xf>
    <xf numFmtId="0" fontId="72" fillId="0" borderId="0" xfId="32" applyFont="1" applyAlignment="1">
      <alignment horizontal="center"/>
    </xf>
    <xf numFmtId="49" fontId="70" fillId="0" borderId="0" xfId="32" applyNumberFormat="1" applyFont="1"/>
    <xf numFmtId="0" fontId="72" fillId="0" borderId="0" xfId="31" applyFont="1"/>
    <xf numFmtId="0" fontId="41" fillId="0" borderId="0" xfId="0" applyFont="1"/>
    <xf numFmtId="0" fontId="43" fillId="0" borderId="0" xfId="0" applyFont="1"/>
    <xf numFmtId="0" fontId="48" fillId="0" borderId="0" xfId="0" applyFont="1"/>
    <xf numFmtId="0" fontId="40" fillId="0" borderId="0" xfId="0" applyFont="1"/>
    <xf numFmtId="0" fontId="13" fillId="27" borderId="0" xfId="0" applyFont="1" applyFill="1" applyAlignment="1">
      <alignment horizontal="right"/>
    </xf>
    <xf numFmtId="0" fontId="20" fillId="37" borderId="30" xfId="0" applyFont="1" applyFill="1" applyBorder="1" applyAlignment="1">
      <alignment horizontal="center" vertical="center"/>
    </xf>
    <xf numFmtId="49" fontId="20" fillId="27" borderId="2" xfId="0" applyNumberFormat="1" applyFont="1" applyFill="1" applyBorder="1" applyAlignment="1">
      <alignment horizontal="center" vertical="center"/>
    </xf>
    <xf numFmtId="0" fontId="21" fillId="27" borderId="1" xfId="0" applyFont="1" applyFill="1" applyBorder="1" applyAlignment="1">
      <alignment horizontal="left" vertical="center"/>
    </xf>
    <xf numFmtId="49" fontId="34" fillId="27" borderId="5" xfId="0" applyNumberFormat="1" applyFont="1" applyFill="1" applyBorder="1" applyAlignment="1">
      <alignment horizontal="center" vertical="center"/>
    </xf>
    <xf numFmtId="0" fontId="12" fillId="27" borderId="29" xfId="0" applyFont="1" applyFill="1" applyBorder="1" applyAlignment="1">
      <alignment horizontal="right" vertical="center"/>
    </xf>
    <xf numFmtId="0" fontId="12" fillId="27" borderId="24" xfId="0" applyFont="1" applyFill="1" applyBorder="1" applyAlignment="1">
      <alignment horizontal="right" vertical="center"/>
    </xf>
    <xf numFmtId="49" fontId="34" fillId="27" borderId="17" xfId="0" applyNumberFormat="1" applyFont="1" applyFill="1" applyBorder="1" applyAlignment="1">
      <alignment horizontal="center" vertical="center"/>
    </xf>
    <xf numFmtId="49" fontId="34" fillId="27" borderId="39" xfId="0" applyNumberFormat="1" applyFont="1" applyFill="1" applyBorder="1" applyAlignment="1">
      <alignment horizontal="center" vertical="center"/>
    </xf>
    <xf numFmtId="0" fontId="12" fillId="27" borderId="30" xfId="0" applyFont="1" applyFill="1" applyBorder="1" applyAlignment="1">
      <alignment horizontal="right" vertical="center"/>
    </xf>
    <xf numFmtId="49" fontId="20" fillId="27" borderId="2" xfId="31" applyNumberFormat="1" applyFont="1" applyFill="1" applyBorder="1" applyAlignment="1">
      <alignment horizontal="center" vertical="center"/>
    </xf>
    <xf numFmtId="0" fontId="21" fillId="27" borderId="1" xfId="31" applyFont="1" applyFill="1" applyBorder="1" applyAlignment="1">
      <alignment horizontal="left" vertical="center"/>
    </xf>
    <xf numFmtId="49" fontId="34" fillId="27" borderId="17" xfId="31" applyNumberFormat="1" applyFont="1" applyFill="1" applyBorder="1" applyAlignment="1">
      <alignment horizontal="center" vertical="center"/>
    </xf>
    <xf numFmtId="0" fontId="12" fillId="27" borderId="24" xfId="31" applyFont="1" applyFill="1" applyBorder="1" applyAlignment="1">
      <alignment horizontal="right" vertical="center" wrapText="1"/>
    </xf>
    <xf numFmtId="0" fontId="12" fillId="27" borderId="24" xfId="31" applyFont="1" applyFill="1" applyBorder="1" applyAlignment="1">
      <alignment horizontal="right" vertical="center"/>
    </xf>
    <xf numFmtId="49" fontId="20" fillId="27" borderId="26" xfId="31" applyNumberFormat="1" applyFont="1" applyFill="1" applyBorder="1" applyAlignment="1">
      <alignment horizontal="center" vertical="center"/>
    </xf>
    <xf numFmtId="0" fontId="12" fillId="0" borderId="24" xfId="31" applyFont="1" applyBorder="1" applyAlignment="1">
      <alignment horizontal="right" vertical="center" wrapText="1"/>
    </xf>
    <xf numFmtId="49" fontId="20" fillId="27" borderId="34" xfId="31" applyNumberFormat="1" applyFont="1" applyFill="1" applyBorder="1" applyAlignment="1">
      <alignment horizontal="center" vertical="center"/>
    </xf>
    <xf numFmtId="0" fontId="12" fillId="0" borderId="21" xfId="31" applyFont="1" applyBorder="1" applyAlignment="1">
      <alignment horizontal="right" vertical="center" wrapText="1"/>
    </xf>
    <xf numFmtId="14" fontId="40" fillId="27" borderId="0" xfId="0" applyNumberFormat="1" applyFont="1" applyFill="1" applyAlignment="1">
      <alignment horizontal="left" vertical="center" indent="1"/>
    </xf>
    <xf numFmtId="0" fontId="40" fillId="27" borderId="0" xfId="0" applyFont="1" applyFill="1" applyAlignment="1">
      <alignment horizontal="right"/>
    </xf>
    <xf numFmtId="0" fontId="41" fillId="27" borderId="0" xfId="0" applyFont="1" applyFill="1" applyAlignment="1">
      <alignment horizontal="center"/>
    </xf>
    <xf numFmtId="0" fontId="42" fillId="27" borderId="0" xfId="0" applyFont="1" applyFill="1" applyAlignment="1">
      <alignment horizontal="center"/>
    </xf>
    <xf numFmtId="49" fontId="41" fillId="27" borderId="0" xfId="0" applyNumberFormat="1" applyFont="1" applyFill="1" applyAlignment="1">
      <alignment horizontal="center"/>
    </xf>
    <xf numFmtId="0" fontId="70" fillId="27" borderId="0" xfId="32" applyFont="1" applyFill="1"/>
    <xf numFmtId="0" fontId="48" fillId="27" borderId="0" xfId="0" applyFont="1" applyFill="1"/>
    <xf numFmtId="49" fontId="41" fillId="27" borderId="0" xfId="0" applyNumberFormat="1" applyFont="1" applyFill="1" applyAlignment="1">
      <alignment horizontal="right"/>
    </xf>
    <xf numFmtId="49" fontId="70" fillId="27" borderId="0" xfId="32" applyNumberFormat="1" applyFont="1" applyFill="1"/>
    <xf numFmtId="0" fontId="41" fillId="27" borderId="0" xfId="0" applyFont="1" applyFill="1"/>
    <xf numFmtId="49" fontId="12" fillId="27" borderId="0" xfId="0" applyNumberFormat="1" applyFont="1" applyFill="1"/>
    <xf numFmtId="0" fontId="13" fillId="0" borderId="0" xfId="0" applyFont="1" applyAlignment="1">
      <alignment horizontal="center" vertical="center"/>
    </xf>
    <xf numFmtId="0" fontId="41" fillId="0" borderId="0" xfId="0" applyFont="1" applyAlignment="1">
      <alignment horizontal="center" vertical="center"/>
    </xf>
    <xf numFmtId="0" fontId="12" fillId="0" borderId="76" xfId="0" applyFont="1" applyBorder="1" applyAlignment="1">
      <alignment vertical="center" wrapText="1"/>
    </xf>
    <xf numFmtId="3" fontId="12" fillId="26" borderId="75" xfId="0" applyNumberFormat="1" applyFont="1" applyFill="1" applyBorder="1" applyAlignment="1">
      <alignment horizontal="center" vertical="center" wrapText="1"/>
    </xf>
    <xf numFmtId="0" fontId="12" fillId="0" borderId="53" xfId="0" applyFont="1" applyBorder="1" applyAlignment="1">
      <alignment vertical="center" wrapText="1"/>
    </xf>
    <xf numFmtId="3" fontId="12" fillId="26" borderId="52" xfId="0" applyNumberFormat="1" applyFont="1" applyFill="1" applyBorder="1" applyAlignment="1">
      <alignment horizontal="center" vertical="center" wrapText="1"/>
    </xf>
    <xf numFmtId="3" fontId="12" fillId="26" borderId="7" xfId="0" applyNumberFormat="1" applyFont="1" applyFill="1" applyBorder="1" applyAlignment="1">
      <alignment horizontal="center" vertical="center" wrapText="1"/>
    </xf>
    <xf numFmtId="3" fontId="12" fillId="26" borderId="53" xfId="0" applyNumberFormat="1" applyFont="1" applyFill="1" applyBorder="1" applyAlignment="1">
      <alignment horizontal="center" vertical="center" wrapText="1"/>
    </xf>
    <xf numFmtId="0" fontId="12" fillId="0" borderId="57" xfId="0" applyFont="1" applyBorder="1" applyAlignment="1">
      <alignment vertical="center" wrapText="1"/>
    </xf>
    <xf numFmtId="3" fontId="12" fillId="26" borderId="56" xfId="0" applyNumberFormat="1" applyFont="1" applyFill="1" applyBorder="1" applyAlignment="1">
      <alignment horizontal="center" vertical="center" wrapText="1"/>
    </xf>
    <xf numFmtId="0" fontId="12" fillId="0" borderId="32" xfId="0" applyFont="1" applyBorder="1" applyAlignment="1">
      <alignment vertical="center" wrapText="1"/>
    </xf>
    <xf numFmtId="0" fontId="12" fillId="0" borderId="79" xfId="0" applyFont="1" applyBorder="1" applyAlignment="1">
      <alignment vertical="center" wrapText="1"/>
    </xf>
    <xf numFmtId="0" fontId="12" fillId="0" borderId="72" xfId="0" applyFont="1" applyBorder="1" applyAlignment="1">
      <alignment vertical="center" wrapText="1"/>
    </xf>
    <xf numFmtId="0" fontId="12" fillId="0" borderId="44" xfId="0" applyFont="1" applyBorder="1" applyAlignment="1">
      <alignment vertical="center" wrapText="1"/>
    </xf>
    <xf numFmtId="0" fontId="12" fillId="0" borderId="50" xfId="0" applyFont="1" applyBorder="1" applyAlignment="1">
      <alignment vertical="center" wrapText="1"/>
    </xf>
    <xf numFmtId="0" fontId="12" fillId="0" borderId="53" xfId="0" applyFont="1" applyBorder="1" applyAlignment="1">
      <alignment horizontal="justify" vertical="center" wrapText="1"/>
    </xf>
    <xf numFmtId="0" fontId="67" fillId="0" borderId="72" xfId="0" applyFont="1" applyBorder="1" applyAlignment="1">
      <alignment vertical="center" wrapText="1"/>
    </xf>
    <xf numFmtId="0" fontId="67" fillId="0" borderId="76" xfId="0" applyFont="1" applyBorder="1" applyAlignment="1">
      <alignment vertical="center" wrapText="1"/>
    </xf>
    <xf numFmtId="3" fontId="21" fillId="0" borderId="29" xfId="0" applyNumberFormat="1" applyFont="1" applyBorder="1" applyAlignment="1">
      <alignment horizontal="center" vertical="center" wrapText="1"/>
    </xf>
    <xf numFmtId="3" fontId="21" fillId="0" borderId="22" xfId="0" applyNumberFormat="1" applyFont="1" applyBorder="1" applyAlignment="1">
      <alignment horizontal="center" vertical="center" wrapText="1"/>
    </xf>
    <xf numFmtId="3" fontId="21" fillId="0" borderId="74" xfId="0" applyNumberFormat="1" applyFont="1" applyBorder="1" applyAlignment="1">
      <alignment horizontal="center" vertical="center" wrapText="1"/>
    </xf>
    <xf numFmtId="0" fontId="67" fillId="0" borderId="32" xfId="0" applyFont="1" applyBorder="1" applyAlignment="1">
      <alignment vertical="center" wrapText="1"/>
    </xf>
    <xf numFmtId="0" fontId="67" fillId="0" borderId="53" xfId="0" applyFont="1" applyBorder="1" applyAlignment="1">
      <alignment vertical="center" wrapText="1"/>
    </xf>
    <xf numFmtId="3" fontId="21" fillId="0" borderId="24" xfId="0" applyNumberFormat="1" applyFont="1" applyBorder="1" applyAlignment="1">
      <alignment horizontal="center" vertical="center" wrapText="1"/>
    </xf>
    <xf numFmtId="3" fontId="21" fillId="0" borderId="62" xfId="0" applyNumberFormat="1" applyFont="1" applyBorder="1" applyAlignment="1">
      <alignment horizontal="center" vertical="center" wrapText="1"/>
    </xf>
    <xf numFmtId="3" fontId="21" fillId="0" borderId="14" xfId="0" applyNumberFormat="1" applyFont="1" applyBorder="1" applyAlignment="1">
      <alignment horizontal="center" vertical="center" wrapText="1"/>
    </xf>
    <xf numFmtId="3" fontId="12" fillId="26" borderId="24" xfId="0" applyNumberFormat="1" applyFont="1" applyFill="1" applyBorder="1" applyAlignment="1">
      <alignment horizontal="center" vertical="center" wrapText="1"/>
    </xf>
    <xf numFmtId="3" fontId="12" fillId="26" borderId="62" xfId="0" applyNumberFormat="1" applyFont="1" applyFill="1" applyBorder="1" applyAlignment="1">
      <alignment horizontal="center" vertical="center" wrapText="1"/>
    </xf>
    <xf numFmtId="0" fontId="12" fillId="0" borderId="69" xfId="0" applyFont="1" applyBorder="1" applyAlignment="1">
      <alignment vertical="center" wrapText="1"/>
    </xf>
    <xf numFmtId="0" fontId="12" fillId="0" borderId="55" xfId="0" applyFont="1" applyBorder="1" applyAlignment="1">
      <alignment vertical="center" wrapText="1"/>
    </xf>
    <xf numFmtId="0" fontId="12" fillId="0" borderId="75" xfId="0" applyFont="1" applyBorder="1" applyAlignment="1">
      <alignment vertical="center" wrapText="1"/>
    </xf>
    <xf numFmtId="0" fontId="12" fillId="0" borderId="52" xfId="0" applyFont="1" applyBorder="1" applyAlignment="1">
      <alignment vertical="center" wrapText="1"/>
    </xf>
    <xf numFmtId="0" fontId="21" fillId="0" borderId="52" xfId="0" applyFont="1" applyBorder="1" applyAlignment="1">
      <alignment vertical="center" wrapText="1"/>
    </xf>
    <xf numFmtId="0" fontId="21" fillId="0" borderId="53" xfId="0" applyFont="1" applyBorder="1" applyAlignment="1">
      <alignment vertical="center" wrapText="1"/>
    </xf>
    <xf numFmtId="0" fontId="12" fillId="26" borderId="7" xfId="0" applyFont="1" applyFill="1" applyBorder="1" applyAlignment="1">
      <alignment horizontal="center" vertical="center" wrapText="1"/>
    </xf>
    <xf numFmtId="0" fontId="12" fillId="26" borderId="62" xfId="0" applyFont="1" applyFill="1" applyBorder="1" applyAlignment="1">
      <alignment horizontal="center" vertical="center" wrapText="1"/>
    </xf>
    <xf numFmtId="0" fontId="12" fillId="26" borderId="52" xfId="0" applyFont="1" applyFill="1" applyBorder="1" applyAlignment="1">
      <alignment horizontal="center" vertical="center" wrapText="1"/>
    </xf>
    <xf numFmtId="0" fontId="12" fillId="26" borderId="53" xfId="0" applyFont="1" applyFill="1" applyBorder="1" applyAlignment="1">
      <alignment horizontal="center" vertical="center" wrapText="1"/>
    </xf>
    <xf numFmtId="0" fontId="12" fillId="0" borderId="56" xfId="0" applyFont="1" applyBorder="1" applyAlignment="1">
      <alignment vertical="center" wrapText="1"/>
    </xf>
    <xf numFmtId="0" fontId="12" fillId="26" borderId="53" xfId="0" applyFont="1" applyFill="1" applyBorder="1" applyAlignment="1">
      <alignment vertical="center" wrapText="1"/>
    </xf>
    <xf numFmtId="0" fontId="101" fillId="0" borderId="32" xfId="0" applyFont="1" applyBorder="1" applyAlignment="1">
      <alignment vertical="center" wrapText="1"/>
    </xf>
    <xf numFmtId="0" fontId="101" fillId="0" borderId="53" xfId="0" applyFont="1" applyBorder="1" applyAlignment="1">
      <alignment vertical="center" wrapText="1"/>
    </xf>
    <xf numFmtId="0" fontId="12" fillId="0" borderId="15" xfId="0" applyFont="1" applyBorder="1" applyAlignment="1">
      <alignment vertical="center" wrapText="1"/>
    </xf>
    <xf numFmtId="0" fontId="43" fillId="0" borderId="79" xfId="0" applyFont="1" applyBorder="1" applyAlignment="1">
      <alignment vertical="center" wrapText="1"/>
    </xf>
    <xf numFmtId="0" fontId="43" fillId="0" borderId="57" xfId="0" applyFont="1" applyBorder="1" applyAlignment="1">
      <alignment vertical="center" wrapText="1"/>
    </xf>
    <xf numFmtId="0" fontId="34" fillId="0" borderId="40" xfId="31" applyFont="1" applyBorder="1" applyAlignment="1">
      <alignment horizontal="center" vertical="center" wrapText="1"/>
    </xf>
    <xf numFmtId="0" fontId="12" fillId="0" borderId="51" xfId="31" applyFont="1" applyBorder="1" applyAlignment="1">
      <alignment vertical="center" wrapText="1"/>
    </xf>
    <xf numFmtId="0" fontId="12" fillId="0" borderId="76" xfId="31" applyFont="1" applyBorder="1" applyAlignment="1">
      <alignment vertical="center" wrapText="1"/>
    </xf>
    <xf numFmtId="0" fontId="34" fillId="0" borderId="51" xfId="31" applyFont="1" applyBorder="1" applyAlignment="1">
      <alignment vertical="center" wrapText="1"/>
    </xf>
    <xf numFmtId="0" fontId="12" fillId="0" borderId="14" xfId="31" applyFont="1" applyBorder="1" applyAlignment="1">
      <alignment vertical="center" wrapText="1"/>
    </xf>
    <xf numFmtId="0" fontId="34" fillId="0" borderId="17" xfId="31" applyFont="1" applyBorder="1" applyAlignment="1">
      <alignment vertical="center" wrapText="1"/>
    </xf>
    <xf numFmtId="0" fontId="12" fillId="0" borderId="15" xfId="31" applyFont="1" applyBorder="1" applyAlignment="1">
      <alignment vertical="center" wrapText="1"/>
    </xf>
    <xf numFmtId="0" fontId="34" fillId="0" borderId="26" xfId="31" applyFont="1" applyBorder="1" applyAlignment="1">
      <alignment vertical="center" wrapText="1"/>
    </xf>
    <xf numFmtId="0" fontId="12" fillId="0" borderId="17" xfId="31" applyFont="1" applyBorder="1" applyAlignment="1">
      <alignment vertical="center" wrapText="1"/>
    </xf>
    <xf numFmtId="0" fontId="12" fillId="0" borderId="53" xfId="31" applyFont="1" applyBorder="1" applyAlignment="1">
      <alignment vertical="center" wrapText="1"/>
    </xf>
    <xf numFmtId="0" fontId="12" fillId="0" borderId="39" xfId="31" applyFont="1" applyBorder="1" applyAlignment="1">
      <alignment vertical="center" wrapText="1"/>
    </xf>
    <xf numFmtId="0" fontId="12" fillId="0" borderId="21" xfId="31" applyFont="1" applyBorder="1" applyAlignment="1">
      <alignment vertical="center" wrapText="1"/>
    </xf>
    <xf numFmtId="0" fontId="12" fillId="0" borderId="2" xfId="31" applyFont="1" applyBorder="1" applyAlignment="1">
      <alignment vertical="center" wrapText="1"/>
    </xf>
    <xf numFmtId="0" fontId="12" fillId="0" borderId="50" xfId="31" applyFont="1" applyBorder="1" applyAlignment="1">
      <alignment vertical="center" wrapText="1"/>
    </xf>
    <xf numFmtId="0" fontId="12" fillId="0" borderId="55" xfId="31" applyFont="1" applyBorder="1" applyAlignment="1">
      <alignment vertical="center" wrapText="1"/>
    </xf>
    <xf numFmtId="0" fontId="12" fillId="0" borderId="57" xfId="31" applyFont="1" applyBorder="1" applyAlignment="1">
      <alignment vertical="center" wrapText="1"/>
    </xf>
    <xf numFmtId="14" fontId="21" fillId="0" borderId="0" xfId="0" applyNumberFormat="1" applyFont="1" applyAlignment="1">
      <alignment horizontal="left" vertical="center"/>
    </xf>
    <xf numFmtId="0" fontId="21" fillId="0" borderId="0" xfId="0" applyFont="1" applyAlignment="1">
      <alignment horizontal="right" vertical="center"/>
    </xf>
    <xf numFmtId="0" fontId="13" fillId="0" borderId="0" xfId="0" applyFont="1" applyAlignment="1">
      <alignment horizontal="left" vertical="center"/>
    </xf>
    <xf numFmtId="14" fontId="65" fillId="0" borderId="0" xfId="0" applyNumberFormat="1" applyFont="1" applyAlignment="1">
      <alignment vertical="center"/>
    </xf>
    <xf numFmtId="0" fontId="21" fillId="0" borderId="0" xfId="0" applyFont="1" applyAlignment="1">
      <alignment horizontal="center" vertical="center"/>
    </xf>
    <xf numFmtId="0" fontId="21" fillId="27" borderId="0" xfId="0" applyFont="1" applyFill="1" applyAlignment="1">
      <alignment vertical="center"/>
    </xf>
    <xf numFmtId="0" fontId="12" fillId="0" borderId="0" xfId="0" applyFont="1" applyAlignment="1">
      <alignment horizontal="left" vertical="center"/>
    </xf>
    <xf numFmtId="3" fontId="12" fillId="28" borderId="51" xfId="77" applyNumberFormat="1" applyFont="1" applyFill="1" applyBorder="1" applyAlignment="1" applyProtection="1">
      <alignment horizontal="center" vertical="center" wrapText="1"/>
      <protection locked="0"/>
    </xf>
    <xf numFmtId="3" fontId="12" fillId="28" borderId="73" xfId="77" applyNumberFormat="1" applyFont="1" applyFill="1" applyBorder="1" applyAlignment="1" applyProtection="1">
      <alignment horizontal="center" vertical="center" wrapText="1"/>
      <protection locked="0"/>
    </xf>
    <xf numFmtId="3" fontId="12" fillId="28" borderId="22" xfId="77" applyNumberFormat="1" applyFont="1" applyFill="1" applyBorder="1" applyAlignment="1" applyProtection="1">
      <alignment horizontal="center" vertical="center" wrapText="1"/>
      <protection locked="0"/>
    </xf>
    <xf numFmtId="3" fontId="12" fillId="28" borderId="74" xfId="77" applyNumberFormat="1" applyFont="1" applyFill="1" applyBorder="1" applyAlignment="1" applyProtection="1">
      <alignment horizontal="center" vertical="center" wrapText="1"/>
      <protection locked="0"/>
    </xf>
    <xf numFmtId="3" fontId="12" fillId="28" borderId="14" xfId="77" applyNumberFormat="1" applyFont="1" applyFill="1" applyBorder="1" applyAlignment="1" applyProtection="1">
      <alignment horizontal="center" vertical="center" wrapText="1"/>
      <protection locked="0"/>
    </xf>
    <xf numFmtId="3" fontId="12" fillId="28" borderId="17" xfId="77" applyNumberFormat="1" applyFont="1" applyFill="1" applyBorder="1" applyAlignment="1" applyProtection="1">
      <alignment horizontal="center" vertical="center" wrapText="1"/>
      <protection locked="0"/>
    </xf>
    <xf numFmtId="3" fontId="12" fillId="28" borderId="23" xfId="77" applyNumberFormat="1" applyFont="1" applyFill="1" applyBorder="1" applyAlignment="1" applyProtection="1">
      <alignment horizontal="center" vertical="center" wrapText="1"/>
      <protection locked="0"/>
    </xf>
    <xf numFmtId="3" fontId="12" fillId="28" borderId="62" xfId="77" applyNumberFormat="1" applyFont="1" applyFill="1" applyBorder="1" applyAlignment="1" applyProtection="1">
      <alignment horizontal="center" vertical="center" wrapText="1"/>
      <protection locked="0"/>
    </xf>
    <xf numFmtId="3" fontId="12" fillId="28" borderId="7" xfId="77" applyNumberFormat="1" applyFont="1" applyFill="1" applyBorder="1" applyAlignment="1" applyProtection="1">
      <alignment horizontal="center" vertical="center" wrapText="1"/>
      <protection locked="0"/>
    </xf>
    <xf numFmtId="3" fontId="12" fillId="28" borderId="53" xfId="77" applyNumberFormat="1" applyFont="1" applyFill="1" applyBorder="1" applyAlignment="1" applyProtection="1">
      <alignment horizontal="center" vertical="center" wrapText="1"/>
      <protection locked="0"/>
    </xf>
    <xf numFmtId="3" fontId="12" fillId="28" borderId="21" xfId="77" applyNumberFormat="1" applyFont="1" applyFill="1" applyBorder="1" applyAlignment="1" applyProtection="1">
      <alignment horizontal="center" vertical="center" wrapText="1"/>
      <protection locked="0"/>
    </xf>
    <xf numFmtId="3" fontId="12" fillId="28" borderId="78" xfId="77" applyNumberFormat="1" applyFont="1" applyFill="1" applyBorder="1" applyAlignment="1" applyProtection="1">
      <alignment horizontal="center" vertical="center" wrapText="1"/>
      <protection locked="0"/>
    </xf>
    <xf numFmtId="3" fontId="12" fillId="28" borderId="77" xfId="77" applyNumberFormat="1" applyFont="1" applyFill="1" applyBorder="1" applyAlignment="1" applyProtection="1">
      <alignment horizontal="center" vertical="center" wrapText="1"/>
      <protection locked="0"/>
    </xf>
    <xf numFmtId="3" fontId="12" fillId="28" borderId="19" xfId="77" applyNumberFormat="1" applyFont="1" applyFill="1" applyBorder="1" applyAlignment="1" applyProtection="1">
      <alignment horizontal="center" vertical="center" wrapText="1"/>
      <protection locked="0"/>
    </xf>
    <xf numFmtId="0" fontId="12" fillId="28" borderId="73" xfId="77" applyFont="1" applyFill="1" applyBorder="1" applyAlignment="1" applyProtection="1">
      <alignment horizontal="center" vertical="center" wrapText="1"/>
      <protection locked="0"/>
    </xf>
    <xf numFmtId="0" fontId="12" fillId="28" borderId="77" xfId="77" applyFont="1" applyFill="1" applyBorder="1" applyAlignment="1" applyProtection="1">
      <alignment horizontal="center" vertical="center" wrapText="1"/>
      <protection locked="0"/>
    </xf>
    <xf numFmtId="49" fontId="21" fillId="0" borderId="0" xfId="0" applyNumberFormat="1" applyFont="1" applyAlignment="1">
      <alignment horizontal="left" vertical="center"/>
    </xf>
    <xf numFmtId="0" fontId="21" fillId="26" borderId="0" xfId="0" applyFont="1" applyFill="1" applyAlignment="1">
      <alignment vertical="center"/>
    </xf>
    <xf numFmtId="49" fontId="21" fillId="0" borderId="0" xfId="0" applyNumberFormat="1" applyFont="1" applyAlignment="1">
      <alignment vertical="center"/>
    </xf>
    <xf numFmtId="0" fontId="19" fillId="0" borderId="0" xfId="0" applyFont="1" applyAlignment="1">
      <alignment horizontal="center" vertical="center"/>
    </xf>
    <xf numFmtId="0" fontId="12" fillId="0" borderId="17" xfId="0" applyFont="1" applyBorder="1" applyAlignment="1">
      <alignment horizontal="center" vertical="center"/>
    </xf>
    <xf numFmtId="0" fontId="19" fillId="0" borderId="14" xfId="0" applyFont="1" applyBorder="1" applyAlignment="1">
      <alignment vertical="center"/>
    </xf>
    <xf numFmtId="0" fontId="12" fillId="0" borderId="51" xfId="0" applyFont="1" applyBorder="1" applyAlignment="1">
      <alignment horizontal="left" vertical="center" wrapText="1"/>
    </xf>
    <xf numFmtId="9" fontId="21" fillId="22" borderId="50" xfId="0" applyNumberFormat="1" applyFont="1" applyFill="1" applyBorder="1" applyAlignment="1">
      <alignment horizontal="center" vertical="center"/>
    </xf>
    <xf numFmtId="9" fontId="21" fillId="26" borderId="0" xfId="0" applyNumberFormat="1" applyFont="1" applyFill="1" applyAlignment="1">
      <alignment horizontal="center" vertical="center"/>
    </xf>
    <xf numFmtId="0" fontId="19" fillId="0" borderId="15" xfId="0" applyFont="1" applyBorder="1" applyAlignment="1">
      <alignment vertical="center"/>
    </xf>
    <xf numFmtId="0" fontId="12" fillId="0" borderId="17" xfId="0" applyFont="1" applyBorder="1" applyAlignment="1">
      <alignment horizontal="left" vertical="center" wrapText="1"/>
    </xf>
    <xf numFmtId="9" fontId="21" fillId="22" borderId="53" xfId="0" applyNumberFormat="1" applyFont="1" applyFill="1" applyBorder="1" applyAlignment="1">
      <alignment horizontal="center" vertical="center"/>
    </xf>
    <xf numFmtId="0" fontId="21" fillId="22" borderId="53" xfId="0" applyFont="1" applyFill="1" applyBorder="1" applyAlignment="1">
      <alignment horizontal="center" vertical="center"/>
    </xf>
    <xf numFmtId="0" fontId="21" fillId="26" borderId="0" xfId="0" applyFont="1" applyFill="1" applyAlignment="1">
      <alignment horizontal="center" vertical="center"/>
    </xf>
    <xf numFmtId="0" fontId="38" fillId="0" borderId="17" xfId="0" applyFont="1" applyBorder="1" applyAlignment="1">
      <alignment vertical="center" wrapText="1"/>
    </xf>
    <xf numFmtId="10" fontId="21" fillId="22" borderId="53" xfId="0" applyNumberFormat="1" applyFont="1" applyFill="1" applyBorder="1" applyAlignment="1">
      <alignment horizontal="center" vertical="center"/>
    </xf>
    <xf numFmtId="10" fontId="21" fillId="26" borderId="0" xfId="0" applyNumberFormat="1" applyFont="1" applyFill="1" applyAlignment="1">
      <alignment horizontal="center" vertical="center"/>
    </xf>
    <xf numFmtId="0" fontId="12" fillId="0" borderId="21" xfId="0" applyFont="1" applyBorder="1" applyAlignment="1">
      <alignment horizontal="center" vertical="center"/>
    </xf>
    <xf numFmtId="0" fontId="19" fillId="0" borderId="19" xfId="0" applyFont="1" applyBorder="1" applyAlignment="1">
      <alignment vertical="center"/>
    </xf>
    <xf numFmtId="0" fontId="38" fillId="0" borderId="21" xfId="0" applyFont="1" applyBorder="1" applyAlignment="1">
      <alignment vertical="center" wrapText="1"/>
    </xf>
    <xf numFmtId="0" fontId="21" fillId="22" borderId="57" xfId="0" applyFont="1" applyFill="1" applyBorder="1" applyAlignment="1">
      <alignment horizontal="center" vertical="center"/>
    </xf>
    <xf numFmtId="2" fontId="12" fillId="21" borderId="83" xfId="70" applyNumberFormat="1" applyFont="1" applyFill="1" applyBorder="1" applyAlignment="1" applyProtection="1">
      <alignment horizontal="center" vertical="center"/>
    </xf>
    <xf numFmtId="0" fontId="12" fillId="26" borderId="110" xfId="0" applyFont="1" applyFill="1" applyBorder="1" applyAlignment="1">
      <alignment horizontal="center" vertical="center" wrapText="1"/>
    </xf>
    <xf numFmtId="0" fontId="21" fillId="0" borderId="85" xfId="0" applyFont="1" applyBorder="1" applyAlignment="1">
      <alignment horizontal="center" vertical="center"/>
    </xf>
    <xf numFmtId="0" fontId="21" fillId="0" borderId="91" xfId="0" applyFont="1" applyBorder="1" applyAlignment="1">
      <alignment horizontal="center" vertical="center"/>
    </xf>
    <xf numFmtId="10" fontId="12" fillId="21" borderId="83" xfId="70" applyNumberFormat="1" applyFont="1" applyFill="1" applyBorder="1" applyAlignment="1" applyProtection="1">
      <alignment horizontal="center" vertical="center"/>
    </xf>
    <xf numFmtId="0" fontId="12" fillId="26" borderId="116" xfId="0" applyFont="1" applyFill="1" applyBorder="1" applyAlignment="1">
      <alignment horizontal="center" vertical="center" wrapText="1"/>
    </xf>
    <xf numFmtId="9" fontId="21" fillId="0" borderId="81" xfId="0" applyNumberFormat="1" applyFont="1" applyBorder="1" applyAlignment="1">
      <alignment horizontal="center" vertical="center"/>
    </xf>
    <xf numFmtId="9" fontId="21" fillId="0" borderId="0" xfId="0" applyNumberFormat="1" applyFont="1" applyAlignment="1">
      <alignment horizontal="center" vertical="center"/>
    </xf>
    <xf numFmtId="9" fontId="21" fillId="0" borderId="95" xfId="0" applyNumberFormat="1" applyFont="1" applyBorder="1" applyAlignment="1">
      <alignment horizontal="center" vertical="center"/>
    </xf>
    <xf numFmtId="0" fontId="12" fillId="26" borderId="81" xfId="0" applyFont="1" applyFill="1" applyBorder="1" applyAlignment="1">
      <alignment horizontal="center" vertical="center" wrapText="1"/>
    </xf>
    <xf numFmtId="0" fontId="21" fillId="0" borderId="81" xfId="0" applyFont="1" applyBorder="1" applyAlignment="1">
      <alignment horizontal="center" vertical="center"/>
    </xf>
    <xf numFmtId="0" fontId="21" fillId="0" borderId="95" xfId="0" applyFont="1" applyBorder="1" applyAlignment="1">
      <alignment horizontal="center" vertical="center"/>
    </xf>
    <xf numFmtId="10" fontId="21" fillId="0" borderId="81" xfId="0" applyNumberFormat="1" applyFont="1" applyBorder="1" applyAlignment="1">
      <alignment horizontal="center" vertical="center"/>
    </xf>
    <xf numFmtId="10" fontId="21" fillId="0" borderId="0" xfId="0" applyNumberFormat="1" applyFont="1" applyAlignment="1">
      <alignment horizontal="center" vertical="center"/>
    </xf>
    <xf numFmtId="0" fontId="12" fillId="0" borderId="21" xfId="0" applyFont="1" applyBorder="1" applyAlignment="1">
      <alignment horizontal="left" vertical="center" wrapText="1"/>
    </xf>
    <xf numFmtId="2" fontId="12" fillId="21" borderId="115" xfId="70" applyNumberFormat="1" applyFont="1" applyFill="1" applyBorder="1" applyAlignment="1" applyProtection="1">
      <alignment horizontal="center" vertical="center"/>
    </xf>
    <xf numFmtId="0" fontId="12" fillId="26" borderId="111" xfId="0" applyFont="1" applyFill="1" applyBorder="1" applyAlignment="1">
      <alignment horizontal="center" vertical="center" wrapText="1"/>
    </xf>
    <xf numFmtId="0" fontId="21" fillId="0" borderId="92" xfId="0" applyFont="1" applyBorder="1" applyAlignment="1">
      <alignment horizontal="center" vertical="center"/>
    </xf>
    <xf numFmtId="0" fontId="21" fillId="0" borderId="94" xfId="0" applyFont="1" applyBorder="1" applyAlignment="1">
      <alignment horizontal="center" vertical="center"/>
    </xf>
    <xf numFmtId="49" fontId="12" fillId="0" borderId="0" xfId="0" applyNumberFormat="1" applyFont="1" applyAlignment="1">
      <alignment horizontal="center" vertical="center"/>
    </xf>
    <xf numFmtId="170" fontId="12" fillId="0" borderId="0" xfId="0" applyNumberFormat="1" applyFont="1" applyAlignment="1">
      <alignment vertical="center"/>
    </xf>
    <xf numFmtId="0" fontId="12" fillId="0" borderId="11" xfId="0" applyFont="1" applyBorder="1" applyAlignment="1">
      <alignment vertical="center"/>
    </xf>
    <xf numFmtId="0" fontId="43" fillId="0" borderId="0" xfId="0" applyFont="1" applyAlignment="1">
      <alignment vertical="center"/>
    </xf>
    <xf numFmtId="0" fontId="57" fillId="27" borderId="0" xfId="52" applyFont="1" applyFill="1" applyAlignment="1">
      <alignment vertical="center"/>
    </xf>
    <xf numFmtId="0" fontId="81" fillId="27" borderId="0" xfId="52" applyFont="1" applyFill="1" applyAlignment="1">
      <alignment vertical="center"/>
    </xf>
    <xf numFmtId="0" fontId="81" fillId="27" borderId="0" xfId="52" applyFont="1" applyFill="1" applyAlignment="1">
      <alignment horizontal="right" vertical="center"/>
    </xf>
    <xf numFmtId="1" fontId="81" fillId="23" borderId="8" xfId="52" applyNumberFormat="1" applyFont="1" applyFill="1" applyBorder="1" applyAlignment="1">
      <alignment horizontal="center" vertical="center"/>
    </xf>
    <xf numFmtId="1" fontId="81" fillId="23" borderId="3" xfId="52" applyNumberFormat="1" applyFont="1" applyFill="1" applyBorder="1" applyAlignment="1">
      <alignment horizontal="center" vertical="center"/>
    </xf>
    <xf numFmtId="3" fontId="57" fillId="23" borderId="8" xfId="52" applyNumberFormat="1" applyFont="1" applyFill="1" applyBorder="1" applyAlignment="1">
      <alignment horizontal="center" vertical="center"/>
    </xf>
    <xf numFmtId="3" fontId="57" fillId="23" borderId="3" xfId="52" applyNumberFormat="1" applyFont="1" applyFill="1" applyBorder="1" applyAlignment="1">
      <alignment horizontal="center" vertical="center"/>
    </xf>
    <xf numFmtId="0" fontId="65" fillId="23" borderId="8" xfId="57" applyFont="1" applyFill="1" applyBorder="1" applyAlignment="1">
      <alignment horizontal="left" vertical="center"/>
    </xf>
    <xf numFmtId="14" fontId="65" fillId="27" borderId="0" xfId="52" applyNumberFormat="1" applyFont="1" applyFill="1" applyAlignment="1">
      <alignment vertical="center"/>
    </xf>
    <xf numFmtId="0" fontId="21" fillId="27" borderId="0" xfId="52" applyFont="1" applyFill="1" applyAlignment="1">
      <alignment horizontal="right" vertical="center"/>
    </xf>
    <xf numFmtId="3" fontId="43" fillId="27" borderId="0" xfId="52" applyNumberFormat="1" applyFont="1" applyFill="1" applyAlignment="1">
      <alignment vertical="center"/>
    </xf>
    <xf numFmtId="168" fontId="57" fillId="20" borderId="0" xfId="52" applyNumberFormat="1" applyFont="1" applyFill="1" applyAlignment="1">
      <alignment horizontal="right" vertical="center"/>
    </xf>
    <xf numFmtId="0" fontId="65" fillId="27" borderId="0" xfId="52" applyFont="1" applyFill="1" applyAlignment="1">
      <alignment vertical="center"/>
    </xf>
    <xf numFmtId="0" fontId="43" fillId="27" borderId="0" xfId="52" applyFont="1" applyFill="1" applyAlignment="1">
      <alignment vertical="center"/>
    </xf>
    <xf numFmtId="0" fontId="84" fillId="27" borderId="0" xfId="52" applyFont="1" applyFill="1" applyAlignment="1">
      <alignment vertical="center"/>
    </xf>
    <xf numFmtId="0" fontId="84" fillId="27" borderId="0" xfId="31" applyFont="1" applyFill="1" applyAlignment="1">
      <alignment vertical="center"/>
    </xf>
    <xf numFmtId="3" fontId="65" fillId="28" borderId="49" xfId="57" applyNumberFormat="1" applyFont="1" applyFill="1" applyBorder="1" applyAlignment="1" applyProtection="1">
      <alignment horizontal="center" vertical="center"/>
      <protection locked="0"/>
    </xf>
    <xf numFmtId="3" fontId="65" fillId="28" borderId="31" xfId="57" applyNumberFormat="1" applyFont="1" applyFill="1" applyBorder="1" applyAlignment="1" applyProtection="1">
      <alignment horizontal="center" vertical="center"/>
      <protection locked="0"/>
    </xf>
    <xf numFmtId="0" fontId="116" fillId="20" borderId="0" xfId="88" applyFont="1" applyFill="1" applyAlignment="1">
      <alignment horizontal="center" vertical="center" wrapText="1"/>
    </xf>
    <xf numFmtId="0" fontId="81" fillId="27" borderId="0" xfId="91" applyFont="1" applyFill="1" applyAlignment="1">
      <alignment horizontal="right"/>
    </xf>
    <xf numFmtId="0" fontId="21" fillId="20" borderId="0" xfId="88" applyFont="1" applyFill="1" applyAlignment="1">
      <alignment horizontal="left" vertical="center" wrapText="1"/>
    </xf>
    <xf numFmtId="178" fontId="116" fillId="20" borderId="0" xfId="88" applyNumberFormat="1" applyFont="1" applyFill="1" applyAlignment="1">
      <alignment horizontal="center" vertical="center" wrapText="1"/>
    </xf>
    <xf numFmtId="0" fontId="117" fillId="41" borderId="11" xfId="88" applyFont="1" applyFill="1" applyBorder="1" applyAlignment="1">
      <alignment horizontal="center" vertical="center" wrapText="1"/>
    </xf>
    <xf numFmtId="0" fontId="116" fillId="20" borderId="22" xfId="88" applyFont="1" applyFill="1" applyBorder="1" applyAlignment="1">
      <alignment horizontal="center" vertical="center" wrapText="1"/>
    </xf>
    <xf numFmtId="0" fontId="119" fillId="20" borderId="33" xfId="88" applyFont="1" applyFill="1" applyBorder="1" applyAlignment="1">
      <alignment horizontal="center" vertical="center" wrapText="1"/>
    </xf>
    <xf numFmtId="10" fontId="43" fillId="26" borderId="44" xfId="70" applyNumberFormat="1" applyFont="1" applyFill="1" applyBorder="1" applyAlignment="1" applyProtection="1">
      <alignment horizontal="center" vertical="center" wrapText="1"/>
    </xf>
    <xf numFmtId="0" fontId="116" fillId="20" borderId="53" xfId="88" applyFont="1" applyFill="1" applyBorder="1" applyAlignment="1">
      <alignment horizontal="left" vertical="center" wrapText="1"/>
    </xf>
    <xf numFmtId="0" fontId="116" fillId="20" borderId="23" xfId="88" applyFont="1" applyFill="1" applyBorder="1" applyAlignment="1">
      <alignment horizontal="center" vertical="center" wrapText="1"/>
    </xf>
    <xf numFmtId="0" fontId="117" fillId="20" borderId="57" xfId="88" applyFont="1" applyFill="1" applyBorder="1" applyAlignment="1">
      <alignment horizontal="center" vertical="center" wrapText="1"/>
    </xf>
    <xf numFmtId="0" fontId="117" fillId="20" borderId="28" xfId="88" applyFont="1" applyFill="1" applyBorder="1" applyAlignment="1">
      <alignment horizontal="center" vertical="center" wrapText="1"/>
    </xf>
    <xf numFmtId="0" fontId="117" fillId="20" borderId="53" xfId="88" applyFont="1" applyFill="1" applyBorder="1" applyAlignment="1">
      <alignment horizontal="center" vertical="center" wrapText="1"/>
    </xf>
    <xf numFmtId="0" fontId="117" fillId="20" borderId="23" xfId="88" applyFont="1" applyFill="1" applyBorder="1" applyAlignment="1">
      <alignment horizontal="center" vertical="center" wrapText="1"/>
    </xf>
    <xf numFmtId="3" fontId="117" fillId="26" borderId="52" xfId="88" applyNumberFormat="1" applyFont="1" applyFill="1" applyBorder="1" applyAlignment="1">
      <alignment horizontal="center" vertical="center" wrapText="1"/>
    </xf>
    <xf numFmtId="3" fontId="117" fillId="26" borderId="32" xfId="88" applyNumberFormat="1" applyFont="1" applyFill="1" applyBorder="1" applyAlignment="1">
      <alignment horizontal="center" vertical="center" wrapText="1"/>
    </xf>
    <xf numFmtId="0" fontId="116" fillId="20" borderId="33" xfId="88" applyFont="1" applyFill="1" applyBorder="1" applyAlignment="1">
      <alignment horizontal="center" vertical="center" wrapText="1"/>
    </xf>
    <xf numFmtId="3" fontId="12" fillId="26" borderId="133" xfId="88" applyNumberFormat="1" applyFont="1" applyFill="1" applyBorder="1" applyAlignment="1">
      <alignment horizontal="center" vertical="center" wrapText="1"/>
    </xf>
    <xf numFmtId="3" fontId="12" fillId="26" borderId="117" xfId="88" applyNumberFormat="1" applyFont="1" applyFill="1" applyBorder="1" applyAlignment="1">
      <alignment horizontal="center" vertical="center" wrapText="1"/>
    </xf>
    <xf numFmtId="3" fontId="12" fillId="26" borderId="137" xfId="88" applyNumberFormat="1" applyFont="1" applyFill="1" applyBorder="1" applyAlignment="1">
      <alignment horizontal="center" vertical="center" wrapText="1"/>
    </xf>
    <xf numFmtId="0" fontId="116" fillId="20" borderId="20" xfId="88" applyFont="1" applyFill="1" applyBorder="1" applyAlignment="1">
      <alignment horizontal="center" vertical="center" wrapText="1"/>
    </xf>
    <xf numFmtId="3" fontId="116" fillId="20" borderId="74" xfId="88" applyNumberFormat="1" applyFont="1" applyFill="1" applyBorder="1" applyAlignment="1">
      <alignment horizontal="center" vertical="center" wrapText="1"/>
    </xf>
    <xf numFmtId="3" fontId="116" fillId="20" borderId="62" xfId="88" applyNumberFormat="1" applyFont="1" applyFill="1" applyBorder="1" applyAlignment="1">
      <alignment horizontal="center" vertical="center" wrapText="1"/>
    </xf>
    <xf numFmtId="3" fontId="64" fillId="26" borderId="119" xfId="70" applyNumberFormat="1" applyFont="1" applyFill="1" applyBorder="1" applyAlignment="1" applyProtection="1">
      <alignment horizontal="center" vertical="center" wrapText="1"/>
    </xf>
    <xf numFmtId="0" fontId="38" fillId="26" borderId="142" xfId="88" applyFont="1" applyFill="1" applyBorder="1" applyAlignment="1">
      <alignment horizontal="center" vertical="center" wrapText="1"/>
    </xf>
    <xf numFmtId="10" fontId="64" fillId="26" borderId="142" xfId="70" applyNumberFormat="1" applyFont="1" applyFill="1" applyBorder="1" applyAlignment="1" applyProtection="1">
      <alignment horizontal="center" vertical="center" wrapText="1"/>
    </xf>
    <xf numFmtId="10" fontId="64" fillId="26" borderId="120" xfId="70" applyNumberFormat="1" applyFont="1" applyFill="1" applyBorder="1" applyAlignment="1" applyProtection="1">
      <alignment horizontal="center" vertical="center" wrapText="1"/>
    </xf>
    <xf numFmtId="3" fontId="64" fillId="26" borderId="121" xfId="70" applyNumberFormat="1" applyFont="1" applyFill="1" applyBorder="1" applyAlignment="1" applyProtection="1">
      <alignment horizontal="center" vertical="center" wrapText="1"/>
    </xf>
    <xf numFmtId="0" fontId="38" fillId="26" borderId="122" xfId="88" applyFont="1" applyFill="1" applyBorder="1" applyAlignment="1">
      <alignment horizontal="center" vertical="center" wrapText="1"/>
    </xf>
    <xf numFmtId="0" fontId="38" fillId="26" borderId="0" xfId="88" applyFont="1" applyFill="1" applyAlignment="1">
      <alignment horizontal="center" vertical="center" wrapText="1"/>
    </xf>
    <xf numFmtId="3" fontId="116" fillId="20" borderId="0" xfId="88" applyNumberFormat="1" applyFont="1" applyFill="1" applyAlignment="1">
      <alignment horizontal="center" vertical="center" wrapText="1"/>
    </xf>
    <xf numFmtId="0" fontId="117" fillId="20" borderId="20" xfId="88" applyFont="1" applyFill="1" applyBorder="1" applyAlignment="1">
      <alignment vertical="center" wrapText="1"/>
    </xf>
    <xf numFmtId="0" fontId="117" fillId="20" borderId="0" xfId="88" applyFont="1" applyFill="1" applyAlignment="1">
      <alignment vertical="center" wrapText="1"/>
    </xf>
    <xf numFmtId="3" fontId="117" fillId="41" borderId="45" xfId="88" applyNumberFormat="1" applyFont="1" applyFill="1" applyBorder="1" applyAlignment="1">
      <alignment horizontal="center" vertical="center" wrapText="1"/>
    </xf>
    <xf numFmtId="3" fontId="117" fillId="41" borderId="80" xfId="88" applyNumberFormat="1" applyFont="1" applyFill="1" applyBorder="1" applyAlignment="1">
      <alignment horizontal="center" vertical="center" wrapText="1"/>
    </xf>
    <xf numFmtId="3" fontId="117" fillId="41" borderId="41" xfId="88" applyNumberFormat="1" applyFont="1" applyFill="1" applyBorder="1" applyAlignment="1">
      <alignment horizontal="center" vertical="center" wrapText="1"/>
    </xf>
    <xf numFmtId="0" fontId="116" fillId="20" borderId="14" xfId="88" applyFont="1" applyFill="1" applyBorder="1" applyAlignment="1">
      <alignment horizontal="center" vertical="center" wrapText="1"/>
    </xf>
    <xf numFmtId="0" fontId="116" fillId="20" borderId="6" xfId="88" applyFont="1" applyFill="1" applyBorder="1" applyAlignment="1">
      <alignment horizontal="center" vertical="center" wrapText="1"/>
    </xf>
    <xf numFmtId="0" fontId="116" fillId="20" borderId="43" xfId="88" applyFont="1" applyFill="1" applyBorder="1" applyAlignment="1">
      <alignment horizontal="center" vertical="center" wrapText="1"/>
    </xf>
    <xf numFmtId="0" fontId="117" fillId="20" borderId="0" xfId="88" applyFont="1" applyFill="1" applyAlignment="1">
      <alignment horizontal="left" vertical="center" wrapText="1"/>
    </xf>
    <xf numFmtId="0" fontId="117" fillId="41" borderId="38" xfId="88" applyFont="1" applyFill="1" applyBorder="1" applyAlignment="1">
      <alignment horizontal="center" vertical="center" wrapText="1"/>
    </xf>
    <xf numFmtId="0" fontId="117" fillId="41" borderId="10" xfId="88" applyFont="1" applyFill="1" applyBorder="1" applyAlignment="1">
      <alignment horizontal="center" vertical="center" wrapText="1"/>
    </xf>
    <xf numFmtId="3" fontId="117" fillId="41" borderId="124" xfId="88" applyNumberFormat="1" applyFont="1" applyFill="1" applyBorder="1" applyAlignment="1">
      <alignment horizontal="center" vertical="center" wrapText="1"/>
    </xf>
    <xf numFmtId="0" fontId="116" fillId="20" borderId="76" xfId="88" applyFont="1" applyFill="1" applyBorder="1" applyAlignment="1">
      <alignment horizontal="center" vertical="center" wrapText="1"/>
    </xf>
    <xf numFmtId="3" fontId="116" fillId="20" borderId="75" xfId="88" applyNumberFormat="1" applyFont="1" applyFill="1" applyBorder="1" applyAlignment="1">
      <alignment horizontal="center" vertical="center" wrapText="1"/>
    </xf>
    <xf numFmtId="3" fontId="116" fillId="20" borderId="14" xfId="88" applyNumberFormat="1" applyFont="1" applyFill="1" applyBorder="1" applyAlignment="1">
      <alignment horizontal="center" vertical="center" wrapText="1"/>
    </xf>
    <xf numFmtId="3" fontId="116" fillId="20" borderId="125" xfId="88" applyNumberFormat="1" applyFont="1" applyFill="1" applyBorder="1" applyAlignment="1">
      <alignment horizontal="center" vertical="center" wrapText="1"/>
    </xf>
    <xf numFmtId="0" fontId="116" fillId="20" borderId="53" xfId="88" applyFont="1" applyFill="1" applyBorder="1" applyAlignment="1">
      <alignment horizontal="center" vertical="center" wrapText="1"/>
    </xf>
    <xf numFmtId="3" fontId="116" fillId="20" borderId="52" xfId="88" applyNumberFormat="1" applyFont="1" applyFill="1" applyBorder="1" applyAlignment="1">
      <alignment horizontal="center" vertical="center" wrapText="1"/>
    </xf>
    <xf numFmtId="3" fontId="116" fillId="20" borderId="15" xfId="88" applyNumberFormat="1" applyFont="1" applyFill="1" applyBorder="1" applyAlignment="1">
      <alignment horizontal="center" vertical="center" wrapText="1"/>
    </xf>
    <xf numFmtId="3" fontId="116" fillId="20" borderId="82" xfId="88" applyNumberFormat="1" applyFont="1" applyFill="1" applyBorder="1" applyAlignment="1">
      <alignment horizontal="center" vertical="center" wrapText="1"/>
    </xf>
    <xf numFmtId="0" fontId="116" fillId="20" borderId="55" xfId="88" applyFont="1" applyFill="1" applyBorder="1" applyAlignment="1">
      <alignment horizontal="center" vertical="center" wrapText="1"/>
    </xf>
    <xf numFmtId="0" fontId="116" fillId="20" borderId="37" xfId="88" applyFont="1" applyFill="1" applyBorder="1" applyAlignment="1">
      <alignment horizontal="center" vertical="center" wrapText="1"/>
    </xf>
    <xf numFmtId="3" fontId="116" fillId="20" borderId="56" xfId="88" applyNumberFormat="1" applyFont="1" applyFill="1" applyBorder="1" applyAlignment="1">
      <alignment horizontal="center" vertical="center" wrapText="1"/>
    </xf>
    <xf numFmtId="3" fontId="116" fillId="20" borderId="79" xfId="88" applyNumberFormat="1" applyFont="1" applyFill="1" applyBorder="1" applyAlignment="1">
      <alignment horizontal="center" vertical="center" wrapText="1"/>
    </xf>
    <xf numFmtId="3" fontId="116" fillId="20" borderId="19" xfId="88" applyNumberFormat="1" applyFont="1" applyFill="1" applyBorder="1" applyAlignment="1">
      <alignment horizontal="center" vertical="center" wrapText="1"/>
    </xf>
    <xf numFmtId="3" fontId="116" fillId="20" borderId="77" xfId="88" applyNumberFormat="1" applyFont="1" applyFill="1" applyBorder="1" applyAlignment="1">
      <alignment horizontal="center" vertical="center" wrapText="1"/>
    </xf>
    <xf numFmtId="3" fontId="116" fillId="20" borderId="126" xfId="88" applyNumberFormat="1" applyFont="1" applyFill="1" applyBorder="1" applyAlignment="1">
      <alignment horizontal="center" vertical="center" wrapText="1"/>
    </xf>
    <xf numFmtId="0" fontId="116" fillId="20" borderId="51" xfId="88" applyFont="1" applyFill="1" applyBorder="1" applyAlignment="1">
      <alignment horizontal="center" vertical="center" wrapText="1"/>
    </xf>
    <xf numFmtId="4" fontId="116" fillId="20" borderId="75" xfId="88" applyNumberFormat="1" applyFont="1" applyFill="1" applyBorder="1" applyAlignment="1">
      <alignment horizontal="center" vertical="center" wrapText="1"/>
    </xf>
    <xf numFmtId="4" fontId="116" fillId="20" borderId="72" xfId="88" applyNumberFormat="1" applyFont="1" applyFill="1" applyBorder="1" applyAlignment="1">
      <alignment horizontal="center" vertical="center" wrapText="1"/>
    </xf>
    <xf numFmtId="4" fontId="116" fillId="20" borderId="14" xfId="88" applyNumberFormat="1" applyFont="1" applyFill="1" applyBorder="1" applyAlignment="1">
      <alignment horizontal="center" vertical="center" wrapText="1"/>
    </xf>
    <xf numFmtId="4" fontId="116" fillId="20" borderId="73" xfId="88" applyNumberFormat="1" applyFont="1" applyFill="1" applyBorder="1" applyAlignment="1">
      <alignment horizontal="center" vertical="center" wrapText="1"/>
    </xf>
    <xf numFmtId="0" fontId="116" fillId="20" borderId="5" xfId="88" applyFont="1" applyFill="1" applyBorder="1" applyAlignment="1">
      <alignment horizontal="center" vertical="center" wrapText="1"/>
    </xf>
    <xf numFmtId="4" fontId="116" fillId="20" borderId="52" xfId="88" applyNumberFormat="1" applyFont="1" applyFill="1" applyBorder="1" applyAlignment="1">
      <alignment horizontal="center" vertical="center" wrapText="1"/>
    </xf>
    <xf numFmtId="4" fontId="116" fillId="20" borderId="32" xfId="88" applyNumberFormat="1" applyFont="1" applyFill="1" applyBorder="1" applyAlignment="1">
      <alignment horizontal="center" vertical="center" wrapText="1"/>
    </xf>
    <xf numFmtId="4" fontId="116" fillId="20" borderId="15" xfId="88" applyNumberFormat="1" applyFont="1" applyFill="1" applyBorder="1" applyAlignment="1">
      <alignment horizontal="center" vertical="center" wrapText="1"/>
    </xf>
    <xf numFmtId="4" fontId="116" fillId="20" borderId="7" xfId="88" applyNumberFormat="1" applyFont="1" applyFill="1" applyBorder="1" applyAlignment="1">
      <alignment horizontal="center" vertical="center" wrapText="1"/>
    </xf>
    <xf numFmtId="0" fontId="116" fillId="20" borderId="57" xfId="88" applyFont="1" applyFill="1" applyBorder="1" applyAlignment="1">
      <alignment horizontal="center" vertical="center" wrapText="1"/>
    </xf>
    <xf numFmtId="4" fontId="116" fillId="20" borderId="56" xfId="88" applyNumberFormat="1" applyFont="1" applyFill="1" applyBorder="1" applyAlignment="1">
      <alignment horizontal="center" vertical="center" wrapText="1"/>
    </xf>
    <xf numFmtId="4" fontId="116" fillId="20" borderId="79" xfId="88" applyNumberFormat="1" applyFont="1" applyFill="1" applyBorder="1" applyAlignment="1">
      <alignment horizontal="center" vertical="center" wrapText="1"/>
    </xf>
    <xf numFmtId="4" fontId="116" fillId="20" borderId="19" xfId="88" applyNumberFormat="1" applyFont="1" applyFill="1" applyBorder="1" applyAlignment="1">
      <alignment horizontal="center" vertical="center" wrapText="1"/>
    </xf>
    <xf numFmtId="4" fontId="116" fillId="20" borderId="77" xfId="88" applyNumberFormat="1" applyFont="1" applyFill="1" applyBorder="1" applyAlignment="1">
      <alignment horizontal="center" vertical="center" wrapText="1"/>
    </xf>
    <xf numFmtId="0" fontId="116" fillId="20" borderId="50" xfId="88" applyFont="1" applyFill="1" applyBorder="1" applyAlignment="1">
      <alignment horizontal="center" vertical="center" wrapText="1"/>
    </xf>
    <xf numFmtId="0" fontId="116" fillId="20" borderId="38" xfId="88" applyFont="1" applyFill="1" applyBorder="1" applyAlignment="1">
      <alignment horizontal="center" vertical="center" wrapText="1"/>
    </xf>
    <xf numFmtId="0" fontId="116" fillId="20" borderId="8" xfId="88" applyFont="1" applyFill="1" applyBorder="1" applyAlignment="1">
      <alignment horizontal="center" vertical="center" wrapText="1"/>
    </xf>
    <xf numFmtId="0" fontId="116" fillId="20" borderId="2" xfId="88" applyFont="1" applyFill="1" applyBorder="1" applyAlignment="1">
      <alignment horizontal="center" vertical="center" wrapText="1"/>
    </xf>
    <xf numFmtId="3" fontId="116" fillId="20" borderId="132" xfId="88" applyNumberFormat="1" applyFont="1" applyFill="1" applyBorder="1" applyAlignment="1">
      <alignment horizontal="center" vertical="center" wrapText="1"/>
    </xf>
    <xf numFmtId="3" fontId="116" fillId="20" borderId="105" xfId="88" applyNumberFormat="1" applyFont="1" applyFill="1" applyBorder="1" applyAlignment="1">
      <alignment horizontal="center" vertical="center" wrapText="1"/>
    </xf>
    <xf numFmtId="3" fontId="116" fillId="20" borderId="70" xfId="88" applyNumberFormat="1" applyFont="1" applyFill="1" applyBorder="1" applyAlignment="1">
      <alignment horizontal="center" vertical="center" wrapText="1"/>
    </xf>
    <xf numFmtId="3" fontId="116" fillId="20" borderId="71" xfId="88" applyNumberFormat="1" applyFont="1" applyFill="1" applyBorder="1" applyAlignment="1">
      <alignment horizontal="center" vertical="center" wrapText="1"/>
    </xf>
    <xf numFmtId="3" fontId="116" fillId="20" borderId="131" xfId="88" applyNumberFormat="1" applyFont="1" applyFill="1" applyBorder="1" applyAlignment="1">
      <alignment horizontal="center" vertical="center" wrapText="1"/>
    </xf>
    <xf numFmtId="0" fontId="12" fillId="26" borderId="46" xfId="88" applyFont="1" applyFill="1" applyBorder="1" applyAlignment="1">
      <alignment horizontal="center" vertical="center" wrapText="1"/>
    </xf>
    <xf numFmtId="0" fontId="12" fillId="26" borderId="11" xfId="88" applyFont="1" applyFill="1" applyBorder="1" applyAlignment="1">
      <alignment horizontal="center" vertical="center" wrapText="1"/>
    </xf>
    <xf numFmtId="10" fontId="12" fillId="26" borderId="75" xfId="89" applyNumberFormat="1" applyFont="1" applyFill="1" applyBorder="1" applyAlignment="1" applyProtection="1">
      <alignment horizontal="center" vertical="center" wrapText="1"/>
    </xf>
    <xf numFmtId="10" fontId="12" fillId="26" borderId="72" xfId="89" applyNumberFormat="1" applyFont="1" applyFill="1" applyBorder="1" applyAlignment="1" applyProtection="1">
      <alignment horizontal="center" vertical="center" wrapText="1"/>
    </xf>
    <xf numFmtId="10" fontId="12" fillId="26" borderId="14" xfId="89" applyNumberFormat="1" applyFont="1" applyFill="1" applyBorder="1" applyAlignment="1" applyProtection="1">
      <alignment horizontal="center" vertical="center" wrapText="1"/>
    </xf>
    <xf numFmtId="10" fontId="12" fillId="26" borderId="22" xfId="89" applyNumberFormat="1" applyFont="1" applyFill="1" applyBorder="1" applyAlignment="1" applyProtection="1">
      <alignment horizontal="center" vertical="center" wrapText="1"/>
    </xf>
    <xf numFmtId="0" fontId="79" fillId="26" borderId="91" xfId="88" applyFont="1" applyFill="1" applyBorder="1" applyAlignment="1">
      <alignment horizontal="left" vertical="center" wrapText="1"/>
    </xf>
    <xf numFmtId="0" fontId="12" fillId="26" borderId="57" xfId="88" applyFont="1" applyFill="1" applyBorder="1" applyAlignment="1">
      <alignment horizontal="center" vertical="center" wrapText="1"/>
    </xf>
    <xf numFmtId="0" fontId="12" fillId="26" borderId="37" xfId="88" applyFont="1" applyFill="1" applyBorder="1" applyAlignment="1">
      <alignment horizontal="center" vertical="center" wrapText="1"/>
    </xf>
    <xf numFmtId="10" fontId="12" fillId="26" borderId="52" xfId="89" applyNumberFormat="1" applyFont="1" applyFill="1" applyBorder="1" applyAlignment="1" applyProtection="1">
      <alignment horizontal="center" vertical="center" wrapText="1"/>
    </xf>
    <xf numFmtId="10" fontId="12" fillId="26" borderId="32" xfId="89" applyNumberFormat="1" applyFont="1" applyFill="1" applyBorder="1" applyAlignment="1" applyProtection="1">
      <alignment horizontal="center" vertical="center" wrapText="1"/>
    </xf>
    <xf numFmtId="10" fontId="12" fillId="26" borderId="15" xfId="89" applyNumberFormat="1" applyFont="1" applyFill="1" applyBorder="1" applyAlignment="1" applyProtection="1">
      <alignment horizontal="center" vertical="center" wrapText="1"/>
    </xf>
    <xf numFmtId="10" fontId="12" fillId="26" borderId="23" xfId="89" applyNumberFormat="1" applyFont="1" applyFill="1" applyBorder="1" applyAlignment="1" applyProtection="1">
      <alignment horizontal="center" vertical="center" wrapText="1"/>
    </xf>
    <xf numFmtId="0" fontId="79" fillId="26" borderId="95" xfId="88" applyFont="1" applyFill="1" applyBorder="1" applyAlignment="1">
      <alignment horizontal="left" vertical="center" wrapText="1"/>
    </xf>
    <xf numFmtId="0" fontId="12" fillId="26" borderId="76" xfId="88" applyFont="1" applyFill="1" applyBorder="1" applyAlignment="1">
      <alignment horizontal="center" vertical="center" wrapText="1"/>
    </xf>
    <xf numFmtId="0" fontId="12" fillId="26" borderId="22" xfId="88" applyFont="1" applyFill="1" applyBorder="1" applyAlignment="1">
      <alignment horizontal="center" vertical="center" wrapText="1"/>
    </xf>
    <xf numFmtId="0" fontId="12" fillId="26" borderId="55" xfId="88" applyFont="1" applyFill="1" applyBorder="1" applyAlignment="1">
      <alignment horizontal="center" vertical="center" wrapText="1"/>
    </xf>
    <xf numFmtId="10" fontId="79" fillId="26" borderId="95" xfId="89" applyNumberFormat="1" applyFont="1" applyFill="1" applyBorder="1" applyAlignment="1" applyProtection="1">
      <alignment horizontal="center" vertical="center" wrapText="1"/>
    </xf>
    <xf numFmtId="0" fontId="12" fillId="26" borderId="28" xfId="88" applyFont="1" applyFill="1" applyBorder="1" applyAlignment="1">
      <alignment horizontal="center" vertical="center" wrapText="1"/>
    </xf>
    <xf numFmtId="10" fontId="12" fillId="26" borderId="56" xfId="89" applyNumberFormat="1" applyFont="1" applyFill="1" applyBorder="1" applyAlignment="1" applyProtection="1">
      <alignment horizontal="center" vertical="center" wrapText="1"/>
    </xf>
    <xf numFmtId="10" fontId="12" fillId="26" borderId="79" xfId="89" applyNumberFormat="1" applyFont="1" applyFill="1" applyBorder="1" applyAlignment="1" applyProtection="1">
      <alignment horizontal="center" vertical="center" wrapText="1"/>
    </xf>
    <xf numFmtId="10" fontId="12" fillId="26" borderId="19" xfId="89" applyNumberFormat="1" applyFont="1" applyFill="1" applyBorder="1" applyAlignment="1" applyProtection="1">
      <alignment horizontal="center" vertical="center" wrapText="1"/>
    </xf>
    <xf numFmtId="10" fontId="12" fillId="26" borderId="28" xfId="89" applyNumberFormat="1" applyFont="1" applyFill="1" applyBorder="1" applyAlignment="1" applyProtection="1">
      <alignment horizontal="center" vertical="center" wrapText="1"/>
    </xf>
    <xf numFmtId="0" fontId="79" fillId="26" borderId="94" xfId="88" applyFont="1" applyFill="1" applyBorder="1" applyAlignment="1">
      <alignment horizontal="left" vertical="center" wrapText="1"/>
    </xf>
    <xf numFmtId="0" fontId="12" fillId="26" borderId="0" xfId="88" applyFont="1" applyFill="1" applyAlignment="1">
      <alignment horizontal="center" vertical="center" wrapText="1"/>
    </xf>
    <xf numFmtId="10" fontId="12" fillId="26" borderId="0" xfId="89" applyNumberFormat="1" applyFont="1" applyFill="1" applyBorder="1" applyAlignment="1" applyProtection="1">
      <alignment horizontal="center" vertical="center" wrapText="1"/>
    </xf>
    <xf numFmtId="0" fontId="79" fillId="26" borderId="0" xfId="88" applyFont="1" applyFill="1" applyAlignment="1">
      <alignment horizontal="left" vertical="center" wrapText="1"/>
    </xf>
    <xf numFmtId="14" fontId="117" fillId="20" borderId="0" xfId="88" applyNumberFormat="1" applyFont="1" applyFill="1" applyAlignment="1">
      <alignment horizontal="left" vertical="center"/>
    </xf>
    <xf numFmtId="0" fontId="12" fillId="20" borderId="0" xfId="88" applyFont="1" applyFill="1" applyAlignment="1">
      <alignment horizontal="center" vertical="center"/>
    </xf>
    <xf numFmtId="0" fontId="21" fillId="20" borderId="0" xfId="88" applyFont="1" applyFill="1" applyAlignment="1">
      <alignment horizontal="right" vertical="center"/>
    </xf>
    <xf numFmtId="0" fontId="12" fillId="20" borderId="0" xfId="88" applyFont="1" applyFill="1" applyAlignment="1">
      <alignment horizontal="left" vertical="center"/>
    </xf>
    <xf numFmtId="0" fontId="43" fillId="20" borderId="0" xfId="88" applyFont="1" applyFill="1" applyAlignment="1">
      <alignment horizontal="left" vertical="center"/>
    </xf>
    <xf numFmtId="3" fontId="117" fillId="28" borderId="56" xfId="88" applyNumberFormat="1" applyFont="1" applyFill="1" applyBorder="1" applyAlignment="1" applyProtection="1">
      <alignment horizontal="center" vertical="center" wrapText="1"/>
      <protection locked="0"/>
    </xf>
    <xf numFmtId="3" fontId="117" fillId="28" borderId="79" xfId="88" applyNumberFormat="1" applyFont="1" applyFill="1" applyBorder="1" applyAlignment="1" applyProtection="1">
      <alignment horizontal="center" vertical="center" wrapText="1"/>
      <protection locked="0"/>
    </xf>
    <xf numFmtId="3" fontId="117" fillId="28" borderId="19" xfId="88" applyNumberFormat="1" applyFont="1" applyFill="1" applyBorder="1" applyAlignment="1" applyProtection="1">
      <alignment horizontal="center" vertical="center" wrapText="1"/>
      <protection locked="0"/>
    </xf>
    <xf numFmtId="3" fontId="117" fillId="28" borderId="54" xfId="88" applyNumberFormat="1" applyFont="1" applyFill="1" applyBorder="1" applyAlignment="1" applyProtection="1">
      <alignment horizontal="center" vertical="center" wrapText="1"/>
      <protection locked="0"/>
    </xf>
    <xf numFmtId="3" fontId="117" fillId="28" borderId="69" xfId="88" applyNumberFormat="1" applyFont="1" applyFill="1" applyBorder="1" applyAlignment="1" applyProtection="1">
      <alignment horizontal="center" vertical="center" wrapText="1"/>
      <protection locked="0"/>
    </xf>
    <xf numFmtId="3" fontId="117" fillId="28" borderId="18" xfId="88" applyNumberFormat="1" applyFont="1" applyFill="1" applyBorder="1" applyAlignment="1" applyProtection="1">
      <alignment horizontal="center" vertical="center" wrapText="1"/>
      <protection locked="0"/>
    </xf>
    <xf numFmtId="3" fontId="116" fillId="28" borderId="32" xfId="88" applyNumberFormat="1" applyFont="1" applyFill="1" applyBorder="1" applyAlignment="1" applyProtection="1">
      <alignment horizontal="center" vertical="center" wrapText="1"/>
      <protection locked="0"/>
    </xf>
    <xf numFmtId="3" fontId="116" fillId="28" borderId="7" xfId="88" applyNumberFormat="1" applyFont="1" applyFill="1" applyBorder="1" applyAlignment="1" applyProtection="1">
      <alignment horizontal="center" vertical="center" wrapText="1"/>
      <protection locked="0"/>
    </xf>
    <xf numFmtId="0" fontId="82" fillId="44" borderId="2" xfId="52" applyFont="1" applyFill="1" applyBorder="1" applyAlignment="1">
      <alignment horizontal="center" vertical="center"/>
    </xf>
    <xf numFmtId="0" fontId="40" fillId="39" borderId="42" xfId="49" applyFont="1" applyFill="1" applyBorder="1" applyAlignment="1">
      <alignment horizontal="center" vertical="center" wrapText="1"/>
    </xf>
    <xf numFmtId="0" fontId="21" fillId="39" borderId="42" xfId="49" applyFont="1" applyFill="1" applyBorder="1" applyAlignment="1">
      <alignment horizontal="left" vertical="center" wrapText="1"/>
    </xf>
    <xf numFmtId="0" fontId="40" fillId="39" borderId="38" xfId="49" applyFont="1" applyFill="1" applyBorder="1" applyAlignment="1">
      <alignment horizontal="center" vertical="center" wrapText="1"/>
    </xf>
    <xf numFmtId="0" fontId="40" fillId="39" borderId="9" xfId="49" applyFont="1" applyFill="1" applyBorder="1" applyAlignment="1">
      <alignment horizontal="center" vertical="center" wrapText="1"/>
    </xf>
    <xf numFmtId="0" fontId="40" fillId="39" borderId="10" xfId="49" applyFont="1" applyFill="1" applyBorder="1" applyAlignment="1">
      <alignment horizontal="center" vertical="center" wrapText="1"/>
    </xf>
    <xf numFmtId="0" fontId="57" fillId="27" borderId="15" xfId="52" applyFont="1" applyFill="1" applyBorder="1" applyAlignment="1">
      <alignment horizontal="left" vertical="center"/>
    </xf>
    <xf numFmtId="0" fontId="40" fillId="39" borderId="47" xfId="49" applyFont="1" applyFill="1" applyBorder="1" applyAlignment="1">
      <alignment horizontal="center" vertical="center" wrapText="1"/>
    </xf>
    <xf numFmtId="0" fontId="40" fillId="39" borderId="71" xfId="49" applyFont="1" applyFill="1" applyBorder="1" applyAlignment="1">
      <alignment horizontal="center" vertical="center" wrapText="1"/>
    </xf>
    <xf numFmtId="0" fontId="40" fillId="39" borderId="48" xfId="49" applyFont="1" applyFill="1" applyBorder="1" applyAlignment="1">
      <alignment horizontal="center" vertical="center" wrapText="1"/>
    </xf>
    <xf numFmtId="0" fontId="40" fillId="26" borderId="42" xfId="49" applyFont="1" applyFill="1" applyBorder="1" applyAlignment="1">
      <alignment horizontal="center" vertical="center" wrapText="1"/>
    </xf>
    <xf numFmtId="0" fontId="62" fillId="27" borderId="0" xfId="52" applyFont="1" applyFill="1" applyAlignment="1">
      <alignment vertical="center"/>
    </xf>
    <xf numFmtId="0" fontId="41" fillId="27" borderId="0" xfId="52" applyFont="1" applyFill="1" applyAlignment="1">
      <alignment vertical="center"/>
    </xf>
    <xf numFmtId="14" fontId="82" fillId="27" borderId="0" xfId="52" applyNumberFormat="1" applyFont="1" applyFill="1" applyAlignment="1">
      <alignment horizontal="left" vertical="center"/>
    </xf>
    <xf numFmtId="14" fontId="40" fillId="27" borderId="0" xfId="52" applyNumberFormat="1" applyFont="1" applyFill="1" applyAlignment="1">
      <alignment vertical="center"/>
    </xf>
    <xf numFmtId="3" fontId="21" fillId="27" borderId="0" xfId="84" applyNumberFormat="1" applyFont="1" applyFill="1" applyAlignment="1">
      <alignment horizontal="right" vertical="center"/>
    </xf>
    <xf numFmtId="3" fontId="12" fillId="27" borderId="0" xfId="84" applyNumberFormat="1" applyFont="1" applyFill="1" applyAlignment="1">
      <alignment horizontal="left" vertical="center"/>
    </xf>
    <xf numFmtId="0" fontId="40" fillId="27" borderId="0" xfId="52" applyFont="1" applyFill="1" applyAlignment="1">
      <alignment horizontal="right" vertical="center"/>
    </xf>
    <xf numFmtId="3" fontId="12" fillId="27" borderId="0" xfId="84" applyNumberFormat="1" applyFont="1" applyFill="1" applyAlignment="1">
      <alignment horizontal="right" vertical="center"/>
    </xf>
    <xf numFmtId="3" fontId="43" fillId="27" borderId="0" xfId="84" applyNumberFormat="1" applyFont="1" applyFill="1" applyAlignment="1">
      <alignment horizontal="left" vertical="center"/>
    </xf>
    <xf numFmtId="0" fontId="42" fillId="27" borderId="0" xfId="52" applyFont="1" applyFill="1" applyAlignment="1">
      <alignment vertical="center"/>
    </xf>
    <xf numFmtId="0" fontId="12" fillId="27" borderId="0" xfId="52" applyFont="1" applyFill="1" applyAlignment="1">
      <alignment vertical="center"/>
    </xf>
    <xf numFmtId="0" fontId="57" fillId="27" borderId="0" xfId="54" applyFont="1" applyFill="1" applyAlignment="1">
      <alignment vertical="center"/>
    </xf>
    <xf numFmtId="0" fontId="65" fillId="27" borderId="0" xfId="54" applyFont="1" applyFill="1" applyAlignment="1">
      <alignment vertical="center"/>
    </xf>
    <xf numFmtId="0" fontId="102" fillId="27" borderId="0" xfId="54" applyFont="1" applyFill="1" applyAlignment="1">
      <alignment vertical="center" wrapText="1"/>
    </xf>
    <xf numFmtId="0" fontId="43" fillId="26" borderId="0" xfId="0" applyFont="1" applyFill="1" applyAlignment="1">
      <alignment vertical="center" wrapText="1"/>
    </xf>
    <xf numFmtId="3" fontId="65" fillId="28" borderId="49" xfId="52" applyNumberFormat="1" applyFont="1" applyFill="1" applyBorder="1" applyAlignment="1" applyProtection="1">
      <alignment horizontal="center" vertical="center"/>
      <protection locked="0"/>
    </xf>
    <xf numFmtId="3" fontId="65" fillId="28" borderId="73" xfId="52" applyNumberFormat="1" applyFont="1" applyFill="1" applyBorder="1" applyAlignment="1" applyProtection="1">
      <alignment horizontal="center" vertical="center"/>
      <protection locked="0"/>
    </xf>
    <xf numFmtId="3" fontId="65" fillId="28" borderId="76" xfId="52" applyNumberFormat="1" applyFont="1" applyFill="1" applyBorder="1" applyAlignment="1" applyProtection="1">
      <alignment horizontal="center" vertical="center"/>
      <protection locked="0"/>
    </xf>
    <xf numFmtId="3" fontId="12" fillId="28" borderId="75" xfId="57" applyNumberFormat="1" applyFont="1" applyFill="1" applyBorder="1" applyAlignment="1" applyProtection="1">
      <alignment horizontal="center" vertical="center"/>
      <protection locked="0"/>
    </xf>
    <xf numFmtId="3" fontId="12" fillId="28" borderId="73" xfId="57" applyNumberFormat="1" applyFont="1" applyFill="1" applyBorder="1" applyAlignment="1" applyProtection="1">
      <alignment horizontal="center" vertical="center"/>
      <protection locked="0"/>
    </xf>
    <xf numFmtId="3" fontId="12" fillId="28" borderId="76" xfId="57" applyNumberFormat="1" applyFont="1" applyFill="1" applyBorder="1" applyAlignment="1" applyProtection="1">
      <alignment horizontal="center" vertical="center"/>
      <protection locked="0"/>
    </xf>
    <xf numFmtId="3" fontId="12" fillId="28" borderId="49" xfId="57" applyNumberFormat="1" applyFont="1" applyFill="1" applyBorder="1" applyAlignment="1" applyProtection="1">
      <alignment horizontal="center" vertical="center"/>
      <protection locked="0"/>
    </xf>
    <xf numFmtId="3" fontId="12" fillId="28" borderId="31" xfId="57" applyNumberFormat="1" applyFont="1" applyFill="1" applyBorder="1" applyAlignment="1" applyProtection="1">
      <alignment horizontal="center" vertical="center"/>
      <protection locked="0"/>
    </xf>
    <xf numFmtId="3" fontId="12" fillId="28" borderId="50" xfId="57" applyNumberFormat="1" applyFont="1" applyFill="1" applyBorder="1" applyAlignment="1" applyProtection="1">
      <alignment horizontal="center" vertical="center"/>
      <protection locked="0"/>
    </xf>
    <xf numFmtId="0" fontId="52" fillId="26" borderId="0" xfId="32" applyFont="1" applyFill="1" applyAlignment="1">
      <alignment vertical="center"/>
    </xf>
    <xf numFmtId="0" fontId="13" fillId="26" borderId="0" xfId="32" applyFont="1" applyFill="1" applyAlignment="1">
      <alignment horizontal="right" vertical="center"/>
    </xf>
    <xf numFmtId="49" fontId="40" fillId="27" borderId="24" xfId="0" applyNumberFormat="1" applyFont="1" applyFill="1" applyBorder="1" applyAlignment="1">
      <alignment horizontal="center" vertical="center" wrapText="1"/>
    </xf>
    <xf numFmtId="3" fontId="40" fillId="26" borderId="52" xfId="0" applyNumberFormat="1" applyFont="1" applyFill="1" applyBorder="1" applyAlignment="1">
      <alignment horizontal="center" vertical="center"/>
    </xf>
    <xf numFmtId="3" fontId="40" fillId="26" borderId="7" xfId="0" applyNumberFormat="1" applyFont="1" applyFill="1" applyBorder="1" applyAlignment="1">
      <alignment horizontal="center" vertical="center"/>
    </xf>
    <xf numFmtId="3" fontId="40" fillId="26" borderId="53" xfId="0" applyNumberFormat="1" applyFont="1" applyFill="1" applyBorder="1" applyAlignment="1">
      <alignment horizontal="center" vertical="center"/>
    </xf>
    <xf numFmtId="3" fontId="41" fillId="0" borderId="99" xfId="0" applyNumberFormat="1" applyFont="1" applyBorder="1" applyAlignment="1">
      <alignment horizontal="right" vertical="center"/>
    </xf>
    <xf numFmtId="3" fontId="41" fillId="0" borderId="113" xfId="0" applyNumberFormat="1" applyFont="1" applyBorder="1" applyAlignment="1">
      <alignment horizontal="right" vertical="center"/>
    </xf>
    <xf numFmtId="3" fontId="41" fillId="0" borderId="95" xfId="0" applyNumberFormat="1" applyFont="1" applyBorder="1" applyAlignment="1">
      <alignment horizontal="right" vertical="center"/>
    </xf>
    <xf numFmtId="3" fontId="141" fillId="0" borderId="25" xfId="0" applyNumberFormat="1" applyFont="1" applyBorder="1" applyAlignment="1">
      <alignment horizontal="center" vertical="center"/>
    </xf>
    <xf numFmtId="3" fontId="141" fillId="0" borderId="77" xfId="0" applyNumberFormat="1" applyFont="1" applyBorder="1" applyAlignment="1">
      <alignment horizontal="center" vertical="center"/>
    </xf>
    <xf numFmtId="3" fontId="141" fillId="0" borderId="44" xfId="0" applyNumberFormat="1" applyFont="1" applyBorder="1" applyAlignment="1">
      <alignment horizontal="center" vertical="center"/>
    </xf>
    <xf numFmtId="3" fontId="141" fillId="0" borderId="31" xfId="0" applyNumberFormat="1" applyFont="1" applyBorder="1" applyAlignment="1">
      <alignment horizontal="center" vertical="center"/>
    </xf>
    <xf numFmtId="3" fontId="141" fillId="0" borderId="50" xfId="0" applyNumberFormat="1" applyFont="1" applyBorder="1" applyAlignment="1">
      <alignment horizontal="center" vertical="center"/>
    </xf>
    <xf numFmtId="3" fontId="141" fillId="0" borderId="49" xfId="0" applyNumberFormat="1" applyFont="1" applyBorder="1" applyAlignment="1">
      <alignment horizontal="center" vertical="center"/>
    </xf>
    <xf numFmtId="3" fontId="41" fillId="0" borderId="93" xfId="0" applyNumberFormat="1" applyFont="1" applyBorder="1" applyAlignment="1">
      <alignment horizontal="right" vertical="center"/>
    </xf>
    <xf numFmtId="3" fontId="41" fillId="0" borderId="114" xfId="0" applyNumberFormat="1" applyFont="1" applyBorder="1" applyAlignment="1">
      <alignment horizontal="right" vertical="center"/>
    </xf>
    <xf numFmtId="3" fontId="41" fillId="0" borderId="94" xfId="0" applyNumberFormat="1" applyFont="1" applyBorder="1" applyAlignment="1">
      <alignment horizontal="right" vertical="center"/>
    </xf>
    <xf numFmtId="3" fontId="41" fillId="31" borderId="75" xfId="0" applyNumberFormat="1" applyFont="1" applyFill="1" applyBorder="1" applyAlignment="1">
      <alignment horizontal="right" vertical="center"/>
    </xf>
    <xf numFmtId="3" fontId="41" fillId="31" borderId="73" xfId="0" applyNumberFormat="1" applyFont="1" applyFill="1" applyBorder="1" applyAlignment="1">
      <alignment horizontal="right" vertical="center"/>
    </xf>
    <xf numFmtId="3" fontId="41" fillId="31" borderId="76" xfId="0" applyNumberFormat="1" applyFont="1" applyFill="1" applyBorder="1" applyAlignment="1">
      <alignment horizontal="right" vertical="center"/>
    </xf>
    <xf numFmtId="9" fontId="40" fillId="0" borderId="56" xfId="51" applyFont="1" applyFill="1" applyBorder="1" applyAlignment="1" applyProtection="1">
      <alignment horizontal="center" vertical="center"/>
    </xf>
    <xf numFmtId="9" fontId="40" fillId="0" borderId="77" xfId="51" applyFont="1" applyFill="1" applyBorder="1" applyAlignment="1" applyProtection="1">
      <alignment horizontal="center" vertical="center"/>
    </xf>
    <xf numFmtId="9" fontId="40" fillId="0" borderId="57" xfId="51" applyFont="1" applyFill="1" applyBorder="1" applyAlignment="1" applyProtection="1">
      <alignment horizontal="center" vertical="center"/>
    </xf>
    <xf numFmtId="0" fontId="27" fillId="27" borderId="0" xfId="32" applyFill="1" applyAlignment="1">
      <alignment horizontal="center" vertical="center"/>
    </xf>
    <xf numFmtId="14" fontId="40" fillId="26" borderId="0" xfId="32" applyNumberFormat="1" applyFont="1" applyFill="1" applyAlignment="1">
      <alignment horizontal="center" vertical="center"/>
    </xf>
    <xf numFmtId="14" fontId="40" fillId="26" borderId="0" xfId="32" applyNumberFormat="1" applyFont="1" applyFill="1" applyAlignment="1">
      <alignment vertical="center"/>
    </xf>
    <xf numFmtId="0" fontId="41" fillId="26" borderId="0" xfId="32" applyFont="1" applyFill="1" applyAlignment="1">
      <alignment horizontal="center" vertical="center"/>
    </xf>
    <xf numFmtId="0" fontId="40" fillId="26" borderId="0" xfId="32" applyFont="1" applyFill="1" applyAlignment="1">
      <alignment horizontal="right" vertical="center"/>
    </xf>
    <xf numFmtId="0" fontId="41" fillId="26" borderId="0" xfId="32" applyFont="1" applyFill="1" applyAlignment="1">
      <alignment horizontal="left" vertical="center"/>
    </xf>
    <xf numFmtId="0" fontId="41" fillId="26" borderId="0" xfId="32" applyFont="1" applyFill="1" applyAlignment="1">
      <alignment vertical="center"/>
    </xf>
    <xf numFmtId="49" fontId="41" fillId="26" borderId="0" xfId="32" applyNumberFormat="1" applyFont="1" applyFill="1" applyAlignment="1">
      <alignment horizontal="right" vertical="center"/>
    </xf>
    <xf numFmtId="0" fontId="125" fillId="26" borderId="0" xfId="32" applyFont="1" applyFill="1" applyAlignment="1">
      <alignment horizontal="left" vertical="center"/>
    </xf>
    <xf numFmtId="14" fontId="136" fillId="27" borderId="0" xfId="0" applyNumberFormat="1" applyFont="1" applyFill="1" applyAlignment="1">
      <alignment vertical="center"/>
    </xf>
    <xf numFmtId="0" fontId="137" fillId="27" borderId="0" xfId="0" applyFont="1" applyFill="1" applyAlignment="1">
      <alignment vertical="center"/>
    </xf>
    <xf numFmtId="0" fontId="136" fillId="27" borderId="0" xfId="0" applyFont="1" applyFill="1" applyAlignment="1">
      <alignment vertical="center"/>
    </xf>
    <xf numFmtId="0" fontId="136" fillId="27" borderId="0" xfId="0" applyFont="1" applyFill="1" applyAlignment="1">
      <alignment horizontal="right" vertical="center"/>
    </xf>
    <xf numFmtId="0" fontId="137" fillId="27" borderId="0" xfId="0" applyFont="1" applyFill="1" applyAlignment="1">
      <alignment horizontal="center" vertical="center"/>
    </xf>
    <xf numFmtId="0" fontId="27" fillId="27" borderId="0" xfId="32" applyFill="1" applyAlignment="1">
      <alignment horizontal="right" vertical="center"/>
    </xf>
    <xf numFmtId="0" fontId="140" fillId="27" borderId="0" xfId="0" applyFont="1" applyFill="1" applyAlignment="1">
      <alignment horizontal="center" vertical="center"/>
    </xf>
    <xf numFmtId="0" fontId="27" fillId="27" borderId="0" xfId="0" applyFont="1" applyFill="1" applyAlignment="1">
      <alignment horizontal="center" vertical="center"/>
    </xf>
    <xf numFmtId="0" fontId="138" fillId="27" borderId="0" xfId="32" applyFont="1" applyFill="1" applyAlignment="1">
      <alignment horizontal="center" vertical="center"/>
    </xf>
    <xf numFmtId="0" fontId="139" fillId="27" borderId="0" xfId="32" applyFont="1" applyFill="1" applyAlignment="1">
      <alignment horizontal="center" vertical="center"/>
    </xf>
    <xf numFmtId="3" fontId="40" fillId="28" borderId="49" xfId="0" applyNumberFormat="1" applyFont="1" applyFill="1" applyBorder="1" applyAlignment="1" applyProtection="1">
      <alignment horizontal="center" vertical="center"/>
      <protection locked="0"/>
    </xf>
    <xf numFmtId="3" fontId="40" fillId="28" borderId="31" xfId="0" applyNumberFormat="1" applyFont="1" applyFill="1" applyBorder="1" applyAlignment="1" applyProtection="1">
      <alignment horizontal="center" vertical="center"/>
      <protection locked="0"/>
    </xf>
    <xf numFmtId="3" fontId="40" fillId="28" borderId="50" xfId="0" applyNumberFormat="1" applyFont="1" applyFill="1" applyBorder="1" applyAlignment="1" applyProtection="1">
      <alignment horizontal="center" vertical="center"/>
      <protection locked="0"/>
    </xf>
    <xf numFmtId="0" fontId="52" fillId="26" borderId="0" xfId="0" applyFont="1" applyFill="1" applyAlignment="1">
      <alignment horizontal="center" vertical="center"/>
    </xf>
    <xf numFmtId="0" fontId="13" fillId="26" borderId="0" xfId="0" applyFont="1" applyFill="1" applyAlignment="1">
      <alignment horizontal="center" vertical="center"/>
    </xf>
    <xf numFmtId="168" fontId="41" fillId="26" borderId="7" xfId="0" applyNumberFormat="1" applyFont="1" applyFill="1" applyBorder="1" applyAlignment="1">
      <alignment horizontal="center" vertical="center" wrapText="1"/>
    </xf>
    <xf numFmtId="3" fontId="41" fillId="26" borderId="113" xfId="32" applyNumberFormat="1" applyFont="1" applyFill="1" applyBorder="1" applyAlignment="1">
      <alignment horizontal="center" vertical="center"/>
    </xf>
    <xf numFmtId="168" fontId="41" fillId="26" borderId="7" xfId="0" applyNumberFormat="1" applyFont="1" applyFill="1" applyBorder="1" applyAlignment="1">
      <alignment horizontal="center" vertical="center"/>
    </xf>
    <xf numFmtId="3" fontId="41" fillId="26" borderId="7" xfId="0" applyNumberFormat="1" applyFont="1" applyFill="1" applyBorder="1" applyAlignment="1">
      <alignment horizontal="center" vertical="center"/>
    </xf>
    <xf numFmtId="14" fontId="41" fillId="26" borderId="0" xfId="0" applyNumberFormat="1" applyFont="1" applyFill="1" applyAlignment="1">
      <alignment vertical="center"/>
    </xf>
    <xf numFmtId="14" fontId="40" fillId="26" borderId="0" xfId="0" applyNumberFormat="1" applyFont="1" applyFill="1" applyAlignment="1">
      <alignment vertical="center"/>
    </xf>
    <xf numFmtId="0" fontId="41" fillId="26" borderId="0" xfId="0" applyFont="1" applyFill="1" applyAlignment="1">
      <alignment horizontal="center" vertical="center"/>
    </xf>
    <xf numFmtId="0" fontId="40" fillId="26" borderId="0" xfId="0" applyFont="1" applyFill="1" applyAlignment="1">
      <alignment horizontal="right" vertical="center"/>
    </xf>
    <xf numFmtId="0" fontId="41" fillId="26" borderId="0" xfId="0" applyFont="1" applyFill="1" applyAlignment="1">
      <alignment horizontal="left" vertical="center"/>
    </xf>
    <xf numFmtId="0" fontId="41" fillId="26" borderId="0" xfId="0" applyFont="1" applyFill="1" applyAlignment="1">
      <alignment vertical="center"/>
    </xf>
    <xf numFmtId="0" fontId="42" fillId="26" borderId="0" xfId="0" applyFont="1" applyFill="1" applyAlignment="1">
      <alignment horizontal="left" vertical="center"/>
    </xf>
    <xf numFmtId="0" fontId="41" fillId="27" borderId="0" xfId="0" applyFont="1" applyFill="1" applyAlignment="1">
      <alignment vertical="center"/>
    </xf>
    <xf numFmtId="0" fontId="41" fillId="27" borderId="0" xfId="0" applyFont="1" applyFill="1" applyAlignment="1">
      <alignment horizontal="center" vertical="center"/>
    </xf>
    <xf numFmtId="0" fontId="42" fillId="27" borderId="0" xfId="31" applyFont="1" applyFill="1" applyAlignment="1">
      <alignment horizontal="center" vertical="center"/>
    </xf>
    <xf numFmtId="0" fontId="40" fillId="27" borderId="0" xfId="0" applyFont="1" applyFill="1" applyAlignment="1">
      <alignment vertical="center"/>
    </xf>
    <xf numFmtId="0" fontId="40" fillId="27" borderId="0" xfId="0" applyFont="1" applyFill="1" applyAlignment="1">
      <alignment horizontal="center" vertical="center"/>
    </xf>
    <xf numFmtId="0" fontId="42" fillId="26" borderId="0" xfId="0" applyFont="1" applyFill="1" applyAlignment="1">
      <alignment horizontal="center" vertical="center"/>
    </xf>
    <xf numFmtId="0" fontId="12" fillId="0" borderId="0" xfId="32" applyFont="1" applyAlignment="1">
      <alignment vertical="center"/>
    </xf>
    <xf numFmtId="0" fontId="13" fillId="0" borderId="0" xfId="32" applyFont="1" applyAlignment="1">
      <alignment horizontal="center" vertical="center"/>
    </xf>
    <xf numFmtId="0" fontId="20" fillId="0" borderId="0" xfId="32" applyFont="1" applyAlignment="1">
      <alignment horizontal="center" vertical="center"/>
    </xf>
    <xf numFmtId="0" fontId="41" fillId="24" borderId="17" xfId="32" applyFont="1" applyFill="1" applyBorder="1" applyAlignment="1">
      <alignment horizontal="center" vertical="center" wrapText="1"/>
    </xf>
    <xf numFmtId="0" fontId="41" fillId="0" borderId="53" xfId="32" applyFont="1" applyBorder="1" applyAlignment="1">
      <alignment horizontal="left" vertical="center" wrapText="1"/>
    </xf>
    <xf numFmtId="0" fontId="41" fillId="20" borderId="5" xfId="32" applyFont="1" applyFill="1" applyBorder="1" applyAlignment="1">
      <alignment horizontal="center" vertical="center" wrapText="1"/>
    </xf>
    <xf numFmtId="0" fontId="41" fillId="20" borderId="17" xfId="32" applyFont="1" applyFill="1" applyBorder="1" applyAlignment="1">
      <alignment horizontal="center" vertical="center" wrapText="1"/>
    </xf>
    <xf numFmtId="0" fontId="41" fillId="24" borderId="51" xfId="78" applyFont="1" applyFill="1" applyBorder="1" applyAlignment="1">
      <alignment horizontal="center" vertical="center" wrapText="1"/>
    </xf>
    <xf numFmtId="176" fontId="40" fillId="24" borderId="51" xfId="78" applyNumberFormat="1" applyFont="1" applyFill="1" applyBorder="1" applyAlignment="1">
      <alignment horizontal="center" vertical="center"/>
    </xf>
    <xf numFmtId="176" fontId="40" fillId="24" borderId="75" xfId="78" applyNumberFormat="1" applyFont="1" applyFill="1" applyBorder="1" applyAlignment="1">
      <alignment horizontal="center" vertical="center"/>
    </xf>
    <xf numFmtId="0" fontId="41" fillId="26" borderId="17" xfId="78" applyFont="1" applyFill="1" applyBorder="1" applyAlignment="1">
      <alignment horizontal="center" vertical="center" wrapText="1"/>
    </xf>
    <xf numFmtId="176" fontId="41" fillId="26" borderId="17" xfId="78" applyNumberFormat="1" applyFont="1" applyFill="1" applyBorder="1" applyAlignment="1">
      <alignment horizontal="center" vertical="center"/>
    </xf>
    <xf numFmtId="3" fontId="41" fillId="26" borderId="39" xfId="78" applyNumberFormat="1" applyFont="1" applyFill="1" applyBorder="1" applyAlignment="1">
      <alignment horizontal="center" vertical="center"/>
    </xf>
    <xf numFmtId="0" fontId="41" fillId="31" borderId="17" xfId="78" applyFont="1" applyFill="1" applyBorder="1" applyAlignment="1">
      <alignment horizontal="center" vertical="center" wrapText="1"/>
    </xf>
    <xf numFmtId="176" fontId="40" fillId="24" borderId="17" xfId="78" applyNumberFormat="1" applyFont="1" applyFill="1" applyBorder="1" applyAlignment="1">
      <alignment horizontal="center" vertical="center"/>
    </xf>
    <xf numFmtId="176" fontId="40" fillId="24" borderId="52" xfId="78" applyNumberFormat="1" applyFont="1" applyFill="1" applyBorder="1" applyAlignment="1">
      <alignment horizontal="center" vertical="center"/>
    </xf>
    <xf numFmtId="3" fontId="41" fillId="26" borderId="17" xfId="78" applyNumberFormat="1" applyFont="1" applyFill="1" applyBorder="1" applyAlignment="1">
      <alignment horizontal="center" vertical="center"/>
    </xf>
    <xf numFmtId="0" fontId="41" fillId="24" borderId="17" xfId="78" applyFont="1" applyFill="1" applyBorder="1" applyAlignment="1">
      <alignment horizontal="center" vertical="center" wrapText="1"/>
    </xf>
    <xf numFmtId="176" fontId="40" fillId="24" borderId="49" xfId="78" applyNumberFormat="1" applyFont="1" applyFill="1" applyBorder="1" applyAlignment="1">
      <alignment horizontal="center" vertical="center"/>
    </xf>
    <xf numFmtId="176" fontId="40" fillId="24" borderId="5" xfId="78" applyNumberFormat="1" applyFont="1" applyFill="1" applyBorder="1" applyAlignment="1">
      <alignment horizontal="center" vertical="center"/>
    </xf>
    <xf numFmtId="14" fontId="41" fillId="26" borderId="57" xfId="78" applyNumberFormat="1" applyFont="1" applyFill="1" applyBorder="1" applyAlignment="1">
      <alignment vertical="center"/>
    </xf>
    <xf numFmtId="0" fontId="41" fillId="26" borderId="21" xfId="78" applyFont="1" applyFill="1" applyBorder="1" applyAlignment="1">
      <alignment horizontal="center" vertical="center" wrapText="1"/>
    </xf>
    <xf numFmtId="176" fontId="41" fillId="26" borderId="21" xfId="78" applyNumberFormat="1" applyFont="1" applyFill="1" applyBorder="1" applyAlignment="1">
      <alignment horizontal="center" vertical="center"/>
    </xf>
    <xf numFmtId="0" fontId="41" fillId="0" borderId="0" xfId="32" applyFont="1" applyAlignment="1">
      <alignment horizontal="center" vertical="center" wrapText="1"/>
    </xf>
    <xf numFmtId="0" fontId="41" fillId="0" borderId="0" xfId="32" applyFont="1" applyAlignment="1">
      <alignment vertical="center"/>
    </xf>
    <xf numFmtId="14" fontId="40" fillId="0" borderId="0" xfId="32" applyNumberFormat="1" applyFont="1" applyAlignment="1">
      <alignment horizontal="left" vertical="center"/>
    </xf>
    <xf numFmtId="0" fontId="41" fillId="0" borderId="0" xfId="32" applyFont="1" applyAlignment="1">
      <alignment horizontal="center" vertical="center"/>
    </xf>
    <xf numFmtId="0" fontId="40" fillId="0" borderId="0" xfId="32" applyFont="1" applyAlignment="1">
      <alignment horizontal="right" vertical="center"/>
    </xf>
    <xf numFmtId="0" fontId="41" fillId="0" borderId="0" xfId="32" applyFont="1" applyAlignment="1">
      <alignment horizontal="left" vertical="center"/>
    </xf>
    <xf numFmtId="0" fontId="40" fillId="0" borderId="0" xfId="32" applyFont="1" applyAlignment="1">
      <alignment horizontal="center" vertical="center"/>
    </xf>
    <xf numFmtId="0" fontId="42" fillId="0" borderId="0" xfId="32" applyFont="1" applyAlignment="1">
      <alignment horizontal="left" vertical="center"/>
    </xf>
    <xf numFmtId="3" fontId="41" fillId="0" borderId="0" xfId="32" applyNumberFormat="1" applyFont="1" applyAlignment="1">
      <alignment horizontal="center" vertical="center"/>
    </xf>
    <xf numFmtId="0" fontId="42" fillId="0" borderId="0" xfId="32" applyFont="1" applyAlignment="1">
      <alignment horizontal="center" vertical="center"/>
    </xf>
    <xf numFmtId="49" fontId="40" fillId="0" borderId="0" xfId="32" applyNumberFormat="1" applyFont="1" applyAlignment="1">
      <alignment horizontal="center" vertical="center"/>
    </xf>
    <xf numFmtId="0" fontId="43" fillId="0" borderId="0" xfId="31" applyFont="1" applyAlignment="1">
      <alignment horizontal="center" vertical="center"/>
    </xf>
    <xf numFmtId="0" fontId="42" fillId="0" borderId="0" xfId="31" applyFont="1" applyAlignment="1">
      <alignment horizontal="center" vertical="center"/>
    </xf>
    <xf numFmtId="0" fontId="41" fillId="27" borderId="0" xfId="32" applyFont="1" applyFill="1" applyAlignment="1">
      <alignment vertical="center"/>
    </xf>
    <xf numFmtId="0" fontId="41" fillId="27" borderId="0" xfId="32" applyFont="1" applyFill="1" applyAlignment="1">
      <alignment vertical="center" wrapText="1"/>
    </xf>
    <xf numFmtId="0" fontId="46" fillId="27" borderId="0" xfId="0" applyFont="1" applyFill="1" applyAlignment="1">
      <alignment vertical="center"/>
    </xf>
    <xf numFmtId="3" fontId="41" fillId="27" borderId="53" xfId="32" applyNumberFormat="1" applyFont="1" applyFill="1" applyBorder="1" applyAlignment="1">
      <alignment horizontal="left" vertical="center" wrapText="1"/>
    </xf>
    <xf numFmtId="3" fontId="41" fillId="26" borderId="93" xfId="32" applyNumberFormat="1" applyFont="1" applyFill="1" applyBorder="1" applyAlignment="1">
      <alignment horizontal="center" vertical="center"/>
    </xf>
    <xf numFmtId="3" fontId="41" fillId="26" borderId="114" xfId="32" applyNumberFormat="1" applyFont="1" applyFill="1" applyBorder="1" applyAlignment="1">
      <alignment horizontal="center" vertical="center"/>
    </xf>
    <xf numFmtId="3" fontId="41" fillId="26" borderId="94" xfId="32" applyNumberFormat="1" applyFont="1" applyFill="1" applyBorder="1" applyAlignment="1">
      <alignment horizontal="center" vertical="center"/>
    </xf>
    <xf numFmtId="0" fontId="42" fillId="26" borderId="24" xfId="32" applyFont="1" applyFill="1" applyBorder="1" applyAlignment="1">
      <alignment horizontal="center" vertical="center"/>
    </xf>
    <xf numFmtId="3" fontId="41" fillId="26" borderId="90" xfId="32" applyNumberFormat="1" applyFont="1" applyFill="1" applyBorder="1" applyAlignment="1">
      <alignment horizontal="center" vertical="center"/>
    </xf>
    <xf numFmtId="3" fontId="41" fillId="26" borderId="112" xfId="32" applyNumberFormat="1" applyFont="1" applyFill="1" applyBorder="1" applyAlignment="1">
      <alignment horizontal="center" vertical="center"/>
    </xf>
    <xf numFmtId="3" fontId="41" fillId="26" borderId="91" xfId="32" applyNumberFormat="1" applyFont="1" applyFill="1" applyBorder="1" applyAlignment="1">
      <alignment horizontal="center" vertical="center"/>
    </xf>
    <xf numFmtId="3" fontId="41" fillId="26" borderId="99" xfId="32" applyNumberFormat="1" applyFont="1" applyFill="1" applyBorder="1" applyAlignment="1">
      <alignment horizontal="center" vertical="center"/>
    </xf>
    <xf numFmtId="3" fontId="41" fillId="26" borderId="95" xfId="32" applyNumberFormat="1" applyFont="1" applyFill="1" applyBorder="1" applyAlignment="1">
      <alignment horizontal="center" vertical="center"/>
    </xf>
    <xf numFmtId="3" fontId="41" fillId="26" borderId="134" xfId="32" applyNumberFormat="1" applyFont="1" applyFill="1" applyBorder="1" applyAlignment="1">
      <alignment horizontal="center" vertical="center"/>
    </xf>
    <xf numFmtId="3" fontId="41" fillId="26" borderId="138" xfId="32" applyNumberFormat="1" applyFont="1" applyFill="1" applyBorder="1" applyAlignment="1">
      <alignment horizontal="center" vertical="center"/>
    </xf>
    <xf numFmtId="3" fontId="41" fillId="26" borderId="139" xfId="32" applyNumberFormat="1" applyFont="1" applyFill="1" applyBorder="1" applyAlignment="1">
      <alignment horizontal="center" vertical="center"/>
    </xf>
    <xf numFmtId="0" fontId="41" fillId="26" borderId="0" xfId="0" applyFont="1" applyFill="1" applyAlignment="1">
      <alignment vertical="center" wrapText="1"/>
    </xf>
    <xf numFmtId="14" fontId="40" fillId="26" borderId="0" xfId="0" applyNumberFormat="1" applyFont="1" applyFill="1" applyAlignment="1">
      <alignment horizontal="left" vertical="center"/>
    </xf>
    <xf numFmtId="0" fontId="42" fillId="27" borderId="0" xfId="0" applyFont="1" applyFill="1" applyAlignment="1">
      <alignment horizontal="center" vertical="center"/>
    </xf>
    <xf numFmtId="0" fontId="42" fillId="27" borderId="0" xfId="31" applyFont="1" applyFill="1" applyAlignment="1">
      <alignment vertical="center"/>
    </xf>
    <xf numFmtId="0" fontId="42" fillId="27" borderId="0" xfId="0" applyFont="1" applyFill="1" applyAlignment="1">
      <alignment horizontal="left" vertical="center"/>
    </xf>
    <xf numFmtId="0" fontId="45" fillId="27" borderId="0" xfId="32" applyFont="1" applyFill="1" applyAlignment="1">
      <alignment horizontal="center" vertical="center"/>
    </xf>
    <xf numFmtId="0" fontId="84" fillId="27" borderId="0" xfId="32" applyFont="1" applyFill="1" applyAlignment="1">
      <alignment vertical="center"/>
    </xf>
    <xf numFmtId="0" fontId="81" fillId="27" borderId="0" xfId="32" applyFont="1" applyFill="1" applyAlignment="1">
      <alignment horizontal="right" vertical="center"/>
    </xf>
    <xf numFmtId="0" fontId="77" fillId="27" borderId="0" xfId="32" applyFont="1" applyFill="1" applyAlignment="1">
      <alignment vertical="center" wrapText="1"/>
    </xf>
    <xf numFmtId="0" fontId="57" fillId="27" borderId="0" xfId="32" applyFont="1" applyFill="1" applyAlignment="1">
      <alignment horizontal="left" vertical="center"/>
    </xf>
    <xf numFmtId="0" fontId="69" fillId="27" borderId="0" xfId="32" applyFont="1" applyFill="1" applyAlignment="1">
      <alignment vertical="center"/>
    </xf>
    <xf numFmtId="0" fontId="126" fillId="27" borderId="0" xfId="32" applyFont="1" applyFill="1" applyAlignment="1">
      <alignment horizontal="center" vertical="center"/>
    </xf>
    <xf numFmtId="0" fontId="126" fillId="27" borderId="0" xfId="32" applyFont="1" applyFill="1" applyAlignment="1">
      <alignment horizontal="left" vertical="center"/>
    </xf>
    <xf numFmtId="0" fontId="65" fillId="27" borderId="20" xfId="32" applyFont="1" applyFill="1" applyBorder="1" applyAlignment="1">
      <alignment vertical="center"/>
    </xf>
    <xf numFmtId="0" fontId="84" fillId="27" borderId="20" xfId="32" applyFont="1" applyFill="1" applyBorder="1" applyAlignment="1">
      <alignment vertical="center"/>
    </xf>
    <xf numFmtId="0" fontId="65" fillId="27" borderId="20" xfId="32" applyFont="1" applyFill="1" applyBorder="1" applyAlignment="1">
      <alignment horizontal="center" vertical="center"/>
    </xf>
    <xf numFmtId="3" fontId="127" fillId="37" borderId="38" xfId="32" applyNumberFormat="1" applyFont="1" applyFill="1" applyBorder="1" applyAlignment="1">
      <alignment horizontal="center" vertical="center"/>
    </xf>
    <xf numFmtId="3" fontId="127" fillId="37" borderId="10" xfId="32" applyNumberFormat="1" applyFont="1" applyFill="1" applyBorder="1" applyAlignment="1">
      <alignment horizontal="center" vertical="center"/>
    </xf>
    <xf numFmtId="3" fontId="47" fillId="37" borderId="65" xfId="32" applyNumberFormat="1" applyFont="1" applyFill="1" applyBorder="1" applyAlignment="1">
      <alignment horizontal="center" vertical="center"/>
    </xf>
    <xf numFmtId="3" fontId="47" fillId="37" borderId="9" xfId="32" applyNumberFormat="1" applyFont="1" applyFill="1" applyBorder="1" applyAlignment="1">
      <alignment horizontal="center" vertical="center"/>
    </xf>
    <xf numFmtId="3" fontId="47" fillId="37" borderId="10" xfId="32" applyNumberFormat="1" applyFont="1" applyFill="1" applyBorder="1" applyAlignment="1">
      <alignment horizontal="center" vertical="center"/>
    </xf>
    <xf numFmtId="1" fontId="127" fillId="37" borderId="65" xfId="32" applyNumberFormat="1" applyFont="1" applyFill="1" applyBorder="1" applyAlignment="1">
      <alignment horizontal="center" vertical="center" wrapText="1"/>
    </xf>
    <xf numFmtId="1" fontId="127" fillId="37" borderId="10" xfId="32" applyNumberFormat="1" applyFont="1" applyFill="1" applyBorder="1" applyAlignment="1">
      <alignment horizontal="center" vertical="center" wrapText="1"/>
    </xf>
    <xf numFmtId="1" fontId="47" fillId="37" borderId="65" xfId="32" applyNumberFormat="1" applyFont="1" applyFill="1" applyBorder="1" applyAlignment="1">
      <alignment horizontal="center" vertical="center" wrapText="1"/>
    </xf>
    <xf numFmtId="1" fontId="47" fillId="37" borderId="9" xfId="32" applyNumberFormat="1" applyFont="1" applyFill="1" applyBorder="1" applyAlignment="1">
      <alignment horizontal="center" vertical="center" wrapText="1"/>
    </xf>
    <xf numFmtId="1" fontId="47" fillId="37" borderId="60" xfId="32" applyNumberFormat="1" applyFont="1" applyFill="1" applyBorder="1" applyAlignment="1">
      <alignment horizontal="center" vertical="center" wrapText="1"/>
    </xf>
    <xf numFmtId="1" fontId="127" fillId="37" borderId="38" xfId="32" applyNumberFormat="1" applyFont="1" applyFill="1" applyBorder="1" applyAlignment="1">
      <alignment horizontal="center" vertical="center" wrapText="1"/>
    </xf>
    <xf numFmtId="0" fontId="47" fillId="37" borderId="2" xfId="0" applyFont="1" applyFill="1" applyBorder="1" applyAlignment="1">
      <alignment horizontal="center" vertical="center" wrapText="1"/>
    </xf>
    <xf numFmtId="1" fontId="47" fillId="37" borderId="20" xfId="32" applyNumberFormat="1" applyFont="1" applyFill="1" applyBorder="1" applyAlignment="1">
      <alignment horizontal="center" vertical="center"/>
    </xf>
    <xf numFmtId="1" fontId="47" fillId="37" borderId="71" xfId="32" applyNumberFormat="1" applyFont="1" applyFill="1" applyBorder="1" applyAlignment="1">
      <alignment horizontal="center" vertical="center"/>
    </xf>
    <xf numFmtId="1" fontId="47" fillId="37" borderId="48" xfId="32" applyNumberFormat="1" applyFont="1" applyFill="1" applyBorder="1" applyAlignment="1">
      <alignment vertical="center"/>
    </xf>
    <xf numFmtId="0" fontId="47" fillId="31" borderId="2" xfId="32" applyFont="1" applyFill="1" applyBorder="1" applyAlignment="1">
      <alignment horizontal="center" vertical="center"/>
    </xf>
    <xf numFmtId="0" fontId="47" fillId="31" borderId="2" xfId="32" applyFont="1" applyFill="1" applyBorder="1" applyAlignment="1">
      <alignment horizontal="left" vertical="center"/>
    </xf>
    <xf numFmtId="0" fontId="47" fillId="31" borderId="2" xfId="32" applyFont="1" applyFill="1" applyBorder="1" applyAlignment="1">
      <alignment vertical="center" wrapText="1"/>
    </xf>
    <xf numFmtId="3" fontId="127" fillId="31" borderId="38" xfId="55" applyNumberFormat="1" applyFont="1" applyFill="1" applyBorder="1" applyAlignment="1" applyProtection="1">
      <alignment horizontal="center" vertical="center"/>
    </xf>
    <xf numFmtId="3" fontId="127" fillId="31" borderId="10" xfId="55" applyNumberFormat="1" applyFont="1" applyFill="1" applyBorder="1" applyAlignment="1" applyProtection="1">
      <alignment horizontal="center" vertical="center"/>
    </xf>
    <xf numFmtId="3" fontId="47" fillId="31" borderId="65" xfId="55" applyNumberFormat="1" applyFont="1" applyFill="1" applyBorder="1" applyAlignment="1" applyProtection="1">
      <alignment horizontal="center" vertical="center"/>
    </xf>
    <xf numFmtId="3" fontId="47" fillId="31" borderId="9" xfId="55" applyNumberFormat="1" applyFont="1" applyFill="1" applyBorder="1" applyAlignment="1" applyProtection="1">
      <alignment horizontal="center" vertical="center"/>
    </xf>
    <xf numFmtId="3" fontId="47" fillId="31" borderId="60" xfId="55" applyNumberFormat="1" applyFont="1" applyFill="1" applyBorder="1" applyAlignment="1" applyProtection="1">
      <alignment horizontal="center" vertical="center"/>
    </xf>
    <xf numFmtId="3" fontId="47" fillId="31" borderId="2" xfId="32" applyNumberFormat="1" applyFont="1" applyFill="1" applyBorder="1" applyAlignment="1">
      <alignment horizontal="center" vertical="center"/>
    </xf>
    <xf numFmtId="3" fontId="127" fillId="31" borderId="38" xfId="32" applyNumberFormat="1" applyFont="1" applyFill="1" applyBorder="1" applyAlignment="1">
      <alignment horizontal="center" vertical="center"/>
    </xf>
    <xf numFmtId="3" fontId="127" fillId="31" borderId="10" xfId="32" applyNumberFormat="1" applyFont="1" applyFill="1" applyBorder="1" applyAlignment="1">
      <alignment horizontal="center" vertical="center"/>
    </xf>
    <xf numFmtId="3" fontId="47" fillId="31" borderId="65" xfId="32" applyNumberFormat="1" applyFont="1" applyFill="1" applyBorder="1" applyAlignment="1">
      <alignment horizontal="center" vertical="center"/>
    </xf>
    <xf numFmtId="3" fontId="47" fillId="31" borderId="9" xfId="32" applyNumberFormat="1" applyFont="1" applyFill="1" applyBorder="1" applyAlignment="1">
      <alignment horizontal="center" vertical="center"/>
    </xf>
    <xf numFmtId="3" fontId="47" fillId="31" borderId="10" xfId="32" applyNumberFormat="1" applyFont="1" applyFill="1" applyBorder="1" applyAlignment="1">
      <alignment horizontal="center" vertical="center"/>
    </xf>
    <xf numFmtId="3" fontId="47" fillId="31" borderId="60" xfId="32" applyNumberFormat="1" applyFont="1" applyFill="1" applyBorder="1" applyAlignment="1">
      <alignment horizontal="center" vertical="center"/>
    </xf>
    <xf numFmtId="3" fontId="45" fillId="29" borderId="38" xfId="49" applyNumberFormat="1" applyFont="1" applyFill="1" applyBorder="1" applyAlignment="1">
      <alignment horizontal="center" vertical="center"/>
    </xf>
    <xf numFmtId="3" fontId="45" fillId="29" borderId="60" xfId="49" applyNumberFormat="1" applyFont="1" applyFill="1" applyBorder="1" applyAlignment="1">
      <alignment horizontal="right" vertical="center"/>
    </xf>
    <xf numFmtId="3" fontId="45" fillId="29" borderId="2" xfId="49" applyNumberFormat="1" applyFont="1" applyFill="1" applyBorder="1" applyAlignment="1">
      <alignment horizontal="center" vertical="center"/>
    </xf>
    <xf numFmtId="3" fontId="45" fillId="29" borderId="9" xfId="49" applyNumberFormat="1" applyFont="1" applyFill="1" applyBorder="1" applyAlignment="1">
      <alignment horizontal="center" vertical="center"/>
    </xf>
    <xf numFmtId="3" fontId="45" fillId="29" borderId="10" xfId="49" applyNumberFormat="1" applyFont="1" applyFill="1" applyBorder="1" applyAlignment="1">
      <alignment horizontal="right" vertical="center"/>
    </xf>
    <xf numFmtId="3" fontId="45" fillId="29" borderId="3" xfId="49" applyNumberFormat="1" applyFont="1" applyFill="1" applyBorder="1" applyAlignment="1">
      <alignment horizontal="left" vertical="center"/>
    </xf>
    <xf numFmtId="0" fontId="47" fillId="27" borderId="5" xfId="32" applyFont="1" applyFill="1" applyBorder="1" applyAlignment="1">
      <alignment horizontal="center" vertical="center"/>
    </xf>
    <xf numFmtId="0" fontId="45" fillId="0" borderId="5" xfId="0" applyFont="1" applyBorder="1" applyAlignment="1">
      <alignment horizontal="center" vertical="center"/>
    </xf>
    <xf numFmtId="9" fontId="45" fillId="27" borderId="5" xfId="70" applyFont="1" applyFill="1" applyBorder="1" applyAlignment="1" applyProtection="1">
      <alignment horizontal="center" vertical="center"/>
    </xf>
    <xf numFmtId="3" fontId="45" fillId="27" borderId="25" xfId="32" applyNumberFormat="1" applyFont="1" applyFill="1" applyBorder="1" applyAlignment="1">
      <alignment horizontal="left" vertical="center" wrapText="1"/>
    </xf>
    <xf numFmtId="3" fontId="57" fillId="0" borderId="46" xfId="55" applyNumberFormat="1" applyFont="1" applyFill="1" applyBorder="1" applyAlignment="1" applyProtection="1">
      <alignment horizontal="center" vertical="center"/>
    </xf>
    <xf numFmtId="3" fontId="57" fillId="0" borderId="13" xfId="55" applyNumberFormat="1" applyFont="1" applyFill="1" applyBorder="1" applyAlignment="1" applyProtection="1">
      <alignment horizontal="center" vertical="center"/>
    </xf>
    <xf numFmtId="3" fontId="57" fillId="0" borderId="4" xfId="55" applyNumberFormat="1" applyFont="1" applyFill="1" applyBorder="1" applyAlignment="1" applyProtection="1">
      <alignment horizontal="center" vertical="center"/>
    </xf>
    <xf numFmtId="3" fontId="57" fillId="0" borderId="67" xfId="55" applyNumberFormat="1" applyFont="1" applyFill="1" applyBorder="1" applyAlignment="1" applyProtection="1">
      <alignment horizontal="center" vertical="center"/>
    </xf>
    <xf numFmtId="3" fontId="47" fillId="27" borderId="5" xfId="32" applyNumberFormat="1" applyFont="1" applyFill="1" applyBorder="1" applyAlignment="1">
      <alignment horizontal="center" vertical="center"/>
    </xf>
    <xf numFmtId="3" fontId="45" fillId="0" borderId="5" xfId="32" applyNumberFormat="1" applyFont="1" applyBorder="1" applyAlignment="1">
      <alignment horizontal="center" vertical="center" wrapText="1"/>
    </xf>
    <xf numFmtId="3" fontId="125" fillId="27" borderId="5" xfId="32" applyNumberFormat="1" applyFont="1" applyFill="1" applyBorder="1" applyAlignment="1">
      <alignment horizontal="left" vertical="center" wrapText="1"/>
    </xf>
    <xf numFmtId="0" fontId="47" fillId="27" borderId="17" xfId="32" applyFont="1" applyFill="1" applyBorder="1" applyAlignment="1">
      <alignment horizontal="center" vertical="center"/>
    </xf>
    <xf numFmtId="0" fontId="45" fillId="0" borderId="17" xfId="0" applyFont="1" applyBorder="1" applyAlignment="1">
      <alignment horizontal="center" vertical="center"/>
    </xf>
    <xf numFmtId="9" fontId="45" fillId="27" borderId="17" xfId="70" applyFont="1" applyFill="1" applyBorder="1" applyAlignment="1" applyProtection="1">
      <alignment horizontal="center" vertical="center"/>
    </xf>
    <xf numFmtId="3" fontId="45" fillId="27" borderId="24" xfId="32" applyNumberFormat="1" applyFont="1" applyFill="1" applyBorder="1" applyAlignment="1">
      <alignment horizontal="left" vertical="center" wrapText="1"/>
    </xf>
    <xf numFmtId="3" fontId="57" fillId="0" borderId="53" xfId="55" applyNumberFormat="1" applyFont="1" applyFill="1" applyBorder="1" applyAlignment="1" applyProtection="1">
      <alignment horizontal="center" vertical="center"/>
    </xf>
    <xf numFmtId="3" fontId="57" fillId="0" borderId="52" xfId="55" applyNumberFormat="1" applyFont="1" applyFill="1" applyBorder="1" applyAlignment="1" applyProtection="1">
      <alignment horizontal="center" vertical="center"/>
    </xf>
    <xf numFmtId="3" fontId="57" fillId="0" borderId="7" xfId="55" applyNumberFormat="1" applyFont="1" applyFill="1" applyBorder="1" applyAlignment="1" applyProtection="1">
      <alignment horizontal="center" vertical="center"/>
    </xf>
    <xf numFmtId="3" fontId="57" fillId="0" borderId="62" xfId="55" applyNumberFormat="1" applyFont="1" applyFill="1" applyBorder="1" applyAlignment="1" applyProtection="1">
      <alignment horizontal="center" vertical="center"/>
    </xf>
    <xf numFmtId="3" fontId="47" fillId="27" borderId="17" xfId="32" applyNumberFormat="1" applyFont="1" applyFill="1" applyBorder="1" applyAlignment="1">
      <alignment horizontal="center" vertical="center"/>
    </xf>
    <xf numFmtId="3" fontId="45" fillId="0" borderId="17" xfId="32" applyNumberFormat="1" applyFont="1" applyBorder="1" applyAlignment="1">
      <alignment horizontal="center" vertical="center" wrapText="1"/>
    </xf>
    <xf numFmtId="3" fontId="125" fillId="27" borderId="17" xfId="32" applyNumberFormat="1" applyFont="1" applyFill="1" applyBorder="1" applyAlignment="1">
      <alignment horizontal="left" vertical="center" wrapText="1"/>
    </xf>
    <xf numFmtId="9" fontId="45" fillId="26" borderId="17" xfId="70" applyFont="1" applyFill="1" applyBorder="1" applyAlignment="1" applyProtection="1">
      <alignment horizontal="center" vertical="center"/>
    </xf>
    <xf numFmtId="3" fontId="45" fillId="0" borderId="24" xfId="32" applyNumberFormat="1" applyFont="1" applyBorder="1" applyAlignment="1">
      <alignment horizontal="left" vertical="center" wrapText="1"/>
    </xf>
    <xf numFmtId="9" fontId="45" fillId="0" borderId="17" xfId="70" applyFont="1" applyFill="1" applyBorder="1" applyAlignment="1" applyProtection="1">
      <alignment horizontal="center" vertical="center"/>
    </xf>
    <xf numFmtId="3" fontId="125" fillId="26" borderId="17" xfId="32" applyNumberFormat="1" applyFont="1" applyFill="1" applyBorder="1" applyAlignment="1">
      <alignment horizontal="left" vertical="center" wrapText="1"/>
    </xf>
    <xf numFmtId="3" fontId="125" fillId="0" borderId="17" xfId="32" applyNumberFormat="1" applyFont="1" applyBorder="1" applyAlignment="1">
      <alignment horizontal="left" vertical="center" wrapText="1"/>
    </xf>
    <xf numFmtId="3" fontId="45" fillId="26" borderId="17" xfId="32" applyNumberFormat="1" applyFont="1" applyFill="1" applyBorder="1" applyAlignment="1">
      <alignment horizontal="center" vertical="center" wrapText="1"/>
    </xf>
    <xf numFmtId="0" fontId="47" fillId="22" borderId="17" xfId="32" applyFont="1" applyFill="1" applyBorder="1" applyAlignment="1">
      <alignment horizontal="center" vertical="center"/>
    </xf>
    <xf numFmtId="0" fontId="47" fillId="22" borderId="39" xfId="32" applyFont="1" applyFill="1" applyBorder="1" applyAlignment="1">
      <alignment horizontal="center" vertical="center"/>
    </xf>
    <xf numFmtId="0" fontId="45" fillId="0" borderId="39" xfId="0" applyFont="1" applyBorder="1" applyAlignment="1">
      <alignment horizontal="center" vertical="center"/>
    </xf>
    <xf numFmtId="9" fontId="45" fillId="27" borderId="39" xfId="70" applyFont="1" applyFill="1" applyBorder="1" applyAlignment="1" applyProtection="1">
      <alignment horizontal="center" vertical="center"/>
    </xf>
    <xf numFmtId="3" fontId="45" fillId="27" borderId="36" xfId="32" applyNumberFormat="1" applyFont="1" applyFill="1" applyBorder="1" applyAlignment="1">
      <alignment horizontal="left" vertical="center" wrapText="1"/>
    </xf>
    <xf numFmtId="3" fontId="47" fillId="27" borderId="21" xfId="32" applyNumberFormat="1" applyFont="1" applyFill="1" applyBorder="1" applyAlignment="1">
      <alignment horizontal="center" vertical="center"/>
    </xf>
    <xf numFmtId="3" fontId="45" fillId="0" borderId="39" xfId="32" applyNumberFormat="1" applyFont="1" applyBorder="1" applyAlignment="1">
      <alignment horizontal="center" vertical="center" wrapText="1"/>
    </xf>
    <xf numFmtId="3" fontId="125" fillId="0" borderId="39" xfId="32" applyNumberFormat="1" applyFont="1" applyBorder="1" applyAlignment="1">
      <alignment horizontal="left" vertical="center" wrapText="1"/>
    </xf>
    <xf numFmtId="3" fontId="47" fillId="31" borderId="10" xfId="55" applyNumberFormat="1" applyFont="1" applyFill="1" applyBorder="1" applyAlignment="1" applyProtection="1">
      <alignment horizontal="center" vertical="center"/>
    </xf>
    <xf numFmtId="3" fontId="47" fillId="31" borderId="1" xfId="32" applyNumberFormat="1" applyFont="1" applyFill="1" applyBorder="1" applyAlignment="1">
      <alignment horizontal="center" vertical="center"/>
    </xf>
    <xf numFmtId="3" fontId="47" fillId="31" borderId="2" xfId="32" applyNumberFormat="1" applyFont="1" applyFill="1" applyBorder="1" applyAlignment="1">
      <alignment horizontal="center" vertical="center" wrapText="1"/>
    </xf>
    <xf numFmtId="3" fontId="47" fillId="31" borderId="10" xfId="32" applyNumberFormat="1" applyFont="1" applyFill="1" applyBorder="1" applyAlignment="1">
      <alignment horizontal="right" vertical="center" wrapText="1"/>
    </xf>
    <xf numFmtId="3" fontId="47" fillId="31" borderId="65" xfId="32" applyNumberFormat="1" applyFont="1" applyFill="1" applyBorder="1" applyAlignment="1">
      <alignment horizontal="center" vertical="center" wrapText="1"/>
    </xf>
    <xf numFmtId="3" fontId="47" fillId="31" borderId="9" xfId="32" applyNumberFormat="1" applyFont="1" applyFill="1" applyBorder="1" applyAlignment="1">
      <alignment horizontal="center" vertical="center" wrapText="1"/>
    </xf>
    <xf numFmtId="3" fontId="47" fillId="31" borderId="10" xfId="32" applyNumberFormat="1" applyFont="1" applyFill="1" applyBorder="1" applyAlignment="1">
      <alignment horizontal="center" vertical="center" wrapText="1"/>
    </xf>
    <xf numFmtId="0" fontId="127" fillId="31" borderId="2" xfId="32" applyFont="1" applyFill="1" applyBorder="1" applyAlignment="1">
      <alignment horizontal="left" vertical="center" wrapText="1"/>
    </xf>
    <xf numFmtId="0" fontId="45" fillId="27" borderId="5" xfId="32" applyFont="1" applyFill="1" applyBorder="1" applyAlignment="1">
      <alignment horizontal="center" vertical="center"/>
    </xf>
    <xf numFmtId="0" fontId="45" fillId="0" borderId="5" xfId="32" applyFont="1" applyBorder="1" applyAlignment="1">
      <alignment horizontal="center" vertical="center"/>
    </xf>
    <xf numFmtId="3" fontId="45" fillId="27" borderId="5" xfId="32" applyNumberFormat="1" applyFont="1" applyFill="1" applyBorder="1" applyAlignment="1">
      <alignment horizontal="left" vertical="center" wrapText="1"/>
    </xf>
    <xf numFmtId="3" fontId="47" fillId="27" borderId="25" xfId="32" applyNumberFormat="1" applyFont="1" applyFill="1" applyBorder="1" applyAlignment="1">
      <alignment horizontal="center" vertical="center"/>
    </xf>
    <xf numFmtId="3" fontId="125" fillId="26" borderId="5" xfId="32" applyNumberFormat="1" applyFont="1" applyFill="1" applyBorder="1" applyAlignment="1">
      <alignment horizontal="left" vertical="center" wrapText="1"/>
    </xf>
    <xf numFmtId="0" fontId="45" fillId="27" borderId="17" xfId="32" applyFont="1" applyFill="1" applyBorder="1" applyAlignment="1">
      <alignment horizontal="center" vertical="center"/>
    </xf>
    <xf numFmtId="0" fontId="45" fillId="0" borderId="17" xfId="32" applyFont="1" applyBorder="1" applyAlignment="1">
      <alignment horizontal="center" vertical="center"/>
    </xf>
    <xf numFmtId="3" fontId="45" fillId="27" borderId="17" xfId="32" applyNumberFormat="1" applyFont="1" applyFill="1" applyBorder="1" applyAlignment="1">
      <alignment horizontal="left" vertical="center" wrapText="1"/>
    </xf>
    <xf numFmtId="3" fontId="47" fillId="27" borderId="24" xfId="32" applyNumberFormat="1" applyFont="1" applyFill="1" applyBorder="1" applyAlignment="1">
      <alignment horizontal="center" vertical="center"/>
    </xf>
    <xf numFmtId="3" fontId="45" fillId="0" borderId="17" xfId="32" applyNumberFormat="1" applyFont="1" applyBorder="1" applyAlignment="1">
      <alignment horizontal="left" vertical="center" wrapText="1"/>
    </xf>
    <xf numFmtId="3" fontId="125" fillId="26" borderId="32" xfId="32" applyNumberFormat="1" applyFont="1" applyFill="1" applyBorder="1" applyAlignment="1">
      <alignment horizontal="center" vertical="center"/>
    </xf>
    <xf numFmtId="3" fontId="125" fillId="26" borderId="62" xfId="32" applyNumberFormat="1" applyFont="1" applyFill="1" applyBorder="1" applyAlignment="1">
      <alignment horizontal="center" vertical="center"/>
    </xf>
    <xf numFmtId="3" fontId="125" fillId="26" borderId="52" xfId="32" applyNumberFormat="1" applyFont="1" applyFill="1" applyBorder="1" applyAlignment="1">
      <alignment horizontal="center" vertical="center"/>
    </xf>
    <xf numFmtId="3" fontId="125" fillId="26" borderId="7" xfId="32" applyNumberFormat="1" applyFont="1" applyFill="1" applyBorder="1" applyAlignment="1">
      <alignment horizontal="center" vertical="center"/>
    </xf>
    <xf numFmtId="3" fontId="125" fillId="26" borderId="53" xfId="32" applyNumberFormat="1" applyFont="1" applyFill="1" applyBorder="1" applyAlignment="1">
      <alignment horizontal="center" vertical="center"/>
    </xf>
    <xf numFmtId="0" fontId="45" fillId="22" borderId="17" xfId="32" applyFont="1" applyFill="1" applyBorder="1" applyAlignment="1">
      <alignment horizontal="center" vertical="center"/>
    </xf>
    <xf numFmtId="0" fontId="45" fillId="22" borderId="39" xfId="32" applyFont="1" applyFill="1" applyBorder="1" applyAlignment="1">
      <alignment horizontal="center" vertical="center"/>
    </xf>
    <xf numFmtId="0" fontId="45" fillId="0" borderId="39" xfId="32" applyFont="1" applyBorder="1" applyAlignment="1">
      <alignment horizontal="center" vertical="center"/>
    </xf>
    <xf numFmtId="3" fontId="45" fillId="27" borderId="39" xfId="32" applyNumberFormat="1" applyFont="1" applyFill="1" applyBorder="1" applyAlignment="1">
      <alignment horizontal="left" vertical="center" wrapText="1"/>
    </xf>
    <xf numFmtId="3" fontId="47" fillId="27" borderId="36" xfId="32" applyNumberFormat="1" applyFont="1" applyFill="1" applyBorder="1" applyAlignment="1">
      <alignment horizontal="center" vertical="center"/>
    </xf>
    <xf numFmtId="3" fontId="45" fillId="0" borderId="5" xfId="32" applyNumberFormat="1" applyFont="1" applyBorder="1" applyAlignment="1">
      <alignment horizontal="left" vertical="center" wrapText="1"/>
    </xf>
    <xf numFmtId="3" fontId="57" fillId="0" borderId="49" xfId="32" applyNumberFormat="1" applyFont="1" applyBorder="1" applyAlignment="1">
      <alignment horizontal="center" vertical="center"/>
    </xf>
    <xf numFmtId="3" fontId="57" fillId="0" borderId="50" xfId="32" applyNumberFormat="1" applyFont="1" applyBorder="1" applyAlignment="1">
      <alignment horizontal="center" vertical="center"/>
    </xf>
    <xf numFmtId="3" fontId="57" fillId="0" borderId="44" xfId="32" applyNumberFormat="1" applyFont="1" applyBorder="1" applyAlignment="1">
      <alignment horizontal="center" vertical="center"/>
    </xf>
    <xf numFmtId="3" fontId="57" fillId="0" borderId="31" xfId="32" applyNumberFormat="1" applyFont="1" applyBorder="1" applyAlignment="1">
      <alignment horizontal="center" vertical="center"/>
    </xf>
    <xf numFmtId="3" fontId="57" fillId="0" borderId="52" xfId="32" applyNumberFormat="1" applyFont="1" applyBorder="1" applyAlignment="1">
      <alignment horizontal="center" vertical="center"/>
    </xf>
    <xf numFmtId="3" fontId="57" fillId="0" borderId="53" xfId="32" applyNumberFormat="1" applyFont="1" applyBorder="1" applyAlignment="1">
      <alignment horizontal="center" vertical="center"/>
    </xf>
    <xf numFmtId="3" fontId="57" fillId="0" borderId="32" xfId="32" applyNumberFormat="1" applyFont="1" applyBorder="1" applyAlignment="1">
      <alignment horizontal="center" vertical="center"/>
    </xf>
    <xf numFmtId="3" fontId="57" fillId="0" borderId="7" xfId="32" applyNumberFormat="1" applyFont="1" applyBorder="1" applyAlignment="1">
      <alignment horizontal="center" vertical="center"/>
    </xf>
    <xf numFmtId="3" fontId="57" fillId="0" borderId="54" xfId="32" applyNumberFormat="1" applyFont="1" applyBorder="1" applyAlignment="1">
      <alignment horizontal="center" vertical="center"/>
    </xf>
    <xf numFmtId="3" fontId="57" fillId="0" borderId="55" xfId="32" applyNumberFormat="1" applyFont="1" applyBorder="1" applyAlignment="1">
      <alignment horizontal="center" vertical="center"/>
    </xf>
    <xf numFmtId="3" fontId="57" fillId="0" borderId="69" xfId="32" applyNumberFormat="1" applyFont="1" applyBorder="1" applyAlignment="1">
      <alignment horizontal="center" vertical="center"/>
    </xf>
    <xf numFmtId="3" fontId="57" fillId="0" borderId="63" xfId="32" applyNumberFormat="1" applyFont="1" applyBorder="1" applyAlignment="1">
      <alignment horizontal="center" vertical="center"/>
    </xf>
    <xf numFmtId="9" fontId="45" fillId="0" borderId="5" xfId="70" applyFont="1" applyFill="1" applyBorder="1" applyAlignment="1" applyProtection="1">
      <alignment horizontal="center" vertical="center"/>
    </xf>
    <xf numFmtId="3" fontId="125" fillId="0" borderId="5" xfId="32" applyNumberFormat="1" applyFont="1" applyBorder="1" applyAlignment="1">
      <alignment horizontal="left" vertical="center" wrapText="1"/>
    </xf>
    <xf numFmtId="0" fontId="45" fillId="27" borderId="39" xfId="32" applyFont="1" applyFill="1" applyBorder="1" applyAlignment="1">
      <alignment horizontal="center" vertical="center"/>
    </xf>
    <xf numFmtId="9" fontId="45" fillId="0" borderId="39" xfId="70" applyFont="1" applyFill="1" applyBorder="1" applyAlignment="1" applyProtection="1">
      <alignment horizontal="center" vertical="center"/>
    </xf>
    <xf numFmtId="3" fontId="45" fillId="0" borderId="39" xfId="32" applyNumberFormat="1" applyFont="1" applyBorder="1" applyAlignment="1">
      <alignment horizontal="left" vertical="center" wrapText="1"/>
    </xf>
    <xf numFmtId="0" fontId="45" fillId="22" borderId="5" xfId="32" applyFont="1" applyFill="1" applyBorder="1" applyAlignment="1">
      <alignment horizontal="center" vertical="center"/>
    </xf>
    <xf numFmtId="9" fontId="45" fillId="26" borderId="5" xfId="70" applyFont="1" applyFill="1" applyBorder="1" applyAlignment="1" applyProtection="1">
      <alignment horizontal="center" vertical="center"/>
    </xf>
    <xf numFmtId="0" fontId="45" fillId="26" borderId="17" xfId="32" applyFont="1" applyFill="1" applyBorder="1" applyAlignment="1">
      <alignment horizontal="center" vertical="center"/>
    </xf>
    <xf numFmtId="9" fontId="57" fillId="27" borderId="17" xfId="70" applyFont="1" applyFill="1" applyBorder="1" applyAlignment="1" applyProtection="1">
      <alignment horizontal="center" vertical="center"/>
    </xf>
    <xf numFmtId="3" fontId="45" fillId="27" borderId="17" xfId="32" applyNumberFormat="1" applyFont="1" applyFill="1" applyBorder="1" applyAlignment="1">
      <alignment horizontal="left" vertical="center"/>
    </xf>
    <xf numFmtId="3" fontId="45" fillId="0" borderId="21" xfId="32" applyNumberFormat="1" applyFont="1" applyBorder="1" applyAlignment="1">
      <alignment horizontal="center" vertical="center" wrapText="1"/>
    </xf>
    <xf numFmtId="3" fontId="45" fillId="26" borderId="5" xfId="32" applyNumberFormat="1" applyFont="1" applyFill="1" applyBorder="1" applyAlignment="1">
      <alignment horizontal="center" vertical="center" wrapText="1"/>
    </xf>
    <xf numFmtId="3" fontId="125" fillId="27" borderId="21" xfId="32" applyNumberFormat="1" applyFont="1" applyFill="1" applyBorder="1" applyAlignment="1">
      <alignment horizontal="left" vertical="center" wrapText="1"/>
    </xf>
    <xf numFmtId="1" fontId="127" fillId="31" borderId="38" xfId="55" applyNumberFormat="1" applyFont="1" applyFill="1" applyBorder="1" applyAlignment="1" applyProtection="1">
      <alignment horizontal="center" vertical="center"/>
    </xf>
    <xf numFmtId="1" fontId="127" fillId="31" borderId="10" xfId="55" applyNumberFormat="1" applyFont="1" applyFill="1" applyBorder="1" applyAlignment="1" applyProtection="1">
      <alignment horizontal="center" vertical="center"/>
    </xf>
    <xf numFmtId="1" fontId="47" fillId="31" borderId="65" xfId="55" applyNumberFormat="1" applyFont="1" applyFill="1" applyBorder="1" applyAlignment="1" applyProtection="1">
      <alignment horizontal="center" vertical="center"/>
    </xf>
    <xf numFmtId="1" fontId="47" fillId="31" borderId="9" xfId="55" applyNumberFormat="1" applyFont="1" applyFill="1" applyBorder="1" applyAlignment="1" applyProtection="1">
      <alignment horizontal="center" vertical="center"/>
    </xf>
    <xf numFmtId="1" fontId="47" fillId="31" borderId="60" xfId="55" applyNumberFormat="1" applyFont="1" applyFill="1" applyBorder="1" applyAlignment="1" applyProtection="1">
      <alignment horizontal="center" vertical="center"/>
    </xf>
    <xf numFmtId="3" fontId="45" fillId="29" borderId="3" xfId="49" applyNumberFormat="1" applyFont="1" applyFill="1" applyBorder="1" applyAlignment="1">
      <alignment horizontal="center" vertical="center"/>
    </xf>
    <xf numFmtId="3" fontId="45" fillId="29" borderId="65" xfId="49" applyNumberFormat="1" applyFont="1" applyFill="1" applyBorder="1" applyAlignment="1">
      <alignment horizontal="center" vertical="center"/>
    </xf>
    <xf numFmtId="0" fontId="47" fillId="31" borderId="51" xfId="32" applyFont="1" applyFill="1" applyBorder="1" applyAlignment="1">
      <alignment horizontal="center" vertical="center"/>
    </xf>
    <xf numFmtId="0" fontId="47" fillId="31" borderId="51" xfId="32" applyFont="1" applyFill="1" applyBorder="1" applyAlignment="1">
      <alignment horizontal="left" vertical="center"/>
    </xf>
    <xf numFmtId="0" fontId="47" fillId="31" borderId="51" xfId="32" applyFont="1" applyFill="1" applyBorder="1" applyAlignment="1">
      <alignment vertical="center" wrapText="1"/>
    </xf>
    <xf numFmtId="3" fontId="127" fillId="31" borderId="75" xfId="55" applyNumberFormat="1" applyFont="1" applyFill="1" applyBorder="1" applyAlignment="1" applyProtection="1">
      <alignment horizontal="center" vertical="center"/>
    </xf>
    <xf numFmtId="3" fontId="127" fillId="31" borderId="76" xfId="55" applyNumberFormat="1" applyFont="1" applyFill="1" applyBorder="1" applyAlignment="1" applyProtection="1">
      <alignment horizontal="center" vertical="center"/>
    </xf>
    <xf numFmtId="3" fontId="47" fillId="31" borderId="72" xfId="55" applyNumberFormat="1" applyFont="1" applyFill="1" applyBorder="1" applyAlignment="1" applyProtection="1">
      <alignment horizontal="center" vertical="center"/>
    </xf>
    <xf numFmtId="3" fontId="47" fillId="31" borderId="73" xfId="55" applyNumberFormat="1" applyFont="1" applyFill="1" applyBorder="1" applyAlignment="1" applyProtection="1">
      <alignment horizontal="center" vertical="center"/>
    </xf>
    <xf numFmtId="3" fontId="47" fillId="31" borderId="76" xfId="55" applyNumberFormat="1" applyFont="1" applyFill="1" applyBorder="1" applyAlignment="1" applyProtection="1">
      <alignment horizontal="center" vertical="center"/>
    </xf>
    <xf numFmtId="3" fontId="47" fillId="31" borderId="51" xfId="32" applyNumberFormat="1" applyFont="1" applyFill="1" applyBorder="1" applyAlignment="1">
      <alignment horizontal="center" vertical="center"/>
    </xf>
    <xf numFmtId="3" fontId="127" fillId="31" borderId="75" xfId="32" applyNumberFormat="1" applyFont="1" applyFill="1" applyBorder="1" applyAlignment="1">
      <alignment horizontal="center" vertical="center"/>
    </xf>
    <xf numFmtId="3" fontId="127" fillId="31" borderId="76" xfId="32" applyNumberFormat="1" applyFont="1" applyFill="1" applyBorder="1" applyAlignment="1">
      <alignment horizontal="center" vertical="center"/>
    </xf>
    <xf numFmtId="3" fontId="47" fillId="31" borderId="72" xfId="32" applyNumberFormat="1" applyFont="1" applyFill="1" applyBorder="1" applyAlignment="1">
      <alignment horizontal="center" vertical="center"/>
    </xf>
    <xf numFmtId="3" fontId="47" fillId="31" borderId="73" xfId="32" applyNumberFormat="1" applyFont="1" applyFill="1" applyBorder="1" applyAlignment="1">
      <alignment horizontal="center" vertical="center"/>
    </xf>
    <xf numFmtId="3" fontId="47" fillId="31" borderId="74" xfId="32" applyNumberFormat="1" applyFont="1" applyFill="1" applyBorder="1" applyAlignment="1">
      <alignment horizontal="center" vertical="center"/>
    </xf>
    <xf numFmtId="3" fontId="47" fillId="31" borderId="76" xfId="32" applyNumberFormat="1" applyFont="1" applyFill="1" applyBorder="1" applyAlignment="1">
      <alignment horizontal="center" vertical="center"/>
    </xf>
    <xf numFmtId="3" fontId="45" fillId="29" borderId="73" xfId="49" applyNumberFormat="1" applyFont="1" applyFill="1" applyBorder="1" applyAlignment="1">
      <alignment horizontal="center" vertical="center"/>
    </xf>
    <xf numFmtId="3" fontId="45" fillId="29" borderId="73" xfId="49" applyNumberFormat="1" applyFont="1" applyFill="1" applyBorder="1" applyAlignment="1">
      <alignment horizontal="right" vertical="center"/>
    </xf>
    <xf numFmtId="3" fontId="45" fillId="29" borderId="76" xfId="49" applyNumberFormat="1" applyFont="1" applyFill="1" applyBorder="1" applyAlignment="1">
      <alignment horizontal="left" vertical="center"/>
    </xf>
    <xf numFmtId="0" fontId="47" fillId="26" borderId="5" xfId="32" applyFont="1" applyFill="1" applyBorder="1" applyAlignment="1">
      <alignment horizontal="center" vertical="center"/>
    </xf>
    <xf numFmtId="0" fontId="47" fillId="26" borderId="5" xfId="32" applyFont="1" applyFill="1" applyBorder="1" applyAlignment="1">
      <alignment horizontal="left" vertical="center"/>
    </xf>
    <xf numFmtId="0" fontId="47" fillId="26" borderId="5" xfId="32" applyFont="1" applyFill="1" applyBorder="1" applyAlignment="1">
      <alignment vertical="center" wrapText="1"/>
    </xf>
    <xf numFmtId="3" fontId="127" fillId="26" borderId="52" xfId="55" applyNumberFormat="1" applyFont="1" applyFill="1" applyBorder="1" applyAlignment="1" applyProtection="1">
      <alignment horizontal="center" vertical="center"/>
    </xf>
    <xf numFmtId="3" fontId="127" fillId="26" borderId="53" xfId="55" applyNumberFormat="1" applyFont="1" applyFill="1" applyBorder="1" applyAlignment="1" applyProtection="1">
      <alignment horizontal="center" vertical="center"/>
    </xf>
    <xf numFmtId="3" fontId="47" fillId="26" borderId="32" xfId="55" applyNumberFormat="1" applyFont="1" applyFill="1" applyBorder="1" applyAlignment="1" applyProtection="1">
      <alignment horizontal="center" vertical="center"/>
    </xf>
    <xf numFmtId="3" fontId="47" fillId="26" borderId="7" xfId="55" applyNumberFormat="1" applyFont="1" applyFill="1" applyBorder="1" applyAlignment="1" applyProtection="1">
      <alignment horizontal="center" vertical="center"/>
    </xf>
    <xf numFmtId="3" fontId="47" fillId="26" borderId="53" xfId="55" applyNumberFormat="1" applyFont="1" applyFill="1" applyBorder="1" applyAlignment="1" applyProtection="1">
      <alignment horizontal="center" vertical="center"/>
    </xf>
    <xf numFmtId="3" fontId="47" fillId="26" borderId="62" xfId="32" applyNumberFormat="1" applyFont="1" applyFill="1" applyBorder="1" applyAlignment="1">
      <alignment horizontal="center" vertical="center"/>
    </xf>
    <xf numFmtId="3" fontId="127" fillId="26" borderId="52" xfId="32" applyNumberFormat="1" applyFont="1" applyFill="1" applyBorder="1" applyAlignment="1">
      <alignment horizontal="center" vertical="center"/>
    </xf>
    <xf numFmtId="3" fontId="127" fillId="26" borderId="53" xfId="32" applyNumberFormat="1" applyFont="1" applyFill="1" applyBorder="1" applyAlignment="1">
      <alignment horizontal="center" vertical="center"/>
    </xf>
    <xf numFmtId="3" fontId="47" fillId="26" borderId="32" xfId="32" applyNumberFormat="1" applyFont="1" applyFill="1" applyBorder="1" applyAlignment="1">
      <alignment horizontal="center" vertical="center"/>
    </xf>
    <xf numFmtId="3" fontId="47" fillId="26" borderId="7" xfId="32" applyNumberFormat="1" applyFont="1" applyFill="1" applyBorder="1" applyAlignment="1">
      <alignment horizontal="center" vertical="center"/>
    </xf>
    <xf numFmtId="3" fontId="47" fillId="26" borderId="53" xfId="32" applyNumberFormat="1" applyFont="1" applyFill="1" applyBorder="1" applyAlignment="1">
      <alignment horizontal="center" vertical="center"/>
    </xf>
    <xf numFmtId="3" fontId="45" fillId="29" borderId="7" xfId="49" applyNumberFormat="1" applyFont="1" applyFill="1" applyBorder="1" applyAlignment="1">
      <alignment horizontal="center" vertical="center"/>
    </xf>
    <xf numFmtId="3" fontId="45" fillId="29" borderId="7" xfId="49" applyNumberFormat="1" applyFont="1" applyFill="1" applyBorder="1" applyAlignment="1">
      <alignment horizontal="right" vertical="center"/>
    </xf>
    <xf numFmtId="3" fontId="45" fillId="29" borderId="53" xfId="49" applyNumberFormat="1" applyFont="1" applyFill="1" applyBorder="1" applyAlignment="1">
      <alignment horizontal="left" vertical="center"/>
    </xf>
    <xf numFmtId="0" fontId="47" fillId="26" borderId="34" xfId="32" applyFont="1" applyFill="1" applyBorder="1" applyAlignment="1">
      <alignment horizontal="center" vertical="center"/>
    </xf>
    <xf numFmtId="0" fontId="47" fillId="26" borderId="34" xfId="32" applyFont="1" applyFill="1" applyBorder="1" applyAlignment="1">
      <alignment horizontal="left" vertical="center"/>
    </xf>
    <xf numFmtId="0" fontId="47" fillId="26" borderId="34" xfId="32" applyFont="1" applyFill="1" applyBorder="1" applyAlignment="1">
      <alignment vertical="center" wrapText="1"/>
    </xf>
    <xf numFmtId="3" fontId="127" fillId="26" borderId="56" xfId="55" applyNumberFormat="1" applyFont="1" applyFill="1" applyBorder="1" applyAlignment="1" applyProtection="1">
      <alignment horizontal="center" vertical="center"/>
    </xf>
    <xf numFmtId="3" fontId="127" fillId="26" borderId="57" xfId="55" applyNumberFormat="1" applyFont="1" applyFill="1" applyBorder="1" applyAlignment="1" applyProtection="1">
      <alignment horizontal="center" vertical="center"/>
    </xf>
    <xf numFmtId="3" fontId="47" fillId="26" borderId="70" xfId="55" applyNumberFormat="1" applyFont="1" applyFill="1" applyBorder="1" applyAlignment="1" applyProtection="1">
      <alignment horizontal="center" vertical="center"/>
    </xf>
    <xf numFmtId="3" fontId="47" fillId="26" borderId="71" xfId="55" applyNumberFormat="1" applyFont="1" applyFill="1" applyBorder="1" applyAlignment="1" applyProtection="1">
      <alignment horizontal="center" vertical="center"/>
    </xf>
    <xf numFmtId="3" fontId="47" fillId="26" borderId="48" xfId="55" applyNumberFormat="1" applyFont="1" applyFill="1" applyBorder="1" applyAlignment="1" applyProtection="1">
      <alignment horizontal="center" vertical="center"/>
    </xf>
    <xf numFmtId="3" fontId="47" fillId="26" borderId="101" xfId="32" applyNumberFormat="1" applyFont="1" applyFill="1" applyBorder="1" applyAlignment="1">
      <alignment horizontal="center" vertical="center"/>
    </xf>
    <xf numFmtId="3" fontId="127" fillId="26" borderId="47" xfId="32" applyNumberFormat="1" applyFont="1" applyFill="1" applyBorder="1" applyAlignment="1">
      <alignment horizontal="center" vertical="center"/>
    </xf>
    <xf numFmtId="3" fontId="127" fillId="26" borderId="48" xfId="32" applyNumberFormat="1" applyFont="1" applyFill="1" applyBorder="1" applyAlignment="1">
      <alignment horizontal="center" vertical="center"/>
    </xf>
    <xf numFmtId="3" fontId="47" fillId="26" borderId="70" xfId="32" applyNumberFormat="1" applyFont="1" applyFill="1" applyBorder="1" applyAlignment="1">
      <alignment horizontal="center" vertical="center"/>
    </xf>
    <xf numFmtId="3" fontId="47" fillId="26" borderId="71" xfId="32" applyNumberFormat="1" applyFont="1" applyFill="1" applyBorder="1" applyAlignment="1">
      <alignment horizontal="center" vertical="center"/>
    </xf>
    <xf numFmtId="3" fontId="47" fillId="26" borderId="48" xfId="32" applyNumberFormat="1" applyFont="1" applyFill="1" applyBorder="1" applyAlignment="1">
      <alignment horizontal="center" vertical="center"/>
    </xf>
    <xf numFmtId="3" fontId="45" fillId="29" borderId="77" xfId="49" applyNumberFormat="1" applyFont="1" applyFill="1" applyBorder="1" applyAlignment="1">
      <alignment horizontal="center" vertical="center"/>
    </xf>
    <xf numFmtId="3" fontId="45" fillId="29" borderId="77" xfId="49" applyNumberFormat="1" applyFont="1" applyFill="1" applyBorder="1" applyAlignment="1">
      <alignment horizontal="right" vertical="center"/>
    </xf>
    <xf numFmtId="3" fontId="45" fillId="29" borderId="57" xfId="49" applyNumberFormat="1" applyFont="1" applyFill="1" applyBorder="1" applyAlignment="1">
      <alignment horizontal="left" vertical="center"/>
    </xf>
    <xf numFmtId="0" fontId="57" fillId="26" borderId="0" xfId="0" applyFont="1" applyFill="1" applyAlignment="1">
      <alignment horizontal="center" vertical="center"/>
    </xf>
    <xf numFmtId="0" fontId="45" fillId="27" borderId="0" xfId="32" applyFont="1" applyFill="1" applyAlignment="1">
      <alignment vertical="center" wrapText="1"/>
    </xf>
    <xf numFmtId="0" fontId="45" fillId="27" borderId="0" xfId="32" applyFont="1" applyFill="1" applyAlignment="1">
      <alignment horizontal="center" vertical="center" wrapText="1"/>
    </xf>
    <xf numFmtId="14" fontId="45" fillId="27" borderId="0" xfId="32" applyNumberFormat="1" applyFont="1" applyFill="1" applyAlignment="1">
      <alignment vertical="center" wrapText="1"/>
    </xf>
    <xf numFmtId="0" fontId="45" fillId="27" borderId="0" xfId="32" applyFont="1" applyFill="1" applyAlignment="1">
      <alignment vertical="center"/>
    </xf>
    <xf numFmtId="3" fontId="125" fillId="27" borderId="0" xfId="32" applyNumberFormat="1" applyFont="1" applyFill="1" applyAlignment="1">
      <alignment horizontal="center" vertical="center"/>
    </xf>
    <xf numFmtId="3" fontId="45" fillId="27" borderId="0" xfId="32" applyNumberFormat="1" applyFont="1" applyFill="1" applyAlignment="1">
      <alignment horizontal="center" vertical="center"/>
    </xf>
    <xf numFmtId="0" fontId="125" fillId="27" borderId="0" xfId="32" applyFont="1" applyFill="1" applyAlignment="1">
      <alignment horizontal="center" vertical="center"/>
    </xf>
    <xf numFmtId="0" fontId="47" fillId="31" borderId="1" xfId="32" applyFont="1" applyFill="1" applyBorder="1" applyAlignment="1">
      <alignment vertical="center" wrapText="1"/>
    </xf>
    <xf numFmtId="9" fontId="127" fillId="31" borderId="38" xfId="70" applyFont="1" applyFill="1" applyBorder="1" applyAlignment="1" applyProtection="1">
      <alignment horizontal="center" vertical="center"/>
    </xf>
    <xf numFmtId="9" fontId="127" fillId="31" borderId="10" xfId="70" applyFont="1" applyFill="1" applyBorder="1" applyAlignment="1" applyProtection="1">
      <alignment horizontal="center" vertical="center"/>
    </xf>
    <xf numFmtId="9" fontId="47" fillId="31" borderId="65" xfId="70" applyFont="1" applyFill="1" applyBorder="1" applyAlignment="1" applyProtection="1">
      <alignment horizontal="center" vertical="center"/>
    </xf>
    <xf numFmtId="9" fontId="47" fillId="31" borderId="9" xfId="70" applyFont="1" applyFill="1" applyBorder="1" applyAlignment="1" applyProtection="1">
      <alignment horizontal="center" vertical="center"/>
    </xf>
    <xf numFmtId="9" fontId="47" fillId="31" borderId="60" xfId="70" applyFont="1" applyFill="1" applyBorder="1" applyAlignment="1" applyProtection="1">
      <alignment horizontal="center" vertical="center"/>
    </xf>
    <xf numFmtId="9" fontId="47" fillId="31" borderId="10" xfId="70" applyFont="1" applyFill="1" applyBorder="1" applyAlignment="1" applyProtection="1">
      <alignment horizontal="center" vertical="center"/>
    </xf>
    <xf numFmtId="0" fontId="47" fillId="31" borderId="2" xfId="32" applyFont="1" applyFill="1" applyBorder="1" applyAlignment="1">
      <alignment horizontal="center" vertical="center" wrapText="1"/>
    </xf>
    <xf numFmtId="0" fontId="47" fillId="31" borderId="29" xfId="32" applyFont="1" applyFill="1" applyBorder="1" applyAlignment="1">
      <alignment horizontal="center" vertical="center" wrapText="1"/>
    </xf>
    <xf numFmtId="3" fontId="47" fillId="31" borderId="75" xfId="32" applyNumberFormat="1" applyFont="1" applyFill="1" applyBorder="1" applyAlignment="1">
      <alignment horizontal="center" vertical="center"/>
    </xf>
    <xf numFmtId="0" fontId="45" fillId="27" borderId="25" xfId="32" applyFont="1" applyFill="1" applyBorder="1" applyAlignment="1">
      <alignment vertical="center" wrapText="1"/>
    </xf>
    <xf numFmtId="9" fontId="57" fillId="0" borderId="49" xfId="70" applyFont="1" applyFill="1" applyBorder="1" applyAlignment="1" applyProtection="1">
      <alignment horizontal="center" vertical="center"/>
    </xf>
    <xf numFmtId="9" fontId="125" fillId="0" borderId="50" xfId="70" applyFont="1" applyFill="1" applyBorder="1" applyAlignment="1" applyProtection="1">
      <alignment horizontal="center" vertical="center"/>
    </xf>
    <xf numFmtId="9" fontId="45" fillId="0" borderId="44" xfId="70" applyFont="1" applyFill="1" applyBorder="1" applyAlignment="1" applyProtection="1">
      <alignment horizontal="center" vertical="center"/>
    </xf>
    <xf numFmtId="9" fontId="45" fillId="0" borderId="31" xfId="70" applyFont="1" applyFill="1" applyBorder="1" applyAlignment="1" applyProtection="1">
      <alignment horizontal="center" vertical="center"/>
    </xf>
    <xf numFmtId="9" fontId="45" fillId="0" borderId="61" xfId="70" applyFont="1" applyFill="1" applyBorder="1" applyAlignment="1" applyProtection="1">
      <alignment horizontal="center" vertical="center"/>
    </xf>
    <xf numFmtId="9" fontId="45" fillId="0" borderId="50" xfId="70" applyFont="1" applyFill="1" applyBorder="1" applyAlignment="1" applyProtection="1">
      <alignment horizontal="center" vertical="center"/>
    </xf>
    <xf numFmtId="9" fontId="45" fillId="0" borderId="33" xfId="70" applyFont="1" applyFill="1" applyBorder="1" applyAlignment="1" applyProtection="1">
      <alignment horizontal="center" vertical="center"/>
    </xf>
    <xf numFmtId="9" fontId="45" fillId="0" borderId="49" xfId="70" applyFont="1" applyFill="1" applyBorder="1" applyAlignment="1" applyProtection="1">
      <alignment horizontal="center" vertical="center"/>
    </xf>
    <xf numFmtId="0" fontId="45" fillId="27" borderId="25" xfId="32" applyFont="1" applyFill="1" applyBorder="1" applyAlignment="1">
      <alignment horizontal="center" vertical="center" wrapText="1"/>
    </xf>
    <xf numFmtId="0" fontId="45" fillId="27" borderId="24" xfId="32" applyFont="1" applyFill="1" applyBorder="1" applyAlignment="1">
      <alignment vertical="center" wrapText="1"/>
    </xf>
    <xf numFmtId="3" fontId="125" fillId="27" borderId="52" xfId="32" applyNumberFormat="1" applyFont="1" applyFill="1" applyBorder="1" applyAlignment="1">
      <alignment horizontal="center" vertical="center"/>
    </xf>
    <xf numFmtId="3" fontId="45" fillId="26" borderId="52" xfId="32" applyNumberFormat="1" applyFont="1" applyFill="1" applyBorder="1" applyAlignment="1">
      <alignment horizontal="center" vertical="center"/>
    </xf>
    <xf numFmtId="3" fontId="45" fillId="26" borderId="32" xfId="32" applyNumberFormat="1" applyFont="1" applyFill="1" applyBorder="1" applyAlignment="1">
      <alignment horizontal="center" vertical="center"/>
    </xf>
    <xf numFmtId="3" fontId="45" fillId="26" borderId="15" xfId="32" applyNumberFormat="1" applyFont="1" applyFill="1" applyBorder="1" applyAlignment="1">
      <alignment horizontal="center" vertical="center"/>
    </xf>
    <xf numFmtId="9" fontId="125" fillId="0" borderId="52" xfId="70" applyFont="1" applyFill="1" applyBorder="1" applyAlignment="1" applyProtection="1">
      <alignment horizontal="center" vertical="center"/>
    </xf>
    <xf numFmtId="9" fontId="125" fillId="0" borderId="53" xfId="70" applyFont="1" applyFill="1" applyBorder="1" applyAlignment="1" applyProtection="1">
      <alignment horizontal="center" vertical="center"/>
    </xf>
    <xf numFmtId="9" fontId="45" fillId="0" borderId="32" xfId="70" applyFont="1" applyFill="1" applyBorder="1" applyAlignment="1" applyProtection="1">
      <alignment horizontal="center" vertical="center"/>
    </xf>
    <xf numFmtId="9" fontId="45" fillId="0" borderId="7" xfId="70" applyFont="1" applyFill="1" applyBorder="1" applyAlignment="1" applyProtection="1">
      <alignment horizontal="center" vertical="center"/>
    </xf>
    <xf numFmtId="9" fontId="45" fillId="0" borderId="62" xfId="70" applyFont="1" applyFill="1" applyBorder="1" applyAlignment="1" applyProtection="1">
      <alignment horizontal="center" vertical="center"/>
    </xf>
    <xf numFmtId="9" fontId="45" fillId="0" borderId="53" xfId="70" applyFont="1" applyFill="1" applyBorder="1" applyAlignment="1" applyProtection="1">
      <alignment horizontal="center" vertical="center"/>
    </xf>
    <xf numFmtId="9" fontId="45" fillId="0" borderId="23" xfId="70" applyFont="1" applyFill="1" applyBorder="1" applyAlignment="1" applyProtection="1">
      <alignment horizontal="center" vertical="center"/>
    </xf>
    <xf numFmtId="9" fontId="45" fillId="0" borderId="52" xfId="70" applyFont="1" applyFill="1" applyBorder="1" applyAlignment="1" applyProtection="1">
      <alignment horizontal="center" vertical="center"/>
    </xf>
    <xf numFmtId="0" fontId="45" fillId="27" borderId="24" xfId="32" applyFont="1" applyFill="1" applyBorder="1" applyAlignment="1">
      <alignment horizontal="center" vertical="center" wrapText="1"/>
    </xf>
    <xf numFmtId="3" fontId="125" fillId="26" borderId="99" xfId="32" applyNumberFormat="1" applyFont="1" applyFill="1" applyBorder="1" applyAlignment="1">
      <alignment horizontal="center" vertical="center"/>
    </xf>
    <xf numFmtId="3" fontId="45" fillId="26" borderId="99" xfId="32" applyNumberFormat="1" applyFont="1" applyFill="1" applyBorder="1" applyAlignment="1">
      <alignment horizontal="center" vertical="center"/>
    </xf>
    <xf numFmtId="3" fontId="45" fillId="26" borderId="7" xfId="32" applyNumberFormat="1" applyFont="1" applyFill="1" applyBorder="1" applyAlignment="1">
      <alignment horizontal="center" vertical="center"/>
    </xf>
    <xf numFmtId="3" fontId="45" fillId="26" borderId="53" xfId="32" applyNumberFormat="1" applyFont="1" applyFill="1" applyBorder="1" applyAlignment="1">
      <alignment horizontal="center" vertical="center"/>
    </xf>
    <xf numFmtId="0" fontId="45" fillId="27" borderId="30" xfId="32" applyFont="1" applyFill="1" applyBorder="1" applyAlignment="1">
      <alignment vertical="center" wrapText="1"/>
    </xf>
    <xf numFmtId="9" fontId="125" fillId="0" borderId="56" xfId="70" applyFont="1" applyFill="1" applyBorder="1" applyAlignment="1" applyProtection="1">
      <alignment horizontal="center" vertical="center"/>
    </xf>
    <xf numFmtId="9" fontId="45" fillId="0" borderId="79" xfId="70" applyFont="1" applyFill="1" applyBorder="1" applyAlignment="1" applyProtection="1">
      <alignment horizontal="center" vertical="center"/>
    </xf>
    <xf numFmtId="9" fontId="45" fillId="0" borderId="77" xfId="70" applyFont="1" applyFill="1" applyBorder="1" applyAlignment="1" applyProtection="1">
      <alignment horizontal="center" vertical="center"/>
    </xf>
    <xf numFmtId="9" fontId="45" fillId="0" borderId="78" xfId="70" applyFont="1" applyFill="1" applyBorder="1" applyAlignment="1" applyProtection="1">
      <alignment horizontal="center" vertical="center"/>
    </xf>
    <xf numFmtId="9" fontId="45" fillId="0" borderId="57" xfId="70" applyFont="1" applyFill="1" applyBorder="1" applyAlignment="1" applyProtection="1">
      <alignment horizontal="center" vertical="center"/>
    </xf>
    <xf numFmtId="9" fontId="45" fillId="0" borderId="28" xfId="70" applyFont="1" applyFill="1" applyBorder="1" applyAlignment="1" applyProtection="1">
      <alignment horizontal="center" vertical="center"/>
    </xf>
    <xf numFmtId="9" fontId="45" fillId="0" borderId="56" xfId="70" applyFont="1" applyFill="1" applyBorder="1" applyAlignment="1" applyProtection="1">
      <alignment horizontal="center" vertical="center"/>
    </xf>
    <xf numFmtId="0" fontId="45" fillId="27" borderId="30" xfId="32" applyFont="1" applyFill="1" applyBorder="1" applyAlignment="1">
      <alignment horizontal="center" vertical="center" wrapText="1"/>
    </xf>
    <xf numFmtId="3" fontId="125" fillId="26" borderId="56" xfId="32" applyNumberFormat="1" applyFont="1" applyFill="1" applyBorder="1" applyAlignment="1">
      <alignment horizontal="center" vertical="center"/>
    </xf>
    <xf numFmtId="3" fontId="45" fillId="26" borderId="56" xfId="32" applyNumberFormat="1" applyFont="1" applyFill="1" applyBorder="1" applyAlignment="1">
      <alignment horizontal="center" vertical="center"/>
    </xf>
    <xf numFmtId="3" fontId="45" fillId="26" borderId="77" xfId="32" applyNumberFormat="1" applyFont="1" applyFill="1" applyBorder="1" applyAlignment="1">
      <alignment horizontal="center" vertical="center"/>
    </xf>
    <xf numFmtId="3" fontId="45" fillId="26" borderId="57" xfId="32" applyNumberFormat="1" applyFont="1" applyFill="1" applyBorder="1" applyAlignment="1">
      <alignment horizontal="center" vertical="center"/>
    </xf>
    <xf numFmtId="0" fontId="47" fillId="31" borderId="29" xfId="32" applyFont="1" applyFill="1" applyBorder="1" applyAlignment="1">
      <alignment vertical="center" wrapText="1"/>
    </xf>
    <xf numFmtId="3" fontId="47" fillId="31" borderId="29" xfId="32" applyNumberFormat="1" applyFont="1" applyFill="1" applyBorder="1" applyAlignment="1">
      <alignment horizontal="center" vertical="center"/>
    </xf>
    <xf numFmtId="3" fontId="125" fillId="27" borderId="49" xfId="32" applyNumberFormat="1" applyFont="1" applyFill="1" applyBorder="1" applyAlignment="1">
      <alignment horizontal="center" vertical="center"/>
    </xf>
    <xf numFmtId="3" fontId="125" fillId="27" borderId="50" xfId="32" applyNumberFormat="1" applyFont="1" applyFill="1" applyBorder="1" applyAlignment="1">
      <alignment horizontal="center" vertical="center"/>
    </xf>
    <xf numFmtId="3" fontId="45" fillId="27" borderId="44" xfId="32" applyNumberFormat="1" applyFont="1" applyFill="1" applyBorder="1" applyAlignment="1">
      <alignment horizontal="center" vertical="center"/>
    </xf>
    <xf numFmtId="3" fontId="45" fillId="27" borderId="31" xfId="32" applyNumberFormat="1" applyFont="1" applyFill="1" applyBorder="1" applyAlignment="1">
      <alignment horizontal="center" vertical="center"/>
    </xf>
    <xf numFmtId="3" fontId="45" fillId="27" borderId="61" xfId="32" applyNumberFormat="1" applyFont="1" applyFill="1" applyBorder="1" applyAlignment="1">
      <alignment horizontal="center" vertical="center"/>
    </xf>
    <xf numFmtId="3" fontId="45" fillId="27" borderId="32" xfId="32" applyNumberFormat="1" applyFont="1" applyFill="1" applyBorder="1" applyAlignment="1">
      <alignment horizontal="center" vertical="center"/>
    </xf>
    <xf numFmtId="3" fontId="45" fillId="27" borderId="7" xfId="32" applyNumberFormat="1" applyFont="1" applyFill="1" applyBorder="1" applyAlignment="1">
      <alignment horizontal="center" vertical="center"/>
    </xf>
    <xf numFmtId="3" fontId="45" fillId="27" borderId="53" xfId="32" applyNumberFormat="1" applyFont="1" applyFill="1" applyBorder="1" applyAlignment="1">
      <alignment horizontal="center" vertical="center"/>
    </xf>
    <xf numFmtId="3" fontId="125" fillId="27" borderId="31" xfId="32" applyNumberFormat="1" applyFont="1" applyFill="1" applyBorder="1" applyAlignment="1">
      <alignment horizontal="center" vertical="center"/>
    </xf>
    <xf numFmtId="3" fontId="125" fillId="27" borderId="53" xfId="32" applyNumberFormat="1" applyFont="1" applyFill="1" applyBorder="1" applyAlignment="1">
      <alignment horizontal="center" vertical="center"/>
    </xf>
    <xf numFmtId="3" fontId="125" fillId="27" borderId="32" xfId="32" applyNumberFormat="1" applyFont="1" applyFill="1" applyBorder="1" applyAlignment="1">
      <alignment horizontal="center" vertical="center"/>
    </xf>
    <xf numFmtId="3" fontId="125" fillId="27" borderId="7" xfId="32" applyNumberFormat="1" applyFont="1" applyFill="1" applyBorder="1" applyAlignment="1">
      <alignment horizontal="center" vertical="center"/>
    </xf>
    <xf numFmtId="0" fontId="65" fillId="26" borderId="0" xfId="0" applyFont="1" applyFill="1" applyAlignment="1">
      <alignment horizontal="center" vertical="center"/>
    </xf>
    <xf numFmtId="0" fontId="65" fillId="26" borderId="0" xfId="0" applyFont="1" applyFill="1" applyAlignment="1">
      <alignment vertical="center"/>
    </xf>
    <xf numFmtId="3" fontId="125" fillId="27" borderId="56" xfId="32" applyNumberFormat="1" applyFont="1" applyFill="1" applyBorder="1" applyAlignment="1">
      <alignment horizontal="center" vertical="center"/>
    </xf>
    <xf numFmtId="3" fontId="125" fillId="27" borderId="48" xfId="32" applyNumberFormat="1" applyFont="1" applyFill="1" applyBorder="1" applyAlignment="1">
      <alignment horizontal="center" vertical="center"/>
    </xf>
    <xf numFmtId="3" fontId="45" fillId="27" borderId="70" xfId="32" applyNumberFormat="1" applyFont="1" applyFill="1" applyBorder="1" applyAlignment="1">
      <alignment horizontal="center" vertical="center"/>
    </xf>
    <xf numFmtId="3" fontId="45" fillId="27" borderId="71" xfId="32" applyNumberFormat="1" applyFont="1" applyFill="1" applyBorder="1" applyAlignment="1">
      <alignment horizontal="center" vertical="center"/>
    </xf>
    <xf numFmtId="3" fontId="45" fillId="27" borderId="101" xfId="32" applyNumberFormat="1" applyFont="1" applyFill="1" applyBorder="1" applyAlignment="1">
      <alignment horizontal="center" vertical="center"/>
    </xf>
    <xf numFmtId="3" fontId="47" fillId="27" borderId="30" xfId="32" applyNumberFormat="1" applyFont="1" applyFill="1" applyBorder="1" applyAlignment="1">
      <alignment horizontal="center" vertical="center"/>
    </xf>
    <xf numFmtId="3" fontId="125" fillId="27" borderId="57" xfId="32" applyNumberFormat="1" applyFont="1" applyFill="1" applyBorder="1" applyAlignment="1">
      <alignment horizontal="center" vertical="center"/>
    </xf>
    <xf numFmtId="3" fontId="125" fillId="27" borderId="79" xfId="32" applyNumberFormat="1" applyFont="1" applyFill="1" applyBorder="1" applyAlignment="1">
      <alignment horizontal="center" vertical="center"/>
    </xf>
    <xf numFmtId="3" fontId="125" fillId="27" borderId="77" xfId="32" applyNumberFormat="1" applyFont="1" applyFill="1" applyBorder="1" applyAlignment="1">
      <alignment horizontal="center" vertical="center"/>
    </xf>
    <xf numFmtId="3" fontId="125" fillId="27" borderId="47" xfId="32" applyNumberFormat="1" applyFont="1" applyFill="1" applyBorder="1" applyAlignment="1">
      <alignment horizontal="center" vertical="center"/>
    </xf>
    <xf numFmtId="3" fontId="125" fillId="27" borderId="71" xfId="32" applyNumberFormat="1" applyFont="1" applyFill="1" applyBorder="1" applyAlignment="1">
      <alignment horizontal="center" vertical="center"/>
    </xf>
    <xf numFmtId="3" fontId="130" fillId="27" borderId="0" xfId="32" applyNumberFormat="1" applyFont="1" applyFill="1" applyAlignment="1">
      <alignment horizontal="center" vertical="center" wrapText="1"/>
    </xf>
    <xf numFmtId="3" fontId="130" fillId="27" borderId="0" xfId="32" applyNumberFormat="1" applyFont="1" applyFill="1" applyAlignment="1">
      <alignment horizontal="right" vertical="center" wrapText="1"/>
    </xf>
    <xf numFmtId="0" fontId="130" fillId="27" borderId="0" xfId="32" applyFont="1" applyFill="1" applyAlignment="1">
      <alignment horizontal="center" vertical="center"/>
    </xf>
    <xf numFmtId="0" fontId="130" fillId="27" borderId="0" xfId="32" applyFont="1" applyFill="1" applyAlignment="1">
      <alignment vertical="center"/>
    </xf>
    <xf numFmtId="0" fontId="65" fillId="27" borderId="0" xfId="32" applyFont="1" applyFill="1" applyAlignment="1">
      <alignment horizontal="left" vertical="center"/>
    </xf>
    <xf numFmtId="3" fontId="45" fillId="27" borderId="33" xfId="32" applyNumberFormat="1" applyFont="1" applyFill="1" applyBorder="1" applyAlignment="1">
      <alignment horizontal="center" vertical="center"/>
    </xf>
    <xf numFmtId="0" fontId="47" fillId="31" borderId="51" xfId="0" applyFont="1" applyFill="1" applyBorder="1" applyAlignment="1">
      <alignment vertical="center" wrapText="1"/>
    </xf>
    <xf numFmtId="3" fontId="47" fillId="31" borderId="72" xfId="0" applyNumberFormat="1" applyFont="1" applyFill="1" applyBorder="1" applyAlignment="1">
      <alignment horizontal="center" vertical="center"/>
    </xf>
    <xf numFmtId="3" fontId="47" fillId="31" borderId="76" xfId="0" applyNumberFormat="1" applyFont="1" applyFill="1" applyBorder="1" applyAlignment="1">
      <alignment horizontal="center" vertical="center"/>
    </xf>
    <xf numFmtId="3" fontId="47" fillId="31" borderId="73" xfId="0" applyNumberFormat="1" applyFont="1" applyFill="1" applyBorder="1" applyAlignment="1">
      <alignment horizontal="center" vertical="center"/>
    </xf>
    <xf numFmtId="3" fontId="47" fillId="31" borderId="75" xfId="0" applyNumberFormat="1" applyFont="1" applyFill="1" applyBorder="1" applyAlignment="1">
      <alignment horizontal="center" vertical="center"/>
    </xf>
    <xf numFmtId="0" fontId="45" fillId="27" borderId="17" xfId="32" applyFont="1" applyFill="1" applyBorder="1" applyAlignment="1">
      <alignment vertical="center" wrapText="1"/>
    </xf>
    <xf numFmtId="3" fontId="45" fillId="27" borderId="52" xfId="32" applyNumberFormat="1" applyFont="1" applyFill="1" applyBorder="1" applyAlignment="1">
      <alignment horizontal="center" vertical="center"/>
    </xf>
    <xf numFmtId="0" fontId="40" fillId="27" borderId="0" xfId="32" applyFont="1" applyFill="1" applyAlignment="1">
      <alignment vertical="center" wrapText="1"/>
    </xf>
    <xf numFmtId="0" fontId="40" fillId="27" borderId="0" xfId="32" applyFont="1" applyFill="1" applyAlignment="1">
      <alignment horizontal="center" vertical="center" wrapText="1"/>
    </xf>
    <xf numFmtId="14" fontId="40" fillId="27" borderId="0" xfId="32" applyNumberFormat="1" applyFont="1" applyFill="1" applyAlignment="1">
      <alignment horizontal="left" vertical="center"/>
    </xf>
    <xf numFmtId="0" fontId="40" fillId="27" borderId="0" xfId="32" applyFont="1" applyFill="1" applyAlignment="1">
      <alignment horizontal="right" vertical="center"/>
    </xf>
    <xf numFmtId="0" fontId="45" fillId="27" borderId="0" xfId="32" applyFont="1" applyFill="1" applyAlignment="1">
      <alignment horizontal="right" vertical="center" wrapText="1"/>
    </xf>
    <xf numFmtId="3" fontId="47" fillId="27" borderId="0" xfId="32" applyNumberFormat="1" applyFont="1" applyFill="1" applyAlignment="1">
      <alignment horizontal="center" vertical="center" wrapText="1"/>
    </xf>
    <xf numFmtId="3" fontId="40" fillId="27" borderId="0" xfId="32" applyNumberFormat="1" applyFont="1" applyFill="1" applyAlignment="1">
      <alignment horizontal="right" vertical="center" wrapText="1"/>
    </xf>
    <xf numFmtId="0" fontId="40" fillId="27" borderId="0" xfId="32" applyFont="1" applyFill="1" applyAlignment="1">
      <alignment horizontal="center" vertical="center"/>
    </xf>
    <xf numFmtId="0" fontId="42" fillId="27" borderId="0" xfId="32" applyFont="1" applyFill="1" applyAlignment="1">
      <alignment horizontal="center" vertical="center"/>
    </xf>
    <xf numFmtId="0" fontId="47" fillId="27" borderId="0" xfId="32" applyFont="1" applyFill="1" applyAlignment="1">
      <alignment horizontal="center" vertical="center"/>
    </xf>
    <xf numFmtId="0" fontId="45" fillId="0" borderId="17" xfId="32" applyFont="1" applyBorder="1" applyAlignment="1">
      <alignment vertical="center" wrapText="1"/>
    </xf>
    <xf numFmtId="3" fontId="45" fillId="0" borderId="44" xfId="32" applyNumberFormat="1" applyFont="1" applyBorder="1" applyAlignment="1">
      <alignment horizontal="center" vertical="center"/>
    </xf>
    <xf numFmtId="3" fontId="45" fillId="0" borderId="50" xfId="32" applyNumberFormat="1" applyFont="1" applyBorder="1" applyAlignment="1">
      <alignment horizontal="center" vertical="center"/>
    </xf>
    <xf numFmtId="3" fontId="45" fillId="0" borderId="31" xfId="32" applyNumberFormat="1" applyFont="1" applyBorder="1" applyAlignment="1">
      <alignment horizontal="center" vertical="center"/>
    </xf>
    <xf numFmtId="3" fontId="47" fillId="0" borderId="24" xfId="32" applyNumberFormat="1" applyFont="1" applyBorder="1" applyAlignment="1">
      <alignment horizontal="center" vertical="center"/>
    </xf>
    <xf numFmtId="3" fontId="45" fillId="0" borderId="49" xfId="32" applyNumberFormat="1" applyFont="1" applyBorder="1" applyAlignment="1">
      <alignment horizontal="center" vertical="center"/>
    </xf>
    <xf numFmtId="0" fontId="45" fillId="0" borderId="21" xfId="32" applyFont="1" applyBorder="1" applyAlignment="1">
      <alignment vertical="center" wrapText="1"/>
    </xf>
    <xf numFmtId="3" fontId="45" fillId="0" borderId="70" xfId="32" applyNumberFormat="1" applyFont="1" applyBorder="1" applyAlignment="1">
      <alignment horizontal="center" vertical="center"/>
    </xf>
    <xf numFmtId="3" fontId="45" fillId="0" borderId="57" xfId="32" applyNumberFormat="1" applyFont="1" applyBorder="1" applyAlignment="1">
      <alignment horizontal="center" vertical="center"/>
    </xf>
    <xf numFmtId="3" fontId="45" fillId="0" borderId="79" xfId="32" applyNumberFormat="1" applyFont="1" applyBorder="1" applyAlignment="1">
      <alignment horizontal="center" vertical="center"/>
    </xf>
    <xf numFmtId="3" fontId="45" fillId="0" borderId="77" xfId="32" applyNumberFormat="1" applyFont="1" applyBorder="1" applyAlignment="1">
      <alignment horizontal="center" vertical="center"/>
    </xf>
    <xf numFmtId="3" fontId="45" fillId="0" borderId="56" xfId="32" applyNumberFormat="1" applyFont="1" applyBorder="1" applyAlignment="1">
      <alignment horizontal="center" vertical="center"/>
    </xf>
    <xf numFmtId="3" fontId="45" fillId="27" borderId="0" xfId="32" applyNumberFormat="1" applyFont="1" applyFill="1" applyAlignment="1">
      <alignment vertical="center" wrapText="1"/>
    </xf>
    <xf numFmtId="0" fontId="47" fillId="31" borderId="29" xfId="0" applyFont="1" applyFill="1" applyBorder="1" applyAlignment="1">
      <alignment vertical="center" wrapText="1"/>
    </xf>
    <xf numFmtId="3" fontId="47" fillId="31" borderId="74" xfId="0" applyNumberFormat="1" applyFont="1" applyFill="1" applyBorder="1" applyAlignment="1">
      <alignment horizontal="center" vertical="center"/>
    </xf>
    <xf numFmtId="3" fontId="57" fillId="27" borderId="52" xfId="32" applyNumberFormat="1" applyFont="1" applyFill="1" applyBorder="1" applyAlignment="1">
      <alignment horizontal="center" vertical="center"/>
    </xf>
    <xf numFmtId="3" fontId="57" fillId="27" borderId="53" xfId="32" applyNumberFormat="1" applyFont="1" applyFill="1" applyBorder="1" applyAlignment="1">
      <alignment horizontal="center" vertical="center"/>
    </xf>
    <xf numFmtId="3" fontId="57" fillId="27" borderId="32" xfId="32" applyNumberFormat="1" applyFont="1" applyFill="1" applyBorder="1" applyAlignment="1">
      <alignment horizontal="center" vertical="center"/>
    </xf>
    <xf numFmtId="3" fontId="57" fillId="27" borderId="7" xfId="32" applyNumberFormat="1" applyFont="1" applyFill="1" applyBorder="1" applyAlignment="1">
      <alignment horizontal="center" vertical="center"/>
    </xf>
    <xf numFmtId="3" fontId="57" fillId="27" borderId="62" xfId="32" applyNumberFormat="1" applyFont="1" applyFill="1" applyBorder="1" applyAlignment="1">
      <alignment horizontal="center" vertical="center"/>
    </xf>
    <xf numFmtId="0" fontId="45" fillId="27" borderId="5" xfId="32" applyFont="1" applyFill="1" applyBorder="1" applyAlignment="1">
      <alignment vertical="center" wrapText="1"/>
    </xf>
    <xf numFmtId="3" fontId="45" fillId="27" borderId="49" xfId="32" applyNumberFormat="1" applyFont="1" applyFill="1" applyBorder="1" applyAlignment="1">
      <alignment horizontal="center" vertical="center"/>
    </xf>
    <xf numFmtId="3" fontId="45" fillId="27" borderId="50" xfId="32" applyNumberFormat="1" applyFont="1" applyFill="1" applyBorder="1" applyAlignment="1">
      <alignment horizontal="center" vertical="center"/>
    </xf>
    <xf numFmtId="0" fontId="45" fillId="27" borderId="21" xfId="32" applyFont="1" applyFill="1" applyBorder="1" applyAlignment="1">
      <alignment vertical="center" wrapText="1"/>
    </xf>
    <xf numFmtId="3" fontId="57" fillId="27" borderId="56" xfId="32" applyNumberFormat="1" applyFont="1" applyFill="1" applyBorder="1" applyAlignment="1">
      <alignment horizontal="center" vertical="center"/>
    </xf>
    <xf numFmtId="3" fontId="57" fillId="27" borderId="57" xfId="32" applyNumberFormat="1" applyFont="1" applyFill="1" applyBorder="1" applyAlignment="1">
      <alignment horizontal="center" vertical="center"/>
    </xf>
    <xf numFmtId="3" fontId="57" fillId="27" borderId="79" xfId="32" applyNumberFormat="1" applyFont="1" applyFill="1" applyBorder="1" applyAlignment="1">
      <alignment horizontal="center" vertical="center"/>
    </xf>
    <xf numFmtId="3" fontId="57" fillId="27" borderId="77" xfId="32" applyNumberFormat="1" applyFont="1" applyFill="1" applyBorder="1" applyAlignment="1">
      <alignment horizontal="center" vertical="center"/>
    </xf>
    <xf numFmtId="3" fontId="45" fillId="27" borderId="56" xfId="32" applyNumberFormat="1" applyFont="1" applyFill="1" applyBorder="1" applyAlignment="1">
      <alignment horizontal="center" vertical="center"/>
    </xf>
    <xf numFmtId="3" fontId="45" fillId="27" borderId="57" xfId="32" applyNumberFormat="1" applyFont="1" applyFill="1" applyBorder="1" applyAlignment="1">
      <alignment horizontal="center" vertical="center"/>
    </xf>
    <xf numFmtId="3" fontId="45" fillId="27" borderId="79" xfId="32" applyNumberFormat="1" applyFont="1" applyFill="1" applyBorder="1" applyAlignment="1">
      <alignment horizontal="center" vertical="center"/>
    </xf>
    <xf numFmtId="3" fontId="45" fillId="27" borderId="77" xfId="32" applyNumberFormat="1" applyFont="1" applyFill="1" applyBorder="1" applyAlignment="1">
      <alignment horizontal="center" vertical="center"/>
    </xf>
    <xf numFmtId="0" fontId="84" fillId="26" borderId="0" xfId="0" applyFont="1" applyFill="1" applyAlignment="1">
      <alignment vertical="center"/>
    </xf>
    <xf numFmtId="0" fontId="45" fillId="26" borderId="0" xfId="0" applyFont="1" applyFill="1" applyAlignment="1">
      <alignment vertical="center"/>
    </xf>
    <xf numFmtId="0" fontId="84" fillId="26" borderId="0" xfId="0" applyFont="1" applyFill="1" applyAlignment="1">
      <alignment horizontal="center" vertical="center"/>
    </xf>
    <xf numFmtId="14" fontId="21" fillId="26" borderId="0" xfId="0" applyNumberFormat="1" applyFont="1" applyFill="1" applyAlignment="1">
      <alignment horizontal="left" vertical="center"/>
    </xf>
    <xf numFmtId="0" fontId="47" fillId="26" borderId="0" xfId="0" applyFont="1" applyFill="1" applyAlignment="1">
      <alignment horizontal="right" vertical="center"/>
    </xf>
    <xf numFmtId="0" fontId="45" fillId="26" borderId="0" xfId="0" applyFont="1" applyFill="1" applyAlignment="1">
      <alignment horizontal="center" vertical="center"/>
    </xf>
    <xf numFmtId="14" fontId="47" fillId="0" borderId="0" xfId="0" applyNumberFormat="1" applyFont="1" applyAlignment="1">
      <alignment vertical="center"/>
    </xf>
    <xf numFmtId="14" fontId="57" fillId="26" borderId="0" xfId="0" applyNumberFormat="1" applyFont="1" applyFill="1" applyAlignment="1">
      <alignment horizontal="center" vertical="center"/>
    </xf>
    <xf numFmtId="0" fontId="125" fillId="26" borderId="0" xfId="0" applyFont="1" applyFill="1" applyAlignment="1">
      <alignment vertical="center"/>
    </xf>
    <xf numFmtId="0" fontId="45" fillId="26" borderId="0" xfId="0" applyFont="1" applyFill="1" applyAlignment="1">
      <alignment vertical="center" wrapText="1"/>
    </xf>
    <xf numFmtId="0" fontId="47" fillId="27" borderId="0" xfId="0" applyFont="1" applyFill="1" applyAlignment="1">
      <alignment horizontal="left" vertical="center"/>
    </xf>
    <xf numFmtId="0" fontId="65" fillId="27" borderId="0" xfId="0" applyFont="1" applyFill="1" applyAlignment="1">
      <alignment horizontal="left" vertical="center"/>
    </xf>
    <xf numFmtId="0" fontId="84" fillId="27" borderId="0" xfId="0" applyFont="1" applyFill="1" applyAlignment="1">
      <alignment vertical="center"/>
    </xf>
    <xf numFmtId="49" fontId="65" fillId="26" borderId="0" xfId="0" applyNumberFormat="1" applyFont="1" applyFill="1" applyAlignment="1">
      <alignment horizontal="right" vertical="center"/>
    </xf>
    <xf numFmtId="0" fontId="125" fillId="26" borderId="0" xfId="0" applyFont="1" applyFill="1" applyAlignment="1">
      <alignment horizontal="left" vertical="center"/>
    </xf>
    <xf numFmtId="0" fontId="84" fillId="27" borderId="0" xfId="0" applyFont="1" applyFill="1" applyAlignment="1">
      <alignment vertical="center" wrapText="1"/>
    </xf>
    <xf numFmtId="0" fontId="45" fillId="26" borderId="0" xfId="0" applyFont="1" applyFill="1" applyAlignment="1">
      <alignment horizontal="left" vertical="center"/>
    </xf>
    <xf numFmtId="0" fontId="57" fillId="26" borderId="0" xfId="0" applyFont="1" applyFill="1" applyAlignment="1">
      <alignment horizontal="left" vertical="center"/>
    </xf>
    <xf numFmtId="49" fontId="45" fillId="26" borderId="0" xfId="0" applyNumberFormat="1" applyFont="1" applyFill="1" applyAlignment="1">
      <alignment horizontal="left" vertical="center"/>
    </xf>
    <xf numFmtId="0" fontId="20" fillId="0" borderId="0" xfId="31" applyFont="1" applyAlignment="1">
      <alignment vertical="center"/>
    </xf>
    <xf numFmtId="0" fontId="49" fillId="0" borderId="0" xfId="31" applyFont="1" applyAlignment="1">
      <alignment vertical="center"/>
    </xf>
    <xf numFmtId="0" fontId="40" fillId="37" borderId="56" xfId="31" applyFont="1" applyFill="1" applyBorder="1" applyAlignment="1">
      <alignment horizontal="center" vertical="center"/>
    </xf>
    <xf numFmtId="0" fontId="40" fillId="37" borderId="77" xfId="31" applyFont="1" applyFill="1" applyBorder="1" applyAlignment="1">
      <alignment horizontal="center" vertical="center"/>
    </xf>
    <xf numFmtId="0" fontId="40" fillId="37" borderId="57" xfId="31" applyFont="1" applyFill="1" applyBorder="1" applyAlignment="1">
      <alignment horizontal="center" vertical="center"/>
    </xf>
    <xf numFmtId="0" fontId="40" fillId="37" borderId="79" xfId="31" applyFont="1" applyFill="1" applyBorder="1" applyAlignment="1">
      <alignment horizontal="center" vertical="center"/>
    </xf>
    <xf numFmtId="49" fontId="40" fillId="0" borderId="75" xfId="31" applyNumberFormat="1" applyFont="1" applyBorder="1" applyAlignment="1">
      <alignment horizontal="center" vertical="center"/>
    </xf>
    <xf numFmtId="0" fontId="40" fillId="24" borderId="74" xfId="31" applyFont="1" applyFill="1" applyBorder="1" applyAlignment="1">
      <alignment horizontal="center" vertical="center"/>
    </xf>
    <xf numFmtId="49" fontId="41" fillId="0" borderId="52" xfId="31" applyNumberFormat="1" applyFont="1" applyBorder="1" applyAlignment="1">
      <alignment horizontal="center" vertical="center"/>
    </xf>
    <xf numFmtId="0" fontId="42" fillId="0" borderId="62" xfId="31" applyFont="1" applyBorder="1" applyAlignment="1">
      <alignment horizontal="right" vertical="center"/>
    </xf>
    <xf numFmtId="49" fontId="41" fillId="0" borderId="56" xfId="31" applyNumberFormat="1" applyFont="1" applyBorder="1" applyAlignment="1">
      <alignment horizontal="center" vertical="center"/>
    </xf>
    <xf numFmtId="0" fontId="42" fillId="0" borderId="78" xfId="31" applyFont="1" applyBorder="1" applyAlignment="1">
      <alignment horizontal="right" vertical="center"/>
    </xf>
    <xf numFmtId="0" fontId="41" fillId="0" borderId="0" xfId="31" applyFont="1" applyAlignment="1">
      <alignment vertical="center"/>
    </xf>
    <xf numFmtId="3" fontId="40" fillId="0" borderId="0" xfId="31" applyNumberFormat="1" applyFont="1" applyAlignment="1">
      <alignment vertical="center"/>
    </xf>
    <xf numFmtId="3" fontId="40" fillId="24" borderId="73" xfId="31" applyNumberFormat="1" applyFont="1" applyFill="1" applyBorder="1" applyAlignment="1">
      <alignment horizontal="center" vertical="center"/>
    </xf>
    <xf numFmtId="3" fontId="40" fillId="24" borderId="76" xfId="31" applyNumberFormat="1" applyFont="1" applyFill="1" applyBorder="1" applyAlignment="1">
      <alignment horizontal="center" vertical="center"/>
    </xf>
    <xf numFmtId="3" fontId="40" fillId="24" borderId="74" xfId="31" applyNumberFormat="1" applyFont="1" applyFill="1" applyBorder="1" applyAlignment="1">
      <alignment horizontal="center" vertical="center"/>
    </xf>
    <xf numFmtId="49" fontId="21" fillId="0" borderId="52" xfId="31" applyNumberFormat="1" applyFont="1" applyBorder="1" applyAlignment="1">
      <alignment horizontal="center" vertical="center"/>
    </xf>
    <xf numFmtId="0" fontId="40" fillId="26" borderId="62" xfId="31" applyFont="1" applyFill="1" applyBorder="1" applyAlignment="1">
      <alignment horizontal="center" vertical="center"/>
    </xf>
    <xf numFmtId="49" fontId="43" fillId="0" borderId="52" xfId="31" applyNumberFormat="1" applyFont="1" applyBorder="1" applyAlignment="1">
      <alignment horizontal="center" vertical="center"/>
    </xf>
    <xf numFmtId="49" fontId="43" fillId="43" borderId="52" xfId="31" applyNumberFormat="1" applyFont="1" applyFill="1" applyBorder="1" applyAlignment="1">
      <alignment horizontal="center" vertical="center"/>
    </xf>
    <xf numFmtId="0" fontId="42" fillId="43" borderId="62" xfId="31" applyFont="1" applyFill="1" applyBorder="1" applyAlignment="1">
      <alignment horizontal="right" vertical="center"/>
    </xf>
    <xf numFmtId="49" fontId="79" fillId="0" borderId="38" xfId="0" applyNumberFormat="1" applyFont="1" applyBorder="1" applyAlignment="1">
      <alignment horizontal="center" vertical="center"/>
    </xf>
    <xf numFmtId="0" fontId="95" fillId="26" borderId="60" xfId="31" applyFont="1" applyFill="1" applyBorder="1" applyAlignment="1">
      <alignment vertical="center" wrapText="1"/>
    </xf>
    <xf numFmtId="0" fontId="95" fillId="0" borderId="0" xfId="31" applyFont="1" applyAlignment="1">
      <alignment vertical="center" wrapText="1"/>
    </xf>
    <xf numFmtId="49" fontId="12" fillId="26" borderId="38" xfId="0" applyNumberFormat="1" applyFont="1" applyFill="1" applyBorder="1" applyAlignment="1">
      <alignment horizontal="center" vertical="center"/>
    </xf>
    <xf numFmtId="3" fontId="41" fillId="0" borderId="9" xfId="21" applyNumberFormat="1" applyFont="1" applyFill="1" applyBorder="1">
      <alignment horizontal="center" vertical="center" wrapText="1"/>
    </xf>
    <xf numFmtId="3" fontId="41" fillId="0" borderId="60" xfId="21" applyNumberFormat="1" applyFont="1" applyFill="1" applyBorder="1">
      <alignment horizontal="center" vertical="center" wrapText="1"/>
    </xf>
    <xf numFmtId="3" fontId="41" fillId="0" borderId="10" xfId="21" applyNumberFormat="1" applyFont="1" applyFill="1" applyBorder="1">
      <alignment horizontal="center" vertical="center" wrapText="1"/>
    </xf>
    <xf numFmtId="0" fontId="40" fillId="0" borderId="0" xfId="0" applyFont="1" applyAlignment="1">
      <alignment vertical="center"/>
    </xf>
    <xf numFmtId="49" fontId="12" fillId="0" borderId="75" xfId="0" applyNumberFormat="1" applyFont="1" applyBorder="1" applyAlignment="1">
      <alignment horizontal="center" vertical="center"/>
    </xf>
    <xf numFmtId="49" fontId="12" fillId="0" borderId="52" xfId="0" applyNumberFormat="1" applyFont="1" applyBorder="1" applyAlignment="1">
      <alignment horizontal="center" vertical="center"/>
    </xf>
    <xf numFmtId="3" fontId="41" fillId="0" borderId="7" xfId="21" applyNumberFormat="1" applyFont="1" applyFill="1" applyBorder="1">
      <alignment horizontal="center" vertical="center" wrapText="1"/>
    </xf>
    <xf numFmtId="3" fontId="41" fillId="0" borderId="53" xfId="21" applyNumberFormat="1" applyFont="1" applyFill="1" applyBorder="1">
      <alignment horizontal="center" vertical="center" wrapText="1"/>
    </xf>
    <xf numFmtId="3" fontId="41" fillId="0" borderId="62" xfId="21" applyNumberFormat="1" applyFont="1" applyFill="1" applyBorder="1">
      <alignment horizontal="center" vertical="center" wrapText="1"/>
    </xf>
    <xf numFmtId="49" fontId="12" fillId="0" borderId="38" xfId="0" applyNumberFormat="1" applyFont="1" applyBorder="1" applyAlignment="1">
      <alignment horizontal="center" vertical="center"/>
    </xf>
    <xf numFmtId="49" fontId="12" fillId="0" borderId="66" xfId="0" applyNumberFormat="1" applyFont="1" applyBorder="1" applyAlignment="1">
      <alignment horizontal="center" vertical="center"/>
    </xf>
    <xf numFmtId="49" fontId="41" fillId="29" borderId="1" xfId="49" applyNumberFormat="1" applyFont="1" applyFill="1" applyBorder="1" applyAlignment="1">
      <alignment horizontal="right" vertical="center"/>
    </xf>
    <xf numFmtId="174" fontId="40" fillId="37" borderId="56" xfId="31" applyNumberFormat="1" applyFont="1" applyFill="1" applyBorder="1" applyAlignment="1">
      <alignment horizontal="center" vertical="center"/>
    </xf>
    <xf numFmtId="174" fontId="40" fillId="37" borderId="77" xfId="31" applyNumberFormat="1" applyFont="1" applyFill="1" applyBorder="1" applyAlignment="1">
      <alignment horizontal="center" vertical="center"/>
    </xf>
    <xf numFmtId="174" fontId="40" fillId="37" borderId="57" xfId="31" applyNumberFormat="1" applyFont="1" applyFill="1" applyBorder="1" applyAlignment="1">
      <alignment horizontal="center" vertical="center"/>
    </xf>
    <xf numFmtId="174" fontId="40" fillId="37" borderId="79" xfId="31" applyNumberFormat="1" applyFont="1" applyFill="1" applyBorder="1" applyAlignment="1">
      <alignment horizontal="center" vertical="center"/>
    </xf>
    <xf numFmtId="49" fontId="41" fillId="0" borderId="33" xfId="27" applyFont="1" applyFill="1" applyBorder="1" applyAlignment="1">
      <alignment vertical="center" wrapText="1"/>
    </xf>
    <xf numFmtId="3" fontId="12" fillId="26" borderId="52" xfId="32" applyNumberFormat="1" applyFont="1" applyFill="1" applyBorder="1" applyAlignment="1">
      <alignment horizontal="center" vertical="center"/>
    </xf>
    <xf numFmtId="49" fontId="41" fillId="0" borderId="23" xfId="27" applyFont="1" applyFill="1" applyBorder="1" applyAlignment="1">
      <alignment vertical="center" wrapText="1"/>
    </xf>
    <xf numFmtId="3" fontId="12" fillId="26" borderId="7" xfId="32" applyNumberFormat="1" applyFont="1" applyFill="1" applyBorder="1" applyAlignment="1">
      <alignment horizontal="center" vertical="center"/>
    </xf>
    <xf numFmtId="3" fontId="12" fillId="26" borderId="53" xfId="32" applyNumberFormat="1" applyFont="1" applyFill="1" applyBorder="1" applyAlignment="1">
      <alignment horizontal="center" vertical="center"/>
    </xf>
    <xf numFmtId="10" fontId="41" fillId="26" borderId="15" xfId="70" applyNumberFormat="1" applyFont="1" applyFill="1" applyBorder="1" applyAlignment="1" applyProtection="1">
      <alignment horizontal="right" vertical="center" wrapText="1"/>
    </xf>
    <xf numFmtId="10" fontId="41" fillId="0" borderId="52" xfId="70" applyNumberFormat="1" applyFont="1" applyFill="1" applyBorder="1" applyAlignment="1" applyProtection="1">
      <alignment horizontal="right" vertical="center" wrapText="1"/>
    </xf>
    <xf numFmtId="10" fontId="41" fillId="0" borderId="7" xfId="70" applyNumberFormat="1" applyFont="1" applyFill="1" applyBorder="1" applyAlignment="1" applyProtection="1">
      <alignment horizontal="right" vertical="center" wrapText="1"/>
    </xf>
    <xf numFmtId="10" fontId="41" fillId="0" borderId="53" xfId="70" applyNumberFormat="1" applyFont="1" applyFill="1" applyBorder="1" applyAlignment="1" applyProtection="1">
      <alignment horizontal="right" vertical="center" wrapText="1"/>
    </xf>
    <xf numFmtId="38" fontId="41" fillId="0" borderId="52" xfId="28" applyFont="1" applyFill="1" applyBorder="1">
      <alignment horizontal="right" vertical="center" wrapText="1"/>
    </xf>
    <xf numFmtId="38" fontId="41" fillId="0" borderId="7" xfId="28" applyFont="1" applyFill="1" applyBorder="1">
      <alignment horizontal="right" vertical="center" wrapText="1"/>
    </xf>
    <xf numFmtId="38" fontId="41" fillId="0" borderId="53" xfId="28" applyFont="1" applyFill="1" applyBorder="1">
      <alignment horizontal="right" vertical="center" wrapText="1"/>
    </xf>
    <xf numFmtId="174" fontId="40" fillId="37" borderId="69" xfId="31" applyNumberFormat="1" applyFont="1" applyFill="1" applyBorder="1" applyAlignment="1">
      <alignment horizontal="center" vertical="center"/>
    </xf>
    <xf numFmtId="174" fontId="40" fillId="37" borderId="63" xfId="31" applyNumberFormat="1" applyFont="1" applyFill="1" applyBorder="1" applyAlignment="1">
      <alignment horizontal="center" vertical="center"/>
    </xf>
    <xf numFmtId="174" fontId="40" fillId="37" borderId="55" xfId="31" applyNumberFormat="1" applyFont="1" applyFill="1" applyBorder="1" applyAlignment="1">
      <alignment horizontal="center" vertical="center"/>
    </xf>
    <xf numFmtId="10" fontId="41" fillId="0" borderId="32" xfId="70" applyNumberFormat="1" applyFont="1" applyFill="1" applyBorder="1" applyAlignment="1" applyProtection="1">
      <alignment horizontal="right" vertical="center" wrapText="1"/>
    </xf>
    <xf numFmtId="38" fontId="41" fillId="0" borderId="32" xfId="28" applyFont="1" applyFill="1" applyBorder="1">
      <alignment horizontal="right" vertical="center" wrapText="1"/>
    </xf>
    <xf numFmtId="38" fontId="41" fillId="0" borderId="54" xfId="28" applyFont="1" applyFill="1" applyBorder="1">
      <alignment horizontal="right" vertical="center" wrapText="1"/>
    </xf>
    <xf numFmtId="38" fontId="41" fillId="0" borderId="63" xfId="28" applyFont="1" applyFill="1" applyBorder="1">
      <alignment horizontal="right" vertical="center" wrapText="1"/>
    </xf>
    <xf numFmtId="38" fontId="41" fillId="0" borderId="55" xfId="28" applyFont="1" applyFill="1" applyBorder="1">
      <alignment horizontal="right" vertical="center" wrapText="1"/>
    </xf>
    <xf numFmtId="38" fontId="41" fillId="0" borderId="69" xfId="28" applyFont="1" applyFill="1" applyBorder="1">
      <alignment horizontal="right" vertical="center" wrapText="1"/>
    </xf>
    <xf numFmtId="49" fontId="41" fillId="0" borderId="28" xfId="27" applyFont="1" applyFill="1" applyBorder="1" applyAlignment="1">
      <alignment vertical="center" wrapText="1"/>
    </xf>
    <xf numFmtId="38" fontId="41" fillId="0" borderId="56" xfId="28" applyFont="1" applyFill="1" applyBorder="1">
      <alignment horizontal="right" vertical="center" wrapText="1"/>
    </xf>
    <xf numFmtId="38" fontId="41" fillId="0" borderId="77" xfId="28" applyFont="1" applyFill="1" applyBorder="1">
      <alignment horizontal="right" vertical="center" wrapText="1"/>
    </xf>
    <xf numFmtId="38" fontId="41" fillId="0" borderId="57" xfId="28" applyFont="1" applyFill="1" applyBorder="1">
      <alignment horizontal="right" vertical="center" wrapText="1"/>
    </xf>
    <xf numFmtId="174" fontId="40" fillId="37" borderId="56" xfId="31" applyNumberFormat="1" applyFont="1" applyFill="1" applyBorder="1" applyAlignment="1">
      <alignment vertical="center"/>
    </xf>
    <xf numFmtId="174" fontId="40" fillId="37" borderId="77" xfId="31" applyNumberFormat="1" applyFont="1" applyFill="1" applyBorder="1" applyAlignment="1">
      <alignment vertical="center"/>
    </xf>
    <xf numFmtId="174" fontId="40" fillId="37" borderId="57" xfId="31" applyNumberFormat="1" applyFont="1" applyFill="1" applyBorder="1" applyAlignment="1">
      <alignment vertical="center"/>
    </xf>
    <xf numFmtId="9" fontId="12" fillId="26" borderId="7" xfId="70" applyFont="1" applyFill="1" applyBorder="1" applyAlignment="1" applyProtection="1">
      <alignment horizontal="center" vertical="center"/>
    </xf>
    <xf numFmtId="9" fontId="12" fillId="26" borderId="53" xfId="70" applyFont="1" applyFill="1" applyBorder="1" applyAlignment="1" applyProtection="1">
      <alignment horizontal="center" vertical="center"/>
    </xf>
    <xf numFmtId="9" fontId="12" fillId="26" borderId="77" xfId="70" applyFont="1" applyFill="1" applyBorder="1" applyAlignment="1" applyProtection="1">
      <alignment horizontal="center" vertical="center"/>
    </xf>
    <xf numFmtId="9" fontId="12" fillId="26" borderId="57" xfId="70" applyFont="1" applyFill="1" applyBorder="1" applyAlignment="1" applyProtection="1">
      <alignment horizontal="center" vertical="center"/>
    </xf>
    <xf numFmtId="9" fontId="12" fillId="26" borderId="31" xfId="70" applyFont="1" applyFill="1" applyBorder="1" applyAlignment="1" applyProtection="1">
      <alignment horizontal="center" vertical="center"/>
    </xf>
    <xf numFmtId="9" fontId="12" fillId="26" borderId="50" xfId="70" applyFont="1" applyFill="1" applyBorder="1" applyAlignment="1" applyProtection="1">
      <alignment horizontal="center" vertical="center"/>
    </xf>
    <xf numFmtId="0" fontId="40" fillId="0" borderId="0" xfId="31" applyFont="1" applyAlignment="1">
      <alignment horizontal="right" vertical="center"/>
    </xf>
    <xf numFmtId="14" fontId="21" fillId="0" borderId="0" xfId="31" applyNumberFormat="1" applyFont="1" applyAlignment="1">
      <alignment vertical="center"/>
    </xf>
    <xf numFmtId="0" fontId="21" fillId="26" borderId="0" xfId="0" applyFont="1" applyFill="1" applyAlignment="1">
      <alignment horizontal="left" vertical="center"/>
    </xf>
    <xf numFmtId="49" fontId="12" fillId="0" borderId="0" xfId="0" applyNumberFormat="1" applyFont="1" applyAlignment="1">
      <alignment horizontal="right" vertical="center"/>
    </xf>
    <xf numFmtId="0" fontId="36" fillId="0" borderId="0" xfId="0" applyFont="1" applyAlignment="1">
      <alignment horizontal="center" vertical="center"/>
    </xf>
    <xf numFmtId="49" fontId="21" fillId="0" borderId="0" xfId="0" applyNumberFormat="1" applyFont="1" applyAlignment="1">
      <alignment horizontal="right" vertical="center"/>
    </xf>
    <xf numFmtId="168" fontId="12" fillId="27" borderId="0" xfId="49" applyNumberFormat="1" applyFont="1" applyFill="1" applyAlignment="1">
      <alignment vertical="center" wrapText="1"/>
    </xf>
    <xf numFmtId="0" fontId="16" fillId="27" borderId="0" xfId="49" applyFont="1" applyFill="1" applyAlignment="1">
      <alignment vertical="center" wrapText="1"/>
    </xf>
    <xf numFmtId="0" fontId="52" fillId="27" borderId="0" xfId="49" applyFont="1" applyFill="1" applyAlignment="1">
      <alignment vertical="center" wrapText="1"/>
    </xf>
    <xf numFmtId="0" fontId="21" fillId="27" borderId="0" xfId="49" applyFont="1" applyFill="1" applyAlignment="1">
      <alignment vertical="center" wrapText="1"/>
    </xf>
    <xf numFmtId="1" fontId="40" fillId="38" borderId="1" xfId="21" applyFont="1" applyFill="1" applyBorder="1">
      <alignment horizontal="center" vertical="center" wrapText="1"/>
    </xf>
    <xf numFmtId="1" fontId="40" fillId="38" borderId="38" xfId="21" applyFont="1" applyFill="1" applyBorder="1">
      <alignment horizontal="center" vertical="center" wrapText="1"/>
    </xf>
    <xf numFmtId="1" fontId="40" fillId="38" borderId="9" xfId="21" applyFont="1" applyFill="1" applyBorder="1">
      <alignment horizontal="center" vertical="center" wrapText="1"/>
    </xf>
    <xf numFmtId="1" fontId="40" fillId="38" borderId="10" xfId="21" applyFont="1" applyFill="1" applyBorder="1">
      <alignment horizontal="center" vertical="center" wrapText="1"/>
    </xf>
    <xf numFmtId="1" fontId="40" fillId="38" borderId="65" xfId="21" applyFont="1" applyFill="1" applyBorder="1">
      <alignment horizontal="center" vertical="center" wrapText="1"/>
    </xf>
    <xf numFmtId="1" fontId="40" fillId="38" borderId="2" xfId="21" applyFont="1" applyFill="1" applyBorder="1">
      <alignment horizontal="center" vertical="center" wrapText="1"/>
    </xf>
    <xf numFmtId="0" fontId="40" fillId="32" borderId="42" xfId="49" applyFont="1" applyFill="1" applyBorder="1" applyAlignment="1">
      <alignment horizontal="center" vertical="center" wrapText="1"/>
    </xf>
    <xf numFmtId="0" fontId="40" fillId="32" borderId="34" xfId="49" applyFont="1" applyFill="1" applyBorder="1" applyAlignment="1">
      <alignment horizontal="left" vertical="center" wrapText="1"/>
    </xf>
    <xf numFmtId="0" fontId="40" fillId="32" borderId="2" xfId="49" applyFont="1" applyFill="1" applyBorder="1" applyAlignment="1">
      <alignment horizontal="center" vertical="center" wrapText="1"/>
    </xf>
    <xf numFmtId="0" fontId="40" fillId="32" borderId="65" xfId="49" applyFont="1" applyFill="1" applyBorder="1" applyAlignment="1">
      <alignment horizontal="left" vertical="center" wrapText="1"/>
    </xf>
    <xf numFmtId="0" fontId="40" fillId="32" borderId="9" xfId="49" applyFont="1" applyFill="1" applyBorder="1" applyAlignment="1">
      <alignment horizontal="left" vertical="center" wrapText="1"/>
    </xf>
    <xf numFmtId="3" fontId="40" fillId="32" borderId="9" xfId="49" applyNumberFormat="1" applyFont="1" applyFill="1" applyBorder="1" applyAlignment="1">
      <alignment horizontal="left" vertical="center" wrapText="1"/>
    </xf>
    <xf numFmtId="0" fontId="40" fillId="32" borderId="10" xfId="49" applyFont="1" applyFill="1" applyBorder="1" applyAlignment="1">
      <alignment horizontal="left" vertical="center" wrapText="1"/>
    </xf>
    <xf numFmtId="0" fontId="40" fillId="32" borderId="34" xfId="49" applyFont="1" applyFill="1" applyBorder="1" applyAlignment="1">
      <alignment horizontal="center" vertical="center" wrapText="1"/>
    </xf>
    <xf numFmtId="0" fontId="40" fillId="32" borderId="38" xfId="49" applyFont="1" applyFill="1" applyBorder="1" applyAlignment="1">
      <alignment horizontal="left" vertical="center" wrapText="1"/>
    </xf>
    <xf numFmtId="0" fontId="73" fillId="27" borderId="0" xfId="49" applyFont="1" applyFill="1" applyAlignment="1">
      <alignment vertical="center" wrapText="1"/>
    </xf>
    <xf numFmtId="168" fontId="94" fillId="27" borderId="88" xfId="49" applyNumberFormat="1" applyFont="1" applyFill="1" applyBorder="1" applyAlignment="1">
      <alignment horizontal="center" vertical="center" wrapText="1"/>
    </xf>
    <xf numFmtId="49" fontId="40" fillId="24" borderId="1" xfId="49" applyNumberFormat="1" applyFont="1" applyFill="1" applyBorder="1" applyAlignment="1">
      <alignment horizontal="center" vertical="center" wrapText="1"/>
    </xf>
    <xf numFmtId="49" fontId="40" fillId="24" borderId="1" xfId="49" applyNumberFormat="1" applyFont="1" applyFill="1" applyBorder="1" applyAlignment="1">
      <alignment vertical="center" wrapText="1"/>
    </xf>
    <xf numFmtId="3" fontId="40" fillId="31" borderId="35" xfId="49" applyNumberFormat="1" applyFont="1" applyFill="1" applyBorder="1" applyAlignment="1">
      <alignment horizontal="center" vertical="center" wrapText="1"/>
    </xf>
    <xf numFmtId="3" fontId="40" fillId="31" borderId="65" xfId="49" applyNumberFormat="1" applyFont="1" applyFill="1" applyBorder="1" applyAlignment="1">
      <alignment horizontal="center" vertical="center" wrapText="1"/>
    </xf>
    <xf numFmtId="3" fontId="40" fillId="31" borderId="9" xfId="49" applyNumberFormat="1" applyFont="1" applyFill="1" applyBorder="1" applyAlignment="1">
      <alignment horizontal="center" vertical="center" wrapText="1"/>
    </xf>
    <xf numFmtId="3" fontId="40" fillId="31" borderId="10" xfId="49" applyNumberFormat="1" applyFont="1" applyFill="1" applyBorder="1" applyAlignment="1">
      <alignment horizontal="center" vertical="center" wrapText="1"/>
    </xf>
    <xf numFmtId="3" fontId="40" fillId="31" borderId="2" xfId="49" applyNumberFormat="1" applyFont="1" applyFill="1" applyBorder="1" applyAlignment="1">
      <alignment horizontal="center" vertical="center" wrapText="1"/>
    </xf>
    <xf numFmtId="3" fontId="21" fillId="27" borderId="0" xfId="0" applyNumberFormat="1" applyFont="1" applyFill="1" applyAlignment="1">
      <alignment vertical="center" wrapText="1"/>
    </xf>
    <xf numFmtId="0" fontId="41" fillId="27" borderId="5" xfId="49" applyFont="1" applyFill="1" applyBorder="1" applyAlignment="1">
      <alignment horizontal="center" vertical="center" wrapText="1"/>
    </xf>
    <xf numFmtId="0" fontId="41" fillId="26" borderId="5" xfId="49" applyFont="1" applyFill="1" applyBorder="1" applyAlignment="1">
      <alignment horizontal="center" vertical="center" wrapText="1"/>
    </xf>
    <xf numFmtId="9" fontId="41" fillId="26" borderId="5" xfId="49" applyNumberFormat="1" applyFont="1" applyFill="1" applyBorder="1" applyAlignment="1">
      <alignment horizontal="center" vertical="center" wrapText="1"/>
    </xf>
    <xf numFmtId="0" fontId="41" fillId="26" borderId="25" xfId="49" applyFont="1" applyFill="1" applyBorder="1" applyAlignment="1">
      <alignment vertical="center" wrapText="1"/>
    </xf>
    <xf numFmtId="0" fontId="0" fillId="27" borderId="0" xfId="0" applyFill="1" applyAlignment="1">
      <alignment vertical="center" wrapText="1"/>
    </xf>
    <xf numFmtId="3" fontId="27" fillId="27" borderId="88" xfId="0" applyNumberFormat="1" applyFont="1" applyFill="1" applyBorder="1" applyAlignment="1">
      <alignment vertical="center" wrapText="1"/>
    </xf>
    <xf numFmtId="0" fontId="41" fillId="27" borderId="17" xfId="49" applyFont="1" applyFill="1" applyBorder="1" applyAlignment="1">
      <alignment horizontal="center" vertical="center" wrapText="1"/>
    </xf>
    <xf numFmtId="0" fontId="41" fillId="26" borderId="17" xfId="49" applyFont="1" applyFill="1" applyBorder="1" applyAlignment="1">
      <alignment horizontal="center" vertical="center" wrapText="1"/>
    </xf>
    <xf numFmtId="9" fontId="41" fillId="26" borderId="17" xfId="49" applyNumberFormat="1" applyFont="1" applyFill="1" applyBorder="1" applyAlignment="1">
      <alignment horizontal="center" vertical="center" wrapText="1"/>
    </xf>
    <xf numFmtId="0" fontId="41" fillId="26" borderId="24" xfId="49" applyFont="1" applyFill="1" applyBorder="1" applyAlignment="1">
      <alignment vertical="center" wrapText="1"/>
    </xf>
    <xf numFmtId="3" fontId="74" fillId="27" borderId="88" xfId="0" applyNumberFormat="1" applyFont="1" applyFill="1" applyBorder="1" applyAlignment="1">
      <alignment vertical="center" wrapText="1"/>
    </xf>
    <xf numFmtId="49" fontId="41" fillId="26" borderId="24" xfId="49" applyNumberFormat="1" applyFont="1" applyFill="1" applyBorder="1" applyAlignment="1">
      <alignment vertical="center" wrapText="1"/>
    </xf>
    <xf numFmtId="0" fontId="14" fillId="27" borderId="88" xfId="0" applyFont="1" applyFill="1" applyBorder="1" applyAlignment="1">
      <alignment vertical="center" wrapText="1"/>
    </xf>
    <xf numFmtId="9" fontId="41" fillId="26" borderId="24" xfId="49" applyNumberFormat="1" applyFont="1" applyFill="1" applyBorder="1" applyAlignment="1">
      <alignment horizontal="center" vertical="center" wrapText="1"/>
    </xf>
    <xf numFmtId="49" fontId="41" fillId="26" borderId="24" xfId="49" applyNumberFormat="1" applyFont="1" applyFill="1" applyBorder="1" applyAlignment="1">
      <alignment horizontal="right" vertical="center" wrapText="1"/>
    </xf>
    <xf numFmtId="0" fontId="27" fillId="27" borderId="0" xfId="0" applyFont="1" applyFill="1" applyAlignment="1">
      <alignment vertical="center" wrapText="1"/>
    </xf>
    <xf numFmtId="49" fontId="41" fillId="0" borderId="24" xfId="49" applyNumberFormat="1" applyFont="1" applyBorder="1" applyAlignment="1">
      <alignment horizontal="left" vertical="center" wrapText="1"/>
    </xf>
    <xf numFmtId="0" fontId="41" fillId="27" borderId="24" xfId="49" applyFont="1" applyFill="1" applyBorder="1" applyAlignment="1">
      <alignment horizontal="center" vertical="center" wrapText="1"/>
    </xf>
    <xf numFmtId="0" fontId="41" fillId="26" borderId="24" xfId="49" applyFont="1" applyFill="1" applyBorder="1" applyAlignment="1">
      <alignment horizontal="center" vertical="center" wrapText="1"/>
    </xf>
    <xf numFmtId="0" fontId="41" fillId="26" borderId="24" xfId="49" applyFont="1" applyFill="1" applyBorder="1" applyAlignment="1">
      <alignment horizontal="right" vertical="center" wrapText="1"/>
    </xf>
    <xf numFmtId="49" fontId="41" fillId="26" borderId="24" xfId="49" applyNumberFormat="1" applyFont="1" applyFill="1" applyBorder="1" applyAlignment="1">
      <alignment horizontal="left" vertical="center" wrapText="1"/>
    </xf>
    <xf numFmtId="0" fontId="41" fillId="26" borderId="24" xfId="0" applyFont="1" applyFill="1" applyBorder="1" applyAlignment="1">
      <alignment horizontal="center" vertical="center" wrapText="1"/>
    </xf>
    <xf numFmtId="0" fontId="41" fillId="0" borderId="24" xfId="49" applyFont="1" applyBorder="1" applyAlignment="1">
      <alignment horizontal="center" vertical="center" wrapText="1"/>
    </xf>
    <xf numFmtId="0" fontId="41" fillId="26" borderId="24" xfId="49" applyFont="1" applyFill="1" applyBorder="1" applyAlignment="1">
      <alignment horizontal="left" vertical="center" wrapText="1"/>
    </xf>
    <xf numFmtId="9" fontId="41" fillId="27" borderId="24" xfId="49" applyNumberFormat="1" applyFont="1" applyFill="1" applyBorder="1" applyAlignment="1">
      <alignment horizontal="center" vertical="center" wrapText="1"/>
    </xf>
    <xf numFmtId="0" fontId="41" fillId="26" borderId="25" xfId="0" applyFont="1" applyFill="1" applyBorder="1" applyAlignment="1">
      <alignment vertical="center" wrapText="1"/>
    </xf>
    <xf numFmtId="49" fontId="41" fillId="27" borderId="24" xfId="49" applyNumberFormat="1" applyFont="1" applyFill="1" applyBorder="1" applyAlignment="1">
      <alignment vertical="center" wrapText="1"/>
    </xf>
    <xf numFmtId="0" fontId="41" fillId="27" borderId="36" xfId="49" applyFont="1" applyFill="1" applyBorder="1" applyAlignment="1">
      <alignment horizontal="center" vertical="center" wrapText="1"/>
    </xf>
    <xf numFmtId="9" fontId="41" fillId="27" borderId="36" xfId="49" applyNumberFormat="1" applyFont="1" applyFill="1" applyBorder="1" applyAlignment="1">
      <alignment horizontal="center" vertical="center" wrapText="1"/>
    </xf>
    <xf numFmtId="49" fontId="41" fillId="27" borderId="36" xfId="49" applyNumberFormat="1" applyFont="1" applyFill="1" applyBorder="1" applyAlignment="1">
      <alignment vertical="center" wrapText="1"/>
    </xf>
    <xf numFmtId="0" fontId="40" fillId="24" borderId="1" xfId="49" applyFont="1" applyFill="1" applyBorder="1" applyAlignment="1">
      <alignment horizontal="left" vertical="center" wrapText="1"/>
    </xf>
    <xf numFmtId="1" fontId="74" fillId="27" borderId="86" xfId="0" applyNumberFormat="1" applyFont="1" applyFill="1" applyBorder="1" applyAlignment="1">
      <alignment horizontal="center" vertical="center" wrapText="1"/>
    </xf>
    <xf numFmtId="0" fontId="41" fillId="26" borderId="5" xfId="0" applyFont="1" applyFill="1" applyBorder="1" applyAlignment="1">
      <alignment horizontal="center" vertical="center" wrapText="1"/>
    </xf>
    <xf numFmtId="0" fontId="41" fillId="26" borderId="5" xfId="49" applyFont="1" applyFill="1" applyBorder="1" applyAlignment="1">
      <alignment vertical="center" wrapText="1"/>
    </xf>
    <xf numFmtId="1" fontId="0" fillId="27" borderId="0" xfId="0" applyNumberFormat="1" applyFill="1" applyAlignment="1">
      <alignment vertical="center" wrapText="1"/>
    </xf>
    <xf numFmtId="1" fontId="74" fillId="0" borderId="87" xfId="0" applyNumberFormat="1" applyFont="1" applyBorder="1" applyAlignment="1">
      <alignment horizontal="center" vertical="center" wrapText="1"/>
    </xf>
    <xf numFmtId="0" fontId="41" fillId="26" borderId="17" xfId="0" applyFont="1" applyFill="1" applyBorder="1" applyAlignment="1">
      <alignment horizontal="center" vertical="center" wrapText="1"/>
    </xf>
    <xf numFmtId="0" fontId="41" fillId="26" borderId="17" xfId="49" applyFont="1" applyFill="1" applyBorder="1" applyAlignment="1">
      <alignment vertical="center" wrapText="1"/>
    </xf>
    <xf numFmtId="49" fontId="41" fillId="26" borderId="17" xfId="49" applyNumberFormat="1" applyFont="1" applyFill="1" applyBorder="1" applyAlignment="1">
      <alignment vertical="center" wrapText="1"/>
    </xf>
    <xf numFmtId="3" fontId="40" fillId="27" borderId="0" xfId="0" applyNumberFormat="1" applyFont="1" applyFill="1" applyAlignment="1">
      <alignment horizontal="center" vertical="center" wrapText="1"/>
    </xf>
    <xf numFmtId="0" fontId="27" fillId="27" borderId="88" xfId="0" applyFont="1" applyFill="1" applyBorder="1" applyAlignment="1">
      <alignment vertical="center" wrapText="1"/>
    </xf>
    <xf numFmtId="49" fontId="41" fillId="26" borderId="17" xfId="49" applyNumberFormat="1" applyFont="1" applyFill="1" applyBorder="1" applyAlignment="1">
      <alignment horizontal="right" vertical="center" wrapText="1"/>
    </xf>
    <xf numFmtId="0" fontId="12" fillId="27" borderId="88" xfId="0" applyFont="1" applyFill="1" applyBorder="1" applyAlignment="1">
      <alignment vertical="center" wrapText="1"/>
    </xf>
    <xf numFmtId="49" fontId="41" fillId="26" borderId="17" xfId="49" applyNumberFormat="1" applyFont="1" applyFill="1" applyBorder="1" applyAlignment="1">
      <alignment horizontal="left" vertical="center" wrapText="1"/>
    </xf>
    <xf numFmtId="0" fontId="41" fillId="26" borderId="17" xfId="49" applyFont="1" applyFill="1" applyBorder="1" applyAlignment="1">
      <alignment horizontal="right" vertical="center" wrapText="1"/>
    </xf>
    <xf numFmtId="0" fontId="41" fillId="26" borderId="17" xfId="49" applyFont="1" applyFill="1" applyBorder="1" applyAlignment="1">
      <alignment horizontal="left" vertical="center" wrapText="1"/>
    </xf>
    <xf numFmtId="49" fontId="41" fillId="27" borderId="17" xfId="49" applyNumberFormat="1" applyFont="1" applyFill="1" applyBorder="1" applyAlignment="1">
      <alignment vertical="center" wrapText="1"/>
    </xf>
    <xf numFmtId="0" fontId="41" fillId="27" borderId="5" xfId="0" applyFont="1" applyFill="1" applyBorder="1" applyAlignment="1">
      <alignment vertical="center" wrapText="1"/>
    </xf>
    <xf numFmtId="0" fontId="41" fillId="27" borderId="24" xfId="0" applyFont="1" applyFill="1" applyBorder="1" applyAlignment="1">
      <alignment horizontal="center" vertical="center" wrapText="1"/>
    </xf>
    <xf numFmtId="9" fontId="41" fillId="27" borderId="5" xfId="49" applyNumberFormat="1" applyFont="1" applyFill="1" applyBorder="1" applyAlignment="1">
      <alignment horizontal="center" vertical="center" wrapText="1"/>
    </xf>
    <xf numFmtId="0" fontId="41" fillId="27" borderId="36" xfId="0" applyFont="1" applyFill="1" applyBorder="1" applyAlignment="1">
      <alignment horizontal="center" vertical="center" wrapText="1"/>
    </xf>
    <xf numFmtId="49" fontId="41" fillId="27" borderId="39" xfId="49" applyNumberFormat="1" applyFont="1" applyFill="1" applyBorder="1" applyAlignment="1">
      <alignment vertical="center" wrapText="1"/>
    </xf>
    <xf numFmtId="0" fontId="41" fillId="27" borderId="5" xfId="49" applyFont="1" applyFill="1" applyBorder="1" applyAlignment="1">
      <alignment vertical="center" wrapText="1"/>
    </xf>
    <xf numFmtId="9" fontId="41" fillId="27" borderId="17" xfId="49" applyNumberFormat="1" applyFont="1" applyFill="1" applyBorder="1" applyAlignment="1">
      <alignment horizontal="center" vertical="center" wrapText="1"/>
    </xf>
    <xf numFmtId="0" fontId="41" fillId="27" borderId="17" xfId="49" applyFont="1" applyFill="1" applyBorder="1" applyAlignment="1">
      <alignment vertical="center" wrapText="1"/>
    </xf>
    <xf numFmtId="9" fontId="41" fillId="27" borderId="36" xfId="70" applyFont="1" applyFill="1" applyBorder="1" applyAlignment="1" applyProtection="1">
      <alignment horizontal="center" vertical="center" wrapText="1"/>
    </xf>
    <xf numFmtId="3" fontId="74" fillId="27" borderId="86" xfId="0" applyNumberFormat="1" applyFont="1" applyFill="1" applyBorder="1" applyAlignment="1">
      <alignment horizontal="center" vertical="center" wrapText="1"/>
    </xf>
    <xf numFmtId="3" fontId="79" fillId="27" borderId="88" xfId="0" applyNumberFormat="1" applyFont="1" applyFill="1" applyBorder="1" applyAlignment="1">
      <alignment vertical="center" wrapText="1"/>
    </xf>
    <xf numFmtId="0" fontId="51" fillId="27" borderId="0" xfId="0" applyFont="1" applyFill="1" applyAlignment="1">
      <alignment vertical="center" wrapText="1"/>
    </xf>
    <xf numFmtId="0" fontId="40" fillId="32" borderId="1" xfId="49" applyFont="1" applyFill="1" applyBorder="1" applyAlignment="1">
      <alignment horizontal="center" vertical="center" wrapText="1"/>
    </xf>
    <xf numFmtId="0" fontId="40" fillId="32" borderId="2" xfId="49" applyFont="1" applyFill="1" applyBorder="1" applyAlignment="1">
      <alignment horizontal="left" vertical="center" wrapText="1"/>
    </xf>
    <xf numFmtId="0" fontId="73" fillId="27" borderId="0" xfId="0" applyFont="1" applyFill="1" applyAlignment="1">
      <alignment vertical="center" wrapText="1"/>
    </xf>
    <xf numFmtId="9" fontId="41" fillId="26" borderId="17" xfId="49" applyNumberFormat="1" applyFont="1" applyFill="1" applyBorder="1" applyAlignment="1">
      <alignment horizontal="left" vertical="center" wrapText="1"/>
    </xf>
    <xf numFmtId="9" fontId="41" fillId="26" borderId="17" xfId="70" applyFont="1" applyFill="1" applyBorder="1" applyAlignment="1" applyProtection="1">
      <alignment horizontal="center" vertical="center" wrapText="1"/>
    </xf>
    <xf numFmtId="0" fontId="41" fillId="0" borderId="17" xfId="49" applyFont="1" applyBorder="1" applyAlignment="1">
      <alignment horizontal="center" vertical="center" wrapText="1"/>
    </xf>
    <xf numFmtId="0" fontId="12" fillId="26" borderId="17" xfId="49" applyFont="1" applyFill="1" applyBorder="1" applyAlignment="1">
      <alignment horizontal="center" vertical="center"/>
    </xf>
    <xf numFmtId="49" fontId="40" fillId="24" borderId="1" xfId="49" applyNumberFormat="1" applyFont="1" applyFill="1" applyBorder="1" applyAlignment="1">
      <alignment vertical="center"/>
    </xf>
    <xf numFmtId="0" fontId="41" fillId="0" borderId="5" xfId="49" applyFont="1" applyBorder="1" applyAlignment="1">
      <alignment horizontal="center" vertical="center" wrapText="1"/>
    </xf>
    <xf numFmtId="0" fontId="41" fillId="0" borderId="17" xfId="49" applyFont="1" applyBorder="1" applyAlignment="1">
      <alignment vertical="center" wrapText="1"/>
    </xf>
    <xf numFmtId="0" fontId="40" fillId="36" borderId="1" xfId="49" applyFont="1" applyFill="1" applyBorder="1" applyAlignment="1">
      <alignment horizontal="center" vertical="center" wrapText="1"/>
    </xf>
    <xf numFmtId="0" fontId="40" fillId="36" borderId="1" xfId="49" applyFont="1" applyFill="1" applyBorder="1" applyAlignment="1">
      <alignment horizontal="left" vertical="center" wrapText="1"/>
    </xf>
    <xf numFmtId="0" fontId="27" fillId="27" borderId="89" xfId="0" applyFont="1" applyFill="1" applyBorder="1" applyAlignment="1">
      <alignment vertical="center" wrapText="1"/>
    </xf>
    <xf numFmtId="49" fontId="12" fillId="27" borderId="0" xfId="49" applyNumberFormat="1" applyFont="1" applyFill="1" applyAlignment="1">
      <alignment vertical="center" wrapText="1"/>
    </xf>
    <xf numFmtId="14" fontId="21" fillId="27" borderId="0" xfId="49" applyNumberFormat="1" applyFont="1" applyFill="1" applyAlignment="1">
      <alignment vertical="center"/>
    </xf>
    <xf numFmtId="3" fontId="12" fillId="27" borderId="0" xfId="49" applyNumberFormat="1" applyFont="1" applyFill="1" applyAlignment="1">
      <alignment vertical="center" wrapText="1"/>
    </xf>
    <xf numFmtId="0" fontId="12" fillId="27" borderId="0" xfId="0" applyFont="1" applyFill="1" applyAlignment="1">
      <alignment horizontal="center" vertical="center" wrapText="1"/>
    </xf>
    <xf numFmtId="14" fontId="21" fillId="27" borderId="0" xfId="49" applyNumberFormat="1" applyFont="1" applyFill="1" applyAlignment="1">
      <alignment horizontal="center" vertical="center"/>
    </xf>
    <xf numFmtId="168" fontId="21" fillId="27" borderId="0" xfId="49" applyNumberFormat="1" applyFont="1" applyFill="1" applyAlignment="1">
      <alignment vertical="center"/>
    </xf>
    <xf numFmtId="14" fontId="84" fillId="27" borderId="0" xfId="0" applyNumberFormat="1" applyFont="1" applyFill="1" applyAlignment="1">
      <alignment horizontal="left" vertical="center"/>
    </xf>
    <xf numFmtId="0" fontId="12" fillId="27" borderId="0" xfId="0" applyFont="1" applyFill="1" applyAlignment="1">
      <alignment vertical="center" wrapText="1"/>
    </xf>
    <xf numFmtId="0" fontId="21" fillId="27" borderId="0" xfId="49" applyFont="1" applyFill="1" applyAlignment="1">
      <alignment horizontal="right" vertical="center"/>
    </xf>
    <xf numFmtId="49" fontId="12" fillId="27" borderId="0" xfId="0" applyNumberFormat="1" applyFont="1" applyFill="1" applyAlignment="1">
      <alignment horizontal="right" vertical="center" wrapText="1"/>
    </xf>
    <xf numFmtId="0" fontId="36" fillId="27" borderId="0" xfId="0" applyFont="1" applyFill="1" applyAlignment="1">
      <alignment horizontal="center" vertical="center" wrapText="1"/>
    </xf>
    <xf numFmtId="0" fontId="43" fillId="27" borderId="0" xfId="49" applyFont="1" applyFill="1" applyAlignment="1">
      <alignment vertical="center"/>
    </xf>
    <xf numFmtId="49" fontId="12" fillId="27" borderId="0" xfId="0" applyNumberFormat="1" applyFont="1" applyFill="1" applyAlignment="1">
      <alignment horizontal="left" vertical="center" wrapText="1"/>
    </xf>
    <xf numFmtId="0" fontId="12" fillId="27" borderId="0" xfId="49" applyFont="1" applyFill="1" applyAlignment="1">
      <alignment horizontal="right" vertical="center"/>
    </xf>
    <xf numFmtId="0" fontId="12" fillId="27" borderId="0" xfId="49" applyFont="1" applyFill="1" applyAlignment="1">
      <alignment horizontal="left" vertical="center"/>
    </xf>
    <xf numFmtId="0" fontId="12" fillId="27" borderId="0" xfId="31" applyFont="1" applyFill="1" applyAlignment="1">
      <alignment horizontal="center" vertical="center" wrapText="1"/>
    </xf>
    <xf numFmtId="14" fontId="21" fillId="27" borderId="0" xfId="0" applyNumberFormat="1" applyFont="1" applyFill="1" applyAlignment="1">
      <alignment horizontal="right" vertical="center"/>
    </xf>
    <xf numFmtId="0" fontId="43" fillId="27" borderId="0" xfId="31" applyFont="1" applyFill="1" applyAlignment="1">
      <alignment horizontal="left" vertical="center" wrapText="1"/>
    </xf>
    <xf numFmtId="0" fontId="12" fillId="27" borderId="0" xfId="49" applyFont="1" applyFill="1" applyAlignment="1">
      <alignment horizontal="left" vertical="center" wrapText="1"/>
    </xf>
    <xf numFmtId="0" fontId="41" fillId="28" borderId="17" xfId="0" applyFont="1" applyFill="1" applyBorder="1" applyAlignment="1" applyProtection="1">
      <alignment horizontal="center" vertical="center" wrapText="1"/>
      <protection locked="0"/>
    </xf>
    <xf numFmtId="3" fontId="12" fillId="3" borderId="51" xfId="32" applyNumberFormat="1" applyFont="1" applyFill="1" applyBorder="1" applyAlignment="1" applyProtection="1">
      <alignment horizontal="center" vertical="center"/>
      <protection locked="0"/>
    </xf>
    <xf numFmtId="3" fontId="41" fillId="27" borderId="72" xfId="49" applyNumberFormat="1" applyFont="1" applyFill="1" applyBorder="1" applyAlignment="1">
      <alignment horizontal="center" vertical="center" wrapText="1"/>
    </xf>
    <xf numFmtId="3" fontId="41" fillId="27" borderId="73" xfId="49" applyNumberFormat="1" applyFont="1" applyFill="1" applyBorder="1" applyAlignment="1">
      <alignment horizontal="center" vertical="center" wrapText="1"/>
    </xf>
    <xf numFmtId="3" fontId="41" fillId="27" borderId="76" xfId="49" applyNumberFormat="1" applyFont="1" applyFill="1" applyBorder="1" applyAlignment="1">
      <alignment horizontal="center" vertical="center" wrapText="1"/>
    </xf>
    <xf numFmtId="3" fontId="41" fillId="27" borderId="75" xfId="49" applyNumberFormat="1" applyFont="1" applyFill="1" applyBorder="1" applyAlignment="1">
      <alignment horizontal="center" vertical="center" wrapText="1"/>
    </xf>
    <xf numFmtId="3" fontId="40" fillId="27" borderId="5" xfId="49" applyNumberFormat="1" applyFont="1" applyFill="1" applyBorder="1" applyAlignment="1">
      <alignment horizontal="center" vertical="center" wrapText="1"/>
    </xf>
    <xf numFmtId="3" fontId="40" fillId="27" borderId="32" xfId="49" applyNumberFormat="1" applyFont="1" applyFill="1" applyBorder="1" applyAlignment="1">
      <alignment horizontal="center" vertical="center" wrapText="1"/>
    </xf>
    <xf numFmtId="3" fontId="40" fillId="27" borderId="7" xfId="49" applyNumberFormat="1" applyFont="1" applyFill="1" applyBorder="1" applyAlignment="1">
      <alignment horizontal="center" vertical="center" wrapText="1"/>
    </xf>
    <xf numFmtId="3" fontId="40" fillId="27" borderId="53" xfId="49" applyNumberFormat="1" applyFont="1" applyFill="1" applyBorder="1" applyAlignment="1">
      <alignment horizontal="center" vertical="center" wrapText="1"/>
    </xf>
    <xf numFmtId="3" fontId="40" fillId="20" borderId="17" xfId="49" applyNumberFormat="1" applyFont="1" applyFill="1" applyBorder="1" applyAlignment="1">
      <alignment horizontal="center" vertical="center" wrapText="1"/>
    </xf>
    <xf numFmtId="3" fontId="40" fillId="20" borderId="32" xfId="49" applyNumberFormat="1" applyFont="1" applyFill="1" applyBorder="1" applyAlignment="1">
      <alignment horizontal="center" vertical="center" wrapText="1"/>
    </xf>
    <xf numFmtId="3" fontId="40" fillId="20" borderId="7" xfId="49" applyNumberFormat="1" applyFont="1" applyFill="1" applyBorder="1" applyAlignment="1">
      <alignment horizontal="center" vertical="center" wrapText="1"/>
    </xf>
    <xf numFmtId="3" fontId="40" fillId="20" borderId="53" xfId="49" applyNumberFormat="1" applyFont="1" applyFill="1" applyBorder="1" applyAlignment="1">
      <alignment horizontal="center" vertical="center" wrapText="1"/>
    </xf>
    <xf numFmtId="3" fontId="41" fillId="0" borderId="75" xfId="49" applyNumberFormat="1" applyFont="1" applyBorder="1" applyAlignment="1">
      <alignment horizontal="center" vertical="center" wrapText="1"/>
    </xf>
    <xf numFmtId="3" fontId="41" fillId="0" borderId="76" xfId="49" applyNumberFormat="1" applyFont="1" applyBorder="1" applyAlignment="1">
      <alignment horizontal="center" vertical="center" wrapText="1"/>
    </xf>
    <xf numFmtId="3" fontId="41" fillId="3" borderId="17" xfId="49" applyNumberFormat="1" applyFont="1" applyFill="1" applyBorder="1" applyAlignment="1" applyProtection="1">
      <alignment horizontal="center" vertical="center" wrapText="1"/>
      <protection locked="0"/>
    </xf>
    <xf numFmtId="3" fontId="41" fillId="0" borderId="52" xfId="49" applyNumberFormat="1" applyFont="1" applyBorder="1" applyAlignment="1">
      <alignment horizontal="center" vertical="center" wrapText="1"/>
    </xf>
    <xf numFmtId="3" fontId="41" fillId="0" borderId="53" xfId="49" applyNumberFormat="1" applyFont="1" applyBorder="1" applyAlignment="1">
      <alignment horizontal="center" vertical="center" wrapText="1"/>
    </xf>
    <xf numFmtId="3" fontId="40" fillId="27" borderId="17" xfId="49" applyNumberFormat="1" applyFont="1" applyFill="1" applyBorder="1" applyAlignment="1">
      <alignment horizontal="center" vertical="center" wrapText="1"/>
    </xf>
    <xf numFmtId="3" fontId="40" fillId="27" borderId="52" xfId="49" applyNumberFormat="1" applyFont="1" applyFill="1" applyBorder="1" applyAlignment="1">
      <alignment horizontal="center" vertical="center" wrapText="1"/>
    </xf>
    <xf numFmtId="3" fontId="41" fillId="27" borderId="51" xfId="49" applyNumberFormat="1" applyFont="1" applyFill="1" applyBorder="1" applyAlignment="1">
      <alignment horizontal="center" vertical="center" wrapText="1"/>
    </xf>
    <xf numFmtId="3" fontId="41" fillId="27" borderId="74" xfId="49" applyNumberFormat="1" applyFont="1" applyFill="1" applyBorder="1" applyAlignment="1">
      <alignment horizontal="center" vertical="center" wrapText="1"/>
    </xf>
    <xf numFmtId="3" fontId="41" fillId="27" borderId="62" xfId="49" applyNumberFormat="1" applyFont="1" applyFill="1" applyBorder="1" applyAlignment="1">
      <alignment horizontal="center" vertical="center" wrapText="1"/>
    </xf>
    <xf numFmtId="3" fontId="40" fillId="27" borderId="44" xfId="49" applyNumberFormat="1" applyFont="1" applyFill="1" applyBorder="1" applyAlignment="1">
      <alignment horizontal="center" vertical="center" wrapText="1"/>
    </xf>
    <xf numFmtId="3" fontId="40" fillId="27" borderId="31" xfId="49" applyNumberFormat="1" applyFont="1" applyFill="1" applyBorder="1" applyAlignment="1">
      <alignment horizontal="center" vertical="center" wrapText="1"/>
    </xf>
    <xf numFmtId="3" fontId="40" fillId="27" borderId="61" xfId="49" applyNumberFormat="1" applyFont="1" applyFill="1" applyBorder="1" applyAlignment="1">
      <alignment horizontal="center" vertical="center" wrapText="1"/>
    </xf>
    <xf numFmtId="3" fontId="40" fillId="27" borderId="62" xfId="49" applyNumberFormat="1" applyFont="1" applyFill="1" applyBorder="1" applyAlignment="1">
      <alignment horizontal="center" vertical="center" wrapText="1"/>
    </xf>
    <xf numFmtId="3" fontId="41" fillId="27" borderId="21" xfId="49" applyNumberFormat="1" applyFont="1" applyFill="1" applyBorder="1" applyAlignment="1">
      <alignment horizontal="center" vertical="center" wrapText="1"/>
    </xf>
    <xf numFmtId="3" fontId="40" fillId="32" borderId="2" xfId="49" applyNumberFormat="1" applyFont="1" applyFill="1" applyBorder="1" applyAlignment="1">
      <alignment horizontal="center" vertical="center" wrapText="1"/>
    </xf>
    <xf numFmtId="3" fontId="40" fillId="32" borderId="38" xfId="49" applyNumberFormat="1" applyFont="1" applyFill="1" applyBorder="1" applyAlignment="1">
      <alignment horizontal="left" vertical="center" wrapText="1"/>
    </xf>
    <xf numFmtId="3" fontId="40" fillId="32" borderId="10" xfId="49" applyNumberFormat="1" applyFont="1" applyFill="1" applyBorder="1" applyAlignment="1">
      <alignment horizontal="left" vertical="center" wrapText="1"/>
    </xf>
    <xf numFmtId="3" fontId="40" fillId="24" borderId="38" xfId="49" applyNumberFormat="1" applyFont="1" applyFill="1" applyBorder="1" applyAlignment="1">
      <alignment horizontal="center" vertical="center" wrapText="1"/>
    </xf>
    <xf numFmtId="3" fontId="40" fillId="24" borderId="10" xfId="49" applyNumberFormat="1" applyFont="1" applyFill="1" applyBorder="1" applyAlignment="1">
      <alignment horizontal="center" vertical="center" wrapText="1"/>
    </xf>
    <xf numFmtId="3" fontId="41" fillId="0" borderId="56" xfId="49" applyNumberFormat="1" applyFont="1" applyBorder="1" applyAlignment="1">
      <alignment horizontal="center" vertical="center" wrapText="1"/>
    </xf>
    <xf numFmtId="3" fontId="41" fillId="0" borderId="57" xfId="49" applyNumberFormat="1" applyFont="1" applyBorder="1" applyAlignment="1">
      <alignment horizontal="center" vertical="center" wrapText="1"/>
    </xf>
    <xf numFmtId="3" fontId="41" fillId="27" borderId="47" xfId="49" applyNumberFormat="1" applyFont="1" applyFill="1" applyBorder="1" applyAlignment="1">
      <alignment horizontal="center" vertical="center" wrapText="1"/>
    </xf>
    <xf numFmtId="3" fontId="41" fillId="27" borderId="71" xfId="49" applyNumberFormat="1" applyFont="1" applyFill="1" applyBorder="1" applyAlignment="1">
      <alignment horizontal="center" vertical="center" wrapText="1"/>
    </xf>
    <xf numFmtId="3" fontId="41" fillId="27" borderId="48" xfId="49" applyNumberFormat="1" applyFont="1" applyFill="1" applyBorder="1" applyAlignment="1">
      <alignment horizontal="center" vertical="center" wrapText="1"/>
    </xf>
    <xf numFmtId="3" fontId="41" fillId="26" borderId="51" xfId="49" applyNumberFormat="1" applyFont="1" applyFill="1" applyBorder="1" applyAlignment="1">
      <alignment horizontal="center" vertical="center" wrapText="1"/>
    </xf>
    <xf numFmtId="3" fontId="41" fillId="26" borderId="25" xfId="49" applyNumberFormat="1" applyFont="1" applyFill="1" applyBorder="1" applyAlignment="1">
      <alignment horizontal="center" vertical="center" wrapText="1"/>
    </xf>
    <xf numFmtId="3" fontId="41" fillId="26" borderId="17" xfId="49" applyNumberFormat="1" applyFont="1" applyFill="1" applyBorder="1" applyAlignment="1">
      <alignment horizontal="center" vertical="center" wrapText="1"/>
    </xf>
    <xf numFmtId="3" fontId="40" fillId="36" borderId="2" xfId="49" applyNumberFormat="1" applyFont="1" applyFill="1" applyBorder="1" applyAlignment="1">
      <alignment horizontal="center" vertical="center" wrapText="1"/>
    </xf>
    <xf numFmtId="3" fontId="40" fillId="36" borderId="65" xfId="49" applyNumberFormat="1" applyFont="1" applyFill="1" applyBorder="1" applyAlignment="1">
      <alignment horizontal="center" vertical="center" wrapText="1"/>
    </xf>
    <xf numFmtId="3" fontId="40" fillId="36" borderId="9" xfId="49" applyNumberFormat="1" applyFont="1" applyFill="1" applyBorder="1" applyAlignment="1">
      <alignment horizontal="center" vertical="center" wrapText="1"/>
    </xf>
    <xf numFmtId="3" fontId="40" fillId="36" borderId="60" xfId="49" applyNumberFormat="1" applyFont="1" applyFill="1" applyBorder="1" applyAlignment="1">
      <alignment horizontal="center" vertical="center" wrapText="1"/>
    </xf>
    <xf numFmtId="3" fontId="40" fillId="36" borderId="10" xfId="49" applyNumberFormat="1" applyFont="1" applyFill="1" applyBorder="1" applyAlignment="1">
      <alignment horizontal="center" vertical="center" wrapText="1"/>
    </xf>
    <xf numFmtId="3" fontId="12" fillId="27" borderId="0" xfId="49" applyNumberFormat="1" applyFont="1" applyFill="1" applyAlignment="1">
      <alignment horizontal="center"/>
    </xf>
    <xf numFmtId="3" fontId="13" fillId="27" borderId="0" xfId="49" applyNumberFormat="1" applyFont="1" applyFill="1" applyAlignment="1">
      <alignment horizontal="right" vertical="center"/>
    </xf>
    <xf numFmtId="3" fontId="13" fillId="27" borderId="0" xfId="49" applyNumberFormat="1" applyFont="1" applyFill="1" applyAlignment="1">
      <alignment vertical="center"/>
    </xf>
    <xf numFmtId="3" fontId="12" fillId="27" borderId="0" xfId="49" applyNumberFormat="1" applyFont="1" applyFill="1"/>
    <xf numFmtId="3" fontId="27" fillId="27" borderId="0" xfId="49" applyNumberFormat="1" applyFont="1" applyFill="1"/>
    <xf numFmtId="3" fontId="78" fillId="27" borderId="0" xfId="49" applyNumberFormat="1" applyFill="1"/>
    <xf numFmtId="3" fontId="15" fillId="27" borderId="0" xfId="49" applyNumberFormat="1" applyFont="1" applyFill="1" applyAlignment="1">
      <alignment vertical="center" wrapText="1"/>
    </xf>
    <xf numFmtId="3" fontId="78" fillId="27" borderId="0" xfId="49" applyNumberFormat="1" applyFill="1" applyAlignment="1">
      <alignment vertical="center"/>
    </xf>
    <xf numFmtId="3" fontId="15" fillId="27" borderId="0" xfId="49" applyNumberFormat="1" applyFont="1" applyFill="1" applyAlignment="1">
      <alignment wrapText="1"/>
    </xf>
    <xf numFmtId="3" fontId="20" fillId="27" borderId="0" xfId="49" applyNumberFormat="1" applyFont="1" applyFill="1" applyAlignment="1">
      <alignment vertical="center"/>
    </xf>
    <xf numFmtId="3" fontId="20" fillId="27" borderId="0" xfId="49" applyNumberFormat="1" applyFont="1" applyFill="1" applyAlignment="1">
      <alignment horizontal="center" vertical="center"/>
    </xf>
    <xf numFmtId="3" fontId="27" fillId="0" borderId="1" xfId="0" applyNumberFormat="1" applyFont="1" applyBorder="1"/>
    <xf numFmtId="3" fontId="12" fillId="0" borderId="2" xfId="32" applyNumberFormat="1" applyFont="1" applyBorder="1" applyAlignment="1">
      <alignment horizontal="right"/>
    </xf>
    <xf numFmtId="3" fontId="21" fillId="0" borderId="2" xfId="32" applyNumberFormat="1" applyFont="1" applyBorder="1" applyAlignment="1">
      <alignment horizontal="center"/>
    </xf>
    <xf numFmtId="3" fontId="21" fillId="0" borderId="0" xfId="49" applyNumberFormat="1" applyFont="1" applyAlignment="1">
      <alignment horizontal="center" vertical="center"/>
    </xf>
    <xf numFmtId="3" fontId="91" fillId="27" borderId="0" xfId="49" applyNumberFormat="1" applyFont="1" applyFill="1" applyAlignment="1">
      <alignment vertical="center"/>
    </xf>
    <xf numFmtId="3" fontId="27" fillId="0" borderId="1" xfId="0" applyNumberFormat="1" applyFont="1" applyBorder="1" applyAlignment="1">
      <alignment horizontal="right"/>
    </xf>
    <xf numFmtId="3" fontId="90" fillId="27" borderId="0" xfId="49" applyNumberFormat="1" applyFont="1" applyFill="1"/>
    <xf numFmtId="3" fontId="40" fillId="38" borderId="1" xfId="21" applyNumberFormat="1" applyFont="1" applyFill="1" applyBorder="1">
      <alignment horizontal="center" vertical="center" wrapText="1"/>
    </xf>
    <xf numFmtId="3" fontId="40" fillId="38" borderId="38" xfId="21" applyNumberFormat="1" applyFont="1" applyFill="1" applyBorder="1">
      <alignment horizontal="center" vertical="center" wrapText="1"/>
    </xf>
    <xf numFmtId="3" fontId="40" fillId="38" borderId="9" xfId="21" applyNumberFormat="1" applyFont="1" applyFill="1" applyBorder="1">
      <alignment horizontal="center" vertical="center" wrapText="1"/>
    </xf>
    <xf numFmtId="3" fontId="40" fillId="38" borderId="10" xfId="21" applyNumberFormat="1" applyFont="1" applyFill="1" applyBorder="1">
      <alignment horizontal="center" vertical="center" wrapText="1"/>
    </xf>
    <xf numFmtId="3" fontId="40" fillId="38" borderId="2" xfId="21" applyNumberFormat="1" applyFont="1" applyFill="1" applyBorder="1">
      <alignment horizontal="center" vertical="center" wrapText="1"/>
    </xf>
    <xf numFmtId="3" fontId="40" fillId="38" borderId="65" xfId="21" applyNumberFormat="1" applyFont="1" applyFill="1" applyBorder="1">
      <alignment horizontal="center" vertical="center" wrapText="1"/>
    </xf>
    <xf numFmtId="3" fontId="40" fillId="24" borderId="1" xfId="49" applyNumberFormat="1" applyFont="1" applyFill="1" applyBorder="1" applyAlignment="1">
      <alignment horizontal="center" vertical="center"/>
    </xf>
    <xf numFmtId="3" fontId="40" fillId="24" borderId="1" xfId="49" applyNumberFormat="1" applyFont="1" applyFill="1" applyBorder="1" applyAlignment="1">
      <alignment vertical="center"/>
    </xf>
    <xf numFmtId="3" fontId="40" fillId="31" borderId="1" xfId="49" applyNumberFormat="1" applyFont="1" applyFill="1" applyBorder="1" applyAlignment="1">
      <alignment horizontal="center" wrapText="1"/>
    </xf>
    <xf numFmtId="3" fontId="40" fillId="31" borderId="38" xfId="49" applyNumberFormat="1" applyFont="1" applyFill="1" applyBorder="1" applyAlignment="1">
      <alignment horizontal="center" wrapText="1"/>
    </xf>
    <xf numFmtId="3" fontId="40" fillId="31" borderId="9" xfId="49" applyNumberFormat="1" applyFont="1" applyFill="1" applyBorder="1" applyAlignment="1">
      <alignment horizontal="center" wrapText="1"/>
    </xf>
    <xf numFmtId="3" fontId="40" fillId="31" borderId="10" xfId="49" applyNumberFormat="1" applyFont="1" applyFill="1" applyBorder="1" applyAlignment="1">
      <alignment horizontal="center" wrapText="1"/>
    </xf>
    <xf numFmtId="3" fontId="40" fillId="31" borderId="2" xfId="49" applyNumberFormat="1" applyFont="1" applyFill="1" applyBorder="1" applyAlignment="1">
      <alignment horizontal="center" wrapText="1"/>
    </xf>
    <xf numFmtId="3" fontId="40" fillId="31" borderId="65" xfId="49" applyNumberFormat="1" applyFont="1" applyFill="1" applyBorder="1" applyAlignment="1">
      <alignment horizontal="center" wrapText="1"/>
    </xf>
    <xf numFmtId="3" fontId="40" fillId="27" borderId="51" xfId="49" applyNumberFormat="1" applyFont="1" applyFill="1" applyBorder="1" applyAlignment="1">
      <alignment horizontal="center" vertical="center"/>
    </xf>
    <xf numFmtId="3" fontId="40" fillId="27" borderId="51" xfId="49" applyNumberFormat="1" applyFont="1" applyFill="1" applyBorder="1" applyAlignment="1">
      <alignment wrapText="1"/>
    </xf>
    <xf numFmtId="3" fontId="40" fillId="0" borderId="29" xfId="49" applyNumberFormat="1" applyFont="1" applyBorder="1" applyAlignment="1">
      <alignment horizontal="center" vertical="center" wrapText="1"/>
    </xf>
    <xf numFmtId="3" fontId="40" fillId="27" borderId="75" xfId="49" applyNumberFormat="1" applyFont="1" applyFill="1" applyBorder="1" applyAlignment="1">
      <alignment horizontal="center" vertical="center" wrapText="1"/>
    </xf>
    <xf numFmtId="3" fontId="40" fillId="27" borderId="73" xfId="49" applyNumberFormat="1" applyFont="1" applyFill="1" applyBorder="1" applyAlignment="1">
      <alignment horizontal="center" vertical="center" wrapText="1"/>
    </xf>
    <xf numFmtId="3" fontId="40" fillId="27" borderId="76" xfId="49" applyNumberFormat="1" applyFont="1" applyFill="1" applyBorder="1" applyAlignment="1">
      <alignment horizontal="center" vertical="center" wrapText="1"/>
    </xf>
    <xf numFmtId="3" fontId="40" fillId="0" borderId="51" xfId="49" applyNumberFormat="1" applyFont="1" applyBorder="1" applyAlignment="1">
      <alignment horizontal="center" vertical="center" wrapText="1"/>
    </xf>
    <xf numFmtId="3" fontId="40" fillId="27" borderId="72" xfId="49" applyNumberFormat="1" applyFont="1" applyFill="1" applyBorder="1" applyAlignment="1">
      <alignment horizontal="center" vertical="center" wrapText="1"/>
    </xf>
    <xf numFmtId="3" fontId="41" fillId="27" borderId="5" xfId="49" applyNumberFormat="1" applyFont="1" applyFill="1" applyBorder="1" applyAlignment="1">
      <alignment horizontal="center" vertical="center"/>
    </xf>
    <xf numFmtId="3" fontId="41" fillId="27" borderId="5" xfId="49" applyNumberFormat="1" applyFont="1" applyFill="1" applyBorder="1" applyAlignment="1">
      <alignment wrapText="1"/>
    </xf>
    <xf numFmtId="3" fontId="41" fillId="0" borderId="25" xfId="49" applyNumberFormat="1" applyFont="1" applyBorder="1" applyAlignment="1">
      <alignment horizontal="center" vertical="center" wrapText="1"/>
    </xf>
    <xf numFmtId="3" fontId="41" fillId="27" borderId="6" xfId="49" applyNumberFormat="1" applyFont="1" applyFill="1" applyBorder="1" applyAlignment="1">
      <alignment horizontal="center" vertical="center" wrapText="1"/>
    </xf>
    <xf numFmtId="3" fontId="41" fillId="26" borderId="44" xfId="49" applyNumberFormat="1" applyFont="1" applyFill="1" applyBorder="1" applyAlignment="1">
      <alignment horizontal="center" vertical="center" wrapText="1"/>
    </xf>
    <xf numFmtId="3" fontId="41" fillId="27" borderId="15" xfId="49" applyNumberFormat="1" applyFont="1" applyFill="1" applyBorder="1" applyAlignment="1">
      <alignment horizontal="center" vertical="center" wrapText="1"/>
    </xf>
    <xf numFmtId="3" fontId="41" fillId="26" borderId="17" xfId="49" applyNumberFormat="1" applyFont="1" applyFill="1" applyBorder="1" applyAlignment="1">
      <alignment vertical="center" wrapText="1"/>
    </xf>
    <xf numFmtId="3" fontId="40" fillId="27" borderId="17" xfId="49" applyNumberFormat="1" applyFont="1" applyFill="1" applyBorder="1" applyAlignment="1">
      <alignment horizontal="center" vertical="center"/>
    </xf>
    <xf numFmtId="3" fontId="40" fillId="26" borderId="17" xfId="49" applyNumberFormat="1" applyFont="1" applyFill="1" applyBorder="1" applyAlignment="1">
      <alignment wrapText="1"/>
    </xf>
    <xf numFmtId="3" fontId="40" fillId="27" borderId="24" xfId="49" applyNumberFormat="1" applyFont="1" applyFill="1" applyBorder="1" applyAlignment="1">
      <alignment horizontal="center" vertical="center"/>
    </xf>
    <xf numFmtId="3" fontId="40" fillId="27" borderId="52" xfId="49" applyNumberFormat="1" applyFont="1" applyFill="1" applyBorder="1" applyAlignment="1">
      <alignment horizontal="center" vertical="center"/>
    </xf>
    <xf numFmtId="3" fontId="40" fillId="27" borderId="7" xfId="49" applyNumberFormat="1" applyFont="1" applyFill="1" applyBorder="1" applyAlignment="1">
      <alignment horizontal="center" vertical="center"/>
    </xf>
    <xf numFmtId="3" fontId="40" fillId="27" borderId="53" xfId="49" applyNumberFormat="1" applyFont="1" applyFill="1" applyBorder="1" applyAlignment="1">
      <alignment horizontal="center" vertical="center"/>
    </xf>
    <xf numFmtId="3" fontId="40" fillId="27" borderId="32" xfId="49" applyNumberFormat="1" applyFont="1" applyFill="1" applyBorder="1" applyAlignment="1">
      <alignment horizontal="center" vertical="center"/>
    </xf>
    <xf numFmtId="3" fontId="41" fillId="27" borderId="17" xfId="49" applyNumberFormat="1" applyFont="1" applyFill="1" applyBorder="1" applyAlignment="1">
      <alignment horizontal="center" vertical="center"/>
    </xf>
    <xf numFmtId="3" fontId="41" fillId="26" borderId="17" xfId="49" applyNumberFormat="1" applyFont="1" applyFill="1" applyBorder="1" applyAlignment="1">
      <alignment horizontal="left" vertical="center"/>
    </xf>
    <xf numFmtId="3" fontId="40" fillId="27" borderId="17" xfId="49" applyNumberFormat="1" applyFont="1" applyFill="1" applyBorder="1" applyAlignment="1">
      <alignment horizontal="center"/>
    </xf>
    <xf numFmtId="3" fontId="41" fillId="26" borderId="17" xfId="49" applyNumberFormat="1" applyFont="1" applyFill="1" applyBorder="1" applyAlignment="1">
      <alignment horizontal="left" wrapText="1"/>
    </xf>
    <xf numFmtId="3" fontId="41" fillId="33" borderId="24" xfId="49" applyNumberFormat="1" applyFont="1" applyFill="1" applyBorder="1" applyAlignment="1">
      <alignment horizontal="center" vertical="center"/>
    </xf>
    <xf numFmtId="3" fontId="41" fillId="33" borderId="52" xfId="49" applyNumberFormat="1" applyFont="1" applyFill="1" applyBorder="1" applyAlignment="1">
      <alignment horizontal="center" vertical="center"/>
    </xf>
    <xf numFmtId="3" fontId="41" fillId="33" borderId="7" xfId="49" applyNumberFormat="1" applyFont="1" applyFill="1" applyBorder="1" applyAlignment="1">
      <alignment horizontal="center" vertical="center"/>
    </xf>
    <xf numFmtId="3" fontId="41" fillId="33" borderId="53" xfId="49" applyNumberFormat="1" applyFont="1" applyFill="1" applyBorder="1" applyAlignment="1">
      <alignment horizontal="center" vertical="center"/>
    </xf>
    <xf numFmtId="3" fontId="41" fillId="33" borderId="17" xfId="49" applyNumberFormat="1" applyFont="1" applyFill="1" applyBorder="1" applyAlignment="1">
      <alignment horizontal="center" vertical="center"/>
    </xf>
    <xf numFmtId="3" fontId="41" fillId="33" borderId="32" xfId="49" applyNumberFormat="1" applyFont="1" applyFill="1" applyBorder="1" applyAlignment="1">
      <alignment horizontal="center" vertical="center"/>
    </xf>
    <xf numFmtId="3" fontId="42" fillId="26" borderId="17" xfId="49" applyNumberFormat="1" applyFont="1" applyFill="1" applyBorder="1" applyAlignment="1">
      <alignment horizontal="right" wrapText="1"/>
    </xf>
    <xf numFmtId="3" fontId="40" fillId="26" borderId="17" xfId="49" applyNumberFormat="1" applyFont="1" applyFill="1" applyBorder="1" applyAlignment="1">
      <alignment horizontal="left" wrapText="1"/>
    </xf>
    <xf numFmtId="3" fontId="42" fillId="26" borderId="17" xfId="49" applyNumberFormat="1" applyFont="1" applyFill="1" applyBorder="1" applyAlignment="1">
      <alignment horizontal="right" vertical="center" wrapText="1"/>
    </xf>
    <xf numFmtId="3" fontId="12" fillId="26" borderId="17" xfId="49" applyNumberFormat="1" applyFont="1" applyFill="1" applyBorder="1" applyAlignment="1">
      <alignment horizontal="left" wrapText="1"/>
    </xf>
    <xf numFmtId="3" fontId="40" fillId="20" borderId="24" xfId="49" applyNumberFormat="1" applyFont="1" applyFill="1" applyBorder="1" applyAlignment="1">
      <alignment horizontal="center" vertical="center"/>
    </xf>
    <xf numFmtId="3" fontId="40" fillId="20" borderId="52" xfId="49" applyNumberFormat="1" applyFont="1" applyFill="1" applyBorder="1" applyAlignment="1">
      <alignment horizontal="center" vertical="center"/>
    </xf>
    <xf numFmtId="3" fontId="40" fillId="20" borderId="7" xfId="49" applyNumberFormat="1" applyFont="1" applyFill="1" applyBorder="1" applyAlignment="1">
      <alignment horizontal="center" vertical="center"/>
    </xf>
    <xf numFmtId="3" fontId="40" fillId="20" borderId="53" xfId="49" applyNumberFormat="1" applyFont="1" applyFill="1" applyBorder="1" applyAlignment="1">
      <alignment horizontal="center" vertical="center"/>
    </xf>
    <xf numFmtId="3" fontId="40" fillId="20" borderId="17" xfId="49" applyNumberFormat="1" applyFont="1" applyFill="1" applyBorder="1" applyAlignment="1">
      <alignment horizontal="center" vertical="center"/>
    </xf>
    <xf numFmtId="3" fontId="40" fillId="20" borderId="32" xfId="49" applyNumberFormat="1" applyFont="1" applyFill="1" applyBorder="1" applyAlignment="1">
      <alignment horizontal="center" vertical="center"/>
    </xf>
    <xf numFmtId="3" fontId="41" fillId="27" borderId="24" xfId="49" applyNumberFormat="1" applyFont="1" applyFill="1" applyBorder="1" applyAlignment="1">
      <alignment horizontal="center" vertical="center"/>
    </xf>
    <xf numFmtId="3" fontId="41" fillId="26" borderId="17" xfId="49" applyNumberFormat="1" applyFont="1" applyFill="1" applyBorder="1" applyAlignment="1">
      <alignment horizontal="left" vertical="center" wrapText="1"/>
    </xf>
    <xf numFmtId="3" fontId="40" fillId="26" borderId="17" xfId="49" applyNumberFormat="1" applyFont="1" applyFill="1" applyBorder="1" applyAlignment="1">
      <alignment horizontal="left" vertical="center" wrapText="1"/>
    </xf>
    <xf numFmtId="3" fontId="40" fillId="27" borderId="30" xfId="49" applyNumberFormat="1" applyFont="1" applyFill="1" applyBorder="1" applyAlignment="1">
      <alignment horizontal="center" vertical="center"/>
    </xf>
    <xf numFmtId="3" fontId="40" fillId="27" borderId="21" xfId="49" applyNumberFormat="1" applyFont="1" applyFill="1" applyBorder="1" applyAlignment="1">
      <alignment wrapText="1"/>
    </xf>
    <xf numFmtId="3" fontId="41" fillId="0" borderId="42" xfId="49" applyNumberFormat="1" applyFont="1" applyBorder="1" applyAlignment="1">
      <alignment horizontal="center" vertical="center" wrapText="1"/>
    </xf>
    <xf numFmtId="3" fontId="40" fillId="27" borderId="56" xfId="49" applyNumberFormat="1" applyFont="1" applyFill="1" applyBorder="1" applyAlignment="1">
      <alignment horizontal="center" vertical="center" wrapText="1"/>
    </xf>
    <xf numFmtId="3" fontId="40" fillId="27" borderId="77" xfId="49" applyNumberFormat="1" applyFont="1" applyFill="1" applyBorder="1" applyAlignment="1">
      <alignment horizontal="center" vertical="center" wrapText="1"/>
    </xf>
    <xf numFmtId="3" fontId="40" fillId="27" borderId="78" xfId="49" applyNumberFormat="1" applyFont="1" applyFill="1" applyBorder="1" applyAlignment="1">
      <alignment horizontal="center" vertical="center" wrapText="1"/>
    </xf>
    <xf numFmtId="3" fontId="41" fillId="0" borderId="34" xfId="49" applyNumberFormat="1" applyFont="1" applyBorder="1" applyAlignment="1">
      <alignment horizontal="center" vertical="center" wrapText="1"/>
    </xf>
    <xf numFmtId="3" fontId="40" fillId="27" borderId="57" xfId="49" applyNumberFormat="1" applyFont="1" applyFill="1" applyBorder="1" applyAlignment="1">
      <alignment horizontal="center" vertical="center" wrapText="1"/>
    </xf>
    <xf numFmtId="3" fontId="40" fillId="27" borderId="79" xfId="49" applyNumberFormat="1" applyFont="1" applyFill="1" applyBorder="1" applyAlignment="1">
      <alignment horizontal="center" vertical="center" wrapText="1"/>
    </xf>
    <xf numFmtId="3" fontId="40" fillId="31" borderId="60" xfId="49" applyNumberFormat="1" applyFont="1" applyFill="1" applyBorder="1" applyAlignment="1">
      <alignment horizontal="center" wrapText="1"/>
    </xf>
    <xf numFmtId="3" fontId="40" fillId="27" borderId="5" xfId="49" applyNumberFormat="1" applyFont="1" applyFill="1" applyBorder="1" applyAlignment="1">
      <alignment horizontal="center" vertical="center"/>
    </xf>
    <xf numFmtId="3" fontId="40" fillId="27" borderId="5" xfId="49" applyNumberFormat="1" applyFont="1" applyFill="1" applyBorder="1" applyAlignment="1">
      <alignment wrapText="1"/>
    </xf>
    <xf numFmtId="3" fontId="40" fillId="0" borderId="25" xfId="49" applyNumberFormat="1" applyFont="1" applyBorder="1" applyAlignment="1">
      <alignment horizontal="center" vertical="center" wrapText="1"/>
    </xf>
    <xf numFmtId="3" fontId="40" fillId="0" borderId="75" xfId="49" applyNumberFormat="1" applyFont="1" applyBorder="1" applyAlignment="1">
      <alignment horizontal="center" vertical="center" wrapText="1"/>
    </xf>
    <xf numFmtId="3" fontId="40" fillId="0" borderId="73" xfId="49" applyNumberFormat="1" applyFont="1" applyBorder="1" applyAlignment="1">
      <alignment horizontal="center" vertical="center" wrapText="1"/>
    </xf>
    <xf numFmtId="3" fontId="40" fillId="0" borderId="74" xfId="49" applyNumberFormat="1" applyFont="1" applyBorder="1" applyAlignment="1">
      <alignment horizontal="center" vertical="center" wrapText="1"/>
    </xf>
    <xf numFmtId="3" fontId="40" fillId="0" borderId="76" xfId="49" applyNumberFormat="1" applyFont="1" applyBorder="1" applyAlignment="1">
      <alignment horizontal="center" vertical="center" wrapText="1"/>
    </xf>
    <xf numFmtId="3" fontId="40" fillId="0" borderId="72" xfId="49" applyNumberFormat="1" applyFont="1" applyBorder="1" applyAlignment="1">
      <alignment horizontal="center" vertical="center" wrapText="1"/>
    </xf>
    <xf numFmtId="3" fontId="41" fillId="0" borderId="62" xfId="49" applyNumberFormat="1" applyFont="1" applyBorder="1" applyAlignment="1">
      <alignment horizontal="center" vertical="center" wrapText="1"/>
    </xf>
    <xf numFmtId="3" fontId="41" fillId="27" borderId="17" xfId="49" applyNumberFormat="1" applyFont="1" applyFill="1" applyBorder="1" applyAlignment="1">
      <alignment vertical="center" wrapText="1"/>
    </xf>
    <xf numFmtId="3" fontId="40" fillId="27" borderId="17" xfId="49" applyNumberFormat="1" applyFont="1" applyFill="1" applyBorder="1" applyAlignment="1">
      <alignment wrapText="1"/>
    </xf>
    <xf numFmtId="3" fontId="40" fillId="0" borderId="24" xfId="49" applyNumberFormat="1" applyFont="1" applyBorder="1" applyAlignment="1">
      <alignment horizontal="center" vertical="center"/>
    </xf>
    <xf numFmtId="3" fontId="40" fillId="0" borderId="52" xfId="49" applyNumberFormat="1" applyFont="1" applyBorder="1" applyAlignment="1">
      <alignment horizontal="center" vertical="center"/>
    </xf>
    <xf numFmtId="3" fontId="40" fillId="0" borderId="7" xfId="49" applyNumberFormat="1" applyFont="1" applyBorder="1" applyAlignment="1">
      <alignment horizontal="center" vertical="center"/>
    </xf>
    <xf numFmtId="3" fontId="40" fillId="0" borderId="62" xfId="49" applyNumberFormat="1" applyFont="1" applyBorder="1" applyAlignment="1">
      <alignment horizontal="center" vertical="center"/>
    </xf>
    <xf numFmtId="3" fontId="40" fillId="0" borderId="17" xfId="49" applyNumberFormat="1" applyFont="1" applyBorder="1" applyAlignment="1">
      <alignment horizontal="center" vertical="center"/>
    </xf>
    <xf numFmtId="3" fontId="40" fillId="0" borderId="53" xfId="49" applyNumberFormat="1" applyFont="1" applyBorder="1" applyAlignment="1">
      <alignment horizontal="center" vertical="center"/>
    </xf>
    <xf numFmtId="3" fontId="40" fillId="0" borderId="32" xfId="49" applyNumberFormat="1" applyFont="1" applyBorder="1" applyAlignment="1">
      <alignment horizontal="center" vertical="center"/>
    </xf>
    <xf numFmtId="3" fontId="41" fillId="27" borderId="17" xfId="49" applyNumberFormat="1" applyFont="1" applyFill="1" applyBorder="1" applyAlignment="1">
      <alignment horizontal="left" vertical="center"/>
    </xf>
    <xf numFmtId="3" fontId="41" fillId="27" borderId="17" xfId="49" applyNumberFormat="1" applyFont="1" applyFill="1" applyBorder="1" applyAlignment="1">
      <alignment horizontal="left" wrapText="1"/>
    </xf>
    <xf numFmtId="3" fontId="41" fillId="33" borderId="62" xfId="49" applyNumberFormat="1" applyFont="1" applyFill="1" applyBorder="1" applyAlignment="1">
      <alignment horizontal="center" vertical="center"/>
    </xf>
    <xf numFmtId="3" fontId="42" fillId="27" borderId="17" xfId="49" applyNumberFormat="1" applyFont="1" applyFill="1" applyBorder="1" applyAlignment="1">
      <alignment horizontal="center" vertical="center"/>
    </xf>
    <xf numFmtId="3" fontId="42" fillId="27" borderId="17" xfId="49" applyNumberFormat="1" applyFont="1" applyFill="1" applyBorder="1" applyAlignment="1">
      <alignment horizontal="right" wrapText="1"/>
    </xf>
    <xf numFmtId="3" fontId="42" fillId="0" borderId="52" xfId="49" applyNumberFormat="1" applyFont="1" applyBorder="1" applyAlignment="1">
      <alignment horizontal="center" vertical="center" wrapText="1"/>
    </xf>
    <xf numFmtId="3" fontId="42" fillId="27" borderId="7" xfId="49" applyNumberFormat="1" applyFont="1" applyFill="1" applyBorder="1" applyAlignment="1">
      <alignment horizontal="center" vertical="center" wrapText="1"/>
    </xf>
    <xf numFmtId="3" fontId="42" fillId="27" borderId="62" xfId="49" applyNumberFormat="1" applyFont="1" applyFill="1" applyBorder="1" applyAlignment="1">
      <alignment horizontal="center" vertical="center" wrapText="1"/>
    </xf>
    <xf numFmtId="3" fontId="42" fillId="27" borderId="52" xfId="49" applyNumberFormat="1" applyFont="1" applyFill="1" applyBorder="1" applyAlignment="1">
      <alignment horizontal="center" vertical="center" wrapText="1"/>
    </xf>
    <xf numFmtId="3" fontId="42" fillId="27" borderId="53" xfId="49" applyNumberFormat="1" applyFont="1" applyFill="1" applyBorder="1" applyAlignment="1">
      <alignment horizontal="center" vertical="center" wrapText="1"/>
    </xf>
    <xf numFmtId="3" fontId="42" fillId="27" borderId="32" xfId="49" applyNumberFormat="1" applyFont="1" applyFill="1" applyBorder="1" applyAlignment="1">
      <alignment horizontal="center" vertical="center" wrapText="1"/>
    </xf>
    <xf numFmtId="3" fontId="40" fillId="0" borderId="52" xfId="49" applyNumberFormat="1" applyFont="1" applyBorder="1" applyAlignment="1">
      <alignment horizontal="center" vertical="center" wrapText="1"/>
    </xf>
    <xf numFmtId="3" fontId="40" fillId="0" borderId="62" xfId="49" applyNumberFormat="1" applyFont="1" applyBorder="1" applyAlignment="1">
      <alignment horizontal="center" vertical="center" wrapText="1"/>
    </xf>
    <xf numFmtId="3" fontId="40" fillId="0" borderId="53" xfId="49" applyNumberFormat="1" applyFont="1" applyBorder="1" applyAlignment="1">
      <alignment horizontal="center" vertical="center" wrapText="1"/>
    </xf>
    <xf numFmtId="3" fontId="40" fillId="0" borderId="5" xfId="49" applyNumberFormat="1" applyFont="1" applyBorder="1" applyAlignment="1">
      <alignment horizontal="center" vertical="center" wrapText="1"/>
    </xf>
    <xf numFmtId="3" fontId="40" fillId="27" borderId="36" xfId="49" applyNumberFormat="1" applyFont="1" applyFill="1" applyBorder="1" applyAlignment="1">
      <alignment horizontal="center" vertical="center"/>
    </xf>
    <xf numFmtId="3" fontId="40" fillId="26" borderId="21" xfId="49" applyNumberFormat="1" applyFont="1" applyFill="1" applyBorder="1" applyAlignment="1">
      <alignment wrapText="1"/>
    </xf>
    <xf numFmtId="3" fontId="40" fillId="0" borderId="21" xfId="49" applyNumberFormat="1" applyFont="1" applyBorder="1" applyAlignment="1">
      <alignment horizontal="center" vertical="center" wrapText="1"/>
    </xf>
    <xf numFmtId="3" fontId="40" fillId="0" borderId="56" xfId="49" applyNumberFormat="1" applyFont="1" applyBorder="1" applyAlignment="1">
      <alignment horizontal="center" vertical="center" wrapText="1"/>
    </xf>
    <xf numFmtId="3" fontId="40" fillId="0" borderId="77" xfId="49" applyNumberFormat="1" applyFont="1" applyBorder="1" applyAlignment="1">
      <alignment horizontal="center" vertical="center" wrapText="1"/>
    </xf>
    <xf numFmtId="3" fontId="40" fillId="0" borderId="78" xfId="49" applyNumberFormat="1" applyFont="1" applyBorder="1" applyAlignment="1">
      <alignment horizontal="center" vertical="center" wrapText="1"/>
    </xf>
    <xf numFmtId="3" fontId="40" fillId="0" borderId="57" xfId="49" applyNumberFormat="1" applyFont="1" applyBorder="1" applyAlignment="1">
      <alignment horizontal="center" vertical="center" wrapText="1"/>
    </xf>
    <xf numFmtId="3" fontId="40" fillId="0" borderId="79" xfId="49" applyNumberFormat="1" applyFont="1" applyBorder="1" applyAlignment="1">
      <alignment horizontal="center" vertical="center" wrapText="1"/>
    </xf>
    <xf numFmtId="3" fontId="21" fillId="27" borderId="0" xfId="49" applyNumberFormat="1" applyFont="1" applyFill="1" applyAlignment="1">
      <alignment horizontal="center" vertical="center"/>
    </xf>
    <xf numFmtId="3" fontId="21" fillId="27" borderId="0" xfId="49" applyNumberFormat="1" applyFont="1" applyFill="1" applyAlignment="1">
      <alignment vertical="center"/>
    </xf>
    <xf numFmtId="3" fontId="21" fillId="27" borderId="0" xfId="49" applyNumberFormat="1" applyFont="1" applyFill="1" applyAlignment="1">
      <alignment horizontal="right" vertical="center"/>
    </xf>
    <xf numFmtId="3" fontId="12" fillId="31" borderId="29" xfId="32" applyNumberFormat="1" applyFont="1" applyFill="1" applyBorder="1"/>
    <xf numFmtId="3" fontId="43" fillId="31" borderId="51" xfId="32" applyNumberFormat="1" applyFont="1" applyFill="1" applyBorder="1" applyAlignment="1">
      <alignment horizontal="left" vertical="center" wrapText="1"/>
    </xf>
    <xf numFmtId="3" fontId="12" fillId="31" borderId="75" xfId="70" applyNumberFormat="1" applyFont="1" applyFill="1" applyBorder="1" applyAlignment="1" applyProtection="1">
      <alignment horizontal="center"/>
    </xf>
    <xf numFmtId="3" fontId="12" fillId="31" borderId="73" xfId="70" applyNumberFormat="1" applyFont="1" applyFill="1" applyBorder="1" applyAlignment="1" applyProtection="1">
      <alignment horizontal="center"/>
    </xf>
    <xf numFmtId="3" fontId="12" fillId="31" borderId="76" xfId="70" applyNumberFormat="1" applyFont="1" applyFill="1" applyBorder="1" applyAlignment="1" applyProtection="1">
      <alignment horizontal="center"/>
    </xf>
    <xf numFmtId="3" fontId="89" fillId="27" borderId="27" xfId="70" applyNumberFormat="1" applyFont="1" applyFill="1" applyBorder="1" applyAlignment="1" applyProtection="1">
      <alignment horizontal="center"/>
    </xf>
    <xf numFmtId="3" fontId="12" fillId="31" borderId="36" xfId="32" applyNumberFormat="1" applyFont="1" applyFill="1" applyBorder="1"/>
    <xf numFmtId="3" fontId="43" fillId="31" borderId="39" xfId="32" applyNumberFormat="1" applyFont="1" applyFill="1" applyBorder="1" applyAlignment="1">
      <alignment horizontal="left" vertical="center" wrapText="1"/>
    </xf>
    <xf numFmtId="3" fontId="12" fillId="31" borderId="52" xfId="70" applyNumberFormat="1" applyFont="1" applyFill="1" applyBorder="1" applyAlignment="1" applyProtection="1">
      <alignment horizontal="center"/>
    </xf>
    <xf numFmtId="3" fontId="12" fillId="31" borderId="7" xfId="70" applyNumberFormat="1" applyFont="1" applyFill="1" applyBorder="1" applyAlignment="1" applyProtection="1">
      <alignment horizontal="center"/>
    </xf>
    <xf numFmtId="3" fontId="12" fillId="31" borderId="53" xfId="70" applyNumberFormat="1" applyFont="1" applyFill="1" applyBorder="1" applyAlignment="1" applyProtection="1">
      <alignment horizontal="center"/>
    </xf>
    <xf numFmtId="3" fontId="12" fillId="31" borderId="30" xfId="32" applyNumberFormat="1" applyFont="1" applyFill="1" applyBorder="1"/>
    <xf numFmtId="3" fontId="43" fillId="31" borderId="21" xfId="32" applyNumberFormat="1" applyFont="1" applyFill="1" applyBorder="1" applyAlignment="1">
      <alignment horizontal="left" vertical="center" wrapText="1"/>
    </xf>
    <xf numFmtId="3" fontId="12" fillId="31" borderId="56" xfId="70" applyNumberFormat="1" applyFont="1" applyFill="1" applyBorder="1" applyAlignment="1" applyProtection="1">
      <alignment horizontal="center"/>
    </xf>
    <xf numFmtId="3" fontId="12" fillId="31" borderId="77" xfId="70" applyNumberFormat="1" applyFont="1" applyFill="1" applyBorder="1" applyAlignment="1" applyProtection="1">
      <alignment horizontal="center"/>
    </xf>
    <xf numFmtId="3" fontId="12" fillId="31" borderId="57" xfId="70" applyNumberFormat="1" applyFont="1" applyFill="1" applyBorder="1" applyAlignment="1" applyProtection="1">
      <alignment horizontal="center"/>
    </xf>
    <xf numFmtId="3" fontId="21" fillId="31" borderId="38" xfId="70" applyNumberFormat="1" applyFont="1" applyFill="1" applyBorder="1" applyAlignment="1" applyProtection="1">
      <alignment horizontal="center" vertical="center"/>
    </xf>
    <xf numFmtId="3" fontId="21" fillId="31" borderId="9" xfId="70" applyNumberFormat="1" applyFont="1" applyFill="1" applyBorder="1" applyAlignment="1" applyProtection="1">
      <alignment horizontal="center" vertical="center"/>
    </xf>
    <xf numFmtId="3" fontId="21" fillId="31" borderId="10" xfId="70" applyNumberFormat="1" applyFont="1" applyFill="1" applyBorder="1" applyAlignment="1" applyProtection="1">
      <alignment horizontal="center" vertical="center"/>
    </xf>
    <xf numFmtId="3" fontId="21" fillId="27" borderId="0" xfId="0" applyNumberFormat="1" applyFont="1" applyFill="1" applyAlignment="1">
      <alignment horizontal="right"/>
    </xf>
    <xf numFmtId="3" fontId="12" fillId="27" borderId="0" xfId="0" applyNumberFormat="1" applyFont="1" applyFill="1"/>
    <xf numFmtId="3" fontId="65" fillId="27" borderId="0" xfId="0" applyNumberFormat="1" applyFont="1" applyFill="1" applyAlignment="1">
      <alignment vertical="center"/>
    </xf>
    <xf numFmtId="3" fontId="65" fillId="27" borderId="0" xfId="0" applyNumberFormat="1" applyFont="1" applyFill="1" applyAlignment="1">
      <alignment horizontal="right" vertical="center"/>
    </xf>
    <xf numFmtId="3" fontId="65" fillId="27" borderId="0" xfId="0" applyNumberFormat="1" applyFont="1" applyFill="1" applyAlignment="1">
      <alignment horizontal="left" vertical="center"/>
    </xf>
    <xf numFmtId="3" fontId="12" fillId="27" borderId="0" xfId="0" applyNumberFormat="1" applyFont="1" applyFill="1" applyAlignment="1">
      <alignment horizontal="right"/>
    </xf>
    <xf numFmtId="3" fontId="12" fillId="27" borderId="0" xfId="31" applyNumberFormat="1" applyFont="1" applyFill="1"/>
    <xf numFmtId="3" fontId="36" fillId="27" borderId="0" xfId="0" applyNumberFormat="1" applyFont="1" applyFill="1" applyAlignment="1">
      <alignment horizontal="center"/>
    </xf>
    <xf numFmtId="3" fontId="12" fillId="27" borderId="0" xfId="0" applyNumberFormat="1" applyFont="1" applyFill="1" applyAlignment="1">
      <alignment vertical="center"/>
    </xf>
    <xf numFmtId="3" fontId="84" fillId="27" borderId="0" xfId="0" applyNumberFormat="1" applyFont="1" applyFill="1" applyAlignment="1">
      <alignment horizontal="left" vertical="center"/>
    </xf>
    <xf numFmtId="3" fontId="65" fillId="27" borderId="0" xfId="49" applyNumberFormat="1" applyFont="1" applyFill="1"/>
    <xf numFmtId="3" fontId="21" fillId="27" borderId="0" xfId="0" applyNumberFormat="1" applyFont="1" applyFill="1"/>
    <xf numFmtId="3" fontId="43" fillId="27" borderId="0" xfId="49" applyNumberFormat="1" applyFont="1" applyFill="1" applyAlignment="1">
      <alignment horizontal="left"/>
    </xf>
    <xf numFmtId="3" fontId="21" fillId="27" borderId="0" xfId="49" applyNumberFormat="1" applyFont="1" applyFill="1" applyAlignment="1">
      <alignment horizontal="left" indent="1"/>
    </xf>
    <xf numFmtId="3" fontId="43" fillId="27" borderId="0" xfId="31" applyNumberFormat="1" applyFont="1" applyFill="1"/>
    <xf numFmtId="3" fontId="43" fillId="27" borderId="0" xfId="49" applyNumberFormat="1" applyFont="1" applyFill="1" applyAlignment="1">
      <alignment horizontal="left" indent="1"/>
    </xf>
    <xf numFmtId="0" fontId="13" fillId="27" borderId="0" xfId="49" applyFont="1" applyFill="1" applyAlignment="1">
      <alignment vertical="center"/>
    </xf>
    <xf numFmtId="0" fontId="13" fillId="27" borderId="0" xfId="49" applyFont="1" applyFill="1" applyAlignment="1">
      <alignment horizontal="right" vertical="center"/>
    </xf>
    <xf numFmtId="1" fontId="21" fillId="38" borderId="1" xfId="21" applyFont="1" applyFill="1" applyBorder="1">
      <alignment horizontal="center" vertical="center" wrapText="1"/>
    </xf>
    <xf numFmtId="1" fontId="21" fillId="38" borderId="38" xfId="21" applyFont="1" applyFill="1" applyBorder="1">
      <alignment horizontal="center" vertical="center" wrapText="1"/>
    </xf>
    <xf numFmtId="1" fontId="21" fillId="38" borderId="9" xfId="21" applyFont="1" applyFill="1" applyBorder="1">
      <alignment horizontal="center" vertical="center" wrapText="1"/>
    </xf>
    <xf numFmtId="1" fontId="21" fillId="38" borderId="60" xfId="21" applyFont="1" applyFill="1" applyBorder="1">
      <alignment horizontal="center" vertical="center" wrapText="1"/>
    </xf>
    <xf numFmtId="1" fontId="21" fillId="38" borderId="2" xfId="21" applyFont="1" applyFill="1" applyBorder="1">
      <alignment horizontal="center" vertical="center" wrapText="1"/>
    </xf>
    <xf numFmtId="1" fontId="21" fillId="38" borderId="65" xfId="21" applyFont="1" applyFill="1" applyBorder="1">
      <alignment horizontal="center" vertical="center" wrapText="1"/>
    </xf>
    <xf numFmtId="1" fontId="21" fillId="38" borderId="10" xfId="21" applyFont="1" applyFill="1" applyBorder="1">
      <alignment horizontal="center" vertical="center" wrapText="1"/>
    </xf>
    <xf numFmtId="0" fontId="21" fillId="32" borderId="1" xfId="49" applyFont="1" applyFill="1" applyBorder="1" applyAlignment="1">
      <alignment horizontal="center" vertical="center"/>
    </xf>
    <xf numFmtId="0" fontId="21" fillId="32" borderId="2" xfId="49" applyFont="1" applyFill="1" applyBorder="1" applyAlignment="1">
      <alignment vertical="center" wrapText="1"/>
    </xf>
    <xf numFmtId="0" fontId="21" fillId="32" borderId="2" xfId="49" applyFont="1" applyFill="1" applyBorder="1" applyAlignment="1">
      <alignment horizontal="center" vertical="center" wrapText="1"/>
    </xf>
    <xf numFmtId="49" fontId="21" fillId="24" borderId="1" xfId="49" applyNumberFormat="1" applyFont="1" applyFill="1" applyBorder="1" applyAlignment="1">
      <alignment horizontal="center" vertical="center"/>
    </xf>
    <xf numFmtId="49" fontId="21" fillId="24" borderId="1" xfId="49" applyNumberFormat="1" applyFont="1" applyFill="1" applyBorder="1" applyAlignment="1">
      <alignment vertical="center"/>
    </xf>
    <xf numFmtId="3" fontId="21" fillId="31" borderId="65" xfId="49" applyNumberFormat="1" applyFont="1" applyFill="1" applyBorder="1" applyAlignment="1">
      <alignment horizontal="center" vertical="center" wrapText="1"/>
    </xf>
    <xf numFmtId="3" fontId="21" fillId="31" borderId="9" xfId="49" applyNumberFormat="1" applyFont="1" applyFill="1" applyBorder="1" applyAlignment="1">
      <alignment horizontal="center" vertical="center" wrapText="1"/>
    </xf>
    <xf numFmtId="3" fontId="21" fillId="31" borderId="60" xfId="49" applyNumberFormat="1" applyFont="1" applyFill="1" applyBorder="1" applyAlignment="1">
      <alignment horizontal="center" vertical="center" wrapText="1"/>
    </xf>
    <xf numFmtId="3" fontId="21" fillId="31" borderId="2" xfId="49" applyNumberFormat="1" applyFont="1" applyFill="1" applyBorder="1" applyAlignment="1">
      <alignment horizontal="center" vertical="center" wrapText="1"/>
    </xf>
    <xf numFmtId="3" fontId="21" fillId="31" borderId="10" xfId="49" applyNumberFormat="1" applyFont="1" applyFill="1" applyBorder="1" applyAlignment="1">
      <alignment horizontal="center" vertical="center" wrapText="1"/>
    </xf>
    <xf numFmtId="0" fontId="21" fillId="27" borderId="5" xfId="49" applyFont="1" applyFill="1" applyBorder="1" applyAlignment="1">
      <alignment horizontal="center" vertical="center"/>
    </xf>
    <xf numFmtId="9" fontId="21" fillId="27" borderId="5" xfId="49" applyNumberFormat="1" applyFont="1" applyFill="1" applyBorder="1" applyAlignment="1">
      <alignment horizontal="center" vertical="center"/>
    </xf>
    <xf numFmtId="0" fontId="21" fillId="27" borderId="25" xfId="49" applyFont="1" applyFill="1" applyBorder="1" applyAlignment="1">
      <alignment vertical="center" wrapText="1"/>
    </xf>
    <xf numFmtId="3" fontId="21" fillId="27" borderId="26" xfId="49" applyNumberFormat="1" applyFont="1" applyFill="1" applyBorder="1" applyAlignment="1">
      <alignment horizontal="center" vertical="center" wrapText="1"/>
    </xf>
    <xf numFmtId="3" fontId="21" fillId="27" borderId="80" xfId="49" applyNumberFormat="1" applyFont="1" applyFill="1" applyBorder="1" applyAlignment="1">
      <alignment horizontal="center" vertical="center" wrapText="1"/>
    </xf>
    <xf numFmtId="3" fontId="21" fillId="27" borderId="58" xfId="49" applyNumberFormat="1" applyFont="1" applyFill="1" applyBorder="1" applyAlignment="1">
      <alignment horizontal="center" vertical="center" wrapText="1"/>
    </xf>
    <xf numFmtId="3" fontId="21" fillId="27" borderId="59" xfId="49" applyNumberFormat="1" applyFont="1" applyFill="1" applyBorder="1" applyAlignment="1">
      <alignment horizontal="center" vertical="center" wrapText="1"/>
    </xf>
    <xf numFmtId="3" fontId="21" fillId="27" borderId="46" xfId="49" applyNumberFormat="1" applyFont="1" applyFill="1" applyBorder="1" applyAlignment="1">
      <alignment horizontal="center" vertical="center" wrapText="1"/>
    </xf>
    <xf numFmtId="0" fontId="12" fillId="27" borderId="5" xfId="49" applyFont="1" applyFill="1" applyBorder="1" applyAlignment="1">
      <alignment horizontal="center" vertical="center"/>
    </xf>
    <xf numFmtId="0" fontId="12" fillId="26" borderId="5" xfId="49" applyFont="1" applyFill="1" applyBorder="1" applyAlignment="1">
      <alignment horizontal="center" vertical="center"/>
    </xf>
    <xf numFmtId="9" fontId="12" fillId="26" borderId="5" xfId="49" applyNumberFormat="1" applyFont="1" applyFill="1" applyBorder="1" applyAlignment="1">
      <alignment horizontal="center" vertical="center"/>
    </xf>
    <xf numFmtId="0" fontId="12" fillId="26" borderId="25" xfId="49" applyFont="1" applyFill="1" applyBorder="1" applyAlignment="1">
      <alignment vertical="center" wrapText="1"/>
    </xf>
    <xf numFmtId="0" fontId="12" fillId="26" borderId="24" xfId="49" applyFont="1" applyFill="1" applyBorder="1" applyAlignment="1">
      <alignment vertical="center" wrapText="1"/>
    </xf>
    <xf numFmtId="0" fontId="21" fillId="27" borderId="17" xfId="49" applyFont="1" applyFill="1" applyBorder="1" applyAlignment="1">
      <alignment horizontal="center" vertical="center"/>
    </xf>
    <xf numFmtId="0" fontId="21" fillId="26" borderId="17" xfId="49" applyFont="1" applyFill="1" applyBorder="1" applyAlignment="1">
      <alignment horizontal="center" vertical="center"/>
    </xf>
    <xf numFmtId="9" fontId="21" fillId="26" borderId="17" xfId="49" applyNumberFormat="1" applyFont="1" applyFill="1" applyBorder="1" applyAlignment="1">
      <alignment horizontal="center" vertical="center"/>
    </xf>
    <xf numFmtId="0" fontId="21" fillId="26" borderId="24" xfId="49" applyFont="1" applyFill="1" applyBorder="1" applyAlignment="1">
      <alignment vertical="center" wrapText="1"/>
    </xf>
    <xf numFmtId="3" fontId="21" fillId="27" borderId="17" xfId="49" applyNumberFormat="1" applyFont="1" applyFill="1" applyBorder="1" applyAlignment="1">
      <alignment horizontal="center" vertical="center"/>
    </xf>
    <xf numFmtId="3" fontId="21" fillId="27" borderId="32" xfId="49" applyNumberFormat="1" applyFont="1" applyFill="1" applyBorder="1" applyAlignment="1">
      <alignment horizontal="center" vertical="center"/>
    </xf>
    <xf numFmtId="3" fontId="21" fillId="27" borderId="7" xfId="49" applyNumberFormat="1" applyFont="1" applyFill="1" applyBorder="1" applyAlignment="1">
      <alignment horizontal="center" vertical="center"/>
    </xf>
    <xf numFmtId="3" fontId="21" fillId="27" borderId="62" xfId="49" applyNumberFormat="1" applyFont="1" applyFill="1" applyBorder="1" applyAlignment="1">
      <alignment horizontal="center" vertical="center"/>
    </xf>
    <xf numFmtId="3" fontId="21" fillId="27" borderId="53" xfId="49" applyNumberFormat="1" applyFont="1" applyFill="1" applyBorder="1" applyAlignment="1">
      <alignment horizontal="center" vertical="center"/>
    </xf>
    <xf numFmtId="0" fontId="12" fillId="27" borderId="17" xfId="49" applyFont="1" applyFill="1" applyBorder="1" applyAlignment="1">
      <alignment horizontal="center" vertical="center"/>
    </xf>
    <xf numFmtId="9" fontId="12" fillId="26" borderId="17" xfId="49" applyNumberFormat="1" applyFont="1" applyFill="1" applyBorder="1" applyAlignment="1">
      <alignment horizontal="center" vertical="center"/>
    </xf>
    <xf numFmtId="9" fontId="12" fillId="26" borderId="24" xfId="49" applyNumberFormat="1" applyFont="1" applyFill="1" applyBorder="1" applyAlignment="1">
      <alignment horizontal="left" vertical="center"/>
    </xf>
    <xf numFmtId="49" fontId="21" fillId="26" borderId="24" xfId="49" applyNumberFormat="1" applyFont="1" applyFill="1" applyBorder="1" applyAlignment="1">
      <alignment vertical="center" wrapText="1"/>
    </xf>
    <xf numFmtId="49" fontId="12" fillId="26" borderId="24" xfId="49" applyNumberFormat="1" applyFont="1" applyFill="1" applyBorder="1" applyAlignment="1">
      <alignment horizontal="left" vertical="center" wrapText="1"/>
    </xf>
    <xf numFmtId="3" fontId="12" fillId="33" borderId="17" xfId="49" applyNumberFormat="1" applyFont="1" applyFill="1" applyBorder="1" applyAlignment="1">
      <alignment horizontal="center" vertical="center"/>
    </xf>
    <xf numFmtId="3" fontId="12" fillId="33" borderId="32" xfId="49" applyNumberFormat="1" applyFont="1" applyFill="1" applyBorder="1" applyAlignment="1">
      <alignment horizontal="center" vertical="center"/>
    </xf>
    <xf numFmtId="3" fontId="12" fillId="33" borderId="7" xfId="49" applyNumberFormat="1" applyFont="1" applyFill="1" applyBorder="1" applyAlignment="1">
      <alignment horizontal="center" vertical="center"/>
    </xf>
    <xf numFmtId="3" fontId="12" fillId="33" borderId="62" xfId="49" applyNumberFormat="1" applyFont="1" applyFill="1" applyBorder="1" applyAlignment="1">
      <alignment horizontal="center" vertical="center"/>
    </xf>
    <xf numFmtId="3" fontId="12" fillId="33" borderId="53" xfId="49" applyNumberFormat="1" applyFont="1" applyFill="1" applyBorder="1" applyAlignment="1">
      <alignment horizontal="center" vertical="center"/>
    </xf>
    <xf numFmtId="0" fontId="43" fillId="26" borderId="17" xfId="49" applyFont="1" applyFill="1" applyBorder="1" applyAlignment="1">
      <alignment horizontal="center" vertical="center"/>
    </xf>
    <xf numFmtId="9" fontId="43" fillId="26" borderId="17" xfId="70" applyFont="1" applyFill="1" applyBorder="1" applyAlignment="1" applyProtection="1">
      <alignment horizontal="center" vertical="center"/>
    </xf>
    <xf numFmtId="49" fontId="43" fillId="26" borderId="24" xfId="49" applyNumberFormat="1" applyFont="1" applyFill="1" applyBorder="1" applyAlignment="1">
      <alignment horizontal="right" vertical="center" wrapText="1"/>
    </xf>
    <xf numFmtId="9" fontId="12" fillId="26" borderId="17" xfId="70" applyFont="1" applyFill="1" applyBorder="1" applyAlignment="1" applyProtection="1">
      <alignment horizontal="center" vertical="center"/>
    </xf>
    <xf numFmtId="9" fontId="43" fillId="26" borderId="17" xfId="49" applyNumberFormat="1" applyFont="1" applyFill="1" applyBorder="1" applyAlignment="1">
      <alignment horizontal="center" vertical="center"/>
    </xf>
    <xf numFmtId="49" fontId="21" fillId="26" borderId="24" xfId="49" applyNumberFormat="1" applyFont="1" applyFill="1" applyBorder="1" applyAlignment="1">
      <alignment horizontal="left" vertical="center" wrapText="1"/>
    </xf>
    <xf numFmtId="0" fontId="43" fillId="26" borderId="24" xfId="49" applyFont="1" applyFill="1" applyBorder="1" applyAlignment="1">
      <alignment horizontal="right" vertical="center" wrapText="1"/>
    </xf>
    <xf numFmtId="49" fontId="12" fillId="26" borderId="17" xfId="49" applyNumberFormat="1" applyFont="1" applyFill="1" applyBorder="1" applyAlignment="1">
      <alignment horizontal="left" vertical="center" wrapText="1"/>
    </xf>
    <xf numFmtId="3" fontId="21" fillId="20" borderId="17" xfId="49" applyNumberFormat="1" applyFont="1" applyFill="1" applyBorder="1" applyAlignment="1">
      <alignment horizontal="center" vertical="center"/>
    </xf>
    <xf numFmtId="3" fontId="21" fillId="20" borderId="32" xfId="49" applyNumberFormat="1" applyFont="1" applyFill="1" applyBorder="1" applyAlignment="1">
      <alignment horizontal="center" vertical="center"/>
    </xf>
    <xf numFmtId="3" fontId="21" fillId="20" borderId="7" xfId="49" applyNumberFormat="1" applyFont="1" applyFill="1" applyBorder="1" applyAlignment="1">
      <alignment horizontal="center" vertical="center"/>
    </xf>
    <xf numFmtId="3" fontId="21" fillId="20" borderId="62" xfId="49" applyNumberFormat="1" applyFont="1" applyFill="1" applyBorder="1" applyAlignment="1">
      <alignment horizontal="center" vertical="center"/>
    </xf>
    <xf numFmtId="3" fontId="21" fillId="20" borderId="53" xfId="49" applyNumberFormat="1" applyFont="1" applyFill="1" applyBorder="1" applyAlignment="1">
      <alignment horizontal="center" vertical="center"/>
    </xf>
    <xf numFmtId="0" fontId="12" fillId="27" borderId="24" xfId="49" applyFont="1" applyFill="1" applyBorder="1" applyAlignment="1">
      <alignment horizontal="center" vertical="center"/>
    </xf>
    <xf numFmtId="0" fontId="12" fillId="26" borderId="24" xfId="49" applyFont="1" applyFill="1" applyBorder="1" applyAlignment="1">
      <alignment horizontal="center" vertical="center"/>
    </xf>
    <xf numFmtId="9" fontId="12" fillId="26" borderId="24" xfId="49" applyNumberFormat="1" applyFont="1" applyFill="1" applyBorder="1" applyAlignment="1">
      <alignment horizontal="center" vertical="center"/>
    </xf>
    <xf numFmtId="0" fontId="12" fillId="26" borderId="24" xfId="49" applyFont="1" applyFill="1" applyBorder="1" applyAlignment="1">
      <alignment horizontal="left" vertical="center" wrapText="1"/>
    </xf>
    <xf numFmtId="0" fontId="21" fillId="27" borderId="24" xfId="49" applyFont="1" applyFill="1" applyBorder="1" applyAlignment="1">
      <alignment horizontal="center" vertical="center"/>
    </xf>
    <xf numFmtId="0" fontId="21" fillId="26" borderId="24" xfId="49" applyFont="1" applyFill="1" applyBorder="1" applyAlignment="1">
      <alignment horizontal="center" vertical="center"/>
    </xf>
    <xf numFmtId="9" fontId="21" fillId="26" borderId="24" xfId="49" applyNumberFormat="1" applyFont="1" applyFill="1" applyBorder="1" applyAlignment="1">
      <alignment horizontal="center" vertical="center"/>
    </xf>
    <xf numFmtId="0" fontId="21" fillId="26" borderId="24" xfId="49" applyFont="1" applyFill="1" applyBorder="1" applyAlignment="1">
      <alignment horizontal="left" vertical="center" wrapText="1"/>
    </xf>
    <xf numFmtId="0" fontId="21" fillId="27" borderId="30" xfId="49" applyFont="1" applyFill="1" applyBorder="1" applyAlignment="1">
      <alignment horizontal="center" vertical="center"/>
    </xf>
    <xf numFmtId="9" fontId="21" fillId="27" borderId="30" xfId="49" applyNumberFormat="1" applyFont="1" applyFill="1" applyBorder="1" applyAlignment="1">
      <alignment horizontal="center" vertical="center"/>
    </xf>
    <xf numFmtId="49" fontId="21" fillId="27" borderId="30" xfId="49" applyNumberFormat="1" applyFont="1" applyFill="1" applyBorder="1" applyAlignment="1">
      <alignment vertical="center" wrapText="1"/>
    </xf>
    <xf numFmtId="0" fontId="19" fillId="24" borderId="1" xfId="49" applyFont="1" applyFill="1" applyBorder="1" applyAlignment="1">
      <alignment horizontal="center" vertical="center"/>
    </xf>
    <xf numFmtId="0" fontId="19" fillId="24" borderId="1" xfId="49" applyFont="1" applyFill="1" applyBorder="1" applyAlignment="1">
      <alignment horizontal="left" vertical="center"/>
    </xf>
    <xf numFmtId="49" fontId="19" fillId="24" borderId="1" xfId="49" applyNumberFormat="1" applyFont="1" applyFill="1" applyBorder="1" applyAlignment="1">
      <alignment vertical="center"/>
    </xf>
    <xf numFmtId="3" fontId="21" fillId="31" borderId="1" xfId="49" applyNumberFormat="1" applyFont="1" applyFill="1" applyBorder="1" applyAlignment="1">
      <alignment horizontal="center" vertical="center" wrapText="1"/>
    </xf>
    <xf numFmtId="3" fontId="21" fillId="31" borderId="38" xfId="49" applyNumberFormat="1" applyFont="1" applyFill="1" applyBorder="1" applyAlignment="1">
      <alignment horizontal="center" vertical="center" wrapText="1"/>
    </xf>
    <xf numFmtId="0" fontId="21" fillId="27" borderId="5" xfId="49" applyFont="1" applyFill="1" applyBorder="1" applyAlignment="1">
      <alignment vertical="center" wrapText="1"/>
    </xf>
    <xf numFmtId="3" fontId="21" fillId="27" borderId="29" xfId="49" applyNumberFormat="1" applyFont="1" applyFill="1" applyBorder="1" applyAlignment="1">
      <alignment horizontal="center" vertical="center" wrapText="1"/>
    </xf>
    <xf numFmtId="3" fontId="21" fillId="27" borderId="73" xfId="49" applyNumberFormat="1" applyFont="1" applyFill="1" applyBorder="1" applyAlignment="1">
      <alignment horizontal="center" vertical="center" wrapText="1"/>
    </xf>
    <xf numFmtId="3" fontId="21" fillId="27" borderId="74" xfId="49" applyNumberFormat="1" applyFont="1" applyFill="1" applyBorder="1" applyAlignment="1">
      <alignment horizontal="center" vertical="center" wrapText="1"/>
    </xf>
    <xf numFmtId="3" fontId="21" fillId="27" borderId="75" xfId="49" applyNumberFormat="1" applyFont="1" applyFill="1" applyBorder="1" applyAlignment="1">
      <alignment horizontal="center" vertical="center" wrapText="1"/>
    </xf>
    <xf numFmtId="3" fontId="21" fillId="27" borderId="76" xfId="49" applyNumberFormat="1" applyFont="1" applyFill="1" applyBorder="1" applyAlignment="1">
      <alignment horizontal="center" vertical="center" wrapText="1"/>
    </xf>
    <xf numFmtId="9" fontId="12" fillId="27" borderId="5" xfId="49" applyNumberFormat="1" applyFont="1" applyFill="1" applyBorder="1" applyAlignment="1">
      <alignment horizontal="center" vertical="center"/>
    </xf>
    <xf numFmtId="0" fontId="12" fillId="27" borderId="5" xfId="49" applyFont="1" applyFill="1" applyBorder="1" applyAlignment="1">
      <alignment vertical="center" wrapText="1"/>
    </xf>
    <xf numFmtId="3" fontId="12" fillId="0" borderId="24" xfId="49" applyNumberFormat="1" applyFont="1" applyBorder="1" applyAlignment="1">
      <alignment horizontal="center" vertical="center" wrapText="1"/>
    </xf>
    <xf numFmtId="3" fontId="12" fillId="0" borderId="7" xfId="49" applyNumberFormat="1" applyFont="1" applyBorder="1" applyAlignment="1">
      <alignment horizontal="center" vertical="center" wrapText="1"/>
    </xf>
    <xf numFmtId="3" fontId="12" fillId="27" borderId="7" xfId="49" applyNumberFormat="1" applyFont="1" applyFill="1" applyBorder="1" applyAlignment="1">
      <alignment horizontal="center" vertical="center" wrapText="1"/>
    </xf>
    <xf numFmtId="3" fontId="12" fillId="27" borderId="62" xfId="49" applyNumberFormat="1" applyFont="1" applyFill="1" applyBorder="1" applyAlignment="1">
      <alignment horizontal="center" vertical="center" wrapText="1"/>
    </xf>
    <xf numFmtId="3" fontId="12" fillId="27" borderId="24" xfId="49" applyNumberFormat="1" applyFont="1" applyFill="1" applyBorder="1" applyAlignment="1">
      <alignment horizontal="center" vertical="center" wrapText="1"/>
    </xf>
    <xf numFmtId="3" fontId="12" fillId="27" borderId="53" xfId="49" applyNumberFormat="1" applyFont="1" applyFill="1" applyBorder="1" applyAlignment="1">
      <alignment horizontal="center" vertical="center" wrapText="1"/>
    </xf>
    <xf numFmtId="0" fontId="12" fillId="27" borderId="17" xfId="49" applyFont="1" applyFill="1" applyBorder="1" applyAlignment="1">
      <alignment vertical="center" wrapText="1"/>
    </xf>
    <xf numFmtId="9" fontId="21" fillId="27" borderId="17" xfId="49" applyNumberFormat="1" applyFont="1" applyFill="1" applyBorder="1" applyAlignment="1">
      <alignment horizontal="center" vertical="center"/>
    </xf>
    <xf numFmtId="0" fontId="21" fillId="27" borderId="17" xfId="49" applyFont="1" applyFill="1" applyBorder="1" applyAlignment="1">
      <alignment vertical="center" wrapText="1"/>
    </xf>
    <xf numFmtId="3" fontId="21" fillId="27" borderId="24" xfId="49" applyNumberFormat="1" applyFont="1" applyFill="1" applyBorder="1" applyAlignment="1">
      <alignment horizontal="center" vertical="center"/>
    </xf>
    <xf numFmtId="3" fontId="21" fillId="27" borderId="52" xfId="49" applyNumberFormat="1" applyFont="1" applyFill="1" applyBorder="1" applyAlignment="1">
      <alignment horizontal="center" vertical="center"/>
    </xf>
    <xf numFmtId="9" fontId="12" fillId="27" borderId="17" xfId="49" applyNumberFormat="1" applyFont="1" applyFill="1" applyBorder="1" applyAlignment="1">
      <alignment horizontal="center" vertical="center"/>
    </xf>
    <xf numFmtId="9" fontId="12" fillId="27" borderId="17" xfId="49" applyNumberFormat="1" applyFont="1" applyFill="1" applyBorder="1" applyAlignment="1">
      <alignment horizontal="left" vertical="center"/>
    </xf>
    <xf numFmtId="49" fontId="21" fillId="27" borderId="17" xfId="49" applyNumberFormat="1" applyFont="1" applyFill="1" applyBorder="1" applyAlignment="1">
      <alignment vertical="center" wrapText="1"/>
    </xf>
    <xf numFmtId="49" fontId="12" fillId="27" borderId="17" xfId="49" applyNumberFormat="1" applyFont="1" applyFill="1" applyBorder="1" applyAlignment="1">
      <alignment horizontal="left" vertical="center" wrapText="1"/>
    </xf>
    <xf numFmtId="9" fontId="12" fillId="27" borderId="17" xfId="70" applyFont="1" applyFill="1" applyBorder="1" applyAlignment="1" applyProtection="1">
      <alignment horizontal="center" vertical="center"/>
    </xf>
    <xf numFmtId="3" fontId="12" fillId="33" borderId="24" xfId="49" applyNumberFormat="1" applyFont="1" applyFill="1" applyBorder="1" applyAlignment="1">
      <alignment horizontal="center" vertical="center"/>
    </xf>
    <xf numFmtId="3" fontId="12" fillId="33" borderId="52" xfId="49" applyNumberFormat="1" applyFont="1" applyFill="1" applyBorder="1" applyAlignment="1">
      <alignment horizontal="center" vertical="center"/>
    </xf>
    <xf numFmtId="0" fontId="43" fillId="27" borderId="17" xfId="49" applyFont="1" applyFill="1" applyBorder="1" applyAlignment="1">
      <alignment horizontal="center" vertical="center"/>
    </xf>
    <xf numFmtId="9" fontId="43" fillId="27" borderId="17" xfId="70" applyFont="1" applyFill="1" applyBorder="1" applyAlignment="1" applyProtection="1">
      <alignment horizontal="center" vertical="center"/>
    </xf>
    <xf numFmtId="49" fontId="43" fillId="27" borderId="17" xfId="49" applyNumberFormat="1" applyFont="1" applyFill="1" applyBorder="1" applyAlignment="1">
      <alignment horizontal="right" vertical="center" wrapText="1"/>
    </xf>
    <xf numFmtId="9" fontId="43" fillId="27" borderId="17" xfId="49" applyNumberFormat="1" applyFont="1" applyFill="1" applyBorder="1" applyAlignment="1">
      <alignment horizontal="center" vertical="center"/>
    </xf>
    <xf numFmtId="49" fontId="43" fillId="26" borderId="17" xfId="49" applyNumberFormat="1" applyFont="1" applyFill="1" applyBorder="1" applyAlignment="1">
      <alignment horizontal="right" vertical="center" wrapText="1"/>
    </xf>
    <xf numFmtId="49" fontId="21" fillId="26" borderId="17" xfId="49" applyNumberFormat="1" applyFont="1" applyFill="1" applyBorder="1" applyAlignment="1">
      <alignment horizontal="left" vertical="center" wrapText="1"/>
    </xf>
    <xf numFmtId="0" fontId="12" fillId="26" borderId="17" xfId="49" applyFont="1" applyFill="1" applyBorder="1" applyAlignment="1">
      <alignment vertical="center" wrapText="1"/>
    </xf>
    <xf numFmtId="0" fontId="43" fillId="26" borderId="17" xfId="49" applyFont="1" applyFill="1" applyBorder="1" applyAlignment="1">
      <alignment horizontal="right" vertical="center" wrapText="1"/>
    </xf>
    <xf numFmtId="49" fontId="21" fillId="26" borderId="17" xfId="49" applyNumberFormat="1" applyFont="1" applyFill="1" applyBorder="1" applyAlignment="1">
      <alignment vertical="center" wrapText="1"/>
    </xf>
    <xf numFmtId="3" fontId="21" fillId="33" borderId="24" xfId="49" applyNumberFormat="1" applyFont="1" applyFill="1" applyBorder="1" applyAlignment="1">
      <alignment horizontal="center" vertical="center"/>
    </xf>
    <xf numFmtId="3" fontId="21" fillId="33" borderId="7" xfId="49" applyNumberFormat="1" applyFont="1" applyFill="1" applyBorder="1" applyAlignment="1">
      <alignment horizontal="center" vertical="center"/>
    </xf>
    <xf numFmtId="3" fontId="21" fillId="33" borderId="62" xfId="49" applyNumberFormat="1" applyFont="1" applyFill="1" applyBorder="1" applyAlignment="1">
      <alignment horizontal="center" vertical="center"/>
    </xf>
    <xf numFmtId="3" fontId="21" fillId="33" borderId="52" xfId="49" applyNumberFormat="1" applyFont="1" applyFill="1" applyBorder="1" applyAlignment="1">
      <alignment horizontal="center" vertical="center"/>
    </xf>
    <xf numFmtId="3" fontId="21" fillId="33" borderId="53" xfId="49" applyNumberFormat="1" applyFont="1" applyFill="1" applyBorder="1" applyAlignment="1">
      <alignment horizontal="center" vertical="center"/>
    </xf>
    <xf numFmtId="3" fontId="21" fillId="33" borderId="32" xfId="49" applyNumberFormat="1" applyFont="1" applyFill="1" applyBorder="1" applyAlignment="1">
      <alignment horizontal="center" vertical="center"/>
    </xf>
    <xf numFmtId="0" fontId="12" fillId="26" borderId="17" xfId="49" applyFont="1" applyFill="1" applyBorder="1" applyAlignment="1">
      <alignment horizontal="left" vertical="center" wrapText="1"/>
    </xf>
    <xf numFmtId="3" fontId="12" fillId="27" borderId="52" xfId="49" applyNumberFormat="1" applyFont="1" applyFill="1" applyBorder="1" applyAlignment="1">
      <alignment horizontal="center" vertical="center" wrapText="1"/>
    </xf>
    <xf numFmtId="3" fontId="21" fillId="27" borderId="24" xfId="49" applyNumberFormat="1" applyFont="1" applyFill="1" applyBorder="1" applyAlignment="1">
      <alignment horizontal="center" vertical="center" wrapText="1"/>
    </xf>
    <xf numFmtId="3" fontId="21" fillId="27" borderId="7" xfId="49" applyNumberFormat="1" applyFont="1" applyFill="1" applyBorder="1" applyAlignment="1">
      <alignment horizontal="center" vertical="center" wrapText="1"/>
    </xf>
    <xf numFmtId="3" fontId="21" fillId="27" borderId="62" xfId="49" applyNumberFormat="1" applyFont="1" applyFill="1" applyBorder="1" applyAlignment="1">
      <alignment horizontal="center" vertical="center" wrapText="1"/>
    </xf>
    <xf numFmtId="3" fontId="21" fillId="27" borderId="52" xfId="49" applyNumberFormat="1" applyFont="1" applyFill="1" applyBorder="1" applyAlignment="1">
      <alignment horizontal="center" vertical="center" wrapText="1"/>
    </xf>
    <xf numFmtId="3" fontId="21" fillId="27" borderId="53" xfId="49" applyNumberFormat="1" applyFont="1" applyFill="1" applyBorder="1" applyAlignment="1">
      <alignment horizontal="center" vertical="center" wrapText="1"/>
    </xf>
    <xf numFmtId="3" fontId="21" fillId="27" borderId="32" xfId="49" applyNumberFormat="1" applyFont="1" applyFill="1" applyBorder="1" applyAlignment="1">
      <alignment horizontal="center" vertical="center" wrapText="1"/>
    </xf>
    <xf numFmtId="0" fontId="21" fillId="26" borderId="17" xfId="49" applyFont="1" applyFill="1" applyBorder="1" applyAlignment="1">
      <alignment horizontal="left" vertical="center" wrapText="1"/>
    </xf>
    <xf numFmtId="0" fontId="21" fillId="27" borderId="36" xfId="49" applyFont="1" applyFill="1" applyBorder="1" applyAlignment="1">
      <alignment horizontal="center" vertical="center"/>
    </xf>
    <xf numFmtId="49" fontId="21" fillId="27" borderId="21" xfId="49" applyNumberFormat="1" applyFont="1" applyFill="1" applyBorder="1" applyAlignment="1">
      <alignment vertical="center" wrapText="1"/>
    </xf>
    <xf numFmtId="3" fontId="21" fillId="27" borderId="30" xfId="49" applyNumberFormat="1" applyFont="1" applyFill="1" applyBorder="1" applyAlignment="1">
      <alignment horizontal="center" vertical="center" wrapText="1"/>
    </xf>
    <xf numFmtId="3" fontId="21" fillId="27" borderId="77" xfId="49" applyNumberFormat="1" applyFont="1" applyFill="1" applyBorder="1" applyAlignment="1">
      <alignment horizontal="center" vertical="center" wrapText="1"/>
    </xf>
    <xf numFmtId="3" fontId="21" fillId="27" borderId="78" xfId="49" applyNumberFormat="1" applyFont="1" applyFill="1" applyBorder="1" applyAlignment="1">
      <alignment horizontal="center" vertical="center" wrapText="1"/>
    </xf>
    <xf numFmtId="3" fontId="21" fillId="27" borderId="56" xfId="49" applyNumberFormat="1" applyFont="1" applyFill="1" applyBorder="1" applyAlignment="1">
      <alignment horizontal="center" vertical="center" wrapText="1"/>
    </xf>
    <xf numFmtId="3" fontId="21" fillId="27" borderId="57" xfId="49" applyNumberFormat="1" applyFont="1" applyFill="1" applyBorder="1" applyAlignment="1">
      <alignment horizontal="center" vertical="center" wrapText="1"/>
    </xf>
    <xf numFmtId="3" fontId="21" fillId="27" borderId="79" xfId="49" applyNumberFormat="1" applyFont="1" applyFill="1" applyBorder="1" applyAlignment="1">
      <alignment horizontal="center" vertical="center" wrapText="1"/>
    </xf>
    <xf numFmtId="0" fontId="21" fillId="32" borderId="1" xfId="49" applyFont="1" applyFill="1" applyBorder="1" applyAlignment="1">
      <alignment vertical="center" wrapText="1"/>
    </xf>
    <xf numFmtId="0" fontId="41" fillId="27" borderId="17" xfId="49" applyFont="1" applyFill="1" applyBorder="1" applyAlignment="1">
      <alignment horizontal="center" vertical="center"/>
    </xf>
    <xf numFmtId="0" fontId="41" fillId="26" borderId="5" xfId="49" applyFont="1" applyFill="1" applyBorder="1" applyAlignment="1">
      <alignment horizontal="center" vertical="center"/>
    </xf>
    <xf numFmtId="9" fontId="41" fillId="26" borderId="24" xfId="49" applyNumberFormat="1" applyFont="1" applyFill="1" applyBorder="1" applyAlignment="1">
      <alignment horizontal="center" vertical="center"/>
    </xf>
    <xf numFmtId="0" fontId="41" fillId="26" borderId="17" xfId="49" applyFont="1" applyFill="1" applyBorder="1" applyAlignment="1">
      <alignment horizontal="center" vertical="center"/>
    </xf>
    <xf numFmtId="9" fontId="41" fillId="26" borderId="17" xfId="49" applyNumberFormat="1" applyFont="1" applyFill="1" applyBorder="1" applyAlignment="1">
      <alignment horizontal="left" vertical="center"/>
    </xf>
    <xf numFmtId="9" fontId="41" fillId="26" borderId="17" xfId="49" applyNumberFormat="1" applyFont="1" applyFill="1" applyBorder="1" applyAlignment="1">
      <alignment horizontal="center" vertical="center"/>
    </xf>
    <xf numFmtId="0" fontId="41" fillId="0" borderId="17" xfId="49" applyFont="1" applyBorder="1" applyAlignment="1">
      <alignment horizontal="center" vertical="center"/>
    </xf>
    <xf numFmtId="9" fontId="41" fillId="26" borderId="17" xfId="70" applyFont="1" applyFill="1" applyBorder="1" applyAlignment="1" applyProtection="1">
      <alignment horizontal="center" vertical="center"/>
    </xf>
    <xf numFmtId="49" fontId="21" fillId="24" borderId="1" xfId="49" applyNumberFormat="1" applyFont="1" applyFill="1" applyBorder="1" applyAlignment="1">
      <alignment vertical="center" wrapText="1"/>
    </xf>
    <xf numFmtId="0" fontId="21" fillId="24" borderId="1" xfId="49" applyFont="1" applyFill="1" applyBorder="1" applyAlignment="1">
      <alignment horizontal="center" vertical="center"/>
    </xf>
    <xf numFmtId="0" fontId="21" fillId="24" borderId="1" xfId="49" applyFont="1" applyFill="1" applyBorder="1" applyAlignment="1">
      <alignment horizontal="left" vertical="center"/>
    </xf>
    <xf numFmtId="3" fontId="12" fillId="0" borderId="75" xfId="49" applyNumberFormat="1" applyFont="1" applyBorder="1" applyAlignment="1">
      <alignment horizontal="center" vertical="center" wrapText="1"/>
    </xf>
    <xf numFmtId="3" fontId="12" fillId="0" borderId="73" xfId="49" applyNumberFormat="1" applyFont="1" applyBorder="1" applyAlignment="1">
      <alignment horizontal="center" vertical="center" wrapText="1"/>
    </xf>
    <xf numFmtId="3" fontId="12" fillId="0" borderId="76" xfId="49" applyNumberFormat="1" applyFont="1" applyBorder="1" applyAlignment="1">
      <alignment horizontal="center" vertical="center" wrapText="1"/>
    </xf>
    <xf numFmtId="3" fontId="12" fillId="0" borderId="52" xfId="49" applyNumberFormat="1" applyFont="1" applyBorder="1" applyAlignment="1">
      <alignment horizontal="center" vertical="center" wrapText="1"/>
    </xf>
    <xf numFmtId="3" fontId="12" fillId="0" borderId="53" xfId="49" applyNumberFormat="1" applyFont="1" applyBorder="1" applyAlignment="1">
      <alignment horizontal="center" vertical="center" wrapText="1"/>
    </xf>
    <xf numFmtId="0" fontId="41" fillId="0" borderId="21" xfId="49" applyFont="1" applyBorder="1" applyAlignment="1">
      <alignment horizontal="center" vertical="center"/>
    </xf>
    <xf numFmtId="0" fontId="41" fillId="26" borderId="21" xfId="49" applyFont="1" applyFill="1" applyBorder="1" applyAlignment="1">
      <alignment horizontal="center" vertical="center"/>
    </xf>
    <xf numFmtId="9" fontId="21" fillId="26" borderId="30" xfId="49" applyNumberFormat="1" applyFont="1" applyFill="1" applyBorder="1" applyAlignment="1">
      <alignment horizontal="center" vertical="center"/>
    </xf>
    <xf numFmtId="49" fontId="41" fillId="26" borderId="21" xfId="49" applyNumberFormat="1" applyFont="1" applyFill="1" applyBorder="1" applyAlignment="1">
      <alignment horizontal="left" vertical="center" wrapText="1"/>
    </xf>
    <xf numFmtId="3" fontId="12" fillId="0" borderId="56" xfId="49" applyNumberFormat="1" applyFont="1" applyBorder="1" applyAlignment="1">
      <alignment horizontal="center" vertical="center" wrapText="1"/>
    </xf>
    <xf numFmtId="3" fontId="12" fillId="0" borderId="77" xfId="49" applyNumberFormat="1" applyFont="1" applyBorder="1" applyAlignment="1">
      <alignment horizontal="center" vertical="center" wrapText="1"/>
    </xf>
    <xf numFmtId="3" fontId="12" fillId="0" borderId="57" xfId="49" applyNumberFormat="1" applyFont="1" applyBorder="1" applyAlignment="1">
      <alignment horizontal="center" vertical="center" wrapText="1"/>
    </xf>
    <xf numFmtId="49" fontId="21" fillId="27" borderId="0" xfId="49" applyNumberFormat="1" applyFont="1" applyFill="1" applyAlignment="1">
      <alignment horizontal="center" vertical="center"/>
    </xf>
    <xf numFmtId="49" fontId="21" fillId="27" borderId="0" xfId="49" applyNumberFormat="1" applyFont="1" applyFill="1" applyAlignment="1">
      <alignment vertical="center"/>
    </xf>
    <xf numFmtId="14" fontId="65" fillId="27" borderId="0" xfId="49" applyNumberFormat="1" applyFont="1" applyFill="1" applyAlignment="1">
      <alignment vertical="center"/>
    </xf>
    <xf numFmtId="0" fontId="21" fillId="27" borderId="0" xfId="0" applyFont="1" applyFill="1" applyAlignment="1">
      <alignment horizontal="center" vertical="center"/>
    </xf>
    <xf numFmtId="14" fontId="65" fillId="27" borderId="0" xfId="49" applyNumberFormat="1" applyFont="1" applyFill="1" applyAlignment="1">
      <alignment horizontal="right" vertical="center"/>
    </xf>
    <xf numFmtId="14" fontId="65" fillId="27" borderId="0" xfId="49" applyNumberFormat="1" applyFont="1" applyFill="1" applyAlignment="1">
      <alignment horizontal="left" vertical="center"/>
    </xf>
    <xf numFmtId="0" fontId="36" fillId="27" borderId="0" xfId="49" applyFont="1" applyFill="1" applyAlignment="1">
      <alignment horizontal="right" vertical="center"/>
    </xf>
    <xf numFmtId="14" fontId="84" fillId="27" borderId="0" xfId="49" applyNumberFormat="1" applyFont="1" applyFill="1" applyAlignment="1">
      <alignment horizontal="left" vertical="center"/>
    </xf>
    <xf numFmtId="0" fontId="43" fillId="27" borderId="0" xfId="0" applyFont="1" applyFill="1" applyAlignment="1">
      <alignment vertical="center"/>
    </xf>
    <xf numFmtId="0" fontId="36" fillId="27" borderId="0" xfId="0" applyFont="1" applyFill="1" applyAlignment="1">
      <alignment horizontal="right" vertical="center"/>
    </xf>
    <xf numFmtId="3" fontId="42" fillId="26" borderId="90" xfId="49" applyNumberFormat="1" applyFont="1" applyFill="1" applyBorder="1" applyAlignment="1">
      <alignment horizontal="center" vertical="center" wrapText="1"/>
    </xf>
    <xf numFmtId="3" fontId="42" fillId="26" borderId="112" xfId="49" applyNumberFormat="1" applyFont="1" applyFill="1" applyBorder="1" applyAlignment="1">
      <alignment horizontal="center" vertical="center" wrapText="1"/>
    </xf>
    <xf numFmtId="3" fontId="42" fillId="26" borderId="91" xfId="49" applyNumberFormat="1" applyFont="1" applyFill="1" applyBorder="1" applyAlignment="1">
      <alignment horizontal="center" vertical="center" wrapText="1"/>
    </xf>
    <xf numFmtId="3" fontId="42" fillId="26" borderId="99" xfId="49" applyNumberFormat="1" applyFont="1" applyFill="1" applyBorder="1" applyAlignment="1">
      <alignment horizontal="center" vertical="center" wrapText="1"/>
    </xf>
    <xf numFmtId="3" fontId="42" fillId="26" borderId="113" xfId="49" applyNumberFormat="1" applyFont="1" applyFill="1" applyBorder="1" applyAlignment="1">
      <alignment horizontal="center" vertical="center" wrapText="1"/>
    </xf>
    <xf numFmtId="3" fontId="42" fillId="26" borderId="95" xfId="49" applyNumberFormat="1" applyFont="1" applyFill="1" applyBorder="1" applyAlignment="1">
      <alignment horizontal="center" vertical="center" wrapText="1"/>
    </xf>
    <xf numFmtId="3" fontId="42" fillId="26" borderId="93" xfId="49" applyNumberFormat="1" applyFont="1" applyFill="1" applyBorder="1" applyAlignment="1">
      <alignment horizontal="center" vertical="center" wrapText="1"/>
    </xf>
    <xf numFmtId="3" fontId="42" fillId="26" borderId="114" xfId="49" applyNumberFormat="1" applyFont="1" applyFill="1" applyBorder="1" applyAlignment="1">
      <alignment horizontal="center" vertical="center" wrapText="1"/>
    </xf>
    <xf numFmtId="3" fontId="42" fillId="26" borderId="94" xfId="49" applyNumberFormat="1" applyFont="1" applyFill="1" applyBorder="1" applyAlignment="1">
      <alignment horizontal="center" vertical="center" wrapText="1"/>
    </xf>
    <xf numFmtId="3" fontId="21" fillId="32" borderId="1" xfId="49" applyNumberFormat="1" applyFont="1" applyFill="1" applyBorder="1" applyAlignment="1">
      <alignment vertical="center" wrapText="1"/>
    </xf>
    <xf numFmtId="3" fontId="21" fillId="32" borderId="8" xfId="49" applyNumberFormat="1" applyFont="1" applyFill="1" applyBorder="1" applyAlignment="1">
      <alignment vertical="center" wrapText="1"/>
    </xf>
    <xf numFmtId="3" fontId="21" fillId="32" borderId="3" xfId="49" applyNumberFormat="1" applyFont="1" applyFill="1" applyBorder="1" applyAlignment="1">
      <alignment vertical="center" wrapText="1"/>
    </xf>
    <xf numFmtId="3" fontId="42" fillId="26" borderId="96" xfId="49" applyNumberFormat="1" applyFont="1" applyFill="1" applyBorder="1" applyAlignment="1">
      <alignment horizontal="center" vertical="center" wrapText="1"/>
    </xf>
    <xf numFmtId="3" fontId="42" fillId="26" borderId="110" xfId="49" applyNumberFormat="1" applyFont="1" applyFill="1" applyBorder="1" applyAlignment="1">
      <alignment horizontal="center" vertical="center" wrapText="1"/>
    </xf>
    <xf numFmtId="3" fontId="42" fillId="26" borderId="107" xfId="49" applyNumberFormat="1" applyFont="1" applyFill="1" applyBorder="1" applyAlignment="1">
      <alignment horizontal="center" vertical="center" wrapText="1"/>
    </xf>
    <xf numFmtId="3" fontId="42" fillId="26" borderId="102" xfId="49" applyNumberFormat="1" applyFont="1" applyFill="1" applyBorder="1" applyAlignment="1">
      <alignment horizontal="center" vertical="center" wrapText="1"/>
    </xf>
    <xf numFmtId="3" fontId="42" fillId="26" borderId="103" xfId="49" applyNumberFormat="1" applyFont="1" applyFill="1" applyBorder="1" applyAlignment="1">
      <alignment horizontal="center" vertical="center" wrapText="1"/>
    </xf>
    <xf numFmtId="3" fontId="42" fillId="26" borderId="108" xfId="49" applyNumberFormat="1" applyFont="1" applyFill="1" applyBorder="1" applyAlignment="1">
      <alignment horizontal="center" vertical="center" wrapText="1"/>
    </xf>
    <xf numFmtId="3" fontId="42" fillId="26" borderId="104" xfId="49" applyNumberFormat="1" applyFont="1" applyFill="1" applyBorder="1" applyAlignment="1">
      <alignment horizontal="center" vertical="center" wrapText="1"/>
    </xf>
    <xf numFmtId="3" fontId="42" fillId="26" borderId="97" xfId="49" applyNumberFormat="1" applyFont="1" applyFill="1" applyBorder="1" applyAlignment="1">
      <alignment horizontal="center" vertical="center" wrapText="1"/>
    </xf>
    <xf numFmtId="3" fontId="42" fillId="26" borderId="111" xfId="49" applyNumberFormat="1" applyFont="1" applyFill="1" applyBorder="1" applyAlignment="1">
      <alignment horizontal="center" vertical="center" wrapText="1"/>
    </xf>
    <xf numFmtId="3" fontId="42" fillId="26" borderId="109" xfId="49" applyNumberFormat="1" applyFont="1" applyFill="1" applyBorder="1" applyAlignment="1">
      <alignment horizontal="center" vertical="center" wrapText="1"/>
    </xf>
    <xf numFmtId="3" fontId="42" fillId="26" borderId="105" xfId="49" applyNumberFormat="1" applyFont="1" applyFill="1" applyBorder="1" applyAlignment="1">
      <alignment horizontal="center" vertical="center" wrapText="1"/>
    </xf>
    <xf numFmtId="3" fontId="42" fillId="26" borderId="106" xfId="49" applyNumberFormat="1" applyFont="1" applyFill="1" applyBorder="1" applyAlignment="1">
      <alignment horizontal="center" vertical="center" wrapText="1"/>
    </xf>
    <xf numFmtId="0" fontId="53" fillId="27" borderId="0" xfId="49" applyFont="1" applyFill="1" applyAlignment="1">
      <alignment vertical="center"/>
    </xf>
    <xf numFmtId="0" fontId="53" fillId="27" borderId="0" xfId="49" applyFont="1" applyFill="1" applyAlignment="1">
      <alignment horizontal="right" vertical="center"/>
    </xf>
    <xf numFmtId="0" fontId="20" fillId="27" borderId="0" xfId="49" applyFont="1" applyFill="1" applyAlignment="1">
      <alignment vertical="center"/>
    </xf>
    <xf numFmtId="168" fontId="20" fillId="27" borderId="0" xfId="49" applyNumberFormat="1" applyFont="1" applyFill="1" applyAlignment="1">
      <alignment vertical="center"/>
    </xf>
    <xf numFmtId="1" fontId="34" fillId="27" borderId="0" xfId="49" applyNumberFormat="1" applyFont="1" applyFill="1" applyAlignment="1">
      <alignment vertical="center"/>
    </xf>
    <xf numFmtId="168" fontId="20" fillId="27" borderId="0" xfId="49" applyNumberFormat="1" applyFont="1" applyFill="1" applyAlignment="1">
      <alignment horizontal="center" vertical="center"/>
    </xf>
    <xf numFmtId="1" fontId="34" fillId="27" borderId="0" xfId="49" applyNumberFormat="1" applyFont="1" applyFill="1" applyAlignment="1">
      <alignment horizontal="center" vertical="center"/>
    </xf>
    <xf numFmtId="1" fontId="52" fillId="27" borderId="0" xfId="49" applyNumberFormat="1" applyFont="1" applyFill="1" applyAlignment="1">
      <alignment horizontal="center" vertical="center"/>
    </xf>
    <xf numFmtId="0" fontId="43" fillId="0" borderId="20" xfId="31" applyFont="1" applyBorder="1" applyAlignment="1">
      <alignment horizontal="right" vertical="center"/>
    </xf>
    <xf numFmtId="1" fontId="41" fillId="27" borderId="0" xfId="49" applyNumberFormat="1" applyFont="1" applyFill="1" applyAlignment="1">
      <alignment horizontal="center" vertical="center"/>
    </xf>
    <xf numFmtId="3" fontId="42" fillId="0" borderId="53" xfId="32" applyNumberFormat="1" applyFont="1" applyBorder="1" applyAlignment="1">
      <alignment horizontal="left" vertical="center"/>
    </xf>
    <xf numFmtId="168" fontId="41" fillId="26" borderId="129" xfId="32" applyNumberFormat="1" applyFont="1" applyFill="1" applyBorder="1" applyAlignment="1">
      <alignment horizontal="center" vertical="center"/>
    </xf>
    <xf numFmtId="3" fontId="41" fillId="26" borderId="128" xfId="32" applyNumberFormat="1" applyFont="1" applyFill="1" applyBorder="1" applyAlignment="1">
      <alignment horizontal="center" vertical="center"/>
    </xf>
    <xf numFmtId="9" fontId="41" fillId="26" borderId="95" xfId="1" applyFont="1" applyFill="1" applyBorder="1" applyAlignment="1" applyProtection="1">
      <alignment horizontal="center" vertical="center"/>
    </xf>
    <xf numFmtId="9" fontId="41" fillId="26" borderId="113" xfId="1" applyFont="1" applyFill="1" applyBorder="1" applyAlignment="1" applyProtection="1">
      <alignment horizontal="center" vertical="center"/>
    </xf>
    <xf numFmtId="3" fontId="41" fillId="0" borderId="98" xfId="32" applyNumberFormat="1" applyFont="1" applyBorder="1" applyAlignment="1">
      <alignment horizontal="center" vertical="center"/>
    </xf>
    <xf numFmtId="9" fontId="41" fillId="0" borderId="113" xfId="1" applyFont="1" applyFill="1" applyBorder="1" applyAlignment="1" applyProtection="1">
      <alignment horizontal="center" vertical="center"/>
    </xf>
    <xf numFmtId="3" fontId="41" fillId="26" borderId="98" xfId="32" applyNumberFormat="1" applyFont="1" applyFill="1" applyBorder="1" applyAlignment="1">
      <alignment horizontal="center" vertical="center"/>
    </xf>
    <xf numFmtId="9" fontId="41" fillId="0" borderId="95" xfId="1" applyFont="1" applyFill="1" applyBorder="1" applyAlignment="1" applyProtection="1">
      <alignment horizontal="center" vertical="center"/>
    </xf>
    <xf numFmtId="3" fontId="52" fillId="27" borderId="0" xfId="49" applyNumberFormat="1" applyFont="1" applyFill="1" applyAlignment="1">
      <alignment horizontal="center" vertical="center"/>
    </xf>
    <xf numFmtId="14" fontId="19" fillId="27" borderId="0" xfId="49" applyNumberFormat="1" applyFont="1" applyFill="1" applyAlignment="1">
      <alignment horizontal="left" vertical="center"/>
    </xf>
    <xf numFmtId="0" fontId="19" fillId="27" borderId="0" xfId="49" applyFont="1" applyFill="1" applyAlignment="1">
      <alignment horizontal="right" vertical="center"/>
    </xf>
    <xf numFmtId="0" fontId="132" fillId="27" borderId="0" xfId="49" applyFont="1" applyFill="1" applyAlignment="1">
      <alignment horizontal="left" vertical="center"/>
    </xf>
    <xf numFmtId="3" fontId="41" fillId="28" borderId="17" xfId="49" applyNumberFormat="1" applyFont="1" applyFill="1" applyBorder="1" applyAlignment="1" applyProtection="1">
      <alignment horizontal="center" vertical="center" wrapText="1"/>
      <protection locked="0"/>
    </xf>
    <xf numFmtId="3" fontId="42" fillId="28" borderId="32" xfId="49" applyNumberFormat="1" applyFont="1" applyFill="1" applyBorder="1" applyAlignment="1" applyProtection="1">
      <alignment horizontal="center" vertical="center" wrapText="1"/>
      <protection locked="0"/>
    </xf>
    <xf numFmtId="3" fontId="42" fillId="28" borderId="23" xfId="49" applyNumberFormat="1" applyFont="1" applyFill="1" applyBorder="1" applyAlignment="1" applyProtection="1">
      <alignment horizontal="center" vertical="center" wrapText="1"/>
      <protection locked="0"/>
    </xf>
    <xf numFmtId="3" fontId="42" fillId="26" borderId="17" xfId="49" applyNumberFormat="1" applyFont="1" applyFill="1" applyBorder="1" applyAlignment="1">
      <alignment horizontal="center" vertical="center" wrapText="1"/>
    </xf>
    <xf numFmtId="3" fontId="42" fillId="26" borderId="7" xfId="49" applyNumberFormat="1" applyFont="1" applyFill="1" applyBorder="1" applyAlignment="1">
      <alignment horizontal="center" vertical="center" wrapText="1"/>
    </xf>
    <xf numFmtId="3" fontId="41" fillId="28" borderId="51" xfId="49" applyNumberFormat="1" applyFont="1" applyFill="1" applyBorder="1" applyAlignment="1" applyProtection="1">
      <alignment horizontal="center" vertical="center" wrapText="1"/>
      <protection locked="0"/>
    </xf>
    <xf numFmtId="3" fontId="42" fillId="28" borderId="72" xfId="49" applyNumberFormat="1" applyFont="1" applyFill="1" applyBorder="1" applyAlignment="1" applyProtection="1">
      <alignment horizontal="center" vertical="center" wrapText="1"/>
      <protection locked="0"/>
    </xf>
    <xf numFmtId="3" fontId="42" fillId="28" borderId="22" xfId="49" applyNumberFormat="1" applyFont="1" applyFill="1" applyBorder="1" applyAlignment="1" applyProtection="1">
      <alignment horizontal="center" vertical="center" wrapText="1"/>
      <protection locked="0"/>
    </xf>
    <xf numFmtId="3" fontId="41" fillId="26" borderId="81" xfId="32" applyNumberFormat="1" applyFont="1" applyFill="1" applyBorder="1" applyAlignment="1">
      <alignment horizontal="center" vertical="center"/>
    </xf>
    <xf numFmtId="3" fontId="41" fillId="26" borderId="123" xfId="32" applyNumberFormat="1" applyFont="1" applyFill="1" applyBorder="1" applyAlignment="1">
      <alignment horizontal="center" vertical="center"/>
    </xf>
    <xf numFmtId="3" fontId="41" fillId="33" borderId="61" xfId="49" applyNumberFormat="1" applyFont="1" applyFill="1" applyBorder="1" applyAlignment="1">
      <alignment horizontal="center" vertical="center" wrapText="1"/>
    </xf>
    <xf numFmtId="3" fontId="41" fillId="43" borderId="72" xfId="49" applyNumberFormat="1" applyFont="1" applyFill="1" applyBorder="1" applyAlignment="1">
      <alignment horizontal="center" vertical="center" wrapText="1"/>
    </xf>
    <xf numFmtId="3" fontId="41" fillId="43" borderId="73" xfId="49" applyNumberFormat="1" applyFont="1" applyFill="1" applyBorder="1" applyAlignment="1">
      <alignment horizontal="center" vertical="center" wrapText="1"/>
    </xf>
    <xf numFmtId="3" fontId="41" fillId="43" borderId="74" xfId="49" applyNumberFormat="1" applyFont="1" applyFill="1" applyBorder="1" applyAlignment="1">
      <alignment horizontal="center" vertical="center" wrapText="1"/>
    </xf>
    <xf numFmtId="3" fontId="41" fillId="43" borderId="32" xfId="49" applyNumberFormat="1" applyFont="1" applyFill="1" applyBorder="1" applyAlignment="1">
      <alignment horizontal="center" vertical="center" wrapText="1"/>
    </xf>
    <xf numFmtId="3" fontId="41" fillId="43" borderId="7" xfId="49" applyNumberFormat="1" applyFont="1" applyFill="1" applyBorder="1" applyAlignment="1">
      <alignment horizontal="center" vertical="center" wrapText="1"/>
    </xf>
    <xf numFmtId="3" fontId="41" fillId="43" borderId="62" xfId="49" applyNumberFormat="1" applyFont="1" applyFill="1" applyBorder="1" applyAlignment="1">
      <alignment horizontal="center" vertical="center" wrapText="1"/>
    </xf>
    <xf numFmtId="3" fontId="41" fillId="43" borderId="79" xfId="49" applyNumberFormat="1" applyFont="1" applyFill="1" applyBorder="1" applyAlignment="1">
      <alignment horizontal="center" vertical="center" wrapText="1"/>
    </xf>
    <xf numFmtId="3" fontId="41" fillId="43" borderId="77" xfId="49" applyNumberFormat="1" applyFont="1" applyFill="1" applyBorder="1" applyAlignment="1">
      <alignment horizontal="center" vertical="center" wrapText="1"/>
    </xf>
    <xf numFmtId="3" fontId="41" fillId="43" borderId="78" xfId="49" applyNumberFormat="1" applyFont="1" applyFill="1" applyBorder="1" applyAlignment="1">
      <alignment horizontal="center" vertical="center" wrapText="1"/>
    </xf>
    <xf numFmtId="3" fontId="42" fillId="0" borderId="32" xfId="49" applyNumberFormat="1" applyFont="1" applyBorder="1" applyAlignment="1">
      <alignment horizontal="center" vertical="center" wrapText="1"/>
    </xf>
    <xf numFmtId="3" fontId="42" fillId="0" borderId="23" xfId="49" applyNumberFormat="1" applyFont="1" applyBorder="1" applyAlignment="1">
      <alignment horizontal="center" vertical="center" wrapText="1"/>
    </xf>
    <xf numFmtId="3" fontId="42" fillId="28" borderId="17" xfId="49" applyNumberFormat="1" applyFont="1" applyFill="1" applyBorder="1" applyAlignment="1" applyProtection="1">
      <alignment horizontal="center" vertical="center" wrapText="1"/>
      <protection locked="0"/>
    </xf>
    <xf numFmtId="3" fontId="40" fillId="0" borderId="65" xfId="31" applyNumberFormat="1" applyFont="1" applyBorder="1" applyAlignment="1">
      <alignment horizontal="center" vertical="center" wrapText="1"/>
    </xf>
    <xf numFmtId="3" fontId="40" fillId="0" borderId="60" xfId="31" applyNumberFormat="1" applyFont="1" applyBorder="1" applyAlignment="1">
      <alignment horizontal="center" vertical="center" wrapText="1"/>
    </xf>
    <xf numFmtId="3" fontId="40" fillId="0" borderId="2" xfId="49" applyNumberFormat="1" applyFont="1" applyBorder="1" applyAlignment="1">
      <alignment horizontal="center" vertical="center" wrapText="1"/>
    </xf>
    <xf numFmtId="3" fontId="40" fillId="0" borderId="65" xfId="49" applyNumberFormat="1" applyFont="1" applyBorder="1" applyAlignment="1">
      <alignment horizontal="center" vertical="center" wrapText="1"/>
    </xf>
    <xf numFmtId="3" fontId="40" fillId="0" borderId="60" xfId="49" applyNumberFormat="1" applyFont="1" applyBorder="1" applyAlignment="1">
      <alignment horizontal="center" vertical="center" wrapText="1"/>
    </xf>
    <xf numFmtId="3" fontId="41" fillId="26" borderId="129" xfId="32" applyNumberFormat="1" applyFont="1" applyFill="1" applyBorder="1" applyAlignment="1">
      <alignment horizontal="center" vertical="center"/>
    </xf>
    <xf numFmtId="3" fontId="42" fillId="0" borderId="15" xfId="49" applyNumberFormat="1" applyFont="1" applyBorder="1" applyAlignment="1">
      <alignment horizontal="center" vertical="center" wrapText="1"/>
    </xf>
    <xf numFmtId="3" fontId="42" fillId="28" borderId="15" xfId="49" applyNumberFormat="1" applyFont="1" applyFill="1" applyBorder="1" applyAlignment="1" applyProtection="1">
      <alignment horizontal="center" vertical="center" wrapText="1"/>
      <protection locked="0"/>
    </xf>
    <xf numFmtId="3" fontId="41" fillId="33" borderId="53" xfId="49" applyNumberFormat="1" applyFont="1" applyFill="1" applyBorder="1" applyAlignment="1">
      <alignment horizontal="center" vertical="center" wrapText="1"/>
    </xf>
    <xf numFmtId="3" fontId="41" fillId="26" borderId="82" xfId="32" applyNumberFormat="1" applyFont="1" applyFill="1" applyBorder="1" applyAlignment="1">
      <alignment horizontal="center" vertical="center"/>
    </xf>
    <xf numFmtId="3" fontId="41" fillId="43" borderId="76" xfId="49" applyNumberFormat="1" applyFont="1" applyFill="1" applyBorder="1" applyAlignment="1">
      <alignment horizontal="center" vertical="center" wrapText="1"/>
    </xf>
    <xf numFmtId="3" fontId="41" fillId="43" borderId="53" xfId="49" applyNumberFormat="1" applyFont="1" applyFill="1" applyBorder="1" applyAlignment="1">
      <alignment horizontal="center" vertical="center" wrapText="1"/>
    </xf>
    <xf numFmtId="3" fontId="41" fillId="43" borderId="57" xfId="49" applyNumberFormat="1" applyFont="1" applyFill="1" applyBorder="1" applyAlignment="1">
      <alignment horizontal="center" vertical="center" wrapText="1"/>
    </xf>
    <xf numFmtId="3" fontId="40" fillId="24" borderId="3" xfId="49" applyNumberFormat="1" applyFont="1" applyFill="1" applyBorder="1" applyAlignment="1">
      <alignment horizontal="center" vertical="center" wrapText="1"/>
    </xf>
    <xf numFmtId="3" fontId="41" fillId="0" borderId="15" xfId="49" applyNumberFormat="1" applyFont="1" applyBorder="1" applyAlignment="1">
      <alignment horizontal="center" vertical="center" wrapText="1"/>
    </xf>
    <xf numFmtId="3" fontId="40" fillId="0" borderId="10" xfId="31" applyNumberFormat="1" applyFont="1" applyBorder="1" applyAlignment="1">
      <alignment horizontal="center" vertical="center" wrapText="1"/>
    </xf>
    <xf numFmtId="3" fontId="40" fillId="0" borderId="10" xfId="49" applyNumberFormat="1" applyFont="1" applyBorder="1" applyAlignment="1">
      <alignment horizontal="center" vertical="center" wrapText="1"/>
    </xf>
    <xf numFmtId="3" fontId="41" fillId="33" borderId="6" xfId="49" applyNumberFormat="1" applyFont="1" applyFill="1" applyBorder="1" applyAlignment="1">
      <alignment horizontal="center" vertical="center" wrapText="1"/>
    </xf>
    <xf numFmtId="3" fontId="12" fillId="0" borderId="17" xfId="32" applyNumberFormat="1" applyFont="1" applyBorder="1" applyAlignment="1">
      <alignment horizontal="center" vertical="center"/>
    </xf>
    <xf numFmtId="3" fontId="12" fillId="0" borderId="32" xfId="32" applyNumberFormat="1" applyFont="1" applyBorder="1" applyAlignment="1">
      <alignment horizontal="center" vertical="center"/>
    </xf>
    <xf numFmtId="3" fontId="12" fillId="0" borderId="7" xfId="32" applyNumberFormat="1" applyFont="1" applyBorder="1" applyAlignment="1">
      <alignment horizontal="center" vertical="center"/>
    </xf>
    <xf numFmtId="3" fontId="12" fillId="0" borderId="62" xfId="32" applyNumberFormat="1" applyFont="1" applyBorder="1" applyAlignment="1">
      <alignment horizontal="center" vertical="center"/>
    </xf>
    <xf numFmtId="3" fontId="12" fillId="0" borderId="53" xfId="32" applyNumberFormat="1" applyFont="1" applyBorder="1" applyAlignment="1">
      <alignment horizontal="center" vertical="center"/>
    </xf>
    <xf numFmtId="3" fontId="41" fillId="26" borderId="15" xfId="49" applyNumberFormat="1" applyFont="1" applyFill="1" applyBorder="1" applyAlignment="1">
      <alignment horizontal="center" vertical="center" wrapText="1"/>
    </xf>
    <xf numFmtId="3" fontId="42" fillId="0" borderId="17" xfId="49" applyNumberFormat="1" applyFont="1" applyBorder="1" applyAlignment="1">
      <alignment horizontal="center" vertical="center" wrapText="1"/>
    </xf>
    <xf numFmtId="3" fontId="42" fillId="0" borderId="7" xfId="49" applyNumberFormat="1" applyFont="1" applyBorder="1" applyAlignment="1">
      <alignment horizontal="center" vertical="center" wrapText="1"/>
    </xf>
    <xf numFmtId="3" fontId="42" fillId="28" borderId="14" xfId="49" applyNumberFormat="1" applyFont="1" applyFill="1" applyBorder="1" applyAlignment="1" applyProtection="1">
      <alignment horizontal="center" vertical="center" wrapText="1"/>
      <protection locked="0"/>
    </xf>
    <xf numFmtId="3" fontId="41" fillId="33" borderId="50" xfId="49" applyNumberFormat="1" applyFont="1" applyFill="1" applyBorder="1" applyAlignment="1">
      <alignment horizontal="center" vertical="center" wrapText="1"/>
    </xf>
    <xf numFmtId="3" fontId="41" fillId="28" borderId="72" xfId="49" applyNumberFormat="1" applyFont="1" applyFill="1" applyBorder="1" applyAlignment="1" applyProtection="1">
      <alignment horizontal="center" vertical="center" wrapText="1"/>
      <protection locked="0"/>
    </xf>
    <xf numFmtId="3" fontId="41" fillId="28" borderId="73" xfId="49" applyNumberFormat="1" applyFont="1" applyFill="1" applyBorder="1" applyAlignment="1" applyProtection="1">
      <alignment horizontal="center" vertical="center" wrapText="1"/>
      <protection locked="0"/>
    </xf>
    <xf numFmtId="3" fontId="41" fillId="28" borderId="76" xfId="49" applyNumberFormat="1" applyFont="1" applyFill="1" applyBorder="1" applyAlignment="1" applyProtection="1">
      <alignment horizontal="center" vertical="center" wrapText="1"/>
      <protection locked="0"/>
    </xf>
    <xf numFmtId="3" fontId="41" fillId="28" borderId="32" xfId="49" applyNumberFormat="1" applyFont="1" applyFill="1" applyBorder="1" applyAlignment="1" applyProtection="1">
      <alignment horizontal="center" vertical="center" wrapText="1"/>
      <protection locked="0"/>
    </xf>
    <xf numFmtId="3" fontId="41" fillId="28" borderId="7" xfId="49" applyNumberFormat="1" applyFont="1" applyFill="1" applyBorder="1" applyAlignment="1" applyProtection="1">
      <alignment horizontal="center" vertical="center" wrapText="1"/>
      <protection locked="0"/>
    </xf>
    <xf numFmtId="3" fontId="41" fillId="28" borderId="53" xfId="49" applyNumberFormat="1" applyFont="1" applyFill="1" applyBorder="1" applyAlignment="1" applyProtection="1">
      <alignment horizontal="center" vertical="center" wrapText="1"/>
      <protection locked="0"/>
    </xf>
    <xf numFmtId="3" fontId="41" fillId="28" borderId="21" xfId="49" applyNumberFormat="1" applyFont="1" applyFill="1" applyBorder="1" applyAlignment="1" applyProtection="1">
      <alignment horizontal="center" vertical="center" wrapText="1"/>
      <protection locked="0"/>
    </xf>
    <xf numFmtId="3" fontId="41" fillId="28" borderId="79" xfId="49" applyNumberFormat="1" applyFont="1" applyFill="1" applyBorder="1" applyAlignment="1" applyProtection="1">
      <alignment horizontal="center" vertical="center" wrapText="1"/>
      <protection locked="0"/>
    </xf>
    <xf numFmtId="3" fontId="41" fillId="28" borderId="77" xfId="49" applyNumberFormat="1" applyFont="1" applyFill="1" applyBorder="1" applyAlignment="1" applyProtection="1">
      <alignment horizontal="center" vertical="center" wrapText="1"/>
      <protection locked="0"/>
    </xf>
    <xf numFmtId="3" fontId="41" fillId="28" borderId="57" xfId="49" applyNumberFormat="1" applyFont="1" applyFill="1" applyBorder="1" applyAlignment="1" applyProtection="1">
      <alignment horizontal="center" vertical="center" wrapText="1"/>
      <protection locked="0"/>
    </xf>
    <xf numFmtId="3" fontId="41" fillId="0" borderId="51" xfId="49" applyNumberFormat="1" applyFont="1" applyBorder="1" applyAlignment="1">
      <alignment horizontal="center" vertical="center" wrapText="1"/>
    </xf>
    <xf numFmtId="3" fontId="41" fillId="0" borderId="14" xfId="49" applyNumberFormat="1" applyFont="1" applyBorder="1" applyAlignment="1">
      <alignment horizontal="center" vertical="center" wrapText="1"/>
    </xf>
    <xf numFmtId="3" fontId="41" fillId="0" borderId="21" xfId="49" applyNumberFormat="1" applyFont="1" applyBorder="1" applyAlignment="1">
      <alignment horizontal="center" vertical="center" wrapText="1"/>
    </xf>
    <xf numFmtId="168" fontId="53" fillId="27" borderId="0" xfId="49" applyNumberFormat="1" applyFont="1" applyFill="1" applyAlignment="1">
      <alignment horizontal="right" vertical="center"/>
    </xf>
    <xf numFmtId="168" fontId="13" fillId="27" borderId="0" xfId="49" applyNumberFormat="1" applyFont="1" applyFill="1" applyAlignment="1">
      <alignment horizontal="right" vertical="center"/>
    </xf>
    <xf numFmtId="175" fontId="20" fillId="27" borderId="0" xfId="49" applyNumberFormat="1" applyFont="1" applyFill="1" applyAlignment="1">
      <alignment vertical="center"/>
    </xf>
    <xf numFmtId="175" fontId="34" fillId="27" borderId="0" xfId="49" applyNumberFormat="1" applyFont="1" applyFill="1" applyAlignment="1">
      <alignment vertical="center"/>
    </xf>
    <xf numFmtId="175" fontId="20" fillId="27" borderId="0" xfId="49" applyNumberFormat="1" applyFont="1" applyFill="1" applyAlignment="1">
      <alignment horizontal="center" vertical="center"/>
    </xf>
    <xf numFmtId="175" fontId="34" fillId="27" borderId="0" xfId="49" applyNumberFormat="1" applyFont="1" applyFill="1" applyAlignment="1">
      <alignment horizontal="center" vertical="center"/>
    </xf>
    <xf numFmtId="3" fontId="36" fillId="0" borderId="53" xfId="32" applyNumberFormat="1" applyFont="1" applyBorder="1" applyAlignment="1">
      <alignment horizontal="left" vertical="center"/>
    </xf>
    <xf numFmtId="3" fontId="36" fillId="0" borderId="17" xfId="32" applyNumberFormat="1" applyFont="1" applyBorder="1" applyAlignment="1">
      <alignment horizontal="center" vertical="center"/>
    </xf>
    <xf numFmtId="3" fontId="41" fillId="0" borderId="53" xfId="32" applyNumberFormat="1" applyFont="1" applyBorder="1" applyAlignment="1">
      <alignment horizontal="left" vertical="center"/>
    </xf>
    <xf numFmtId="3" fontId="41" fillId="0" borderId="17" xfId="32" applyNumberFormat="1" applyFont="1" applyBorder="1" applyAlignment="1">
      <alignment horizontal="center" vertical="center"/>
    </xf>
    <xf numFmtId="3" fontId="41" fillId="0" borderId="39" xfId="32" applyNumberFormat="1" applyFont="1" applyBorder="1" applyAlignment="1">
      <alignment horizontal="center" vertical="center"/>
    </xf>
    <xf numFmtId="9" fontId="41" fillId="26" borderId="129" xfId="1" applyFont="1" applyFill="1" applyBorder="1" applyAlignment="1" applyProtection="1">
      <alignment horizontal="center" vertical="center"/>
    </xf>
    <xf numFmtId="3" fontId="41" fillId="26" borderId="81" xfId="1" applyNumberFormat="1" applyFont="1" applyFill="1" applyBorder="1" applyAlignment="1" applyProtection="1">
      <alignment horizontal="center" vertical="center"/>
    </xf>
    <xf numFmtId="3" fontId="41" fillId="26" borderId="17" xfId="1" applyNumberFormat="1" applyFont="1" applyFill="1" applyBorder="1" applyAlignment="1" applyProtection="1">
      <alignment horizontal="center" vertical="center"/>
    </xf>
    <xf numFmtId="9" fontId="41" fillId="26" borderId="128" xfId="1" applyFont="1" applyFill="1" applyBorder="1" applyAlignment="1" applyProtection="1">
      <alignment horizontal="center" vertical="center"/>
    </xf>
    <xf numFmtId="9" fontId="41" fillId="26" borderId="82" xfId="1" applyFont="1" applyFill="1" applyBorder="1" applyAlignment="1" applyProtection="1">
      <alignment horizontal="center" vertical="center"/>
    </xf>
    <xf numFmtId="3" fontId="41" fillId="0" borderId="81" xfId="1" applyNumberFormat="1" applyFont="1" applyFill="1" applyBorder="1" applyAlignment="1" applyProtection="1">
      <alignment horizontal="center" vertical="center"/>
    </xf>
    <xf numFmtId="3" fontId="41" fillId="0" borderId="128" xfId="32" applyNumberFormat="1" applyFont="1" applyBorder="1" applyAlignment="1">
      <alignment horizontal="center" vertical="center"/>
    </xf>
    <xf numFmtId="3" fontId="41" fillId="0" borderId="113" xfId="32" applyNumberFormat="1" applyFont="1" applyBorder="1" applyAlignment="1">
      <alignment horizontal="center" vertical="center"/>
    </xf>
    <xf numFmtId="9" fontId="41" fillId="0" borderId="128" xfId="1" applyFont="1" applyFill="1" applyBorder="1" applyAlignment="1" applyProtection="1">
      <alignment horizontal="center" vertical="center"/>
    </xf>
    <xf numFmtId="9" fontId="41" fillId="0" borderId="82" xfId="1" applyFont="1" applyFill="1" applyBorder="1" applyAlignment="1" applyProtection="1">
      <alignment horizontal="center" vertical="center"/>
    </xf>
    <xf numFmtId="3" fontId="41" fillId="0" borderId="17" xfId="1" applyNumberFormat="1" applyFont="1" applyFill="1" applyBorder="1" applyAlignment="1" applyProtection="1">
      <alignment horizontal="center" vertical="center"/>
    </xf>
    <xf numFmtId="175" fontId="19" fillId="27" borderId="0" xfId="49" applyNumberFormat="1" applyFont="1" applyFill="1" applyAlignment="1">
      <alignment horizontal="center" vertical="center"/>
    </xf>
    <xf numFmtId="14" fontId="19" fillId="27" borderId="0" xfId="49" applyNumberFormat="1" applyFont="1" applyFill="1" applyAlignment="1">
      <alignment vertical="center"/>
    </xf>
    <xf numFmtId="175" fontId="21" fillId="27" borderId="0" xfId="49" applyNumberFormat="1" applyFont="1" applyFill="1" applyAlignment="1">
      <alignment horizontal="right" vertical="center"/>
    </xf>
    <xf numFmtId="0" fontId="65" fillId="27" borderId="0" xfId="0" applyFont="1" applyFill="1" applyAlignment="1">
      <alignment horizontal="right" vertical="center"/>
    </xf>
    <xf numFmtId="0" fontId="57" fillId="27" borderId="0" xfId="0" applyFont="1" applyFill="1" applyAlignment="1">
      <alignment horizontal="left" vertical="center"/>
    </xf>
    <xf numFmtId="175" fontId="12" fillId="27" borderId="0" xfId="49" applyNumberFormat="1" applyFont="1" applyFill="1" applyAlignment="1">
      <alignment vertical="center"/>
    </xf>
    <xf numFmtId="0" fontId="84" fillId="27" borderId="0" xfId="0" applyFont="1" applyFill="1" applyAlignment="1">
      <alignment horizontal="left" vertical="center"/>
    </xf>
    <xf numFmtId="0" fontId="19" fillId="27" borderId="0" xfId="49" applyFont="1" applyFill="1" applyAlignment="1">
      <alignment vertical="center"/>
    </xf>
    <xf numFmtId="0" fontId="12" fillId="26" borderId="0" xfId="0" applyFont="1" applyFill="1"/>
    <xf numFmtId="0" fontId="12" fillId="0" borderId="0" xfId="0" applyFont="1"/>
    <xf numFmtId="0" fontId="15" fillId="26" borderId="0" xfId="49" applyFont="1" applyFill="1"/>
    <xf numFmtId="0" fontId="38" fillId="26" borderId="23" xfId="0" applyFont="1" applyFill="1" applyBorder="1" applyAlignment="1">
      <alignment horizontal="left" vertical="center" wrapText="1"/>
    </xf>
    <xf numFmtId="0" fontId="38" fillId="26" borderId="23" xfId="0" applyFont="1" applyFill="1" applyBorder="1" applyAlignment="1">
      <alignment horizontal="left" vertical="center"/>
    </xf>
    <xf numFmtId="0" fontId="38" fillId="26" borderId="56" xfId="0" applyFont="1" applyFill="1" applyBorder="1" applyAlignment="1">
      <alignment horizontal="center" vertical="center" wrapText="1"/>
    </xf>
    <xf numFmtId="0" fontId="38" fillId="26" borderId="28" xfId="0" applyFont="1" applyFill="1" applyBorder="1" applyAlignment="1">
      <alignment horizontal="left" vertical="center" wrapText="1"/>
    </xf>
    <xf numFmtId="3" fontId="12" fillId="28" borderId="75" xfId="0" applyNumberFormat="1" applyFont="1" applyFill="1" applyBorder="1" applyAlignment="1" applyProtection="1">
      <alignment horizontal="center" vertical="center"/>
      <protection locked="0"/>
    </xf>
    <xf numFmtId="3" fontId="12" fillId="28" borderId="73" xfId="0" applyNumberFormat="1" applyFont="1" applyFill="1" applyBorder="1" applyAlignment="1" applyProtection="1">
      <alignment horizontal="center" vertical="center"/>
      <protection locked="0"/>
    </xf>
    <xf numFmtId="3" fontId="12" fillId="28" borderId="52" xfId="0" applyNumberFormat="1" applyFont="1" applyFill="1" applyBorder="1" applyAlignment="1" applyProtection="1">
      <alignment horizontal="center" vertical="center"/>
      <protection locked="0"/>
    </xf>
    <xf numFmtId="3" fontId="12" fillId="28" borderId="7" xfId="0" applyNumberFormat="1" applyFont="1" applyFill="1" applyBorder="1" applyAlignment="1" applyProtection="1">
      <alignment horizontal="center" vertical="center"/>
      <protection locked="0"/>
    </xf>
    <xf numFmtId="3" fontId="12" fillId="28" borderId="54" xfId="0" applyNumberFormat="1" applyFont="1" applyFill="1" applyBorder="1" applyAlignment="1" applyProtection="1">
      <alignment horizontal="center" vertical="center"/>
      <protection locked="0"/>
    </xf>
    <xf numFmtId="3" fontId="12" fillId="28" borderId="63" xfId="0" applyNumberFormat="1" applyFont="1" applyFill="1" applyBorder="1" applyAlignment="1" applyProtection="1">
      <alignment horizontal="center" vertical="center"/>
      <protection locked="0"/>
    </xf>
    <xf numFmtId="3" fontId="12" fillId="28" borderId="56" xfId="0" applyNumberFormat="1" applyFont="1" applyFill="1" applyBorder="1" applyAlignment="1" applyProtection="1">
      <alignment horizontal="center" vertical="center"/>
      <protection locked="0"/>
    </xf>
    <xf numFmtId="3" fontId="12" fillId="28" borderId="77" xfId="0" applyNumberFormat="1" applyFont="1" applyFill="1" applyBorder="1" applyAlignment="1" applyProtection="1">
      <alignment horizontal="center" vertical="center"/>
      <protection locked="0"/>
    </xf>
    <xf numFmtId="3" fontId="21" fillId="0" borderId="49" xfId="0" applyNumberFormat="1" applyFont="1" applyBorder="1" applyAlignment="1">
      <alignment horizontal="center" vertical="center"/>
    </xf>
    <xf numFmtId="3" fontId="21" fillId="0" borderId="31" xfId="0" applyNumberFormat="1" applyFont="1" applyBorder="1" applyAlignment="1">
      <alignment horizontal="center" vertical="center"/>
    </xf>
    <xf numFmtId="3" fontId="21" fillId="40" borderId="8" xfId="83" applyNumberFormat="1" applyFont="1" applyFill="1" applyBorder="1" applyAlignment="1">
      <alignment horizontal="center" vertical="center" wrapText="1"/>
    </xf>
    <xf numFmtId="0" fontId="13" fillId="0" borderId="0" xfId="0" applyFont="1" applyAlignment="1">
      <alignment horizontal="right" vertical="center"/>
    </xf>
    <xf numFmtId="0" fontId="15" fillId="0" borderId="0" xfId="0" applyFont="1" applyAlignment="1">
      <alignment vertical="center" wrapText="1"/>
    </xf>
    <xf numFmtId="0" fontId="20" fillId="0" borderId="0" xfId="0" applyFont="1" applyAlignment="1">
      <alignment vertical="center"/>
    </xf>
    <xf numFmtId="0" fontId="34" fillId="0" borderId="20" xfId="0" applyFont="1" applyBorder="1" applyAlignment="1">
      <alignment vertical="center"/>
    </xf>
    <xf numFmtId="0" fontId="0" fillId="0" borderId="20" xfId="0" applyBorder="1" applyAlignment="1">
      <alignment vertical="center"/>
    </xf>
    <xf numFmtId="0" fontId="40" fillId="0" borderId="0" xfId="0" applyFont="1" applyAlignment="1">
      <alignment horizontal="center" vertical="center"/>
    </xf>
    <xf numFmtId="0" fontId="40" fillId="37" borderId="35" xfId="0" applyFont="1" applyFill="1" applyBorder="1" applyAlignment="1">
      <alignment horizontal="center" vertical="center"/>
    </xf>
    <xf numFmtId="0" fontId="41" fillId="0" borderId="29" xfId="0" applyFont="1" applyBorder="1" applyAlignment="1">
      <alignment vertical="center"/>
    </xf>
    <xf numFmtId="0" fontId="41" fillId="0" borderId="29" xfId="0" applyFont="1" applyBorder="1" applyAlignment="1">
      <alignment horizontal="center" vertical="center"/>
    </xf>
    <xf numFmtId="0" fontId="41" fillId="0" borderId="24" xfId="0" applyFont="1" applyBorder="1" applyAlignment="1">
      <alignment vertical="center"/>
    </xf>
    <xf numFmtId="0" fontId="41" fillId="0" borderId="24" xfId="0" applyFont="1" applyBorder="1" applyAlignment="1">
      <alignment horizontal="center" vertical="center"/>
    </xf>
    <xf numFmtId="0" fontId="40" fillId="0" borderId="25" xfId="0" applyFont="1" applyBorder="1" applyAlignment="1">
      <alignment horizontal="right" vertical="center"/>
    </xf>
    <xf numFmtId="0" fontId="40" fillId="0" borderId="25" xfId="0" applyFont="1" applyBorder="1" applyAlignment="1">
      <alignment horizontal="center" vertical="center"/>
    </xf>
    <xf numFmtId="0" fontId="41" fillId="0" borderId="24" xfId="0" applyFont="1" applyBorder="1" applyAlignment="1">
      <alignment vertical="center" wrapText="1"/>
    </xf>
    <xf numFmtId="0" fontId="41" fillId="0" borderId="36" xfId="0" applyFont="1" applyBorder="1" applyAlignment="1">
      <alignment vertical="center" wrapText="1"/>
    </xf>
    <xf numFmtId="0" fontId="41" fillId="0" borderId="36" xfId="0" applyFont="1" applyBorder="1" applyAlignment="1">
      <alignment horizontal="center" vertical="center"/>
    </xf>
    <xf numFmtId="3" fontId="41" fillId="29" borderId="17" xfId="49" applyNumberFormat="1" applyFont="1" applyFill="1" applyBorder="1" applyAlignment="1">
      <alignment horizontal="center" vertical="center"/>
    </xf>
    <xf numFmtId="0" fontId="41" fillId="0" borderId="30" xfId="0" applyFont="1" applyBorder="1" applyAlignment="1">
      <alignment horizontal="center" vertical="center"/>
    </xf>
    <xf numFmtId="0" fontId="40" fillId="21" borderId="1" xfId="0" applyFont="1" applyFill="1" applyBorder="1" applyAlignment="1">
      <alignment vertical="center" wrapText="1"/>
    </xf>
    <xf numFmtId="0" fontId="40" fillId="24" borderId="30" xfId="0" applyFont="1" applyFill="1" applyBorder="1" applyAlignment="1">
      <alignment horizontal="center" vertical="center"/>
    </xf>
    <xf numFmtId="0" fontId="0" fillId="0" borderId="0" xfId="0" applyAlignment="1">
      <alignment horizontal="center" vertical="center"/>
    </xf>
    <xf numFmtId="0" fontId="40" fillId="24" borderId="1" xfId="0" applyFont="1" applyFill="1" applyBorder="1" applyAlignment="1">
      <alignment horizontal="center" vertical="center"/>
    </xf>
    <xf numFmtId="14" fontId="40" fillId="0" borderId="0" xfId="0" applyNumberFormat="1" applyFont="1" applyAlignment="1">
      <alignment horizontal="left" vertical="center"/>
    </xf>
    <xf numFmtId="0" fontId="43" fillId="0" borderId="0" xfId="31" applyFont="1" applyAlignment="1">
      <alignment vertical="center"/>
    </xf>
    <xf numFmtId="0" fontId="21" fillId="27" borderId="0" xfId="32" applyFont="1" applyFill="1" applyAlignment="1">
      <alignment horizontal="center"/>
    </xf>
    <xf numFmtId="0" fontId="43" fillId="0" borderId="0" xfId="31" applyFont="1" applyAlignment="1">
      <alignment horizontal="right"/>
    </xf>
    <xf numFmtId="0" fontId="40" fillId="37" borderId="1" xfId="32" applyFont="1" applyFill="1" applyBorder="1" applyAlignment="1">
      <alignment vertical="center" wrapText="1"/>
    </xf>
    <xf numFmtId="0" fontId="40" fillId="30" borderId="25" xfId="32" applyFont="1" applyFill="1" applyBorder="1"/>
    <xf numFmtId="3" fontId="40" fillId="30" borderId="5" xfId="32" applyNumberFormat="1" applyFont="1" applyFill="1" applyBorder="1" applyAlignment="1">
      <alignment horizontal="center"/>
    </xf>
    <xf numFmtId="3" fontId="40" fillId="30" borderId="44" xfId="32" applyNumberFormat="1" applyFont="1" applyFill="1" applyBorder="1" applyAlignment="1">
      <alignment horizontal="center"/>
    </xf>
    <xf numFmtId="3" fontId="40" fillId="30" borderId="31" xfId="32" applyNumberFormat="1" applyFont="1" applyFill="1" applyBorder="1" applyAlignment="1">
      <alignment horizontal="center"/>
    </xf>
    <xf numFmtId="3" fontId="40" fillId="30" borderId="50" xfId="32" applyNumberFormat="1" applyFont="1" applyFill="1" applyBorder="1" applyAlignment="1">
      <alignment horizontal="center"/>
    </xf>
    <xf numFmtId="0" fontId="40" fillId="31" borderId="24" xfId="32" applyFont="1" applyFill="1" applyBorder="1"/>
    <xf numFmtId="3" fontId="40" fillId="31" borderId="17" xfId="32" applyNumberFormat="1" applyFont="1" applyFill="1" applyBorder="1" applyAlignment="1">
      <alignment horizontal="center"/>
    </xf>
    <xf numFmtId="3" fontId="40" fillId="31" borderId="32" xfId="32" applyNumberFormat="1" applyFont="1" applyFill="1" applyBorder="1" applyAlignment="1">
      <alignment horizontal="center"/>
    </xf>
    <xf numFmtId="3" fontId="40" fillId="31" borderId="7" xfId="32" applyNumberFormat="1" applyFont="1" applyFill="1" applyBorder="1" applyAlignment="1">
      <alignment horizontal="center"/>
    </xf>
    <xf numFmtId="3" fontId="40" fillId="31" borderId="53" xfId="32" applyNumberFormat="1" applyFont="1" applyFill="1" applyBorder="1" applyAlignment="1">
      <alignment horizontal="center"/>
    </xf>
    <xf numFmtId="0" fontId="41" fillId="27" borderId="24" xfId="47" applyFont="1" applyFill="1" applyBorder="1" applyAlignment="1">
      <alignment horizontal="left" vertical="center" wrapText="1"/>
    </xf>
    <xf numFmtId="3" fontId="41" fillId="27" borderId="32" xfId="32" applyNumberFormat="1" applyFont="1" applyFill="1" applyBorder="1" applyAlignment="1">
      <alignment horizontal="center"/>
    </xf>
    <xf numFmtId="3" fontId="41" fillId="27" borderId="7" xfId="32" applyNumberFormat="1" applyFont="1" applyFill="1" applyBorder="1" applyAlignment="1">
      <alignment horizontal="center"/>
    </xf>
    <xf numFmtId="3" fontId="41" fillId="27" borderId="53" xfId="32" applyNumberFormat="1" applyFont="1" applyFill="1" applyBorder="1" applyAlignment="1">
      <alignment horizontal="center"/>
    </xf>
    <xf numFmtId="0" fontId="41" fillId="20" borderId="24" xfId="47" applyFont="1" applyFill="1" applyBorder="1" applyAlignment="1">
      <alignment horizontal="left" vertical="center" wrapText="1"/>
    </xf>
    <xf numFmtId="0" fontId="107" fillId="27" borderId="24" xfId="47" applyFont="1" applyFill="1" applyBorder="1" applyAlignment="1">
      <alignment horizontal="left" vertical="center" wrapText="1"/>
    </xf>
    <xf numFmtId="3" fontId="41" fillId="26" borderId="32" xfId="32" applyNumberFormat="1" applyFont="1" applyFill="1" applyBorder="1" applyAlignment="1">
      <alignment horizontal="center"/>
    </xf>
    <xf numFmtId="3" fontId="41" fillId="26" borderId="7" xfId="32" applyNumberFormat="1" applyFont="1" applyFill="1" applyBorder="1" applyAlignment="1">
      <alignment horizontal="center"/>
    </xf>
    <xf numFmtId="3" fontId="41" fillId="26" borderId="53" xfId="32" applyNumberFormat="1" applyFont="1" applyFill="1" applyBorder="1" applyAlignment="1">
      <alignment horizontal="center"/>
    </xf>
    <xf numFmtId="0" fontId="41" fillId="26" borderId="24" xfId="47" applyFont="1" applyFill="1" applyBorder="1" applyAlignment="1">
      <alignment horizontal="left" vertical="center" wrapText="1"/>
    </xf>
    <xf numFmtId="0" fontId="40" fillId="31" borderId="24" xfId="47" applyFont="1" applyFill="1" applyBorder="1" applyAlignment="1">
      <alignment horizontal="left" vertical="center" wrapText="1"/>
    </xf>
    <xf numFmtId="0" fontId="40" fillId="30" borderId="24" xfId="32" applyFont="1" applyFill="1" applyBorder="1"/>
    <xf numFmtId="3" fontId="40" fillId="30" borderId="17" xfId="32" applyNumberFormat="1" applyFont="1" applyFill="1" applyBorder="1" applyAlignment="1">
      <alignment horizontal="center"/>
    </xf>
    <xf numFmtId="3" fontId="40" fillId="30" borderId="32" xfId="32" applyNumberFormat="1" applyFont="1" applyFill="1" applyBorder="1" applyAlignment="1">
      <alignment horizontal="center"/>
    </xf>
    <xf numFmtId="3" fontId="40" fillId="30" borderId="7" xfId="32" applyNumberFormat="1" applyFont="1" applyFill="1" applyBorder="1" applyAlignment="1">
      <alignment horizontal="center"/>
    </xf>
    <xf numFmtId="3" fontId="40" fillId="30" borderId="53" xfId="32" applyNumberFormat="1" applyFont="1" applyFill="1" applyBorder="1" applyAlignment="1">
      <alignment horizontal="center"/>
    </xf>
    <xf numFmtId="3" fontId="41" fillId="27" borderId="17" xfId="32" applyNumberFormat="1" applyFont="1" applyFill="1" applyBorder="1" applyAlignment="1">
      <alignment horizontal="center"/>
    </xf>
    <xf numFmtId="0" fontId="41" fillId="26" borderId="24" xfId="32" applyFont="1" applyFill="1" applyBorder="1"/>
    <xf numFmtId="0" fontId="40" fillId="31" borderId="24" xfId="47" applyFont="1" applyFill="1" applyBorder="1" applyAlignment="1">
      <alignment horizontal="left" vertical="top" wrapText="1"/>
    </xf>
    <xf numFmtId="3" fontId="40" fillId="31" borderId="23" xfId="32" applyNumberFormat="1" applyFont="1" applyFill="1" applyBorder="1" applyAlignment="1">
      <alignment horizontal="center"/>
    </xf>
    <xf numFmtId="3" fontId="40" fillId="31" borderId="15" xfId="32" applyNumberFormat="1" applyFont="1" applyFill="1" applyBorder="1" applyAlignment="1">
      <alignment horizontal="center"/>
    </xf>
    <xf numFmtId="3" fontId="41" fillId="26" borderId="17" xfId="32" applyNumberFormat="1" applyFont="1" applyFill="1" applyBorder="1" applyAlignment="1">
      <alignment horizontal="center"/>
    </xf>
    <xf numFmtId="3" fontId="41" fillId="26" borderId="24" xfId="32" applyNumberFormat="1" applyFont="1" applyFill="1" applyBorder="1" applyAlignment="1">
      <alignment horizontal="center"/>
    </xf>
    <xf numFmtId="3" fontId="41" fillId="26" borderId="15" xfId="32" applyNumberFormat="1" applyFont="1" applyFill="1" applyBorder="1" applyAlignment="1">
      <alignment horizontal="center"/>
    </xf>
    <xf numFmtId="0" fontId="41" fillId="27" borderId="24" xfId="32" applyFont="1" applyFill="1" applyBorder="1"/>
    <xf numFmtId="0" fontId="40" fillId="34" borderId="24" xfId="47" applyFont="1" applyFill="1" applyBorder="1" applyAlignment="1">
      <alignment horizontal="left" vertical="center" wrapText="1"/>
    </xf>
    <xf numFmtId="3" fontId="40" fillId="34" borderId="17" xfId="32" applyNumberFormat="1" applyFont="1" applyFill="1" applyBorder="1" applyAlignment="1">
      <alignment horizontal="center"/>
    </xf>
    <xf numFmtId="3" fontId="40" fillId="34" borderId="32" xfId="32" applyNumberFormat="1" applyFont="1" applyFill="1" applyBorder="1" applyAlignment="1">
      <alignment horizontal="center"/>
    </xf>
    <xf numFmtId="3" fontId="40" fillId="34" borderId="7" xfId="32" applyNumberFormat="1" applyFont="1" applyFill="1" applyBorder="1" applyAlignment="1">
      <alignment horizontal="center"/>
    </xf>
    <xf numFmtId="3" fontId="40" fillId="34" borderId="53" xfId="32" applyNumberFormat="1" applyFont="1" applyFill="1" applyBorder="1" applyAlignment="1">
      <alignment horizontal="center"/>
    </xf>
    <xf numFmtId="0" fontId="40" fillId="27" borderId="24" xfId="32" applyFont="1" applyFill="1" applyBorder="1"/>
    <xf numFmtId="0" fontId="40" fillId="27" borderId="24" xfId="47" applyFont="1" applyFill="1" applyBorder="1" applyAlignment="1">
      <alignment horizontal="left" vertical="center" wrapText="1"/>
    </xf>
    <xf numFmtId="0" fontId="40" fillId="34" borderId="30" xfId="47" applyFont="1" applyFill="1" applyBorder="1" applyAlignment="1">
      <alignment horizontal="left" vertical="center" wrapText="1"/>
    </xf>
    <xf numFmtId="3" fontId="40" fillId="34" borderId="21" xfId="32" applyNumberFormat="1" applyFont="1" applyFill="1" applyBorder="1" applyAlignment="1">
      <alignment horizontal="center"/>
    </xf>
    <xf numFmtId="3" fontId="40" fillId="34" borderId="79" xfId="32" applyNumberFormat="1" applyFont="1" applyFill="1" applyBorder="1" applyAlignment="1">
      <alignment horizontal="center"/>
    </xf>
    <xf numFmtId="3" fontId="40" fillId="34" borderId="77" xfId="32" applyNumberFormat="1" applyFont="1" applyFill="1" applyBorder="1" applyAlignment="1">
      <alignment horizontal="center"/>
    </xf>
    <xf numFmtId="3" fontId="40" fillId="34" borderId="57" xfId="32" applyNumberFormat="1" applyFont="1" applyFill="1" applyBorder="1" applyAlignment="1">
      <alignment horizontal="center"/>
    </xf>
    <xf numFmtId="0" fontId="0" fillId="27" borderId="0" xfId="0" applyFill="1"/>
    <xf numFmtId="14" fontId="40" fillId="27" borderId="0" xfId="0" applyNumberFormat="1" applyFont="1" applyFill="1" applyAlignment="1">
      <alignment horizontal="right" vertical="center" indent="1"/>
    </xf>
    <xf numFmtId="14" fontId="45" fillId="27" borderId="0" xfId="0" applyNumberFormat="1" applyFont="1" applyFill="1" applyAlignment="1">
      <alignment horizontal="left" vertical="center" indent="1"/>
    </xf>
    <xf numFmtId="14" fontId="125" fillId="27" borderId="0" xfId="0" applyNumberFormat="1" applyFont="1" applyFill="1" applyAlignment="1">
      <alignment horizontal="left" vertical="center" indent="1"/>
    </xf>
    <xf numFmtId="0" fontId="43" fillId="27" borderId="0" xfId="31" applyFont="1" applyFill="1"/>
    <xf numFmtId="0" fontId="84" fillId="27" borderId="0" xfId="31" applyFont="1" applyFill="1" applyAlignment="1">
      <alignment horizontal="left"/>
    </xf>
    <xf numFmtId="3" fontId="41" fillId="0" borderId="23" xfId="32" applyNumberFormat="1" applyFont="1" applyBorder="1" applyAlignment="1">
      <alignment horizontal="center" vertical="center"/>
    </xf>
    <xf numFmtId="3" fontId="41" fillId="0" borderId="7" xfId="32" applyNumberFormat="1" applyFont="1" applyBorder="1" applyAlignment="1">
      <alignment horizontal="center" vertical="center"/>
    </xf>
    <xf numFmtId="3" fontId="41" fillId="0" borderId="15" xfId="32" applyNumberFormat="1" applyFont="1" applyBorder="1" applyAlignment="1">
      <alignment horizontal="center" vertical="center"/>
    </xf>
    <xf numFmtId="3" fontId="41" fillId="0" borderId="24" xfId="32" applyNumberFormat="1" applyFont="1" applyBorder="1" applyAlignment="1">
      <alignment horizontal="center" vertical="center"/>
    </xf>
    <xf numFmtId="0" fontId="13" fillId="0" borderId="0" xfId="0" applyFont="1" applyAlignment="1">
      <alignment vertical="center"/>
    </xf>
    <xf numFmtId="3" fontId="40" fillId="30" borderId="51" xfId="32" applyNumberFormat="1" applyFont="1" applyFill="1" applyBorder="1" applyAlignment="1">
      <alignment horizontal="center"/>
    </xf>
    <xf numFmtId="3" fontId="40" fillId="31" borderId="52" xfId="32" applyNumberFormat="1" applyFont="1" applyFill="1" applyBorder="1" applyAlignment="1">
      <alignment horizontal="center"/>
    </xf>
    <xf numFmtId="3" fontId="41" fillId="26" borderId="52" xfId="32" applyNumberFormat="1" applyFont="1" applyFill="1" applyBorder="1" applyAlignment="1">
      <alignment horizontal="center"/>
    </xf>
    <xf numFmtId="0" fontId="41" fillId="0" borderId="24" xfId="47" applyFont="1" applyBorder="1" applyAlignment="1">
      <alignment horizontal="left" vertical="center" wrapText="1"/>
    </xf>
    <xf numFmtId="3" fontId="40" fillId="31" borderId="39" xfId="32" applyNumberFormat="1" applyFont="1" applyFill="1" applyBorder="1" applyAlignment="1">
      <alignment horizontal="center"/>
    </xf>
    <xf numFmtId="3" fontId="41" fillId="0" borderId="32" xfId="32" applyNumberFormat="1" applyFont="1" applyBorder="1" applyAlignment="1">
      <alignment horizontal="center"/>
    </xf>
    <xf numFmtId="3" fontId="41" fillId="0" borderId="7" xfId="32" applyNumberFormat="1" applyFont="1" applyBorder="1" applyAlignment="1">
      <alignment horizontal="center"/>
    </xf>
    <xf numFmtId="3" fontId="41" fillId="0" borderId="53" xfId="32" applyNumberFormat="1" applyFont="1" applyBorder="1" applyAlignment="1">
      <alignment horizontal="center"/>
    </xf>
    <xf numFmtId="3" fontId="40" fillId="31" borderId="5" xfId="32" applyNumberFormat="1" applyFont="1" applyFill="1" applyBorder="1" applyAlignment="1">
      <alignment horizontal="center"/>
    </xf>
    <xf numFmtId="3" fontId="41" fillId="0" borderId="17" xfId="32" applyNumberFormat="1" applyFont="1" applyBorder="1" applyAlignment="1">
      <alignment horizontal="center"/>
    </xf>
    <xf numFmtId="0" fontId="41" fillId="0" borderId="24" xfId="32" applyFont="1" applyBorder="1"/>
    <xf numFmtId="0" fontId="40" fillId="30" borderId="24" xfId="47" applyFont="1" applyFill="1" applyBorder="1" applyAlignment="1">
      <alignment horizontal="left" vertical="center" wrapText="1"/>
    </xf>
    <xf numFmtId="0" fontId="40" fillId="35" borderId="24" xfId="47" applyFont="1" applyFill="1" applyBorder="1" applyAlignment="1">
      <alignment horizontal="left" vertical="center" wrapText="1"/>
    </xf>
    <xf numFmtId="3" fontId="40" fillId="35" borderId="7" xfId="32" applyNumberFormat="1" applyFont="1" applyFill="1" applyBorder="1" applyAlignment="1">
      <alignment horizontal="center"/>
    </xf>
    <xf numFmtId="3" fontId="40" fillId="35" borderId="53" xfId="32" applyNumberFormat="1" applyFont="1" applyFill="1" applyBorder="1" applyAlignment="1">
      <alignment horizontal="center"/>
    </xf>
    <xf numFmtId="0" fontId="40" fillId="35" borderId="30" xfId="47" applyFont="1" applyFill="1" applyBorder="1" applyAlignment="1">
      <alignment horizontal="left" vertical="center" wrapText="1"/>
    </xf>
    <xf numFmtId="3" fontId="40" fillId="35" borderId="21" xfId="32" applyNumberFormat="1" applyFont="1" applyFill="1" applyBorder="1" applyAlignment="1">
      <alignment horizontal="center"/>
    </xf>
    <xf numFmtId="3" fontId="40" fillId="35" borderId="79" xfId="32" applyNumberFormat="1" applyFont="1" applyFill="1" applyBorder="1" applyAlignment="1">
      <alignment horizontal="center"/>
    </xf>
    <xf numFmtId="3" fontId="40" fillId="35" borderId="77" xfId="32" applyNumberFormat="1" applyFont="1" applyFill="1" applyBorder="1" applyAlignment="1">
      <alignment horizontal="center"/>
    </xf>
    <xf numFmtId="3" fontId="40" fillId="35" borderId="57" xfId="32" applyNumberFormat="1" applyFont="1" applyFill="1" applyBorder="1" applyAlignment="1">
      <alignment horizontal="center"/>
    </xf>
    <xf numFmtId="0" fontId="12" fillId="27" borderId="0" xfId="56" applyFont="1" applyFill="1"/>
    <xf numFmtId="3" fontId="79" fillId="27" borderId="0" xfId="32" applyNumberFormat="1" applyFont="1" applyFill="1"/>
    <xf numFmtId="14" fontId="40" fillId="27" borderId="0" xfId="0" applyNumberFormat="1" applyFont="1" applyFill="1" applyAlignment="1">
      <alignment horizontal="left" vertical="center"/>
    </xf>
    <xf numFmtId="14" fontId="40" fillId="27" borderId="0" xfId="0" applyNumberFormat="1" applyFont="1" applyFill="1" applyAlignment="1">
      <alignment horizontal="right" vertical="center"/>
    </xf>
    <xf numFmtId="14" fontId="45" fillId="27" borderId="0" xfId="0" applyNumberFormat="1" applyFont="1" applyFill="1" applyAlignment="1">
      <alignment horizontal="left" vertical="center"/>
    </xf>
    <xf numFmtId="14" fontId="125" fillId="27" borderId="0" xfId="0" applyNumberFormat="1" applyFont="1" applyFill="1" applyAlignment="1">
      <alignment horizontal="left" vertical="center"/>
    </xf>
    <xf numFmtId="0" fontId="19" fillId="0" borderId="20" xfId="42" applyFont="1" applyBorder="1" applyAlignment="1">
      <alignment horizontal="center"/>
    </xf>
    <xf numFmtId="0" fontId="19" fillId="0" borderId="0" xfId="42" applyFont="1" applyAlignment="1">
      <alignment horizontal="center"/>
    </xf>
    <xf numFmtId="0" fontId="47" fillId="0" borderId="75" xfId="0" applyFont="1" applyBorder="1" applyAlignment="1">
      <alignment horizontal="center" vertical="center"/>
    </xf>
    <xf numFmtId="0" fontId="47" fillId="0" borderId="76" xfId="0" applyFont="1" applyBorder="1" applyAlignment="1">
      <alignment horizontal="left" vertical="center"/>
    </xf>
    <xf numFmtId="0" fontId="45" fillId="0" borderId="51" xfId="0" applyFont="1" applyBorder="1" applyAlignment="1">
      <alignment horizontal="center"/>
    </xf>
    <xf numFmtId="3" fontId="45" fillId="0" borderId="72" xfId="0" applyNumberFormat="1" applyFont="1" applyBorder="1" applyAlignment="1">
      <alignment horizontal="center" vertical="center"/>
    </xf>
    <xf numFmtId="3" fontId="45" fillId="0" borderId="73" xfId="0" applyNumberFormat="1" applyFont="1" applyBorder="1" applyAlignment="1">
      <alignment horizontal="center" vertical="center"/>
    </xf>
    <xf numFmtId="3" fontId="45" fillId="0" borderId="76" xfId="0" applyNumberFormat="1" applyFont="1" applyBorder="1" applyAlignment="1">
      <alignment horizontal="center" vertical="center"/>
    </xf>
    <xf numFmtId="0" fontId="47" fillId="0" borderId="52" xfId="0" applyFont="1" applyBorder="1" applyAlignment="1">
      <alignment horizontal="center" vertical="center"/>
    </xf>
    <xf numFmtId="0" fontId="47" fillId="0" borderId="53" xfId="0" applyFont="1" applyBorder="1" applyAlignment="1">
      <alignment horizontal="left" vertical="center"/>
    </xf>
    <xf numFmtId="0" fontId="45" fillId="0" borderId="17" xfId="0" applyFont="1" applyBorder="1" applyAlignment="1">
      <alignment horizontal="center"/>
    </xf>
    <xf numFmtId="3" fontId="45" fillId="0" borderId="32" xfId="0" applyNumberFormat="1" applyFont="1" applyBorder="1" applyAlignment="1">
      <alignment horizontal="center" vertical="center"/>
    </xf>
    <xf numFmtId="3" fontId="45" fillId="0" borderId="7" xfId="0" applyNumberFormat="1" applyFont="1" applyBorder="1" applyAlignment="1">
      <alignment horizontal="center" vertical="center"/>
    </xf>
    <xf numFmtId="3" fontId="45" fillId="0" borderId="53" xfId="0" applyNumberFormat="1" applyFont="1" applyBorder="1" applyAlignment="1">
      <alignment horizontal="center" vertical="center"/>
    </xf>
    <xf numFmtId="3" fontId="41" fillId="0" borderId="32" xfId="0" applyNumberFormat="1" applyFont="1" applyBorder="1" applyAlignment="1">
      <alignment horizontal="center" vertical="center"/>
    </xf>
    <xf numFmtId="0" fontId="45" fillId="20" borderId="21" xfId="0" applyFont="1" applyFill="1" applyBorder="1" applyAlignment="1">
      <alignment horizontal="center" vertical="center" wrapText="1"/>
    </xf>
    <xf numFmtId="3" fontId="45" fillId="0" borderId="31" xfId="0" applyNumberFormat="1" applyFont="1" applyBorder="1" applyAlignment="1">
      <alignment horizontal="center" vertical="center"/>
    </xf>
    <xf numFmtId="3" fontId="45" fillId="0" borderId="50" xfId="0" applyNumberFormat="1" applyFont="1" applyBorder="1" applyAlignment="1">
      <alignment horizontal="center" vertical="center"/>
    </xf>
    <xf numFmtId="0" fontId="45" fillId="20" borderId="17" xfId="0" applyFont="1" applyFill="1" applyBorder="1" applyAlignment="1">
      <alignment horizontal="center" vertical="center" wrapText="1"/>
    </xf>
    <xf numFmtId="3" fontId="41" fillId="0" borderId="32" xfId="0" applyNumberFormat="1" applyFont="1" applyBorder="1" applyAlignment="1">
      <alignment horizontal="center"/>
    </xf>
    <xf numFmtId="3" fontId="41" fillId="0" borderId="7" xfId="0" applyNumberFormat="1" applyFont="1" applyBorder="1" applyAlignment="1">
      <alignment horizontal="center"/>
    </xf>
    <xf numFmtId="3" fontId="41" fillId="0" borderId="53" xfId="0" applyNumberFormat="1" applyFont="1" applyBorder="1" applyAlignment="1">
      <alignment horizontal="center"/>
    </xf>
    <xf numFmtId="0" fontId="45" fillId="0" borderId="53" xfId="0" applyFont="1" applyBorder="1" applyAlignment="1">
      <alignment horizontal="left" vertical="center"/>
    </xf>
    <xf numFmtId="0" fontId="45" fillId="0" borderId="53" xfId="0" applyFont="1" applyBorder="1" applyAlignment="1">
      <alignment horizontal="left" vertical="center" wrapText="1"/>
    </xf>
    <xf numFmtId="3" fontId="41" fillId="0" borderId="69" xfId="0" applyNumberFormat="1" applyFont="1" applyBorder="1" applyAlignment="1">
      <alignment horizontal="center" vertical="center"/>
    </xf>
    <xf numFmtId="3" fontId="41" fillId="0" borderId="63" xfId="0" applyNumberFormat="1" applyFont="1" applyBorder="1" applyAlignment="1">
      <alignment horizontal="center" vertical="center"/>
    </xf>
    <xf numFmtId="3" fontId="41" fillId="0" borderId="55" xfId="0" applyNumberFormat="1" applyFont="1" applyBorder="1" applyAlignment="1">
      <alignment horizontal="center" vertical="center"/>
    </xf>
    <xf numFmtId="0" fontId="45" fillId="0" borderId="53" xfId="0" applyFont="1" applyBorder="1" applyAlignment="1">
      <alignment horizontal="right"/>
    </xf>
    <xf numFmtId="3" fontId="42" fillId="0" borderId="7" xfId="0" applyNumberFormat="1" applyFont="1" applyBorder="1" applyAlignment="1">
      <alignment horizontal="center"/>
    </xf>
    <xf numFmtId="3" fontId="42" fillId="0" borderId="53" xfId="0" applyNumberFormat="1" applyFont="1" applyBorder="1" applyAlignment="1">
      <alignment horizontal="center"/>
    </xf>
    <xf numFmtId="0" fontId="45" fillId="0" borderId="57" xfId="0" applyFont="1" applyBorder="1" applyAlignment="1">
      <alignment horizontal="right"/>
    </xf>
    <xf numFmtId="3" fontId="42" fillId="0" borderId="77" xfId="0" applyNumberFormat="1" applyFont="1" applyBorder="1" applyAlignment="1">
      <alignment horizontal="center"/>
    </xf>
    <xf numFmtId="3" fontId="42" fillId="0" borderId="57" xfId="0" applyNumberFormat="1" applyFont="1" applyBorder="1" applyAlignment="1">
      <alignment horizontal="center"/>
    </xf>
    <xf numFmtId="3" fontId="45" fillId="26" borderId="32" xfId="0" applyNumberFormat="1" applyFont="1" applyFill="1" applyBorder="1" applyAlignment="1">
      <alignment horizontal="center" vertical="center"/>
    </xf>
    <xf numFmtId="3" fontId="45" fillId="26" borderId="7" xfId="0" applyNumberFormat="1" applyFont="1" applyFill="1" applyBorder="1" applyAlignment="1">
      <alignment horizontal="center" vertical="center"/>
    </xf>
    <xf numFmtId="3" fontId="45" fillId="26" borderId="53" xfId="0" applyNumberFormat="1" applyFont="1" applyFill="1" applyBorder="1" applyAlignment="1">
      <alignment horizontal="center" vertical="center"/>
    </xf>
    <xf numFmtId="3" fontId="41" fillId="26" borderId="53" xfId="0" applyNumberFormat="1" applyFont="1" applyFill="1" applyBorder="1" applyAlignment="1">
      <alignment horizontal="center" vertical="center"/>
    </xf>
    <xf numFmtId="3" fontId="45" fillId="0" borderId="14" xfId="0" applyNumberFormat="1" applyFont="1" applyBorder="1" applyAlignment="1">
      <alignment horizontal="center" vertical="center"/>
    </xf>
    <xf numFmtId="0" fontId="47" fillId="0" borderId="57" xfId="0" applyFont="1" applyBorder="1" applyAlignment="1">
      <alignment horizontal="left" vertical="center"/>
    </xf>
    <xf numFmtId="3" fontId="41" fillId="26" borderId="77" xfId="0" applyNumberFormat="1" applyFont="1" applyFill="1" applyBorder="1" applyAlignment="1">
      <alignment horizontal="center" vertical="center"/>
    </xf>
    <xf numFmtId="3" fontId="41" fillId="26" borderId="57" xfId="0" applyNumberFormat="1" applyFont="1" applyFill="1" applyBorder="1" applyAlignment="1">
      <alignment horizontal="center" vertical="center"/>
    </xf>
    <xf numFmtId="0" fontId="59" fillId="0" borderId="0" xfId="0" applyFont="1" applyAlignment="1">
      <alignment horizontal="right"/>
    </xf>
    <xf numFmtId="0" fontId="57" fillId="20" borderId="0" xfId="0" applyFont="1" applyFill="1" applyAlignment="1">
      <alignment horizontal="center" vertical="center" wrapText="1"/>
    </xf>
    <xf numFmtId="3" fontId="12" fillId="0" borderId="0" xfId="0" applyNumberFormat="1" applyFont="1" applyAlignment="1">
      <alignment horizontal="center"/>
    </xf>
    <xf numFmtId="0" fontId="56" fillId="0" borderId="0" xfId="0" applyFont="1" applyAlignment="1">
      <alignment horizontal="center"/>
    </xf>
    <xf numFmtId="2" fontId="39" fillId="0" borderId="0" xfId="0" applyNumberFormat="1" applyFont="1" applyAlignment="1">
      <alignment horizontal="center"/>
    </xf>
    <xf numFmtId="1" fontId="39" fillId="0" borderId="0" xfId="0" applyNumberFormat="1" applyFont="1" applyAlignment="1">
      <alignment horizontal="center"/>
    </xf>
    <xf numFmtId="0" fontId="21" fillId="0" borderId="35" xfId="0" applyFont="1" applyBorder="1"/>
    <xf numFmtId="0" fontId="0" fillId="0" borderId="11" xfId="0" applyBorder="1" applyAlignment="1">
      <alignment horizontal="center"/>
    </xf>
    <xf numFmtId="0" fontId="12" fillId="0" borderId="11" xfId="0" applyFont="1" applyBorder="1" applyAlignment="1">
      <alignment horizontal="center"/>
    </xf>
    <xf numFmtId="0" fontId="12" fillId="0" borderId="41" xfId="0" applyFont="1" applyBorder="1" applyAlignment="1">
      <alignment horizontal="center"/>
    </xf>
    <xf numFmtId="0" fontId="12" fillId="0" borderId="74" xfId="0" applyFont="1" applyBorder="1" applyAlignment="1">
      <alignment horizontal="left" indent="1"/>
    </xf>
    <xf numFmtId="0" fontId="12" fillId="0" borderId="62" xfId="0" applyFont="1" applyBorder="1" applyAlignment="1">
      <alignment horizontal="left" indent="1"/>
    </xf>
    <xf numFmtId="0" fontId="12" fillId="0" borderId="78" xfId="0" applyFont="1" applyBorder="1" applyAlignment="1">
      <alignment horizontal="left" indent="1"/>
    </xf>
    <xf numFmtId="0" fontId="27" fillId="0" borderId="0" xfId="0" applyFont="1" applyAlignment="1">
      <alignment horizontal="center"/>
    </xf>
    <xf numFmtId="0" fontId="41" fillId="27" borderId="52" xfId="0" applyFont="1" applyFill="1" applyBorder="1" applyAlignment="1">
      <alignment horizontal="center" vertical="center" wrapText="1"/>
    </xf>
    <xf numFmtId="0" fontId="21" fillId="27" borderId="75" xfId="0" applyFont="1" applyFill="1" applyBorder="1" applyAlignment="1">
      <alignment horizontal="center" vertical="center"/>
    </xf>
    <xf numFmtId="0" fontId="12" fillId="27" borderId="52" xfId="0" applyFont="1" applyFill="1" applyBorder="1" applyAlignment="1">
      <alignment horizontal="center" vertical="center" wrapText="1"/>
    </xf>
    <xf numFmtId="0" fontId="40" fillId="39" borderId="35" xfId="0" applyFont="1" applyFill="1" applyBorder="1" applyAlignment="1">
      <alignment horizontal="center" vertical="center"/>
    </xf>
    <xf numFmtId="0" fontId="40" fillId="39" borderId="11" xfId="0" applyFont="1" applyFill="1" applyBorder="1" applyAlignment="1">
      <alignment vertical="center"/>
    </xf>
    <xf numFmtId="0" fontId="40" fillId="0" borderId="17" xfId="0" applyFont="1" applyBorder="1" applyAlignment="1">
      <alignment horizontal="center" vertical="center"/>
    </xf>
    <xf numFmtId="0" fontId="40" fillId="0" borderId="5" xfId="0" applyFont="1" applyBorder="1" applyAlignment="1">
      <alignment horizontal="center" vertical="center"/>
    </xf>
    <xf numFmtId="14" fontId="40" fillId="0" borderId="17" xfId="0" applyNumberFormat="1" applyFont="1" applyBorder="1" applyAlignment="1">
      <alignment horizontal="center" vertical="center"/>
    </xf>
    <xf numFmtId="177" fontId="40" fillId="2" borderId="7" xfId="0" applyNumberFormat="1" applyFont="1" applyFill="1" applyBorder="1" applyAlignment="1">
      <alignment horizontal="center" vertical="center"/>
    </xf>
    <xf numFmtId="177" fontId="40" fillId="25" borderId="9" xfId="0" applyNumberFormat="1" applyFont="1" applyFill="1" applyBorder="1" applyAlignment="1">
      <alignment horizontal="center" vertical="center"/>
    </xf>
    <xf numFmtId="0" fontId="40" fillId="39" borderId="2" xfId="0" applyFont="1" applyFill="1" applyBorder="1" applyAlignment="1">
      <alignment horizontal="center" vertical="center"/>
    </xf>
    <xf numFmtId="14" fontId="40" fillId="0" borderId="0" xfId="0" applyNumberFormat="1" applyFont="1" applyAlignment="1">
      <alignment horizontal="right" vertical="center"/>
    </xf>
    <xf numFmtId="14" fontId="41" fillId="0" borderId="0" xfId="0" applyNumberFormat="1" applyFont="1" applyAlignment="1">
      <alignment horizontal="left" vertical="center"/>
    </xf>
    <xf numFmtId="14" fontId="42" fillId="0" borderId="0" xfId="0" applyNumberFormat="1" applyFont="1" applyAlignment="1">
      <alignment horizontal="left" vertical="center"/>
    </xf>
    <xf numFmtId="3" fontId="40" fillId="35" borderId="32" xfId="32" applyNumberFormat="1" applyFont="1" applyFill="1" applyBorder="1" applyAlignment="1">
      <alignment horizontal="center"/>
    </xf>
    <xf numFmtId="0" fontId="41" fillId="26" borderId="17" xfId="49" applyFont="1" applyFill="1" applyBorder="1" applyAlignment="1">
      <alignment vertical="center"/>
    </xf>
    <xf numFmtId="0" fontId="41" fillId="26" borderId="21" xfId="49" applyFont="1" applyFill="1" applyBorder="1" applyAlignment="1">
      <alignment vertical="center"/>
    </xf>
    <xf numFmtId="10" fontId="40" fillId="26" borderId="7" xfId="32" applyNumberFormat="1" applyFont="1" applyFill="1" applyBorder="1" applyAlignment="1">
      <alignment horizontal="center" vertical="center"/>
    </xf>
    <xf numFmtId="10" fontId="40" fillId="26" borderId="53" xfId="32" applyNumberFormat="1" applyFont="1" applyFill="1" applyBorder="1" applyAlignment="1">
      <alignment horizontal="center" vertical="center"/>
    </xf>
    <xf numFmtId="3" fontId="41" fillId="0" borderId="7" xfId="31" applyNumberFormat="1" applyFont="1" applyBorder="1" applyAlignment="1">
      <alignment horizontal="center" vertical="center"/>
    </xf>
    <xf numFmtId="3" fontId="41" fillId="0" borderId="53" xfId="31" applyNumberFormat="1" applyFont="1" applyBorder="1" applyAlignment="1">
      <alignment horizontal="center" vertical="center"/>
    </xf>
    <xf numFmtId="3" fontId="41" fillId="0" borderId="77" xfId="31" applyNumberFormat="1" applyFont="1" applyBorder="1" applyAlignment="1">
      <alignment horizontal="center" vertical="center"/>
    </xf>
    <xf numFmtId="3" fontId="41" fillId="0" borderId="78" xfId="31" applyNumberFormat="1" applyFont="1" applyBorder="1" applyAlignment="1">
      <alignment horizontal="center" vertical="center"/>
    </xf>
    <xf numFmtId="3" fontId="41" fillId="0" borderId="57" xfId="31" applyNumberFormat="1" applyFont="1" applyBorder="1" applyAlignment="1">
      <alignment horizontal="center" vertical="center"/>
    </xf>
    <xf numFmtId="3" fontId="40" fillId="31" borderId="73" xfId="37" applyFont="1" applyFill="1" applyBorder="1" applyAlignment="1" applyProtection="1">
      <alignment horizontal="center" vertical="center" wrapText="1"/>
    </xf>
    <xf numFmtId="3" fontId="40" fillId="31" borderId="76" xfId="37" applyFont="1" applyFill="1" applyBorder="1" applyAlignment="1" applyProtection="1">
      <alignment horizontal="center" vertical="center" wrapText="1"/>
    </xf>
    <xf numFmtId="3" fontId="40" fillId="31" borderId="74" xfId="37" applyFont="1" applyFill="1" applyBorder="1" applyAlignment="1" applyProtection="1">
      <alignment horizontal="center" vertical="center" wrapText="1"/>
    </xf>
    <xf numFmtId="3" fontId="42" fillId="0" borderId="7" xfId="37" applyFont="1" applyBorder="1" applyAlignment="1" applyProtection="1">
      <alignment horizontal="center" vertical="center" wrapText="1"/>
    </xf>
    <xf numFmtId="3" fontId="42" fillId="0" borderId="53" xfId="37" applyFont="1" applyBorder="1" applyAlignment="1" applyProtection="1">
      <alignment horizontal="center" vertical="center" wrapText="1"/>
    </xf>
    <xf numFmtId="3" fontId="42" fillId="0" borderId="62" xfId="37" applyFont="1" applyBorder="1" applyAlignment="1" applyProtection="1">
      <alignment horizontal="center" vertical="center" wrapText="1"/>
    </xf>
    <xf numFmtId="3" fontId="42" fillId="0" borderId="77" xfId="37" applyFont="1" applyBorder="1" applyAlignment="1" applyProtection="1">
      <alignment horizontal="center" vertical="center" wrapText="1"/>
    </xf>
    <xf numFmtId="3" fontId="42" fillId="0" borderId="57" xfId="37" applyFont="1" applyBorder="1" applyAlignment="1" applyProtection="1">
      <alignment horizontal="center" vertical="center" wrapText="1"/>
    </xf>
    <xf numFmtId="3" fontId="41" fillId="0" borderId="0" xfId="31" applyNumberFormat="1" applyFont="1" applyAlignment="1">
      <alignment vertical="center"/>
    </xf>
    <xf numFmtId="3" fontId="12" fillId="0" borderId="0" xfId="31" applyNumberFormat="1" applyFont="1" applyAlignment="1">
      <alignment vertical="center"/>
    </xf>
    <xf numFmtId="3" fontId="12" fillId="0" borderId="0" xfId="0" applyNumberFormat="1" applyFont="1" applyAlignment="1">
      <alignment vertical="center"/>
    </xf>
    <xf numFmtId="3" fontId="40" fillId="0" borderId="7" xfId="37" applyFont="1" applyBorder="1" applyAlignment="1" applyProtection="1">
      <alignment horizontal="center" vertical="center" wrapText="1"/>
    </xf>
    <xf numFmtId="3" fontId="40" fillId="0" borderId="53" xfId="37" applyFont="1" applyBorder="1" applyAlignment="1" applyProtection="1">
      <alignment horizontal="center" vertical="center" wrapText="1"/>
    </xf>
    <xf numFmtId="3" fontId="40" fillId="0" borderId="62" xfId="37" applyFont="1" applyBorder="1" applyAlignment="1" applyProtection="1">
      <alignment horizontal="center" vertical="center" wrapText="1"/>
    </xf>
    <xf numFmtId="3" fontId="42" fillId="43" borderId="7" xfId="37" applyFont="1" applyFill="1" applyBorder="1" applyAlignment="1" applyProtection="1">
      <alignment horizontal="center" vertical="center" wrapText="1"/>
    </xf>
    <xf numFmtId="3" fontId="42" fillId="43" borderId="53" xfId="37" applyFont="1" applyFill="1" applyBorder="1" applyAlignment="1" applyProtection="1">
      <alignment horizontal="center" vertical="center" wrapText="1"/>
    </xf>
    <xf numFmtId="3" fontId="42" fillId="43" borderId="62" xfId="37" applyFont="1" applyFill="1" applyBorder="1" applyAlignment="1" applyProtection="1">
      <alignment horizontal="center" vertical="center" wrapText="1"/>
    </xf>
    <xf numFmtId="3" fontId="41" fillId="0" borderId="0" xfId="37" applyFont="1" applyProtection="1">
      <alignment horizontal="right" vertical="center" wrapText="1"/>
    </xf>
    <xf numFmtId="3" fontId="41" fillId="0" borderId="0" xfId="0" applyNumberFormat="1" applyFont="1" applyAlignment="1">
      <alignment vertical="center"/>
    </xf>
    <xf numFmtId="3" fontId="95" fillId="0" borderId="9" xfId="37" applyFont="1" applyBorder="1" applyAlignment="1" applyProtection="1">
      <alignment horizontal="center" vertical="center" wrapText="1"/>
    </xf>
    <xf numFmtId="3" fontId="95" fillId="0" borderId="60" xfId="37" applyFont="1" applyBorder="1" applyAlignment="1" applyProtection="1">
      <alignment horizontal="center" vertical="center" wrapText="1"/>
    </xf>
    <xf numFmtId="3" fontId="95" fillId="0" borderId="10" xfId="37" applyFont="1" applyBorder="1" applyAlignment="1" applyProtection="1">
      <alignment horizontal="center" vertical="center" wrapText="1"/>
    </xf>
    <xf numFmtId="3" fontId="95" fillId="0" borderId="0" xfId="37" applyFont="1" applyAlignment="1" applyProtection="1">
      <alignment horizontal="center" vertical="center" wrapText="1"/>
    </xf>
    <xf numFmtId="3" fontId="41" fillId="0" borderId="0" xfId="21" applyNumberFormat="1" applyFont="1" applyFill="1">
      <alignment horizontal="center" vertical="center" wrapText="1"/>
    </xf>
    <xf numFmtId="3" fontId="40" fillId="0" borderId="73" xfId="21" applyNumberFormat="1" applyFont="1" applyFill="1" applyBorder="1">
      <alignment horizontal="center" vertical="center" wrapText="1"/>
    </xf>
    <xf numFmtId="3" fontId="40" fillId="0" borderId="76" xfId="21" applyNumberFormat="1" applyFont="1" applyFill="1" applyBorder="1">
      <alignment horizontal="center" vertical="center" wrapText="1"/>
    </xf>
    <xf numFmtId="3" fontId="40" fillId="0" borderId="74" xfId="21" applyNumberFormat="1" applyFont="1" applyFill="1" applyBorder="1">
      <alignment horizontal="center" vertical="center" wrapText="1"/>
    </xf>
    <xf numFmtId="3" fontId="40" fillId="0" borderId="7" xfId="21" applyNumberFormat="1" applyFont="1" applyFill="1" applyBorder="1">
      <alignment horizontal="center" vertical="center" wrapText="1"/>
    </xf>
    <xf numFmtId="3" fontId="40" fillId="0" borderId="53" xfId="21" applyNumberFormat="1" applyFont="1" applyFill="1" applyBorder="1">
      <alignment horizontal="center" vertical="center" wrapText="1"/>
    </xf>
    <xf numFmtId="3" fontId="40" fillId="0" borderId="62" xfId="21" applyNumberFormat="1" applyFont="1" applyFill="1" applyBorder="1">
      <alignment horizontal="center" vertical="center" wrapText="1"/>
    </xf>
    <xf numFmtId="0" fontId="21" fillId="26" borderId="0" xfId="32" applyFont="1" applyFill="1" applyAlignment="1">
      <alignment vertical="center"/>
    </xf>
    <xf numFmtId="0" fontId="12" fillId="26" borderId="0" xfId="32" applyFont="1" applyFill="1" applyAlignment="1">
      <alignment vertical="center"/>
    </xf>
    <xf numFmtId="3" fontId="41" fillId="0" borderId="26" xfId="49" applyNumberFormat="1" applyFont="1" applyBorder="1" applyAlignment="1">
      <alignment horizontal="center" vertical="center" wrapText="1"/>
    </xf>
    <xf numFmtId="3" fontId="42" fillId="0" borderId="13" xfId="49" applyNumberFormat="1" applyFont="1" applyBorder="1" applyAlignment="1">
      <alignment horizontal="center" vertical="center" wrapText="1"/>
    </xf>
    <xf numFmtId="3" fontId="42" fillId="0" borderId="16" xfId="49" applyNumberFormat="1" applyFont="1" applyBorder="1" applyAlignment="1">
      <alignment horizontal="center" vertical="center" wrapText="1"/>
    </xf>
    <xf numFmtId="0" fontId="40" fillId="0" borderId="6" xfId="31" applyFont="1" applyBorder="1" applyAlignment="1">
      <alignment horizontal="center" vertical="center" wrapText="1"/>
    </xf>
    <xf numFmtId="0" fontId="40" fillId="0" borderId="24" xfId="31" applyFont="1" applyBorder="1" applyAlignment="1">
      <alignment horizontal="center" vertical="center" wrapText="1"/>
    </xf>
    <xf numFmtId="3" fontId="40" fillId="0" borderId="17" xfId="31" applyNumberFormat="1" applyFont="1" applyBorder="1" applyAlignment="1">
      <alignment horizontal="center" vertical="center" wrapText="1"/>
    </xf>
    <xf numFmtId="0" fontId="40" fillId="0" borderId="15" xfId="31" applyFont="1" applyBorder="1" applyAlignment="1">
      <alignment horizontal="center" vertical="center" wrapText="1"/>
    </xf>
    <xf numFmtId="177" fontId="12" fillId="0" borderId="62" xfId="0" applyNumberFormat="1" applyFont="1" applyBorder="1" applyAlignment="1">
      <alignment horizontal="center" vertical="center"/>
    </xf>
    <xf numFmtId="0" fontId="12" fillId="26" borderId="72" xfId="0" applyFont="1" applyFill="1" applyBorder="1" applyAlignment="1">
      <alignment vertical="center" wrapText="1"/>
    </xf>
    <xf numFmtId="0" fontId="12" fillId="26" borderId="32" xfId="0" applyFont="1" applyFill="1" applyBorder="1" applyAlignment="1">
      <alignment vertical="center" wrapText="1"/>
    </xf>
    <xf numFmtId="0" fontId="12" fillId="26" borderId="79" xfId="0" applyFont="1" applyFill="1" applyBorder="1" applyAlignment="1">
      <alignment vertical="center" wrapText="1"/>
    </xf>
    <xf numFmtId="0" fontId="12" fillId="26" borderId="52" xfId="0" applyFont="1" applyFill="1" applyBorder="1" applyAlignment="1">
      <alignment vertical="center" wrapText="1"/>
    </xf>
    <xf numFmtId="0" fontId="12" fillId="26" borderId="44" xfId="0" applyFont="1" applyFill="1" applyBorder="1" applyAlignment="1">
      <alignment vertical="center" wrapText="1"/>
    </xf>
    <xf numFmtId="0" fontId="55" fillId="0" borderId="32" xfId="2" applyFont="1" applyBorder="1" applyAlignment="1" applyProtection="1">
      <alignment horizontal="center" vertical="center"/>
    </xf>
    <xf numFmtId="0" fontId="55" fillId="0" borderId="32" xfId="2" applyFont="1" applyFill="1" applyBorder="1" applyAlignment="1" applyProtection="1">
      <alignment horizontal="center" vertical="center"/>
    </xf>
    <xf numFmtId="0" fontId="143" fillId="0" borderId="32" xfId="2" applyFont="1" applyFill="1" applyBorder="1" applyAlignment="1" applyProtection="1">
      <alignment horizontal="center" vertical="center"/>
    </xf>
    <xf numFmtId="0" fontId="143" fillId="0" borderId="32" xfId="2" applyFont="1" applyBorder="1" applyAlignment="1" applyProtection="1">
      <alignment horizontal="center" vertical="center"/>
    </xf>
    <xf numFmtId="0" fontId="55" fillId="0" borderId="62" xfId="2" applyFont="1" applyBorder="1" applyAlignment="1" applyProtection="1">
      <alignment horizontal="center" vertical="center"/>
    </xf>
    <xf numFmtId="0" fontId="55" fillId="0" borderId="62" xfId="2" applyFont="1" applyFill="1" applyBorder="1" applyAlignment="1" applyProtection="1">
      <alignment horizontal="center" vertical="center"/>
    </xf>
    <xf numFmtId="0" fontId="55" fillId="20" borderId="7" xfId="52" applyFont="1" applyFill="1" applyBorder="1" applyAlignment="1">
      <alignment horizontal="center" vertical="center" wrapText="1"/>
    </xf>
    <xf numFmtId="3" fontId="143" fillId="27" borderId="7" xfId="52" applyNumberFormat="1" applyFont="1" applyFill="1" applyBorder="1" applyAlignment="1">
      <alignment horizontal="center" vertical="center"/>
    </xf>
    <xf numFmtId="173" fontId="143" fillId="27" borderId="7" xfId="52" applyNumberFormat="1" applyFont="1" applyFill="1" applyBorder="1" applyAlignment="1">
      <alignment horizontal="center" vertical="center"/>
    </xf>
    <xf numFmtId="0" fontId="55" fillId="27" borderId="7" xfId="52" applyFont="1" applyFill="1" applyBorder="1" applyAlignment="1">
      <alignment horizontal="left" vertical="center" wrapText="1" indent="1"/>
    </xf>
    <xf numFmtId="3" fontId="55" fillId="27" borderId="7" xfId="52" applyNumberFormat="1" applyFont="1" applyFill="1" applyBorder="1" applyAlignment="1">
      <alignment horizontal="center" vertical="center"/>
    </xf>
    <xf numFmtId="0" fontId="55" fillId="27" borderId="7" xfId="52" applyFont="1" applyFill="1" applyBorder="1" applyAlignment="1">
      <alignment horizontal="right"/>
    </xf>
    <xf numFmtId="3" fontId="55" fillId="26" borderId="7" xfId="52" applyNumberFormat="1" applyFont="1" applyFill="1" applyBorder="1" applyAlignment="1">
      <alignment horizontal="center" vertical="center"/>
    </xf>
    <xf numFmtId="173" fontId="55" fillId="26" borderId="7" xfId="1" applyNumberFormat="1" applyFont="1" applyFill="1" applyBorder="1" applyAlignment="1" applyProtection="1">
      <alignment horizontal="center" vertical="center"/>
    </xf>
    <xf numFmtId="173" fontId="55" fillId="27" borderId="7" xfId="1" applyNumberFormat="1" applyFont="1" applyFill="1" applyBorder="1" applyAlignment="1" applyProtection="1">
      <alignment horizontal="center" vertical="center"/>
    </xf>
    <xf numFmtId="49" fontId="143" fillId="27" borderId="7" xfId="0" applyNumberFormat="1" applyFont="1" applyFill="1" applyBorder="1" applyAlignment="1">
      <alignment vertical="center" wrapText="1"/>
    </xf>
    <xf numFmtId="0" fontId="143" fillId="27" borderId="7" xfId="32" applyFont="1" applyFill="1" applyBorder="1" applyAlignment="1">
      <alignment horizontal="left" vertical="center" wrapText="1"/>
    </xf>
    <xf numFmtId="0" fontId="146" fillId="0" borderId="0" xfId="0" applyFont="1" applyAlignment="1">
      <alignment wrapText="1"/>
    </xf>
    <xf numFmtId="0" fontId="55" fillId="26" borderId="7" xfId="32" applyFont="1" applyFill="1" applyBorder="1" applyAlignment="1">
      <alignment vertical="center" wrapText="1"/>
    </xf>
    <xf numFmtId="49" fontId="55" fillId="27" borderId="7" xfId="32" applyNumberFormat="1" applyFont="1" applyFill="1" applyBorder="1" applyAlignment="1">
      <alignment horizontal="left" vertical="center" wrapText="1"/>
    </xf>
    <xf numFmtId="0" fontId="36" fillId="27" borderId="7" xfId="32" applyFont="1" applyFill="1" applyBorder="1" applyAlignment="1">
      <alignment horizontal="right" vertical="center" wrapText="1"/>
    </xf>
    <xf numFmtId="49" fontId="36" fillId="27" borderId="7" xfId="0" applyNumberFormat="1" applyFont="1" applyFill="1" applyBorder="1" applyAlignment="1">
      <alignment horizontal="right" vertical="center" wrapText="1"/>
    </xf>
    <xf numFmtId="0" fontId="55" fillId="0" borderId="7" xfId="0" applyFont="1" applyBorder="1" applyAlignment="1">
      <alignment horizontal="center" vertical="center" wrapText="1"/>
    </xf>
    <xf numFmtId="0" fontId="143" fillId="46" borderId="7" xfId="0" applyFont="1" applyFill="1" applyBorder="1" applyAlignment="1">
      <alignment horizontal="center" vertical="center"/>
    </xf>
    <xf numFmtId="10" fontId="143" fillId="46" borderId="7" xfId="0" applyNumberFormat="1" applyFont="1" applyFill="1" applyBorder="1" applyAlignment="1">
      <alignment horizontal="center" vertical="center" wrapText="1"/>
    </xf>
    <xf numFmtId="0" fontId="55" fillId="20" borderId="7" xfId="32" applyFont="1" applyFill="1" applyBorder="1" applyAlignment="1">
      <alignment horizontal="center" vertical="center" wrapText="1"/>
    </xf>
    <xf numFmtId="0" fontId="143" fillId="37" borderId="63" xfId="52" applyFont="1" applyFill="1" applyBorder="1" applyAlignment="1">
      <alignment horizontal="center" vertical="center"/>
    </xf>
    <xf numFmtId="0" fontId="143" fillId="37" borderId="63" xfId="52" applyFont="1" applyFill="1" applyBorder="1" applyAlignment="1">
      <alignment horizontal="center" vertical="center" wrapText="1"/>
    </xf>
    <xf numFmtId="0" fontId="55" fillId="0" borderId="7" xfId="0" applyFont="1" applyBorder="1" applyAlignment="1">
      <alignment vertical="center" wrapText="1"/>
    </xf>
    <xf numFmtId="0" fontId="140" fillId="0" borderId="0" xfId="0" applyFont="1" applyAlignment="1">
      <alignment horizontal="right"/>
    </xf>
    <xf numFmtId="0" fontId="143" fillId="0" borderId="7" xfId="0" applyFont="1" applyBorder="1" applyAlignment="1">
      <alignment vertical="center" wrapText="1"/>
    </xf>
    <xf numFmtId="3" fontId="143" fillId="46" borderId="7" xfId="0" applyNumberFormat="1" applyFont="1" applyFill="1" applyBorder="1" applyAlignment="1">
      <alignment horizontal="center" vertical="center"/>
    </xf>
    <xf numFmtId="0" fontId="55" fillId="46" borderId="7" xfId="0" applyFont="1" applyFill="1" applyBorder="1" applyAlignment="1">
      <alignment horizontal="center" vertical="center"/>
    </xf>
    <xf numFmtId="3" fontId="55" fillId="46" borderId="7" xfId="0" applyNumberFormat="1" applyFont="1" applyFill="1" applyBorder="1" applyAlignment="1">
      <alignment horizontal="center" vertical="center"/>
    </xf>
    <xf numFmtId="3" fontId="55" fillId="0" borderId="7" xfId="0" applyNumberFormat="1" applyFont="1" applyBorder="1" applyAlignment="1">
      <alignment horizontal="center" vertical="center" wrapText="1"/>
    </xf>
    <xf numFmtId="0" fontId="143" fillId="47" borderId="63" xfId="0" applyFont="1" applyFill="1" applyBorder="1" applyAlignment="1">
      <alignment horizontal="center" vertical="center" wrapText="1"/>
    </xf>
    <xf numFmtId="0" fontId="143" fillId="22" borderId="7" xfId="0" applyFont="1" applyFill="1" applyBorder="1" applyAlignment="1">
      <alignment vertical="center" wrapText="1"/>
    </xf>
    <xf numFmtId="0" fontId="21" fillId="0" borderId="0" xfId="0" applyFont="1" applyAlignment="1">
      <alignment horizontal="center"/>
    </xf>
    <xf numFmtId="0" fontId="143" fillId="26" borderId="7" xfId="47" applyFont="1" applyFill="1" applyBorder="1" applyAlignment="1" applyProtection="1">
      <alignment vertical="center" wrapText="1"/>
      <protection hidden="1"/>
    </xf>
    <xf numFmtId="0" fontId="143" fillId="26" borderId="7" xfId="47" applyFont="1" applyFill="1" applyBorder="1" applyAlignment="1" applyProtection="1">
      <alignment vertical="top" wrapText="1"/>
      <protection hidden="1"/>
    </xf>
    <xf numFmtId="0" fontId="143" fillId="26" borderId="0" xfId="47" applyFont="1" applyFill="1" applyAlignment="1" applyProtection="1">
      <alignment vertical="center" wrapText="1"/>
      <protection hidden="1"/>
    </xf>
    <xf numFmtId="0" fontId="143" fillId="26" borderId="0" xfId="47" applyFont="1" applyFill="1" applyAlignment="1" applyProtection="1">
      <alignment horizontal="center" vertical="center" wrapText="1"/>
      <protection hidden="1"/>
    </xf>
    <xf numFmtId="3" fontId="143" fillId="26" borderId="7" xfId="47" applyNumberFormat="1" applyFont="1" applyFill="1" applyBorder="1" applyAlignment="1" applyProtection="1">
      <alignment horizontal="center" vertical="center" wrapText="1"/>
      <protection hidden="1"/>
    </xf>
    <xf numFmtId="0" fontId="100" fillId="0" borderId="7" xfId="32" applyFont="1" applyBorder="1" applyAlignment="1">
      <alignment vertical="center" wrapText="1"/>
    </xf>
    <xf numFmtId="0" fontId="158" fillId="22" borderId="7" xfId="32" applyFont="1" applyFill="1" applyBorder="1" applyAlignment="1">
      <alignment vertical="center" wrapText="1"/>
    </xf>
    <xf numFmtId="168" fontId="158" fillId="22" borderId="7" xfId="48" applyNumberFormat="1" applyFont="1" applyFill="1" applyBorder="1" applyAlignment="1" applyProtection="1">
      <alignment horizontal="center" vertical="center"/>
    </xf>
    <xf numFmtId="0" fontId="12" fillId="0" borderId="0" xfId="0" applyFont="1" applyAlignment="1">
      <alignment horizontal="left" indent="1"/>
    </xf>
    <xf numFmtId="4" fontId="12" fillId="26" borderId="73" xfId="32" applyNumberFormat="1" applyFont="1" applyFill="1" applyBorder="1" applyAlignment="1">
      <alignment horizontal="center" vertical="center"/>
    </xf>
    <xf numFmtId="4" fontId="12" fillId="26" borderId="7" xfId="32" applyNumberFormat="1" applyFont="1" applyFill="1" applyBorder="1" applyAlignment="1">
      <alignment horizontal="center" vertical="center"/>
    </xf>
    <xf numFmtId="4" fontId="12" fillId="26" borderId="77" xfId="32" applyNumberFormat="1" applyFont="1" applyFill="1" applyBorder="1" applyAlignment="1">
      <alignment horizontal="center" vertical="center"/>
    </xf>
    <xf numFmtId="0" fontId="20" fillId="0" borderId="8" xfId="0" applyFont="1" applyBorder="1"/>
    <xf numFmtId="0" fontId="21" fillId="0" borderId="8" xfId="0" applyFont="1" applyBorder="1"/>
    <xf numFmtId="0" fontId="143" fillId="22" borderId="7" xfId="52" applyFont="1" applyFill="1" applyBorder="1" applyAlignment="1">
      <alignment horizontal="left" vertical="center" wrapText="1"/>
    </xf>
    <xf numFmtId="0" fontId="55" fillId="22" borderId="7" xfId="52" applyFont="1" applyFill="1" applyBorder="1" applyAlignment="1">
      <alignment horizontal="center" vertical="center" wrapText="1"/>
    </xf>
    <xf numFmtId="3" fontId="143" fillId="22" borderId="7" xfId="52" applyNumberFormat="1" applyFont="1" applyFill="1" applyBorder="1" applyAlignment="1">
      <alignment horizontal="center" vertical="center"/>
    </xf>
    <xf numFmtId="3" fontId="55" fillId="22" borderId="7" xfId="52" applyNumberFormat="1" applyFont="1" applyFill="1" applyBorder="1" applyAlignment="1">
      <alignment horizontal="center" vertical="center"/>
    </xf>
    <xf numFmtId="173" fontId="55" fillId="22" borderId="7" xfId="52" applyNumberFormat="1" applyFont="1" applyFill="1" applyBorder="1" applyAlignment="1">
      <alignment horizontal="center" vertical="center"/>
    </xf>
    <xf numFmtId="173" fontId="55" fillId="22" borderId="7" xfId="1" applyNumberFormat="1" applyFont="1" applyFill="1" applyBorder="1" applyAlignment="1" applyProtection="1">
      <alignment horizontal="center" vertical="center"/>
    </xf>
    <xf numFmtId="176" fontId="55" fillId="22" borderId="7" xfId="52" applyNumberFormat="1" applyFont="1" applyFill="1" applyBorder="1" applyAlignment="1">
      <alignment horizontal="center" vertical="center"/>
    </xf>
    <xf numFmtId="10" fontId="143" fillId="22" borderId="7" xfId="1" applyNumberFormat="1" applyFont="1" applyFill="1" applyBorder="1" applyAlignment="1" applyProtection="1">
      <alignment horizontal="center" vertical="center"/>
    </xf>
    <xf numFmtId="4" fontId="143" fillId="22" borderId="7" xfId="52" applyNumberFormat="1" applyFont="1" applyFill="1" applyBorder="1" applyAlignment="1">
      <alignment horizontal="center" vertical="center"/>
    </xf>
    <xf numFmtId="173" fontId="143" fillId="22" borderId="7" xfId="52" applyNumberFormat="1" applyFont="1" applyFill="1" applyBorder="1" applyAlignment="1">
      <alignment horizontal="center" vertical="center"/>
    </xf>
    <xf numFmtId="3" fontId="143" fillId="22" borderId="7" xfId="52" applyNumberFormat="1" applyFont="1" applyFill="1" applyBorder="1" applyAlignment="1">
      <alignment horizontal="center" vertical="center" wrapText="1"/>
    </xf>
    <xf numFmtId="173" fontId="143" fillId="22" borderId="7" xfId="52" applyNumberFormat="1" applyFont="1" applyFill="1" applyBorder="1" applyAlignment="1">
      <alignment horizontal="center" vertical="center" wrapText="1"/>
    </xf>
    <xf numFmtId="14" fontId="65" fillId="0" borderId="0" xfId="0" applyNumberFormat="1" applyFont="1" applyAlignment="1">
      <alignment horizontal="left" vertical="center"/>
    </xf>
    <xf numFmtId="14" fontId="12" fillId="0" borderId="0" xfId="0" applyNumberFormat="1" applyFont="1" applyAlignment="1">
      <alignment vertical="center"/>
    </xf>
    <xf numFmtId="0" fontId="142" fillId="0" borderId="0" xfId="0" applyFont="1"/>
    <xf numFmtId="0" fontId="143" fillId="47" borderId="7" xfId="0" applyFont="1" applyFill="1" applyBorder="1" applyAlignment="1">
      <alignment horizontal="center" vertical="center"/>
    </xf>
    <xf numFmtId="0" fontId="147" fillId="47" borderId="7" xfId="0" applyFont="1" applyFill="1" applyBorder="1" applyAlignment="1">
      <alignment horizontal="center" vertical="center" wrapText="1"/>
    </xf>
    <xf numFmtId="0" fontId="143" fillId="47" borderId="7" xfId="0" applyFont="1" applyFill="1" applyBorder="1" applyAlignment="1">
      <alignment horizontal="center" vertical="center" wrapText="1"/>
    </xf>
    <xf numFmtId="0" fontId="144" fillId="0" borderId="7" xfId="56" applyFont="1" applyBorder="1" applyAlignment="1">
      <alignment vertical="center" wrapText="1"/>
    </xf>
    <xf numFmtId="3" fontId="55" fillId="26" borderId="7" xfId="56" applyNumberFormat="1" applyFont="1" applyFill="1" applyBorder="1" applyAlignment="1">
      <alignment horizontal="center" vertical="center"/>
    </xf>
    <xf numFmtId="0" fontId="143" fillId="46" borderId="7" xfId="0" applyFont="1" applyFill="1" applyBorder="1" applyAlignment="1">
      <alignment vertical="center"/>
    </xf>
    <xf numFmtId="0" fontId="55" fillId="46" borderId="7" xfId="0" applyFont="1" applyFill="1" applyBorder="1" applyAlignment="1">
      <alignment vertical="center" wrapText="1"/>
    </xf>
    <xf numFmtId="0" fontId="148" fillId="46" borderId="7" xfId="0" applyFont="1" applyFill="1" applyBorder="1" applyAlignment="1">
      <alignment horizontal="center" vertical="center" wrapText="1"/>
    </xf>
    <xf numFmtId="10" fontId="55" fillId="46" borderId="7" xfId="0" applyNumberFormat="1" applyFont="1" applyFill="1" applyBorder="1" applyAlignment="1">
      <alignment horizontal="center" vertical="center"/>
    </xf>
    <xf numFmtId="9" fontId="143" fillId="46" borderId="7" xfId="0" applyNumberFormat="1" applyFont="1" applyFill="1" applyBorder="1" applyAlignment="1">
      <alignment horizontal="center" vertical="center"/>
    </xf>
    <xf numFmtId="0" fontId="150" fillId="0" borderId="7" xfId="0" applyFont="1" applyBorder="1" applyAlignment="1">
      <alignment horizontal="center" vertical="center" wrapText="1"/>
    </xf>
    <xf numFmtId="3" fontId="150" fillId="0" borderId="7" xfId="0" applyNumberFormat="1" applyFont="1" applyBorder="1" applyAlignment="1">
      <alignment horizontal="center" vertical="center"/>
    </xf>
    <xf numFmtId="0" fontId="151" fillId="0" borderId="7" xfId="0" applyFont="1" applyBorder="1" applyAlignment="1">
      <alignment horizontal="right" vertical="center"/>
    </xf>
    <xf numFmtId="3" fontId="151" fillId="0" borderId="7" xfId="0" applyNumberFormat="1" applyFont="1" applyBorder="1" applyAlignment="1">
      <alignment horizontal="center" vertical="center"/>
    </xf>
    <xf numFmtId="0" fontId="40" fillId="48" borderId="7" xfId="0" applyFont="1" applyFill="1" applyBorder="1" applyAlignment="1">
      <alignment horizontal="center" vertical="center"/>
    </xf>
    <xf numFmtId="3" fontId="151" fillId="0" borderId="7" xfId="0" applyNumberFormat="1" applyFont="1" applyBorder="1" applyAlignment="1">
      <alignment horizontal="right" vertical="center"/>
    </xf>
    <xf numFmtId="0" fontId="145" fillId="0" borderId="7" xfId="56" applyFont="1" applyBorder="1" applyAlignment="1">
      <alignment vertical="center" wrapText="1"/>
    </xf>
    <xf numFmtId="3" fontId="143" fillId="26" borderId="7" xfId="56" applyNumberFormat="1" applyFont="1" applyFill="1" applyBorder="1" applyAlignment="1">
      <alignment horizontal="center" vertical="center"/>
    </xf>
    <xf numFmtId="0" fontId="152" fillId="0" borderId="7" xfId="0" applyFont="1" applyBorder="1" applyAlignment="1">
      <alignment horizontal="center" vertical="center" wrapText="1"/>
    </xf>
    <xf numFmtId="0" fontId="152" fillId="0" borderId="7" xfId="0" applyFont="1" applyBorder="1" applyAlignment="1">
      <alignment horizontal="center" vertical="center"/>
    </xf>
    <xf numFmtId="177" fontId="152" fillId="0" borderId="7" xfId="0" applyNumberFormat="1" applyFont="1" applyBorder="1" applyAlignment="1">
      <alignment horizontal="center" vertical="center"/>
    </xf>
    <xf numFmtId="0" fontId="150" fillId="0" borderId="7" xfId="0" applyFont="1" applyBorder="1" applyAlignment="1">
      <alignment horizontal="center" vertical="center"/>
    </xf>
    <xf numFmtId="177" fontId="55" fillId="46" borderId="7" xfId="0" applyNumberFormat="1" applyFont="1" applyFill="1" applyBorder="1" applyAlignment="1">
      <alignment horizontal="center" vertical="center"/>
    </xf>
    <xf numFmtId="177" fontId="143" fillId="46" borderId="7" xfId="0" applyNumberFormat="1" applyFont="1" applyFill="1" applyBorder="1" applyAlignment="1">
      <alignment horizontal="center" vertical="center" wrapText="1"/>
    </xf>
    <xf numFmtId="2" fontId="55" fillId="46" borderId="7" xfId="0" applyNumberFormat="1" applyFont="1" applyFill="1" applyBorder="1" applyAlignment="1">
      <alignment horizontal="center" vertical="center"/>
    </xf>
    <xf numFmtId="2" fontId="143" fillId="46" borderId="7" xfId="0" applyNumberFormat="1" applyFont="1" applyFill="1" applyBorder="1" applyAlignment="1">
      <alignment horizontal="center" vertical="center" wrapText="1"/>
    </xf>
    <xf numFmtId="177" fontId="153" fillId="46" borderId="7" xfId="0" applyNumberFormat="1" applyFont="1" applyFill="1" applyBorder="1" applyAlignment="1">
      <alignment horizontal="center" vertical="center"/>
    </xf>
    <xf numFmtId="0" fontId="143" fillId="0" borderId="7" xfId="0" applyFont="1" applyBorder="1" applyAlignment="1">
      <alignment horizontal="center" vertical="center" wrapText="1"/>
    </xf>
    <xf numFmtId="0" fontId="55" fillId="0" borderId="7" xfId="56" applyFont="1" applyBorder="1" applyAlignment="1">
      <alignment vertical="center" wrapText="1"/>
    </xf>
    <xf numFmtId="0" fontId="151" fillId="0" borderId="7" xfId="0" applyFont="1" applyBorder="1" applyAlignment="1">
      <alignment horizontal="center" vertical="center" wrapText="1"/>
    </xf>
    <xf numFmtId="0" fontId="55" fillId="0" borderId="7" xfId="56" applyFont="1" applyBorder="1" applyAlignment="1">
      <alignment horizontal="justify" vertical="center"/>
    </xf>
    <xf numFmtId="3" fontId="55" fillId="26" borderId="7" xfId="56" applyNumberFormat="1" applyFont="1" applyFill="1" applyBorder="1" applyAlignment="1">
      <alignment horizontal="center" vertical="center" wrapText="1"/>
    </xf>
    <xf numFmtId="0" fontId="155" fillId="0" borderId="7" xfId="0" applyFont="1" applyBorder="1" applyAlignment="1">
      <alignment horizontal="right" vertical="center" wrapText="1"/>
    </xf>
    <xf numFmtId="173" fontId="155" fillId="0" borderId="7" xfId="1" applyNumberFormat="1" applyFont="1" applyBorder="1" applyAlignment="1" applyProtection="1">
      <alignment horizontal="right" vertical="center"/>
    </xf>
    <xf numFmtId="0" fontId="40" fillId="48" borderId="7" xfId="0" applyFont="1" applyFill="1" applyBorder="1" applyAlignment="1">
      <alignment horizontal="right" vertical="center"/>
    </xf>
    <xf numFmtId="173" fontId="155" fillId="0" borderId="7" xfId="0" applyNumberFormat="1" applyFont="1" applyBorder="1" applyAlignment="1">
      <alignment horizontal="right" vertical="center"/>
    </xf>
    <xf numFmtId="173" fontId="40" fillId="48" borderId="7" xfId="0" applyNumberFormat="1" applyFont="1" applyFill="1" applyBorder="1" applyAlignment="1">
      <alignment horizontal="right" vertical="center"/>
    </xf>
    <xf numFmtId="10" fontId="143" fillId="46" borderId="7" xfId="0" applyNumberFormat="1" applyFont="1" applyFill="1" applyBorder="1" applyAlignment="1">
      <alignment horizontal="center" vertical="center"/>
    </xf>
    <xf numFmtId="0" fontId="41" fillId="0" borderId="7" xfId="0" applyFont="1" applyBorder="1" applyAlignment="1">
      <alignment horizontal="center" vertical="center" wrapText="1"/>
    </xf>
    <xf numFmtId="0" fontId="143" fillId="46" borderId="62" xfId="0" applyFont="1" applyFill="1" applyBorder="1" applyAlignment="1">
      <alignment vertical="center"/>
    </xf>
    <xf numFmtId="0" fontId="55" fillId="46" borderId="23" xfId="0" applyFont="1" applyFill="1" applyBorder="1" applyAlignment="1">
      <alignment vertical="center" wrapText="1"/>
    </xf>
    <xf numFmtId="0" fontId="148" fillId="46" borderId="23" xfId="0" applyFont="1" applyFill="1" applyBorder="1" applyAlignment="1">
      <alignment horizontal="center" vertical="center"/>
    </xf>
    <xf numFmtId="2" fontId="55" fillId="46" borderId="23" xfId="0" applyNumberFormat="1" applyFont="1" applyFill="1" applyBorder="1" applyAlignment="1">
      <alignment horizontal="center" vertical="center"/>
    </xf>
    <xf numFmtId="2" fontId="143" fillId="46" borderId="23" xfId="0" applyNumberFormat="1" applyFont="1" applyFill="1" applyBorder="1" applyAlignment="1">
      <alignment horizontal="center" vertical="center" wrapText="1"/>
    </xf>
    <xf numFmtId="0" fontId="143" fillId="46" borderId="32" xfId="0" applyFont="1" applyFill="1" applyBorder="1" applyAlignment="1">
      <alignment horizontal="center" vertical="center"/>
    </xf>
    <xf numFmtId="0" fontId="55" fillId="37" borderId="7" xfId="0" applyFont="1" applyFill="1" applyBorder="1" applyAlignment="1">
      <alignment horizontal="center" vertical="center"/>
    </xf>
    <xf numFmtId="0" fontId="55" fillId="37" borderId="7" xfId="0" applyFont="1" applyFill="1" applyBorder="1" applyAlignment="1">
      <alignment horizontal="center" vertical="center" wrapText="1"/>
    </xf>
    <xf numFmtId="10" fontId="55" fillId="46" borderId="7" xfId="1" applyNumberFormat="1" applyFont="1" applyFill="1" applyBorder="1" applyAlignment="1" applyProtection="1">
      <alignment horizontal="center" vertical="center"/>
    </xf>
    <xf numFmtId="0" fontId="144" fillId="0" borderId="7" xfId="0" applyFont="1" applyBorder="1" applyAlignment="1">
      <alignment horizontal="center" vertical="center"/>
    </xf>
    <xf numFmtId="0" fontId="144" fillId="0" borderId="7" xfId="0" applyFont="1" applyBorder="1" applyAlignment="1">
      <alignment horizontal="center" vertical="center" wrapText="1"/>
    </xf>
    <xf numFmtId="0" fontId="145" fillId="0" borderId="7" xfId="0" applyFont="1" applyBorder="1" applyAlignment="1">
      <alignment horizontal="center" vertical="center"/>
    </xf>
    <xf numFmtId="0" fontId="143" fillId="20" borderId="7" xfId="32" applyFont="1" applyFill="1" applyBorder="1" applyAlignment="1">
      <alignment horizontal="center" vertical="center" wrapText="1"/>
    </xf>
    <xf numFmtId="0" fontId="156" fillId="0" borderId="7" xfId="0" applyFont="1" applyBorder="1" applyAlignment="1">
      <alignment horizontal="center" vertical="center" wrapText="1"/>
    </xf>
    <xf numFmtId="0" fontId="144" fillId="0" borderId="0" xfId="0" applyFont="1"/>
    <xf numFmtId="0" fontId="142" fillId="0" borderId="0" xfId="0" applyFont="1" applyAlignment="1">
      <alignment vertical="center"/>
    </xf>
    <xf numFmtId="3" fontId="148" fillId="26" borderId="7" xfId="0" applyNumberFormat="1" applyFont="1" applyFill="1" applyBorder="1" applyAlignment="1">
      <alignment horizontal="center" vertical="center" wrapText="1"/>
    </xf>
    <xf numFmtId="3" fontId="55" fillId="26" borderId="7" xfId="0" applyNumberFormat="1" applyFont="1" applyFill="1" applyBorder="1" applyAlignment="1">
      <alignment horizontal="center" vertical="center"/>
    </xf>
    <xf numFmtId="0" fontId="47" fillId="0" borderId="7" xfId="0" applyFont="1" applyBorder="1" applyAlignment="1">
      <alignment vertical="center"/>
    </xf>
    <xf numFmtId="3" fontId="47" fillId="0" borderId="7" xfId="0" applyNumberFormat="1" applyFont="1" applyBorder="1" applyAlignment="1">
      <alignment horizontal="center" vertical="center"/>
    </xf>
    <xf numFmtId="3" fontId="147" fillId="26" borderId="7" xfId="0" applyNumberFormat="1" applyFont="1" applyFill="1" applyBorder="1" applyAlignment="1">
      <alignment horizontal="center" vertical="center" wrapText="1"/>
    </xf>
    <xf numFmtId="3" fontId="143" fillId="26" borderId="7" xfId="0" applyNumberFormat="1" applyFont="1" applyFill="1" applyBorder="1" applyAlignment="1">
      <alignment horizontal="center" vertical="center"/>
    </xf>
    <xf numFmtId="172" fontId="21" fillId="26" borderId="7" xfId="0" applyNumberFormat="1" applyFont="1" applyFill="1" applyBorder="1" applyAlignment="1">
      <alignment horizontal="center" vertical="center"/>
    </xf>
    <xf numFmtId="3" fontId="149" fillId="26" borderId="7" xfId="0" applyNumberFormat="1" applyFont="1" applyFill="1" applyBorder="1" applyAlignment="1">
      <alignment horizontal="center" vertical="center" wrapText="1"/>
    </xf>
    <xf numFmtId="3" fontId="36" fillId="26" borderId="113" xfId="0" applyNumberFormat="1" applyFont="1" applyFill="1" applyBorder="1" applyAlignment="1">
      <alignment horizontal="center" vertical="center"/>
    </xf>
    <xf numFmtId="173" fontId="36" fillId="26" borderId="7" xfId="0" applyNumberFormat="1" applyFont="1" applyFill="1" applyBorder="1" applyAlignment="1">
      <alignment horizontal="center" vertical="center"/>
    </xf>
    <xf numFmtId="173" fontId="36" fillId="26" borderId="7" xfId="0" applyNumberFormat="1" applyFont="1" applyFill="1" applyBorder="1" applyAlignment="1">
      <alignment horizontal="center" vertical="center" wrapText="1"/>
    </xf>
    <xf numFmtId="4" fontId="147" fillId="26" borderId="7" xfId="0" applyNumberFormat="1" applyFont="1" applyFill="1" applyBorder="1" applyAlignment="1">
      <alignment horizontal="center" vertical="center" wrapText="1"/>
    </xf>
    <xf numFmtId="4" fontId="143" fillId="26" borderId="7" xfId="0" applyNumberFormat="1" applyFont="1" applyFill="1" applyBorder="1" applyAlignment="1">
      <alignment horizontal="center" vertical="center"/>
    </xf>
    <xf numFmtId="0" fontId="45" fillId="0" borderId="7" xfId="0" applyFont="1" applyBorder="1" applyAlignment="1">
      <alignment horizontal="left" vertical="center"/>
    </xf>
    <xf numFmtId="2" fontId="12" fillId="26" borderId="7" xfId="0" applyNumberFormat="1" applyFont="1" applyFill="1" applyBorder="1" applyAlignment="1">
      <alignment horizontal="center" vertical="center"/>
    </xf>
    <xf numFmtId="4" fontId="148" fillId="26" borderId="7" xfId="0" applyNumberFormat="1" applyFont="1" applyFill="1" applyBorder="1" applyAlignment="1">
      <alignment horizontal="center" vertical="center" wrapText="1"/>
    </xf>
    <xf numFmtId="0" fontId="41" fillId="0" borderId="7" xfId="0" applyFont="1" applyBorder="1" applyAlignment="1">
      <alignment horizontal="right" vertical="center"/>
    </xf>
    <xf numFmtId="177" fontId="12" fillId="26" borderId="7" xfId="0" applyNumberFormat="1" applyFont="1" applyFill="1" applyBorder="1" applyAlignment="1">
      <alignment horizontal="center" vertical="center"/>
    </xf>
    <xf numFmtId="0" fontId="45" fillId="0" borderId="7" xfId="0" applyFont="1" applyBorder="1" applyAlignment="1">
      <alignment horizontal="right" vertical="center"/>
    </xf>
    <xf numFmtId="173" fontId="143" fillId="0" borderId="7" xfId="1" applyNumberFormat="1" applyFont="1" applyBorder="1" applyAlignment="1" applyProtection="1">
      <alignment horizontal="center" vertical="center"/>
    </xf>
    <xf numFmtId="173" fontId="36" fillId="26" borderId="7" xfId="1" applyNumberFormat="1" applyFont="1" applyFill="1" applyBorder="1" applyAlignment="1" applyProtection="1">
      <alignment horizontal="center" vertical="center"/>
    </xf>
    <xf numFmtId="3" fontId="12" fillId="26" borderId="0" xfId="32" applyNumberFormat="1" applyFont="1" applyFill="1" applyAlignment="1">
      <alignment horizontal="center" vertical="center"/>
    </xf>
    <xf numFmtId="0" fontId="12" fillId="0" borderId="7" xfId="0" applyFont="1" applyBorder="1" applyAlignment="1">
      <alignment horizontal="left" vertical="center"/>
    </xf>
    <xf numFmtId="0" fontId="21" fillId="0" borderId="0" xfId="0" applyFont="1" applyAlignment="1">
      <alignment horizontal="left" vertical="center"/>
    </xf>
    <xf numFmtId="0" fontId="142" fillId="0" borderId="0" xfId="0" applyFont="1" applyAlignment="1">
      <alignment horizontal="center" vertical="center"/>
    </xf>
    <xf numFmtId="0" fontId="143" fillId="37" borderId="7" xfId="32" applyFont="1" applyFill="1" applyBorder="1" applyAlignment="1">
      <alignment vertical="center" wrapText="1"/>
    </xf>
    <xf numFmtId="0" fontId="143" fillId="26" borderId="7" xfId="32" applyFont="1" applyFill="1" applyBorder="1"/>
    <xf numFmtId="3" fontId="143" fillId="26" borderId="7" xfId="32" applyNumberFormat="1" applyFont="1" applyFill="1" applyBorder="1" applyAlignment="1">
      <alignment horizontal="center" vertical="center"/>
    </xf>
    <xf numFmtId="168" fontId="100" fillId="20" borderId="7" xfId="32" applyNumberFormat="1" applyFont="1" applyFill="1" applyBorder="1" applyAlignment="1">
      <alignment horizontal="center" vertical="center"/>
    </xf>
    <xf numFmtId="0" fontId="41" fillId="0" borderId="7" xfId="0" applyFont="1" applyBorder="1" applyAlignment="1">
      <alignment vertical="center"/>
    </xf>
    <xf numFmtId="0" fontId="143" fillId="22" borderId="7" xfId="32" applyFont="1" applyFill="1" applyBorder="1"/>
    <xf numFmtId="3" fontId="143" fillId="22" borderId="7" xfId="32" applyNumberFormat="1" applyFont="1" applyFill="1" applyBorder="1" applyAlignment="1">
      <alignment horizontal="center" vertical="center"/>
    </xf>
    <xf numFmtId="168" fontId="100" fillId="0" borderId="7" xfId="32" applyNumberFormat="1" applyFont="1" applyBorder="1" applyAlignment="1">
      <alignment horizontal="center" vertical="center"/>
    </xf>
    <xf numFmtId="0" fontId="40" fillId="27" borderId="7" xfId="32" applyFont="1" applyFill="1" applyBorder="1" applyAlignment="1">
      <alignment vertical="center" wrapText="1"/>
    </xf>
    <xf numFmtId="3" fontId="143" fillId="26" borderId="0" xfId="32" applyNumberFormat="1" applyFont="1" applyFill="1" applyAlignment="1">
      <alignment horizontal="center"/>
    </xf>
    <xf numFmtId="3" fontId="100" fillId="0" borderId="7" xfId="32" applyNumberFormat="1" applyFont="1" applyBorder="1" applyAlignment="1">
      <alignment horizontal="center" vertical="center" wrapText="1"/>
    </xf>
    <xf numFmtId="0" fontId="40" fillId="22" borderId="7" xfId="32" applyFont="1" applyFill="1" applyBorder="1" applyAlignment="1">
      <alignment vertical="center" wrapText="1"/>
    </xf>
    <xf numFmtId="10" fontId="143" fillId="0" borderId="7" xfId="0" applyNumberFormat="1" applyFont="1" applyBorder="1" applyAlignment="1">
      <alignment horizontal="center" vertical="center"/>
    </xf>
    <xf numFmtId="0" fontId="143" fillId="22" borderId="7" xfId="0" applyFont="1" applyFill="1" applyBorder="1" applyAlignment="1">
      <alignment horizontal="center" vertical="center" wrapText="1"/>
    </xf>
    <xf numFmtId="10" fontId="143" fillId="22" borderId="7" xfId="0" applyNumberFormat="1" applyFont="1" applyFill="1" applyBorder="1" applyAlignment="1">
      <alignment horizontal="center" vertical="center"/>
    </xf>
    <xf numFmtId="3" fontId="55" fillId="0" borderId="7" xfId="0" applyNumberFormat="1" applyFont="1" applyBorder="1" applyAlignment="1">
      <alignment horizontal="center" vertical="center"/>
    </xf>
    <xf numFmtId="0" fontId="43" fillId="27" borderId="7" xfId="0" applyFont="1" applyFill="1" applyBorder="1" applyAlignment="1">
      <alignment horizontal="center" vertical="center"/>
    </xf>
    <xf numFmtId="2" fontId="43" fillId="27" borderId="7" xfId="0" applyNumberFormat="1" applyFont="1" applyFill="1" applyBorder="1" applyAlignment="1">
      <alignment horizontal="center" vertical="center"/>
    </xf>
    <xf numFmtId="0" fontId="43" fillId="27" borderId="62" xfId="0" applyFont="1" applyFill="1" applyBorder="1" applyAlignment="1">
      <alignment horizontal="right"/>
    </xf>
    <xf numFmtId="0" fontId="42" fillId="27" borderId="7" xfId="0" applyFont="1" applyFill="1" applyBorder="1" applyAlignment="1">
      <alignment horizontal="center" vertical="center" wrapText="1"/>
    </xf>
    <xf numFmtId="0" fontId="42" fillId="27" borderId="7" xfId="0" applyFont="1" applyFill="1" applyBorder="1" applyAlignment="1">
      <alignment horizontal="left" vertical="center" wrapText="1" indent="1"/>
    </xf>
    <xf numFmtId="3" fontId="12" fillId="3" borderId="73" xfId="32" applyNumberFormat="1" applyFont="1" applyFill="1" applyBorder="1" applyAlignment="1" applyProtection="1">
      <alignment horizontal="center" vertical="center"/>
      <protection locked="0"/>
    </xf>
    <xf numFmtId="3" fontId="12" fillId="3" borderId="77" xfId="32" applyNumberFormat="1" applyFont="1" applyFill="1" applyBorder="1" applyAlignment="1" applyProtection="1">
      <alignment horizontal="center" vertical="center"/>
      <protection locked="0"/>
    </xf>
    <xf numFmtId="4" fontId="12" fillId="26" borderId="72" xfId="32" applyNumberFormat="1" applyFont="1" applyFill="1" applyBorder="1" applyAlignment="1">
      <alignment horizontal="center" vertical="center"/>
    </xf>
    <xf numFmtId="4" fontId="12" fillId="26" borderId="32" xfId="32" applyNumberFormat="1" applyFont="1" applyFill="1" applyBorder="1" applyAlignment="1">
      <alignment horizontal="center" vertical="center"/>
    </xf>
    <xf numFmtId="4" fontId="12" fillId="26" borderId="79" xfId="32" applyNumberFormat="1" applyFont="1" applyFill="1" applyBorder="1" applyAlignment="1">
      <alignment horizontal="center" vertical="center"/>
    </xf>
    <xf numFmtId="0" fontId="41" fillId="0" borderId="51" xfId="0" applyFont="1" applyBorder="1" applyAlignment="1">
      <alignment horizontal="center"/>
    </xf>
    <xf numFmtId="0" fontId="41" fillId="0" borderId="17" xfId="0" applyFont="1" applyBorder="1" applyAlignment="1">
      <alignment horizontal="center"/>
    </xf>
    <xf numFmtId="0" fontId="41" fillId="0" borderId="21" xfId="0" applyFont="1" applyBorder="1" applyAlignment="1">
      <alignment horizontal="center"/>
    </xf>
    <xf numFmtId="3" fontId="12" fillId="3" borderId="72" xfId="32" applyNumberFormat="1" applyFont="1" applyFill="1" applyBorder="1" applyAlignment="1" applyProtection="1">
      <alignment horizontal="center" vertical="center"/>
      <protection locked="0"/>
    </xf>
    <xf numFmtId="3" fontId="12" fillId="3" borderId="79" xfId="32" applyNumberFormat="1" applyFont="1" applyFill="1" applyBorder="1" applyAlignment="1" applyProtection="1">
      <alignment horizontal="center" vertical="center"/>
      <protection locked="0"/>
    </xf>
    <xf numFmtId="0" fontId="47" fillId="0" borderId="56" xfId="0" applyFont="1" applyBorder="1" applyAlignment="1">
      <alignment horizontal="center" vertical="center" wrapText="1"/>
    </xf>
    <xf numFmtId="9" fontId="40" fillId="27" borderId="51" xfId="1" applyFont="1" applyFill="1" applyBorder="1" applyAlignment="1" applyProtection="1">
      <alignment horizontal="center" vertical="center"/>
    </xf>
    <xf numFmtId="9" fontId="41" fillId="27" borderId="5" xfId="1" applyFont="1" applyFill="1" applyBorder="1" applyAlignment="1" applyProtection="1">
      <alignment horizontal="center" vertical="center"/>
    </xf>
    <xf numFmtId="9" fontId="41" fillId="26" borderId="5" xfId="1" applyFont="1" applyFill="1" applyBorder="1" applyAlignment="1" applyProtection="1">
      <alignment horizontal="center" vertical="center"/>
    </xf>
    <xf numFmtId="9" fontId="40" fillId="26" borderId="17" xfId="1" applyFont="1" applyFill="1" applyBorder="1" applyAlignment="1" applyProtection="1">
      <alignment horizontal="center" vertical="center"/>
    </xf>
    <xf numFmtId="9" fontId="41" fillId="26" borderId="17" xfId="1" applyFont="1" applyFill="1" applyBorder="1" applyAlignment="1" applyProtection="1">
      <alignment horizontal="center" vertical="center"/>
    </xf>
    <xf numFmtId="9" fontId="42" fillId="26" borderId="17" xfId="1" applyFont="1" applyFill="1" applyBorder="1" applyAlignment="1" applyProtection="1">
      <alignment horizontal="center" vertical="center"/>
    </xf>
    <xf numFmtId="9" fontId="12" fillId="26" borderId="17" xfId="1" applyFont="1" applyFill="1" applyBorder="1" applyAlignment="1" applyProtection="1">
      <alignment horizontal="center" vertical="center"/>
    </xf>
    <xf numFmtId="9" fontId="41" fillId="26" borderId="24" xfId="1" applyFont="1" applyFill="1" applyBorder="1" applyAlignment="1" applyProtection="1">
      <alignment horizontal="center" vertical="center"/>
    </xf>
    <xf numFmtId="9" fontId="40" fillId="26" borderId="24" xfId="1" applyFont="1" applyFill="1" applyBorder="1" applyAlignment="1" applyProtection="1">
      <alignment horizontal="center" vertical="center"/>
    </xf>
    <xf numFmtId="9" fontId="12" fillId="26" borderId="24" xfId="1" applyFont="1" applyFill="1" applyBorder="1" applyAlignment="1" applyProtection="1">
      <alignment horizontal="center" vertical="center"/>
    </xf>
    <xf numFmtId="9" fontId="40" fillId="27" borderId="30" xfId="1" applyFont="1" applyFill="1" applyBorder="1" applyAlignment="1" applyProtection="1">
      <alignment horizontal="center" vertical="center"/>
    </xf>
    <xf numFmtId="9" fontId="40" fillId="24" borderId="1" xfId="1" applyFont="1" applyFill="1" applyBorder="1" applyAlignment="1" applyProtection="1">
      <alignment horizontal="left" vertical="center"/>
    </xf>
    <xf numFmtId="9" fontId="40" fillId="27" borderId="5" xfId="1" applyFont="1" applyFill="1" applyBorder="1" applyAlignment="1" applyProtection="1">
      <alignment horizontal="center" vertical="center"/>
    </xf>
    <xf numFmtId="9" fontId="40" fillId="27" borderId="17" xfId="1" applyFont="1" applyFill="1" applyBorder="1" applyAlignment="1" applyProtection="1">
      <alignment horizontal="center" vertical="center"/>
    </xf>
    <xf numFmtId="9" fontId="41" fillId="27" borderId="17" xfId="1" applyFont="1" applyFill="1" applyBorder="1" applyAlignment="1" applyProtection="1">
      <alignment horizontal="center" vertical="center"/>
    </xf>
    <xf numFmtId="9" fontId="42" fillId="27" borderId="17" xfId="1" applyFont="1" applyFill="1" applyBorder="1" applyAlignment="1" applyProtection="1">
      <alignment horizontal="center" vertical="center"/>
    </xf>
    <xf numFmtId="9" fontId="40" fillId="26" borderId="30" xfId="1" applyFont="1" applyFill="1" applyBorder="1" applyAlignment="1" applyProtection="1">
      <alignment horizontal="center" vertical="center"/>
    </xf>
    <xf numFmtId="1" fontId="40" fillId="27" borderId="51" xfId="49" applyNumberFormat="1" applyFont="1" applyFill="1" applyBorder="1" applyAlignment="1">
      <alignment horizontal="center" vertical="center"/>
    </xf>
    <xf numFmtId="1" fontId="41" fillId="27" borderId="5" xfId="49" applyNumberFormat="1" applyFont="1" applyFill="1" applyBorder="1" applyAlignment="1">
      <alignment horizontal="center" vertical="center"/>
    </xf>
    <xf numFmtId="1" fontId="41" fillId="26" borderId="5" xfId="49" applyNumberFormat="1" applyFont="1" applyFill="1" applyBorder="1" applyAlignment="1">
      <alignment horizontal="center" vertical="center"/>
    </xf>
    <xf numFmtId="1" fontId="40" fillId="26" borderId="17" xfId="49" applyNumberFormat="1" applyFont="1" applyFill="1" applyBorder="1" applyAlignment="1">
      <alignment horizontal="center" vertical="center"/>
    </xf>
    <xf numFmtId="1" fontId="41" fillId="26" borderId="17" xfId="49" applyNumberFormat="1" applyFont="1" applyFill="1" applyBorder="1" applyAlignment="1">
      <alignment horizontal="center" vertical="center"/>
    </xf>
    <xf numFmtId="1" fontId="42" fillId="26" borderId="17" xfId="49" applyNumberFormat="1" applyFont="1" applyFill="1" applyBorder="1" applyAlignment="1">
      <alignment horizontal="center" vertical="center"/>
    </xf>
    <xf numFmtId="1" fontId="12" fillId="26" borderId="17" xfId="49" applyNumberFormat="1" applyFont="1" applyFill="1" applyBorder="1" applyAlignment="1">
      <alignment horizontal="center" vertical="center"/>
    </xf>
    <xf numFmtId="1" fontId="41" fillId="26" borderId="24" xfId="49" applyNumberFormat="1" applyFont="1" applyFill="1" applyBorder="1" applyAlignment="1">
      <alignment horizontal="center" vertical="center"/>
    </xf>
    <xf numFmtId="1" fontId="40" fillId="26" borderId="24" xfId="49" applyNumberFormat="1" applyFont="1" applyFill="1" applyBorder="1" applyAlignment="1">
      <alignment horizontal="center" vertical="center"/>
    </xf>
    <xf numFmtId="1" fontId="12" fillId="26" borderId="24" xfId="49" applyNumberFormat="1" applyFont="1" applyFill="1" applyBorder="1" applyAlignment="1">
      <alignment horizontal="center" vertical="center"/>
    </xf>
    <xf numFmtId="1" fontId="40" fillId="27" borderId="30" xfId="49" applyNumberFormat="1" applyFont="1" applyFill="1" applyBorder="1" applyAlignment="1">
      <alignment horizontal="center" vertical="center"/>
    </xf>
    <xf numFmtId="1" fontId="40" fillId="24" borderId="1" xfId="49" applyNumberFormat="1" applyFont="1" applyFill="1" applyBorder="1" applyAlignment="1">
      <alignment horizontal="left" vertical="center"/>
    </xf>
    <xf numFmtId="1" fontId="40" fillId="27" borderId="5" xfId="49" applyNumberFormat="1" applyFont="1" applyFill="1" applyBorder="1" applyAlignment="1">
      <alignment horizontal="center" vertical="center"/>
    </xf>
    <xf numFmtId="1" fontId="40" fillId="27" borderId="17" xfId="49" applyNumberFormat="1" applyFont="1" applyFill="1" applyBorder="1" applyAlignment="1">
      <alignment horizontal="center" vertical="center"/>
    </xf>
    <xf numFmtId="1" fontId="41" fillId="27" borderId="17" xfId="49" applyNumberFormat="1" applyFont="1" applyFill="1" applyBorder="1" applyAlignment="1">
      <alignment horizontal="center" vertical="center"/>
    </xf>
    <xf numFmtId="1" fontId="42" fillId="27" borderId="17" xfId="49" applyNumberFormat="1" applyFont="1" applyFill="1" applyBorder="1" applyAlignment="1">
      <alignment horizontal="center" vertical="center"/>
    </xf>
    <xf numFmtId="1" fontId="41" fillId="27" borderId="24" xfId="49" applyNumberFormat="1" applyFont="1" applyFill="1" applyBorder="1" applyAlignment="1">
      <alignment horizontal="center" vertical="center"/>
    </xf>
    <xf numFmtId="1" fontId="40" fillId="27" borderId="24" xfId="49" applyNumberFormat="1" applyFont="1" applyFill="1" applyBorder="1" applyAlignment="1">
      <alignment horizontal="center" vertical="center"/>
    </xf>
    <xf numFmtId="1" fontId="40" fillId="0" borderId="24" xfId="49" applyNumberFormat="1" applyFont="1" applyBorder="1" applyAlignment="1">
      <alignment horizontal="center" vertical="center"/>
    </xf>
    <xf numFmtId="3" fontId="42" fillId="0" borderId="17" xfId="49" applyNumberFormat="1" applyFont="1" applyBorder="1" applyAlignment="1">
      <alignment horizontal="center" vertical="center"/>
    </xf>
    <xf numFmtId="1" fontId="42" fillId="0" borderId="17" xfId="49" applyNumberFormat="1" applyFont="1" applyBorder="1" applyAlignment="1">
      <alignment horizontal="center" vertical="center"/>
    </xf>
    <xf numFmtId="9" fontId="42" fillId="0" borderId="17" xfId="1" applyFont="1" applyFill="1" applyBorder="1" applyAlignment="1" applyProtection="1">
      <alignment horizontal="center" vertical="center"/>
    </xf>
    <xf numFmtId="3" fontId="42" fillId="0" borderId="17" xfId="49" applyNumberFormat="1" applyFont="1" applyBorder="1" applyAlignment="1">
      <alignment horizontal="right" wrapText="1"/>
    </xf>
    <xf numFmtId="3" fontId="42" fillId="0" borderId="62" xfId="49" applyNumberFormat="1" applyFont="1" applyBorder="1" applyAlignment="1">
      <alignment horizontal="center" vertical="center" wrapText="1"/>
    </xf>
    <xf numFmtId="3" fontId="42" fillId="0" borderId="53" xfId="49" applyNumberFormat="1" applyFont="1" applyBorder="1" applyAlignment="1">
      <alignment horizontal="center" vertical="center" wrapText="1"/>
    </xf>
    <xf numFmtId="0" fontId="99" fillId="0" borderId="0" xfId="49" applyFont="1"/>
    <xf numFmtId="0" fontId="40" fillId="39" borderId="60" xfId="32" applyFont="1" applyFill="1" applyBorder="1" applyAlignment="1">
      <alignment vertical="center" wrapText="1"/>
    </xf>
    <xf numFmtId="3" fontId="41" fillId="28" borderId="40" xfId="32" applyNumberFormat="1" applyFont="1" applyFill="1" applyBorder="1" applyAlignment="1" applyProtection="1">
      <alignment horizontal="center" vertical="center"/>
      <protection locked="0"/>
    </xf>
    <xf numFmtId="3" fontId="41" fillId="28" borderId="73" xfId="32" applyNumberFormat="1" applyFont="1" applyFill="1" applyBorder="1" applyAlignment="1" applyProtection="1">
      <alignment horizontal="center" vertical="center"/>
      <protection locked="0"/>
    </xf>
    <xf numFmtId="3" fontId="41" fillId="28" borderId="76" xfId="32" applyNumberFormat="1" applyFont="1" applyFill="1" applyBorder="1" applyAlignment="1" applyProtection="1">
      <alignment horizontal="center" vertical="center"/>
      <protection locked="0"/>
    </xf>
    <xf numFmtId="3" fontId="41" fillId="3" borderId="75" xfId="32" applyNumberFormat="1" applyFont="1" applyFill="1" applyBorder="1" applyAlignment="1" applyProtection="1">
      <alignment horizontal="center" vertical="center"/>
      <protection locked="0"/>
    </xf>
    <xf numFmtId="3" fontId="41" fillId="3" borderId="72" xfId="32" applyNumberFormat="1" applyFont="1" applyFill="1" applyBorder="1" applyAlignment="1" applyProtection="1">
      <alignment horizontal="center" vertical="center"/>
      <protection locked="0"/>
    </xf>
    <xf numFmtId="3" fontId="41" fillId="3" borderId="56" xfId="32" applyNumberFormat="1" applyFont="1" applyFill="1" applyBorder="1" applyAlignment="1" applyProtection="1">
      <alignment horizontal="center" vertical="center"/>
      <protection locked="0"/>
    </xf>
    <xf numFmtId="0" fontId="41" fillId="31" borderId="45" xfId="32" applyFont="1" applyFill="1" applyBorder="1" applyAlignment="1">
      <alignment horizontal="center" vertical="center"/>
    </xf>
    <xf numFmtId="3" fontId="40" fillId="31" borderId="59" xfId="32" applyNumberFormat="1" applyFont="1" applyFill="1" applyBorder="1" applyAlignment="1">
      <alignment horizontal="left" vertical="center" wrapText="1"/>
    </xf>
    <xf numFmtId="3" fontId="40" fillId="31" borderId="40" xfId="32" applyNumberFormat="1" applyFont="1" applyFill="1" applyBorder="1" applyAlignment="1">
      <alignment horizontal="center" vertical="center"/>
    </xf>
    <xf numFmtId="3" fontId="40" fillId="31" borderId="41" xfId="32" applyNumberFormat="1" applyFont="1" applyFill="1" applyBorder="1" applyAlignment="1">
      <alignment horizontal="center" vertical="center"/>
    </xf>
    <xf numFmtId="3" fontId="41" fillId="31" borderId="134" xfId="32" applyNumberFormat="1" applyFont="1" applyFill="1" applyBorder="1" applyAlignment="1">
      <alignment horizontal="center" vertical="center"/>
    </xf>
    <xf numFmtId="3" fontId="41" fillId="31" borderId="138" xfId="32" applyNumberFormat="1" applyFont="1" applyFill="1" applyBorder="1" applyAlignment="1">
      <alignment horizontal="center" vertical="center"/>
    </xf>
    <xf numFmtId="3" fontId="41" fillId="31" borderId="139" xfId="32" applyNumberFormat="1" applyFont="1" applyFill="1" applyBorder="1" applyAlignment="1">
      <alignment horizontal="center" vertical="center"/>
    </xf>
    <xf numFmtId="0" fontId="41" fillId="26" borderId="1" xfId="32" applyFont="1" applyFill="1" applyBorder="1" applyAlignment="1">
      <alignment horizontal="center" vertical="center"/>
    </xf>
    <xf numFmtId="0" fontId="96" fillId="20" borderId="10" xfId="88" applyFont="1" applyFill="1" applyBorder="1" applyAlignment="1">
      <alignment horizontal="right" vertical="center" wrapText="1"/>
    </xf>
    <xf numFmtId="3" fontId="40" fillId="26" borderId="38" xfId="32" applyNumberFormat="1" applyFont="1" applyFill="1" applyBorder="1" applyAlignment="1">
      <alignment horizontal="center" vertical="center"/>
    </xf>
    <xf numFmtId="10" fontId="96" fillId="26" borderId="9" xfId="70" applyNumberFormat="1" applyFont="1" applyFill="1" applyBorder="1" applyAlignment="1" applyProtection="1">
      <alignment horizontal="center" vertical="center" wrapText="1"/>
    </xf>
    <xf numFmtId="10" fontId="96" fillId="26" borderId="10" xfId="70" applyNumberFormat="1" applyFont="1" applyFill="1" applyBorder="1" applyAlignment="1" applyProtection="1">
      <alignment horizontal="center" vertical="center" wrapText="1"/>
    </xf>
    <xf numFmtId="3" fontId="40" fillId="26" borderId="8" xfId="32" applyNumberFormat="1" applyFont="1" applyFill="1" applyBorder="1" applyAlignment="1">
      <alignment horizontal="center" vertical="center"/>
    </xf>
    <xf numFmtId="3" fontId="41" fillId="26" borderId="144" xfId="32" applyNumberFormat="1" applyFont="1" applyFill="1" applyBorder="1" applyAlignment="1">
      <alignment horizontal="center" vertical="center"/>
    </xf>
    <xf numFmtId="3" fontId="41" fillId="26" borderId="145" xfId="32" applyNumberFormat="1" applyFont="1" applyFill="1" applyBorder="1" applyAlignment="1">
      <alignment horizontal="center" vertical="center"/>
    </xf>
    <xf numFmtId="3" fontId="41" fillId="26" borderId="143" xfId="32" applyNumberFormat="1" applyFont="1" applyFill="1" applyBorder="1" applyAlignment="1">
      <alignment horizontal="center" vertical="center"/>
    </xf>
    <xf numFmtId="3" fontId="40" fillId="31" borderId="42" xfId="32" applyNumberFormat="1" applyFont="1" applyFill="1" applyBorder="1" applyAlignment="1">
      <alignment vertical="center"/>
    </xf>
    <xf numFmtId="3" fontId="40" fillId="31" borderId="0" xfId="32" applyNumberFormat="1" applyFont="1" applyFill="1" applyAlignment="1">
      <alignment vertical="center"/>
    </xf>
    <xf numFmtId="3" fontId="40" fillId="31" borderId="16" xfId="32" applyNumberFormat="1" applyFont="1" applyFill="1" applyBorder="1" applyAlignment="1">
      <alignment vertical="center"/>
    </xf>
    <xf numFmtId="3" fontId="41" fillId="26" borderId="146" xfId="32" applyNumberFormat="1" applyFont="1" applyFill="1" applyBorder="1" applyAlignment="1">
      <alignment horizontal="center" vertical="center"/>
    </xf>
    <xf numFmtId="0" fontId="96" fillId="20" borderId="67" xfId="88" applyFont="1" applyFill="1" applyBorder="1" applyAlignment="1">
      <alignment horizontal="right" vertical="center" wrapText="1"/>
    </xf>
    <xf numFmtId="10" fontId="96" fillId="26" borderId="7" xfId="70" applyNumberFormat="1" applyFont="1" applyFill="1" applyBorder="1" applyAlignment="1" applyProtection="1">
      <alignment horizontal="center" vertical="center" wrapText="1"/>
    </xf>
    <xf numFmtId="10" fontId="96" fillId="26" borderId="53" xfId="70" applyNumberFormat="1" applyFont="1" applyFill="1" applyBorder="1" applyAlignment="1" applyProtection="1">
      <alignment horizontal="center" vertical="center" wrapText="1"/>
    </xf>
    <xf numFmtId="3" fontId="42" fillId="26" borderId="18" xfId="32" applyNumberFormat="1" applyFont="1" applyFill="1" applyBorder="1" applyAlignment="1">
      <alignment horizontal="center" vertical="center"/>
    </xf>
    <xf numFmtId="0" fontId="96" fillId="20" borderId="62" xfId="88" applyFont="1" applyFill="1" applyBorder="1" applyAlignment="1">
      <alignment horizontal="right" vertical="center" wrapText="1"/>
    </xf>
    <xf numFmtId="3" fontId="42" fillId="26" borderId="52" xfId="32" applyNumberFormat="1" applyFont="1" applyFill="1" applyBorder="1" applyAlignment="1">
      <alignment horizontal="center" vertical="center"/>
    </xf>
    <xf numFmtId="3" fontId="41" fillId="26" borderId="147" xfId="32" applyNumberFormat="1" applyFont="1" applyFill="1" applyBorder="1" applyAlignment="1">
      <alignment horizontal="center" vertical="center"/>
    </xf>
    <xf numFmtId="3" fontId="41" fillId="3" borderId="45" xfId="32" applyNumberFormat="1" applyFont="1" applyFill="1" applyBorder="1" applyAlignment="1" applyProtection="1">
      <alignment horizontal="center" vertical="center"/>
      <protection locked="0"/>
    </xf>
    <xf numFmtId="3" fontId="41" fillId="3" borderId="46" xfId="32" applyNumberFormat="1" applyFont="1" applyFill="1" applyBorder="1" applyAlignment="1" applyProtection="1">
      <alignment horizontal="center" vertical="center"/>
      <protection locked="0"/>
    </xf>
    <xf numFmtId="3" fontId="41" fillId="28" borderId="56" xfId="32" applyNumberFormat="1" applyFont="1" applyFill="1" applyBorder="1" applyAlignment="1" applyProtection="1">
      <alignment horizontal="center" vertical="center"/>
      <protection locked="0"/>
    </xf>
    <xf numFmtId="3" fontId="41" fillId="31" borderId="93" xfId="32" applyNumberFormat="1" applyFont="1" applyFill="1" applyBorder="1" applyAlignment="1">
      <alignment horizontal="center" vertical="center"/>
    </xf>
    <xf numFmtId="3" fontId="41" fillId="31" borderId="114" xfId="32" applyNumberFormat="1" applyFont="1" applyFill="1" applyBorder="1" applyAlignment="1">
      <alignment horizontal="center" vertical="center"/>
    </xf>
    <xf numFmtId="3" fontId="41" fillId="31" borderId="94" xfId="32" applyNumberFormat="1" applyFont="1" applyFill="1" applyBorder="1" applyAlignment="1">
      <alignment horizontal="center" vertical="center"/>
    </xf>
    <xf numFmtId="3" fontId="40" fillId="31" borderId="1" xfId="32" applyNumberFormat="1" applyFont="1" applyFill="1" applyBorder="1" applyAlignment="1">
      <alignment vertical="center"/>
    </xf>
    <xf numFmtId="3" fontId="40" fillId="31" borderId="11" xfId="32" applyNumberFormat="1" applyFont="1" applyFill="1" applyBorder="1" applyAlignment="1">
      <alignment vertical="center"/>
    </xf>
    <xf numFmtId="3" fontId="40" fillId="31" borderId="41" xfId="32" applyNumberFormat="1" applyFont="1" applyFill="1" applyBorder="1" applyAlignment="1">
      <alignment vertical="center"/>
    </xf>
    <xf numFmtId="3" fontId="41" fillId="26" borderId="148" xfId="32" applyNumberFormat="1" applyFont="1" applyFill="1" applyBorder="1" applyAlignment="1">
      <alignment horizontal="center" vertical="center"/>
    </xf>
    <xf numFmtId="3" fontId="40" fillId="39" borderId="60" xfId="32" applyNumberFormat="1" applyFont="1" applyFill="1" applyBorder="1" applyAlignment="1">
      <alignment vertical="center" wrapText="1"/>
    </xf>
    <xf numFmtId="3" fontId="41" fillId="3" borderId="68" xfId="32" applyNumberFormat="1" applyFont="1" applyFill="1" applyBorder="1" applyAlignment="1" applyProtection="1">
      <alignment horizontal="center" vertical="center"/>
      <protection locked="0"/>
    </xf>
    <xf numFmtId="3" fontId="42" fillId="26" borderId="7" xfId="32" applyNumberFormat="1" applyFont="1" applyFill="1" applyBorder="1" applyAlignment="1">
      <alignment horizontal="center" vertical="center"/>
    </xf>
    <xf numFmtId="3" fontId="41" fillId="26" borderId="149" xfId="32" applyNumberFormat="1" applyFont="1" applyFill="1" applyBorder="1" applyAlignment="1">
      <alignment horizontal="center" vertical="center"/>
    </xf>
    <xf numFmtId="3" fontId="41" fillId="26" borderId="150" xfId="32" applyNumberFormat="1" applyFont="1" applyFill="1" applyBorder="1" applyAlignment="1">
      <alignment horizontal="center" vertical="center"/>
    </xf>
    <xf numFmtId="3" fontId="40" fillId="39" borderId="101" xfId="32" applyNumberFormat="1" applyFont="1" applyFill="1" applyBorder="1" applyAlignment="1">
      <alignment vertical="center" wrapText="1"/>
    </xf>
    <xf numFmtId="0" fontId="42" fillId="27" borderId="66" xfId="32" applyFont="1" applyFill="1" applyBorder="1" applyAlignment="1">
      <alignment horizontal="center" vertical="center"/>
    </xf>
    <xf numFmtId="3" fontId="42" fillId="0" borderId="33" xfId="32" applyNumberFormat="1" applyFont="1" applyBorder="1" applyAlignment="1">
      <alignment horizontal="left" vertical="center" wrapText="1"/>
    </xf>
    <xf numFmtId="3" fontId="42" fillId="0" borderId="23" xfId="32" applyNumberFormat="1" applyFont="1" applyBorder="1" applyAlignment="1">
      <alignment horizontal="left" vertical="center" wrapText="1"/>
    </xf>
    <xf numFmtId="0" fontId="42" fillId="27" borderId="25" xfId="32" applyFont="1" applyFill="1" applyBorder="1" applyAlignment="1">
      <alignment horizontal="center" vertical="center"/>
    </xf>
    <xf numFmtId="3" fontId="42" fillId="26" borderId="32" xfId="49" applyNumberFormat="1" applyFont="1" applyFill="1" applyBorder="1" applyAlignment="1">
      <alignment horizontal="center" vertical="center" wrapText="1"/>
    </xf>
    <xf numFmtId="3" fontId="42" fillId="26" borderId="15" xfId="49" applyNumberFormat="1" applyFont="1" applyFill="1" applyBorder="1" applyAlignment="1">
      <alignment horizontal="center" vertical="center" wrapText="1"/>
    </xf>
    <xf numFmtId="3" fontId="41" fillId="0" borderId="63" xfId="49" applyNumberFormat="1" applyFont="1" applyBorder="1" applyAlignment="1">
      <alignment horizontal="center" vertical="center" wrapText="1"/>
    </xf>
    <xf numFmtId="0" fontId="96" fillId="20" borderId="26" xfId="88" applyFont="1" applyFill="1" applyBorder="1" applyAlignment="1">
      <alignment horizontal="center" vertical="center" wrapText="1"/>
    </xf>
    <xf numFmtId="0" fontId="96" fillId="20" borderId="16" xfId="88" applyFont="1" applyFill="1" applyBorder="1" applyAlignment="1">
      <alignment horizontal="center" vertical="center" wrapText="1"/>
    </xf>
    <xf numFmtId="3" fontId="42" fillId="26" borderId="15" xfId="32" applyNumberFormat="1" applyFont="1" applyFill="1" applyBorder="1" applyAlignment="1">
      <alignment horizontal="center" vertical="center"/>
    </xf>
    <xf numFmtId="0" fontId="96" fillId="20" borderId="68" xfId="88" applyFont="1" applyFill="1" applyBorder="1" applyAlignment="1">
      <alignment horizontal="right" vertical="center" wrapText="1"/>
    </xf>
    <xf numFmtId="0" fontId="96" fillId="20" borderId="17" xfId="88" applyFont="1" applyFill="1" applyBorder="1" applyAlignment="1">
      <alignment horizontal="center" vertical="center" wrapText="1"/>
    </xf>
    <xf numFmtId="0" fontId="96" fillId="20" borderId="2" xfId="88" applyFont="1" applyFill="1" applyBorder="1" applyAlignment="1">
      <alignment horizontal="center" vertical="center" wrapText="1"/>
    </xf>
    <xf numFmtId="3" fontId="40" fillId="48" borderId="7" xfId="0" applyNumberFormat="1" applyFont="1" applyFill="1" applyBorder="1" applyAlignment="1">
      <alignment horizontal="center" vertical="center"/>
    </xf>
    <xf numFmtId="3" fontId="143" fillId="0" borderId="7" xfId="0" applyNumberFormat="1" applyFont="1" applyBorder="1" applyAlignment="1">
      <alignment horizontal="center" vertical="center"/>
    </xf>
    <xf numFmtId="9" fontId="41" fillId="26" borderId="99" xfId="1" applyFont="1" applyFill="1" applyBorder="1" applyAlignment="1" applyProtection="1">
      <alignment horizontal="center" vertical="center"/>
    </xf>
    <xf numFmtId="3" fontId="41" fillId="31" borderId="144" xfId="32" applyNumberFormat="1" applyFont="1" applyFill="1" applyBorder="1" applyAlignment="1">
      <alignment horizontal="center" vertical="center"/>
    </xf>
    <xf numFmtId="3" fontId="41" fillId="31" borderId="145" xfId="32" applyNumberFormat="1" applyFont="1" applyFill="1" applyBorder="1" applyAlignment="1">
      <alignment horizontal="center" vertical="center"/>
    </xf>
    <xf numFmtId="3" fontId="41" fillId="31" borderId="143" xfId="32" applyNumberFormat="1" applyFont="1" applyFill="1" applyBorder="1" applyAlignment="1">
      <alignment horizontal="center" vertical="center"/>
    </xf>
    <xf numFmtId="3" fontId="42" fillId="26" borderId="36" xfId="32" applyNumberFormat="1" applyFont="1" applyFill="1" applyBorder="1" applyAlignment="1">
      <alignment horizontal="center" vertical="center"/>
    </xf>
    <xf numFmtId="3" fontId="42" fillId="26" borderId="24" xfId="32" applyNumberFormat="1" applyFont="1" applyFill="1" applyBorder="1" applyAlignment="1">
      <alignment horizontal="center" vertical="center"/>
    </xf>
    <xf numFmtId="3" fontId="42" fillId="26" borderId="22" xfId="32" applyNumberFormat="1" applyFont="1" applyFill="1" applyBorder="1" applyAlignment="1">
      <alignment horizontal="center" vertical="center"/>
    </xf>
    <xf numFmtId="0" fontId="96" fillId="20" borderId="0" xfId="88" applyFont="1" applyFill="1" applyAlignment="1">
      <alignment horizontal="center" vertical="center" wrapText="1"/>
    </xf>
    <xf numFmtId="3" fontId="42" fillId="26" borderId="23" xfId="32" applyNumberFormat="1" applyFont="1" applyFill="1" applyBorder="1" applyAlignment="1">
      <alignment horizontal="center" vertical="center"/>
    </xf>
    <xf numFmtId="3" fontId="42" fillId="26" borderId="37" xfId="32" applyNumberFormat="1" applyFont="1" applyFill="1" applyBorder="1" applyAlignment="1">
      <alignment horizontal="center" vertical="center"/>
    </xf>
    <xf numFmtId="3" fontId="41" fillId="0" borderId="52" xfId="0" applyNumberFormat="1" applyFont="1" applyBorder="1" applyAlignment="1">
      <alignment horizontal="center" vertical="center"/>
    </xf>
    <xf numFmtId="49" fontId="34" fillId="0" borderId="39" xfId="31" applyNumberFormat="1" applyFont="1" applyBorder="1" applyAlignment="1">
      <alignment horizontal="center" vertical="center"/>
    </xf>
    <xf numFmtId="0" fontId="12" fillId="27" borderId="39" xfId="31" applyFont="1" applyFill="1" applyBorder="1" applyAlignment="1">
      <alignment horizontal="right" vertical="center"/>
    </xf>
    <xf numFmtId="0" fontId="86" fillId="0" borderId="15" xfId="2" applyNumberFormat="1" applyFont="1" applyFill="1" applyBorder="1" applyAlignment="1" applyProtection="1">
      <alignment horizontal="left" vertical="center" wrapText="1"/>
    </xf>
    <xf numFmtId="49" fontId="69" fillId="20" borderId="39" xfId="32" applyNumberFormat="1" applyFont="1" applyFill="1" applyBorder="1" applyAlignment="1">
      <alignment horizontal="center" vertical="center"/>
    </xf>
    <xf numFmtId="0" fontId="70" fillId="20" borderId="39" xfId="32" applyFont="1" applyFill="1" applyBorder="1" applyAlignment="1">
      <alignment horizontal="right" vertical="center"/>
    </xf>
    <xf numFmtId="0" fontId="70" fillId="20" borderId="26" xfId="32" applyFont="1" applyFill="1" applyBorder="1" applyAlignment="1">
      <alignment horizontal="right" vertical="center"/>
    </xf>
    <xf numFmtId="49" fontId="69" fillId="20" borderId="26" xfId="32" applyNumberFormat="1" applyFont="1" applyFill="1" applyBorder="1" applyAlignment="1">
      <alignment horizontal="left" vertical="center"/>
    </xf>
    <xf numFmtId="49" fontId="69" fillId="20" borderId="35" xfId="32" applyNumberFormat="1" applyFont="1" applyFill="1" applyBorder="1" applyAlignment="1">
      <alignment horizontal="left" vertical="center"/>
    </xf>
    <xf numFmtId="49" fontId="34" fillId="3" borderId="24" xfId="0" applyNumberFormat="1" applyFont="1" applyFill="1" applyBorder="1" applyAlignment="1" applyProtection="1">
      <alignment horizontal="left" vertical="center"/>
      <protection locked="0"/>
    </xf>
    <xf numFmtId="49" fontId="34" fillId="3" borderId="15" xfId="0" applyNumberFormat="1" applyFont="1" applyFill="1" applyBorder="1" applyAlignment="1" applyProtection="1">
      <alignment horizontal="left" vertical="center"/>
      <protection locked="0"/>
    </xf>
    <xf numFmtId="0" fontId="12" fillId="0" borderId="21" xfId="0" applyFont="1" applyBorder="1" applyAlignment="1">
      <alignment horizontal="center" vertical="center" wrapText="1"/>
    </xf>
    <xf numFmtId="0" fontId="20" fillId="0" borderId="0" xfId="0" applyFont="1" applyAlignment="1">
      <alignment horizontal="center" vertical="center" wrapText="1"/>
    </xf>
    <xf numFmtId="0" fontId="12" fillId="0" borderId="35" xfId="31" applyFont="1" applyBorder="1" applyAlignment="1">
      <alignment horizontal="center" vertical="center" wrapText="1"/>
    </xf>
    <xf numFmtId="0" fontId="21" fillId="37" borderId="40" xfId="0" applyFont="1" applyFill="1" applyBorder="1" applyAlignment="1">
      <alignment horizontal="center" vertical="center" wrapText="1"/>
    </xf>
    <xf numFmtId="0" fontId="20" fillId="27" borderId="0" xfId="32" applyFont="1" applyFill="1" applyAlignment="1">
      <alignment horizontal="center" vertical="center" wrapText="1"/>
    </xf>
    <xf numFmtId="0" fontId="43" fillId="26" borderId="0" xfId="0" applyFont="1" applyFill="1" applyAlignment="1">
      <alignment vertical="center"/>
    </xf>
    <xf numFmtId="0" fontId="43" fillId="27" borderId="0" xfId="0" applyFont="1" applyFill="1"/>
    <xf numFmtId="0" fontId="84" fillId="26" borderId="0" xfId="0" applyFont="1" applyFill="1" applyAlignment="1">
      <alignment horizontal="left" vertical="center" wrapText="1"/>
    </xf>
    <xf numFmtId="0" fontId="15" fillId="27" borderId="0" xfId="32" applyFont="1" applyFill="1" applyAlignment="1">
      <alignment horizontal="center" vertical="center" wrapText="1"/>
    </xf>
    <xf numFmtId="0" fontId="43" fillId="27" borderId="0" xfId="32" applyFont="1" applyFill="1" applyAlignment="1">
      <alignment vertical="center" wrapText="1"/>
    </xf>
    <xf numFmtId="0" fontId="43" fillId="27" borderId="0" xfId="32" applyFont="1" applyFill="1" applyAlignment="1">
      <alignment vertical="center"/>
    </xf>
    <xf numFmtId="0" fontId="77" fillId="27" borderId="0" xfId="32" applyFont="1" applyFill="1" applyAlignment="1">
      <alignment horizontal="center" vertical="center" wrapText="1"/>
    </xf>
    <xf numFmtId="0" fontId="81" fillId="27" borderId="0" xfId="32" applyFont="1" applyFill="1" applyAlignment="1">
      <alignment horizontal="center" vertical="center"/>
    </xf>
    <xf numFmtId="0" fontId="69" fillId="27" borderId="0" xfId="32" applyFont="1" applyFill="1" applyAlignment="1">
      <alignment horizontal="center" vertical="center"/>
    </xf>
    <xf numFmtId="0" fontId="13" fillId="27" borderId="0" xfId="32" applyFont="1" applyFill="1" applyAlignment="1">
      <alignment horizontal="right" vertical="center"/>
    </xf>
    <xf numFmtId="0" fontId="15" fillId="0" borderId="0" xfId="31" applyFont="1" applyAlignment="1">
      <alignment horizontal="center" vertical="center" wrapText="1"/>
    </xf>
    <xf numFmtId="0" fontId="20" fillId="0" borderId="0" xfId="0" applyFont="1" applyAlignment="1">
      <alignment horizontal="center" vertical="center"/>
    </xf>
    <xf numFmtId="49" fontId="12" fillId="0" borderId="75" xfId="31" applyNumberFormat="1" applyFont="1" applyBorder="1" applyAlignment="1">
      <alignment horizontal="center" vertical="center"/>
    </xf>
    <xf numFmtId="0" fontId="43" fillId="0" borderId="0" xfId="0" applyFont="1" applyAlignment="1">
      <alignment vertical="center" wrapText="1"/>
    </xf>
    <xf numFmtId="0" fontId="20" fillId="27" borderId="0" xfId="49" applyFont="1" applyFill="1" applyAlignment="1">
      <alignment horizontal="center" vertical="center" wrapText="1"/>
    </xf>
    <xf numFmtId="0" fontId="15" fillId="27" borderId="0" xfId="49" applyFont="1" applyFill="1" applyAlignment="1">
      <alignment horizontal="center" vertical="center" wrapText="1"/>
    </xf>
    <xf numFmtId="0" fontId="40" fillId="24" borderId="1" xfId="49" applyFont="1" applyFill="1" applyBorder="1" applyAlignment="1">
      <alignment horizontal="center" vertical="center" wrapText="1"/>
    </xf>
    <xf numFmtId="0" fontId="43" fillId="27" borderId="0" xfId="49" applyFont="1" applyFill="1" applyAlignment="1">
      <alignment vertical="center" wrapText="1"/>
    </xf>
    <xf numFmtId="49" fontId="69" fillId="0" borderId="0" xfId="32" applyNumberFormat="1" applyFont="1" applyAlignment="1">
      <alignment vertical="center"/>
    </xf>
    <xf numFmtId="0" fontId="69" fillId="0" borderId="0" xfId="32" applyFont="1" applyAlignment="1">
      <alignment vertical="center"/>
    </xf>
    <xf numFmtId="0" fontId="72" fillId="0" borderId="0" xfId="32" applyFont="1"/>
    <xf numFmtId="0" fontId="42" fillId="0" borderId="0" xfId="0" applyFont="1"/>
    <xf numFmtId="3" fontId="40" fillId="0" borderId="0" xfId="0" applyNumberFormat="1" applyFont="1"/>
    <xf numFmtId="49" fontId="70" fillId="27" borderId="25" xfId="0" applyNumberFormat="1" applyFont="1" applyFill="1" applyBorder="1" applyAlignment="1">
      <alignment horizontal="left" vertical="center"/>
    </xf>
    <xf numFmtId="0" fontId="32" fillId="27" borderId="27" xfId="31" applyFont="1" applyFill="1" applyBorder="1" applyAlignment="1">
      <alignment horizontal="center" vertical="center"/>
    </xf>
    <xf numFmtId="0" fontId="12" fillId="27" borderId="16" xfId="31" applyFont="1" applyFill="1" applyBorder="1"/>
    <xf numFmtId="0" fontId="12" fillId="27" borderId="0" xfId="0" applyFont="1" applyFill="1" applyAlignment="1">
      <alignment horizontal="left"/>
    </xf>
    <xf numFmtId="0" fontId="19" fillId="0" borderId="0" xfId="0" applyFont="1" applyAlignment="1">
      <alignment vertical="center"/>
    </xf>
    <xf numFmtId="3" fontId="12" fillId="0" borderId="51" xfId="70" applyNumberFormat="1" applyFont="1" applyFill="1" applyBorder="1" applyAlignment="1" applyProtection="1">
      <alignment horizontal="center" vertical="center" wrapText="1"/>
    </xf>
    <xf numFmtId="3" fontId="12" fillId="0" borderId="73" xfId="70" applyNumberFormat="1" applyFont="1" applyFill="1" applyBorder="1" applyAlignment="1" applyProtection="1">
      <alignment horizontal="center" vertical="center" wrapText="1"/>
    </xf>
    <xf numFmtId="3" fontId="12" fillId="0" borderId="76" xfId="70" applyNumberFormat="1" applyFont="1" applyFill="1" applyBorder="1" applyAlignment="1" applyProtection="1">
      <alignment horizontal="center" vertical="center" wrapText="1"/>
    </xf>
    <xf numFmtId="3" fontId="12" fillId="0" borderId="17" xfId="70" applyNumberFormat="1" applyFont="1" applyFill="1" applyBorder="1" applyAlignment="1" applyProtection="1">
      <alignment horizontal="center" vertical="center" wrapText="1"/>
    </xf>
    <xf numFmtId="3" fontId="12" fillId="0" borderId="7" xfId="70" applyNumberFormat="1" applyFont="1" applyFill="1" applyBorder="1" applyAlignment="1" applyProtection="1">
      <alignment horizontal="center" vertical="center" wrapText="1"/>
    </xf>
    <xf numFmtId="3" fontId="12" fillId="0" borderId="53" xfId="70" applyNumberFormat="1" applyFont="1" applyFill="1" applyBorder="1" applyAlignment="1" applyProtection="1">
      <alignment horizontal="center" vertical="center" wrapText="1"/>
    </xf>
    <xf numFmtId="0" fontId="34" fillId="0" borderId="0" xfId="31" applyFont="1" applyAlignment="1">
      <alignment vertical="center"/>
    </xf>
    <xf numFmtId="0" fontId="70" fillId="27" borderId="0" xfId="32" applyFont="1" applyFill="1" applyAlignment="1">
      <alignment vertical="center"/>
    </xf>
    <xf numFmtId="0" fontId="34" fillId="27" borderId="0" xfId="32" applyFont="1" applyFill="1" applyAlignment="1">
      <alignment horizontal="center" vertical="center"/>
    </xf>
    <xf numFmtId="0" fontId="70" fillId="27" borderId="0" xfId="32" applyFont="1" applyFill="1" applyAlignment="1">
      <alignment horizontal="center" vertical="center"/>
    </xf>
    <xf numFmtId="49" fontId="70" fillId="27" borderId="0" xfId="32" applyNumberFormat="1" applyFont="1" applyFill="1" applyAlignment="1">
      <alignment horizontal="center" vertical="center"/>
    </xf>
    <xf numFmtId="0" fontId="72" fillId="27" borderId="0" xfId="32" applyFont="1" applyFill="1" applyAlignment="1">
      <alignment horizontal="center" vertical="center"/>
    </xf>
    <xf numFmtId="0" fontId="48" fillId="27" borderId="0" xfId="0" applyFont="1" applyFill="1" applyAlignment="1">
      <alignment vertical="center"/>
    </xf>
    <xf numFmtId="0" fontId="48" fillId="27" borderId="0" xfId="0" applyFont="1" applyFill="1" applyAlignment="1">
      <alignment horizontal="center" vertical="center"/>
    </xf>
    <xf numFmtId="10" fontId="12" fillId="21" borderId="16" xfId="70" applyNumberFormat="1" applyFont="1" applyFill="1" applyBorder="1" applyAlignment="1" applyProtection="1">
      <alignment horizontal="center" vertical="center"/>
    </xf>
    <xf numFmtId="10" fontId="12" fillId="21" borderId="12" xfId="70" applyNumberFormat="1" applyFont="1" applyFill="1" applyBorder="1" applyAlignment="1" applyProtection="1">
      <alignment horizontal="center" vertical="center"/>
    </xf>
    <xf numFmtId="10" fontId="12" fillId="0" borderId="0" xfId="0" applyNumberFormat="1" applyFont="1" applyAlignment="1">
      <alignment vertical="center"/>
    </xf>
    <xf numFmtId="177" fontId="12" fillId="21" borderId="83" xfId="70" applyNumberFormat="1" applyFont="1" applyFill="1" applyBorder="1" applyAlignment="1" applyProtection="1">
      <alignment horizontal="center" vertical="center"/>
    </xf>
    <xf numFmtId="2" fontId="12" fillId="26" borderId="15" xfId="70" applyNumberFormat="1" applyFont="1" applyFill="1" applyBorder="1" applyAlignment="1" applyProtection="1">
      <alignment horizontal="center" vertical="center"/>
    </xf>
    <xf numFmtId="10" fontId="12" fillId="21" borderId="100" xfId="70" applyNumberFormat="1" applyFont="1" applyFill="1" applyBorder="1" applyAlignment="1" applyProtection="1">
      <alignment horizontal="center" vertical="center"/>
    </xf>
    <xf numFmtId="4" fontId="12" fillId="21" borderId="83" xfId="70" applyNumberFormat="1" applyFont="1" applyFill="1" applyBorder="1" applyAlignment="1" applyProtection="1">
      <alignment horizontal="center" vertical="center"/>
    </xf>
    <xf numFmtId="172" fontId="12" fillId="21" borderId="83" xfId="70" applyNumberFormat="1" applyFont="1" applyFill="1" applyBorder="1" applyAlignment="1" applyProtection="1">
      <alignment horizontal="center" vertical="center"/>
    </xf>
    <xf numFmtId="172" fontId="12" fillId="21" borderId="12" xfId="70" applyNumberFormat="1" applyFont="1" applyFill="1" applyBorder="1" applyAlignment="1" applyProtection="1">
      <alignment horizontal="center" vertical="center"/>
    </xf>
    <xf numFmtId="177" fontId="12" fillId="21" borderId="12" xfId="70" applyNumberFormat="1" applyFont="1" applyFill="1" applyBorder="1" applyAlignment="1" applyProtection="1">
      <alignment horizontal="center" vertical="center"/>
    </xf>
    <xf numFmtId="2" fontId="12" fillId="21" borderId="12" xfId="70" applyNumberFormat="1" applyFont="1" applyFill="1" applyBorder="1" applyAlignment="1" applyProtection="1">
      <alignment horizontal="center" vertical="center"/>
    </xf>
    <xf numFmtId="2" fontId="12" fillId="21" borderId="84" xfId="70" applyNumberFormat="1" applyFont="1" applyFill="1" applyBorder="1" applyAlignment="1" applyProtection="1">
      <alignment horizontal="center" vertical="center"/>
    </xf>
    <xf numFmtId="0" fontId="65" fillId="27" borderId="0" xfId="32" applyFont="1" applyFill="1" applyAlignment="1">
      <alignment horizontal="center" vertical="center"/>
    </xf>
    <xf numFmtId="0" fontId="57" fillId="20" borderId="0" xfId="52" applyFont="1" applyFill="1" applyAlignment="1">
      <alignment vertical="center"/>
    </xf>
    <xf numFmtId="3" fontId="57" fillId="0" borderId="15" xfId="52" applyNumberFormat="1" applyFont="1" applyBorder="1" applyAlignment="1">
      <alignment horizontal="center" vertical="center"/>
    </xf>
    <xf numFmtId="3" fontId="57" fillId="26" borderId="0" xfId="52" applyNumberFormat="1" applyFont="1" applyFill="1" applyAlignment="1">
      <alignment vertical="center"/>
    </xf>
    <xf numFmtId="0" fontId="57" fillId="26" borderId="0" xfId="52" applyFont="1" applyFill="1" applyAlignment="1">
      <alignment vertical="center"/>
    </xf>
    <xf numFmtId="3" fontId="57" fillId="27" borderId="0" xfId="52" applyNumberFormat="1" applyFont="1" applyFill="1" applyAlignment="1">
      <alignment vertical="center"/>
    </xf>
    <xf numFmtId="10" fontId="57" fillId="27" borderId="0" xfId="52" applyNumberFormat="1" applyFont="1" applyFill="1" applyAlignment="1">
      <alignment vertical="center"/>
    </xf>
    <xf numFmtId="0" fontId="84" fillId="27" borderId="17" xfId="52" applyFont="1" applyFill="1" applyBorder="1" applyAlignment="1">
      <alignment horizontal="left" vertical="center" wrapText="1"/>
    </xf>
    <xf numFmtId="0" fontId="41" fillId="27" borderId="0" xfId="57" applyFont="1" applyFill="1" applyAlignment="1">
      <alignment vertical="center"/>
    </xf>
    <xf numFmtId="0" fontId="57" fillId="27" borderId="0" xfId="57" applyFont="1" applyFill="1" applyAlignment="1">
      <alignment vertical="center"/>
    </xf>
    <xf numFmtId="0" fontId="57" fillId="27" borderId="21" xfId="52" applyFont="1" applyFill="1" applyBorder="1" applyAlignment="1">
      <alignment horizontal="left" vertical="center" wrapText="1"/>
    </xf>
    <xf numFmtId="0" fontId="41" fillId="26" borderId="0" xfId="57" applyFont="1" applyFill="1" applyAlignment="1">
      <alignment vertical="center"/>
    </xf>
    <xf numFmtId="4" fontId="65" fillId="31" borderId="15" xfId="57" applyNumberFormat="1" applyFont="1" applyFill="1" applyBorder="1" applyAlignment="1">
      <alignment horizontal="center" vertical="center"/>
    </xf>
    <xf numFmtId="0" fontId="65" fillId="23" borderId="9" xfId="57" applyFont="1" applyFill="1" applyBorder="1" applyAlignment="1">
      <alignment horizontal="left" vertical="center"/>
    </xf>
    <xf numFmtId="0" fontId="12" fillId="27" borderId="0" xfId="57" applyFont="1" applyFill="1" applyAlignment="1">
      <alignment vertical="center"/>
    </xf>
    <xf numFmtId="3" fontId="65" fillId="27" borderId="52" xfId="57" applyNumberFormat="1" applyFont="1" applyFill="1" applyBorder="1" applyAlignment="1">
      <alignment horizontal="center" vertical="center"/>
    </xf>
    <xf numFmtId="3" fontId="65" fillId="27" borderId="7" xfId="57" applyNumberFormat="1" applyFont="1" applyFill="1" applyBorder="1" applyAlignment="1">
      <alignment horizontal="center" vertical="center"/>
    </xf>
    <xf numFmtId="3" fontId="65" fillId="27" borderId="53" xfId="57" applyNumberFormat="1" applyFont="1" applyFill="1" applyBorder="1" applyAlignment="1">
      <alignment horizontal="center" vertical="center"/>
    </xf>
    <xf numFmtId="0" fontId="117" fillId="20" borderId="20" xfId="88" applyFont="1" applyFill="1" applyBorder="1" applyAlignment="1">
      <alignment vertical="center"/>
    </xf>
    <xf numFmtId="0" fontId="117" fillId="20" borderId="0" xfId="88" applyFont="1" applyFill="1" applyAlignment="1">
      <alignment vertical="center"/>
    </xf>
    <xf numFmtId="0" fontId="16" fillId="27" borderId="0" xfId="32" applyFont="1" applyFill="1" applyAlignment="1">
      <alignment vertical="center"/>
    </xf>
    <xf numFmtId="0" fontId="12" fillId="27" borderId="0" xfId="32" applyFont="1" applyFill="1" applyAlignment="1">
      <alignment vertical="center"/>
    </xf>
    <xf numFmtId="0" fontId="16" fillId="27" borderId="0" xfId="52" applyFont="1" applyFill="1" applyAlignment="1">
      <alignment vertical="center"/>
    </xf>
    <xf numFmtId="0" fontId="57" fillId="27" borderId="0" xfId="80" applyFont="1" applyFill="1" applyAlignment="1">
      <alignment vertical="center"/>
    </xf>
    <xf numFmtId="0" fontId="57" fillId="20" borderId="18" xfId="52" applyFont="1" applyFill="1" applyBorder="1" applyAlignment="1">
      <alignment horizontal="left" vertical="center" wrapText="1"/>
    </xf>
    <xf numFmtId="10" fontId="65" fillId="31" borderId="52" xfId="70" applyNumberFormat="1" applyFont="1" applyFill="1" applyBorder="1" applyAlignment="1" applyProtection="1">
      <alignment horizontal="center" vertical="center"/>
    </xf>
    <xf numFmtId="10" fontId="65" fillId="31" borderId="7" xfId="70" applyNumberFormat="1" applyFont="1" applyFill="1" applyBorder="1" applyAlignment="1" applyProtection="1">
      <alignment horizontal="center" vertical="center"/>
    </xf>
    <xf numFmtId="10" fontId="65" fillId="31" borderId="53" xfId="70" applyNumberFormat="1" applyFont="1" applyFill="1" applyBorder="1" applyAlignment="1" applyProtection="1">
      <alignment horizontal="center" vertical="center"/>
    </xf>
    <xf numFmtId="0" fontId="21" fillId="28" borderId="1" xfId="49" applyFont="1" applyFill="1" applyBorder="1" applyAlignment="1" applyProtection="1">
      <alignment horizontal="left" vertical="center"/>
      <protection locked="0"/>
    </xf>
    <xf numFmtId="0" fontId="40" fillId="28" borderId="8" xfId="49" applyFont="1" applyFill="1" applyBorder="1" applyAlignment="1" applyProtection="1">
      <alignment horizontal="center" vertical="center" wrapText="1"/>
      <protection locked="0"/>
    </xf>
    <xf numFmtId="0" fontId="40" fillId="28" borderId="3" xfId="49" applyFont="1" applyFill="1" applyBorder="1" applyAlignment="1" applyProtection="1">
      <alignment horizontal="center" vertical="center" wrapText="1"/>
      <protection locked="0"/>
    </xf>
    <xf numFmtId="3" fontId="43" fillId="27" borderId="0" xfId="49" applyNumberFormat="1" applyFont="1" applyFill="1" applyAlignment="1">
      <alignment vertical="center" wrapText="1"/>
    </xf>
    <xf numFmtId="171" fontId="40" fillId="37" borderId="70" xfId="49" applyNumberFormat="1" applyFont="1" applyFill="1" applyBorder="1" applyAlignment="1">
      <alignment horizontal="center" vertical="center" wrapText="1"/>
    </xf>
    <xf numFmtId="0" fontId="38" fillId="26" borderId="52" xfId="0" applyFont="1" applyFill="1" applyBorder="1" applyAlignment="1">
      <alignment horizontal="center" vertical="center" wrapText="1"/>
    </xf>
    <xf numFmtId="0" fontId="21" fillId="27" borderId="0" xfId="32" applyFont="1" applyFill="1" applyAlignment="1">
      <alignment vertical="center"/>
    </xf>
    <xf numFmtId="3" fontId="41" fillId="26" borderId="31" xfId="0" applyNumberFormat="1" applyFont="1" applyFill="1" applyBorder="1" applyAlignment="1">
      <alignment horizontal="center" vertical="center"/>
    </xf>
    <xf numFmtId="3" fontId="40" fillId="24" borderId="52" xfId="0" applyNumberFormat="1" applyFont="1" applyFill="1" applyBorder="1" applyAlignment="1">
      <alignment horizontal="center" vertical="center"/>
    </xf>
    <xf numFmtId="0" fontId="14" fillId="26" borderId="52" xfId="0" applyFont="1" applyFill="1" applyBorder="1" applyAlignment="1">
      <alignment horizontal="center" vertical="center"/>
    </xf>
    <xf numFmtId="3" fontId="41" fillId="29" borderId="53" xfId="49" applyNumberFormat="1" applyFont="1" applyFill="1" applyBorder="1" applyAlignment="1">
      <alignment horizontal="right" vertical="center"/>
    </xf>
    <xf numFmtId="0" fontId="41" fillId="26" borderId="52" xfId="0" applyFont="1" applyFill="1" applyBorder="1" applyAlignment="1">
      <alignment horizontal="center" vertical="center"/>
    </xf>
    <xf numFmtId="0" fontId="41" fillId="26" borderId="56" xfId="0" applyFont="1" applyFill="1" applyBorder="1" applyAlignment="1">
      <alignment horizontal="center" vertical="center"/>
    </xf>
    <xf numFmtId="0" fontId="103" fillId="0" borderId="77" xfId="0" applyFont="1" applyBorder="1" applyAlignment="1">
      <alignment horizontal="left" vertical="center" wrapText="1"/>
    </xf>
    <xf numFmtId="172" fontId="104" fillId="26" borderId="77" xfId="49" applyNumberFormat="1" applyFont="1" applyFill="1" applyBorder="1" applyAlignment="1">
      <alignment horizontal="center" vertical="center"/>
    </xf>
    <xf numFmtId="0" fontId="14" fillId="26" borderId="56" xfId="0" applyFont="1" applyFill="1" applyBorder="1" applyAlignment="1">
      <alignment horizontal="center" vertical="center"/>
    </xf>
    <xf numFmtId="0" fontId="41" fillId="26" borderId="52" xfId="0" applyFont="1" applyFill="1" applyBorder="1" applyAlignment="1">
      <alignment horizontal="center" vertical="center" wrapText="1"/>
    </xf>
    <xf numFmtId="3" fontId="40" fillId="24" borderId="56" xfId="0" applyNumberFormat="1" applyFont="1" applyFill="1" applyBorder="1" applyAlignment="1">
      <alignment horizontal="center" vertical="center"/>
    </xf>
    <xf numFmtId="3" fontId="40" fillId="24" borderId="77" xfId="0" applyNumberFormat="1" applyFont="1" applyFill="1" applyBorder="1" applyAlignment="1">
      <alignment horizontal="left" vertical="center" wrapText="1"/>
    </xf>
    <xf numFmtId="168" fontId="40" fillId="24" borderId="77" xfId="0" applyNumberFormat="1" applyFont="1" applyFill="1" applyBorder="1" applyAlignment="1">
      <alignment horizontal="center" vertical="center"/>
    </xf>
    <xf numFmtId="172" fontId="40" fillId="24" borderId="77" xfId="0" applyNumberFormat="1" applyFont="1" applyFill="1" applyBorder="1" applyAlignment="1">
      <alignment horizontal="center" vertical="center"/>
    </xf>
    <xf numFmtId="3" fontId="41" fillId="3" borderId="53" xfId="0" applyNumberFormat="1" applyFont="1" applyFill="1" applyBorder="1" applyAlignment="1" applyProtection="1">
      <alignment horizontal="center" vertical="center"/>
      <protection locked="0"/>
    </xf>
    <xf numFmtId="0" fontId="41" fillId="27" borderId="49" xfId="0" applyFont="1" applyFill="1" applyBorder="1" applyAlignment="1">
      <alignment horizontal="center" vertical="center" wrapText="1"/>
    </xf>
    <xf numFmtId="0" fontId="41" fillId="27" borderId="31" xfId="0" applyFont="1" applyFill="1" applyBorder="1" applyAlignment="1">
      <alignment horizontal="left" vertical="center" wrapText="1"/>
    </xf>
    <xf numFmtId="168" fontId="41" fillId="27" borderId="31" xfId="0" applyNumberFormat="1" applyFont="1" applyFill="1" applyBorder="1" applyAlignment="1">
      <alignment horizontal="center" vertical="center"/>
    </xf>
    <xf numFmtId="172" fontId="41" fillId="27" borderId="31" xfId="0" applyNumberFormat="1" applyFont="1" applyFill="1" applyBorder="1" applyAlignment="1">
      <alignment horizontal="center" vertical="center"/>
    </xf>
    <xf numFmtId="172" fontId="41" fillId="27" borderId="61" xfId="0" applyNumberFormat="1" applyFont="1" applyFill="1" applyBorder="1" applyAlignment="1">
      <alignment horizontal="center" vertical="center"/>
    </xf>
    <xf numFmtId="168" fontId="41" fillId="3" borderId="31" xfId="0" applyNumberFormat="1" applyFont="1" applyFill="1" applyBorder="1" applyAlignment="1" applyProtection="1">
      <alignment horizontal="center" vertical="center"/>
      <protection locked="0"/>
    </xf>
    <xf numFmtId="168" fontId="41" fillId="3" borderId="31" xfId="0" applyNumberFormat="1" applyFont="1" applyFill="1" applyBorder="1" applyAlignment="1" applyProtection="1">
      <alignment horizontal="center" vertical="center" wrapText="1"/>
      <protection locked="0"/>
    </xf>
    <xf numFmtId="168" fontId="41" fillId="26" borderId="31" xfId="0" applyNumberFormat="1" applyFont="1" applyFill="1" applyBorder="1" applyAlignment="1">
      <alignment horizontal="center" vertical="center" wrapText="1"/>
    </xf>
    <xf numFmtId="0" fontId="41" fillId="0" borderId="31" xfId="0" applyFont="1" applyBorder="1" applyAlignment="1">
      <alignment horizontal="left" vertical="center" wrapText="1"/>
    </xf>
    <xf numFmtId="3" fontId="41" fillId="29" borderId="31" xfId="49" applyNumberFormat="1" applyFont="1" applyFill="1" applyBorder="1" applyAlignment="1">
      <alignment horizontal="right" vertical="center"/>
    </xf>
    <xf numFmtId="3" fontId="41" fillId="29" borderId="50" xfId="49" applyNumberFormat="1" applyFont="1" applyFill="1" applyBorder="1" applyAlignment="1">
      <alignment horizontal="right" vertical="center"/>
    </xf>
    <xf numFmtId="0" fontId="16" fillId="0" borderId="0" xfId="32" applyFont="1" applyAlignment="1">
      <alignment vertical="center"/>
    </xf>
    <xf numFmtId="167" fontId="41" fillId="20" borderId="0" xfId="32" applyNumberFormat="1" applyFont="1" applyFill="1" applyAlignment="1">
      <alignment vertical="center"/>
    </xf>
    <xf numFmtId="0" fontId="41" fillId="20" borderId="0" xfId="32" applyFont="1" applyFill="1" applyAlignment="1">
      <alignment vertical="center"/>
    </xf>
    <xf numFmtId="0" fontId="41" fillId="0" borderId="0" xfId="78" applyFont="1" applyAlignment="1">
      <alignment vertical="center"/>
    </xf>
    <xf numFmtId="167" fontId="41" fillId="0" borderId="0" xfId="32" applyNumberFormat="1" applyFont="1" applyAlignment="1">
      <alignment vertical="center"/>
    </xf>
    <xf numFmtId="3" fontId="40" fillId="0" borderId="0" xfId="32" applyNumberFormat="1" applyFont="1" applyAlignment="1">
      <alignment vertical="center"/>
    </xf>
    <xf numFmtId="0" fontId="12" fillId="0" borderId="0" xfId="32" applyFont="1" applyAlignment="1">
      <alignment horizontal="center" vertical="center"/>
    </xf>
    <xf numFmtId="3" fontId="41" fillId="27" borderId="75" xfId="32" applyNumberFormat="1" applyFont="1" applyFill="1" applyBorder="1" applyAlignment="1">
      <alignment horizontal="center" vertical="center"/>
    </xf>
    <xf numFmtId="0" fontId="41" fillId="27" borderId="73" xfId="32" applyFont="1" applyFill="1" applyBorder="1" applyAlignment="1">
      <alignment horizontal="center" vertical="center"/>
    </xf>
    <xf numFmtId="0" fontId="41" fillId="27" borderId="76" xfId="32" applyFont="1" applyFill="1" applyBorder="1" applyAlignment="1">
      <alignment horizontal="center" vertical="center"/>
    </xf>
    <xf numFmtId="0" fontId="41" fillId="27" borderId="7" xfId="32" applyFont="1" applyFill="1" applyBorder="1" applyAlignment="1">
      <alignment horizontal="center" vertical="center"/>
    </xf>
    <xf numFmtId="0" fontId="41" fillId="27" borderId="53" xfId="32" applyFont="1" applyFill="1" applyBorder="1" applyAlignment="1">
      <alignment horizontal="center" vertical="center"/>
    </xf>
    <xf numFmtId="3" fontId="41" fillId="27" borderId="49" xfId="32" applyNumberFormat="1" applyFont="1" applyFill="1" applyBorder="1" applyAlignment="1">
      <alignment horizontal="center" vertical="center"/>
    </xf>
    <xf numFmtId="0" fontId="41" fillId="27" borderId="31" xfId="32" applyFont="1" applyFill="1" applyBorder="1" applyAlignment="1">
      <alignment horizontal="center" vertical="center"/>
    </xf>
    <xf numFmtId="0" fontId="41" fillId="27" borderId="50" xfId="32" applyFont="1" applyFill="1" applyBorder="1" applyAlignment="1">
      <alignment horizontal="center" vertical="center"/>
    </xf>
    <xf numFmtId="0" fontId="47" fillId="22" borderId="21" xfId="32" applyFont="1" applyFill="1" applyBorder="1" applyAlignment="1">
      <alignment horizontal="center" vertical="center"/>
    </xf>
    <xf numFmtId="0" fontId="45" fillId="0" borderId="21" xfId="0" applyFont="1" applyBorder="1" applyAlignment="1">
      <alignment horizontal="center" vertical="center"/>
    </xf>
    <xf numFmtId="9" fontId="45" fillId="27" borderId="21" xfId="70" applyFont="1" applyFill="1" applyBorder="1" applyAlignment="1" applyProtection="1">
      <alignment horizontal="center" vertical="center"/>
    </xf>
    <xf numFmtId="3" fontId="45" fillId="27" borderId="30" xfId="32" applyNumberFormat="1" applyFont="1" applyFill="1" applyBorder="1" applyAlignment="1">
      <alignment horizontal="left" vertical="center" wrapText="1"/>
    </xf>
    <xf numFmtId="3" fontId="57" fillId="0" borderId="57" xfId="55" applyNumberFormat="1" applyFont="1" applyFill="1" applyBorder="1" applyAlignment="1" applyProtection="1">
      <alignment horizontal="center" vertical="center"/>
    </xf>
    <xf numFmtId="3" fontId="57" fillId="0" borderId="56" xfId="55" applyNumberFormat="1" applyFont="1" applyFill="1" applyBorder="1" applyAlignment="1" applyProtection="1">
      <alignment horizontal="center" vertical="center"/>
    </xf>
    <xf numFmtId="3" fontId="57" fillId="0" borderId="77" xfId="55" applyNumberFormat="1" applyFont="1" applyFill="1" applyBorder="1" applyAlignment="1" applyProtection="1">
      <alignment horizontal="center" vertical="center"/>
    </xf>
    <xf numFmtId="3" fontId="57" fillId="0" borderId="78" xfId="55" applyNumberFormat="1" applyFont="1" applyFill="1" applyBorder="1" applyAlignment="1" applyProtection="1">
      <alignment horizontal="center" vertical="center"/>
    </xf>
    <xf numFmtId="3" fontId="57" fillId="3" borderId="77" xfId="32" applyNumberFormat="1" applyFont="1" applyFill="1" applyBorder="1" applyAlignment="1" applyProtection="1">
      <alignment horizontal="center" vertical="center"/>
      <protection locked="0"/>
    </xf>
    <xf numFmtId="3" fontId="57" fillId="3" borderId="78" xfId="32" applyNumberFormat="1" applyFont="1" applyFill="1" applyBorder="1" applyAlignment="1" applyProtection="1">
      <alignment horizontal="center" vertical="center"/>
      <protection locked="0"/>
    </xf>
    <xf numFmtId="3" fontId="57" fillId="3" borderId="21" xfId="32" applyNumberFormat="1" applyFont="1" applyFill="1" applyBorder="1" applyAlignment="1" applyProtection="1">
      <alignment horizontal="center" vertical="center" wrapText="1"/>
      <protection locked="0"/>
    </xf>
    <xf numFmtId="3" fontId="125" fillId="0" borderId="21" xfId="32" applyNumberFormat="1" applyFont="1" applyBorder="1" applyAlignment="1">
      <alignment horizontal="left" vertical="center" wrapText="1"/>
    </xf>
    <xf numFmtId="0" fontId="45" fillId="22" borderId="21" xfId="32" applyFont="1" applyFill="1" applyBorder="1" applyAlignment="1">
      <alignment horizontal="center" vertical="center"/>
    </xf>
    <xf numFmtId="0" fontId="45" fillId="0" borderId="21" xfId="32" applyFont="1" applyBorder="1" applyAlignment="1">
      <alignment horizontal="center" vertical="center"/>
    </xf>
    <xf numFmtId="3" fontId="45" fillId="27" borderId="21" xfId="32" applyNumberFormat="1" applyFont="1" applyFill="1" applyBorder="1" applyAlignment="1">
      <alignment horizontal="left" vertical="center" wrapText="1"/>
    </xf>
    <xf numFmtId="3" fontId="42" fillId="43" borderId="77" xfId="37" applyFont="1" applyFill="1" applyBorder="1" applyAlignment="1" applyProtection="1">
      <alignment horizontal="center" vertical="center" wrapText="1"/>
    </xf>
    <xf numFmtId="3" fontId="42" fillId="43" borderId="57" xfId="37" applyFont="1" applyFill="1" applyBorder="1" applyAlignment="1" applyProtection="1">
      <alignment horizontal="center" vertical="center" wrapText="1"/>
    </xf>
    <xf numFmtId="0" fontId="40" fillId="0" borderId="76" xfId="49" applyFont="1" applyBorder="1" applyAlignment="1">
      <alignment horizontal="left" vertical="center" wrapText="1"/>
    </xf>
    <xf numFmtId="0" fontId="40" fillId="0" borderId="53" xfId="49" applyFont="1" applyBorder="1" applyAlignment="1">
      <alignment horizontal="left" vertical="center" wrapText="1"/>
    </xf>
    <xf numFmtId="3" fontId="12" fillId="3" borderId="49" xfId="32" applyNumberFormat="1" applyFont="1" applyFill="1" applyBorder="1" applyAlignment="1" applyProtection="1">
      <alignment horizontal="center" vertical="center"/>
      <protection locked="0"/>
    </xf>
    <xf numFmtId="174" fontId="41" fillId="0" borderId="4" xfId="37" applyNumberFormat="1" applyFont="1" applyBorder="1" applyProtection="1">
      <alignment horizontal="right" vertical="center" wrapText="1"/>
    </xf>
    <xf numFmtId="174" fontId="41" fillId="0" borderId="31" xfId="28" applyNumberFormat="1" applyFont="1" applyFill="1" applyBorder="1">
      <alignment horizontal="right" vertical="center" wrapText="1"/>
    </xf>
    <xf numFmtId="174" fontId="41" fillId="0" borderId="50" xfId="28" applyNumberFormat="1" applyFont="1" applyFill="1" applyBorder="1">
      <alignment horizontal="right" vertical="center" wrapText="1"/>
    </xf>
    <xf numFmtId="174" fontId="41" fillId="0" borderId="31" xfId="37" applyNumberFormat="1" applyFont="1" applyBorder="1" applyProtection="1">
      <alignment horizontal="right" vertical="center" wrapText="1"/>
    </xf>
    <xf numFmtId="3" fontId="12" fillId="26" borderId="49" xfId="32" applyNumberFormat="1" applyFont="1" applyFill="1" applyBorder="1" applyAlignment="1">
      <alignment horizontal="center" vertical="center"/>
    </xf>
    <xf numFmtId="174" fontId="41" fillId="26" borderId="31" xfId="37" applyNumberFormat="1" applyFont="1" applyFill="1" applyBorder="1" applyProtection="1">
      <alignment horizontal="right" vertical="center" wrapText="1"/>
    </xf>
    <xf numFmtId="174" fontId="41" fillId="26" borderId="31" xfId="28" applyNumberFormat="1" applyFont="1" applyFill="1" applyBorder="1">
      <alignment horizontal="right" vertical="center" wrapText="1"/>
    </xf>
    <xf numFmtId="174" fontId="41" fillId="26" borderId="50" xfId="28" applyNumberFormat="1" applyFont="1" applyFill="1" applyBorder="1">
      <alignment horizontal="right" vertical="center" wrapText="1"/>
    </xf>
    <xf numFmtId="49" fontId="12" fillId="0" borderId="17" xfId="0" applyNumberFormat="1" applyFont="1" applyBorder="1" applyAlignment="1">
      <alignment horizontal="center" vertical="center"/>
    </xf>
    <xf numFmtId="49" fontId="12" fillId="0" borderId="5" xfId="0" applyNumberFormat="1" applyFont="1" applyBorder="1" applyAlignment="1">
      <alignment horizontal="center" vertical="center"/>
    </xf>
    <xf numFmtId="49" fontId="12" fillId="0" borderId="21" xfId="0" applyNumberFormat="1" applyFont="1" applyBorder="1" applyAlignment="1">
      <alignment horizontal="center" vertical="center"/>
    </xf>
    <xf numFmtId="49" fontId="41" fillId="0" borderId="37" xfId="27" applyFont="1" applyFill="1" applyBorder="1" applyAlignment="1">
      <alignment vertical="center" wrapText="1"/>
    </xf>
    <xf numFmtId="49" fontId="12" fillId="0" borderId="39" xfId="0" applyNumberFormat="1" applyFont="1" applyBorder="1" applyAlignment="1">
      <alignment horizontal="center" vertical="center"/>
    </xf>
    <xf numFmtId="49" fontId="41" fillId="0" borderId="6" xfId="27" applyFont="1" applyFill="1" applyBorder="1" applyAlignment="1">
      <alignment vertical="center" wrapText="1"/>
    </xf>
    <xf numFmtId="49" fontId="41" fillId="0" borderId="15" xfId="27" applyFont="1" applyFill="1" applyBorder="1" applyAlignment="1">
      <alignment vertical="center" wrapText="1"/>
    </xf>
    <xf numFmtId="49" fontId="41" fillId="0" borderId="18" xfId="27" applyFont="1" applyFill="1" applyBorder="1" applyAlignment="1">
      <alignment vertical="center" wrapText="1"/>
    </xf>
    <xf numFmtId="0" fontId="50" fillId="27" borderId="0" xfId="49" applyFont="1" applyFill="1" applyAlignment="1">
      <alignment vertical="center" wrapText="1"/>
    </xf>
    <xf numFmtId="0" fontId="50" fillId="27" borderId="0" xfId="49" applyFont="1" applyFill="1" applyAlignment="1">
      <alignment vertical="center"/>
    </xf>
    <xf numFmtId="3" fontId="50" fillId="27" borderId="0" xfId="49" applyNumberFormat="1" applyFont="1" applyFill="1" applyAlignment="1">
      <alignment vertical="center" wrapText="1"/>
    </xf>
    <xf numFmtId="3" fontId="50" fillId="27" borderId="0" xfId="49" applyNumberFormat="1" applyFont="1" applyFill="1" applyAlignment="1">
      <alignment vertical="center"/>
    </xf>
    <xf numFmtId="3" fontId="43" fillId="27" borderId="0" xfId="49" applyNumberFormat="1" applyFont="1" applyFill="1" applyAlignment="1">
      <alignment vertical="center"/>
    </xf>
    <xf numFmtId="0" fontId="41" fillId="27" borderId="5" xfId="49" applyFont="1" applyFill="1" applyBorder="1" applyAlignment="1">
      <alignment horizontal="center" vertical="center"/>
    </xf>
    <xf numFmtId="9" fontId="41" fillId="26" borderId="5" xfId="49" applyNumberFormat="1" applyFont="1" applyFill="1" applyBorder="1" applyAlignment="1">
      <alignment horizontal="center" vertical="center"/>
    </xf>
    <xf numFmtId="49" fontId="41" fillId="26" borderId="5" xfId="49" applyNumberFormat="1" applyFont="1" applyFill="1" applyBorder="1" applyAlignment="1">
      <alignment horizontal="left" vertical="center" wrapText="1"/>
    </xf>
    <xf numFmtId="3" fontId="12" fillId="0" borderId="49" xfId="49" applyNumberFormat="1" applyFont="1" applyBorder="1" applyAlignment="1">
      <alignment horizontal="center" vertical="center" wrapText="1"/>
    </xf>
    <xf numFmtId="3" fontId="12" fillId="0" borderId="31" xfId="49" applyNumberFormat="1" applyFont="1" applyBorder="1" applyAlignment="1">
      <alignment horizontal="center" vertical="center" wrapText="1"/>
    </xf>
    <xf numFmtId="3" fontId="12" fillId="0" borderId="50" xfId="49" applyNumberFormat="1" applyFont="1" applyBorder="1" applyAlignment="1">
      <alignment horizontal="center" vertical="center" wrapText="1"/>
    </xf>
    <xf numFmtId="3" fontId="42" fillId="26" borderId="130" xfId="49" applyNumberFormat="1" applyFont="1" applyFill="1" applyBorder="1" applyAlignment="1">
      <alignment horizontal="center" vertical="center" wrapText="1"/>
    </xf>
    <xf numFmtId="3" fontId="42" fillId="26" borderId="151" xfId="49" applyNumberFormat="1" applyFont="1" applyFill="1" applyBorder="1" applyAlignment="1">
      <alignment horizontal="center" vertical="center" wrapText="1"/>
    </xf>
    <xf numFmtId="3" fontId="42" fillId="26" borderId="117" xfId="49" applyNumberFormat="1" applyFont="1" applyFill="1" applyBorder="1" applyAlignment="1">
      <alignment horizontal="center" vertical="center" wrapText="1"/>
    </xf>
    <xf numFmtId="3" fontId="42" fillId="26" borderId="137" xfId="49" applyNumberFormat="1" applyFont="1" applyFill="1" applyBorder="1" applyAlignment="1">
      <alignment horizontal="center" vertical="center" wrapText="1"/>
    </xf>
    <xf numFmtId="9" fontId="41" fillId="26" borderId="5" xfId="49" applyNumberFormat="1" applyFont="1" applyFill="1" applyBorder="1" applyAlignment="1">
      <alignment horizontal="left" vertical="center"/>
    </xf>
    <xf numFmtId="0" fontId="42" fillId="27" borderId="50" xfId="49" applyFont="1" applyFill="1" applyBorder="1" applyAlignment="1">
      <alignment horizontal="left" vertical="center" wrapText="1"/>
    </xf>
    <xf numFmtId="0" fontId="42" fillId="0" borderId="50" xfId="49" applyFont="1" applyBorder="1" applyAlignment="1">
      <alignment horizontal="left" vertical="center" wrapText="1"/>
    </xf>
    <xf numFmtId="0" fontId="42" fillId="0" borderId="53" xfId="49" applyFont="1" applyBorder="1" applyAlignment="1">
      <alignment horizontal="left" vertical="center" wrapText="1"/>
    </xf>
    <xf numFmtId="3" fontId="12" fillId="0" borderId="53" xfId="32" applyNumberFormat="1" applyFont="1" applyBorder="1" applyAlignment="1">
      <alignment horizontal="left" vertical="center"/>
    </xf>
    <xf numFmtId="49" fontId="42" fillId="27" borderId="30" xfId="49" applyNumberFormat="1" applyFont="1" applyFill="1" applyBorder="1" applyAlignment="1">
      <alignment horizontal="left" vertical="center" wrapText="1"/>
    </xf>
    <xf numFmtId="3" fontId="12" fillId="3" borderId="57" xfId="32" applyNumberFormat="1" applyFont="1" applyFill="1" applyBorder="1" applyAlignment="1" applyProtection="1">
      <alignment horizontal="center" vertical="center"/>
      <protection locked="0"/>
    </xf>
    <xf numFmtId="3" fontId="42" fillId="28" borderId="79" xfId="49" applyNumberFormat="1" applyFont="1" applyFill="1" applyBorder="1" applyAlignment="1" applyProtection="1">
      <alignment horizontal="center" vertical="center" wrapText="1"/>
      <protection locked="0"/>
    </xf>
    <xf numFmtId="3" fontId="42" fillId="28" borderId="28" xfId="49" applyNumberFormat="1" applyFont="1" applyFill="1" applyBorder="1" applyAlignment="1" applyProtection="1">
      <alignment horizontal="center" vertical="center" wrapText="1"/>
      <protection locked="0"/>
    </xf>
    <xf numFmtId="3" fontId="42" fillId="0" borderId="30" xfId="49" applyNumberFormat="1" applyFont="1" applyBorder="1" applyAlignment="1">
      <alignment horizontal="center" vertical="center" wrapText="1"/>
    </xf>
    <xf numFmtId="3" fontId="42" fillId="28" borderId="19" xfId="49" applyNumberFormat="1" applyFont="1" applyFill="1" applyBorder="1" applyAlignment="1" applyProtection="1">
      <alignment horizontal="center" vertical="center" wrapText="1"/>
      <protection locked="0"/>
    </xf>
    <xf numFmtId="3" fontId="42" fillId="0" borderId="79" xfId="49" applyNumberFormat="1" applyFont="1" applyBorder="1" applyAlignment="1">
      <alignment horizontal="center" vertical="center" wrapText="1"/>
    </xf>
    <xf numFmtId="3" fontId="42" fillId="0" borderId="28" xfId="49" applyNumberFormat="1" applyFont="1" applyBorder="1" applyAlignment="1">
      <alignment horizontal="center" vertical="center" wrapText="1"/>
    </xf>
    <xf numFmtId="3" fontId="12" fillId="0" borderId="21" xfId="32" applyNumberFormat="1" applyFont="1" applyBorder="1" applyAlignment="1">
      <alignment horizontal="center" vertical="center"/>
    </xf>
    <xf numFmtId="3" fontId="12" fillId="0" borderId="79" xfId="32" applyNumberFormat="1" applyFont="1" applyBorder="1" applyAlignment="1">
      <alignment horizontal="center" vertical="center"/>
    </xf>
    <xf numFmtId="3" fontId="12" fillId="0" borderId="77" xfId="32" applyNumberFormat="1" applyFont="1" applyBorder="1" applyAlignment="1">
      <alignment horizontal="center" vertical="center"/>
    </xf>
    <xf numFmtId="3" fontId="12" fillId="0" borderId="57" xfId="32" applyNumberFormat="1" applyFont="1" applyBorder="1" applyAlignment="1">
      <alignment horizontal="center" vertical="center"/>
    </xf>
    <xf numFmtId="0" fontId="81" fillId="0" borderId="0" xfId="32" applyFont="1" applyAlignment="1">
      <alignment horizontal="right" vertical="center"/>
    </xf>
    <xf numFmtId="3" fontId="45" fillId="0" borderId="52" xfId="32" applyNumberFormat="1" applyFont="1" applyBorder="1" applyAlignment="1">
      <alignment horizontal="center" vertical="center" wrapText="1"/>
    </xf>
    <xf numFmtId="3" fontId="45" fillId="0" borderId="7" xfId="32" applyNumberFormat="1" applyFont="1" applyBorder="1" applyAlignment="1">
      <alignment horizontal="center" vertical="center" wrapText="1"/>
    </xf>
    <xf numFmtId="3" fontId="45" fillId="0" borderId="15" xfId="32" applyNumberFormat="1" applyFont="1" applyBorder="1" applyAlignment="1">
      <alignment horizontal="center" vertical="center" wrapText="1"/>
    </xf>
    <xf numFmtId="3" fontId="40" fillId="0" borderId="52" xfId="32" applyNumberFormat="1" applyFont="1" applyBorder="1" applyAlignment="1">
      <alignment horizontal="center" vertical="center" wrapText="1"/>
    </xf>
    <xf numFmtId="3" fontId="40" fillId="0" borderId="7" xfId="32" applyNumberFormat="1" applyFont="1" applyBorder="1" applyAlignment="1">
      <alignment horizontal="center" vertical="center" wrapText="1"/>
    </xf>
    <xf numFmtId="3" fontId="40" fillId="0" borderId="53" xfId="32" applyNumberFormat="1" applyFont="1" applyBorder="1" applyAlignment="1">
      <alignment horizontal="center" vertical="center" wrapText="1"/>
    </xf>
    <xf numFmtId="3" fontId="45" fillId="26" borderId="52" xfId="32" applyNumberFormat="1" applyFont="1" applyFill="1" applyBorder="1" applyAlignment="1">
      <alignment horizontal="center" vertical="center" wrapText="1"/>
    </xf>
    <xf numFmtId="3" fontId="45" fillId="26" borderId="32" xfId="32" applyNumberFormat="1" applyFont="1" applyFill="1" applyBorder="1" applyAlignment="1">
      <alignment horizontal="center" vertical="center" wrapText="1"/>
    </xf>
    <xf numFmtId="3" fontId="45" fillId="26" borderId="15" xfId="32" applyNumberFormat="1" applyFont="1" applyFill="1" applyBorder="1" applyAlignment="1">
      <alignment horizontal="center" vertical="center" wrapText="1"/>
    </xf>
    <xf numFmtId="3" fontId="45" fillId="26" borderId="7" xfId="32" applyNumberFormat="1" applyFont="1" applyFill="1" applyBorder="1" applyAlignment="1">
      <alignment horizontal="center" vertical="center" wrapText="1"/>
    </xf>
    <xf numFmtId="3" fontId="41" fillId="26" borderId="52" xfId="0" applyNumberFormat="1" applyFont="1" applyFill="1" applyBorder="1" applyAlignment="1">
      <alignment horizontal="center" vertical="center"/>
    </xf>
    <xf numFmtId="0" fontId="14" fillId="26" borderId="54" xfId="0" applyFont="1" applyFill="1" applyBorder="1" applyAlignment="1">
      <alignment horizontal="center" vertical="center"/>
    </xf>
    <xf numFmtId="168" fontId="41" fillId="29" borderId="63" xfId="49" applyNumberFormat="1" applyFont="1" applyFill="1" applyBorder="1" applyAlignment="1">
      <alignment horizontal="right" vertical="center"/>
    </xf>
    <xf numFmtId="3" fontId="41" fillId="29" borderId="63" xfId="49" applyNumberFormat="1" applyFont="1" applyFill="1" applyBorder="1" applyAlignment="1">
      <alignment horizontal="right" vertical="center"/>
    </xf>
    <xf numFmtId="172" fontId="104" fillId="26" borderId="71" xfId="49" applyNumberFormat="1" applyFont="1" applyFill="1" applyBorder="1" applyAlignment="1">
      <alignment horizontal="center" vertical="center"/>
    </xf>
    <xf numFmtId="3" fontId="41" fillId="26" borderId="49" xfId="0" applyNumberFormat="1" applyFont="1" applyFill="1" applyBorder="1" applyAlignment="1">
      <alignment horizontal="center" vertical="center"/>
    </xf>
    <xf numFmtId="3" fontId="41" fillId="26" borderId="50" xfId="0" applyNumberFormat="1" applyFont="1" applyFill="1" applyBorder="1" applyAlignment="1">
      <alignment horizontal="center" vertical="center"/>
    </xf>
    <xf numFmtId="49" fontId="41" fillId="26" borderId="66" xfId="49" applyNumberFormat="1" applyFont="1" applyFill="1" applyBorder="1" applyAlignment="1">
      <alignment horizontal="left" vertical="center" wrapText="1"/>
    </xf>
    <xf numFmtId="3" fontId="41" fillId="0" borderId="16" xfId="49" applyNumberFormat="1" applyFont="1" applyBorder="1" applyAlignment="1">
      <alignment horizontal="center" vertical="center" wrapText="1"/>
    </xf>
    <xf numFmtId="0" fontId="41" fillId="0" borderId="68" xfId="49" applyFont="1" applyBorder="1" applyAlignment="1">
      <alignment horizontal="left" vertical="center" wrapText="1"/>
    </xf>
    <xf numFmtId="49" fontId="41" fillId="26" borderId="52" xfId="49" applyNumberFormat="1" applyFont="1" applyFill="1" applyBorder="1" applyAlignment="1">
      <alignment horizontal="left" vertical="center" wrapText="1"/>
    </xf>
    <xf numFmtId="0" fontId="41" fillId="0" borderId="53" xfId="31" applyFont="1" applyBorder="1" applyAlignment="1">
      <alignment horizontal="left" vertical="center" wrapText="1"/>
    </xf>
    <xf numFmtId="3" fontId="41" fillId="0" borderId="13" xfId="49" applyNumberFormat="1" applyFont="1" applyBorder="1" applyAlignment="1">
      <alignment horizontal="center" vertical="center" wrapText="1"/>
    </xf>
    <xf numFmtId="3" fontId="41" fillId="0" borderId="0" xfId="49" applyNumberFormat="1" applyFont="1" applyAlignment="1">
      <alignment horizontal="center" vertical="center" wrapText="1"/>
    </xf>
    <xf numFmtId="168" fontId="41" fillId="26" borderId="95" xfId="32" applyNumberFormat="1" applyFont="1" applyFill="1" applyBorder="1" applyAlignment="1">
      <alignment horizontal="center" vertical="center"/>
    </xf>
    <xf numFmtId="3" fontId="41" fillId="26" borderId="62" xfId="49" applyNumberFormat="1" applyFont="1" applyFill="1" applyBorder="1" applyAlignment="1">
      <alignment horizontal="center" vertical="center" wrapText="1"/>
    </xf>
    <xf numFmtId="3" fontId="41" fillId="26" borderId="53" xfId="49" applyNumberFormat="1" applyFont="1" applyFill="1" applyBorder="1" applyAlignment="1">
      <alignment horizontal="center" vertical="center" wrapText="1"/>
    </xf>
    <xf numFmtId="49" fontId="41" fillId="27" borderId="66" xfId="49" applyNumberFormat="1" applyFont="1" applyFill="1" applyBorder="1" applyAlignment="1">
      <alignment horizontal="left" vertical="center" wrapText="1"/>
    </xf>
    <xf numFmtId="3" fontId="41" fillId="0" borderId="37" xfId="49" applyNumberFormat="1" applyFont="1" applyBorder="1" applyAlignment="1">
      <alignment horizontal="center" vertical="center" wrapText="1"/>
    </xf>
    <xf numFmtId="9" fontId="41" fillId="0" borderId="63" xfId="1" applyFont="1" applyFill="1" applyBorder="1" applyAlignment="1" applyProtection="1">
      <alignment horizontal="center" vertical="center" wrapText="1"/>
    </xf>
    <xf numFmtId="3" fontId="41" fillId="0" borderId="69" xfId="49" applyNumberFormat="1" applyFont="1" applyBorder="1" applyAlignment="1">
      <alignment horizontal="center" vertical="center" wrapText="1"/>
    </xf>
    <xf numFmtId="9" fontId="41" fillId="0" borderId="69" xfId="1" applyFont="1" applyFill="1" applyBorder="1" applyAlignment="1" applyProtection="1">
      <alignment horizontal="center" vertical="center" wrapText="1"/>
    </xf>
    <xf numFmtId="9" fontId="41" fillId="0" borderId="37" xfId="1" applyFont="1" applyFill="1" applyBorder="1" applyAlignment="1" applyProtection="1">
      <alignment horizontal="center" vertical="center" wrapText="1"/>
    </xf>
    <xf numFmtId="9" fontId="41" fillId="0" borderId="18" xfId="1" applyFont="1" applyFill="1" applyBorder="1" applyAlignment="1" applyProtection="1">
      <alignment horizontal="center" vertical="center" wrapText="1"/>
    </xf>
    <xf numFmtId="3" fontId="41" fillId="28" borderId="7" xfId="32" applyNumberFormat="1" applyFont="1" applyFill="1" applyBorder="1" applyAlignment="1" applyProtection="1">
      <alignment horizontal="center" vertical="center"/>
      <protection locked="0"/>
    </xf>
    <xf numFmtId="3" fontId="41" fillId="28" borderId="77" xfId="32" applyNumberFormat="1" applyFont="1" applyFill="1" applyBorder="1" applyAlignment="1" applyProtection="1">
      <alignment horizontal="center" vertical="center"/>
      <protection locked="0"/>
    </xf>
    <xf numFmtId="3" fontId="41" fillId="28" borderId="31" xfId="32" applyNumberFormat="1" applyFont="1" applyFill="1" applyBorder="1" applyAlignment="1" applyProtection="1">
      <alignment horizontal="center" vertical="center"/>
      <protection locked="0"/>
    </xf>
    <xf numFmtId="3" fontId="41" fillId="28" borderId="71" xfId="32" applyNumberFormat="1" applyFont="1" applyFill="1" applyBorder="1" applyAlignment="1" applyProtection="1">
      <alignment horizontal="center" vertical="center"/>
      <protection locked="0"/>
    </xf>
    <xf numFmtId="3" fontId="41" fillId="28" borderId="61" xfId="32" applyNumberFormat="1" applyFont="1" applyFill="1" applyBorder="1" applyAlignment="1" applyProtection="1">
      <alignment horizontal="center" vertical="center"/>
      <protection locked="0"/>
    </xf>
    <xf numFmtId="3" fontId="42" fillId="26" borderId="49" xfId="32" applyNumberFormat="1" applyFont="1" applyFill="1" applyBorder="1" applyAlignment="1">
      <alignment horizontal="center" vertical="center"/>
    </xf>
    <xf numFmtId="3" fontId="42" fillId="26" borderId="54" xfId="32" applyNumberFormat="1" applyFont="1" applyFill="1" applyBorder="1" applyAlignment="1">
      <alignment horizontal="center" vertical="center"/>
    </xf>
    <xf numFmtId="10" fontId="41" fillId="28" borderId="7" xfId="70" applyNumberFormat="1" applyFont="1" applyFill="1" applyBorder="1" applyAlignment="1" applyProtection="1">
      <alignment horizontal="center" vertical="center"/>
      <protection locked="0"/>
    </xf>
    <xf numFmtId="10" fontId="41" fillId="28" borderId="53" xfId="70" applyNumberFormat="1" applyFont="1" applyFill="1" applyBorder="1" applyAlignment="1" applyProtection="1">
      <alignment horizontal="center" vertical="center"/>
      <protection locked="0"/>
    </xf>
    <xf numFmtId="10" fontId="41" fillId="28" borderId="77" xfId="70" applyNumberFormat="1" applyFont="1" applyFill="1" applyBorder="1" applyAlignment="1" applyProtection="1">
      <alignment horizontal="center" vertical="center"/>
      <protection locked="0"/>
    </xf>
    <xf numFmtId="10" fontId="41" fillId="28" borderId="57" xfId="70" applyNumberFormat="1" applyFont="1" applyFill="1" applyBorder="1" applyAlignment="1" applyProtection="1">
      <alignment horizontal="center" vertical="center"/>
      <protection locked="0"/>
    </xf>
    <xf numFmtId="0" fontId="65" fillId="20" borderId="17" xfId="52" applyFont="1" applyFill="1" applyBorder="1" applyAlignment="1">
      <alignment horizontal="left" vertical="center" wrapText="1"/>
    </xf>
    <xf numFmtId="49" fontId="65" fillId="27" borderId="17" xfId="52" applyNumberFormat="1" applyFont="1" applyFill="1" applyBorder="1" applyAlignment="1">
      <alignment horizontal="center" vertical="center" wrapText="1"/>
    </xf>
    <xf numFmtId="49" fontId="65" fillId="31" borderId="17" xfId="52" applyNumberFormat="1" applyFont="1" applyFill="1" applyBorder="1" applyAlignment="1">
      <alignment horizontal="center" vertical="center" wrapText="1"/>
    </xf>
    <xf numFmtId="3" fontId="65" fillId="28" borderId="50" xfId="57" applyNumberFormat="1" applyFont="1" applyFill="1" applyBorder="1" applyAlignment="1" applyProtection="1">
      <alignment horizontal="center" vertical="center"/>
      <protection locked="0"/>
    </xf>
    <xf numFmtId="168" fontId="40" fillId="20" borderId="49" xfId="32" applyNumberFormat="1" applyFont="1" applyFill="1" applyBorder="1" applyAlignment="1">
      <alignment horizontal="center" vertical="center"/>
    </xf>
    <xf numFmtId="168" fontId="40" fillId="20" borderId="31" xfId="32" applyNumberFormat="1" applyFont="1" applyFill="1" applyBorder="1" applyAlignment="1">
      <alignment horizontal="center" vertical="center"/>
    </xf>
    <xf numFmtId="168" fontId="40" fillId="20" borderId="50" xfId="32" applyNumberFormat="1" applyFont="1" applyFill="1" applyBorder="1" applyAlignment="1">
      <alignment horizontal="center" vertical="center"/>
    </xf>
    <xf numFmtId="168" fontId="45" fillId="0" borderId="52" xfId="32" applyNumberFormat="1" applyFont="1" applyBorder="1" applyAlignment="1">
      <alignment horizontal="center" vertical="center"/>
    </xf>
    <xf numFmtId="168" fontId="45" fillId="0" borderId="7" xfId="32" applyNumberFormat="1" applyFont="1" applyBorder="1" applyAlignment="1">
      <alignment horizontal="center" vertical="center"/>
    </xf>
    <xf numFmtId="168" fontId="45" fillId="0" borderId="53" xfId="32" applyNumberFormat="1" applyFont="1" applyBorder="1" applyAlignment="1">
      <alignment horizontal="center" vertical="center"/>
    </xf>
    <xf numFmtId="168" fontId="40" fillId="0" borderId="52" xfId="32" applyNumberFormat="1" applyFont="1" applyBorder="1" applyAlignment="1">
      <alignment horizontal="center" vertical="center"/>
    </xf>
    <xf numFmtId="168" fontId="40" fillId="0" borderId="7" xfId="32" applyNumberFormat="1" applyFont="1" applyBorder="1" applyAlignment="1">
      <alignment horizontal="center" vertical="center"/>
    </xf>
    <xf numFmtId="168" fontId="40" fillId="0" borderId="53" xfId="32" applyNumberFormat="1" applyFont="1" applyBorder="1" applyAlignment="1">
      <alignment horizontal="center" vertical="center"/>
    </xf>
    <xf numFmtId="168" fontId="45" fillId="20" borderId="52" xfId="32" applyNumberFormat="1" applyFont="1" applyFill="1" applyBorder="1" applyAlignment="1">
      <alignment horizontal="center" vertical="center"/>
    </xf>
    <xf numFmtId="168" fontId="45" fillId="20" borderId="7" xfId="32" applyNumberFormat="1" applyFont="1" applyFill="1" applyBorder="1" applyAlignment="1">
      <alignment horizontal="center" vertical="center"/>
    </xf>
    <xf numFmtId="168" fontId="45" fillId="20" borderId="53" xfId="32" applyNumberFormat="1" applyFont="1" applyFill="1" applyBorder="1" applyAlignment="1">
      <alignment horizontal="center" vertical="center"/>
    </xf>
    <xf numFmtId="168" fontId="40" fillId="20" borderId="52" xfId="32" applyNumberFormat="1" applyFont="1" applyFill="1" applyBorder="1" applyAlignment="1">
      <alignment horizontal="center" vertical="center"/>
    </xf>
    <xf numFmtId="168" fontId="40" fillId="20" borderId="7" xfId="32" applyNumberFormat="1" applyFont="1" applyFill="1" applyBorder="1" applyAlignment="1">
      <alignment horizontal="center" vertical="center"/>
    </xf>
    <xf numFmtId="168" fontId="40" fillId="20" borderId="53" xfId="32" applyNumberFormat="1" applyFont="1" applyFill="1" applyBorder="1" applyAlignment="1">
      <alignment horizontal="center" vertical="center"/>
    </xf>
    <xf numFmtId="168" fontId="40" fillId="20" borderId="54" xfId="32" applyNumberFormat="1" applyFont="1" applyFill="1" applyBorder="1" applyAlignment="1">
      <alignment horizontal="center" vertical="center"/>
    </xf>
    <xf numFmtId="168" fontId="40" fillId="20" borderId="63" xfId="32" applyNumberFormat="1" applyFont="1" applyFill="1" applyBorder="1" applyAlignment="1">
      <alignment horizontal="center" vertical="center"/>
    </xf>
    <xf numFmtId="168" fontId="40" fillId="20" borderId="55" xfId="32" applyNumberFormat="1" applyFont="1" applyFill="1" applyBorder="1" applyAlignment="1">
      <alignment horizontal="center" vertical="center"/>
    </xf>
    <xf numFmtId="168" fontId="47" fillId="26" borderId="49" xfId="32" applyNumberFormat="1" applyFont="1" applyFill="1" applyBorder="1" applyAlignment="1">
      <alignment horizontal="center" vertical="center"/>
    </xf>
    <xf numFmtId="168" fontId="47" fillId="26" borderId="31" xfId="32" applyNumberFormat="1" applyFont="1" applyFill="1" applyBorder="1" applyAlignment="1">
      <alignment horizontal="center" vertical="center"/>
    </xf>
    <xf numFmtId="168" fontId="47" fillId="26" borderId="50" xfId="32" applyNumberFormat="1" applyFont="1" applyFill="1" applyBorder="1" applyAlignment="1">
      <alignment horizontal="center" vertical="center"/>
    </xf>
    <xf numFmtId="168" fontId="45" fillId="26" borderId="52" xfId="32" applyNumberFormat="1" applyFont="1" applyFill="1" applyBorder="1" applyAlignment="1">
      <alignment horizontal="center" vertical="center"/>
    </xf>
    <xf numFmtId="168" fontId="45" fillId="26" borderId="7" xfId="32" applyNumberFormat="1" applyFont="1" applyFill="1" applyBorder="1" applyAlignment="1">
      <alignment horizontal="center" vertical="center"/>
    </xf>
    <xf numFmtId="168" fontId="45" fillId="26" borderId="53" xfId="32" applyNumberFormat="1" applyFont="1" applyFill="1" applyBorder="1" applyAlignment="1">
      <alignment horizontal="center" vertical="center"/>
    </xf>
    <xf numFmtId="168" fontId="45" fillId="26" borderId="15" xfId="32" applyNumberFormat="1" applyFont="1" applyFill="1" applyBorder="1" applyAlignment="1">
      <alignment horizontal="center" vertical="center"/>
    </xf>
    <xf numFmtId="168" fontId="47" fillId="26" borderId="52" xfId="32" applyNumberFormat="1" applyFont="1" applyFill="1" applyBorder="1" applyAlignment="1">
      <alignment horizontal="center" vertical="center"/>
    </xf>
    <xf numFmtId="168" fontId="47" fillId="26" borderId="7" xfId="32" applyNumberFormat="1" applyFont="1" applyFill="1" applyBorder="1" applyAlignment="1">
      <alignment horizontal="center" vertical="center"/>
    </xf>
    <xf numFmtId="168" fontId="47" fillId="26" borderId="53" xfId="32" applyNumberFormat="1" applyFont="1" applyFill="1" applyBorder="1" applyAlignment="1">
      <alignment horizontal="center" vertical="center"/>
    </xf>
    <xf numFmtId="168" fontId="47" fillId="26" borderId="54" xfId="32" applyNumberFormat="1" applyFont="1" applyFill="1" applyBorder="1" applyAlignment="1">
      <alignment horizontal="center" vertical="center"/>
    </xf>
    <xf numFmtId="168" fontId="47" fillId="26" borderId="63" xfId="32" applyNumberFormat="1" applyFont="1" applyFill="1" applyBorder="1" applyAlignment="1">
      <alignment horizontal="center" vertical="center"/>
    </xf>
    <xf numFmtId="168" fontId="47" fillId="26" borderId="55" xfId="32" applyNumberFormat="1" applyFont="1" applyFill="1" applyBorder="1" applyAlignment="1">
      <alignment horizontal="center" vertical="center"/>
    </xf>
    <xf numFmtId="3" fontId="45" fillId="0" borderId="55" xfId="59" applyNumberFormat="1" applyFont="1" applyFill="1" applyBorder="1" applyAlignment="1" applyProtection="1">
      <alignment horizontal="center" vertical="center"/>
    </xf>
    <xf numFmtId="3" fontId="47" fillId="0" borderId="57" xfId="0" applyNumberFormat="1" applyFont="1" applyBorder="1" applyAlignment="1">
      <alignment horizontal="center" vertical="center"/>
    </xf>
    <xf numFmtId="169" fontId="42" fillId="26" borderId="133" xfId="49" applyNumberFormat="1" applyFont="1" applyFill="1" applyBorder="1" applyAlignment="1">
      <alignment horizontal="center" vertical="center" wrapText="1"/>
    </xf>
    <xf numFmtId="9" fontId="42" fillId="26" borderId="133" xfId="49" applyNumberFormat="1" applyFont="1" applyFill="1" applyBorder="1" applyAlignment="1">
      <alignment horizontal="center" vertical="center" wrapText="1"/>
    </xf>
    <xf numFmtId="169" fontId="42" fillId="26" borderId="93" xfId="49" applyNumberFormat="1" applyFont="1" applyFill="1" applyBorder="1" applyAlignment="1">
      <alignment horizontal="center" vertical="center" wrapText="1"/>
    </xf>
    <xf numFmtId="9" fontId="42" fillId="26" borderId="93" xfId="49" applyNumberFormat="1" applyFont="1" applyFill="1" applyBorder="1" applyAlignment="1">
      <alignment horizontal="center" vertical="center" wrapText="1"/>
    </xf>
    <xf numFmtId="3" fontId="12" fillId="26" borderId="0" xfId="31" applyNumberFormat="1" applyFont="1" applyFill="1" applyAlignment="1">
      <alignment vertical="center"/>
    </xf>
    <xf numFmtId="0" fontId="12" fillId="26" borderId="0" xfId="31" applyFont="1" applyFill="1" applyAlignment="1">
      <alignment vertical="center"/>
    </xf>
    <xf numFmtId="3" fontId="79" fillId="26" borderId="0" xfId="31" applyNumberFormat="1" applyFont="1" applyFill="1" applyAlignment="1">
      <alignment vertical="center"/>
    </xf>
    <xf numFmtId="3" fontId="12" fillId="26" borderId="6" xfId="88" applyNumberFormat="1" applyFont="1" applyFill="1" applyBorder="1" applyAlignment="1">
      <alignment horizontal="center" vertical="center" wrapText="1"/>
    </xf>
    <xf numFmtId="0" fontId="117" fillId="41" borderId="35" xfId="88" applyFont="1" applyFill="1" applyBorder="1" applyAlignment="1">
      <alignment horizontal="center" vertical="center" wrapText="1"/>
    </xf>
    <xf numFmtId="0" fontId="84" fillId="27" borderId="0" xfId="54" applyFont="1" applyFill="1"/>
    <xf numFmtId="3" fontId="12" fillId="3" borderId="54" xfId="88" applyNumberFormat="1" applyFont="1" applyFill="1" applyBorder="1" applyAlignment="1" applyProtection="1">
      <alignment horizontal="center" vertical="center" wrapText="1"/>
      <protection locked="0"/>
    </xf>
    <xf numFmtId="3" fontId="12" fillId="3" borderId="69" xfId="88" applyNumberFormat="1" applyFont="1" applyFill="1" applyBorder="1" applyAlignment="1" applyProtection="1">
      <alignment horizontal="center" vertical="center" wrapText="1"/>
      <protection locked="0"/>
    </xf>
    <xf numFmtId="3" fontId="12" fillId="3" borderId="18" xfId="88" applyNumberFormat="1" applyFont="1" applyFill="1" applyBorder="1" applyAlignment="1" applyProtection="1">
      <alignment horizontal="center" vertical="center" wrapText="1"/>
      <protection locked="0"/>
    </xf>
    <xf numFmtId="3" fontId="12" fillId="3" borderId="63" xfId="88" applyNumberFormat="1" applyFont="1" applyFill="1" applyBorder="1" applyAlignment="1" applyProtection="1">
      <alignment horizontal="center" vertical="center" wrapText="1"/>
      <protection locked="0"/>
    </xf>
    <xf numFmtId="3" fontId="12" fillId="3" borderId="55" xfId="88" applyNumberFormat="1" applyFont="1" applyFill="1" applyBorder="1" applyAlignment="1" applyProtection="1">
      <alignment horizontal="center" vertical="center" wrapText="1"/>
      <protection locked="0"/>
    </xf>
    <xf numFmtId="0" fontId="116" fillId="20" borderId="17" xfId="88" applyFont="1" applyFill="1" applyBorder="1" applyAlignment="1">
      <alignment horizontal="center" vertical="center" wrapText="1"/>
    </xf>
    <xf numFmtId="3" fontId="12" fillId="26" borderId="139" xfId="88" applyNumberFormat="1" applyFont="1" applyFill="1" applyBorder="1" applyAlignment="1">
      <alignment horizontal="center" vertical="center" wrapText="1"/>
    </xf>
    <xf numFmtId="3" fontId="12" fillId="26" borderId="93" xfId="88" applyNumberFormat="1" applyFont="1" applyFill="1" applyBorder="1" applyAlignment="1">
      <alignment horizontal="center" vertical="center" wrapText="1"/>
    </xf>
    <xf numFmtId="3" fontId="12" fillId="26" borderId="114" xfId="88" applyNumberFormat="1" applyFont="1" applyFill="1" applyBorder="1" applyAlignment="1">
      <alignment horizontal="center" vertical="center" wrapText="1"/>
    </xf>
    <xf numFmtId="3" fontId="12" fillId="26" borderId="92" xfId="88" applyNumberFormat="1" applyFont="1" applyFill="1" applyBorder="1" applyAlignment="1">
      <alignment horizontal="center" vertical="center" wrapText="1"/>
    </xf>
    <xf numFmtId="0" fontId="12" fillId="3" borderId="26" xfId="88" applyFont="1" applyFill="1" applyBorder="1" applyAlignment="1" applyProtection="1">
      <alignment horizontal="center" vertical="center" wrapText="1"/>
      <protection locked="0"/>
    </xf>
    <xf numFmtId="3" fontId="12" fillId="26" borderId="94" xfId="88" applyNumberFormat="1" applyFont="1" applyFill="1" applyBorder="1" applyAlignment="1">
      <alignment horizontal="center" vertical="center" wrapText="1"/>
    </xf>
    <xf numFmtId="3" fontId="12" fillId="3" borderId="62" xfId="88" applyNumberFormat="1" applyFont="1" applyFill="1" applyBorder="1" applyAlignment="1" applyProtection="1">
      <alignment horizontal="center" vertical="center" wrapText="1"/>
      <protection locked="0"/>
    </xf>
    <xf numFmtId="3" fontId="117" fillId="0" borderId="79" xfId="88" applyNumberFormat="1" applyFont="1" applyBorder="1" applyAlignment="1">
      <alignment horizontal="center" vertical="center" wrapText="1"/>
    </xf>
    <xf numFmtId="3" fontId="117" fillId="0" borderId="32" xfId="88" applyNumberFormat="1" applyFont="1" applyBorder="1" applyAlignment="1">
      <alignment horizontal="center" vertical="center" wrapText="1"/>
    </xf>
    <xf numFmtId="3" fontId="116" fillId="0" borderId="32" xfId="88" applyNumberFormat="1" applyFont="1" applyBorder="1" applyAlignment="1">
      <alignment horizontal="center" vertical="center" wrapText="1"/>
    </xf>
    <xf numFmtId="3" fontId="116" fillId="0" borderId="7" xfId="88" applyNumberFormat="1" applyFont="1" applyBorder="1" applyAlignment="1">
      <alignment horizontal="center" vertical="center" wrapText="1"/>
    </xf>
    <xf numFmtId="3" fontId="116" fillId="0" borderId="62" xfId="88" applyNumberFormat="1" applyFont="1" applyBorder="1" applyAlignment="1">
      <alignment horizontal="center" vertical="center" wrapText="1"/>
    </xf>
    <xf numFmtId="3" fontId="117" fillId="0" borderId="69" xfId="88" applyNumberFormat="1" applyFont="1" applyBorder="1" applyAlignment="1">
      <alignment horizontal="center" vertical="center" wrapText="1"/>
    </xf>
    <xf numFmtId="3" fontId="12" fillId="0" borderId="13" xfId="88" applyNumberFormat="1" applyFont="1" applyBorder="1" applyAlignment="1">
      <alignment horizontal="center" vertical="center" wrapText="1"/>
    </xf>
    <xf numFmtId="3" fontId="12" fillId="0" borderId="4" xfId="88" applyNumberFormat="1" applyFont="1" applyBorder="1" applyAlignment="1">
      <alignment horizontal="center" vertical="center" wrapText="1"/>
    </xf>
    <xf numFmtId="3" fontId="119" fillId="0" borderId="30" xfId="88" applyNumberFormat="1" applyFont="1" applyBorder="1" applyAlignment="1">
      <alignment horizontal="center" vertical="center" wrapText="1"/>
    </xf>
    <xf numFmtId="3" fontId="119" fillId="0" borderId="77" xfId="88" applyNumberFormat="1" applyFont="1" applyBorder="1" applyAlignment="1">
      <alignment horizontal="center" vertical="center" wrapText="1"/>
    </xf>
    <xf numFmtId="3" fontId="119" fillId="0" borderId="28" xfId="88" applyNumberFormat="1" applyFont="1" applyBorder="1" applyAlignment="1">
      <alignment horizontal="center" vertical="center" wrapText="1"/>
    </xf>
    <xf numFmtId="3" fontId="119" fillId="0" borderId="78" xfId="88" applyNumberFormat="1" applyFont="1" applyBorder="1" applyAlignment="1">
      <alignment horizontal="center" vertical="center" wrapText="1"/>
    </xf>
    <xf numFmtId="3" fontId="119" fillId="0" borderId="57" xfId="88" applyNumberFormat="1" applyFont="1" applyBorder="1" applyAlignment="1">
      <alignment horizontal="center" vertical="center" wrapText="1"/>
    </xf>
    <xf numFmtId="3" fontId="119" fillId="0" borderId="56" xfId="88" applyNumberFormat="1" applyFont="1" applyBorder="1" applyAlignment="1">
      <alignment horizontal="center" vertical="center" wrapText="1"/>
    </xf>
    <xf numFmtId="3" fontId="119" fillId="0" borderId="101" xfId="88" applyNumberFormat="1" applyFont="1" applyBorder="1" applyAlignment="1">
      <alignment horizontal="center" vertical="center" wrapText="1"/>
    </xf>
    <xf numFmtId="0" fontId="116" fillId="26" borderId="55" xfId="88" applyFont="1" applyFill="1" applyBorder="1" applyAlignment="1">
      <alignment horizontal="left" vertical="center" wrapText="1"/>
    </xf>
    <xf numFmtId="0" fontId="119" fillId="26" borderId="48" xfId="0" applyFont="1" applyFill="1" applyBorder="1" applyAlignment="1">
      <alignment horizontal="right" vertical="center" wrapText="1"/>
    </xf>
    <xf numFmtId="0" fontId="116" fillId="26" borderId="76" xfId="88" applyFont="1" applyFill="1" applyBorder="1" applyAlignment="1">
      <alignment horizontal="left" vertical="center" wrapText="1"/>
    </xf>
    <xf numFmtId="0" fontId="119" fillId="26" borderId="50" xfId="88" applyFont="1" applyFill="1" applyBorder="1" applyAlignment="1">
      <alignment horizontal="right" vertical="center" wrapText="1"/>
    </xf>
    <xf numFmtId="0" fontId="116" fillId="26" borderId="53" xfId="88" applyFont="1" applyFill="1" applyBorder="1" applyAlignment="1">
      <alignment horizontal="left" vertical="center" wrapText="1"/>
    </xf>
    <xf numFmtId="0" fontId="117" fillId="26" borderId="57" xfId="88" applyFont="1" applyFill="1" applyBorder="1" applyAlignment="1">
      <alignment horizontal="center" vertical="center" wrapText="1"/>
    </xf>
    <xf numFmtId="0" fontId="117" fillId="26" borderId="53" xfId="88" applyFont="1" applyFill="1" applyBorder="1" applyAlignment="1">
      <alignment horizontal="center" vertical="center" wrapText="1"/>
    </xf>
    <xf numFmtId="0" fontId="116" fillId="26" borderId="53" xfId="88" applyFont="1" applyFill="1" applyBorder="1" applyAlignment="1">
      <alignment horizontal="right" vertical="center" wrapText="1"/>
    </xf>
    <xf numFmtId="0" fontId="116" fillId="26" borderId="50" xfId="88" applyFont="1" applyFill="1" applyBorder="1" applyAlignment="1">
      <alignment horizontal="left" vertical="center" wrapText="1"/>
    </xf>
    <xf numFmtId="0" fontId="117" fillId="26" borderId="55" xfId="88" applyFont="1" applyFill="1" applyBorder="1" applyAlignment="1">
      <alignment horizontal="center" vertical="center" wrapText="1"/>
    </xf>
    <xf numFmtId="0" fontId="116" fillId="26" borderId="0" xfId="88" applyFont="1" applyFill="1" applyAlignment="1">
      <alignment horizontal="center" vertical="center" wrapText="1"/>
    </xf>
    <xf numFmtId="0" fontId="116" fillId="26" borderId="55" xfId="88" applyFont="1" applyFill="1" applyBorder="1" applyAlignment="1">
      <alignment horizontal="right" vertical="center" wrapText="1"/>
    </xf>
    <xf numFmtId="0" fontId="119" fillId="26" borderId="57" xfId="0" applyFont="1" applyFill="1" applyBorder="1" applyAlignment="1">
      <alignment horizontal="right" vertical="center" wrapText="1"/>
    </xf>
    <xf numFmtId="3" fontId="45" fillId="42" borderId="17" xfId="49" applyNumberFormat="1" applyFont="1" applyFill="1" applyBorder="1" applyAlignment="1" applyProtection="1">
      <alignment horizontal="center"/>
      <protection locked="0"/>
    </xf>
    <xf numFmtId="3" fontId="12" fillId="26" borderId="50" xfId="88" applyNumberFormat="1" applyFont="1" applyFill="1" applyBorder="1" applyAlignment="1">
      <alignment horizontal="center" vertical="center" wrapText="1"/>
    </xf>
    <xf numFmtId="3" fontId="45" fillId="42" borderId="5" xfId="49" applyNumberFormat="1" applyFont="1" applyFill="1" applyBorder="1" applyAlignment="1" applyProtection="1">
      <alignment horizontal="center"/>
      <protection locked="0"/>
    </xf>
    <xf numFmtId="3" fontId="12" fillId="28" borderId="22" xfId="88" applyNumberFormat="1" applyFont="1" applyFill="1" applyBorder="1" applyAlignment="1" applyProtection="1">
      <alignment horizontal="center" vertical="center" wrapText="1"/>
      <protection locked="0"/>
    </xf>
    <xf numFmtId="3" fontId="116" fillId="20" borderId="106" xfId="88" applyNumberFormat="1" applyFont="1" applyFill="1" applyBorder="1" applyAlignment="1">
      <alignment horizontal="center" vertical="center" wrapText="1"/>
    </xf>
    <xf numFmtId="0" fontId="79" fillId="20" borderId="21" xfId="88" applyFont="1" applyFill="1" applyBorder="1" applyAlignment="1">
      <alignment horizontal="center" vertical="center" wrapText="1"/>
    </xf>
    <xf numFmtId="0" fontId="79" fillId="20" borderId="30" xfId="88" applyFont="1" applyFill="1" applyBorder="1" applyAlignment="1">
      <alignment horizontal="center" vertical="center" wrapText="1"/>
    </xf>
    <xf numFmtId="3" fontId="117" fillId="28" borderId="63" xfId="88" applyNumberFormat="1" applyFont="1" applyFill="1" applyBorder="1" applyAlignment="1" applyProtection="1">
      <alignment horizontal="center" vertical="center" wrapText="1"/>
      <protection locked="0"/>
    </xf>
    <xf numFmtId="0" fontId="12" fillId="3" borderId="39" xfId="88" applyFont="1" applyFill="1" applyBorder="1" applyAlignment="1" applyProtection="1">
      <alignment horizontal="center" vertical="center" wrapText="1"/>
      <protection locked="0"/>
    </xf>
    <xf numFmtId="3" fontId="12" fillId="0" borderId="67" xfId="88" applyNumberFormat="1" applyFont="1" applyBorder="1" applyAlignment="1">
      <alignment horizontal="center" vertical="center" wrapText="1"/>
    </xf>
    <xf numFmtId="3" fontId="117" fillId="0" borderId="23" xfId="88" applyNumberFormat="1" applyFont="1" applyBorder="1" applyAlignment="1">
      <alignment horizontal="center" vertical="center" wrapText="1"/>
    </xf>
    <xf numFmtId="3" fontId="12" fillId="26" borderId="17" xfId="88" applyNumberFormat="1" applyFont="1" applyFill="1" applyBorder="1" applyAlignment="1">
      <alignment horizontal="center" vertical="center" wrapText="1"/>
    </xf>
    <xf numFmtId="3" fontId="45" fillId="42" borderId="21" xfId="49" applyNumberFormat="1" applyFont="1" applyFill="1" applyBorder="1" applyAlignment="1" applyProtection="1">
      <alignment horizontal="center"/>
      <protection locked="0"/>
    </xf>
    <xf numFmtId="3" fontId="45" fillId="42" borderId="51" xfId="49" applyNumberFormat="1" applyFont="1" applyFill="1" applyBorder="1" applyAlignment="1" applyProtection="1">
      <alignment horizontal="center"/>
      <protection locked="0"/>
    </xf>
    <xf numFmtId="0" fontId="116" fillId="20" borderId="0" xfId="88" applyFont="1" applyFill="1" applyAlignment="1" applyProtection="1">
      <alignment horizontal="center" vertical="center" wrapText="1"/>
      <protection locked="0"/>
    </xf>
    <xf numFmtId="1" fontId="74" fillId="26" borderId="86" xfId="0" applyNumberFormat="1" applyFont="1" applyFill="1" applyBorder="1" applyAlignment="1">
      <alignment horizontal="center" vertical="center" wrapText="1"/>
    </xf>
    <xf numFmtId="49" fontId="84" fillId="27" borderId="26" xfId="52" applyNumberFormat="1" applyFont="1" applyFill="1" applyBorder="1" applyAlignment="1">
      <alignment horizontal="center" vertical="center" wrapText="1"/>
    </xf>
    <xf numFmtId="0" fontId="84" fillId="20" borderId="26" xfId="52" applyFont="1" applyFill="1" applyBorder="1" applyAlignment="1">
      <alignment horizontal="left" vertical="center"/>
    </xf>
    <xf numFmtId="0" fontId="57" fillId="20" borderId="26" xfId="52" applyFont="1" applyFill="1" applyBorder="1" applyAlignment="1">
      <alignment horizontal="center" vertical="center" wrapText="1"/>
    </xf>
    <xf numFmtId="3" fontId="57" fillId="0" borderId="13" xfId="52" applyNumberFormat="1" applyFont="1" applyBorder="1" applyAlignment="1">
      <alignment horizontal="center" vertical="center"/>
    </xf>
    <xf numFmtId="3" fontId="57" fillId="0" borderId="16" xfId="52" applyNumberFormat="1" applyFont="1" applyBorder="1" applyAlignment="1">
      <alignment horizontal="center" vertical="center"/>
    </xf>
    <xf numFmtId="3" fontId="57" fillId="0" borderId="93" xfId="52" applyNumberFormat="1" applyFont="1" applyBorder="1" applyAlignment="1">
      <alignment horizontal="center" vertical="center"/>
    </xf>
    <xf numFmtId="0" fontId="42" fillId="26" borderId="0" xfId="0" applyFont="1" applyFill="1" applyAlignment="1">
      <alignment horizontal="left" vertical="center" wrapText="1"/>
    </xf>
    <xf numFmtId="0" fontId="13" fillId="26" borderId="0" xfId="0" applyFont="1" applyFill="1" applyAlignment="1">
      <alignment horizontal="right" vertical="center"/>
    </xf>
    <xf numFmtId="0" fontId="65" fillId="37" borderId="35" xfId="52" applyFont="1" applyFill="1" applyBorder="1" applyAlignment="1">
      <alignment horizontal="center" vertical="center" wrapText="1"/>
    </xf>
    <xf numFmtId="49" fontId="65" fillId="0" borderId="7" xfId="80" applyNumberFormat="1" applyFont="1" applyBorder="1" applyAlignment="1">
      <alignment horizontal="center" vertical="center" wrapText="1"/>
    </xf>
    <xf numFmtId="3" fontId="57" fillId="0" borderId="7" xfId="80" applyNumberFormat="1" applyFont="1" applyBorder="1" applyAlignment="1">
      <alignment horizontal="center" vertical="center"/>
    </xf>
    <xf numFmtId="0" fontId="41" fillId="27" borderId="7" xfId="0" applyFont="1" applyFill="1" applyBorder="1" applyAlignment="1">
      <alignment horizontal="center" vertical="center" wrapText="1"/>
    </xf>
    <xf numFmtId="3" fontId="41" fillId="3" borderId="22" xfId="32" applyNumberFormat="1" applyFont="1" applyFill="1" applyBorder="1" applyAlignment="1" applyProtection="1">
      <alignment horizontal="center" vertical="center"/>
      <protection locked="0"/>
    </xf>
    <xf numFmtId="10" fontId="96" fillId="26" borderId="65" xfId="70" applyNumberFormat="1" applyFont="1" applyFill="1" applyBorder="1" applyAlignment="1" applyProtection="1">
      <alignment horizontal="center" vertical="center" wrapText="1"/>
    </xf>
    <xf numFmtId="3" fontId="41" fillId="28" borderId="62" xfId="32" applyNumberFormat="1" applyFont="1" applyFill="1" applyBorder="1" applyAlignment="1" applyProtection="1">
      <alignment horizontal="center" vertical="center"/>
      <protection locked="0"/>
    </xf>
    <xf numFmtId="3" fontId="41" fillId="28" borderId="78" xfId="32" applyNumberFormat="1" applyFont="1" applyFill="1" applyBorder="1" applyAlignment="1" applyProtection="1">
      <alignment horizontal="center" vertical="center"/>
      <protection locked="0"/>
    </xf>
    <xf numFmtId="3" fontId="41" fillId="27" borderId="72" xfId="32" applyNumberFormat="1" applyFont="1" applyFill="1" applyBorder="1" applyAlignment="1">
      <alignment horizontal="center" vertical="center"/>
    </xf>
    <xf numFmtId="3" fontId="41" fillId="27" borderId="32" xfId="32" applyNumberFormat="1" applyFont="1" applyFill="1" applyBorder="1" applyAlignment="1">
      <alignment horizontal="center" vertical="center"/>
    </xf>
    <xf numFmtId="3" fontId="42" fillId="3" borderId="74" xfId="32" applyNumberFormat="1" applyFont="1" applyFill="1" applyBorder="1" applyAlignment="1" applyProtection="1">
      <alignment horizontal="center" vertical="center"/>
      <protection locked="0"/>
    </xf>
    <xf numFmtId="10" fontId="96" fillId="26" borderId="62" xfId="70" applyNumberFormat="1" applyFont="1" applyFill="1" applyBorder="1" applyAlignment="1" applyProtection="1">
      <alignment horizontal="center" vertical="center" wrapText="1"/>
    </xf>
    <xf numFmtId="3" fontId="42" fillId="3" borderId="62" xfId="32" applyNumberFormat="1" applyFont="1" applyFill="1" applyBorder="1" applyAlignment="1" applyProtection="1">
      <alignment horizontal="center" vertical="center"/>
      <protection locked="0"/>
    </xf>
    <xf numFmtId="3" fontId="42" fillId="3" borderId="64" xfId="32" applyNumberFormat="1" applyFont="1" applyFill="1" applyBorder="1" applyAlignment="1" applyProtection="1">
      <alignment horizontal="center" vertical="center"/>
      <protection locked="0"/>
    </xf>
    <xf numFmtId="3" fontId="41" fillId="28" borderId="74" xfId="32" applyNumberFormat="1" applyFont="1" applyFill="1" applyBorder="1" applyAlignment="1" applyProtection="1">
      <alignment horizontal="center" vertical="center"/>
      <protection locked="0"/>
    </xf>
    <xf numFmtId="3" fontId="41" fillId="28" borderId="101" xfId="32" applyNumberFormat="1" applyFont="1" applyFill="1" applyBorder="1" applyAlignment="1" applyProtection="1">
      <alignment horizontal="center" vertical="center"/>
      <protection locked="0"/>
    </xf>
    <xf numFmtId="173" fontId="162" fillId="26" borderId="17" xfId="70" applyNumberFormat="1" applyFont="1" applyFill="1" applyBorder="1" applyAlignment="1" applyProtection="1">
      <alignment horizontal="center" vertical="center" wrapText="1"/>
    </xf>
    <xf numFmtId="3" fontId="40" fillId="31" borderId="8" xfId="32" applyNumberFormat="1" applyFont="1" applyFill="1" applyBorder="1" applyAlignment="1">
      <alignment horizontal="center" vertical="center"/>
    </xf>
    <xf numFmtId="0" fontId="163" fillId="0" borderId="7" xfId="0" applyFont="1" applyBorder="1" applyAlignment="1">
      <alignment horizontal="right" vertical="center" wrapText="1"/>
    </xf>
    <xf numFmtId="0" fontId="21" fillId="0" borderId="0" xfId="32" applyFont="1" applyAlignment="1">
      <alignment horizontal="left" vertical="center"/>
    </xf>
    <xf numFmtId="0" fontId="43" fillId="0" borderId="0" xfId="32" applyFont="1" applyAlignment="1">
      <alignment vertical="center"/>
    </xf>
    <xf numFmtId="3" fontId="41" fillId="29" borderId="24" xfId="32" applyNumberFormat="1" applyFont="1" applyFill="1" applyBorder="1" applyAlignment="1">
      <alignment horizontal="center" vertical="center"/>
    </xf>
    <xf numFmtId="3" fontId="41" fillId="26" borderId="15" xfId="32" applyNumberFormat="1" applyFont="1" applyFill="1" applyBorder="1" applyAlignment="1">
      <alignment horizontal="center" vertical="center"/>
    </xf>
    <xf numFmtId="3" fontId="40" fillId="24" borderId="24" xfId="32" applyNumberFormat="1" applyFont="1" applyFill="1" applyBorder="1" applyAlignment="1">
      <alignment horizontal="center" vertical="center"/>
    </xf>
    <xf numFmtId="3" fontId="40" fillId="31" borderId="24" xfId="32" applyNumberFormat="1" applyFont="1" applyFill="1" applyBorder="1" applyAlignment="1">
      <alignment horizontal="center" vertical="center"/>
    </xf>
    <xf numFmtId="176" fontId="40" fillId="24" borderId="24" xfId="32" applyNumberFormat="1" applyFont="1" applyFill="1" applyBorder="1" applyAlignment="1">
      <alignment horizontal="center" vertical="center"/>
    </xf>
    <xf numFmtId="3" fontId="40" fillId="24" borderId="15" xfId="32" applyNumberFormat="1" applyFont="1" applyFill="1" applyBorder="1" applyAlignment="1">
      <alignment horizontal="center" vertical="center"/>
    </xf>
    <xf numFmtId="3" fontId="41" fillId="3" borderId="15" xfId="32" applyNumberFormat="1" applyFont="1" applyFill="1" applyBorder="1" applyAlignment="1" applyProtection="1">
      <alignment horizontal="center" vertical="center"/>
      <protection locked="0"/>
    </xf>
    <xf numFmtId="9" fontId="41" fillId="3" borderId="15" xfId="32" applyNumberFormat="1" applyFont="1" applyFill="1" applyBorder="1" applyAlignment="1" applyProtection="1">
      <alignment horizontal="center" vertical="center"/>
      <protection locked="0"/>
    </xf>
    <xf numFmtId="3" fontId="40" fillId="31" borderId="15" xfId="32" applyNumberFormat="1" applyFont="1" applyFill="1" applyBorder="1" applyAlignment="1">
      <alignment horizontal="center" vertical="center"/>
    </xf>
    <xf numFmtId="176" fontId="40" fillId="24" borderId="15" xfId="32" applyNumberFormat="1" applyFont="1" applyFill="1" applyBorder="1" applyAlignment="1">
      <alignment horizontal="center" vertical="center"/>
    </xf>
    <xf numFmtId="3" fontId="40" fillId="24" borderId="51" xfId="32" applyNumberFormat="1" applyFont="1" applyFill="1" applyBorder="1" applyAlignment="1">
      <alignment horizontal="center" vertical="center"/>
    </xf>
    <xf numFmtId="176" fontId="40" fillId="24" borderId="21" xfId="32" applyNumberFormat="1" applyFont="1" applyFill="1" applyBorder="1" applyAlignment="1">
      <alignment horizontal="center" vertical="center"/>
    </xf>
    <xf numFmtId="0" fontId="41" fillId="24" borderId="24" xfId="32" applyFont="1" applyFill="1" applyBorder="1" applyAlignment="1">
      <alignment horizontal="center" vertical="center" wrapText="1"/>
    </xf>
    <xf numFmtId="3" fontId="40" fillId="24" borderId="62" xfId="32" applyNumberFormat="1" applyFont="1" applyFill="1" applyBorder="1" applyAlignment="1">
      <alignment horizontal="center" vertical="center"/>
    </xf>
    <xf numFmtId="3" fontId="20" fillId="27" borderId="0" xfId="49" applyNumberFormat="1" applyFont="1" applyFill="1" applyAlignment="1">
      <alignment vertical="center" wrapText="1"/>
    </xf>
    <xf numFmtId="1" fontId="143" fillId="38" borderId="1" xfId="21" applyFont="1" applyFill="1" applyBorder="1">
      <alignment horizontal="center" vertical="center" wrapText="1"/>
    </xf>
    <xf numFmtId="1" fontId="143" fillId="38" borderId="2" xfId="21" applyFont="1" applyFill="1" applyBorder="1">
      <alignment horizontal="center" vertical="center" wrapText="1"/>
    </xf>
    <xf numFmtId="3" fontId="40" fillId="26" borderId="5" xfId="49" applyNumberFormat="1" applyFont="1" applyFill="1" applyBorder="1" applyAlignment="1">
      <alignment horizontal="center" vertical="center" wrapText="1"/>
    </xf>
    <xf numFmtId="3" fontId="40" fillId="26" borderId="17" xfId="49" applyNumberFormat="1" applyFont="1" applyFill="1" applyBorder="1" applyAlignment="1">
      <alignment horizontal="center" vertical="center" wrapText="1"/>
    </xf>
    <xf numFmtId="0" fontId="42" fillId="26" borderId="24" xfId="49" applyFont="1" applyFill="1" applyBorder="1" applyAlignment="1">
      <alignment horizontal="center" vertical="center" wrapText="1"/>
    </xf>
    <xf numFmtId="49" fontId="42" fillId="26" borderId="24" xfId="49" applyNumberFormat="1" applyFont="1" applyFill="1" applyBorder="1" applyAlignment="1">
      <alignment horizontal="left" vertical="center" wrapText="1"/>
    </xf>
    <xf numFmtId="3" fontId="43" fillId="3" borderId="17" xfId="32" applyNumberFormat="1" applyFont="1" applyFill="1" applyBorder="1" applyAlignment="1" applyProtection="1">
      <alignment horizontal="center" vertical="center"/>
      <protection locked="0"/>
    </xf>
    <xf numFmtId="3" fontId="164" fillId="26" borderId="2" xfId="49" applyNumberFormat="1" applyFont="1" applyFill="1" applyBorder="1" applyAlignment="1">
      <alignment horizontal="center" vertical="center" wrapText="1"/>
    </xf>
    <xf numFmtId="3" fontId="21" fillId="31" borderId="96" xfId="49" applyNumberFormat="1" applyFont="1" applyFill="1" applyBorder="1" applyAlignment="1">
      <alignment horizontal="center" vertical="center" wrapText="1"/>
    </xf>
    <xf numFmtId="3" fontId="21" fillId="27" borderId="85" xfId="49" applyNumberFormat="1" applyFont="1" applyFill="1" applyBorder="1" applyAlignment="1">
      <alignment horizontal="center" vertical="center" wrapText="1"/>
    </xf>
    <xf numFmtId="3" fontId="12" fillId="3" borderId="81" xfId="32" applyNumberFormat="1" applyFont="1" applyFill="1" applyBorder="1" applyAlignment="1" applyProtection="1">
      <alignment horizontal="center" vertical="center"/>
      <protection locked="0"/>
    </xf>
    <xf numFmtId="3" fontId="21" fillId="27" borderId="81" xfId="49" applyNumberFormat="1" applyFont="1" applyFill="1" applyBorder="1" applyAlignment="1">
      <alignment horizontal="center" vertical="center"/>
    </xf>
    <xf numFmtId="3" fontId="12" fillId="33" borderId="81" xfId="49" applyNumberFormat="1" applyFont="1" applyFill="1" applyBorder="1" applyAlignment="1">
      <alignment horizontal="center" vertical="center"/>
    </xf>
    <xf numFmtId="3" fontId="21" fillId="20" borderId="81" xfId="49" applyNumberFormat="1" applyFont="1" applyFill="1" applyBorder="1" applyAlignment="1">
      <alignment horizontal="center" vertical="center"/>
    </xf>
    <xf numFmtId="3" fontId="12" fillId="3" borderId="92" xfId="32" applyNumberFormat="1" applyFont="1" applyFill="1" applyBorder="1" applyAlignment="1" applyProtection="1">
      <alignment horizontal="center" vertical="center"/>
      <protection locked="0"/>
    </xf>
    <xf numFmtId="3" fontId="21" fillId="33" borderId="81" xfId="49" applyNumberFormat="1" applyFont="1" applyFill="1" applyBorder="1" applyAlignment="1">
      <alignment horizontal="center" vertical="center"/>
    </xf>
    <xf numFmtId="3" fontId="127" fillId="31" borderId="65" xfId="55" applyNumberFormat="1" applyFont="1" applyFill="1" applyBorder="1" applyAlignment="1" applyProtection="1">
      <alignment horizontal="center" vertical="center"/>
    </xf>
    <xf numFmtId="3" fontId="57" fillId="0" borderId="11" xfId="55" applyNumberFormat="1" applyFont="1" applyFill="1" applyBorder="1" applyAlignment="1" applyProtection="1">
      <alignment horizontal="center" vertical="center"/>
    </xf>
    <xf numFmtId="3" fontId="57" fillId="0" borderId="23" xfId="55" applyNumberFormat="1" applyFont="1" applyFill="1" applyBorder="1" applyAlignment="1" applyProtection="1">
      <alignment horizontal="center" vertical="center"/>
    </xf>
    <xf numFmtId="3" fontId="57" fillId="0" borderId="28" xfId="55" applyNumberFormat="1" applyFont="1" applyFill="1" applyBorder="1" applyAlignment="1" applyProtection="1">
      <alignment horizontal="center" vertical="center"/>
    </xf>
    <xf numFmtId="3" fontId="57" fillId="0" borderId="45" xfId="55" applyNumberFormat="1" applyFont="1" applyFill="1" applyBorder="1" applyAlignment="1" applyProtection="1">
      <alignment horizontal="center" vertical="center"/>
    </xf>
    <xf numFmtId="1" fontId="127" fillId="31" borderId="65" xfId="55" applyNumberFormat="1" applyFont="1" applyFill="1" applyBorder="1" applyAlignment="1" applyProtection="1">
      <alignment horizontal="center" vertical="center"/>
    </xf>
    <xf numFmtId="3" fontId="127" fillId="31" borderId="72" xfId="55" applyNumberFormat="1" applyFont="1" applyFill="1" applyBorder="1" applyAlignment="1" applyProtection="1">
      <alignment horizontal="center" vertical="center"/>
    </xf>
    <xf numFmtId="3" fontId="127" fillId="26" borderId="32" xfId="55" applyNumberFormat="1" applyFont="1" applyFill="1" applyBorder="1" applyAlignment="1" applyProtection="1">
      <alignment horizontal="center" vertical="center"/>
    </xf>
    <xf numFmtId="3" fontId="127" fillId="26" borderId="79" xfId="55" applyNumberFormat="1" applyFont="1" applyFill="1" applyBorder="1" applyAlignment="1" applyProtection="1">
      <alignment horizontal="center" vertical="center"/>
    </xf>
    <xf numFmtId="9" fontId="127" fillId="31" borderId="65" xfId="70" applyFont="1" applyFill="1" applyBorder="1" applyAlignment="1" applyProtection="1">
      <alignment horizontal="center" vertical="center"/>
    </xf>
    <xf numFmtId="9" fontId="57" fillId="0" borderId="44" xfId="70" applyFont="1" applyFill="1" applyBorder="1" applyAlignment="1" applyProtection="1">
      <alignment horizontal="center" vertical="center"/>
    </xf>
    <xf numFmtId="9" fontId="125" fillId="0" borderId="32" xfId="70" applyFont="1" applyFill="1" applyBorder="1" applyAlignment="1" applyProtection="1">
      <alignment horizontal="center" vertical="center"/>
    </xf>
    <xf numFmtId="9" fontId="125" fillId="0" borderId="79" xfId="70" applyFont="1" applyFill="1" applyBorder="1" applyAlignment="1" applyProtection="1">
      <alignment horizontal="center" vertical="center"/>
    </xf>
    <xf numFmtId="3" fontId="127" fillId="31" borderId="72" xfId="32" applyNumberFormat="1" applyFont="1" applyFill="1" applyBorder="1" applyAlignment="1">
      <alignment horizontal="center" vertical="center"/>
    </xf>
    <xf numFmtId="3" fontId="125" fillId="27" borderId="44" xfId="32" applyNumberFormat="1" applyFont="1" applyFill="1" applyBorder="1" applyAlignment="1">
      <alignment horizontal="center" vertical="center"/>
    </xf>
    <xf numFmtId="3" fontId="45" fillId="0" borderId="47" xfId="32" applyNumberFormat="1" applyFont="1" applyBorder="1" applyAlignment="1">
      <alignment horizontal="center" vertical="center"/>
    </xf>
    <xf numFmtId="3" fontId="127" fillId="31" borderId="65" xfId="32" applyNumberFormat="1" applyFont="1" applyFill="1" applyBorder="1" applyAlignment="1">
      <alignment horizontal="center" vertical="center"/>
    </xf>
    <xf numFmtId="3" fontId="127" fillId="26" borderId="32" xfId="32" applyNumberFormat="1" applyFont="1" applyFill="1" applyBorder="1" applyAlignment="1">
      <alignment horizontal="center" vertical="center"/>
    </xf>
    <xf numFmtId="3" fontId="127" fillId="26" borderId="70" xfId="32" applyNumberFormat="1" applyFont="1" applyFill="1" applyBorder="1" applyAlignment="1">
      <alignment horizontal="center" vertical="center"/>
    </xf>
    <xf numFmtId="3" fontId="128" fillId="0" borderId="152" xfId="32" applyNumberFormat="1" applyFont="1" applyBorder="1" applyAlignment="1">
      <alignment horizontal="center" vertical="center"/>
    </xf>
    <xf numFmtId="3" fontId="128" fillId="0" borderId="130" xfId="32" applyNumberFormat="1" applyFont="1" applyBorder="1" applyAlignment="1">
      <alignment horizontal="center" vertical="center"/>
    </xf>
    <xf numFmtId="3" fontId="128" fillId="0" borderId="81" xfId="32" applyNumberFormat="1" applyFont="1" applyBorder="1" applyAlignment="1">
      <alignment horizontal="center" vertical="center"/>
    </xf>
    <xf numFmtId="3" fontId="128" fillId="0" borderId="92" xfId="32" applyNumberFormat="1" applyFont="1" applyBorder="1" applyAlignment="1">
      <alignment horizontal="center" vertical="center"/>
    </xf>
    <xf numFmtId="3" fontId="46" fillId="31" borderId="75" xfId="0" applyNumberFormat="1" applyFont="1" applyFill="1" applyBorder="1" applyAlignment="1">
      <alignment horizontal="center" vertical="center"/>
    </xf>
    <xf numFmtId="3" fontId="43" fillId="0" borderId="52" xfId="32" applyNumberFormat="1" applyFont="1" applyBorder="1" applyAlignment="1">
      <alignment horizontal="center" vertical="center"/>
    </xf>
    <xf numFmtId="3" fontId="42" fillId="0" borderId="49" xfId="32" applyNumberFormat="1" applyFont="1" applyBorder="1" applyAlignment="1">
      <alignment horizontal="center" vertical="center"/>
    </xf>
    <xf numFmtId="3" fontId="42" fillId="0" borderId="56" xfId="32" applyNumberFormat="1" applyFont="1" applyBorder="1" applyAlignment="1">
      <alignment horizontal="center" vertical="center"/>
    </xf>
    <xf numFmtId="3" fontId="43" fillId="27" borderId="52" xfId="32" applyNumberFormat="1" applyFont="1" applyFill="1" applyBorder="1" applyAlignment="1">
      <alignment horizontal="center" vertical="center"/>
    </xf>
    <xf numFmtId="3" fontId="42" fillId="27" borderId="49" xfId="32" applyNumberFormat="1" applyFont="1" applyFill="1" applyBorder="1" applyAlignment="1">
      <alignment horizontal="center" vertical="center"/>
    </xf>
    <xf numFmtId="3" fontId="42" fillId="27" borderId="56" xfId="32" applyNumberFormat="1" applyFont="1" applyFill="1" applyBorder="1" applyAlignment="1">
      <alignment horizontal="center" vertical="center"/>
    </xf>
    <xf numFmtId="3" fontId="125" fillId="27" borderId="70" xfId="32" applyNumberFormat="1" applyFont="1" applyFill="1" applyBorder="1" applyAlignment="1">
      <alignment horizontal="center" vertical="center"/>
    </xf>
    <xf numFmtId="3" fontId="125" fillId="26" borderId="82" xfId="32" applyNumberFormat="1" applyFont="1" applyFill="1" applyBorder="1" applyAlignment="1">
      <alignment horizontal="center" vertical="center"/>
    </xf>
    <xf numFmtId="3" fontId="125" fillId="26" borderId="126" xfId="32" applyNumberFormat="1" applyFont="1" applyFill="1" applyBorder="1" applyAlignment="1">
      <alignment horizontal="center" vertical="center"/>
    </xf>
    <xf numFmtId="3" fontId="125" fillId="26" borderId="113" xfId="32" applyNumberFormat="1" applyFont="1" applyFill="1" applyBorder="1" applyAlignment="1">
      <alignment horizontal="center" vertical="center"/>
    </xf>
    <xf numFmtId="3" fontId="125" fillId="26" borderId="114" xfId="32" applyNumberFormat="1" applyFont="1" applyFill="1" applyBorder="1" applyAlignment="1">
      <alignment horizontal="center" vertical="center"/>
    </xf>
    <xf numFmtId="1" fontId="47" fillId="37" borderId="65" xfId="32" applyNumberFormat="1" applyFont="1" applyFill="1" applyBorder="1" applyAlignment="1">
      <alignment horizontal="center" vertical="center"/>
    </xf>
    <xf numFmtId="1" fontId="47" fillId="37" borderId="2" xfId="32" applyNumberFormat="1" applyFont="1" applyFill="1" applyBorder="1" applyAlignment="1">
      <alignment horizontal="center" vertical="center"/>
    </xf>
    <xf numFmtId="10" fontId="41" fillId="26" borderId="23" xfId="70" applyNumberFormat="1" applyFont="1" applyFill="1" applyBorder="1" applyAlignment="1" applyProtection="1">
      <alignment horizontal="right" vertical="center" wrapText="1"/>
    </xf>
    <xf numFmtId="3" fontId="12" fillId="26" borderId="32" xfId="32" applyNumberFormat="1" applyFont="1" applyFill="1" applyBorder="1" applyAlignment="1">
      <alignment horizontal="center" vertical="center"/>
    </xf>
    <xf numFmtId="3" fontId="40" fillId="37" borderId="47" xfId="31" applyNumberFormat="1" applyFont="1" applyFill="1" applyBorder="1" applyAlignment="1">
      <alignment horizontal="center" vertical="center"/>
    </xf>
    <xf numFmtId="0" fontId="40" fillId="37" borderId="47" xfId="31" applyFont="1" applyFill="1" applyBorder="1" applyAlignment="1">
      <alignment horizontal="center" vertical="center"/>
    </xf>
    <xf numFmtId="0" fontId="40" fillId="37" borderId="71" xfId="31" applyFont="1" applyFill="1" applyBorder="1" applyAlignment="1">
      <alignment horizontal="center" vertical="center"/>
    </xf>
    <xf numFmtId="0" fontId="40" fillId="37" borderId="48" xfId="31" applyFont="1" applyFill="1" applyBorder="1" applyAlignment="1">
      <alignment horizontal="center" vertical="center"/>
    </xf>
    <xf numFmtId="10" fontId="12" fillId="3" borderId="32" xfId="70" applyNumberFormat="1" applyFont="1" applyFill="1" applyBorder="1" applyAlignment="1" applyProtection="1">
      <alignment horizontal="center" vertical="center"/>
      <protection locked="0"/>
    </xf>
    <xf numFmtId="10" fontId="41" fillId="26" borderId="52" xfId="70" applyNumberFormat="1" applyFont="1" applyFill="1" applyBorder="1" applyAlignment="1" applyProtection="1">
      <alignment horizontal="right" vertical="center" wrapText="1"/>
    </xf>
    <xf numFmtId="174" fontId="40" fillId="37" borderId="38" xfId="31" applyNumberFormat="1" applyFont="1" applyFill="1" applyBorder="1" applyAlignment="1">
      <alignment horizontal="center" vertical="center"/>
    </xf>
    <xf numFmtId="10" fontId="12" fillId="3" borderId="79" xfId="70" applyNumberFormat="1" applyFont="1" applyFill="1" applyBorder="1" applyAlignment="1" applyProtection="1">
      <alignment horizontal="center" vertical="center"/>
      <protection locked="0"/>
    </xf>
    <xf numFmtId="174" fontId="40" fillId="37" borderId="79" xfId="31" applyNumberFormat="1" applyFont="1" applyFill="1" applyBorder="1" applyAlignment="1">
      <alignment vertical="center"/>
    </xf>
    <xf numFmtId="169" fontId="42" fillId="26" borderId="146" xfId="49" applyNumberFormat="1" applyFont="1" applyFill="1" applyBorder="1" applyAlignment="1">
      <alignment horizontal="center" vertical="center" wrapText="1"/>
    </xf>
    <xf numFmtId="169" fontId="42" fillId="26" borderId="123" xfId="49" applyNumberFormat="1" applyFont="1" applyFill="1" applyBorder="1" applyAlignment="1">
      <alignment horizontal="center" vertical="center" wrapText="1"/>
    </xf>
    <xf numFmtId="169" fontId="42" fillId="26" borderId="151" xfId="49" applyNumberFormat="1" applyFont="1" applyFill="1" applyBorder="1" applyAlignment="1">
      <alignment horizontal="center" vertical="center" wrapText="1"/>
    </xf>
    <xf numFmtId="169" fontId="42" fillId="26" borderId="147" xfId="49" applyNumberFormat="1" applyFont="1" applyFill="1" applyBorder="1" applyAlignment="1">
      <alignment horizontal="center" vertical="center" wrapText="1"/>
    </xf>
    <xf numFmtId="0" fontId="40" fillId="37" borderId="70" xfId="31" applyFont="1" applyFill="1" applyBorder="1" applyAlignment="1">
      <alignment horizontal="center" vertical="center"/>
    </xf>
    <xf numFmtId="0" fontId="40" fillId="37" borderId="101" xfId="31" applyFont="1" applyFill="1" applyBorder="1" applyAlignment="1">
      <alignment horizontal="center" vertical="center"/>
    </xf>
    <xf numFmtId="174" fontId="41" fillId="0" borderId="44" xfId="37" applyNumberFormat="1" applyFont="1" applyBorder="1" applyProtection="1">
      <alignment horizontal="right" vertical="center" wrapText="1"/>
    </xf>
    <xf numFmtId="9" fontId="42" fillId="26" borderId="123" xfId="49" applyNumberFormat="1" applyFont="1" applyFill="1" applyBorder="1" applyAlignment="1">
      <alignment horizontal="center" vertical="center" wrapText="1"/>
    </xf>
    <xf numFmtId="9" fontId="42" fillId="26" borderId="151" xfId="49" applyNumberFormat="1" applyFont="1" applyFill="1" applyBorder="1" applyAlignment="1">
      <alignment horizontal="center" vertical="center" wrapText="1"/>
    </xf>
    <xf numFmtId="9" fontId="42" fillId="26" borderId="147" xfId="49" applyNumberFormat="1" applyFont="1" applyFill="1" applyBorder="1" applyAlignment="1">
      <alignment horizontal="center" vertical="center" wrapText="1"/>
    </xf>
    <xf numFmtId="3" fontId="41" fillId="29" borderId="65" xfId="49" applyNumberFormat="1" applyFont="1" applyFill="1" applyBorder="1" applyAlignment="1">
      <alignment horizontal="right" vertical="center"/>
    </xf>
    <xf numFmtId="3" fontId="41" fillId="29" borderId="38" xfId="49" applyNumberFormat="1" applyFont="1" applyFill="1" applyBorder="1" applyAlignment="1">
      <alignment horizontal="right" vertical="center"/>
    </xf>
    <xf numFmtId="174" fontId="40" fillId="37" borderId="54" xfId="31" applyNumberFormat="1" applyFont="1" applyFill="1" applyBorder="1" applyAlignment="1">
      <alignment horizontal="center" vertical="center"/>
    </xf>
    <xf numFmtId="3" fontId="12" fillId="26" borderId="44" xfId="32" applyNumberFormat="1" applyFont="1" applyFill="1" applyBorder="1" applyAlignment="1">
      <alignment horizontal="center" vertical="center"/>
    </xf>
    <xf numFmtId="38" fontId="41" fillId="0" borderId="79" xfId="28" applyFont="1" applyFill="1" applyBorder="1">
      <alignment horizontal="right" vertical="center" wrapText="1"/>
    </xf>
    <xf numFmtId="0" fontId="13" fillId="27" borderId="0" xfId="32" applyFont="1" applyFill="1" applyAlignment="1">
      <alignment vertical="center"/>
    </xf>
    <xf numFmtId="0" fontId="15" fillId="0" borderId="0" xfId="31" applyFont="1" applyAlignment="1">
      <alignment vertical="center" wrapText="1"/>
    </xf>
    <xf numFmtId="14" fontId="57" fillId="27" borderId="0" xfId="32" applyNumberFormat="1" applyFont="1" applyFill="1" applyAlignment="1">
      <alignment horizontal="left" vertical="center"/>
    </xf>
    <xf numFmtId="49" fontId="43" fillId="43" borderId="56" xfId="31" applyNumberFormat="1" applyFont="1" applyFill="1" applyBorder="1" applyAlignment="1">
      <alignment horizontal="center" vertical="center"/>
    </xf>
    <xf numFmtId="0" fontId="42" fillId="43" borderId="78" xfId="31" applyFont="1" applyFill="1" applyBorder="1" applyAlignment="1">
      <alignment horizontal="right" vertical="center"/>
    </xf>
    <xf numFmtId="3" fontId="42" fillId="43" borderId="78" xfId="37" applyFont="1" applyFill="1" applyBorder="1" applyAlignment="1" applyProtection="1">
      <alignment horizontal="center" vertical="center" wrapText="1"/>
    </xf>
    <xf numFmtId="169" fontId="42" fillId="26" borderId="144" xfId="49" applyNumberFormat="1" applyFont="1" applyFill="1" applyBorder="1" applyAlignment="1">
      <alignment horizontal="center" vertical="center" wrapText="1"/>
    </xf>
    <xf numFmtId="49" fontId="12" fillId="0" borderId="47" xfId="0" applyNumberFormat="1" applyFont="1" applyBorder="1" applyAlignment="1">
      <alignment horizontal="center" vertical="center"/>
    </xf>
    <xf numFmtId="0" fontId="41" fillId="0" borderId="48" xfId="49" applyFont="1" applyBorder="1" applyAlignment="1">
      <alignment horizontal="left" vertical="center" wrapText="1"/>
    </xf>
    <xf numFmtId="49" fontId="12" fillId="0" borderId="56" xfId="0" applyNumberFormat="1" applyFont="1" applyBorder="1" applyAlignment="1">
      <alignment horizontal="center" vertical="center"/>
    </xf>
    <xf numFmtId="0" fontId="40" fillId="0" borderId="57" xfId="49" applyFont="1" applyBorder="1" applyAlignment="1">
      <alignment horizontal="left" vertical="center" wrapText="1"/>
    </xf>
    <xf numFmtId="3" fontId="40" fillId="0" borderId="77" xfId="21" applyNumberFormat="1" applyFont="1" applyFill="1" applyBorder="1">
      <alignment horizontal="center" vertical="center" wrapText="1"/>
    </xf>
    <xf numFmtId="3" fontId="40" fillId="0" borderId="57" xfId="21" applyNumberFormat="1" applyFont="1" applyFill="1" applyBorder="1">
      <alignment horizontal="center" vertical="center" wrapText="1"/>
    </xf>
    <xf numFmtId="3" fontId="40" fillId="0" borderId="78" xfId="21" applyNumberFormat="1" applyFont="1" applyFill="1" applyBorder="1">
      <alignment horizontal="center" vertical="center" wrapText="1"/>
    </xf>
    <xf numFmtId="169" fontId="42" fillId="26" borderId="153" xfId="49" applyNumberFormat="1" applyFont="1" applyFill="1" applyBorder="1" applyAlignment="1">
      <alignment horizontal="center" vertical="center" wrapText="1"/>
    </xf>
    <xf numFmtId="3" fontId="12" fillId="3" borderId="4" xfId="32" applyNumberFormat="1" applyFont="1" applyFill="1" applyBorder="1" applyAlignment="1" applyProtection="1">
      <alignment horizontal="center" vertical="center"/>
      <protection locked="0"/>
    </xf>
    <xf numFmtId="3" fontId="12" fillId="3" borderId="13" xfId="32" applyNumberFormat="1" applyFont="1" applyFill="1" applyBorder="1" applyAlignment="1" applyProtection="1">
      <alignment horizontal="center" vertical="center"/>
      <protection locked="0"/>
    </xf>
    <xf numFmtId="3" fontId="12" fillId="0" borderId="4" xfId="32" applyNumberFormat="1" applyFont="1" applyBorder="1" applyAlignment="1">
      <alignment horizontal="center" vertical="center"/>
    </xf>
    <xf numFmtId="3" fontId="12" fillId="0" borderId="13" xfId="32" applyNumberFormat="1" applyFont="1" applyBorder="1" applyAlignment="1">
      <alignment horizontal="center" vertical="center"/>
    </xf>
    <xf numFmtId="179" fontId="12" fillId="26" borderId="71" xfId="32" applyNumberFormat="1" applyFont="1" applyFill="1" applyBorder="1" applyAlignment="1">
      <alignment horizontal="center" vertical="center"/>
    </xf>
    <xf numFmtId="179" fontId="12" fillId="26" borderId="48" xfId="32" applyNumberFormat="1" applyFont="1" applyFill="1" applyBorder="1" applyAlignment="1">
      <alignment horizontal="center" vertical="center"/>
    </xf>
    <xf numFmtId="9" fontId="40" fillId="0" borderId="9" xfId="21" applyNumberFormat="1" applyFont="1" applyFill="1" applyBorder="1">
      <alignment horizontal="center" vertical="center" wrapText="1"/>
    </xf>
    <xf numFmtId="9" fontId="40" fillId="0" borderId="60" xfId="21" applyNumberFormat="1" applyFont="1" applyFill="1" applyBorder="1">
      <alignment horizontal="center" vertical="center" wrapText="1"/>
    </xf>
    <xf numFmtId="9" fontId="40" fillId="0" borderId="10" xfId="21" applyNumberFormat="1" applyFont="1" applyFill="1" applyBorder="1">
      <alignment horizontal="center" vertical="center" wrapText="1"/>
    </xf>
    <xf numFmtId="0" fontId="42" fillId="27" borderId="0" xfId="49" applyFont="1" applyFill="1" applyAlignment="1">
      <alignment vertical="center"/>
    </xf>
    <xf numFmtId="0" fontId="41" fillId="27" borderId="0" xfId="49" applyFont="1" applyFill="1" applyAlignment="1">
      <alignment vertical="center" wrapText="1"/>
    </xf>
    <xf numFmtId="3" fontId="41" fillId="27" borderId="0" xfId="49" applyNumberFormat="1" applyFont="1" applyFill="1" applyAlignment="1">
      <alignment vertical="center" wrapText="1"/>
    </xf>
    <xf numFmtId="0" fontId="21" fillId="37" borderId="38" xfId="0" applyFont="1" applyFill="1" applyBorder="1" applyAlignment="1">
      <alignment horizontal="center" vertical="center" wrapText="1"/>
    </xf>
    <xf numFmtId="0" fontId="21" fillId="37" borderId="10" xfId="0" applyFont="1" applyFill="1" applyBorder="1" applyAlignment="1">
      <alignment horizontal="center" vertical="center" wrapText="1"/>
    </xf>
    <xf numFmtId="0" fontId="42" fillId="27" borderId="0" xfId="0" applyFont="1" applyFill="1" applyAlignment="1">
      <alignment vertical="center"/>
    </xf>
    <xf numFmtId="3" fontId="21" fillId="26" borderId="25" xfId="49" applyNumberFormat="1" applyFont="1" applyFill="1" applyBorder="1" applyAlignment="1">
      <alignment horizontal="center" vertical="center" wrapText="1"/>
    </xf>
    <xf numFmtId="3" fontId="21" fillId="26" borderId="24" xfId="49" applyNumberFormat="1" applyFont="1" applyFill="1" applyBorder="1" applyAlignment="1">
      <alignment horizontal="center" vertical="center"/>
    </xf>
    <xf numFmtId="3" fontId="12" fillId="26" borderId="24" xfId="49" applyNumberFormat="1" applyFont="1" applyFill="1" applyBorder="1" applyAlignment="1">
      <alignment horizontal="center" vertical="center"/>
    </xf>
    <xf numFmtId="3" fontId="21" fillId="27" borderId="72" xfId="49" applyNumberFormat="1" applyFont="1" applyFill="1" applyBorder="1" applyAlignment="1">
      <alignment horizontal="center" vertical="center" wrapText="1"/>
    </xf>
    <xf numFmtId="3" fontId="12" fillId="27" borderId="23" xfId="49" applyNumberFormat="1" applyFont="1" applyFill="1" applyBorder="1" applyAlignment="1">
      <alignment horizontal="center" vertical="center" wrapText="1"/>
    </xf>
    <xf numFmtId="3" fontId="12" fillId="27" borderId="32" xfId="49" applyNumberFormat="1" applyFont="1" applyFill="1" applyBorder="1" applyAlignment="1">
      <alignment horizontal="center" vertical="center" wrapText="1"/>
    </xf>
    <xf numFmtId="3" fontId="21" fillId="26" borderId="17" xfId="49" applyNumberFormat="1" applyFont="1" applyFill="1" applyBorder="1" applyAlignment="1">
      <alignment horizontal="center" vertical="center"/>
    </xf>
    <xf numFmtId="3" fontId="12" fillId="26" borderId="17" xfId="49" applyNumberFormat="1" applyFont="1" applyFill="1" applyBorder="1" applyAlignment="1">
      <alignment horizontal="center" vertical="center"/>
    </xf>
    <xf numFmtId="3" fontId="21" fillId="26" borderId="5" xfId="49" applyNumberFormat="1" applyFont="1" applyFill="1" applyBorder="1" applyAlignment="1">
      <alignment horizontal="center" vertical="center" wrapText="1"/>
    </xf>
    <xf numFmtId="0" fontId="21" fillId="37" borderId="26" xfId="0" applyFont="1" applyFill="1" applyBorder="1" applyAlignment="1">
      <alignment horizontal="center" vertical="center" wrapText="1"/>
    </xf>
    <xf numFmtId="0" fontId="21" fillId="37" borderId="4" xfId="0" applyFont="1" applyFill="1" applyBorder="1" applyAlignment="1">
      <alignment horizontal="center" vertical="center" wrapText="1"/>
    </xf>
    <xf numFmtId="0" fontId="21" fillId="37" borderId="68" xfId="0" applyFont="1" applyFill="1" applyBorder="1" applyAlignment="1">
      <alignment horizontal="center" vertical="center" wrapText="1"/>
    </xf>
    <xf numFmtId="0" fontId="21" fillId="37" borderId="67" xfId="0" applyFont="1" applyFill="1" applyBorder="1" applyAlignment="1">
      <alignment horizontal="center" vertical="center" wrapText="1"/>
    </xf>
    <xf numFmtId="0" fontId="21" fillId="37" borderId="1" xfId="0" applyFont="1" applyFill="1" applyBorder="1" applyAlignment="1">
      <alignment horizontal="center" vertical="center" wrapText="1"/>
    </xf>
    <xf numFmtId="0" fontId="40" fillId="37" borderId="3" xfId="0" applyFont="1" applyFill="1" applyBorder="1" applyAlignment="1">
      <alignment horizontal="center" vertical="center" wrapText="1"/>
    </xf>
    <xf numFmtId="0" fontId="65" fillId="37" borderId="9" xfId="54" applyFont="1" applyFill="1" applyBorder="1" applyAlignment="1">
      <alignment horizontal="center" vertical="center" wrapText="1"/>
    </xf>
    <xf numFmtId="0" fontId="65" fillId="37" borderId="10" xfId="54" applyFont="1" applyFill="1" applyBorder="1" applyAlignment="1">
      <alignment horizontal="center" vertical="center" wrapText="1"/>
    </xf>
    <xf numFmtId="0" fontId="21" fillId="41" borderId="40" xfId="88" applyFont="1" applyFill="1" applyBorder="1" applyAlignment="1">
      <alignment horizontal="center" vertical="center" wrapText="1"/>
    </xf>
    <xf numFmtId="0" fontId="21" fillId="41" borderId="73" xfId="88" applyFont="1" applyFill="1" applyBorder="1" applyAlignment="1">
      <alignment horizontal="center" vertical="center" wrapText="1"/>
    </xf>
    <xf numFmtId="0" fontId="21" fillId="41" borderId="41" xfId="88" applyFont="1" applyFill="1" applyBorder="1" applyAlignment="1">
      <alignment horizontal="center" vertical="center" wrapText="1"/>
    </xf>
    <xf numFmtId="0" fontId="21" fillId="41" borderId="75" xfId="88" applyFont="1" applyFill="1" applyBorder="1" applyAlignment="1">
      <alignment horizontal="center" vertical="center" wrapText="1"/>
    </xf>
    <xf numFmtId="0" fontId="21" fillId="41" borderId="80" xfId="88" applyFont="1" applyFill="1" applyBorder="1" applyAlignment="1">
      <alignment horizontal="center" vertical="center" wrapText="1"/>
    </xf>
    <xf numFmtId="0" fontId="57" fillId="20" borderId="7" xfId="80" applyFont="1" applyFill="1" applyBorder="1" applyAlignment="1">
      <alignment horizontal="center" vertical="center" wrapText="1"/>
    </xf>
    <xf numFmtId="0" fontId="45" fillId="26" borderId="7" xfId="0" applyFont="1" applyFill="1" applyBorder="1" applyAlignment="1">
      <alignment horizontal="left" vertical="center" wrapText="1"/>
    </xf>
    <xf numFmtId="171" fontId="40" fillId="37" borderId="34" xfId="32" applyNumberFormat="1" applyFont="1" applyFill="1" applyBorder="1" applyAlignment="1">
      <alignment horizontal="center" vertical="center" wrapText="1"/>
    </xf>
    <xf numFmtId="0" fontId="42" fillId="0" borderId="68" xfId="32" applyFont="1" applyBorder="1" applyAlignment="1">
      <alignment horizontal="right" vertical="center" wrapText="1"/>
    </xf>
    <xf numFmtId="0" fontId="41" fillId="26" borderId="53" xfId="78" applyFont="1" applyFill="1" applyBorder="1" applyAlignment="1">
      <alignment horizontal="left" vertical="center" wrapText="1"/>
    </xf>
    <xf numFmtId="0" fontId="40" fillId="37" borderId="56" xfId="32" applyFont="1" applyFill="1" applyBorder="1" applyAlignment="1">
      <alignment horizontal="center" vertical="center" wrapText="1"/>
    </xf>
    <xf numFmtId="0" fontId="40" fillId="37" borderId="21" xfId="32" applyFont="1" applyFill="1" applyBorder="1" applyAlignment="1">
      <alignment horizontal="center" vertical="center" wrapText="1"/>
    </xf>
    <xf numFmtId="0" fontId="40" fillId="37" borderId="69" xfId="32" applyFont="1" applyFill="1" applyBorder="1" applyAlignment="1">
      <alignment horizontal="center" vertical="center"/>
    </xf>
    <xf numFmtId="0" fontId="40" fillId="37" borderId="63" xfId="32" applyFont="1" applyFill="1" applyBorder="1" applyAlignment="1">
      <alignment horizontal="center" vertical="center"/>
    </xf>
    <xf numFmtId="0" fontId="40" fillId="37" borderId="55" xfId="32" applyFont="1" applyFill="1" applyBorder="1" applyAlignment="1">
      <alignment horizontal="center" vertical="center"/>
    </xf>
    <xf numFmtId="9" fontId="40" fillId="31" borderId="34" xfId="70" applyFont="1" applyFill="1" applyBorder="1" applyAlignment="1" applyProtection="1">
      <alignment horizontal="center" vertical="center"/>
    </xf>
    <xf numFmtId="173" fontId="40" fillId="31" borderId="2" xfId="70" applyNumberFormat="1" applyFont="1" applyFill="1" applyBorder="1" applyAlignment="1" applyProtection="1">
      <alignment horizontal="center" vertical="center"/>
    </xf>
    <xf numFmtId="173" fontId="42" fillId="26" borderId="17" xfId="70" applyNumberFormat="1" applyFont="1" applyFill="1" applyBorder="1" applyAlignment="1" applyProtection="1">
      <alignment horizontal="center" vertical="center" wrapText="1"/>
    </xf>
    <xf numFmtId="173" fontId="42" fillId="26" borderId="39" xfId="70" applyNumberFormat="1" applyFont="1" applyFill="1" applyBorder="1" applyAlignment="1" applyProtection="1">
      <alignment horizontal="center" vertical="center"/>
    </xf>
    <xf numFmtId="168" fontId="40" fillId="37" borderId="42" xfId="49" applyNumberFormat="1" applyFont="1" applyFill="1" applyBorder="1" applyAlignment="1">
      <alignment horizontal="center" vertical="center" wrapText="1"/>
    </xf>
    <xf numFmtId="171" fontId="40" fillId="37" borderId="10" xfId="49" applyNumberFormat="1" applyFont="1" applyFill="1" applyBorder="1" applyAlignment="1">
      <alignment horizontal="center" vertical="center" wrapText="1"/>
    </xf>
    <xf numFmtId="168" fontId="41" fillId="37" borderId="33" xfId="49" applyNumberFormat="1" applyFont="1" applyFill="1" applyBorder="1" applyAlignment="1">
      <alignment horizontal="center" vertical="center" wrapText="1"/>
    </xf>
    <xf numFmtId="168" fontId="41" fillId="37" borderId="31" xfId="49" applyNumberFormat="1" applyFont="1" applyFill="1" applyBorder="1" applyAlignment="1">
      <alignment horizontal="center" vertical="center" wrapText="1"/>
    </xf>
    <xf numFmtId="168" fontId="41" fillId="37" borderId="6" xfId="49" applyNumberFormat="1" applyFont="1" applyFill="1" applyBorder="1" applyAlignment="1">
      <alignment horizontal="center" vertical="center" wrapText="1"/>
    </xf>
    <xf numFmtId="175" fontId="41" fillId="37" borderId="33" xfId="49" applyNumberFormat="1" applyFont="1" applyFill="1" applyBorder="1" applyAlignment="1">
      <alignment horizontal="center" vertical="center" wrapText="1"/>
    </xf>
    <xf numFmtId="175" fontId="41" fillId="37" borderId="31" xfId="49" applyNumberFormat="1" applyFont="1" applyFill="1" applyBorder="1" applyAlignment="1">
      <alignment horizontal="center" vertical="center" wrapText="1"/>
    </xf>
    <xf numFmtId="0" fontId="12" fillId="37" borderId="38" xfId="83" applyFont="1" applyFill="1" applyBorder="1" applyAlignment="1">
      <alignment horizontal="center" vertical="center" wrapText="1"/>
    </xf>
    <xf numFmtId="0" fontId="12" fillId="37" borderId="9" xfId="83" applyFont="1" applyFill="1" applyBorder="1" applyAlignment="1">
      <alignment horizontal="center" vertical="center" wrapText="1"/>
    </xf>
    <xf numFmtId="171" fontId="47" fillId="37" borderId="79" xfId="0" applyNumberFormat="1" applyFont="1" applyFill="1" applyBorder="1" applyAlignment="1">
      <alignment horizontal="center" vertical="center" wrapText="1"/>
    </xf>
    <xf numFmtId="171" fontId="47" fillId="37" borderId="77" xfId="0" applyNumberFormat="1" applyFont="1" applyFill="1" applyBorder="1" applyAlignment="1">
      <alignment horizontal="center" vertical="center" wrapText="1"/>
    </xf>
    <xf numFmtId="171" fontId="47" fillId="37" borderId="57" xfId="0" applyNumberFormat="1" applyFont="1" applyFill="1" applyBorder="1" applyAlignment="1">
      <alignment horizontal="center" vertical="center" wrapText="1"/>
    </xf>
    <xf numFmtId="3" fontId="143" fillId="37" borderId="7" xfId="49" applyNumberFormat="1" applyFont="1" applyFill="1" applyBorder="1" applyAlignment="1">
      <alignment horizontal="center" vertical="center" wrapText="1"/>
    </xf>
    <xf numFmtId="173" fontId="55" fillId="26" borderId="0" xfId="1" applyNumberFormat="1" applyFont="1" applyFill="1" applyBorder="1" applyAlignment="1" applyProtection="1">
      <alignment horizontal="center" vertical="center"/>
    </xf>
    <xf numFmtId="0" fontId="27" fillId="0" borderId="0" xfId="0" applyFont="1" applyAlignment="1">
      <alignment horizontal="center" vertical="center"/>
    </xf>
    <xf numFmtId="0" fontId="143" fillId="37" borderId="7" xfId="0" applyFont="1" applyFill="1" applyBorder="1" applyAlignment="1">
      <alignment horizontal="left" vertical="center" wrapText="1"/>
    </xf>
    <xf numFmtId="0" fontId="143" fillId="37" borderId="7" xfId="0" applyFont="1" applyFill="1" applyBorder="1" applyAlignment="1">
      <alignment horizontal="center" vertical="center" wrapText="1"/>
    </xf>
    <xf numFmtId="0" fontId="143" fillId="37" borderId="7" xfId="0" applyFont="1" applyFill="1" applyBorder="1" applyAlignment="1">
      <alignment horizontal="center" vertical="center"/>
    </xf>
    <xf numFmtId="0" fontId="143" fillId="37" borderId="7" xfId="32" applyFont="1" applyFill="1" applyBorder="1" applyAlignment="1">
      <alignment horizontal="center" vertical="center" wrapText="1"/>
    </xf>
    <xf numFmtId="171" fontId="143" fillId="37" borderId="7" xfId="32" applyNumberFormat="1" applyFont="1" applyFill="1" applyBorder="1" applyAlignment="1">
      <alignment horizontal="center" wrapText="1"/>
    </xf>
    <xf numFmtId="0" fontId="55" fillId="46" borderId="7" xfId="0" applyFont="1" applyFill="1" applyBorder="1" applyAlignment="1">
      <alignment horizontal="left" vertical="center" wrapText="1"/>
    </xf>
    <xf numFmtId="3" fontId="55" fillId="46" borderId="7" xfId="0" applyNumberFormat="1" applyFont="1" applyFill="1" applyBorder="1" applyAlignment="1">
      <alignment horizontal="center" vertical="center" wrapText="1"/>
    </xf>
    <xf numFmtId="171" fontId="143" fillId="37" borderId="7" xfId="32" applyNumberFormat="1" applyFont="1" applyFill="1" applyBorder="1" applyAlignment="1">
      <alignment horizontal="center" vertical="center" wrapText="1"/>
    </xf>
    <xf numFmtId="3" fontId="55" fillId="0" borderId="31" xfId="0" applyNumberFormat="1" applyFont="1" applyBorder="1" applyAlignment="1">
      <alignment horizontal="left" vertical="center"/>
    </xf>
    <xf numFmtId="3" fontId="55" fillId="0" borderId="31" xfId="0" applyNumberFormat="1" applyFont="1" applyBorder="1" applyAlignment="1">
      <alignment horizontal="center" vertical="center"/>
    </xf>
    <xf numFmtId="173" fontId="143" fillId="0" borderId="7" xfId="0" applyNumberFormat="1" applyFont="1" applyBorder="1" applyAlignment="1">
      <alignment horizontal="center" vertical="center"/>
    </xf>
    <xf numFmtId="0" fontId="143" fillId="0" borderId="7" xfId="0" applyFont="1" applyBorder="1" applyAlignment="1">
      <alignment vertical="center"/>
    </xf>
    <xf numFmtId="3" fontId="55" fillId="0" borderId="7" xfId="0" applyNumberFormat="1" applyFont="1" applyBorder="1" applyAlignment="1">
      <alignment horizontal="left" vertical="center"/>
    </xf>
    <xf numFmtId="0" fontId="36" fillId="0" borderId="7" xfId="0" applyFont="1" applyBorder="1" applyAlignment="1">
      <alignment vertical="center"/>
    </xf>
    <xf numFmtId="3" fontId="36" fillId="0" borderId="7" xfId="0" applyNumberFormat="1" applyFont="1" applyBorder="1" applyAlignment="1">
      <alignment horizontal="center" vertical="center"/>
    </xf>
    <xf numFmtId="0" fontId="143" fillId="46" borderId="7" xfId="0" applyFont="1" applyFill="1" applyBorder="1" applyAlignment="1">
      <alignment horizontal="left" vertical="center" wrapText="1"/>
    </xf>
    <xf numFmtId="3" fontId="143" fillId="46" borderId="7" xfId="0" applyNumberFormat="1" applyFont="1" applyFill="1" applyBorder="1" applyAlignment="1">
      <alignment horizontal="center" vertical="center" wrapText="1"/>
    </xf>
    <xf numFmtId="0" fontId="55" fillId="0" borderId="7" xfId="0" applyFont="1" applyBorder="1" applyAlignment="1">
      <alignment vertical="center"/>
    </xf>
    <xf numFmtId="3" fontId="36" fillId="0" borderId="7" xfId="0" applyNumberFormat="1" applyFont="1" applyBorder="1" applyAlignment="1">
      <alignment horizontal="right" vertical="center" wrapText="1"/>
    </xf>
    <xf numFmtId="0" fontId="143" fillId="0" borderId="7" xfId="0" applyFont="1" applyBorder="1"/>
    <xf numFmtId="3" fontId="143" fillId="22" borderId="7" xfId="0" applyNumberFormat="1" applyFont="1" applyFill="1" applyBorder="1" applyAlignment="1">
      <alignment horizontal="left" vertical="center"/>
    </xf>
    <xf numFmtId="3" fontId="143" fillId="22" borderId="7" xfId="0" applyNumberFormat="1" applyFont="1" applyFill="1" applyBorder="1" applyAlignment="1">
      <alignment horizontal="center" vertical="center"/>
    </xf>
    <xf numFmtId="173" fontId="143" fillId="22" borderId="7" xfId="0" applyNumberFormat="1" applyFont="1" applyFill="1" applyBorder="1" applyAlignment="1">
      <alignment horizontal="center" vertical="center"/>
    </xf>
    <xf numFmtId="0" fontId="143" fillId="0" borderId="0" xfId="0" applyFont="1" applyAlignment="1">
      <alignment horizontal="center"/>
    </xf>
    <xf numFmtId="10" fontId="143" fillId="0" borderId="0" xfId="0" applyNumberFormat="1" applyFont="1"/>
    <xf numFmtId="0" fontId="36" fillId="0" borderId="0" xfId="0" applyFont="1" applyAlignment="1">
      <alignment horizontal="right" vertical="center"/>
    </xf>
    <xf numFmtId="3" fontId="36" fillId="0" borderId="0" xfId="0" applyNumberFormat="1" applyFont="1" applyAlignment="1">
      <alignment vertical="center"/>
    </xf>
    <xf numFmtId="3" fontId="55" fillId="0" borderId="0" xfId="0" applyNumberFormat="1" applyFont="1" applyAlignment="1">
      <alignment vertical="center"/>
    </xf>
    <xf numFmtId="3" fontId="55" fillId="0" borderId="7" xfId="0" applyNumberFormat="1" applyFont="1" applyBorder="1" applyAlignment="1">
      <alignment horizontal="right" vertical="center"/>
    </xf>
    <xf numFmtId="3" fontId="55" fillId="0" borderId="113" xfId="0" applyNumberFormat="1" applyFont="1" applyBorder="1" applyAlignment="1">
      <alignment horizontal="center" vertical="center"/>
    </xf>
    <xf numFmtId="0" fontId="55" fillId="26" borderId="7" xfId="0" applyFont="1" applyFill="1" applyBorder="1" applyAlignment="1">
      <alignment vertical="center"/>
    </xf>
    <xf numFmtId="3" fontId="36" fillId="0" borderId="7" xfId="0" applyNumberFormat="1" applyFont="1" applyBorder="1" applyAlignment="1">
      <alignment horizontal="right" vertical="center"/>
    </xf>
    <xf numFmtId="0" fontId="55" fillId="0" borderId="0" xfId="0" applyFont="1" applyAlignment="1">
      <alignment horizontal="center" vertical="center"/>
    </xf>
    <xf numFmtId="0" fontId="143" fillId="37" borderId="63" xfId="0" applyFont="1" applyFill="1" applyBorder="1" applyAlignment="1">
      <alignment horizontal="center" vertical="center" wrapText="1"/>
    </xf>
    <xf numFmtId="173" fontId="143" fillId="0" borderId="0" xfId="1" applyNumberFormat="1" applyFont="1" applyBorder="1" applyAlignment="1" applyProtection="1">
      <alignment horizontal="center" vertical="center"/>
    </xf>
    <xf numFmtId="0" fontId="36" fillId="0" borderId="7" xfId="0" applyFont="1" applyBorder="1" applyAlignment="1">
      <alignment horizontal="right" vertical="center"/>
    </xf>
    <xf numFmtId="173" fontId="36" fillId="0" borderId="7" xfId="1" applyNumberFormat="1" applyFont="1" applyBorder="1" applyAlignment="1" applyProtection="1">
      <alignment horizontal="center" vertical="center"/>
    </xf>
    <xf numFmtId="173" fontId="36" fillId="0" borderId="0" xfId="1" applyNumberFormat="1" applyFont="1" applyBorder="1" applyAlignment="1" applyProtection="1">
      <alignment horizontal="center" vertical="center"/>
    </xf>
    <xf numFmtId="3" fontId="166" fillId="46" borderId="7" xfId="0" applyNumberFormat="1" applyFont="1" applyFill="1" applyBorder="1" applyAlignment="1">
      <alignment horizontal="right" vertical="center" wrapText="1"/>
    </xf>
    <xf numFmtId="173" fontId="166" fillId="0" borderId="7" xfId="1" applyNumberFormat="1" applyFont="1" applyBorder="1" applyAlignment="1" applyProtection="1">
      <alignment horizontal="center" vertical="center"/>
    </xf>
    <xf numFmtId="173" fontId="166" fillId="0" borderId="0" xfId="1" applyNumberFormat="1" applyFont="1" applyBorder="1" applyAlignment="1" applyProtection="1">
      <alignment horizontal="center" vertical="center"/>
    </xf>
    <xf numFmtId="0" fontId="55" fillId="0" borderId="0" xfId="0" applyFont="1" applyAlignment="1">
      <alignment vertical="center" wrapText="1"/>
    </xf>
    <xf numFmtId="173" fontId="55" fillId="0" borderId="7" xfId="0" applyNumberFormat="1" applyFont="1" applyBorder="1" applyAlignment="1">
      <alignment horizontal="center" vertical="center"/>
    </xf>
    <xf numFmtId="173" fontId="55" fillId="0" borderId="0" xfId="0" applyNumberFormat="1" applyFont="1" applyAlignment="1">
      <alignment horizontal="center" vertical="center"/>
    </xf>
    <xf numFmtId="173" fontId="36" fillId="0" borderId="7" xfId="0" applyNumberFormat="1" applyFont="1" applyBorder="1" applyAlignment="1">
      <alignment horizontal="center" vertical="center"/>
    </xf>
    <xf numFmtId="173" fontId="36" fillId="0" borderId="0" xfId="0" applyNumberFormat="1" applyFont="1" applyAlignment="1">
      <alignment horizontal="center" vertical="center"/>
    </xf>
    <xf numFmtId="3" fontId="166" fillId="0" borderId="7" xfId="0" applyNumberFormat="1" applyFont="1" applyBorder="1" applyAlignment="1">
      <alignment horizontal="center" vertical="center"/>
    </xf>
    <xf numFmtId="3" fontId="143" fillId="0" borderId="7" xfId="0" applyNumberFormat="1" applyFont="1" applyBorder="1" applyAlignment="1">
      <alignment horizontal="center"/>
    </xf>
    <xf numFmtId="0" fontId="143" fillId="22" borderId="7" xfId="0" applyFont="1" applyFill="1" applyBorder="1" applyAlignment="1">
      <alignment vertical="center"/>
    </xf>
    <xf numFmtId="0" fontId="55" fillId="26" borderId="7" xfId="0" applyFont="1" applyFill="1" applyBorder="1" applyAlignment="1">
      <alignment vertical="center" wrapText="1"/>
    </xf>
    <xf numFmtId="173" fontId="143" fillId="26" borderId="7" xfId="0" applyNumberFormat="1" applyFont="1" applyFill="1" applyBorder="1" applyAlignment="1">
      <alignment horizontal="center" vertical="center"/>
    </xf>
    <xf numFmtId="3" fontId="143" fillId="38" borderId="7" xfId="21" applyNumberFormat="1" applyFont="1" applyFill="1" applyBorder="1">
      <alignment horizontal="center" vertical="center" wrapText="1"/>
    </xf>
    <xf numFmtId="0" fontId="143" fillId="22" borderId="7" xfId="0" applyFont="1" applyFill="1" applyBorder="1" applyAlignment="1">
      <alignment horizontal="center" vertical="center"/>
    </xf>
    <xf numFmtId="0" fontId="143" fillId="37" borderId="7" xfId="0" applyFont="1" applyFill="1" applyBorder="1" applyAlignment="1">
      <alignment vertical="center"/>
    </xf>
    <xf numFmtId="3" fontId="143" fillId="37" borderId="7" xfId="0" applyNumberFormat="1" applyFont="1" applyFill="1" applyBorder="1" applyAlignment="1">
      <alignment horizontal="center" vertical="center"/>
    </xf>
    <xf numFmtId="173" fontId="143" fillId="37" borderId="7" xfId="0" applyNumberFormat="1" applyFont="1" applyFill="1" applyBorder="1" applyAlignment="1">
      <alignment horizontal="center" vertical="center"/>
    </xf>
    <xf numFmtId="178" fontId="55" fillId="0" borderId="7" xfId="0" applyNumberFormat="1" applyFont="1" applyBorder="1" applyAlignment="1">
      <alignment horizontal="center" vertical="center"/>
    </xf>
    <xf numFmtId="3" fontId="55" fillId="0" borderId="0" xfId="0" applyNumberFormat="1" applyFont="1" applyAlignment="1">
      <alignment horizontal="left" vertical="center"/>
    </xf>
    <xf numFmtId="3" fontId="55" fillId="0" borderId="0" xfId="0" applyNumberFormat="1" applyFont="1" applyAlignment="1">
      <alignment horizontal="center" vertical="center"/>
    </xf>
    <xf numFmtId="173" fontId="143" fillId="0" borderId="0" xfId="0" applyNumberFormat="1" applyFont="1" applyAlignment="1">
      <alignment horizontal="center" vertical="center"/>
    </xf>
    <xf numFmtId="0" fontId="36" fillId="26" borderId="7" xfId="0" applyFont="1" applyFill="1" applyBorder="1" applyAlignment="1">
      <alignment vertical="center"/>
    </xf>
    <xf numFmtId="3" fontId="36" fillId="26" borderId="7" xfId="0" applyNumberFormat="1" applyFont="1" applyFill="1" applyBorder="1" applyAlignment="1">
      <alignment horizontal="center" vertical="center"/>
    </xf>
    <xf numFmtId="0" fontId="36" fillId="26" borderId="0" xfId="0" applyFont="1" applyFill="1" applyAlignment="1">
      <alignment vertical="center"/>
    </xf>
    <xf numFmtId="3" fontId="36" fillId="26" borderId="0" xfId="0" applyNumberFormat="1" applyFont="1" applyFill="1" applyAlignment="1">
      <alignment horizontal="center" vertical="center"/>
    </xf>
    <xf numFmtId="0" fontId="55" fillId="0" borderId="0" xfId="0" applyFont="1"/>
    <xf numFmtId="0" fontId="36" fillId="0" borderId="0" xfId="0" applyFont="1" applyAlignment="1">
      <alignment vertical="center"/>
    </xf>
    <xf numFmtId="3" fontId="166" fillId="0" borderId="0" xfId="0" applyNumberFormat="1" applyFont="1" applyAlignment="1">
      <alignment vertical="center"/>
    </xf>
    <xf numFmtId="3" fontId="55" fillId="0" borderId="7" xfId="0" applyNumberFormat="1" applyFont="1" applyBorder="1" applyAlignment="1">
      <alignment horizontal="left" vertical="center" wrapText="1"/>
    </xf>
    <xf numFmtId="0" fontId="36" fillId="0" borderId="7" xfId="0" applyFont="1" applyBorder="1" applyAlignment="1">
      <alignment vertical="center" wrapText="1"/>
    </xf>
    <xf numFmtId="0" fontId="27" fillId="0" borderId="0" xfId="0" applyFont="1" applyAlignment="1">
      <alignment vertical="center" wrapText="1"/>
    </xf>
    <xf numFmtId="0" fontId="147" fillId="37" borderId="7" xfId="54" applyFont="1" applyFill="1" applyBorder="1" applyAlignment="1">
      <alignment horizontal="center" vertical="center" wrapText="1"/>
    </xf>
    <xf numFmtId="173" fontId="143" fillId="0" borderId="62" xfId="0" applyNumberFormat="1" applyFont="1" applyBorder="1" applyAlignment="1">
      <alignment horizontal="center" vertical="center"/>
    </xf>
    <xf numFmtId="0" fontId="55" fillId="22" borderId="7" xfId="0" applyFont="1" applyFill="1" applyBorder="1" applyAlignment="1">
      <alignment vertical="center" wrapText="1"/>
    </xf>
    <xf numFmtId="0" fontId="55" fillId="22" borderId="7" xfId="32" applyFont="1" applyFill="1" applyBorder="1" applyAlignment="1">
      <alignment horizontal="center" vertical="center" wrapText="1"/>
    </xf>
    <xf numFmtId="3" fontId="55" fillId="0" borderId="7" xfId="0" applyNumberFormat="1" applyFont="1" applyBorder="1" applyAlignment="1">
      <alignment vertical="center"/>
    </xf>
    <xf numFmtId="173" fontId="55" fillId="0" borderId="7" xfId="1" applyNumberFormat="1" applyFont="1" applyBorder="1" applyAlignment="1" applyProtection="1">
      <alignment horizontal="center" vertical="center"/>
    </xf>
    <xf numFmtId="3" fontId="55" fillId="0" borderId="7" xfId="0" applyNumberFormat="1" applyFont="1" applyBorder="1" applyAlignment="1">
      <alignment vertical="center" wrapText="1"/>
    </xf>
    <xf numFmtId="3" fontId="143" fillId="47" borderId="7" xfId="0" applyNumberFormat="1" applyFont="1" applyFill="1" applyBorder="1" applyAlignment="1">
      <alignment horizontal="center" vertical="center" wrapText="1"/>
    </xf>
    <xf numFmtId="4" fontId="55" fillId="0" borderId="7" xfId="0" applyNumberFormat="1" applyFont="1" applyBorder="1" applyAlignment="1">
      <alignment horizontal="center" vertical="center"/>
    </xf>
    <xf numFmtId="0" fontId="55" fillId="0" borderId="7" xfId="0" applyFont="1" applyBorder="1" applyAlignment="1">
      <alignment horizontal="center" vertical="center"/>
    </xf>
    <xf numFmtId="3" fontId="55" fillId="49" borderId="7" xfId="0" applyNumberFormat="1" applyFont="1" applyFill="1" applyBorder="1" applyAlignment="1">
      <alignment horizontal="center" vertical="center"/>
    </xf>
    <xf numFmtId="10" fontId="55" fillId="0" borderId="7" xfId="0" applyNumberFormat="1" applyFont="1" applyBorder="1" applyAlignment="1">
      <alignment horizontal="center" vertical="center"/>
    </xf>
    <xf numFmtId="4" fontId="143" fillId="0" borderId="7" xfId="0" applyNumberFormat="1" applyFont="1" applyBorder="1" applyAlignment="1">
      <alignment horizontal="center" vertical="center"/>
    </xf>
    <xf numFmtId="0" fontId="143" fillId="0" borderId="7" xfId="0" applyFont="1" applyBorder="1" applyAlignment="1">
      <alignment horizontal="center" vertical="center"/>
    </xf>
    <xf numFmtId="177" fontId="143" fillId="0" borderId="7" xfId="0" applyNumberFormat="1" applyFont="1" applyBorder="1" applyAlignment="1">
      <alignment horizontal="center" vertical="center" wrapText="1"/>
    </xf>
    <xf numFmtId="0" fontId="143" fillId="0" borderId="7" xfId="0" applyFont="1" applyBorder="1" applyAlignment="1">
      <alignment horizontal="right" vertical="center"/>
    </xf>
    <xf numFmtId="0" fontId="143" fillId="37" borderId="63" xfId="56" applyFont="1" applyFill="1" applyBorder="1" applyAlignment="1">
      <alignment horizontal="center" vertical="center" wrapText="1"/>
    </xf>
    <xf numFmtId="0" fontId="143" fillId="37" borderId="7" xfId="54" applyFont="1" applyFill="1" applyBorder="1" applyAlignment="1">
      <alignment horizontal="center" vertical="center" wrapText="1"/>
    </xf>
    <xf numFmtId="176" fontId="36" fillId="0" borderId="7" xfId="0" applyNumberFormat="1" applyFont="1" applyBorder="1" applyAlignment="1">
      <alignment horizontal="center" vertical="center"/>
    </xf>
    <xf numFmtId="0" fontId="43" fillId="0" borderId="0" xfId="0" applyFont="1" applyAlignment="1">
      <alignment vertical="top" wrapText="1"/>
    </xf>
    <xf numFmtId="10" fontId="41" fillId="0" borderId="36" xfId="1" applyNumberFormat="1" applyFont="1" applyFill="1" applyBorder="1" applyAlignment="1" applyProtection="1">
      <alignment horizontal="center" vertical="center"/>
    </xf>
    <xf numFmtId="10" fontId="41" fillId="0" borderId="7" xfId="1" applyNumberFormat="1" applyFont="1" applyFill="1" applyBorder="1" applyAlignment="1" applyProtection="1">
      <alignment horizontal="center" vertical="center"/>
    </xf>
    <xf numFmtId="4" fontId="12" fillId="3" borderId="62" xfId="32" applyNumberFormat="1" applyFont="1" applyFill="1" applyBorder="1" applyAlignment="1" applyProtection="1">
      <alignment horizontal="center" vertical="center"/>
      <protection locked="0"/>
    </xf>
    <xf numFmtId="4" fontId="41" fillId="0" borderId="24" xfId="0" applyNumberFormat="1" applyFont="1" applyBorder="1" applyAlignment="1">
      <alignment horizontal="center" vertical="center"/>
    </xf>
    <xf numFmtId="4" fontId="41" fillId="20" borderId="24" xfId="0" applyNumberFormat="1" applyFont="1" applyFill="1" applyBorder="1" applyAlignment="1">
      <alignment horizontal="center" vertical="center"/>
    </xf>
    <xf numFmtId="3" fontId="41" fillId="0" borderId="24" xfId="0" applyNumberFormat="1" applyFont="1" applyBorder="1" applyAlignment="1">
      <alignment horizontal="center" vertical="center"/>
    </xf>
    <xf numFmtId="4" fontId="41" fillId="20" borderId="36" xfId="0" applyNumberFormat="1" applyFont="1" applyFill="1" applyBorder="1" applyAlignment="1">
      <alignment horizontal="center" vertical="center"/>
    </xf>
    <xf numFmtId="10" fontId="41" fillId="0" borderId="52" xfId="1" applyNumberFormat="1" applyFont="1" applyFill="1" applyBorder="1" applyAlignment="1" applyProtection="1">
      <alignment horizontal="center" vertical="center"/>
    </xf>
    <xf numFmtId="10" fontId="41" fillId="0" borderId="53" xfId="1" applyNumberFormat="1" applyFont="1" applyFill="1" applyBorder="1" applyAlignment="1" applyProtection="1">
      <alignment horizontal="center" vertical="center"/>
    </xf>
    <xf numFmtId="177" fontId="40" fillId="39" borderId="7" xfId="0" applyNumberFormat="1" applyFont="1" applyFill="1" applyBorder="1" applyAlignment="1">
      <alignment horizontal="center" vertical="center"/>
    </xf>
    <xf numFmtId="0" fontId="40" fillId="0" borderId="2" xfId="0" applyFont="1" applyBorder="1" applyAlignment="1">
      <alignment horizontal="center" vertical="center"/>
    </xf>
    <xf numFmtId="172" fontId="40" fillId="51" borderId="38" xfId="0" applyNumberFormat="1" applyFont="1" applyFill="1" applyBorder="1" applyAlignment="1">
      <alignment horizontal="center" vertical="center"/>
    </xf>
    <xf numFmtId="172" fontId="40" fillId="25" borderId="9" xfId="0" applyNumberFormat="1" applyFont="1" applyFill="1" applyBorder="1" applyAlignment="1">
      <alignment horizontal="center" vertical="center"/>
    </xf>
    <xf numFmtId="2" fontId="41" fillId="37" borderId="1" xfId="0" applyNumberFormat="1" applyFont="1" applyFill="1" applyBorder="1" applyAlignment="1">
      <alignment horizontal="center" vertical="center"/>
    </xf>
    <xf numFmtId="177" fontId="40" fillId="51" borderId="9" xfId="0" applyNumberFormat="1" applyFont="1" applyFill="1" applyBorder="1" applyAlignment="1">
      <alignment horizontal="center" vertical="center"/>
    </xf>
    <xf numFmtId="177" fontId="40" fillId="51" borderId="10" xfId="0" applyNumberFormat="1" applyFont="1" applyFill="1" applyBorder="1" applyAlignment="1">
      <alignment horizontal="center" vertical="center"/>
    </xf>
    <xf numFmtId="0" fontId="40" fillId="39" borderId="0" xfId="0" applyFont="1" applyFill="1" applyAlignment="1">
      <alignment vertical="center"/>
    </xf>
    <xf numFmtId="172" fontId="40" fillId="25" borderId="38" xfId="0" applyNumberFormat="1" applyFont="1" applyFill="1" applyBorder="1" applyAlignment="1">
      <alignment horizontal="center" vertical="center"/>
    </xf>
    <xf numFmtId="2" fontId="41" fillId="2" borderId="0" xfId="0" applyNumberFormat="1" applyFont="1" applyFill="1" applyAlignment="1">
      <alignment vertical="center"/>
    </xf>
    <xf numFmtId="2" fontId="41" fillId="2" borderId="25" xfId="0" applyNumberFormat="1" applyFont="1" applyFill="1" applyBorder="1" applyAlignment="1">
      <alignment vertical="center"/>
    </xf>
    <xf numFmtId="2" fontId="41" fillId="37" borderId="7" xfId="0" applyNumberFormat="1" applyFont="1" applyFill="1" applyBorder="1" applyAlignment="1">
      <alignment horizontal="center" vertical="center"/>
    </xf>
    <xf numFmtId="2" fontId="41" fillId="2" borderId="16" xfId="0" applyNumberFormat="1" applyFont="1" applyFill="1" applyBorder="1" applyAlignment="1">
      <alignment vertical="center"/>
    </xf>
    <xf numFmtId="177" fontId="40" fillId="39" borderId="53" xfId="0" applyNumberFormat="1" applyFont="1" applyFill="1" applyBorder="1" applyAlignment="1">
      <alignment horizontal="center" vertical="center"/>
    </xf>
    <xf numFmtId="2" fontId="41" fillId="37" borderId="63" xfId="0" applyNumberFormat="1" applyFont="1" applyFill="1" applyBorder="1" applyAlignment="1">
      <alignment horizontal="center" vertical="center"/>
    </xf>
    <xf numFmtId="177" fontId="40" fillId="2" borderId="63" xfId="0" applyNumberFormat="1" applyFont="1" applyFill="1" applyBorder="1" applyAlignment="1">
      <alignment horizontal="center" vertical="center"/>
    </xf>
    <xf numFmtId="177" fontId="40" fillId="39" borderId="63" xfId="0" applyNumberFormat="1" applyFont="1" applyFill="1" applyBorder="1" applyAlignment="1">
      <alignment horizontal="center" vertical="center"/>
    </xf>
    <xf numFmtId="177" fontId="40" fillId="39" borderId="55" xfId="0" applyNumberFormat="1" applyFont="1" applyFill="1" applyBorder="1" applyAlignment="1">
      <alignment horizontal="center" vertical="center"/>
    </xf>
    <xf numFmtId="2" fontId="41" fillId="37" borderId="9" xfId="0" applyNumberFormat="1" applyFont="1" applyFill="1" applyBorder="1" applyAlignment="1">
      <alignment horizontal="center" vertical="center"/>
    </xf>
    <xf numFmtId="0" fontId="40" fillId="37" borderId="41" xfId="0" applyFont="1" applyFill="1" applyBorder="1" applyAlignment="1">
      <alignment horizontal="center" vertical="center"/>
    </xf>
    <xf numFmtId="0" fontId="40" fillId="0" borderId="3" xfId="0" applyFont="1" applyBorder="1" applyAlignment="1">
      <alignment horizontal="left" vertical="center" wrapText="1"/>
    </xf>
    <xf numFmtId="0" fontId="40" fillId="0" borderId="65" xfId="0" applyFont="1" applyBorder="1" applyAlignment="1">
      <alignment horizontal="left" vertical="center" wrapText="1"/>
    </xf>
    <xf numFmtId="0" fontId="40" fillId="0" borderId="6" xfId="0" applyFont="1" applyBorder="1" applyAlignment="1">
      <alignment horizontal="left" vertical="center" wrapText="1"/>
    </xf>
    <xf numFmtId="0" fontId="41" fillId="0" borderId="32" xfId="0" applyFont="1" applyBorder="1" applyAlignment="1">
      <alignment horizontal="right" vertical="center"/>
    </xf>
    <xf numFmtId="0" fontId="40" fillId="39" borderId="3" xfId="0" applyFont="1" applyFill="1" applyBorder="1" applyAlignment="1">
      <alignment horizontal="left" vertical="center" wrapText="1"/>
    </xf>
    <xf numFmtId="0" fontId="40" fillId="0" borderId="39" xfId="0" applyFont="1" applyBorder="1" applyAlignment="1">
      <alignment horizontal="center" vertical="center"/>
    </xf>
    <xf numFmtId="0" fontId="41" fillId="0" borderId="69" xfId="0" applyFont="1" applyBorder="1" applyAlignment="1">
      <alignment horizontal="right" vertical="center"/>
    </xf>
    <xf numFmtId="0" fontId="81" fillId="26" borderId="0" xfId="0" applyFont="1" applyFill="1" applyAlignment="1">
      <alignment vertical="center"/>
    </xf>
    <xf numFmtId="2" fontId="40" fillId="26" borderId="0" xfId="83" applyNumberFormat="1" applyFont="1" applyFill="1" applyAlignment="1">
      <alignment horizontal="center" vertical="center" textRotation="90" wrapText="1"/>
    </xf>
    <xf numFmtId="2" fontId="41" fillId="26" borderId="0" xfId="83" applyNumberFormat="1" applyFont="1" applyFill="1" applyAlignment="1">
      <alignment horizontal="left" vertical="center" wrapText="1"/>
    </xf>
    <xf numFmtId="2" fontId="41" fillId="26" borderId="0" xfId="83" applyNumberFormat="1" applyFont="1" applyFill="1" applyAlignment="1">
      <alignment horizontal="center" vertical="center" wrapText="1"/>
    </xf>
    <xf numFmtId="3" fontId="41" fillId="26" borderId="0" xfId="49" applyNumberFormat="1" applyFont="1" applyFill="1" applyAlignment="1">
      <alignment horizontal="center" vertical="center" wrapText="1"/>
    </xf>
    <xf numFmtId="0" fontId="12" fillId="26" borderId="0" xfId="49" applyFont="1" applyFill="1" applyAlignment="1">
      <alignment vertical="center"/>
    </xf>
    <xf numFmtId="175" fontId="41" fillId="26" borderId="0" xfId="49" applyNumberFormat="1" applyFont="1" applyFill="1" applyAlignment="1">
      <alignment horizontal="center" vertical="center" wrapText="1"/>
    </xf>
    <xf numFmtId="0" fontId="41" fillId="26" borderId="0" xfId="49" applyFont="1" applyFill="1" applyAlignment="1">
      <alignment horizontal="center" vertical="center" wrapText="1"/>
    </xf>
    <xf numFmtId="0" fontId="52" fillId="26" borderId="0" xfId="49" applyFont="1" applyFill="1" applyAlignment="1">
      <alignment horizontal="center" vertical="center"/>
    </xf>
    <xf numFmtId="0" fontId="65" fillId="26" borderId="0" xfId="0" applyFont="1" applyFill="1" applyAlignment="1">
      <alignment horizontal="right" vertical="center"/>
    </xf>
    <xf numFmtId="0" fontId="36" fillId="26" borderId="0" xfId="0" applyFont="1" applyFill="1" applyAlignment="1">
      <alignment horizontal="center" vertical="center"/>
    </xf>
    <xf numFmtId="0" fontId="52" fillId="26" borderId="0" xfId="49" applyFont="1" applyFill="1" applyAlignment="1">
      <alignment horizontal="left" vertical="center" wrapText="1"/>
    </xf>
    <xf numFmtId="0" fontId="21" fillId="26" borderId="0" xfId="49" applyFont="1" applyFill="1" applyAlignment="1">
      <alignment vertical="center"/>
    </xf>
    <xf numFmtId="168" fontId="52" fillId="26" borderId="0" xfId="49" applyNumberFormat="1" applyFont="1" applyFill="1" applyAlignment="1">
      <alignment horizontal="center" vertical="center" wrapText="1"/>
    </xf>
    <xf numFmtId="0" fontId="52" fillId="26" borderId="0" xfId="49" applyFont="1" applyFill="1" applyAlignment="1">
      <alignment horizontal="center" vertical="center" wrapText="1"/>
    </xf>
    <xf numFmtId="175" fontId="52" fillId="26" borderId="0" xfId="49" applyNumberFormat="1" applyFont="1" applyFill="1" applyAlignment="1">
      <alignment horizontal="center" vertical="center" wrapText="1"/>
    </xf>
    <xf numFmtId="0" fontId="84" fillId="26" borderId="0" xfId="0" applyFont="1" applyFill="1" applyAlignment="1">
      <alignment horizontal="left" vertical="center"/>
    </xf>
    <xf numFmtId="0" fontId="12" fillId="26" borderId="0" xfId="0" applyFont="1" applyFill="1" applyAlignment="1">
      <alignment vertical="center"/>
    </xf>
    <xf numFmtId="0" fontId="19" fillId="26" borderId="0" xfId="49" applyFont="1" applyFill="1" applyAlignment="1">
      <alignment horizontal="center" vertical="center"/>
    </xf>
    <xf numFmtId="175" fontId="19" fillId="26" borderId="0" xfId="49" applyNumberFormat="1" applyFont="1" applyFill="1" applyAlignment="1">
      <alignment horizontal="center" vertical="center"/>
    </xf>
    <xf numFmtId="0" fontId="65" fillId="0" borderId="0" xfId="0" applyFont="1"/>
    <xf numFmtId="0" fontId="65" fillId="0" borderId="0" xfId="0" applyFont="1" applyAlignment="1">
      <alignment horizontal="center"/>
    </xf>
    <xf numFmtId="0" fontId="57" fillId="0" borderId="0" xfId="0" applyFont="1" applyAlignment="1">
      <alignment vertical="center"/>
    </xf>
    <xf numFmtId="0" fontId="65" fillId="0" borderId="0" xfId="0" applyFont="1" applyAlignment="1">
      <alignment vertical="center"/>
    </xf>
    <xf numFmtId="0" fontId="47" fillId="0" borderId="0" xfId="0" applyFont="1" applyAlignment="1">
      <alignment vertical="center"/>
    </xf>
    <xf numFmtId="0" fontId="47" fillId="0" borderId="0" xfId="32" applyFont="1" applyAlignment="1">
      <alignment horizontal="center" vertical="center"/>
    </xf>
    <xf numFmtId="0" fontId="47" fillId="0" borderId="0" xfId="32" applyFont="1" applyAlignment="1">
      <alignment vertical="center"/>
    </xf>
    <xf numFmtId="0" fontId="84" fillId="0" borderId="0" xfId="0" applyFont="1" applyAlignment="1">
      <alignment vertical="center"/>
    </xf>
    <xf numFmtId="0" fontId="125" fillId="0" borderId="0" xfId="0" applyFont="1" applyAlignment="1">
      <alignment vertical="center"/>
    </xf>
    <xf numFmtId="0" fontId="125" fillId="0" borderId="0" xfId="32" applyFont="1" applyAlignment="1">
      <alignment horizontal="center" vertical="center"/>
    </xf>
    <xf numFmtId="0" fontId="125" fillId="0" borderId="0" xfId="32" applyFont="1" applyAlignment="1">
      <alignment vertical="center"/>
    </xf>
    <xf numFmtId="168" fontId="41" fillId="26" borderId="31" xfId="0" applyNumberFormat="1" applyFont="1" applyFill="1" applyBorder="1" applyAlignment="1">
      <alignment horizontal="center" vertical="center"/>
    </xf>
    <xf numFmtId="9" fontId="41" fillId="26" borderId="51" xfId="70" applyFont="1" applyFill="1" applyBorder="1" applyAlignment="1" applyProtection="1">
      <alignment horizontal="center" vertical="center"/>
    </xf>
    <xf numFmtId="9" fontId="41" fillId="26" borderId="21" xfId="70" applyFont="1" applyFill="1" applyBorder="1" applyAlignment="1" applyProtection="1">
      <alignment horizontal="center" vertical="center"/>
    </xf>
    <xf numFmtId="9" fontId="42" fillId="26" borderId="51" xfId="70" applyFont="1" applyFill="1" applyBorder="1" applyAlignment="1" applyProtection="1">
      <alignment horizontal="center" vertical="center"/>
    </xf>
    <xf numFmtId="9" fontId="42" fillId="26" borderId="17" xfId="70" applyFont="1" applyFill="1" applyBorder="1" applyAlignment="1" applyProtection="1">
      <alignment horizontal="center" vertical="center"/>
    </xf>
    <xf numFmtId="173" fontId="41" fillId="26" borderId="51" xfId="70" applyNumberFormat="1" applyFont="1" applyFill="1" applyBorder="1" applyAlignment="1" applyProtection="1">
      <alignment horizontal="center" vertical="center"/>
    </xf>
    <xf numFmtId="173" fontId="41" fillId="26" borderId="17" xfId="70" applyNumberFormat="1" applyFont="1" applyFill="1" applyBorder="1" applyAlignment="1" applyProtection="1">
      <alignment horizontal="center" vertical="center"/>
    </xf>
    <xf numFmtId="173" fontId="41" fillId="26" borderId="21" xfId="70" applyNumberFormat="1" applyFont="1" applyFill="1" applyBorder="1" applyAlignment="1" applyProtection="1">
      <alignment horizontal="center" vertical="center"/>
    </xf>
    <xf numFmtId="173" fontId="42" fillId="26" borderId="51" xfId="70" applyNumberFormat="1" applyFont="1" applyFill="1" applyBorder="1" applyAlignment="1" applyProtection="1">
      <alignment horizontal="center" vertical="center"/>
    </xf>
    <xf numFmtId="173" fontId="42" fillId="26" borderId="17" xfId="70" applyNumberFormat="1" applyFont="1" applyFill="1" applyBorder="1" applyAlignment="1" applyProtection="1">
      <alignment horizontal="center" vertical="center"/>
    </xf>
    <xf numFmtId="173" fontId="41" fillId="26" borderId="39" xfId="70" applyNumberFormat="1" applyFont="1" applyFill="1" applyBorder="1" applyAlignment="1" applyProtection="1">
      <alignment horizontal="center" vertical="center"/>
    </xf>
    <xf numFmtId="49" fontId="12" fillId="26" borderId="0" xfId="31" applyNumberFormat="1" applyFont="1" applyFill="1" applyAlignment="1">
      <alignment horizontal="center" vertical="center"/>
    </xf>
    <xf numFmtId="0" fontId="79" fillId="26" borderId="0" xfId="31" applyFont="1" applyFill="1" applyAlignment="1">
      <alignment vertical="center"/>
    </xf>
    <xf numFmtId="3" fontId="12" fillId="26" borderId="51" xfId="32" applyNumberFormat="1" applyFont="1" applyFill="1" applyBorder="1" applyAlignment="1">
      <alignment horizontal="center" vertical="center"/>
    </xf>
    <xf numFmtId="3" fontId="12" fillId="26" borderId="17" xfId="32" applyNumberFormat="1" applyFont="1" applyFill="1" applyBorder="1" applyAlignment="1">
      <alignment horizontal="center" vertical="center"/>
    </xf>
    <xf numFmtId="3" fontId="12" fillId="26" borderId="21" xfId="32" applyNumberFormat="1" applyFont="1" applyFill="1" applyBorder="1" applyAlignment="1">
      <alignment horizontal="center" vertical="center"/>
    </xf>
    <xf numFmtId="0" fontId="41" fillId="28" borderId="17" xfId="0" applyFont="1" applyFill="1" applyBorder="1" applyAlignment="1">
      <alignment horizontal="center" vertical="center" wrapText="1"/>
    </xf>
    <xf numFmtId="172" fontId="41" fillId="28" borderId="31" xfId="0" applyNumberFormat="1" applyFont="1" applyFill="1" applyBorder="1" applyAlignment="1" applyProtection="1">
      <alignment horizontal="center" vertical="center"/>
      <protection locked="0"/>
    </xf>
    <xf numFmtId="172" fontId="41" fillId="28" borderId="7" xfId="0" applyNumberFormat="1" applyFont="1" applyFill="1" applyBorder="1" applyAlignment="1" applyProtection="1">
      <alignment horizontal="center" vertical="center"/>
      <protection locked="0"/>
    </xf>
    <xf numFmtId="0" fontId="41" fillId="28" borderId="7" xfId="0" applyFont="1" applyFill="1" applyBorder="1" applyAlignment="1" applyProtection="1">
      <alignment horizontal="left" vertical="center" wrapText="1"/>
      <protection locked="0"/>
    </xf>
    <xf numFmtId="3" fontId="65" fillId="26" borderId="32" xfId="52" applyNumberFormat="1" applyFont="1" applyFill="1" applyBorder="1" applyAlignment="1">
      <alignment horizontal="center" vertical="center"/>
    </xf>
    <xf numFmtId="0" fontId="96" fillId="20" borderId="64" xfId="88" applyFont="1" applyFill="1" applyBorder="1" applyAlignment="1">
      <alignment horizontal="right" vertical="center" wrapText="1"/>
    </xf>
    <xf numFmtId="0" fontId="96" fillId="20" borderId="37" xfId="88" applyFont="1" applyFill="1" applyBorder="1" applyAlignment="1">
      <alignment horizontal="center" vertical="center" wrapText="1"/>
    </xf>
    <xf numFmtId="10" fontId="96" fillId="26" borderId="63" xfId="70" applyNumberFormat="1" applyFont="1" applyFill="1" applyBorder="1" applyAlignment="1" applyProtection="1">
      <alignment horizontal="center" vertical="center" wrapText="1"/>
    </xf>
    <xf numFmtId="10" fontId="96" fillId="26" borderId="64" xfId="70" applyNumberFormat="1" applyFont="1" applyFill="1" applyBorder="1" applyAlignment="1" applyProtection="1">
      <alignment horizontal="center" vertical="center" wrapText="1"/>
    </xf>
    <xf numFmtId="10" fontId="96" fillId="26" borderId="39" xfId="70" applyNumberFormat="1" applyFont="1" applyFill="1" applyBorder="1" applyAlignment="1" applyProtection="1">
      <alignment horizontal="center" vertical="center" wrapText="1"/>
    </xf>
    <xf numFmtId="0" fontId="42" fillId="27" borderId="36" xfId="32" applyFont="1" applyFill="1" applyBorder="1" applyAlignment="1">
      <alignment horizontal="center" vertical="center"/>
    </xf>
    <xf numFmtId="0" fontId="96" fillId="20" borderId="55" xfId="88" applyFont="1" applyFill="1" applyBorder="1" applyAlignment="1">
      <alignment horizontal="right" vertical="center" wrapText="1"/>
    </xf>
    <xf numFmtId="10" fontId="96" fillId="26" borderId="55" xfId="70" applyNumberFormat="1" applyFont="1" applyFill="1" applyBorder="1" applyAlignment="1" applyProtection="1">
      <alignment horizontal="center" vertical="center" wrapText="1"/>
    </xf>
    <xf numFmtId="173" fontId="162" fillId="26" borderId="39" xfId="70" applyNumberFormat="1" applyFont="1" applyFill="1" applyBorder="1" applyAlignment="1" applyProtection="1">
      <alignment horizontal="center" vertical="center" wrapText="1"/>
    </xf>
    <xf numFmtId="0" fontId="96" fillId="20" borderId="39" xfId="88" applyFont="1" applyFill="1" applyBorder="1" applyAlignment="1">
      <alignment horizontal="center" vertical="center" wrapText="1"/>
    </xf>
    <xf numFmtId="10" fontId="96" fillId="26" borderId="18" xfId="70" applyNumberFormat="1" applyFont="1" applyFill="1" applyBorder="1" applyAlignment="1" applyProtection="1">
      <alignment horizontal="center" vertical="center" wrapText="1"/>
    </xf>
    <xf numFmtId="3" fontId="57" fillId="26" borderId="52" xfId="57" applyNumberFormat="1" applyFont="1" applyFill="1" applyBorder="1" applyAlignment="1">
      <alignment horizontal="center" vertical="center"/>
    </xf>
    <xf numFmtId="3" fontId="57" fillId="26" borderId="7" xfId="57" applyNumberFormat="1" applyFont="1" applyFill="1" applyBorder="1" applyAlignment="1">
      <alignment horizontal="center" vertical="center"/>
    </xf>
    <xf numFmtId="3" fontId="57" fillId="26" borderId="53" xfId="57" applyNumberFormat="1" applyFont="1" applyFill="1" applyBorder="1" applyAlignment="1">
      <alignment horizontal="center" vertical="center"/>
    </xf>
    <xf numFmtId="0" fontId="40" fillId="0" borderId="31" xfId="0" applyFont="1" applyBorder="1" applyAlignment="1">
      <alignment vertical="center" wrapText="1"/>
    </xf>
    <xf numFmtId="0" fontId="41" fillId="0" borderId="61" xfId="0" applyFont="1" applyBorder="1" applyAlignment="1">
      <alignment horizontal="center" vertical="center"/>
    </xf>
    <xf numFmtId="1" fontId="40" fillId="26" borderId="31" xfId="59" applyNumberFormat="1" applyFont="1" applyFill="1" applyBorder="1" applyAlignment="1" applyProtection="1">
      <alignment horizontal="center" vertical="center"/>
    </xf>
    <xf numFmtId="3" fontId="40" fillId="26" borderId="31" xfId="32" applyNumberFormat="1" applyFont="1" applyFill="1" applyBorder="1" applyAlignment="1">
      <alignment horizontal="center" vertical="center"/>
    </xf>
    <xf numFmtId="3" fontId="40" fillId="26" borderId="50" xfId="32" applyNumberFormat="1" applyFont="1" applyFill="1" applyBorder="1" applyAlignment="1">
      <alignment horizontal="center" vertical="center"/>
    </xf>
    <xf numFmtId="0" fontId="40" fillId="37" borderId="38" xfId="0" applyFont="1" applyFill="1" applyBorder="1" applyAlignment="1">
      <alignment horizontal="center" vertical="center" wrapText="1"/>
    </xf>
    <xf numFmtId="0" fontId="40" fillId="37" borderId="9" xfId="0" applyFont="1" applyFill="1" applyBorder="1" applyAlignment="1">
      <alignment horizontal="center" vertical="center" wrapText="1"/>
    </xf>
    <xf numFmtId="171" fontId="40" fillId="37" borderId="3" xfId="0" applyNumberFormat="1" applyFont="1" applyFill="1" applyBorder="1" applyAlignment="1">
      <alignment horizontal="center" vertical="center" wrapText="1"/>
    </xf>
    <xf numFmtId="0" fontId="13" fillId="27" borderId="0" xfId="52" applyFont="1" applyFill="1" applyAlignment="1">
      <alignment horizontal="right" vertical="center"/>
    </xf>
    <xf numFmtId="0" fontId="12" fillId="27" borderId="0" xfId="0" applyFont="1" applyFill="1" applyAlignment="1">
      <alignment wrapText="1"/>
    </xf>
    <xf numFmtId="49" fontId="20" fillId="27" borderId="35" xfId="31" applyNumberFormat="1" applyFont="1" applyFill="1" applyBorder="1" applyAlignment="1">
      <alignment horizontal="center" vertical="center"/>
    </xf>
    <xf numFmtId="0" fontId="21" fillId="27" borderId="35" xfId="31" applyFont="1" applyFill="1" applyBorder="1" applyAlignment="1">
      <alignment horizontal="left" vertical="center"/>
    </xf>
    <xf numFmtId="0" fontId="21" fillId="27" borderId="34" xfId="0" applyFont="1" applyFill="1" applyBorder="1" applyAlignment="1">
      <alignment wrapText="1"/>
    </xf>
    <xf numFmtId="0" fontId="12" fillId="27" borderId="34" xfId="0" applyFont="1" applyFill="1" applyBorder="1"/>
    <xf numFmtId="0" fontId="12" fillId="22" borderId="0" xfId="0" applyFont="1" applyFill="1" applyAlignment="1">
      <alignment vertical="center"/>
    </xf>
    <xf numFmtId="0" fontId="34" fillId="22" borderId="0" xfId="31" applyFont="1" applyFill="1" applyAlignment="1">
      <alignment vertical="center"/>
    </xf>
    <xf numFmtId="0" fontId="21" fillId="22" borderId="154" xfId="0" applyFont="1" applyFill="1" applyBorder="1" applyAlignment="1">
      <alignment horizontal="center" vertical="center" wrapText="1"/>
    </xf>
    <xf numFmtId="0" fontId="12" fillId="0" borderId="154" xfId="0" applyFont="1" applyBorder="1" applyAlignment="1">
      <alignment horizontal="center" vertical="center"/>
    </xf>
    <xf numFmtId="0" fontId="12" fillId="0" borderId="154" xfId="0" applyFont="1" applyBorder="1" applyAlignment="1">
      <alignment horizontal="center" vertical="center" wrapText="1"/>
    </xf>
    <xf numFmtId="3" fontId="12" fillId="0" borderId="154" xfId="0" applyNumberFormat="1" applyFont="1" applyBorder="1" applyAlignment="1">
      <alignment vertical="center"/>
    </xf>
    <xf numFmtId="0" fontId="13" fillId="27" borderId="0" xfId="52" applyFont="1" applyFill="1" applyAlignment="1">
      <alignment vertical="center"/>
    </xf>
    <xf numFmtId="0" fontId="57" fillId="27" borderId="155" xfId="80" applyFont="1" applyFill="1" applyBorder="1" applyAlignment="1">
      <alignment horizontal="center" vertical="center"/>
    </xf>
    <xf numFmtId="2" fontId="57" fillId="27" borderId="155" xfId="80" applyNumberFormat="1" applyFont="1" applyFill="1" applyBorder="1" applyAlignment="1">
      <alignment vertical="center"/>
    </xf>
    <xf numFmtId="1" fontId="57" fillId="27" borderId="155" xfId="80" applyNumberFormat="1" applyFont="1" applyFill="1" applyBorder="1" applyAlignment="1">
      <alignment vertical="center"/>
    </xf>
    <xf numFmtId="0" fontId="40" fillId="26" borderId="50" xfId="32" applyFont="1" applyFill="1" applyBorder="1" applyAlignment="1">
      <alignment vertical="center" wrapText="1"/>
    </xf>
    <xf numFmtId="171" fontId="40" fillId="22" borderId="154" xfId="0" applyNumberFormat="1" applyFont="1" applyFill="1" applyBorder="1" applyAlignment="1">
      <alignment horizontal="center" vertical="center" wrapText="1"/>
    </xf>
    <xf numFmtId="171" fontId="40" fillId="22" borderId="154" xfId="32" applyNumberFormat="1" applyFont="1" applyFill="1" applyBorder="1" applyAlignment="1">
      <alignment horizontal="center" vertical="center" wrapText="1"/>
    </xf>
    <xf numFmtId="1" fontId="57" fillId="27" borderId="0" xfId="80" applyNumberFormat="1" applyFont="1" applyFill="1" applyAlignment="1">
      <alignment vertical="center"/>
    </xf>
    <xf numFmtId="171" fontId="40" fillId="22" borderId="155" xfId="0" applyNumberFormat="1" applyFont="1" applyFill="1" applyBorder="1" applyAlignment="1">
      <alignment horizontal="center" vertical="center" wrapText="1"/>
    </xf>
    <xf numFmtId="172" fontId="57" fillId="27" borderId="155" xfId="80" applyNumberFormat="1" applyFont="1" applyFill="1" applyBorder="1" applyAlignment="1">
      <alignment vertical="center"/>
    </xf>
    <xf numFmtId="3" fontId="57" fillId="27" borderId="155" xfId="80" applyNumberFormat="1" applyFont="1" applyFill="1" applyBorder="1" applyAlignment="1">
      <alignment vertical="center"/>
    </xf>
    <xf numFmtId="167" fontId="41" fillId="20" borderId="155" xfId="32" applyNumberFormat="1" applyFont="1" applyFill="1" applyBorder="1" applyAlignment="1">
      <alignment horizontal="center" vertical="center"/>
    </xf>
    <xf numFmtId="176" fontId="57" fillId="27" borderId="155" xfId="80" applyNumberFormat="1" applyFont="1" applyFill="1" applyBorder="1" applyAlignment="1">
      <alignment vertical="center"/>
    </xf>
    <xf numFmtId="0" fontId="40" fillId="22" borderId="154" xfId="32" applyFont="1" applyFill="1" applyBorder="1" applyAlignment="1">
      <alignment horizontal="center" vertical="center"/>
    </xf>
    <xf numFmtId="180" fontId="169" fillId="27" borderId="154" xfId="31" applyNumberFormat="1" applyFont="1" applyFill="1" applyBorder="1" applyAlignment="1">
      <alignment vertical="center"/>
    </xf>
    <xf numFmtId="0" fontId="21" fillId="22" borderId="154" xfId="0" applyFont="1" applyFill="1" applyBorder="1" applyAlignment="1">
      <alignment horizontal="center" vertical="center"/>
    </xf>
    <xf numFmtId="3" fontId="170" fillId="27" borderId="155" xfId="80" applyNumberFormat="1" applyFont="1" applyFill="1" applyBorder="1" applyAlignment="1">
      <alignment vertical="center"/>
    </xf>
    <xf numFmtId="0" fontId="21" fillId="22" borderId="154" xfId="0" applyFont="1" applyFill="1" applyBorder="1" applyAlignment="1">
      <alignment vertical="center"/>
    </xf>
    <xf numFmtId="3" fontId="57" fillId="27" borderId="165" xfId="80" applyNumberFormat="1" applyFont="1" applyFill="1" applyBorder="1" applyAlignment="1">
      <alignment vertical="center"/>
    </xf>
    <xf numFmtId="3" fontId="57" fillId="27" borderId="166" xfId="80" applyNumberFormat="1" applyFont="1" applyFill="1" applyBorder="1" applyAlignment="1">
      <alignment vertical="center"/>
    </xf>
    <xf numFmtId="3" fontId="57" fillId="27" borderId="167" xfId="80" applyNumberFormat="1" applyFont="1" applyFill="1" applyBorder="1" applyAlignment="1">
      <alignment vertical="center"/>
    </xf>
    <xf numFmtId="3" fontId="57" fillId="27" borderId="168" xfId="80" applyNumberFormat="1" applyFont="1" applyFill="1" applyBorder="1" applyAlignment="1">
      <alignment vertical="center"/>
    </xf>
    <xf numFmtId="3" fontId="57" fillId="27" borderId="169" xfId="80" applyNumberFormat="1" applyFont="1" applyFill="1" applyBorder="1" applyAlignment="1">
      <alignment vertical="center"/>
    </xf>
    <xf numFmtId="3" fontId="57" fillId="27" borderId="170" xfId="80" applyNumberFormat="1" applyFont="1" applyFill="1" applyBorder="1" applyAlignment="1">
      <alignment vertical="center"/>
    </xf>
    <xf numFmtId="3" fontId="57" fillId="27" borderId="172" xfId="80" applyNumberFormat="1" applyFont="1" applyFill="1" applyBorder="1" applyAlignment="1">
      <alignment vertical="center"/>
    </xf>
    <xf numFmtId="3" fontId="57" fillId="27" borderId="171" xfId="80" applyNumberFormat="1" applyFont="1" applyFill="1" applyBorder="1" applyAlignment="1">
      <alignment vertical="center"/>
    </xf>
    <xf numFmtId="3" fontId="57" fillId="27" borderId="173" xfId="80" applyNumberFormat="1" applyFont="1" applyFill="1" applyBorder="1" applyAlignment="1">
      <alignment vertical="center"/>
    </xf>
    <xf numFmtId="0" fontId="143" fillId="22" borderId="154" xfId="0" applyFont="1" applyFill="1" applyBorder="1" applyAlignment="1">
      <alignment horizontal="center" vertical="center" wrapText="1"/>
    </xf>
    <xf numFmtId="171" fontId="40" fillId="22" borderId="154" xfId="49" applyNumberFormat="1" applyFont="1" applyFill="1" applyBorder="1" applyAlignment="1">
      <alignment horizontal="center" vertical="center" wrapText="1"/>
    </xf>
    <xf numFmtId="168" fontId="40" fillId="22" borderId="154" xfId="49" applyNumberFormat="1" applyFont="1" applyFill="1" applyBorder="1" applyAlignment="1">
      <alignment horizontal="center" vertical="center" wrapText="1"/>
    </xf>
    <xf numFmtId="3" fontId="57" fillId="27" borderId="0" xfId="80" applyNumberFormat="1" applyFont="1" applyFill="1" applyAlignment="1">
      <alignment vertical="center"/>
    </xf>
    <xf numFmtId="4" fontId="57" fillId="27" borderId="155" xfId="80" applyNumberFormat="1" applyFont="1" applyFill="1" applyBorder="1" applyAlignment="1">
      <alignment vertical="center"/>
    </xf>
    <xf numFmtId="4" fontId="57" fillId="27" borderId="171" xfId="80" applyNumberFormat="1" applyFont="1" applyFill="1" applyBorder="1" applyAlignment="1">
      <alignment vertical="center"/>
    </xf>
    <xf numFmtId="4" fontId="57" fillId="27" borderId="172" xfId="80" applyNumberFormat="1" applyFont="1" applyFill="1" applyBorder="1" applyAlignment="1">
      <alignment vertical="center"/>
    </xf>
    <xf numFmtId="0" fontId="40" fillId="22" borderId="154" xfId="49" applyFont="1" applyFill="1" applyBorder="1" applyAlignment="1">
      <alignment horizontal="center" vertical="center"/>
    </xf>
    <xf numFmtId="0" fontId="41" fillId="22" borderId="154" xfId="49" applyFont="1" applyFill="1" applyBorder="1" applyAlignment="1">
      <alignment horizontal="center" vertical="center" wrapText="1"/>
    </xf>
    <xf numFmtId="168" fontId="41" fillId="22" borderId="154" xfId="49" applyNumberFormat="1" applyFont="1" applyFill="1" applyBorder="1" applyAlignment="1">
      <alignment horizontal="center" vertical="center" wrapText="1"/>
    </xf>
    <xf numFmtId="175" fontId="41" fillId="22" borderId="154" xfId="49" applyNumberFormat="1" applyFont="1" applyFill="1" applyBorder="1" applyAlignment="1">
      <alignment horizontal="center" vertical="center" wrapText="1"/>
    </xf>
    <xf numFmtId="169" fontId="40" fillId="22" borderId="154" xfId="49" applyNumberFormat="1" applyFont="1" applyFill="1" applyBorder="1" applyAlignment="1">
      <alignment horizontal="center" vertical="center" wrapText="1"/>
    </xf>
    <xf numFmtId="171" fontId="41" fillId="22" borderId="154" xfId="49" applyNumberFormat="1" applyFont="1" applyFill="1" applyBorder="1" applyAlignment="1">
      <alignment horizontal="center" vertical="center" wrapText="1"/>
    </xf>
    <xf numFmtId="180" fontId="169" fillId="27" borderId="0" xfId="31" applyNumberFormat="1" applyFont="1" applyFill="1" applyAlignment="1">
      <alignment vertical="center"/>
    </xf>
    <xf numFmtId="0" fontId="12" fillId="22" borderId="154" xfId="83" applyFont="1" applyFill="1" applyBorder="1" applyAlignment="1">
      <alignment horizontal="center" vertical="center" wrapText="1"/>
    </xf>
    <xf numFmtId="3" fontId="21" fillId="27" borderId="155" xfId="80" applyNumberFormat="1" applyFont="1" applyFill="1" applyBorder="1" applyAlignment="1">
      <alignment vertical="center"/>
    </xf>
    <xf numFmtId="3" fontId="21" fillId="0" borderId="154" xfId="0" applyNumberFormat="1" applyFont="1" applyBorder="1" applyAlignment="1">
      <alignment vertical="center"/>
    </xf>
    <xf numFmtId="3" fontId="12" fillId="0" borderId="174" xfId="0" applyNumberFormat="1" applyFont="1" applyBorder="1" applyAlignment="1">
      <alignment horizontal="center" vertical="center"/>
    </xf>
    <xf numFmtId="3" fontId="12" fillId="0" borderId="0" xfId="0" applyNumberFormat="1" applyFont="1" applyAlignment="1">
      <alignment horizontal="center" vertical="center"/>
    </xf>
    <xf numFmtId="3" fontId="12" fillId="0" borderId="175" xfId="0" applyNumberFormat="1" applyFont="1" applyBorder="1" applyAlignment="1">
      <alignment horizontal="center" vertical="center"/>
    </xf>
    <xf numFmtId="0" fontId="40" fillId="22" borderId="154" xfId="0" applyFont="1" applyFill="1" applyBorder="1" applyAlignment="1">
      <alignment horizontal="center" vertical="center"/>
    </xf>
    <xf numFmtId="1" fontId="21" fillId="53" borderId="154" xfId="21" applyFont="1" applyFill="1" applyBorder="1">
      <alignment horizontal="center" vertical="center" wrapText="1"/>
    </xf>
    <xf numFmtId="0" fontId="41" fillId="0" borderId="154" xfId="0" applyFont="1" applyBorder="1" applyAlignment="1">
      <alignment horizontal="center" vertical="center"/>
    </xf>
    <xf numFmtId="0" fontId="40" fillId="0" borderId="154" xfId="0" applyFont="1" applyBorder="1" applyAlignment="1">
      <alignment horizontal="center" vertical="center"/>
    </xf>
    <xf numFmtId="0" fontId="41" fillId="0" borderId="163" xfId="0" applyFont="1" applyBorder="1" applyAlignment="1">
      <alignment horizontal="center" vertical="center"/>
    </xf>
    <xf numFmtId="0" fontId="168" fillId="0" borderId="162" xfId="0" applyFont="1" applyBorder="1" applyAlignment="1">
      <alignment vertical="center" wrapText="1"/>
    </xf>
    <xf numFmtId="0" fontId="168" fillId="0" borderId="0" xfId="0" applyFont="1" applyAlignment="1">
      <alignment vertical="center" wrapText="1"/>
    </xf>
    <xf numFmtId="0" fontId="168" fillId="0" borderId="154" xfId="0" applyFont="1" applyBorder="1" applyAlignment="1">
      <alignment vertical="center" wrapText="1"/>
    </xf>
    <xf numFmtId="4" fontId="12" fillId="0" borderId="154" xfId="0" applyNumberFormat="1" applyFont="1" applyBorder="1" applyAlignment="1">
      <alignment vertical="center"/>
    </xf>
    <xf numFmtId="171" fontId="40" fillId="22" borderId="154" xfId="32" applyNumberFormat="1" applyFont="1" applyFill="1" applyBorder="1" applyAlignment="1">
      <alignment horizontal="center" wrapText="1"/>
    </xf>
    <xf numFmtId="3" fontId="79" fillId="0" borderId="0" xfId="0" applyNumberFormat="1" applyFont="1" applyAlignment="1">
      <alignment vertical="center"/>
    </xf>
    <xf numFmtId="0" fontId="45" fillId="0" borderId="154" xfId="0" applyFont="1" applyBorder="1" applyAlignment="1">
      <alignment horizontal="center"/>
    </xf>
    <xf numFmtId="171" fontId="47" fillId="22" borderId="154" xfId="0" applyNumberFormat="1" applyFont="1" applyFill="1" applyBorder="1" applyAlignment="1">
      <alignment horizontal="center" wrapText="1"/>
    </xf>
    <xf numFmtId="0" fontId="45" fillId="20" borderId="163" xfId="0" applyFont="1" applyFill="1" applyBorder="1" applyAlignment="1">
      <alignment horizontal="center" vertical="center" wrapText="1"/>
    </xf>
    <xf numFmtId="3" fontId="41" fillId="0" borderId="163" xfId="0" applyNumberFormat="1" applyFont="1" applyBorder="1" applyAlignment="1">
      <alignment horizontal="center" vertical="center"/>
    </xf>
    <xf numFmtId="0" fontId="45" fillId="20" borderId="174" xfId="0" applyFont="1" applyFill="1" applyBorder="1" applyAlignment="1">
      <alignment horizontal="center" vertical="center" wrapText="1"/>
    </xf>
    <xf numFmtId="3" fontId="41" fillId="0" borderId="174" xfId="0" applyNumberFormat="1" applyFont="1" applyBorder="1" applyAlignment="1">
      <alignment horizontal="center" vertical="center"/>
    </xf>
    <xf numFmtId="0" fontId="45" fillId="20" borderId="0" xfId="0" applyFont="1" applyFill="1" applyAlignment="1">
      <alignment horizontal="center" vertical="center" wrapText="1"/>
    </xf>
    <xf numFmtId="3" fontId="41" fillId="0" borderId="0" xfId="0" applyNumberFormat="1" applyFont="1" applyAlignment="1">
      <alignment horizontal="center" vertical="center"/>
    </xf>
    <xf numFmtId="0" fontId="45" fillId="20" borderId="175" xfId="0" applyFont="1" applyFill="1" applyBorder="1" applyAlignment="1">
      <alignment horizontal="center" vertical="center" wrapText="1"/>
    </xf>
    <xf numFmtId="3" fontId="41" fillId="0" borderId="175" xfId="0" applyNumberFormat="1" applyFont="1" applyBorder="1" applyAlignment="1">
      <alignment horizontal="center" vertical="center"/>
    </xf>
    <xf numFmtId="171" fontId="47" fillId="37" borderId="154" xfId="32" applyNumberFormat="1" applyFont="1" applyFill="1" applyBorder="1" applyAlignment="1">
      <alignment horizontal="center" vertical="center" wrapText="1"/>
    </xf>
    <xf numFmtId="0" fontId="40" fillId="37" borderId="154" xfId="0" applyFont="1" applyFill="1" applyBorder="1" applyAlignment="1">
      <alignment horizontal="center" vertical="center" wrapText="1"/>
    </xf>
    <xf numFmtId="171" fontId="40" fillId="37" borderId="154" xfId="0" applyNumberFormat="1" applyFont="1" applyFill="1" applyBorder="1" applyAlignment="1">
      <alignment horizontal="center" vertical="center" wrapText="1"/>
    </xf>
    <xf numFmtId="0" fontId="41" fillId="0" borderId="174" xfId="0" applyFont="1" applyBorder="1" applyAlignment="1">
      <alignment horizontal="center" vertical="center"/>
    </xf>
    <xf numFmtId="1" fontId="40" fillId="26" borderId="174" xfId="59" applyNumberFormat="1" applyFont="1" applyFill="1" applyBorder="1" applyAlignment="1" applyProtection="1">
      <alignment horizontal="center" vertical="center"/>
    </xf>
    <xf numFmtId="3" fontId="40" fillId="26" borderId="174" xfId="32" applyNumberFormat="1" applyFont="1" applyFill="1" applyBorder="1" applyAlignment="1">
      <alignment horizontal="center" vertical="center"/>
    </xf>
    <xf numFmtId="0" fontId="41" fillId="0" borderId="175" xfId="0" applyFont="1" applyBorder="1" applyAlignment="1">
      <alignment horizontal="center" vertical="center"/>
    </xf>
    <xf numFmtId="3" fontId="40" fillId="0" borderId="175" xfId="0" applyNumberFormat="1" applyFont="1" applyBorder="1" applyAlignment="1">
      <alignment horizontal="center" vertical="center"/>
    </xf>
    <xf numFmtId="0" fontId="47" fillId="22" borderId="154" xfId="40" applyFont="1" applyFill="1" applyBorder="1" applyAlignment="1">
      <alignment horizontal="center" vertical="center"/>
    </xf>
    <xf numFmtId="171" fontId="47" fillId="22" borderId="154" xfId="0" applyNumberFormat="1" applyFont="1" applyFill="1" applyBorder="1" applyAlignment="1">
      <alignment horizontal="center" vertical="center" wrapText="1"/>
    </xf>
    <xf numFmtId="3" fontId="57" fillId="27" borderId="177" xfId="80" applyNumberFormat="1" applyFont="1" applyFill="1" applyBorder="1" applyAlignment="1">
      <alignment vertical="center"/>
    </xf>
    <xf numFmtId="3" fontId="57" fillId="27" borderId="176" xfId="80" applyNumberFormat="1" applyFont="1" applyFill="1" applyBorder="1" applyAlignment="1">
      <alignment vertical="center"/>
    </xf>
    <xf numFmtId="3" fontId="57" fillId="54" borderId="155" xfId="80" applyNumberFormat="1" applyFont="1" applyFill="1" applyBorder="1" applyAlignment="1">
      <alignment vertical="center"/>
    </xf>
    <xf numFmtId="172" fontId="12" fillId="0" borderId="154" xfId="0" applyNumberFormat="1" applyFont="1" applyBorder="1" applyAlignment="1">
      <alignment vertical="center"/>
    </xf>
    <xf numFmtId="172" fontId="40" fillId="20" borderId="17" xfId="0" applyNumberFormat="1" applyFont="1" applyFill="1" applyBorder="1" applyAlignment="1">
      <alignment horizontal="center" vertical="center"/>
    </xf>
    <xf numFmtId="172" fontId="40" fillId="20" borderId="24" xfId="0" applyNumberFormat="1" applyFont="1" applyFill="1" applyBorder="1" applyAlignment="1">
      <alignment horizontal="center" vertical="center"/>
    </xf>
    <xf numFmtId="172" fontId="40" fillId="20" borderId="52" xfId="0" applyNumberFormat="1" applyFont="1" applyFill="1" applyBorder="1" applyAlignment="1">
      <alignment horizontal="center" vertical="center"/>
    </xf>
    <xf numFmtId="172" fontId="40" fillId="20" borderId="32" xfId="0" applyNumberFormat="1" applyFont="1" applyFill="1" applyBorder="1" applyAlignment="1">
      <alignment horizontal="center" vertical="center"/>
    </xf>
    <xf numFmtId="172" fontId="40" fillId="20" borderId="15" xfId="0" applyNumberFormat="1" applyFont="1" applyFill="1" applyBorder="1" applyAlignment="1">
      <alignment horizontal="center" vertical="center"/>
    </xf>
    <xf numFmtId="172" fontId="21" fillId="0" borderId="154" xfId="0" applyNumberFormat="1" applyFont="1" applyBorder="1" applyAlignment="1">
      <alignment vertical="center"/>
    </xf>
    <xf numFmtId="172" fontId="40" fillId="21" borderId="2" xfId="0" applyNumberFormat="1" applyFont="1" applyFill="1" applyBorder="1" applyAlignment="1">
      <alignment horizontal="center" vertical="center"/>
    </xf>
    <xf numFmtId="172" fontId="40" fillId="21" borderId="1" xfId="0" applyNumberFormat="1" applyFont="1" applyFill="1" applyBorder="1" applyAlignment="1">
      <alignment horizontal="center" vertical="center"/>
    </xf>
    <xf numFmtId="172" fontId="40" fillId="21" borderId="38" xfId="0" applyNumberFormat="1" applyFont="1" applyFill="1" applyBorder="1" applyAlignment="1">
      <alignment horizontal="center" vertical="center"/>
    </xf>
    <xf numFmtId="172" fontId="40" fillId="21" borderId="9" xfId="0" applyNumberFormat="1" applyFont="1" applyFill="1" applyBorder="1" applyAlignment="1">
      <alignment horizontal="center" vertical="center"/>
    </xf>
    <xf numFmtId="172" fontId="40" fillId="21" borderId="65" xfId="0" applyNumberFormat="1" applyFont="1" applyFill="1" applyBorder="1" applyAlignment="1">
      <alignment horizontal="center" vertical="center"/>
    </xf>
    <xf numFmtId="172" fontId="40" fillId="21" borderId="10" xfId="0" applyNumberFormat="1" applyFont="1" applyFill="1" applyBorder="1" applyAlignment="1">
      <alignment horizontal="center" vertical="center"/>
    </xf>
    <xf numFmtId="172" fontId="21" fillId="22" borderId="154" xfId="0" applyNumberFormat="1" applyFont="1" applyFill="1" applyBorder="1" applyAlignment="1">
      <alignment vertical="center"/>
    </xf>
    <xf numFmtId="172" fontId="143" fillId="0" borderId="7" xfId="0" applyNumberFormat="1" applyFont="1" applyBorder="1" applyAlignment="1">
      <alignment horizontal="center" vertical="center"/>
    </xf>
    <xf numFmtId="0" fontId="47" fillId="22" borderId="23" xfId="0" applyFont="1" applyFill="1" applyBorder="1" applyAlignment="1">
      <alignment vertical="center"/>
    </xf>
    <xf numFmtId="0" fontId="47" fillId="22" borderId="32" xfId="0" applyFont="1" applyFill="1" applyBorder="1" applyAlignment="1">
      <alignment vertical="center"/>
    </xf>
    <xf numFmtId="0" fontId="12" fillId="0" borderId="0" xfId="0" applyFont="1" applyAlignment="1">
      <alignment horizontal="right" vertical="center"/>
    </xf>
    <xf numFmtId="1" fontId="12" fillId="0" borderId="7" xfId="0" applyNumberFormat="1" applyFont="1" applyBorder="1" applyAlignment="1">
      <alignment horizontal="center"/>
    </xf>
    <xf numFmtId="172" fontId="12" fillId="0" borderId="0" xfId="0" applyNumberFormat="1" applyFont="1"/>
    <xf numFmtId="0" fontId="12" fillId="0" borderId="7" xfId="0" applyFont="1" applyBorder="1" applyAlignment="1">
      <alignment vertical="center"/>
    </xf>
    <xf numFmtId="172" fontId="12" fillId="0" borderId="7" xfId="0" applyNumberFormat="1" applyFont="1" applyBorder="1"/>
    <xf numFmtId="177" fontId="55" fillId="0" borderId="7" xfId="0" applyNumberFormat="1" applyFont="1" applyBorder="1" applyAlignment="1">
      <alignment horizontal="center" vertical="center" wrapText="1"/>
    </xf>
    <xf numFmtId="177" fontId="143" fillId="0" borderId="7" xfId="0" applyNumberFormat="1" applyFont="1" applyBorder="1" applyAlignment="1">
      <alignment horizontal="center" vertical="center"/>
    </xf>
    <xf numFmtId="177" fontId="55" fillId="0" borderId="7" xfId="0" applyNumberFormat="1" applyFont="1" applyBorder="1" applyAlignment="1">
      <alignment horizontal="center" vertical="center"/>
    </xf>
    <xf numFmtId="10" fontId="12" fillId="3" borderId="51" xfId="0" applyNumberFormat="1" applyFont="1" applyFill="1" applyBorder="1" applyAlignment="1" applyProtection="1">
      <alignment horizontal="center" vertical="center" wrapText="1"/>
      <protection locked="0"/>
    </xf>
    <xf numFmtId="4" fontId="12" fillId="3" borderId="17" xfId="0" applyNumberFormat="1" applyFont="1" applyFill="1" applyBorder="1" applyAlignment="1" applyProtection="1">
      <alignment horizontal="center" vertical="center" wrapText="1"/>
      <protection locked="0"/>
    </xf>
    <xf numFmtId="2" fontId="12" fillId="3" borderId="17" xfId="0" applyNumberFormat="1" applyFont="1" applyFill="1" applyBorder="1" applyAlignment="1" applyProtection="1">
      <alignment horizontal="center" vertical="center" wrapText="1"/>
      <protection locked="0"/>
    </xf>
    <xf numFmtId="181" fontId="41" fillId="26" borderId="31" xfId="0" applyNumberFormat="1" applyFont="1" applyFill="1" applyBorder="1" applyAlignment="1">
      <alignment horizontal="center" vertical="center"/>
    </xf>
    <xf numFmtId="181" fontId="41" fillId="26" borderId="31" xfId="0" applyNumberFormat="1" applyFont="1" applyFill="1" applyBorder="1" applyAlignment="1">
      <alignment horizontal="center" vertical="center" wrapText="1"/>
    </xf>
    <xf numFmtId="172" fontId="57" fillId="3" borderId="32" xfId="80" applyNumberFormat="1" applyFont="1" applyFill="1" applyBorder="1" applyAlignment="1" applyProtection="1">
      <alignment horizontal="center" vertical="center"/>
      <protection locked="0"/>
    </xf>
    <xf numFmtId="172" fontId="12" fillId="3" borderId="17" xfId="32" applyNumberFormat="1" applyFont="1" applyFill="1" applyBorder="1" applyAlignment="1" applyProtection="1">
      <alignment horizontal="center" vertical="center"/>
      <protection locked="0"/>
    </xf>
    <xf numFmtId="172" fontId="12" fillId="3" borderId="62" xfId="32" applyNumberFormat="1" applyFont="1" applyFill="1" applyBorder="1" applyAlignment="1" applyProtection="1">
      <alignment horizontal="center" vertical="center"/>
      <protection locked="0"/>
    </xf>
    <xf numFmtId="172" fontId="170" fillId="3" borderId="7" xfId="80" applyNumberFormat="1" applyFont="1" applyFill="1" applyBorder="1" applyAlignment="1" applyProtection="1">
      <alignment horizontal="center" vertical="center"/>
      <protection locked="0"/>
    </xf>
    <xf numFmtId="172" fontId="170" fillId="3" borderId="53" xfId="80" applyNumberFormat="1" applyFont="1" applyFill="1" applyBorder="1" applyAlignment="1" applyProtection="1">
      <alignment horizontal="center" vertical="center"/>
      <protection locked="0"/>
    </xf>
    <xf numFmtId="10" fontId="55" fillId="3" borderId="52" xfId="70" applyNumberFormat="1" applyFont="1" applyFill="1" applyBorder="1" applyAlignment="1" applyProtection="1">
      <alignment horizontal="center" vertical="center"/>
      <protection locked="0"/>
    </xf>
    <xf numFmtId="10" fontId="55" fillId="3" borderId="32" xfId="70" applyNumberFormat="1" applyFont="1" applyFill="1" applyBorder="1" applyAlignment="1" applyProtection="1">
      <alignment horizontal="center" vertical="center"/>
      <protection locked="0"/>
    </xf>
    <xf numFmtId="10" fontId="55" fillId="3" borderId="7" xfId="70" applyNumberFormat="1" applyFont="1" applyFill="1" applyBorder="1" applyAlignment="1" applyProtection="1">
      <alignment horizontal="center" vertical="center"/>
      <protection locked="0"/>
    </xf>
    <xf numFmtId="10" fontId="55" fillId="3" borderId="53" xfId="70" applyNumberFormat="1" applyFont="1" applyFill="1" applyBorder="1" applyAlignment="1" applyProtection="1">
      <alignment horizontal="center" vertical="center"/>
      <protection locked="0"/>
    </xf>
    <xf numFmtId="10" fontId="55" fillId="3" borderId="56" xfId="70" applyNumberFormat="1" applyFont="1" applyFill="1" applyBorder="1" applyAlignment="1" applyProtection="1">
      <alignment horizontal="center" vertical="center"/>
      <protection locked="0"/>
    </xf>
    <xf numFmtId="10" fontId="55" fillId="3" borderId="79" xfId="70" applyNumberFormat="1" applyFont="1" applyFill="1" applyBorder="1" applyAlignment="1" applyProtection="1">
      <alignment horizontal="center" vertical="center"/>
      <protection locked="0"/>
    </xf>
    <xf numFmtId="10" fontId="55" fillId="3" borderId="77" xfId="70" applyNumberFormat="1" applyFont="1" applyFill="1" applyBorder="1" applyAlignment="1" applyProtection="1">
      <alignment horizontal="center" vertical="center"/>
      <protection locked="0"/>
    </xf>
    <xf numFmtId="10" fontId="55" fillId="3" borderId="57" xfId="70" applyNumberFormat="1" applyFont="1" applyFill="1" applyBorder="1" applyAlignment="1" applyProtection="1">
      <alignment horizontal="center" vertical="center"/>
      <protection locked="0"/>
    </xf>
    <xf numFmtId="3" fontId="40" fillId="27" borderId="49" xfId="0" applyNumberFormat="1" applyFont="1" applyFill="1" applyBorder="1" applyAlignment="1">
      <alignment horizontal="center" vertical="center"/>
    </xf>
    <xf numFmtId="3" fontId="40" fillId="27" borderId="31" xfId="0" applyNumberFormat="1" applyFont="1" applyFill="1" applyBorder="1" applyAlignment="1">
      <alignment horizontal="center" vertical="center"/>
    </xf>
    <xf numFmtId="3" fontId="40" fillId="27" borderId="50" xfId="0" applyNumberFormat="1" applyFont="1" applyFill="1" applyBorder="1" applyAlignment="1">
      <alignment horizontal="center" vertical="center"/>
    </xf>
    <xf numFmtId="3" fontId="41" fillId="28" borderId="17" xfId="49" applyNumberFormat="1" applyFont="1" applyFill="1" applyBorder="1" applyAlignment="1">
      <alignment horizontal="center" vertical="center" wrapText="1"/>
    </xf>
    <xf numFmtId="3" fontId="41" fillId="3" borderId="53" xfId="32" applyNumberFormat="1" applyFont="1" applyFill="1" applyBorder="1" applyAlignment="1" applyProtection="1">
      <alignment horizontal="left" vertical="center"/>
      <protection locked="0"/>
    </xf>
    <xf numFmtId="0" fontId="15" fillId="0" borderId="0" xfId="32" applyFont="1" applyAlignment="1">
      <alignment horizontal="center" vertical="center" wrapText="1"/>
    </xf>
    <xf numFmtId="9" fontId="36" fillId="0" borderId="0" xfId="1" applyFont="1" applyFill="1" applyBorder="1" applyAlignment="1" applyProtection="1">
      <alignment horizontal="center" vertical="center"/>
    </xf>
    <xf numFmtId="9" fontId="36" fillId="0" borderId="0" xfId="455" applyFont="1" applyFill="1" applyBorder="1" applyAlignment="1" applyProtection="1">
      <alignment horizontal="center" vertical="center"/>
    </xf>
    <xf numFmtId="9" fontId="36" fillId="0" borderId="0" xfId="1" applyFont="1" applyFill="1" applyBorder="1" applyAlignment="1" applyProtection="1">
      <alignment horizontal="center" vertical="center" wrapText="1"/>
    </xf>
    <xf numFmtId="9" fontId="36" fillId="0" borderId="0" xfId="455" applyFont="1" applyFill="1" applyBorder="1" applyAlignment="1" applyProtection="1">
      <alignment horizontal="center" vertical="center" wrapText="1"/>
    </xf>
    <xf numFmtId="9" fontId="41" fillId="0" borderId="0" xfId="1" applyFont="1" applyFill="1" applyBorder="1" applyAlignment="1" applyProtection="1">
      <alignment horizontal="center" vertical="center" wrapText="1"/>
    </xf>
    <xf numFmtId="9" fontId="41" fillId="0" borderId="0" xfId="455" applyFont="1" applyFill="1" applyBorder="1" applyAlignment="1" applyProtection="1">
      <alignment horizontal="center" vertical="center" wrapText="1"/>
    </xf>
    <xf numFmtId="9" fontId="41" fillId="0" borderId="0" xfId="455" applyFont="1" applyFill="1" applyBorder="1" applyAlignment="1" applyProtection="1">
      <alignment horizontal="center" vertical="center"/>
    </xf>
    <xf numFmtId="9" fontId="41" fillId="0" borderId="0" xfId="1" applyFont="1" applyFill="1" applyBorder="1" applyAlignment="1" applyProtection="1">
      <alignment horizontal="center" vertical="center"/>
    </xf>
    <xf numFmtId="9" fontId="40" fillId="0" borderId="0" xfId="1" applyFont="1" applyFill="1" applyBorder="1" applyAlignment="1" applyProtection="1">
      <alignment horizontal="center" vertical="center" wrapText="1"/>
    </xf>
    <xf numFmtId="9" fontId="40" fillId="0" borderId="0" xfId="455" applyFont="1" applyFill="1" applyBorder="1" applyAlignment="1" applyProtection="1">
      <alignment horizontal="center" vertical="center" wrapText="1"/>
    </xf>
    <xf numFmtId="0" fontId="52" fillId="0" borderId="0" xfId="49" applyFont="1" applyAlignment="1">
      <alignment horizontal="center" vertical="center"/>
    </xf>
    <xf numFmtId="168" fontId="52" fillId="0" borderId="0" xfId="49" applyNumberFormat="1" applyFont="1" applyAlignment="1">
      <alignment horizontal="center" vertical="center"/>
    </xf>
    <xf numFmtId="0" fontId="13" fillId="0" borderId="0" xfId="49" applyFont="1" applyAlignment="1">
      <alignment horizontal="right" vertical="center"/>
    </xf>
    <xf numFmtId="0" fontId="53" fillId="0" borderId="0" xfId="49" applyFont="1" applyAlignment="1">
      <alignment vertical="center"/>
    </xf>
    <xf numFmtId="0" fontId="53" fillId="0" borderId="0" xfId="49" applyFont="1" applyAlignment="1">
      <alignment horizontal="right" vertical="center"/>
    </xf>
    <xf numFmtId="0" fontId="78" fillId="0" borderId="0" xfId="49" applyAlignment="1">
      <alignment vertical="center"/>
    </xf>
    <xf numFmtId="0" fontId="14" fillId="0" borderId="0" xfId="49" applyFont="1" applyAlignment="1">
      <alignment vertical="center"/>
    </xf>
    <xf numFmtId="4" fontId="191" fillId="0" borderId="0" xfId="49" applyNumberFormat="1" applyFont="1" applyAlignment="1">
      <alignment vertical="center"/>
    </xf>
    <xf numFmtId="0" fontId="15" fillId="0" borderId="0" xfId="49" applyFont="1" applyAlignment="1">
      <alignment vertical="center" wrapText="1"/>
    </xf>
    <xf numFmtId="168" fontId="15" fillId="0" borderId="0" xfId="49" applyNumberFormat="1" applyFont="1" applyAlignment="1">
      <alignment vertical="center" wrapText="1"/>
    </xf>
    <xf numFmtId="0" fontId="20" fillId="0" borderId="0" xfId="49" applyFont="1" applyAlignment="1">
      <alignment vertical="center"/>
    </xf>
    <xf numFmtId="168" fontId="20" fillId="0" borderId="0" xfId="49" applyNumberFormat="1" applyFont="1" applyAlignment="1">
      <alignment vertical="center"/>
    </xf>
    <xf numFmtId="1" fontId="34" fillId="0" borderId="0" xfId="49" applyNumberFormat="1" applyFont="1" applyAlignment="1">
      <alignment vertical="center"/>
    </xf>
    <xf numFmtId="0" fontId="20" fillId="0" borderId="0" xfId="49" applyFont="1" applyAlignment="1">
      <alignment horizontal="center" vertical="center"/>
    </xf>
    <xf numFmtId="168" fontId="20" fillId="0" borderId="0" xfId="49" applyNumberFormat="1" applyFont="1" applyAlignment="1">
      <alignment horizontal="center" vertical="center"/>
    </xf>
    <xf numFmtId="1" fontId="34" fillId="0" borderId="0" xfId="49" applyNumberFormat="1" applyFont="1" applyAlignment="1">
      <alignment horizontal="center" vertical="center"/>
    </xf>
    <xf numFmtId="10" fontId="62" fillId="0" borderId="0" xfId="49" applyNumberFormat="1" applyFont="1" applyAlignment="1">
      <alignment horizontal="center" vertical="center" wrapText="1"/>
    </xf>
    <xf numFmtId="168" fontId="19" fillId="0" borderId="0" xfId="49" applyNumberFormat="1" applyFont="1" applyAlignment="1">
      <alignment horizontal="center" vertical="center"/>
    </xf>
    <xf numFmtId="0" fontId="19" fillId="0" borderId="0" xfId="49" applyFont="1" applyAlignment="1">
      <alignment horizontal="center" vertical="center"/>
    </xf>
    <xf numFmtId="1" fontId="52" fillId="0" borderId="0" xfId="49" applyNumberFormat="1" applyFont="1" applyAlignment="1">
      <alignment horizontal="center" vertical="center"/>
    </xf>
    <xf numFmtId="0" fontId="19" fillId="0" borderId="0" xfId="49" applyFont="1" applyAlignment="1">
      <alignment vertical="center" wrapText="1"/>
    </xf>
    <xf numFmtId="170" fontId="19" fillId="0" borderId="0" xfId="49" applyNumberFormat="1" applyFont="1" applyAlignment="1">
      <alignment horizontal="center" vertical="center" wrapText="1"/>
    </xf>
    <xf numFmtId="0" fontId="19" fillId="0" borderId="0" xfId="49" applyFont="1" applyAlignment="1">
      <alignment horizontal="center" vertical="center" wrapText="1"/>
    </xf>
    <xf numFmtId="9" fontId="62" fillId="0" borderId="0" xfId="49" applyNumberFormat="1" applyFont="1" applyAlignment="1">
      <alignment horizontal="center" vertical="center" wrapText="1"/>
    </xf>
    <xf numFmtId="1" fontId="41" fillId="0" borderId="0" xfId="49" applyNumberFormat="1" applyFont="1" applyAlignment="1">
      <alignment horizontal="center" vertical="center"/>
    </xf>
    <xf numFmtId="1" fontId="40" fillId="0" borderId="0" xfId="49" applyNumberFormat="1" applyFont="1" applyAlignment="1">
      <alignment horizontal="center" vertical="center" wrapText="1"/>
    </xf>
    <xf numFmtId="0" fontId="35" fillId="0" borderId="0" xfId="49" applyFont="1" applyAlignment="1">
      <alignment vertical="center" wrapText="1"/>
    </xf>
    <xf numFmtId="0" fontId="40" fillId="0" borderId="0" xfId="49" applyFont="1" applyAlignment="1">
      <alignment horizontal="center" vertical="center" wrapText="1"/>
    </xf>
    <xf numFmtId="4" fontId="40" fillId="0" borderId="0" xfId="0" applyNumberFormat="1" applyFont="1" applyAlignment="1">
      <alignment vertical="center"/>
    </xf>
    <xf numFmtId="171" fontId="40" fillId="0" borderId="0" xfId="49" applyNumberFormat="1" applyFont="1" applyAlignment="1">
      <alignment horizontal="center" vertical="center" wrapText="1"/>
    </xf>
    <xf numFmtId="168" fontId="40" fillId="0" borderId="0" xfId="49" applyNumberFormat="1" applyFont="1" applyAlignment="1">
      <alignment horizontal="center" vertical="center" wrapText="1"/>
    </xf>
    <xf numFmtId="49" fontId="40" fillId="0" borderId="0" xfId="49" applyNumberFormat="1" applyFont="1" applyAlignment="1">
      <alignment horizontal="left" vertical="center" wrapText="1"/>
    </xf>
    <xf numFmtId="0" fontId="40" fillId="0" borderId="0" xfId="49" applyFont="1" applyAlignment="1">
      <alignment horizontal="left" vertical="center" wrapText="1"/>
    </xf>
    <xf numFmtId="3" fontId="40" fillId="0" borderId="0" xfId="49" applyNumberFormat="1" applyFont="1" applyAlignment="1">
      <alignment horizontal="center" vertical="center" wrapText="1"/>
    </xf>
    <xf numFmtId="172" fontId="41" fillId="0" borderId="0" xfId="0" applyNumberFormat="1" applyFont="1" applyAlignment="1">
      <alignment vertical="center"/>
    </xf>
    <xf numFmtId="49" fontId="41" fillId="0" borderId="0" xfId="49" applyNumberFormat="1" applyFont="1" applyAlignment="1">
      <alignment horizontal="left" vertical="center" wrapText="1"/>
    </xf>
    <xf numFmtId="0" fontId="41" fillId="0" borderId="0" xfId="49" applyFont="1" applyAlignment="1">
      <alignment horizontal="left" vertical="center" wrapText="1"/>
    </xf>
    <xf numFmtId="49" fontId="42" fillId="0" borderId="0" xfId="49" applyNumberFormat="1" applyFont="1" applyAlignment="1">
      <alignment horizontal="left" vertical="center" wrapText="1"/>
    </xf>
    <xf numFmtId="0" fontId="42" fillId="0" borderId="0" xfId="49" applyFont="1" applyAlignment="1">
      <alignment horizontal="left" vertical="center" wrapText="1"/>
    </xf>
    <xf numFmtId="3" fontId="12" fillId="0" borderId="0" xfId="32" applyNumberFormat="1" applyFont="1" applyAlignment="1" applyProtection="1">
      <alignment horizontal="center" vertical="center"/>
      <protection locked="0"/>
    </xf>
    <xf numFmtId="3" fontId="12" fillId="0" borderId="0" xfId="32" applyNumberFormat="1" applyFont="1" applyAlignment="1">
      <alignment horizontal="center" vertical="center"/>
    </xf>
    <xf numFmtId="0" fontId="37" fillId="0" borderId="0" xfId="49" applyFont="1" applyAlignment="1">
      <alignment vertical="center"/>
    </xf>
    <xf numFmtId="172" fontId="55" fillId="0" borderId="0" xfId="0" applyNumberFormat="1" applyFont="1" applyAlignment="1">
      <alignment vertical="center"/>
    </xf>
    <xf numFmtId="0" fontId="27" fillId="0" borderId="0" xfId="49" applyFont="1" applyAlignment="1">
      <alignment vertical="center"/>
    </xf>
    <xf numFmtId="3" fontId="41" fillId="0" borderId="0" xfId="49" applyNumberFormat="1" applyFont="1" applyAlignment="1" applyProtection="1">
      <alignment horizontal="center" vertical="center" wrapText="1"/>
      <protection locked="0"/>
    </xf>
    <xf numFmtId="3" fontId="42" fillId="0" borderId="0" xfId="49" applyNumberFormat="1" applyFont="1" applyAlignment="1" applyProtection="1">
      <alignment horizontal="center" vertical="center" wrapText="1"/>
      <protection locked="0"/>
    </xf>
    <xf numFmtId="3" fontId="42" fillId="0" borderId="0" xfId="49" applyNumberFormat="1" applyFont="1" applyAlignment="1">
      <alignment horizontal="center" vertical="center" wrapText="1"/>
    </xf>
    <xf numFmtId="178" fontId="12" fillId="0" borderId="0" xfId="0" applyNumberFormat="1" applyFont="1" applyAlignment="1">
      <alignment vertical="center"/>
    </xf>
    <xf numFmtId="3" fontId="42" fillId="0" borderId="0" xfId="32" applyNumberFormat="1" applyFont="1" applyAlignment="1">
      <alignment horizontal="left" vertical="center"/>
    </xf>
    <xf numFmtId="3" fontId="96" fillId="0" borderId="0" xfId="49" applyNumberFormat="1" applyFont="1" applyAlignment="1" applyProtection="1">
      <alignment horizontal="center" vertical="center" wrapText="1"/>
      <protection locked="0"/>
    </xf>
    <xf numFmtId="3" fontId="12" fillId="0" borderId="0" xfId="32" applyNumberFormat="1" applyFont="1" applyAlignment="1" applyProtection="1">
      <alignment horizontal="left" vertical="center"/>
      <protection locked="0"/>
    </xf>
    <xf numFmtId="172" fontId="95" fillId="0" borderId="0" xfId="0" applyNumberFormat="1" applyFont="1" applyAlignment="1">
      <alignment vertical="center"/>
    </xf>
    <xf numFmtId="168" fontId="41" fillId="0" borderId="0" xfId="32" applyNumberFormat="1" applyFont="1" applyAlignment="1">
      <alignment horizontal="center" vertical="center"/>
    </xf>
    <xf numFmtId="3" fontId="12" fillId="0" borderId="0" xfId="32" applyNumberFormat="1" applyFont="1" applyAlignment="1">
      <alignment horizontal="left" vertical="center"/>
    </xf>
    <xf numFmtId="4" fontId="42" fillId="0" borderId="0" xfId="49" applyNumberFormat="1" applyFont="1" applyAlignment="1" applyProtection="1">
      <alignment horizontal="center" vertical="center" wrapText="1"/>
      <protection locked="0"/>
    </xf>
    <xf numFmtId="4" fontId="105" fillId="0" borderId="0" xfId="0" applyNumberFormat="1" applyFont="1" applyAlignment="1">
      <alignment vertical="center"/>
    </xf>
    <xf numFmtId="182" fontId="41" fillId="0" borderId="0" xfId="0" applyNumberFormat="1" applyFont="1" applyAlignment="1">
      <alignment vertical="center"/>
    </xf>
    <xf numFmtId="182" fontId="40" fillId="0" borderId="0" xfId="0" applyNumberFormat="1" applyFont="1" applyAlignment="1">
      <alignment vertical="center"/>
    </xf>
    <xf numFmtId="183" fontId="41" fillId="0" borderId="0" xfId="0" applyNumberFormat="1" applyFont="1" applyAlignment="1">
      <alignment vertical="center"/>
    </xf>
    <xf numFmtId="183" fontId="40" fillId="0" borderId="0" xfId="0" applyNumberFormat="1" applyFont="1" applyAlignment="1">
      <alignment vertical="center"/>
    </xf>
    <xf numFmtId="186" fontId="41" fillId="0" borderId="0" xfId="0" applyNumberFormat="1" applyFont="1" applyAlignment="1">
      <alignment vertical="center"/>
    </xf>
    <xf numFmtId="186" fontId="40" fillId="0" borderId="0" xfId="0" applyNumberFormat="1" applyFont="1" applyAlignment="1">
      <alignment vertical="center"/>
    </xf>
    <xf numFmtId="0" fontId="41" fillId="0" borderId="0" xfId="31" applyFont="1" applyAlignment="1">
      <alignment horizontal="left" vertical="center" wrapText="1"/>
    </xf>
    <xf numFmtId="0" fontId="41" fillId="0" borderId="0" xfId="31" applyFont="1" applyAlignment="1">
      <alignment vertical="center" wrapText="1"/>
    </xf>
    <xf numFmtId="0" fontId="40" fillId="0" borderId="0" xfId="49" applyFont="1" applyAlignment="1">
      <alignment vertical="center" wrapText="1"/>
    </xf>
    <xf numFmtId="0" fontId="40" fillId="0" borderId="0" xfId="31" applyFont="1" applyAlignment="1">
      <alignment horizontal="center" vertical="center" wrapText="1"/>
    </xf>
    <xf numFmtId="0" fontId="40" fillId="0" borderId="0" xfId="31" applyFont="1" applyAlignment="1">
      <alignment horizontal="left" vertical="center" wrapText="1"/>
    </xf>
    <xf numFmtId="3" fontId="40" fillId="0" borderId="0" xfId="31" applyNumberFormat="1" applyFont="1" applyAlignment="1">
      <alignment horizontal="center" vertical="center" wrapText="1"/>
    </xf>
    <xf numFmtId="3" fontId="95" fillId="0" borderId="0" xfId="0" applyNumberFormat="1" applyFont="1" applyAlignment="1">
      <alignment vertical="center"/>
    </xf>
    <xf numFmtId="4" fontId="12" fillId="0" borderId="0" xfId="0" applyNumberFormat="1" applyFont="1" applyAlignment="1">
      <alignment vertical="center"/>
    </xf>
    <xf numFmtId="4" fontId="41" fillId="0" borderId="0" xfId="0" applyNumberFormat="1" applyFont="1" applyAlignment="1">
      <alignment vertical="center"/>
    </xf>
    <xf numFmtId="0" fontId="52" fillId="0" borderId="0" xfId="49" applyFont="1" applyAlignment="1">
      <alignment vertical="center"/>
    </xf>
    <xf numFmtId="0" fontId="12" fillId="0" borderId="0" xfId="49" applyFont="1" applyAlignment="1">
      <alignment vertical="center"/>
    </xf>
    <xf numFmtId="171" fontId="40" fillId="0" borderId="0" xfId="49" applyNumberFormat="1" applyFont="1" applyAlignment="1">
      <alignment horizontal="center" vertical="center"/>
    </xf>
    <xf numFmtId="168" fontId="40" fillId="0" borderId="0" xfId="49" applyNumberFormat="1" applyFont="1" applyAlignment="1">
      <alignment horizontal="center" vertical="center"/>
    </xf>
    <xf numFmtId="3" fontId="12" fillId="0" borderId="0" xfId="49" applyNumberFormat="1" applyFont="1" applyAlignment="1">
      <alignment horizontal="center" vertical="center"/>
    </xf>
    <xf numFmtId="3" fontId="52" fillId="0" borderId="0" xfId="49" applyNumberFormat="1" applyFont="1" applyAlignment="1">
      <alignment horizontal="center" vertical="center"/>
    </xf>
    <xf numFmtId="0" fontId="41" fillId="0" borderId="0" xfId="49" applyFont="1" applyAlignment="1">
      <alignment vertical="center" wrapText="1"/>
    </xf>
    <xf numFmtId="169" fontId="41" fillId="0" borderId="0" xfId="49" applyNumberFormat="1" applyFont="1" applyAlignment="1">
      <alignment horizontal="center" vertical="center"/>
    </xf>
    <xf numFmtId="168" fontId="41" fillId="0" borderId="0" xfId="49" applyNumberFormat="1" applyFont="1" applyAlignment="1">
      <alignment horizontal="center" vertical="center"/>
    </xf>
    <xf numFmtId="0" fontId="41" fillId="0" borderId="0" xfId="49" applyFont="1" applyAlignment="1">
      <alignment vertical="center"/>
    </xf>
    <xf numFmtId="49" fontId="52" fillId="0" borderId="0" xfId="49" applyNumberFormat="1" applyFont="1" applyAlignment="1">
      <alignment horizontal="center" vertical="center"/>
    </xf>
    <xf numFmtId="0" fontId="41" fillId="0" borderId="0" xfId="49" applyFont="1" applyAlignment="1">
      <alignment horizontal="center" vertical="center"/>
    </xf>
    <xf numFmtId="0" fontId="40" fillId="0" borderId="0" xfId="49" applyFont="1" applyAlignment="1">
      <alignment horizontal="center" vertical="center"/>
    </xf>
    <xf numFmtId="3" fontId="41" fillId="0" borderId="0" xfId="49" applyNumberFormat="1" applyFont="1" applyAlignment="1">
      <alignment horizontal="center" vertical="center"/>
    </xf>
    <xf numFmtId="168" fontId="52" fillId="0" borderId="0" xfId="49" applyNumberFormat="1" applyFont="1" applyAlignment="1">
      <alignment horizontal="center" vertical="center" wrapText="1"/>
    </xf>
    <xf numFmtId="0" fontId="52" fillId="0" borderId="0" xfId="49" applyFont="1" applyAlignment="1">
      <alignment horizontal="center" vertical="center" wrapText="1"/>
    </xf>
    <xf numFmtId="0" fontId="108" fillId="0" borderId="0" xfId="49" applyFont="1" applyAlignment="1">
      <alignment horizontal="center" vertical="center"/>
    </xf>
    <xf numFmtId="3" fontId="52" fillId="0" borderId="0" xfId="49" applyNumberFormat="1" applyFont="1" applyAlignment="1">
      <alignment horizontal="center" vertical="center" wrapText="1"/>
    </xf>
    <xf numFmtId="3" fontId="41" fillId="0" borderId="0" xfId="49" applyNumberFormat="1" applyFont="1" applyAlignment="1">
      <alignment horizontal="right" vertical="center"/>
    </xf>
    <xf numFmtId="168" fontId="41" fillId="0" borderId="0" xfId="49" applyNumberFormat="1" applyFont="1" applyAlignment="1">
      <alignment horizontal="right" vertical="center"/>
    </xf>
    <xf numFmtId="4" fontId="40" fillId="0" borderId="0" xfId="49" applyNumberFormat="1" applyFont="1" applyAlignment="1">
      <alignment horizontal="center" vertical="center"/>
    </xf>
    <xf numFmtId="4" fontId="40" fillId="0" borderId="0" xfId="49" applyNumberFormat="1" applyFont="1" applyAlignment="1">
      <alignment vertical="center"/>
    </xf>
    <xf numFmtId="0" fontId="52" fillId="0" borderId="0" xfId="49" applyFont="1" applyAlignment="1">
      <alignment horizontal="right" vertical="center"/>
    </xf>
    <xf numFmtId="0" fontId="192" fillId="0" borderId="0" xfId="49" applyFont="1" applyAlignment="1">
      <alignment horizontal="right" vertical="center"/>
    </xf>
    <xf numFmtId="3" fontId="12" fillId="0" borderId="0" xfId="49" applyNumberFormat="1" applyFont="1" applyAlignment="1">
      <alignment vertical="center"/>
    </xf>
    <xf numFmtId="3" fontId="79" fillId="0" borderId="0" xfId="49" applyNumberFormat="1" applyFont="1" applyAlignment="1">
      <alignment vertical="center"/>
    </xf>
    <xf numFmtId="3" fontId="21" fillId="0" borderId="0" xfId="49" applyNumberFormat="1" applyFont="1" applyAlignment="1">
      <alignment vertical="center"/>
    </xf>
    <xf numFmtId="3" fontId="64" fillId="0" borderId="0" xfId="49" applyNumberFormat="1" applyFont="1" applyAlignment="1">
      <alignment vertical="center"/>
    </xf>
    <xf numFmtId="0" fontId="35" fillId="0" borderId="0" xfId="49" applyFont="1" applyAlignment="1">
      <alignment vertical="center"/>
    </xf>
    <xf numFmtId="0" fontId="46" fillId="0" borderId="0" xfId="31" applyFont="1" applyAlignment="1">
      <alignment horizontal="center" vertical="center" wrapText="1"/>
    </xf>
    <xf numFmtId="3" fontId="43" fillId="0" borderId="0" xfId="49" applyNumberFormat="1" applyFont="1" applyAlignment="1">
      <alignment vertical="center"/>
    </xf>
    <xf numFmtId="0" fontId="42" fillId="0" borderId="0" xfId="49" applyFont="1" applyAlignment="1">
      <alignment vertical="center"/>
    </xf>
    <xf numFmtId="4" fontId="46" fillId="0" borderId="0" xfId="49" applyNumberFormat="1" applyFont="1" applyAlignment="1">
      <alignment vertical="center"/>
    </xf>
    <xf numFmtId="0" fontId="35" fillId="0" borderId="0" xfId="49" applyFont="1" applyAlignment="1">
      <alignment horizontal="left" vertical="center" wrapText="1"/>
    </xf>
    <xf numFmtId="3" fontId="43" fillId="0" borderId="0" xfId="49" applyNumberFormat="1" applyFont="1" applyAlignment="1">
      <alignment horizontal="center" vertical="center" wrapText="1"/>
    </xf>
    <xf numFmtId="168" fontId="35" fillId="0" borderId="0" xfId="49" applyNumberFormat="1" applyFont="1" applyAlignment="1">
      <alignment horizontal="center" vertical="center" wrapText="1"/>
    </xf>
    <xf numFmtId="0" fontId="35" fillId="0" borderId="0" xfId="49" applyFont="1" applyAlignment="1">
      <alignment horizontal="center" vertical="center" wrapText="1"/>
    </xf>
    <xf numFmtId="3" fontId="119" fillId="0" borderId="0" xfId="49" applyNumberFormat="1" applyFont="1" applyAlignment="1">
      <alignment horizontal="center" vertical="center" wrapText="1"/>
    </xf>
    <xf numFmtId="0" fontId="52" fillId="0" borderId="0" xfId="49" applyFont="1" applyAlignment="1">
      <alignment horizontal="left" vertical="center" wrapText="1"/>
    </xf>
    <xf numFmtId="0" fontId="41" fillId="0" borderId="0" xfId="49" applyFont="1" applyAlignment="1">
      <alignment horizontal="right" vertical="center"/>
    </xf>
    <xf numFmtId="0" fontId="41" fillId="0" borderId="0" xfId="49" applyFont="1" applyAlignment="1">
      <alignment horizontal="center" vertical="center" wrapText="1"/>
    </xf>
    <xf numFmtId="168" fontId="41" fillId="0" borderId="0" xfId="49" applyNumberFormat="1" applyFont="1" applyAlignment="1">
      <alignment horizontal="center" vertical="center" wrapText="1"/>
    </xf>
    <xf numFmtId="3" fontId="42" fillId="0" borderId="0" xfId="49" applyNumberFormat="1" applyFont="1" applyAlignment="1">
      <alignment horizontal="right" vertical="center"/>
    </xf>
    <xf numFmtId="3" fontId="46" fillId="0" borderId="0" xfId="49" applyNumberFormat="1" applyFont="1" applyAlignment="1">
      <alignment horizontal="right" vertical="center" wrapText="1"/>
    </xf>
    <xf numFmtId="3" fontId="41" fillId="0" borderId="0" xfId="49" applyNumberFormat="1" applyFont="1" applyAlignment="1">
      <alignment horizontal="right" vertical="center" wrapText="1"/>
    </xf>
    <xf numFmtId="9" fontId="35" fillId="0" borderId="0" xfId="49" applyNumberFormat="1" applyFont="1" applyAlignment="1">
      <alignment vertical="center"/>
    </xf>
    <xf numFmtId="3" fontId="40" fillId="0" borderId="0" xfId="49" applyNumberFormat="1" applyFont="1" applyAlignment="1">
      <alignment horizontal="right" vertical="center" wrapText="1"/>
    </xf>
    <xf numFmtId="167" fontId="79" fillId="0" borderId="0" xfId="49" applyNumberFormat="1" applyFont="1" applyAlignment="1">
      <alignment vertical="center"/>
    </xf>
    <xf numFmtId="167" fontId="64" fillId="0" borderId="0" xfId="49" applyNumberFormat="1" applyFont="1" applyAlignment="1">
      <alignment vertical="center"/>
    </xf>
    <xf numFmtId="167" fontId="96" fillId="0" borderId="0" xfId="49" applyNumberFormat="1" applyFont="1" applyAlignment="1">
      <alignment horizontal="right" vertical="center"/>
    </xf>
    <xf numFmtId="167" fontId="164" fillId="0" borderId="0" xfId="49" applyNumberFormat="1" applyFont="1" applyAlignment="1">
      <alignment horizontal="right" vertical="center" wrapText="1"/>
    </xf>
    <xf numFmtId="167" fontId="95" fillId="0" borderId="0" xfId="49" applyNumberFormat="1" applyFont="1" applyAlignment="1">
      <alignment horizontal="right" vertical="center" wrapText="1"/>
    </xf>
    <xf numFmtId="167" fontId="105" fillId="0" borderId="0" xfId="49" applyNumberFormat="1" applyFont="1" applyAlignment="1">
      <alignment horizontal="right" vertical="center" wrapText="1"/>
    </xf>
    <xf numFmtId="180" fontId="169" fillId="0" borderId="0" xfId="31" applyNumberFormat="1" applyFont="1" applyAlignment="1">
      <alignment vertical="center"/>
    </xf>
    <xf numFmtId="2" fontId="40" fillId="0" borderId="0" xfId="49" applyNumberFormat="1" applyFont="1" applyAlignment="1">
      <alignment vertical="center" wrapText="1"/>
    </xf>
    <xf numFmtId="0" fontId="40" fillId="0" borderId="0" xfId="49" applyFont="1" applyAlignment="1">
      <alignment vertical="center"/>
    </xf>
    <xf numFmtId="180" fontId="169" fillId="0" borderId="0" xfId="82" applyNumberFormat="1" applyFont="1" applyAlignment="1">
      <alignment vertical="center"/>
    </xf>
    <xf numFmtId="0" fontId="46" fillId="0" borderId="0" xfId="0" applyFont="1" applyAlignment="1">
      <alignment vertical="center"/>
    </xf>
    <xf numFmtId="0" fontId="15" fillId="0" borderId="0" xfId="32" applyFont="1" applyAlignment="1">
      <alignment vertical="center" wrapText="1"/>
    </xf>
    <xf numFmtId="0" fontId="15" fillId="0" borderId="0" xfId="32" applyFont="1" applyAlignment="1">
      <alignment vertical="center"/>
    </xf>
    <xf numFmtId="0" fontId="40" fillId="0" borderId="0" xfId="32" applyFont="1" applyAlignment="1">
      <alignment vertical="center" wrapText="1"/>
    </xf>
    <xf numFmtId="0" fontId="75" fillId="0" borderId="0" xfId="32" applyFont="1" applyAlignment="1">
      <alignment vertical="center" wrapText="1"/>
    </xf>
    <xf numFmtId="0" fontId="40" fillId="0" borderId="0" xfId="32" applyFont="1" applyAlignment="1">
      <alignment horizontal="center" vertical="center" wrapText="1"/>
    </xf>
    <xf numFmtId="3" fontId="41" fillId="0" borderId="0" xfId="32" applyNumberFormat="1" applyFont="1" applyAlignment="1">
      <alignment horizontal="left" vertical="center" wrapText="1"/>
    </xf>
    <xf numFmtId="3" fontId="41" fillId="0" borderId="0" xfId="32" applyNumberFormat="1" applyFont="1" applyAlignment="1" applyProtection="1">
      <alignment horizontal="center" vertical="center"/>
      <protection locked="0"/>
    </xf>
    <xf numFmtId="9" fontId="41" fillId="0" borderId="0" xfId="70" applyFont="1" applyFill="1" applyBorder="1" applyAlignment="1" applyProtection="1">
      <alignment horizontal="center" vertical="center"/>
    </xf>
    <xf numFmtId="3" fontId="57" fillId="0" borderId="0" xfId="80" applyNumberFormat="1" applyFont="1" applyAlignment="1">
      <alignment vertical="center"/>
    </xf>
    <xf numFmtId="3" fontId="41" fillId="0" borderId="0" xfId="32" applyNumberFormat="1" applyFont="1" applyAlignment="1">
      <alignment horizontal="left" vertical="center"/>
    </xf>
    <xf numFmtId="3" fontId="40" fillId="0" borderId="0" xfId="32" applyNumberFormat="1" applyFont="1" applyAlignment="1">
      <alignment horizontal="left" vertical="center" wrapText="1"/>
    </xf>
    <xf numFmtId="3" fontId="40" fillId="0" borderId="0" xfId="32" applyNumberFormat="1" applyFont="1" applyAlignment="1">
      <alignment horizontal="center" vertical="center"/>
    </xf>
    <xf numFmtId="9" fontId="40" fillId="0" borderId="0" xfId="70" applyFont="1" applyFill="1" applyBorder="1" applyAlignment="1" applyProtection="1">
      <alignment horizontal="center" vertical="center"/>
    </xf>
    <xf numFmtId="0" fontId="96" fillId="0" borderId="0" xfId="88" applyFont="1" applyAlignment="1">
      <alignment horizontal="right" vertical="center" wrapText="1"/>
    </xf>
    <xf numFmtId="0" fontId="96" fillId="0" borderId="0" xfId="88" applyFont="1" applyAlignment="1">
      <alignment horizontal="center" vertical="center" wrapText="1"/>
    </xf>
    <xf numFmtId="10" fontId="96" fillId="0" borderId="0" xfId="70" applyNumberFormat="1" applyFont="1" applyFill="1" applyBorder="1" applyAlignment="1" applyProtection="1">
      <alignment horizontal="center" vertical="center" wrapText="1"/>
    </xf>
    <xf numFmtId="3" fontId="42" fillId="0" borderId="0" xfId="32" applyNumberFormat="1" applyFont="1" applyAlignment="1">
      <alignment horizontal="left" vertical="center" wrapText="1"/>
    </xf>
    <xf numFmtId="3" fontId="42" fillId="0" borderId="0" xfId="32" applyNumberFormat="1" applyFont="1" applyAlignment="1">
      <alignment horizontal="center" vertical="center"/>
    </xf>
    <xf numFmtId="3" fontId="42" fillId="0" borderId="0" xfId="32" applyNumberFormat="1" applyFont="1" applyAlignment="1" applyProtection="1">
      <alignment horizontal="center" vertical="center"/>
      <protection locked="0"/>
    </xf>
    <xf numFmtId="9" fontId="42" fillId="0" borderId="0" xfId="70" applyFont="1" applyFill="1" applyBorder="1" applyAlignment="1" applyProtection="1">
      <alignment horizontal="center" vertical="center"/>
    </xf>
    <xf numFmtId="0" fontId="42" fillId="0" borderId="0" xfId="32" applyFont="1" applyAlignment="1">
      <alignment vertical="center"/>
    </xf>
    <xf numFmtId="167" fontId="96" fillId="0" borderId="0" xfId="32" applyNumberFormat="1" applyFont="1" applyAlignment="1">
      <alignment vertical="center"/>
    </xf>
    <xf numFmtId="3" fontId="40" fillId="0" borderId="0" xfId="32" applyNumberFormat="1" applyFont="1" applyAlignment="1">
      <alignment vertical="center" wrapText="1"/>
    </xf>
    <xf numFmtId="173" fontId="41" fillId="0" borderId="0" xfId="70" applyNumberFormat="1" applyFont="1" applyFill="1" applyBorder="1" applyAlignment="1" applyProtection="1">
      <alignment horizontal="center" vertical="center"/>
    </xf>
    <xf numFmtId="173" fontId="40" fillId="0" borderId="0" xfId="70" applyNumberFormat="1" applyFont="1" applyFill="1" applyBorder="1" applyAlignment="1" applyProtection="1">
      <alignment horizontal="center" vertical="center"/>
    </xf>
    <xf numFmtId="173" fontId="42" fillId="0" borderId="0" xfId="70" applyNumberFormat="1" applyFont="1" applyFill="1" applyBorder="1" applyAlignment="1" applyProtection="1">
      <alignment horizontal="center" vertical="center"/>
    </xf>
    <xf numFmtId="173" fontId="42" fillId="0" borderId="0" xfId="70" applyNumberFormat="1" applyFont="1" applyFill="1" applyBorder="1" applyAlignment="1" applyProtection="1">
      <alignment horizontal="center" vertical="center" wrapText="1"/>
    </xf>
    <xf numFmtId="173" fontId="162" fillId="0" borderId="0" xfId="70" applyNumberFormat="1" applyFont="1" applyFill="1" applyBorder="1" applyAlignment="1" applyProtection="1">
      <alignment horizontal="center" vertical="center" wrapText="1"/>
    </xf>
    <xf numFmtId="183" fontId="96" fillId="0" borderId="0" xfId="32" applyNumberFormat="1" applyFont="1" applyAlignment="1">
      <alignment vertical="center"/>
    </xf>
    <xf numFmtId="182" fontId="96" fillId="0" borderId="0" xfId="32" applyNumberFormat="1" applyFont="1" applyAlignment="1">
      <alignment vertical="center"/>
    </xf>
    <xf numFmtId="3" fontId="41" fillId="0" borderId="0" xfId="32" applyNumberFormat="1" applyFont="1" applyAlignment="1">
      <alignment vertical="center" wrapText="1"/>
    </xf>
    <xf numFmtId="10" fontId="40" fillId="0" borderId="0" xfId="70" applyNumberFormat="1" applyFont="1" applyFill="1" applyBorder="1" applyAlignment="1" applyProtection="1">
      <alignment horizontal="center" vertical="center"/>
    </xf>
    <xf numFmtId="0" fontId="41" fillId="0" borderId="0" xfId="0" applyFont="1" applyAlignment="1">
      <alignment vertical="center" wrapText="1"/>
    </xf>
    <xf numFmtId="167" fontId="95" fillId="0" borderId="0" xfId="0" applyNumberFormat="1" applyFont="1" applyAlignment="1">
      <alignment vertical="center"/>
    </xf>
    <xf numFmtId="0" fontId="41" fillId="0" borderId="0" xfId="32" applyFont="1" applyAlignment="1">
      <alignment vertical="center" wrapText="1"/>
    </xf>
    <xf numFmtId="172" fontId="41" fillId="0" borderId="0" xfId="32" applyNumberFormat="1" applyFont="1" applyAlignment="1">
      <alignment vertical="center"/>
    </xf>
    <xf numFmtId="3" fontId="41" fillId="0" borderId="0" xfId="32" applyNumberFormat="1" applyFont="1" applyAlignment="1">
      <alignment vertical="center"/>
    </xf>
    <xf numFmtId="9" fontId="41" fillId="0" borderId="0" xfId="32" applyNumberFormat="1" applyFont="1" applyAlignment="1">
      <alignment vertical="center"/>
    </xf>
    <xf numFmtId="172" fontId="40" fillId="0" borderId="0" xfId="32" applyNumberFormat="1" applyFont="1" applyAlignment="1">
      <alignment vertical="center"/>
    </xf>
    <xf numFmtId="9" fontId="40" fillId="0" borderId="0" xfId="32" applyNumberFormat="1" applyFont="1" applyAlignment="1">
      <alignment vertical="center"/>
    </xf>
    <xf numFmtId="172" fontId="95" fillId="0" borderId="0" xfId="32" applyNumberFormat="1" applyFont="1" applyAlignment="1">
      <alignment vertical="center"/>
    </xf>
    <xf numFmtId="177" fontId="46" fillId="0" borderId="0" xfId="32" applyNumberFormat="1" applyFont="1" applyAlignment="1">
      <alignment vertical="center"/>
    </xf>
    <xf numFmtId="9" fontId="46" fillId="0" borderId="0" xfId="32" applyNumberFormat="1" applyFont="1" applyAlignment="1">
      <alignment vertical="center"/>
    </xf>
    <xf numFmtId="177" fontId="40" fillId="0" borderId="0" xfId="32" applyNumberFormat="1" applyFont="1" applyAlignment="1">
      <alignment vertical="center"/>
    </xf>
    <xf numFmtId="177" fontId="41" fillId="0" borderId="0" xfId="32" applyNumberFormat="1" applyFont="1" applyAlignment="1">
      <alignment vertical="center"/>
    </xf>
    <xf numFmtId="0" fontId="52" fillId="0" borderId="0" xfId="32" applyFont="1" applyAlignment="1">
      <alignment vertical="center"/>
    </xf>
    <xf numFmtId="0" fontId="27" fillId="0" borderId="0" xfId="32" applyAlignment="1">
      <alignment vertical="center"/>
    </xf>
    <xf numFmtId="0" fontId="13" fillId="0" borderId="0" xfId="32" applyFont="1" applyAlignment="1">
      <alignment horizontal="right" vertical="center"/>
    </xf>
    <xf numFmtId="0" fontId="68" fillId="0" borderId="0" xfId="32" applyFont="1" applyAlignment="1">
      <alignment vertical="center"/>
    </xf>
    <xf numFmtId="0" fontId="16" fillId="0" borderId="0" xfId="32" applyFont="1" applyAlignment="1">
      <alignment vertical="center" wrapText="1"/>
    </xf>
    <xf numFmtId="0" fontId="20" fillId="0" borderId="0" xfId="32" applyFont="1" applyAlignment="1">
      <alignment vertical="center" wrapText="1"/>
    </xf>
    <xf numFmtId="0" fontId="20" fillId="0" borderId="0" xfId="32" applyFont="1" applyAlignment="1">
      <alignment horizontal="center" vertical="center" wrapText="1"/>
    </xf>
    <xf numFmtId="0" fontId="34" fillId="0" borderId="0" xfId="32" applyFont="1" applyAlignment="1">
      <alignment vertical="center" wrapText="1"/>
    </xf>
    <xf numFmtId="0" fontId="19" fillId="0" borderId="0" xfId="32" applyFont="1" applyAlignment="1">
      <alignment horizontal="center" vertical="center" wrapText="1"/>
    </xf>
    <xf numFmtId="171" fontId="40" fillId="0" borderId="0" xfId="32" applyNumberFormat="1" applyFont="1" applyAlignment="1">
      <alignment vertical="center" wrapText="1"/>
    </xf>
    <xf numFmtId="0" fontId="68" fillId="0" borderId="0" xfId="0" applyFont="1" applyAlignment="1">
      <alignment vertical="center"/>
    </xf>
    <xf numFmtId="2" fontId="40" fillId="0" borderId="0" xfId="32" applyNumberFormat="1" applyFont="1" applyAlignment="1">
      <alignment vertical="center" wrapText="1"/>
    </xf>
    <xf numFmtId="171" fontId="40" fillId="0" borderId="0" xfId="0" applyNumberFormat="1" applyFont="1" applyAlignment="1">
      <alignment horizontal="center" vertical="center" wrapText="1"/>
    </xf>
    <xf numFmtId="171" fontId="40" fillId="0" borderId="0" xfId="32" applyNumberFormat="1" applyFont="1" applyAlignment="1">
      <alignment horizontal="center" vertical="center" wrapText="1"/>
    </xf>
    <xf numFmtId="171" fontId="41" fillId="0" borderId="0" xfId="32" applyNumberFormat="1" applyFont="1" applyAlignment="1">
      <alignment horizontal="center" vertical="center" wrapText="1"/>
    </xf>
    <xf numFmtId="16" fontId="40" fillId="0" borderId="0" xfId="32" applyNumberFormat="1" applyFont="1" applyAlignment="1">
      <alignment horizontal="center" vertical="center"/>
    </xf>
    <xf numFmtId="0" fontId="40" fillId="0" borderId="0" xfId="0" applyFont="1" applyAlignment="1">
      <alignment vertical="center" wrapText="1"/>
    </xf>
    <xf numFmtId="3" fontId="40" fillId="0" borderId="0" xfId="0" applyNumberFormat="1" applyFont="1" applyAlignment="1">
      <alignment horizontal="center" vertical="center"/>
    </xf>
    <xf numFmtId="182" fontId="74" fillId="0" borderId="0" xfId="0" applyNumberFormat="1" applyFont="1" applyAlignment="1">
      <alignment vertical="center"/>
    </xf>
    <xf numFmtId="16" fontId="41" fillId="0" borderId="0" xfId="32" applyNumberFormat="1" applyFont="1" applyAlignment="1">
      <alignment horizontal="center" vertical="center"/>
    </xf>
    <xf numFmtId="3" fontId="41" fillId="0" borderId="0" xfId="0" applyNumberFormat="1" applyFont="1" applyAlignment="1" applyProtection="1">
      <alignment horizontal="center" vertical="center"/>
      <protection locked="0"/>
    </xf>
    <xf numFmtId="49" fontId="40" fillId="0" borderId="0" xfId="0" applyNumberFormat="1" applyFont="1" applyAlignment="1">
      <alignment horizontal="center" vertical="center" wrapText="1"/>
    </xf>
    <xf numFmtId="0" fontId="40" fillId="0" borderId="0" xfId="0" applyFont="1" applyAlignment="1">
      <alignment horizontal="left" vertical="center" wrapText="1"/>
    </xf>
    <xf numFmtId="0" fontId="41" fillId="0" borderId="0" xfId="0" applyFont="1" applyAlignment="1">
      <alignment horizontal="center" vertical="center" wrapText="1"/>
    </xf>
    <xf numFmtId="0" fontId="42" fillId="0" borderId="0" xfId="0" applyFont="1" applyAlignment="1">
      <alignment horizontal="right" vertical="center" wrapText="1"/>
    </xf>
    <xf numFmtId="0" fontId="42" fillId="0" borderId="0" xfId="0" applyFont="1" applyAlignment="1">
      <alignment horizontal="right" vertical="center"/>
    </xf>
    <xf numFmtId="0" fontId="41" fillId="0" borderId="0" xfId="0" applyFont="1" applyAlignment="1">
      <alignment horizontal="right" vertical="center" wrapText="1"/>
    </xf>
    <xf numFmtId="3" fontId="41" fillId="0" borderId="0" xfId="0" applyNumberFormat="1" applyFont="1" applyAlignment="1">
      <alignment horizontal="right" vertical="center"/>
    </xf>
    <xf numFmtId="176" fontId="41" fillId="0" borderId="0" xfId="0" applyNumberFormat="1" applyFont="1" applyAlignment="1" applyProtection="1">
      <alignment horizontal="right" vertical="center"/>
      <protection locked="0"/>
    </xf>
    <xf numFmtId="3" fontId="41" fillId="0" borderId="0" xfId="0" applyNumberFormat="1" applyFont="1" applyAlignment="1" applyProtection="1">
      <alignment horizontal="right" vertical="center"/>
      <protection locked="0"/>
    </xf>
    <xf numFmtId="0" fontId="41" fillId="0" borderId="0" xfId="0" applyFont="1" applyAlignment="1">
      <alignment horizontal="left" vertical="center"/>
    </xf>
    <xf numFmtId="3" fontId="141" fillId="0" borderId="0" xfId="0" applyNumberFormat="1" applyFont="1" applyAlignment="1">
      <alignment horizontal="center" vertical="center"/>
    </xf>
    <xf numFmtId="0" fontId="42" fillId="0" borderId="0" xfId="0" applyFont="1" applyAlignment="1">
      <alignment horizontal="center" vertical="center" wrapText="1"/>
    </xf>
    <xf numFmtId="173" fontId="41" fillId="0" borderId="0" xfId="51" applyNumberFormat="1" applyFont="1" applyFill="1" applyBorder="1" applyAlignment="1" applyProtection="1">
      <alignment horizontal="center" vertical="center"/>
    </xf>
    <xf numFmtId="173" fontId="40" fillId="0" borderId="0" xfId="51" applyNumberFormat="1" applyFont="1" applyFill="1" applyBorder="1" applyAlignment="1" applyProtection="1">
      <alignment horizontal="center" vertical="center"/>
    </xf>
    <xf numFmtId="49" fontId="41" fillId="0" borderId="0" xfId="32" applyNumberFormat="1" applyFont="1" applyAlignment="1">
      <alignment horizontal="center" vertical="center" wrapText="1"/>
    </xf>
    <xf numFmtId="49" fontId="41" fillId="0" borderId="0" xfId="0" applyNumberFormat="1" applyFont="1" applyAlignment="1">
      <alignment vertical="center" wrapText="1"/>
    </xf>
    <xf numFmtId="3" fontId="95" fillId="0" borderId="0" xfId="0" applyNumberFormat="1" applyFont="1" applyAlignment="1">
      <alignment horizontal="center" vertical="center"/>
    </xf>
    <xf numFmtId="3" fontId="95" fillId="0" borderId="0" xfId="0" applyNumberFormat="1" applyFont="1" applyAlignment="1" applyProtection="1">
      <alignment horizontal="center" vertical="center"/>
      <protection locked="0"/>
    </xf>
    <xf numFmtId="3" fontId="40" fillId="0" borderId="0" xfId="0" applyNumberFormat="1" applyFont="1" applyAlignment="1" applyProtection="1">
      <alignment horizontal="center" vertical="center"/>
      <protection locked="0"/>
    </xf>
    <xf numFmtId="1" fontId="21" fillId="0" borderId="0" xfId="80" applyNumberFormat="1" applyFont="1" applyAlignment="1">
      <alignment vertical="center"/>
    </xf>
    <xf numFmtId="1" fontId="57" fillId="0" borderId="0" xfId="80" applyNumberFormat="1" applyFont="1" applyAlignment="1">
      <alignment vertical="center"/>
    </xf>
    <xf numFmtId="3" fontId="173" fillId="0" borderId="0" xfId="0" applyNumberFormat="1" applyFont="1" applyAlignment="1" applyProtection="1">
      <alignment horizontal="center" vertical="center"/>
      <protection locked="0"/>
    </xf>
    <xf numFmtId="3" fontId="42" fillId="0" borderId="0" xfId="0" applyNumberFormat="1" applyFont="1" applyAlignment="1" applyProtection="1">
      <alignment horizontal="center" vertical="center"/>
      <protection locked="0"/>
    </xf>
    <xf numFmtId="0" fontId="40" fillId="0" borderId="0" xfId="32" applyFont="1" applyAlignment="1">
      <alignment horizontal="left" vertical="center" wrapText="1"/>
    </xf>
    <xf numFmtId="4" fontId="40" fillId="0" borderId="0" xfId="0" applyNumberFormat="1" applyFont="1" applyAlignment="1">
      <alignment horizontal="center" vertical="center"/>
    </xf>
    <xf numFmtId="4" fontId="95" fillId="0" borderId="0" xfId="0" applyNumberFormat="1" applyFont="1" applyAlignment="1">
      <alignment horizontal="center" vertical="center"/>
    </xf>
    <xf numFmtId="4" fontId="105" fillId="0" borderId="0" xfId="0" applyNumberFormat="1" applyFont="1" applyAlignment="1">
      <alignment horizontal="center" vertical="center"/>
    </xf>
    <xf numFmtId="0" fontId="42" fillId="0" borderId="0" xfId="32" applyFont="1" applyAlignment="1">
      <alignment horizontal="right" vertical="center" wrapText="1"/>
    </xf>
    <xf numFmtId="4" fontId="41" fillId="0" borderId="0" xfId="0" applyNumberFormat="1" applyFont="1" applyAlignment="1">
      <alignment horizontal="center" vertical="center"/>
    </xf>
    <xf numFmtId="10" fontId="41" fillId="0" borderId="0" xfId="70" applyNumberFormat="1" applyFont="1" applyFill="1" applyBorder="1" applyAlignment="1" applyProtection="1">
      <alignment horizontal="center" vertical="center"/>
    </xf>
    <xf numFmtId="49" fontId="41" fillId="0" borderId="0" xfId="32" applyNumberFormat="1" applyFont="1" applyAlignment="1">
      <alignment vertical="center" wrapText="1"/>
    </xf>
    <xf numFmtId="9" fontId="40" fillId="0" borderId="0" xfId="51" applyFont="1" applyFill="1" applyBorder="1" applyAlignment="1" applyProtection="1">
      <alignment horizontal="center" vertical="center"/>
    </xf>
    <xf numFmtId="0" fontId="41" fillId="0" borderId="0" xfId="32" applyFont="1" applyAlignment="1">
      <alignment horizontal="left" vertical="center" wrapText="1"/>
    </xf>
    <xf numFmtId="0" fontId="27" fillId="0" borderId="0" xfId="32" applyAlignment="1">
      <alignment horizontal="center" vertical="center"/>
    </xf>
    <xf numFmtId="4" fontId="68" fillId="0" borderId="0" xfId="0" applyNumberFormat="1" applyFont="1" applyAlignment="1">
      <alignment horizontal="center" vertical="center"/>
    </xf>
    <xf numFmtId="3" fontId="0" fillId="0" borderId="0" xfId="0" applyNumberFormat="1" applyAlignment="1">
      <alignment vertical="center"/>
    </xf>
    <xf numFmtId="4" fontId="0" fillId="0" borderId="0" xfId="0" applyNumberFormat="1" applyAlignment="1">
      <alignment horizontal="center" vertical="center"/>
    </xf>
    <xf numFmtId="4" fontId="0" fillId="0" borderId="0" xfId="0" applyNumberFormat="1" applyAlignment="1">
      <alignment vertical="center"/>
    </xf>
    <xf numFmtId="3" fontId="68" fillId="0" borderId="0" xfId="0" applyNumberFormat="1" applyFont="1" applyAlignment="1">
      <alignment vertical="center"/>
    </xf>
    <xf numFmtId="14" fontId="40" fillId="0" borderId="0" xfId="32" applyNumberFormat="1" applyFont="1" applyAlignment="1">
      <alignment horizontal="center" vertical="center"/>
    </xf>
    <xf numFmtId="14" fontId="40" fillId="0" borderId="0" xfId="32" applyNumberFormat="1" applyFont="1" applyAlignment="1">
      <alignment vertical="center"/>
    </xf>
    <xf numFmtId="14" fontId="136" fillId="0" borderId="0" xfId="0" applyNumberFormat="1" applyFont="1" applyAlignment="1">
      <alignment vertical="center"/>
    </xf>
    <xf numFmtId="0" fontId="136" fillId="0" borderId="0" xfId="0" applyFont="1" applyAlignment="1">
      <alignment vertical="center"/>
    </xf>
    <xf numFmtId="0" fontId="137" fillId="0" borderId="0" xfId="0" applyFont="1" applyAlignment="1">
      <alignment vertical="center"/>
    </xf>
    <xf numFmtId="0" fontId="136" fillId="0" borderId="0" xfId="0" applyFont="1" applyAlignment="1">
      <alignment horizontal="right" vertical="center"/>
    </xf>
    <xf numFmtId="0" fontId="137" fillId="0" borderId="0" xfId="0" applyFont="1" applyAlignment="1">
      <alignment horizontal="center" vertical="center"/>
    </xf>
    <xf numFmtId="10" fontId="0" fillId="0" borderId="0" xfId="0" applyNumberFormat="1" applyAlignment="1">
      <alignment vertical="center"/>
    </xf>
    <xf numFmtId="0" fontId="27" fillId="0" borderId="0" xfId="32" applyAlignment="1">
      <alignment horizontal="right" vertical="center"/>
    </xf>
    <xf numFmtId="0" fontId="78" fillId="0" borderId="0" xfId="0" applyFont="1" applyAlignment="1">
      <alignment vertical="center"/>
    </xf>
    <xf numFmtId="0" fontId="140" fillId="0" borderId="0" xfId="0" applyFont="1" applyAlignment="1">
      <alignment horizontal="center" vertical="center"/>
    </xf>
    <xf numFmtId="0" fontId="21" fillId="0" borderId="0" xfId="32" applyFont="1" applyAlignment="1">
      <alignment vertical="center"/>
    </xf>
    <xf numFmtId="1" fontId="68" fillId="0" borderId="0" xfId="0" applyNumberFormat="1" applyFont="1" applyAlignment="1">
      <alignment vertical="center"/>
    </xf>
    <xf numFmtId="0" fontId="88" fillId="0" borderId="0" xfId="0" applyFont="1" applyAlignment="1">
      <alignment vertical="center"/>
    </xf>
    <xf numFmtId="10" fontId="68" fillId="0" borderId="0" xfId="0" applyNumberFormat="1" applyFont="1" applyAlignment="1">
      <alignment vertical="center"/>
    </xf>
    <xf numFmtId="10" fontId="40" fillId="0" borderId="0" xfId="1" applyNumberFormat="1" applyFont="1" applyFill="1" applyBorder="1" applyAlignment="1" applyProtection="1">
      <alignment horizontal="center" vertical="center"/>
    </xf>
    <xf numFmtId="177" fontId="0" fillId="0" borderId="0" xfId="0" applyNumberFormat="1" applyAlignment="1">
      <alignment vertical="center"/>
    </xf>
    <xf numFmtId="10" fontId="14" fillId="0" borderId="0" xfId="0" applyNumberFormat="1" applyFont="1" applyAlignment="1">
      <alignment vertical="center"/>
    </xf>
    <xf numFmtId="0" fontId="15" fillId="0" borderId="0" xfId="0" applyFont="1" applyAlignment="1">
      <alignment horizontal="center" vertical="center"/>
    </xf>
    <xf numFmtId="0" fontId="19" fillId="0" borderId="0" xfId="0" applyFont="1" applyAlignment="1">
      <alignment horizontal="center" vertical="center"/>
    </xf>
    <xf numFmtId="49" fontId="70" fillId="3" borderId="24" xfId="32" applyNumberFormat="1" applyFont="1" applyFill="1" applyBorder="1" applyAlignment="1" applyProtection="1">
      <alignment horizontal="left" vertical="center"/>
      <protection locked="0"/>
    </xf>
    <xf numFmtId="49" fontId="70" fillId="3" borderId="15" xfId="32" applyNumberFormat="1" applyFont="1" applyFill="1" applyBorder="1" applyAlignment="1" applyProtection="1">
      <alignment horizontal="left" vertical="center"/>
      <protection locked="0"/>
    </xf>
    <xf numFmtId="49" fontId="77" fillId="0" borderId="0" xfId="32" applyNumberFormat="1" applyFont="1" applyAlignment="1">
      <alignment horizontal="center" vertical="center"/>
    </xf>
    <xf numFmtId="0" fontId="69" fillId="0" borderId="0" xfId="32" applyFont="1" applyAlignment="1">
      <alignment horizontal="center" vertical="center"/>
    </xf>
    <xf numFmtId="49" fontId="69" fillId="37" borderId="35" xfId="32" applyNumberFormat="1" applyFont="1" applyFill="1" applyBorder="1" applyAlignment="1">
      <alignment horizontal="center" vertical="center"/>
    </xf>
    <xf numFmtId="49" fontId="69" fillId="37" borderId="34" xfId="32" applyNumberFormat="1" applyFont="1" applyFill="1" applyBorder="1" applyAlignment="1">
      <alignment horizontal="center" vertical="center"/>
    </xf>
    <xf numFmtId="0" fontId="69" fillId="37" borderId="29" xfId="32" applyFont="1" applyFill="1" applyBorder="1" applyAlignment="1">
      <alignment horizontal="center" vertical="center"/>
    </xf>
    <xf numFmtId="0" fontId="69" fillId="37" borderId="22" xfId="32" applyFont="1" applyFill="1" applyBorder="1" applyAlignment="1">
      <alignment horizontal="center" vertical="center"/>
    </xf>
    <xf numFmtId="0" fontId="69" fillId="37" borderId="14" xfId="32" applyFont="1" applyFill="1" applyBorder="1" applyAlignment="1">
      <alignment horizontal="center" vertical="center"/>
    </xf>
    <xf numFmtId="0" fontId="71" fillId="37" borderId="30" xfId="32" applyFont="1" applyFill="1" applyBorder="1" applyAlignment="1">
      <alignment horizontal="center" vertical="center"/>
    </xf>
    <xf numFmtId="0" fontId="71" fillId="37" borderId="19" xfId="32" applyFont="1" applyFill="1" applyBorder="1" applyAlignment="1">
      <alignment horizontal="center" vertical="center"/>
    </xf>
    <xf numFmtId="49" fontId="70" fillId="3" borderId="29" xfId="32" applyNumberFormat="1" applyFont="1" applyFill="1" applyBorder="1" applyAlignment="1" applyProtection="1">
      <alignment horizontal="left" vertical="center"/>
      <protection locked="0"/>
    </xf>
    <xf numFmtId="49" fontId="70" fillId="3" borderId="14" xfId="32" applyNumberFormat="1" applyFont="1" applyFill="1" applyBorder="1" applyAlignment="1" applyProtection="1">
      <alignment horizontal="left" vertical="center"/>
      <protection locked="0"/>
    </xf>
    <xf numFmtId="49" fontId="69" fillId="20" borderId="35" xfId="32" applyNumberFormat="1" applyFont="1" applyFill="1" applyBorder="1" applyAlignment="1">
      <alignment horizontal="left" vertical="center"/>
    </xf>
    <xf numFmtId="49" fontId="69" fillId="20" borderId="26" xfId="32" applyNumberFormat="1" applyFont="1" applyFill="1" applyBorder="1" applyAlignment="1">
      <alignment horizontal="left" vertical="center"/>
    </xf>
    <xf numFmtId="49" fontId="69" fillId="20" borderId="34" xfId="32" applyNumberFormat="1" applyFont="1" applyFill="1" applyBorder="1" applyAlignment="1">
      <alignment horizontal="left" vertical="center"/>
    </xf>
    <xf numFmtId="0" fontId="69" fillId="20" borderId="40" xfId="32" applyFont="1" applyFill="1" applyBorder="1" applyAlignment="1">
      <alignment horizontal="right" vertical="center"/>
    </xf>
    <xf numFmtId="0" fontId="69" fillId="20" borderId="27" xfId="32" applyFont="1" applyFill="1" applyBorder="1" applyAlignment="1">
      <alignment horizontal="right" vertical="center"/>
    </xf>
    <xf numFmtId="0" fontId="69" fillId="20" borderId="42" xfId="32" applyFont="1" applyFill="1" applyBorder="1" applyAlignment="1">
      <alignment horizontal="right" vertical="center"/>
    </xf>
    <xf numFmtId="0" fontId="72" fillId="26" borderId="29" xfId="32" applyFont="1" applyFill="1" applyBorder="1" applyAlignment="1">
      <alignment horizontal="center" vertical="center"/>
    </xf>
    <xf numFmtId="0" fontId="72" fillId="26" borderId="14" xfId="32" applyFont="1" applyFill="1" applyBorder="1" applyAlignment="1">
      <alignment horizontal="center" vertical="center"/>
    </xf>
    <xf numFmtId="0" fontId="72" fillId="26" borderId="24" xfId="32" applyFont="1" applyFill="1" applyBorder="1" applyAlignment="1">
      <alignment horizontal="center" vertical="center"/>
    </xf>
    <xf numFmtId="0" fontId="72" fillId="26" borderId="15" xfId="32" applyFont="1" applyFill="1" applyBorder="1" applyAlignment="1">
      <alignment horizontal="center" vertical="center"/>
    </xf>
    <xf numFmtId="49" fontId="70" fillId="0" borderId="36" xfId="32" applyNumberFormat="1" applyFont="1" applyBorder="1" applyAlignment="1">
      <alignment horizontal="left" vertical="center"/>
    </xf>
    <xf numFmtId="49" fontId="70" fillId="0" borderId="18" xfId="32" applyNumberFormat="1" applyFont="1" applyBorder="1" applyAlignment="1">
      <alignment horizontal="left" vertical="center"/>
    </xf>
    <xf numFmtId="0" fontId="171" fillId="26" borderId="1" xfId="32" applyFont="1" applyFill="1" applyBorder="1" applyAlignment="1">
      <alignment horizontal="center" vertical="center"/>
    </xf>
    <xf numFmtId="0" fontId="171" fillId="26" borderId="3" xfId="32" applyFont="1" applyFill="1" applyBorder="1" applyAlignment="1">
      <alignment horizontal="center" vertical="center"/>
    </xf>
    <xf numFmtId="0" fontId="72" fillId="26" borderId="30" xfId="32" applyFont="1" applyFill="1" applyBorder="1" applyAlignment="1">
      <alignment horizontal="center" vertical="center"/>
    </xf>
    <xf numFmtId="0" fontId="72" fillId="26" borderId="19" xfId="32" applyFont="1" applyFill="1" applyBorder="1" applyAlignment="1">
      <alignment horizontal="center" vertical="center"/>
    </xf>
    <xf numFmtId="49" fontId="72" fillId="3" borderId="29" xfId="32" applyNumberFormat="1" applyFont="1" applyFill="1" applyBorder="1" applyAlignment="1" applyProtection="1">
      <alignment horizontal="left" vertical="center"/>
      <protection locked="0"/>
    </xf>
    <xf numFmtId="49" fontId="72" fillId="3" borderId="14" xfId="32" applyNumberFormat="1" applyFont="1" applyFill="1" applyBorder="1" applyAlignment="1" applyProtection="1">
      <alignment horizontal="left" vertical="center"/>
      <protection locked="0"/>
    </xf>
    <xf numFmtId="0" fontId="86" fillId="0" borderId="24" xfId="2" applyNumberFormat="1" applyFont="1" applyFill="1" applyBorder="1" applyAlignment="1" applyProtection="1">
      <alignment horizontal="left" vertical="center" wrapText="1"/>
    </xf>
    <xf numFmtId="0" fontId="86" fillId="0" borderId="15" xfId="2" applyNumberFormat="1" applyFont="1" applyFill="1" applyBorder="1" applyAlignment="1" applyProtection="1">
      <alignment horizontal="left" vertical="center" wrapText="1"/>
    </xf>
    <xf numFmtId="49" fontId="69" fillId="20" borderId="39" xfId="32" applyNumberFormat="1" applyFont="1" applyFill="1" applyBorder="1" applyAlignment="1">
      <alignment horizontal="center" vertical="center"/>
    </xf>
    <xf numFmtId="49" fontId="69" fillId="20" borderId="26" xfId="32" applyNumberFormat="1" applyFont="1" applyFill="1" applyBorder="1" applyAlignment="1">
      <alignment horizontal="center" vertical="center"/>
    </xf>
    <xf numFmtId="49" fontId="69" fillId="20" borderId="5" xfId="32" applyNumberFormat="1" applyFont="1" applyFill="1" applyBorder="1" applyAlignment="1">
      <alignment horizontal="center" vertical="center"/>
    </xf>
    <xf numFmtId="49" fontId="34" fillId="3" borderId="29" xfId="0" applyNumberFormat="1" applyFont="1" applyFill="1" applyBorder="1" applyAlignment="1" applyProtection="1">
      <alignment horizontal="left" vertical="center"/>
      <protection locked="0"/>
    </xf>
    <xf numFmtId="49" fontId="34" fillId="3" borderId="14" xfId="0" applyNumberFormat="1" applyFont="1" applyFill="1" applyBorder="1" applyAlignment="1" applyProtection="1">
      <alignment horizontal="left" vertical="center"/>
      <protection locked="0"/>
    </xf>
    <xf numFmtId="49" fontId="33" fillId="3" borderId="24" xfId="0" applyNumberFormat="1" applyFont="1" applyFill="1" applyBorder="1" applyAlignment="1" applyProtection="1">
      <alignment horizontal="left" vertical="center"/>
      <protection locked="0"/>
    </xf>
    <xf numFmtId="49" fontId="33" fillId="3" borderId="15" xfId="0" applyNumberFormat="1" applyFont="1" applyFill="1" applyBorder="1" applyAlignment="1" applyProtection="1">
      <alignment horizontal="left" vertical="center"/>
      <protection locked="0"/>
    </xf>
    <xf numFmtId="49" fontId="172" fillId="3" borderId="24" xfId="2" applyNumberFormat="1" applyFont="1" applyFill="1" applyBorder="1" applyAlignment="1" applyProtection="1">
      <alignment horizontal="left" vertical="center"/>
      <protection locked="0"/>
    </xf>
    <xf numFmtId="49" fontId="172" fillId="3" borderId="15" xfId="2" applyNumberFormat="1" applyFont="1" applyFill="1" applyBorder="1" applyAlignment="1" applyProtection="1">
      <alignment horizontal="left" vertical="center"/>
      <protection locked="0"/>
    </xf>
    <xf numFmtId="0" fontId="70" fillId="20" borderId="39" xfId="32" applyFont="1" applyFill="1" applyBorder="1" applyAlignment="1">
      <alignment horizontal="right" vertical="center"/>
    </xf>
    <xf numFmtId="0" fontId="70" fillId="20" borderId="26" xfId="32" applyFont="1" applyFill="1" applyBorder="1" applyAlignment="1">
      <alignment horizontal="right" vertical="center"/>
    </xf>
    <xf numFmtId="0" fontId="70" fillId="20" borderId="5" xfId="32" applyFont="1" applyFill="1" applyBorder="1" applyAlignment="1">
      <alignment horizontal="right" vertical="center"/>
    </xf>
    <xf numFmtId="49" fontId="69" fillId="20" borderId="39" xfId="32" applyNumberFormat="1" applyFont="1" applyFill="1" applyBorder="1" applyAlignment="1">
      <alignment horizontal="left" vertical="center"/>
    </xf>
    <xf numFmtId="0" fontId="69" fillId="0" borderId="23" xfId="32" applyFont="1" applyBorder="1" applyAlignment="1">
      <alignment horizontal="left" vertical="center" wrapText="1"/>
    </xf>
    <xf numFmtId="0" fontId="69" fillId="0" borderId="15" xfId="32" applyFont="1" applyBorder="1" applyAlignment="1">
      <alignment horizontal="left" vertical="center" wrapText="1"/>
    </xf>
    <xf numFmtId="0" fontId="109" fillId="0" borderId="24" xfId="2" applyFont="1" applyBorder="1" applyAlignment="1" applyProtection="1">
      <alignment horizontal="left" wrapText="1"/>
    </xf>
    <xf numFmtId="0" fontId="109" fillId="0" borderId="15" xfId="2" applyFont="1" applyBorder="1" applyAlignment="1" applyProtection="1">
      <alignment horizontal="left" wrapText="1"/>
    </xf>
    <xf numFmtId="0" fontId="109" fillId="0" borderId="24" xfId="2" applyNumberFormat="1" applyFont="1" applyFill="1" applyBorder="1" applyAlignment="1" applyProtection="1">
      <alignment horizontal="left" vertical="center" wrapText="1"/>
    </xf>
    <xf numFmtId="0" fontId="109" fillId="0" borderId="15" xfId="2" applyNumberFormat="1" applyFont="1" applyFill="1" applyBorder="1" applyAlignment="1" applyProtection="1">
      <alignment horizontal="left" vertical="center" wrapText="1"/>
    </xf>
    <xf numFmtId="49" fontId="172" fillId="3" borderId="30" xfId="2" applyNumberFormat="1" applyFont="1" applyFill="1" applyBorder="1" applyAlignment="1" applyProtection="1">
      <alignment horizontal="left" vertical="center"/>
      <protection locked="0"/>
    </xf>
    <xf numFmtId="49" fontId="172" fillId="3" borderId="19" xfId="2" applyNumberFormat="1" applyFont="1" applyFill="1" applyBorder="1" applyAlignment="1" applyProtection="1">
      <alignment horizontal="left" vertical="center"/>
      <protection locked="0"/>
    </xf>
    <xf numFmtId="0" fontId="20" fillId="0" borderId="0" xfId="32" applyFont="1" applyAlignment="1">
      <alignment horizontal="left" wrapText="1"/>
    </xf>
    <xf numFmtId="49" fontId="70" fillId="0" borderId="23" xfId="32" applyNumberFormat="1" applyFont="1" applyBorder="1" applyAlignment="1">
      <alignment horizontal="left" vertical="center" wrapText="1"/>
    </xf>
    <xf numFmtId="49" fontId="70" fillId="0" borderId="15" xfId="32" applyNumberFormat="1" applyFont="1" applyBorder="1" applyAlignment="1">
      <alignment horizontal="left" vertical="center" wrapText="1"/>
    </xf>
    <xf numFmtId="0" fontId="109" fillId="0" borderId="24" xfId="2" applyFont="1" applyBorder="1" applyAlignment="1" applyProtection="1">
      <alignment horizontal="left" vertical="center" wrapText="1"/>
    </xf>
    <xf numFmtId="0" fontId="109" fillId="0" borderId="15" xfId="2" applyFont="1" applyBorder="1" applyAlignment="1" applyProtection="1">
      <alignment horizontal="left" vertical="center" wrapText="1"/>
    </xf>
    <xf numFmtId="1" fontId="34" fillId="26" borderId="24" xfId="31" applyNumberFormat="1" applyFont="1" applyFill="1" applyBorder="1" applyAlignment="1">
      <alignment horizontal="left" vertical="center"/>
    </xf>
    <xf numFmtId="1" fontId="34" fillId="26" borderId="15" xfId="31" applyNumberFormat="1" applyFont="1" applyFill="1" applyBorder="1" applyAlignment="1">
      <alignment horizontal="left" vertical="center"/>
    </xf>
    <xf numFmtId="0" fontId="32" fillId="27" borderId="1" xfId="0" applyFont="1" applyFill="1" applyBorder="1" applyAlignment="1">
      <alignment horizontal="center" vertical="center"/>
    </xf>
    <xf numFmtId="0" fontId="32" fillId="27" borderId="3" xfId="0" applyFont="1" applyFill="1" applyBorder="1" applyAlignment="1">
      <alignment horizontal="center" vertical="center"/>
    </xf>
    <xf numFmtId="49" fontId="34" fillId="3" borderId="24" xfId="0" applyNumberFormat="1" applyFont="1" applyFill="1" applyBorder="1" applyAlignment="1" applyProtection="1">
      <alignment horizontal="left" vertical="center"/>
      <protection locked="0"/>
    </xf>
    <xf numFmtId="49" fontId="34" fillId="3" borderId="15" xfId="0" applyNumberFormat="1" applyFont="1" applyFill="1" applyBorder="1" applyAlignment="1" applyProtection="1">
      <alignment horizontal="left" vertical="center"/>
      <protection locked="0"/>
    </xf>
    <xf numFmtId="0" fontId="32" fillId="27" borderId="1" xfId="31" applyFont="1" applyFill="1" applyBorder="1" applyAlignment="1">
      <alignment horizontal="left" vertical="center"/>
    </xf>
    <xf numFmtId="0" fontId="32" fillId="27" borderId="3" xfId="31" applyFont="1" applyFill="1" applyBorder="1" applyAlignment="1">
      <alignment horizontal="left" vertical="center"/>
    </xf>
    <xf numFmtId="49" fontId="34" fillId="26" borderId="29" xfId="31" applyNumberFormat="1" applyFont="1" applyFill="1" applyBorder="1" applyAlignment="1">
      <alignment horizontal="left" vertical="center"/>
    </xf>
    <xf numFmtId="49" fontId="34" fillId="26" borderId="14" xfId="31" applyNumberFormat="1" applyFont="1" applyFill="1" applyBorder="1" applyAlignment="1">
      <alignment horizontal="left" vertical="center"/>
    </xf>
    <xf numFmtId="49" fontId="34" fillId="3" borderId="30" xfId="0" applyNumberFormat="1" applyFont="1" applyFill="1" applyBorder="1" applyAlignment="1" applyProtection="1">
      <alignment horizontal="left" vertical="center" wrapText="1"/>
      <protection locked="0"/>
    </xf>
    <xf numFmtId="49" fontId="34" fillId="3" borderId="19" xfId="0" applyNumberFormat="1" applyFont="1" applyFill="1" applyBorder="1" applyAlignment="1" applyProtection="1">
      <alignment horizontal="left" vertical="center"/>
      <protection locked="0"/>
    </xf>
    <xf numFmtId="49" fontId="15" fillId="27" borderId="0" xfId="0" applyNumberFormat="1" applyFont="1" applyFill="1" applyAlignment="1">
      <alignment horizontal="center" vertical="center" wrapText="1"/>
    </xf>
    <xf numFmtId="49" fontId="15" fillId="27" borderId="0" xfId="0" applyNumberFormat="1" applyFont="1" applyFill="1" applyAlignment="1">
      <alignment horizontal="center" vertical="center"/>
    </xf>
    <xf numFmtId="0" fontId="20" fillId="27" borderId="0" xfId="0" applyFont="1" applyFill="1" applyAlignment="1">
      <alignment horizontal="center" vertical="center"/>
    </xf>
    <xf numFmtId="49" fontId="20" fillId="37" borderId="35" xfId="0" applyNumberFormat="1" applyFont="1" applyFill="1" applyBorder="1" applyAlignment="1">
      <alignment horizontal="center" vertical="center"/>
    </xf>
    <xf numFmtId="49" fontId="20" fillId="37" borderId="34" xfId="0" applyNumberFormat="1" applyFont="1" applyFill="1" applyBorder="1" applyAlignment="1">
      <alignment horizontal="center" vertical="center"/>
    </xf>
    <xf numFmtId="0" fontId="20" fillId="37" borderId="29" xfId="0" applyFont="1" applyFill="1" applyBorder="1" applyAlignment="1">
      <alignment horizontal="center" vertical="center"/>
    </xf>
    <xf numFmtId="0" fontId="20" fillId="37" borderId="22" xfId="0" applyFont="1" applyFill="1" applyBorder="1" applyAlignment="1">
      <alignment horizontal="center" vertical="center"/>
    </xf>
    <xf numFmtId="0" fontId="20" fillId="37" borderId="14" xfId="0" applyFont="1" applyFill="1" applyBorder="1" applyAlignment="1">
      <alignment horizontal="center" vertical="center"/>
    </xf>
    <xf numFmtId="0" fontId="32" fillId="37" borderId="30" xfId="0" applyFont="1" applyFill="1" applyBorder="1" applyAlignment="1">
      <alignment horizontal="center" vertical="center"/>
    </xf>
    <xf numFmtId="0" fontId="32" fillId="37" borderId="19" xfId="0" applyFont="1" applyFill="1" applyBorder="1" applyAlignment="1">
      <alignment horizontal="center" vertical="center"/>
    </xf>
    <xf numFmtId="0" fontId="42" fillId="27" borderId="0" xfId="0" applyFont="1" applyFill="1" applyAlignment="1">
      <alignment vertical="top" wrapText="1"/>
    </xf>
    <xf numFmtId="49" fontId="34" fillId="28" borderId="30" xfId="31" applyNumberFormat="1" applyFont="1" applyFill="1" applyBorder="1" applyAlignment="1" applyProtection="1">
      <alignment horizontal="center" vertical="center"/>
      <protection locked="0"/>
    </xf>
    <xf numFmtId="49" fontId="34" fillId="28" borderId="19" xfId="31" applyNumberFormat="1" applyFont="1" applyFill="1" applyBorder="1" applyAlignment="1" applyProtection="1">
      <alignment horizontal="center" vertical="center"/>
      <protection locked="0"/>
    </xf>
    <xf numFmtId="49" fontId="34" fillId="28" borderId="29" xfId="31" applyNumberFormat="1" applyFont="1" applyFill="1" applyBorder="1" applyAlignment="1" applyProtection="1">
      <alignment horizontal="center" vertical="center"/>
      <protection locked="0"/>
    </xf>
    <xf numFmtId="49" fontId="34" fillId="28" borderId="14" xfId="31" applyNumberFormat="1" applyFont="1" applyFill="1" applyBorder="1" applyAlignment="1" applyProtection="1">
      <alignment horizontal="center" vertical="center"/>
      <protection locked="0"/>
    </xf>
    <xf numFmtId="49" fontId="34" fillId="28" borderId="24" xfId="31" applyNumberFormat="1" applyFont="1" applyFill="1" applyBorder="1" applyAlignment="1" applyProtection="1">
      <alignment horizontal="center" vertical="center"/>
      <protection locked="0"/>
    </xf>
    <xf numFmtId="49" fontId="34" fillId="28" borderId="15" xfId="31" applyNumberFormat="1" applyFont="1" applyFill="1" applyBorder="1" applyAlignment="1" applyProtection="1">
      <alignment horizontal="center" vertical="center"/>
      <protection locked="0"/>
    </xf>
    <xf numFmtId="180" fontId="32" fillId="27" borderId="40" xfId="31" applyNumberFormat="1" applyFont="1" applyFill="1" applyBorder="1" applyAlignment="1">
      <alignment horizontal="center" vertical="center"/>
    </xf>
    <xf numFmtId="180" fontId="32" fillId="27" borderId="41" xfId="31" applyNumberFormat="1" applyFont="1" applyFill="1" applyBorder="1" applyAlignment="1">
      <alignment horizontal="center" vertical="center"/>
    </xf>
    <xf numFmtId="0" fontId="21" fillId="27" borderId="42" xfId="0" applyFont="1" applyFill="1" applyBorder="1" applyAlignment="1">
      <alignment horizontal="center"/>
    </xf>
    <xf numFmtId="0" fontId="21" fillId="27" borderId="43" xfId="0" applyFont="1" applyFill="1" applyBorder="1" applyAlignment="1">
      <alignment horizontal="center"/>
    </xf>
    <xf numFmtId="0" fontId="65" fillId="0" borderId="0" xfId="0" applyFont="1" applyAlignment="1">
      <alignment horizontal="right" vertical="center"/>
    </xf>
    <xf numFmtId="0" fontId="21" fillId="37" borderId="51" xfId="0" applyFont="1" applyFill="1" applyBorder="1" applyAlignment="1">
      <alignment horizontal="center" vertical="center" wrapText="1"/>
    </xf>
    <xf numFmtId="0" fontId="21" fillId="37" borderId="39" xfId="0" applyFont="1" applyFill="1" applyBorder="1" applyAlignment="1">
      <alignment horizontal="center" vertical="center" wrapText="1"/>
    </xf>
    <xf numFmtId="0" fontId="21" fillId="37" borderId="76" xfId="0" applyFont="1" applyFill="1" applyBorder="1" applyAlignment="1">
      <alignment horizontal="center" vertical="center" wrapText="1"/>
    </xf>
    <xf numFmtId="0" fontId="21" fillId="37" borderId="55" xfId="0" applyFont="1" applyFill="1" applyBorder="1" applyAlignment="1">
      <alignment horizontal="center" vertical="center" wrapText="1"/>
    </xf>
    <xf numFmtId="0" fontId="21" fillId="37" borderId="72" xfId="0" applyFont="1" applyFill="1" applyBorder="1" applyAlignment="1">
      <alignment horizontal="center" vertical="center" wrapText="1"/>
    </xf>
    <xf numFmtId="0" fontId="21" fillId="37" borderId="69" xfId="0" applyFont="1" applyFill="1" applyBorder="1" applyAlignment="1">
      <alignment horizontal="center" vertical="center" wrapText="1"/>
    </xf>
    <xf numFmtId="0" fontId="21" fillId="37" borderId="38" xfId="0" applyFont="1" applyFill="1" applyBorder="1" applyAlignment="1">
      <alignment horizontal="center" vertical="center" wrapText="1"/>
    </xf>
    <xf numFmtId="0" fontId="21" fillId="37" borderId="9" xfId="0" applyFont="1" applyFill="1" applyBorder="1" applyAlignment="1">
      <alignment horizontal="center" vertical="center" wrapText="1"/>
    </xf>
    <xf numFmtId="0" fontId="21" fillId="37" borderId="10" xfId="0" applyFont="1" applyFill="1" applyBorder="1" applyAlignment="1">
      <alignment horizontal="center" vertical="center" wrapText="1"/>
    </xf>
    <xf numFmtId="0" fontId="12" fillId="0" borderId="35" xfId="31" applyFont="1" applyBorder="1" applyAlignment="1">
      <alignment horizontal="center" vertical="center" wrapText="1"/>
    </xf>
    <xf numFmtId="0" fontId="12" fillId="0" borderId="34" xfId="31" applyFont="1" applyBorder="1" applyAlignment="1">
      <alignment horizontal="center" vertical="center" wrapText="1"/>
    </xf>
    <xf numFmtId="0" fontId="21" fillId="37" borderId="40" xfId="0" applyFont="1" applyFill="1" applyBorder="1" applyAlignment="1">
      <alignment horizontal="center" vertical="center" wrapText="1"/>
    </xf>
    <xf numFmtId="0" fontId="21" fillId="37" borderId="41" xfId="0" applyFont="1" applyFill="1" applyBorder="1" applyAlignment="1">
      <alignment horizontal="center" vertical="center" wrapText="1"/>
    </xf>
    <xf numFmtId="0" fontId="12" fillId="0" borderId="35" xfId="0" applyFont="1" applyBorder="1" applyAlignment="1">
      <alignment horizontal="center" vertical="center" wrapText="1"/>
    </xf>
    <xf numFmtId="0" fontId="12" fillId="0" borderId="26" xfId="0" applyFont="1" applyBorder="1" applyAlignment="1">
      <alignment horizontal="center" vertical="center" wrapText="1"/>
    </xf>
    <xf numFmtId="0" fontId="12" fillId="0" borderId="34" xfId="0" applyFont="1" applyBorder="1" applyAlignment="1">
      <alignment horizontal="center" vertical="center" wrapText="1"/>
    </xf>
    <xf numFmtId="0" fontId="12" fillId="0" borderId="51" xfId="0" applyFont="1" applyBorder="1" applyAlignment="1">
      <alignment horizontal="center" vertical="center" wrapText="1"/>
    </xf>
    <xf numFmtId="0" fontId="12" fillId="0" borderId="17" xfId="0" applyFont="1" applyBorder="1" applyAlignment="1">
      <alignment horizontal="center" vertical="center" wrapText="1"/>
    </xf>
    <xf numFmtId="0" fontId="12" fillId="0" borderId="21" xfId="0" applyFont="1" applyBorder="1" applyAlignment="1">
      <alignment horizontal="center" vertical="center" wrapText="1"/>
    </xf>
    <xf numFmtId="0" fontId="20" fillId="39" borderId="1" xfId="31" applyFont="1" applyFill="1" applyBorder="1" applyAlignment="1">
      <alignment horizontal="center" vertical="center" wrapText="1"/>
    </xf>
    <xf numFmtId="0" fontId="20" fillId="39" borderId="8" xfId="31" applyFont="1" applyFill="1" applyBorder="1" applyAlignment="1">
      <alignment horizontal="center" vertical="center" wrapText="1"/>
    </xf>
    <xf numFmtId="0" fontId="20" fillId="39" borderId="3" xfId="31" applyFont="1" applyFill="1" applyBorder="1" applyAlignment="1">
      <alignment horizontal="center" vertical="center" wrapText="1"/>
    </xf>
    <xf numFmtId="0" fontId="12" fillId="0" borderId="26" xfId="31" applyFont="1" applyBorder="1" applyAlignment="1">
      <alignment horizontal="center" vertical="center" wrapText="1"/>
    </xf>
    <xf numFmtId="0" fontId="21" fillId="37" borderId="35" xfId="0" applyFont="1" applyFill="1" applyBorder="1" applyAlignment="1">
      <alignment horizontal="center" vertical="center" wrapText="1"/>
    </xf>
    <xf numFmtId="0" fontId="21" fillId="37" borderId="34" xfId="0" applyFont="1" applyFill="1" applyBorder="1" applyAlignment="1">
      <alignment horizontal="center" vertical="center" wrapText="1"/>
    </xf>
    <xf numFmtId="0" fontId="15" fillId="0" borderId="0" xfId="0" applyFont="1" applyAlignment="1">
      <alignment horizontal="center" vertical="center" wrapText="1"/>
    </xf>
    <xf numFmtId="0" fontId="20" fillId="0" borderId="0" xfId="0" applyFont="1" applyAlignment="1">
      <alignment horizontal="center" vertical="center" wrapText="1"/>
    </xf>
    <xf numFmtId="0" fontId="21" fillId="22" borderId="154" xfId="0" applyFont="1" applyFill="1" applyBorder="1" applyAlignment="1">
      <alignment horizontal="center" vertical="center" wrapText="1"/>
    </xf>
    <xf numFmtId="0" fontId="168" fillId="0" borderId="154" xfId="0" applyFont="1" applyBorder="1" applyAlignment="1">
      <alignment horizontal="left" vertical="center" wrapText="1"/>
    </xf>
    <xf numFmtId="180" fontId="169" fillId="27" borderId="154" xfId="31" applyNumberFormat="1" applyFont="1" applyFill="1" applyBorder="1" applyAlignment="1">
      <alignment horizontal="center" vertical="center"/>
    </xf>
    <xf numFmtId="0" fontId="13" fillId="0" borderId="0" xfId="0" applyFont="1" applyAlignment="1">
      <alignment horizontal="right" vertical="center"/>
    </xf>
    <xf numFmtId="0" fontId="65" fillId="0" borderId="0" xfId="0" applyFont="1" applyAlignment="1">
      <alignment horizontal="center" vertical="center"/>
    </xf>
    <xf numFmtId="49" fontId="21" fillId="39" borderId="1" xfId="0" applyNumberFormat="1" applyFont="1" applyFill="1" applyBorder="1" applyAlignment="1">
      <alignment horizontal="center" vertical="center"/>
    </xf>
    <xf numFmtId="49" fontId="21" fillId="39" borderId="8" xfId="0" applyNumberFormat="1" applyFont="1" applyFill="1" applyBorder="1" applyAlignment="1">
      <alignment horizontal="center" vertical="center"/>
    </xf>
    <xf numFmtId="49" fontId="21" fillId="39" borderId="3" xfId="0" applyNumberFormat="1" applyFont="1" applyFill="1" applyBorder="1" applyAlignment="1">
      <alignment horizontal="center" vertical="center"/>
    </xf>
    <xf numFmtId="0" fontId="21" fillId="0" borderId="0" xfId="0" applyFont="1" applyAlignment="1">
      <alignment horizontal="center" vertical="center"/>
    </xf>
    <xf numFmtId="0" fontId="57" fillId="27" borderId="0" xfId="52" applyFont="1" applyFill="1" applyAlignment="1">
      <alignment horizontal="center" vertical="center"/>
    </xf>
    <xf numFmtId="0" fontId="84" fillId="26" borderId="0" xfId="0" applyFont="1" applyFill="1" applyAlignment="1">
      <alignment horizontal="left" vertical="center" wrapText="1"/>
    </xf>
    <xf numFmtId="0" fontId="84" fillId="27" borderId="0" xfId="52" applyFont="1" applyFill="1" applyAlignment="1">
      <alignment horizontal="left" vertical="center" wrapText="1"/>
    </xf>
    <xf numFmtId="49" fontId="65" fillId="31" borderId="5" xfId="52" applyNumberFormat="1" applyFont="1" applyFill="1" applyBorder="1" applyAlignment="1">
      <alignment horizontal="center" vertical="center" wrapText="1"/>
    </xf>
    <xf numFmtId="49" fontId="65" fillId="31" borderId="39" xfId="52" applyNumberFormat="1" applyFont="1" applyFill="1" applyBorder="1" applyAlignment="1">
      <alignment horizontal="center" vertical="center" wrapText="1"/>
    </xf>
    <xf numFmtId="0" fontId="65" fillId="31" borderId="51" xfId="52" applyFont="1" applyFill="1" applyBorder="1" applyAlignment="1">
      <alignment horizontal="left" vertical="center"/>
    </xf>
    <xf numFmtId="0" fontId="65" fillId="31" borderId="21" xfId="52" applyFont="1" applyFill="1" applyBorder="1" applyAlignment="1">
      <alignment horizontal="left" vertical="center"/>
    </xf>
    <xf numFmtId="49" fontId="65" fillId="26" borderId="51" xfId="52" applyNumberFormat="1" applyFont="1" applyFill="1" applyBorder="1" applyAlignment="1">
      <alignment horizontal="center" vertical="center" wrapText="1"/>
    </xf>
    <xf numFmtId="49" fontId="65" fillId="26" borderId="17" xfId="52" applyNumberFormat="1" applyFont="1" applyFill="1" applyBorder="1" applyAlignment="1">
      <alignment horizontal="center" vertical="center" wrapText="1"/>
    </xf>
    <xf numFmtId="0" fontId="65" fillId="20" borderId="51" xfId="52" applyFont="1" applyFill="1" applyBorder="1" applyAlignment="1">
      <alignment horizontal="left" vertical="center" wrapText="1"/>
    </xf>
    <xf numFmtId="0" fontId="65" fillId="20" borderId="17" xfId="52" applyFont="1" applyFill="1" applyBorder="1" applyAlignment="1">
      <alignment horizontal="left" vertical="center" wrapText="1"/>
    </xf>
    <xf numFmtId="49" fontId="65" fillId="27" borderId="51" xfId="52" applyNumberFormat="1" applyFont="1" applyFill="1" applyBorder="1" applyAlignment="1">
      <alignment horizontal="center" vertical="center" wrapText="1"/>
    </xf>
    <xf numFmtId="49" fontId="65" fillId="27" borderId="17" xfId="52" applyNumberFormat="1" applyFont="1" applyFill="1" applyBorder="1" applyAlignment="1">
      <alignment horizontal="center" vertical="center" wrapText="1"/>
    </xf>
    <xf numFmtId="49" fontId="65" fillId="31" borderId="51" xfId="52" applyNumberFormat="1" applyFont="1" applyFill="1" applyBorder="1" applyAlignment="1">
      <alignment horizontal="center" vertical="center" wrapText="1"/>
    </xf>
    <xf numFmtId="49" fontId="65" fillId="31" borderId="17" xfId="52" applyNumberFormat="1" applyFont="1" applyFill="1" applyBorder="1" applyAlignment="1">
      <alignment horizontal="center" vertical="center" wrapText="1"/>
    </xf>
    <xf numFmtId="0" fontId="65" fillId="31" borderId="17" xfId="52" applyFont="1" applyFill="1" applyBorder="1" applyAlignment="1">
      <alignment horizontal="left" vertical="center"/>
    </xf>
    <xf numFmtId="0" fontId="65" fillId="31" borderId="39" xfId="52" applyFont="1" applyFill="1" applyBorder="1" applyAlignment="1">
      <alignment horizontal="left" vertical="center"/>
    </xf>
    <xf numFmtId="0" fontId="65" fillId="26" borderId="51" xfId="52" applyFont="1" applyFill="1" applyBorder="1" applyAlignment="1">
      <alignment horizontal="left" vertical="center"/>
    </xf>
    <xf numFmtId="0" fontId="65" fillId="26" borderId="17" xfId="52" applyFont="1" applyFill="1" applyBorder="1" applyAlignment="1">
      <alignment horizontal="left" vertical="center"/>
    </xf>
    <xf numFmtId="49" fontId="65" fillId="31" borderId="21" xfId="52" applyNumberFormat="1" applyFont="1" applyFill="1" applyBorder="1" applyAlignment="1">
      <alignment horizontal="center" vertical="center" wrapText="1"/>
    </xf>
    <xf numFmtId="0" fontId="65" fillId="31" borderId="5" xfId="52" applyFont="1" applyFill="1" applyBorder="1" applyAlignment="1">
      <alignment horizontal="center" vertical="center"/>
    </xf>
    <xf numFmtId="0" fontId="65" fillId="31" borderId="17" xfId="52" applyFont="1" applyFill="1" applyBorder="1" applyAlignment="1">
      <alignment horizontal="center" vertical="center"/>
    </xf>
    <xf numFmtId="0" fontId="65" fillId="31" borderId="21" xfId="52" applyFont="1" applyFill="1" applyBorder="1" applyAlignment="1">
      <alignment horizontal="center" vertical="center"/>
    </xf>
    <xf numFmtId="0" fontId="65" fillId="26" borderId="51" xfId="52" applyFont="1" applyFill="1" applyBorder="1" applyAlignment="1">
      <alignment horizontal="left" vertical="center" wrapText="1"/>
    </xf>
    <xf numFmtId="0" fontId="65" fillId="26" borderId="17" xfId="52" applyFont="1" applyFill="1" applyBorder="1" applyAlignment="1">
      <alignment horizontal="left" vertical="center" wrapText="1"/>
    </xf>
    <xf numFmtId="0" fontId="65" fillId="24" borderId="5" xfId="40" quotePrefix="1" applyFont="1" applyFill="1" applyBorder="1" applyAlignment="1">
      <alignment horizontal="center" vertical="center" wrapText="1"/>
    </xf>
    <xf numFmtId="0" fontId="65" fillId="24" borderId="39" xfId="40" quotePrefix="1" applyFont="1" applyFill="1" applyBorder="1" applyAlignment="1">
      <alignment horizontal="center" vertical="center" wrapText="1"/>
    </xf>
    <xf numFmtId="0" fontId="65" fillId="24" borderId="5" xfId="52" applyFont="1" applyFill="1" applyBorder="1" applyAlignment="1">
      <alignment horizontal="center" vertical="center" wrapText="1"/>
    </xf>
    <xf numFmtId="0" fontId="65" fillId="24" borderId="39" xfId="52" applyFont="1" applyFill="1" applyBorder="1" applyAlignment="1">
      <alignment horizontal="center" vertical="center" wrapText="1"/>
    </xf>
    <xf numFmtId="49" fontId="65" fillId="31" borderId="35" xfId="57" applyNumberFormat="1" applyFont="1" applyFill="1" applyBorder="1" applyAlignment="1">
      <alignment horizontal="center" vertical="center" wrapText="1"/>
    </xf>
    <xf numFmtId="49" fontId="65" fillId="31" borderId="5" xfId="57" applyNumberFormat="1" applyFont="1" applyFill="1" applyBorder="1" applyAlignment="1">
      <alignment horizontal="center" vertical="center" wrapText="1"/>
    </xf>
    <xf numFmtId="0" fontId="65" fillId="31" borderId="41" xfId="57" applyFont="1" applyFill="1" applyBorder="1" applyAlignment="1">
      <alignment horizontal="left" vertical="center"/>
    </xf>
    <xf numFmtId="0" fontId="65" fillId="31" borderId="6" xfId="57" applyFont="1" applyFill="1" applyBorder="1" applyAlignment="1">
      <alignment horizontal="left" vertical="center"/>
    </xf>
    <xf numFmtId="49" fontId="65" fillId="26" borderId="5" xfId="57" applyNumberFormat="1" applyFont="1" applyFill="1" applyBorder="1" applyAlignment="1">
      <alignment horizontal="center" vertical="center" wrapText="1"/>
    </xf>
    <xf numFmtId="49" fontId="65" fillId="26" borderId="17" xfId="57" applyNumberFormat="1" applyFont="1" applyFill="1" applyBorder="1" applyAlignment="1">
      <alignment horizontal="center" vertical="center" wrapText="1"/>
    </xf>
    <xf numFmtId="0" fontId="65" fillId="20" borderId="33" xfId="57" applyFont="1" applyFill="1" applyBorder="1" applyAlignment="1">
      <alignment horizontal="left" vertical="center" wrapText="1"/>
    </xf>
    <xf numFmtId="0" fontId="65" fillId="20" borderId="23" xfId="57" applyFont="1" applyFill="1" applyBorder="1" applyAlignment="1">
      <alignment horizontal="left" vertical="center" wrapText="1"/>
    </xf>
    <xf numFmtId="49" fontId="65" fillId="27" borderId="26" xfId="57" applyNumberFormat="1" applyFont="1" applyFill="1" applyBorder="1" applyAlignment="1">
      <alignment horizontal="center" vertical="center" wrapText="1"/>
    </xf>
    <xf numFmtId="49" fontId="65" fillId="27" borderId="5" xfId="57" applyNumberFormat="1" applyFont="1" applyFill="1" applyBorder="1" applyAlignment="1">
      <alignment horizontal="center" vertical="center" wrapText="1"/>
    </xf>
    <xf numFmtId="0" fontId="65" fillId="20" borderId="6" xfId="58" applyFont="1" applyFill="1" applyBorder="1" applyAlignment="1">
      <alignment horizontal="left" vertical="center" wrapText="1"/>
    </xf>
    <xf numFmtId="0" fontId="65" fillId="20" borderId="15" xfId="58" applyFont="1" applyFill="1" applyBorder="1" applyAlignment="1">
      <alignment horizontal="left" vertical="center" wrapText="1"/>
    </xf>
    <xf numFmtId="49" fontId="65" fillId="31" borderId="26" xfId="57" applyNumberFormat="1" applyFont="1" applyFill="1" applyBorder="1" applyAlignment="1">
      <alignment horizontal="center" vertical="center" wrapText="1"/>
    </xf>
    <xf numFmtId="0" fontId="65" fillId="31" borderId="16" xfId="57" applyFont="1" applyFill="1" applyBorder="1" applyAlignment="1">
      <alignment horizontal="left" vertical="center"/>
    </xf>
    <xf numFmtId="49" fontId="65" fillId="26" borderId="51" xfId="57" applyNumberFormat="1" applyFont="1" applyFill="1" applyBorder="1" applyAlignment="1">
      <alignment horizontal="center" vertical="center" wrapText="1"/>
    </xf>
    <xf numFmtId="0" fontId="65" fillId="20" borderId="22" xfId="57" applyFont="1" applyFill="1" applyBorder="1" applyAlignment="1">
      <alignment horizontal="left" vertical="center" wrapText="1"/>
    </xf>
    <xf numFmtId="49" fontId="65" fillId="26" borderId="26" xfId="57" applyNumberFormat="1" applyFont="1" applyFill="1" applyBorder="1" applyAlignment="1">
      <alignment horizontal="center" vertical="center" wrapText="1"/>
    </xf>
    <xf numFmtId="0" fontId="65" fillId="26" borderId="16" xfId="57" applyFont="1" applyFill="1" applyBorder="1" applyAlignment="1">
      <alignment horizontal="left" vertical="center"/>
    </xf>
    <xf numFmtId="0" fontId="65" fillId="26" borderId="6" xfId="57" applyFont="1" applyFill="1" applyBorder="1" applyAlignment="1">
      <alignment horizontal="left" vertical="center"/>
    </xf>
    <xf numFmtId="0" fontId="65" fillId="26" borderId="16" xfId="57" applyFont="1" applyFill="1" applyBorder="1" applyAlignment="1">
      <alignment horizontal="left" vertical="center" wrapText="1"/>
    </xf>
    <xf numFmtId="0" fontId="65" fillId="26" borderId="6" xfId="57" applyFont="1" applyFill="1" applyBorder="1" applyAlignment="1">
      <alignment horizontal="left" vertical="center" wrapText="1"/>
    </xf>
    <xf numFmtId="0" fontId="15" fillId="27" borderId="0" xfId="32" applyFont="1" applyFill="1" applyAlignment="1">
      <alignment horizontal="center" vertical="center" wrapText="1"/>
    </xf>
    <xf numFmtId="49" fontId="65" fillId="31" borderId="34" xfId="57" applyNumberFormat="1" applyFont="1" applyFill="1" applyBorder="1" applyAlignment="1">
      <alignment horizontal="center" vertical="center" wrapText="1"/>
    </xf>
    <xf numFmtId="0" fontId="65" fillId="31" borderId="11" xfId="57" applyFont="1" applyFill="1" applyBorder="1" applyAlignment="1">
      <alignment vertical="center" wrapText="1"/>
    </xf>
    <xf numFmtId="0" fontId="65" fillId="31" borderId="0" xfId="57" applyFont="1" applyFill="1" applyAlignment="1">
      <alignment vertical="center" wrapText="1"/>
    </xf>
    <xf numFmtId="0" fontId="65" fillId="31" borderId="20" xfId="57" applyFont="1" applyFill="1" applyBorder="1" applyAlignment="1">
      <alignment vertical="center" wrapText="1"/>
    </xf>
    <xf numFmtId="49" fontId="65" fillId="27" borderId="39" xfId="57" applyNumberFormat="1" applyFont="1" applyFill="1" applyBorder="1" applyAlignment="1">
      <alignment horizontal="center" vertical="center" wrapText="1"/>
    </xf>
    <xf numFmtId="49" fontId="65" fillId="27" borderId="34" xfId="57" applyNumberFormat="1" applyFont="1" applyFill="1" applyBorder="1" applyAlignment="1">
      <alignment horizontal="center" vertical="center" wrapText="1"/>
    </xf>
    <xf numFmtId="0" fontId="65" fillId="20" borderId="19" xfId="58" applyFont="1" applyFill="1" applyBorder="1" applyAlignment="1">
      <alignment horizontal="left" vertical="center" wrapText="1"/>
    </xf>
    <xf numFmtId="0" fontId="65" fillId="31" borderId="35" xfId="57" applyFont="1" applyFill="1" applyBorder="1" applyAlignment="1">
      <alignment horizontal="left" vertical="center"/>
    </xf>
    <xf numFmtId="0" fontId="65" fillId="31" borderId="34" xfId="57" applyFont="1" applyFill="1" applyBorder="1" applyAlignment="1">
      <alignment horizontal="left" vertical="center"/>
    </xf>
    <xf numFmtId="49" fontId="65" fillId="26" borderId="35" xfId="57" applyNumberFormat="1" applyFont="1" applyFill="1" applyBorder="1" applyAlignment="1">
      <alignment horizontal="center" vertical="center" wrapText="1"/>
    </xf>
    <xf numFmtId="0" fontId="117" fillId="20" borderId="75" xfId="88" applyFont="1" applyFill="1" applyBorder="1" applyAlignment="1">
      <alignment horizontal="center" vertical="center" wrapText="1"/>
    </xf>
    <xf numFmtId="0" fontId="117" fillId="20" borderId="52" xfId="88" applyFont="1" applyFill="1" applyBorder="1" applyAlignment="1">
      <alignment horizontal="center" vertical="center" wrapText="1"/>
    </xf>
    <xf numFmtId="3" fontId="12" fillId="26" borderId="35" xfId="88" applyNumberFormat="1" applyFont="1" applyFill="1" applyBorder="1" applyAlignment="1">
      <alignment horizontal="center" vertical="center" wrapText="1"/>
    </xf>
    <xf numFmtId="3" fontId="12" fillId="26" borderId="26" xfId="88" applyNumberFormat="1" applyFont="1" applyFill="1" applyBorder="1" applyAlignment="1">
      <alignment horizontal="center" vertical="center" wrapText="1"/>
    </xf>
    <xf numFmtId="3" fontId="12" fillId="26" borderId="5" xfId="88" applyNumberFormat="1" applyFont="1" applyFill="1" applyBorder="1" applyAlignment="1">
      <alignment horizontal="center" vertical="center" wrapText="1"/>
    </xf>
    <xf numFmtId="3" fontId="12" fillId="26" borderId="34" xfId="88" applyNumberFormat="1" applyFont="1" applyFill="1" applyBorder="1" applyAlignment="1">
      <alignment horizontal="center" vertical="center" wrapText="1"/>
    </xf>
    <xf numFmtId="0" fontId="116" fillId="20" borderId="75" xfId="88" applyFont="1" applyFill="1" applyBorder="1" applyAlignment="1">
      <alignment horizontal="center" vertical="center" wrapText="1"/>
    </xf>
    <xf numFmtId="0" fontId="116" fillId="20" borderId="49" xfId="88" applyFont="1" applyFill="1" applyBorder="1" applyAlignment="1">
      <alignment horizontal="center" vertical="center" wrapText="1"/>
    </xf>
    <xf numFmtId="0" fontId="116" fillId="20" borderId="52" xfId="88" applyFont="1" applyFill="1" applyBorder="1" applyAlignment="1">
      <alignment horizontal="center" vertical="center" wrapText="1"/>
    </xf>
    <xf numFmtId="0" fontId="116" fillId="20" borderId="54" xfId="88" applyFont="1" applyFill="1" applyBorder="1" applyAlignment="1">
      <alignment horizontal="center" vertical="center" wrapText="1"/>
    </xf>
    <xf numFmtId="0" fontId="116" fillId="20" borderId="56" xfId="88" applyFont="1" applyFill="1" applyBorder="1" applyAlignment="1">
      <alignment horizontal="center" vertical="center" wrapText="1"/>
    </xf>
    <xf numFmtId="0" fontId="117" fillId="20" borderId="54" xfId="88" applyFont="1" applyFill="1" applyBorder="1" applyAlignment="1">
      <alignment horizontal="center" vertical="center" wrapText="1"/>
    </xf>
    <xf numFmtId="0" fontId="117" fillId="20" borderId="56" xfId="88" applyFont="1" applyFill="1" applyBorder="1" applyAlignment="1">
      <alignment horizontal="center" vertical="center" wrapText="1"/>
    </xf>
    <xf numFmtId="0" fontId="117" fillId="41" borderId="45" xfId="88" applyFont="1" applyFill="1" applyBorder="1" applyAlignment="1">
      <alignment horizontal="center" vertical="center" wrapText="1"/>
    </xf>
    <xf numFmtId="0" fontId="117" fillId="41" borderId="47" xfId="88" applyFont="1" applyFill="1" applyBorder="1" applyAlignment="1">
      <alignment horizontal="center" vertical="center" wrapText="1"/>
    </xf>
    <xf numFmtId="0" fontId="117" fillId="41" borderId="46" xfId="88" applyFont="1" applyFill="1" applyBorder="1" applyAlignment="1">
      <alignment horizontal="center" vertical="center" wrapText="1"/>
    </xf>
    <xf numFmtId="0" fontId="117" fillId="41" borderId="48" xfId="88" applyFont="1" applyFill="1" applyBorder="1" applyAlignment="1">
      <alignment horizontal="center" vertical="center" wrapText="1"/>
    </xf>
    <xf numFmtId="3" fontId="117" fillId="41" borderId="30" xfId="88" applyNumberFormat="1" applyFont="1" applyFill="1" applyBorder="1" applyAlignment="1">
      <alignment horizontal="center" vertical="center" wrapText="1"/>
    </xf>
    <xf numFmtId="3" fontId="117" fillId="41" borderId="28" xfId="88" applyNumberFormat="1" applyFont="1" applyFill="1" applyBorder="1" applyAlignment="1">
      <alignment horizontal="center" vertical="center" wrapText="1"/>
    </xf>
    <xf numFmtId="3" fontId="117" fillId="41" borderId="19" xfId="88" applyNumberFormat="1" applyFont="1" applyFill="1" applyBorder="1" applyAlignment="1">
      <alignment horizontal="center" vertical="center" wrapText="1"/>
    </xf>
    <xf numFmtId="0" fontId="20" fillId="27" borderId="0" xfId="90" applyFont="1" applyFill="1" applyAlignment="1">
      <alignment horizontal="center" vertical="center" wrapText="1"/>
    </xf>
    <xf numFmtId="0" fontId="20" fillId="27" borderId="0" xfId="90" applyFont="1" applyFill="1" applyAlignment="1">
      <alignment horizontal="center" vertical="center"/>
    </xf>
    <xf numFmtId="0" fontId="21" fillId="20" borderId="20" xfId="88" applyFont="1" applyFill="1" applyBorder="1" applyAlignment="1">
      <alignment horizontal="left" vertical="center" wrapText="1"/>
    </xf>
    <xf numFmtId="0" fontId="21" fillId="20" borderId="0" xfId="88" applyFont="1" applyFill="1" applyAlignment="1">
      <alignment horizontal="left" vertical="center" wrapText="1"/>
    </xf>
    <xf numFmtId="3" fontId="21" fillId="26" borderId="35" xfId="88" applyNumberFormat="1" applyFont="1" applyFill="1" applyBorder="1" applyAlignment="1">
      <alignment horizontal="center" vertical="center" wrapText="1"/>
    </xf>
    <xf numFmtId="3" fontId="21" fillId="26" borderId="26" xfId="88" applyNumberFormat="1" applyFont="1" applyFill="1" applyBorder="1" applyAlignment="1">
      <alignment horizontal="center" vertical="center" wrapText="1"/>
    </xf>
    <xf numFmtId="3" fontId="21" fillId="26" borderId="34" xfId="88" applyNumberFormat="1" applyFont="1" applyFill="1" applyBorder="1" applyAlignment="1">
      <alignment horizontal="center" vertical="center" wrapText="1"/>
    </xf>
    <xf numFmtId="3" fontId="21" fillId="26" borderId="5" xfId="88" applyNumberFormat="1" applyFont="1" applyFill="1" applyBorder="1" applyAlignment="1">
      <alignment horizontal="center" vertical="center" wrapText="1"/>
    </xf>
    <xf numFmtId="0" fontId="12" fillId="20" borderId="75" xfId="88" applyFont="1" applyFill="1" applyBorder="1" applyAlignment="1">
      <alignment horizontal="center" vertical="center" wrapText="1"/>
    </xf>
    <xf numFmtId="0" fontId="12" fillId="20" borderId="49" xfId="88" applyFont="1" applyFill="1" applyBorder="1" applyAlignment="1">
      <alignment horizontal="center" vertical="center" wrapText="1"/>
    </xf>
    <xf numFmtId="0" fontId="12" fillId="20" borderId="52" xfId="88" applyFont="1" applyFill="1" applyBorder="1" applyAlignment="1">
      <alignment horizontal="center" vertical="center" wrapText="1"/>
    </xf>
    <xf numFmtId="0" fontId="12" fillId="20" borderId="54" xfId="88" applyFont="1" applyFill="1" applyBorder="1" applyAlignment="1">
      <alignment horizontal="center" vertical="center" wrapText="1"/>
    </xf>
    <xf numFmtId="0" fontId="12" fillId="20" borderId="56" xfId="88" applyFont="1" applyFill="1" applyBorder="1" applyAlignment="1">
      <alignment horizontal="center" vertical="center" wrapText="1"/>
    </xf>
    <xf numFmtId="0" fontId="117" fillId="41" borderId="40" xfId="88" applyFont="1" applyFill="1" applyBorder="1" applyAlignment="1">
      <alignment horizontal="center" vertical="center" wrapText="1"/>
    </xf>
    <xf numFmtId="0" fontId="117" fillId="41" borderId="42" xfId="88" applyFont="1" applyFill="1" applyBorder="1" applyAlignment="1">
      <alignment horizontal="center" vertical="center" wrapText="1"/>
    </xf>
    <xf numFmtId="0" fontId="117" fillId="41" borderId="35" xfId="88" applyFont="1" applyFill="1" applyBorder="1" applyAlignment="1">
      <alignment horizontal="center" vertical="center" wrapText="1"/>
    </xf>
    <xf numFmtId="0" fontId="117" fillId="41" borderId="34" xfId="88" applyFont="1" applyFill="1" applyBorder="1" applyAlignment="1">
      <alignment horizontal="center" vertical="center" wrapText="1"/>
    </xf>
    <xf numFmtId="0" fontId="21" fillId="41" borderId="35" xfId="88" applyFont="1" applyFill="1" applyBorder="1" applyAlignment="1">
      <alignment horizontal="center" vertical="center" wrapText="1"/>
    </xf>
    <xf numFmtId="0" fontId="21" fillId="41" borderId="34" xfId="88" applyFont="1" applyFill="1" applyBorder="1" applyAlignment="1">
      <alignment horizontal="center" vertical="center" wrapText="1"/>
    </xf>
    <xf numFmtId="0" fontId="65" fillId="27" borderId="0" xfId="54" applyFont="1" applyFill="1" applyAlignment="1">
      <alignment horizontal="left" indent="1"/>
    </xf>
    <xf numFmtId="0" fontId="117" fillId="41" borderId="35" xfId="88" applyFont="1" applyFill="1" applyBorder="1" applyAlignment="1" applyProtection="1">
      <alignment horizontal="center" vertical="center" wrapText="1"/>
      <protection locked="0"/>
    </xf>
    <xf numFmtId="0" fontId="117" fillId="41" borderId="34" xfId="88" applyFont="1" applyFill="1" applyBorder="1" applyAlignment="1" applyProtection="1">
      <alignment horizontal="center" vertical="center" wrapText="1"/>
      <protection locked="0"/>
    </xf>
    <xf numFmtId="0" fontId="117" fillId="26" borderId="46" xfId="88" applyFont="1" applyFill="1" applyBorder="1" applyAlignment="1">
      <alignment horizontal="center" vertical="center" wrapText="1"/>
    </xf>
    <xf numFmtId="0" fontId="117" fillId="26" borderId="48" xfId="88" applyFont="1" applyFill="1" applyBorder="1" applyAlignment="1">
      <alignment horizontal="center" vertical="center" wrapText="1"/>
    </xf>
    <xf numFmtId="0" fontId="12" fillId="0" borderId="75" xfId="88" applyFont="1" applyBorder="1" applyAlignment="1">
      <alignment horizontal="center" vertical="center" wrapText="1"/>
    </xf>
    <xf numFmtId="0" fontId="12" fillId="0" borderId="49" xfId="88" applyFont="1" applyBorder="1" applyAlignment="1">
      <alignment horizontal="center" vertical="center" wrapText="1"/>
    </xf>
    <xf numFmtId="0" fontId="12" fillId="0" borderId="52" xfId="88" applyFont="1" applyBorder="1" applyAlignment="1">
      <alignment horizontal="center" vertical="center" wrapText="1"/>
    </xf>
    <xf numFmtId="0" fontId="12" fillId="0" borderId="54" xfId="88" applyFont="1" applyBorder="1" applyAlignment="1">
      <alignment horizontal="center" vertical="center" wrapText="1"/>
    </xf>
    <xf numFmtId="0" fontId="12" fillId="0" borderId="56" xfId="88" applyFont="1" applyBorder="1" applyAlignment="1">
      <alignment horizontal="center" vertical="center" wrapText="1"/>
    </xf>
    <xf numFmtId="0" fontId="84" fillId="27" borderId="0" xfId="54" applyFont="1" applyFill="1"/>
    <xf numFmtId="0" fontId="12" fillId="20" borderId="45" xfId="88" applyFont="1" applyFill="1" applyBorder="1" applyAlignment="1">
      <alignment horizontal="center" vertical="center" wrapText="1"/>
    </xf>
    <xf numFmtId="0" fontId="12" fillId="20" borderId="66" xfId="88" applyFont="1" applyFill="1" applyBorder="1" applyAlignment="1">
      <alignment horizontal="center" vertical="center" wrapText="1"/>
    </xf>
    <xf numFmtId="0" fontId="12" fillId="20" borderId="47" xfId="88" applyFont="1" applyFill="1" applyBorder="1" applyAlignment="1">
      <alignment horizontal="center" vertical="center" wrapText="1"/>
    </xf>
    <xf numFmtId="0" fontId="12" fillId="0" borderId="45" xfId="88" applyFont="1" applyBorder="1" applyAlignment="1">
      <alignment horizontal="center" vertical="center" wrapText="1"/>
    </xf>
    <xf numFmtId="0" fontId="12" fillId="0" borderId="66" xfId="88" applyFont="1" applyBorder="1" applyAlignment="1">
      <alignment horizontal="center" vertical="center" wrapText="1"/>
    </xf>
    <xf numFmtId="0" fontId="12" fillId="0" borderId="47" xfId="88" applyFont="1" applyBorder="1" applyAlignment="1">
      <alignment horizontal="center" vertical="center" wrapText="1"/>
    </xf>
    <xf numFmtId="0" fontId="12" fillId="26" borderId="75" xfId="88" applyFont="1" applyFill="1" applyBorder="1" applyAlignment="1">
      <alignment horizontal="center" vertical="center" wrapText="1"/>
    </xf>
    <xf numFmtId="0" fontId="12" fillId="26" borderId="52" xfId="88" applyFont="1" applyFill="1" applyBorder="1" applyAlignment="1">
      <alignment horizontal="center" vertical="center" wrapText="1"/>
    </xf>
    <xf numFmtId="0" fontId="12" fillId="26" borderId="56" xfId="88" applyFont="1" applyFill="1" applyBorder="1" applyAlignment="1">
      <alignment horizontal="center" vertical="center" wrapText="1"/>
    </xf>
    <xf numFmtId="3" fontId="118" fillId="20" borderId="140" xfId="88" applyNumberFormat="1" applyFont="1" applyFill="1" applyBorder="1" applyAlignment="1">
      <alignment horizontal="right" vertical="center" wrapText="1"/>
    </xf>
    <xf numFmtId="3" fontId="118" fillId="20" borderId="141" xfId="88" applyNumberFormat="1" applyFont="1" applyFill="1" applyBorder="1" applyAlignment="1">
      <alignment horizontal="right" vertical="center" wrapText="1"/>
    </xf>
    <xf numFmtId="0" fontId="65" fillId="37" borderId="1" xfId="52" applyFont="1" applyFill="1" applyBorder="1" applyAlignment="1">
      <alignment horizontal="left" vertical="center"/>
    </xf>
    <xf numFmtId="0" fontId="65" fillId="37" borderId="8" xfId="52" applyFont="1" applyFill="1" applyBorder="1" applyAlignment="1">
      <alignment horizontal="left" vertical="center"/>
    </xf>
    <xf numFmtId="0" fontId="65" fillId="37" borderId="3" xfId="52" applyFont="1" applyFill="1" applyBorder="1" applyAlignment="1">
      <alignment horizontal="left" vertical="center"/>
    </xf>
    <xf numFmtId="49" fontId="57" fillId="27" borderId="39" xfId="80" applyNumberFormat="1" applyFont="1" applyFill="1" applyBorder="1" applyAlignment="1">
      <alignment horizontal="center" vertical="center" wrapText="1"/>
    </xf>
    <xf numFmtId="49" fontId="57" fillId="27" borderId="26" xfId="80" applyNumberFormat="1" applyFont="1" applyFill="1" applyBorder="1" applyAlignment="1">
      <alignment horizontal="center" vertical="center" wrapText="1"/>
    </xf>
    <xf numFmtId="49" fontId="57" fillId="27" borderId="5" xfId="80" applyNumberFormat="1" applyFont="1" applyFill="1" applyBorder="1" applyAlignment="1">
      <alignment horizontal="center" vertical="center" wrapText="1"/>
    </xf>
    <xf numFmtId="0" fontId="41" fillId="0" borderId="39" xfId="0" applyFont="1" applyBorder="1" applyAlignment="1">
      <alignment horizontal="left" vertical="center" wrapText="1"/>
    </xf>
    <xf numFmtId="0" fontId="41" fillId="0" borderId="5" xfId="0" applyFont="1" applyBorder="1" applyAlignment="1">
      <alignment horizontal="left" vertical="center" wrapText="1"/>
    </xf>
    <xf numFmtId="49" fontId="65" fillId="31" borderId="35" xfId="52" applyNumberFormat="1" applyFont="1" applyFill="1" applyBorder="1" applyAlignment="1">
      <alignment horizontal="center" vertical="center" wrapText="1"/>
    </xf>
    <xf numFmtId="49" fontId="65" fillId="31" borderId="26" xfId="52" applyNumberFormat="1" applyFont="1" applyFill="1" applyBorder="1" applyAlignment="1">
      <alignment horizontal="center" vertical="center" wrapText="1"/>
    </xf>
    <xf numFmtId="49" fontId="65" fillId="31" borderId="34" xfId="52" applyNumberFormat="1" applyFont="1" applyFill="1" applyBorder="1" applyAlignment="1">
      <alignment horizontal="center" vertical="center" wrapText="1"/>
    </xf>
    <xf numFmtId="0" fontId="65" fillId="31" borderId="11" xfId="52" applyFont="1" applyFill="1" applyBorder="1" applyAlignment="1">
      <alignment horizontal="center" vertical="center"/>
    </xf>
    <xf numFmtId="0" fontId="65" fillId="31" borderId="0" xfId="52" applyFont="1" applyFill="1" applyAlignment="1">
      <alignment horizontal="center" vertical="center"/>
    </xf>
    <xf numFmtId="0" fontId="65" fillId="31" borderId="20" xfId="52" applyFont="1" applyFill="1" applyBorder="1" applyAlignment="1">
      <alignment horizontal="center" vertical="center"/>
    </xf>
    <xf numFmtId="49" fontId="57" fillId="27" borderId="34" xfId="80" applyNumberFormat="1" applyFont="1" applyFill="1" applyBorder="1" applyAlignment="1">
      <alignment horizontal="center" vertical="center" wrapText="1"/>
    </xf>
    <xf numFmtId="0" fontId="65" fillId="28" borderId="29" xfId="80" applyFont="1" applyFill="1" applyBorder="1" applyAlignment="1" applyProtection="1">
      <alignment horizontal="left" vertical="center" wrapText="1"/>
      <protection locked="0"/>
    </xf>
    <xf numFmtId="0" fontId="65" fillId="28" borderId="22" xfId="80" applyFont="1" applyFill="1" applyBorder="1" applyAlignment="1" applyProtection="1">
      <alignment horizontal="left" vertical="center" wrapText="1"/>
      <protection locked="0"/>
    </xf>
    <xf numFmtId="0" fontId="65" fillId="28" borderId="14" xfId="80" applyFont="1" applyFill="1" applyBorder="1" applyAlignment="1" applyProtection="1">
      <alignment horizontal="left" vertical="center" wrapText="1"/>
      <protection locked="0"/>
    </xf>
    <xf numFmtId="0" fontId="20" fillId="27" borderId="0" xfId="52" applyFont="1" applyFill="1" applyAlignment="1">
      <alignment horizontal="center" vertical="center" wrapText="1"/>
    </xf>
    <xf numFmtId="0" fontId="20" fillId="27" borderId="0" xfId="52" applyFont="1" applyFill="1" applyAlignment="1">
      <alignment horizontal="center" vertical="center"/>
    </xf>
    <xf numFmtId="0" fontId="20" fillId="27" borderId="0" xfId="32" applyFont="1" applyFill="1" applyAlignment="1">
      <alignment horizontal="center" vertical="center" wrapText="1"/>
    </xf>
    <xf numFmtId="49" fontId="65" fillId="27" borderId="35" xfId="57" applyNumberFormat="1" applyFont="1" applyFill="1" applyBorder="1" applyAlignment="1">
      <alignment horizontal="center" vertical="center" wrapText="1"/>
    </xf>
    <xf numFmtId="0" fontId="65" fillId="20" borderId="14" xfId="58" applyFont="1" applyFill="1" applyBorder="1" applyAlignment="1">
      <alignment horizontal="left" vertical="center" wrapText="1"/>
    </xf>
    <xf numFmtId="0" fontId="65" fillId="26" borderId="41" xfId="57" applyFont="1" applyFill="1" applyBorder="1" applyAlignment="1">
      <alignment horizontal="left" vertical="center"/>
    </xf>
    <xf numFmtId="49" fontId="65" fillId="26" borderId="34" xfId="57" applyNumberFormat="1" applyFont="1" applyFill="1" applyBorder="1" applyAlignment="1">
      <alignment horizontal="center" vertical="center" wrapText="1"/>
    </xf>
    <xf numFmtId="0" fontId="65" fillId="26" borderId="43" xfId="57" applyFont="1" applyFill="1" applyBorder="1" applyAlignment="1">
      <alignment horizontal="left" vertical="center" wrapText="1"/>
    </xf>
    <xf numFmtId="0" fontId="43" fillId="26" borderId="0" xfId="0" applyFont="1" applyFill="1" applyAlignment="1">
      <alignment horizontal="left" vertical="center" wrapText="1"/>
    </xf>
    <xf numFmtId="0" fontId="65" fillId="27" borderId="0" xfId="54" applyFont="1" applyFill="1" applyAlignment="1">
      <alignment horizontal="left" vertical="center"/>
    </xf>
    <xf numFmtId="0" fontId="84" fillId="27" borderId="0" xfId="54" applyFont="1" applyFill="1" applyAlignment="1">
      <alignment vertical="center"/>
    </xf>
    <xf numFmtId="0" fontId="65" fillId="37" borderId="40" xfId="52" applyFont="1" applyFill="1" applyBorder="1" applyAlignment="1">
      <alignment horizontal="left" vertical="center"/>
    </xf>
    <xf numFmtId="0" fontId="65" fillId="37" borderId="11" xfId="52" applyFont="1" applyFill="1" applyBorder="1" applyAlignment="1">
      <alignment horizontal="left" vertical="center"/>
    </xf>
    <xf numFmtId="0" fontId="65" fillId="37" borderId="41" xfId="52" applyFont="1" applyFill="1" applyBorder="1" applyAlignment="1">
      <alignment horizontal="left" vertical="center"/>
    </xf>
    <xf numFmtId="0" fontId="65" fillId="28" borderId="7" xfId="80" applyFont="1" applyFill="1" applyBorder="1" applyAlignment="1" applyProtection="1">
      <alignment horizontal="left" vertical="center" wrapText="1"/>
      <protection locked="0"/>
    </xf>
    <xf numFmtId="49" fontId="57" fillId="27" borderId="7" xfId="80" applyNumberFormat="1" applyFont="1" applyFill="1" applyBorder="1" applyAlignment="1">
      <alignment horizontal="center" vertical="center" wrapText="1"/>
    </xf>
    <xf numFmtId="0" fontId="45" fillId="26" borderId="7" xfId="0" applyFont="1" applyFill="1" applyBorder="1" applyAlignment="1">
      <alignment horizontal="left" vertical="center" wrapText="1"/>
    </xf>
    <xf numFmtId="0" fontId="84" fillId="27" borderId="0" xfId="54" applyFont="1" applyFill="1" applyAlignment="1">
      <alignment horizontal="left" vertical="center" wrapText="1"/>
    </xf>
    <xf numFmtId="0" fontId="40" fillId="37" borderId="76" xfId="32" applyFont="1" applyFill="1" applyBorder="1" applyAlignment="1">
      <alignment horizontal="center" vertical="center" wrapText="1"/>
    </xf>
    <xf numFmtId="0" fontId="41" fillId="37" borderId="53" xfId="32" applyFont="1" applyFill="1" applyBorder="1" applyAlignment="1">
      <alignment vertical="center"/>
    </xf>
    <xf numFmtId="0" fontId="41" fillId="37" borderId="57" xfId="32" applyFont="1" applyFill="1" applyBorder="1" applyAlignment="1">
      <alignment vertical="center"/>
    </xf>
    <xf numFmtId="2" fontId="40" fillId="37" borderId="49" xfId="32" applyNumberFormat="1" applyFont="1" applyFill="1" applyBorder="1" applyAlignment="1">
      <alignment horizontal="center" vertical="center" wrapText="1"/>
    </xf>
    <xf numFmtId="2" fontId="40" fillId="37" borderId="31" xfId="32" applyNumberFormat="1" applyFont="1" applyFill="1" applyBorder="1" applyAlignment="1">
      <alignment horizontal="center" vertical="center" wrapText="1"/>
    </xf>
    <xf numFmtId="2" fontId="40" fillId="37" borderId="50" xfId="32" applyNumberFormat="1" applyFont="1" applyFill="1" applyBorder="1" applyAlignment="1">
      <alignment horizontal="center" vertical="center" wrapText="1"/>
    </xf>
    <xf numFmtId="0" fontId="43" fillId="27" borderId="0" xfId="32" applyFont="1" applyFill="1" applyAlignment="1">
      <alignment vertical="center" wrapText="1"/>
    </xf>
    <xf numFmtId="171" fontId="40" fillId="37" borderId="35" xfId="32" applyNumberFormat="1" applyFont="1" applyFill="1" applyBorder="1" applyAlignment="1">
      <alignment horizontal="center" vertical="center" wrapText="1"/>
    </xf>
    <xf numFmtId="171" fontId="40" fillId="37" borderId="5" xfId="32" applyNumberFormat="1" applyFont="1" applyFill="1" applyBorder="1" applyAlignment="1">
      <alignment horizontal="center" vertical="center" wrapText="1"/>
    </xf>
    <xf numFmtId="0" fontId="40" fillId="37" borderId="29" xfId="32" applyFont="1" applyFill="1" applyBorder="1" applyAlignment="1">
      <alignment horizontal="center" vertical="center" wrapText="1"/>
    </xf>
    <xf numFmtId="0" fontId="40" fillId="37" borderId="22" xfId="32" applyFont="1" applyFill="1" applyBorder="1" applyAlignment="1">
      <alignment horizontal="center" vertical="center" wrapText="1"/>
    </xf>
    <xf numFmtId="0" fontId="40" fillId="37" borderId="14" xfId="32" applyFont="1" applyFill="1" applyBorder="1" applyAlignment="1">
      <alignment horizontal="center" vertical="center" wrapText="1"/>
    </xf>
    <xf numFmtId="0" fontId="40" fillId="37" borderId="25" xfId="32" applyFont="1" applyFill="1" applyBorder="1" applyAlignment="1">
      <alignment horizontal="center" vertical="center" wrapText="1"/>
    </xf>
    <xf numFmtId="0" fontId="40" fillId="37" borderId="33" xfId="32" applyFont="1" applyFill="1" applyBorder="1" applyAlignment="1">
      <alignment horizontal="center" vertical="center" wrapText="1"/>
    </xf>
    <xf numFmtId="0" fontId="40" fillId="37" borderId="6" xfId="32" applyFont="1" applyFill="1" applyBorder="1" applyAlignment="1">
      <alignment horizontal="center" vertical="center" wrapText="1"/>
    </xf>
    <xf numFmtId="0" fontId="40" fillId="37" borderId="40" xfId="32" applyFont="1" applyFill="1" applyBorder="1" applyAlignment="1">
      <alignment horizontal="center" vertical="center" wrapText="1"/>
    </xf>
    <xf numFmtId="0" fontId="40" fillId="37" borderId="11" xfId="32" applyFont="1" applyFill="1" applyBorder="1" applyAlignment="1">
      <alignment horizontal="center" vertical="center" wrapText="1"/>
    </xf>
    <xf numFmtId="0" fontId="40" fillId="37" borderId="41" xfId="32" applyFont="1" applyFill="1" applyBorder="1" applyAlignment="1">
      <alignment horizontal="center" vertical="center" wrapText="1"/>
    </xf>
    <xf numFmtId="0" fontId="40" fillId="37" borderId="75" xfId="32" applyFont="1" applyFill="1" applyBorder="1" applyAlignment="1">
      <alignment horizontal="center" vertical="center" wrapText="1"/>
    </xf>
    <xf numFmtId="0" fontId="40" fillId="37" borderId="73" xfId="32" applyFont="1" applyFill="1" applyBorder="1" applyAlignment="1">
      <alignment horizontal="center" vertical="center" wrapText="1"/>
    </xf>
    <xf numFmtId="0" fontId="40" fillId="37" borderId="52" xfId="32" applyFont="1" applyFill="1" applyBorder="1" applyAlignment="1">
      <alignment horizontal="center" vertical="center" wrapText="1"/>
    </xf>
    <xf numFmtId="0" fontId="40" fillId="37" borderId="7" xfId="32" applyFont="1" applyFill="1" applyBorder="1" applyAlignment="1">
      <alignment horizontal="center" vertical="center" wrapText="1"/>
    </xf>
    <xf numFmtId="0" fontId="40" fillId="37" borderId="53" xfId="32" applyFont="1" applyFill="1" applyBorder="1" applyAlignment="1">
      <alignment horizontal="center" vertical="center" wrapText="1"/>
    </xf>
    <xf numFmtId="0" fontId="40" fillId="22" borderId="154" xfId="32" applyFont="1" applyFill="1" applyBorder="1" applyAlignment="1">
      <alignment horizontal="center" vertical="center" wrapText="1"/>
    </xf>
    <xf numFmtId="0" fontId="21" fillId="22" borderId="156" xfId="0" applyFont="1" applyFill="1" applyBorder="1" applyAlignment="1">
      <alignment horizontal="center" vertical="center" wrapText="1"/>
    </xf>
    <xf numFmtId="0" fontId="21" fillId="22" borderId="157" xfId="0" applyFont="1" applyFill="1" applyBorder="1" applyAlignment="1">
      <alignment horizontal="center" vertical="center" wrapText="1"/>
    </xf>
    <xf numFmtId="0" fontId="21" fillId="22" borderId="158" xfId="0" applyFont="1" applyFill="1" applyBorder="1" applyAlignment="1">
      <alignment horizontal="center" vertical="center" wrapText="1"/>
    </xf>
    <xf numFmtId="2" fontId="40" fillId="22" borderId="154" xfId="32" applyNumberFormat="1" applyFont="1" applyFill="1" applyBorder="1" applyAlignment="1">
      <alignment horizontal="center" vertical="center" wrapText="1"/>
    </xf>
    <xf numFmtId="0" fontId="41" fillId="37" borderId="52" xfId="32" applyFont="1" applyFill="1" applyBorder="1" applyAlignment="1">
      <alignment horizontal="center" vertical="center"/>
    </xf>
    <xf numFmtId="0" fontId="41" fillId="37" borderId="56" xfId="32" applyFont="1" applyFill="1" applyBorder="1" applyAlignment="1">
      <alignment horizontal="center" vertical="center"/>
    </xf>
    <xf numFmtId="0" fontId="40" fillId="37" borderId="73" xfId="0" applyFont="1" applyFill="1" applyBorder="1" applyAlignment="1">
      <alignment horizontal="center" vertical="center" wrapText="1"/>
    </xf>
    <xf numFmtId="0" fontId="41" fillId="37" borderId="7" xfId="0" applyFont="1" applyFill="1" applyBorder="1" applyAlignment="1">
      <alignment vertical="center"/>
    </xf>
    <xf numFmtId="0" fontId="41" fillId="37" borderId="77" xfId="0" applyFont="1" applyFill="1" applyBorder="1" applyAlignment="1">
      <alignment vertical="center"/>
    </xf>
    <xf numFmtId="0" fontId="40" fillId="37" borderId="75" xfId="0" applyFont="1" applyFill="1" applyBorder="1" applyAlignment="1">
      <alignment horizontal="center" vertical="center" wrapText="1"/>
    </xf>
    <xf numFmtId="0" fontId="41" fillId="37" borderId="52" xfId="0" applyFont="1" applyFill="1" applyBorder="1" applyAlignment="1">
      <alignment vertical="center"/>
    </xf>
    <xf numFmtId="0" fontId="41" fillId="37" borderId="56" xfId="0" applyFont="1" applyFill="1" applyBorder="1" applyAlignment="1">
      <alignment vertical="center"/>
    </xf>
    <xf numFmtId="2" fontId="40" fillId="37" borderId="7" xfId="0" applyNumberFormat="1" applyFont="1" applyFill="1" applyBorder="1" applyAlignment="1">
      <alignment horizontal="center" vertical="center" wrapText="1"/>
    </xf>
    <xf numFmtId="2" fontId="40" fillId="37" borderId="62" xfId="0" applyNumberFormat="1" applyFont="1" applyFill="1" applyBorder="1" applyAlignment="1">
      <alignment horizontal="center" vertical="center" wrapText="1"/>
    </xf>
    <xf numFmtId="2" fontId="40" fillId="37" borderId="23" xfId="0" applyNumberFormat="1" applyFont="1" applyFill="1" applyBorder="1" applyAlignment="1">
      <alignment horizontal="center" vertical="center" wrapText="1"/>
    </xf>
    <xf numFmtId="2" fontId="40" fillId="37" borderId="53" xfId="0" applyNumberFormat="1" applyFont="1" applyFill="1" applyBorder="1" applyAlignment="1">
      <alignment horizontal="center" vertical="center" wrapText="1"/>
    </xf>
    <xf numFmtId="0" fontId="40" fillId="37" borderId="76" xfId="0" applyFont="1" applyFill="1" applyBorder="1" applyAlignment="1">
      <alignment horizontal="center" vertical="center" wrapText="1"/>
    </xf>
    <xf numFmtId="0" fontId="21" fillId="27" borderId="0" xfId="0" applyFont="1" applyFill="1" applyAlignment="1">
      <alignment horizontal="left" vertical="center"/>
    </xf>
    <xf numFmtId="0" fontId="43" fillId="27" borderId="0" xfId="0" applyFont="1" applyFill="1" applyAlignment="1">
      <alignment horizontal="left" vertical="center"/>
    </xf>
    <xf numFmtId="0" fontId="40" fillId="26" borderId="0" xfId="0" applyFont="1" applyFill="1" applyAlignment="1">
      <alignment horizontal="center" vertical="center"/>
    </xf>
    <xf numFmtId="0" fontId="41" fillId="50" borderId="24" xfId="0" applyFont="1" applyFill="1" applyBorder="1" applyAlignment="1">
      <alignment horizontal="center" vertical="center" wrapText="1"/>
    </xf>
    <xf numFmtId="0" fontId="41" fillId="50" borderId="23" xfId="0" applyFont="1" applyFill="1" applyBorder="1" applyAlignment="1">
      <alignment horizontal="center" vertical="center" wrapText="1"/>
    </xf>
    <xf numFmtId="0" fontId="41" fillId="50" borderId="32" xfId="0" applyFont="1" applyFill="1" applyBorder="1" applyAlignment="1">
      <alignment horizontal="center" vertical="center" wrapText="1"/>
    </xf>
    <xf numFmtId="0" fontId="41" fillId="28" borderId="31" xfId="0" applyFont="1" applyFill="1" applyBorder="1" applyAlignment="1">
      <alignment horizontal="center" vertical="center" wrapText="1"/>
    </xf>
    <xf numFmtId="4" fontId="41" fillId="3" borderId="31" xfId="0" applyNumberFormat="1" applyFont="1" applyFill="1" applyBorder="1" applyAlignment="1" applyProtection="1">
      <alignment horizontal="center" vertical="center"/>
      <protection locked="0"/>
    </xf>
    <xf numFmtId="4" fontId="41" fillId="3" borderId="74" xfId="0" applyNumberFormat="1" applyFont="1" applyFill="1" applyBorder="1" applyAlignment="1" applyProtection="1">
      <alignment horizontal="center" vertical="center"/>
      <protection locked="0"/>
    </xf>
    <xf numFmtId="4" fontId="41" fillId="3" borderId="22" xfId="0" applyNumberFormat="1" applyFont="1" applyFill="1" applyBorder="1" applyAlignment="1" applyProtection="1">
      <alignment horizontal="center" vertical="center"/>
      <protection locked="0"/>
    </xf>
    <xf numFmtId="4" fontId="41" fillId="3" borderId="72" xfId="0" applyNumberFormat="1" applyFont="1" applyFill="1" applyBorder="1" applyAlignment="1" applyProtection="1">
      <alignment horizontal="center" vertical="center"/>
      <protection locked="0"/>
    </xf>
    <xf numFmtId="3" fontId="41" fillId="37" borderId="56" xfId="0" applyNumberFormat="1" applyFont="1" applyFill="1" applyBorder="1" applyAlignment="1">
      <alignment horizontal="center" vertical="center" wrapText="1"/>
    </xf>
    <xf numFmtId="3" fontId="41" fillId="37" borderId="77" xfId="0" applyNumberFormat="1" applyFont="1" applyFill="1" applyBorder="1" applyAlignment="1">
      <alignment horizontal="center" vertical="center" wrapText="1"/>
    </xf>
    <xf numFmtId="3" fontId="41" fillId="37" borderId="57" xfId="0" applyNumberFormat="1" applyFont="1" applyFill="1" applyBorder="1" applyAlignment="1">
      <alignment horizontal="center" vertical="center" wrapText="1"/>
    </xf>
    <xf numFmtId="0" fontId="41" fillId="27" borderId="27" xfId="0" applyFont="1" applyFill="1" applyBorder="1" applyAlignment="1">
      <alignment horizontal="center" vertical="center" wrapText="1"/>
    </xf>
    <xf numFmtId="0" fontId="41" fillId="27" borderId="0" xfId="0" applyFont="1" applyFill="1" applyAlignment="1">
      <alignment horizontal="center" vertical="center" wrapText="1"/>
    </xf>
    <xf numFmtId="2" fontId="40" fillId="22" borderId="155" xfId="0" applyNumberFormat="1" applyFont="1" applyFill="1" applyBorder="1" applyAlignment="1">
      <alignment horizontal="center" vertical="center" wrapText="1"/>
    </xf>
    <xf numFmtId="0" fontId="40" fillId="22" borderId="155" xfId="0" applyFont="1" applyFill="1" applyBorder="1" applyAlignment="1">
      <alignment horizontal="center" vertical="center"/>
    </xf>
    <xf numFmtId="0" fontId="35" fillId="26" borderId="0" xfId="0" applyFont="1" applyFill="1" applyAlignment="1">
      <alignment horizontal="center" vertical="center" wrapText="1"/>
    </xf>
    <xf numFmtId="0" fontId="15" fillId="27" borderId="0" xfId="0" applyFont="1" applyFill="1" applyAlignment="1">
      <alignment horizontal="center" vertical="center" wrapText="1"/>
    </xf>
    <xf numFmtId="0" fontId="19" fillId="27" borderId="0" xfId="0" applyFont="1" applyFill="1" applyAlignment="1">
      <alignment horizontal="center" vertical="center" wrapText="1"/>
    </xf>
    <xf numFmtId="0" fontId="40" fillId="22" borderId="159" xfId="0" applyFont="1" applyFill="1" applyBorder="1" applyAlignment="1">
      <alignment horizontal="center" vertical="center" wrapText="1"/>
    </xf>
    <xf numFmtId="0" fontId="40" fillId="22" borderId="160" xfId="0" applyFont="1" applyFill="1" applyBorder="1" applyAlignment="1">
      <alignment horizontal="center" vertical="center" wrapText="1"/>
    </xf>
    <xf numFmtId="0" fontId="40" fillId="22" borderId="161" xfId="0" applyFont="1" applyFill="1" applyBorder="1" applyAlignment="1">
      <alignment horizontal="center" vertical="center" wrapText="1"/>
    </xf>
    <xf numFmtId="0" fontId="43" fillId="26" borderId="0" xfId="32" applyFont="1" applyFill="1" applyAlignment="1">
      <alignment horizontal="left" vertical="center" wrapText="1"/>
    </xf>
    <xf numFmtId="0" fontId="21" fillId="0" borderId="0" xfId="32" applyFont="1" applyAlignment="1">
      <alignment horizontal="left" vertical="center"/>
    </xf>
    <xf numFmtId="0" fontId="43" fillId="0" borderId="0" xfId="32" applyFont="1" applyAlignment="1">
      <alignment vertical="center"/>
    </xf>
    <xf numFmtId="0" fontId="20" fillId="0" borderId="0" xfId="32" applyFont="1" applyAlignment="1">
      <alignment horizontal="center" vertical="center"/>
    </xf>
    <xf numFmtId="0" fontId="40" fillId="37" borderId="45" xfId="32" applyFont="1" applyFill="1" applyBorder="1" applyAlignment="1">
      <alignment horizontal="center" vertical="center" wrapText="1"/>
    </xf>
    <xf numFmtId="0" fontId="40" fillId="37" borderId="47" xfId="32" applyFont="1" applyFill="1" applyBorder="1" applyAlignment="1">
      <alignment horizontal="center" vertical="center" wrapText="1"/>
    </xf>
    <xf numFmtId="0" fontId="40" fillId="37" borderId="46" xfId="32" applyFont="1" applyFill="1" applyBorder="1" applyAlignment="1">
      <alignment horizontal="center" vertical="center"/>
    </xf>
    <xf numFmtId="0" fontId="40" fillId="37" borderId="48" xfId="32" applyFont="1" applyFill="1" applyBorder="1" applyAlignment="1">
      <alignment horizontal="center" vertical="center"/>
    </xf>
    <xf numFmtId="0" fontId="40" fillId="37" borderId="35" xfId="32" applyFont="1" applyFill="1" applyBorder="1" applyAlignment="1">
      <alignment horizontal="center" vertical="center"/>
    </xf>
    <xf numFmtId="0" fontId="40" fillId="37" borderId="34" xfId="32" applyFont="1" applyFill="1" applyBorder="1" applyAlignment="1">
      <alignment horizontal="center" vertical="center"/>
    </xf>
    <xf numFmtId="0" fontId="40" fillId="37" borderId="35" xfId="32" applyFont="1" applyFill="1" applyBorder="1" applyAlignment="1">
      <alignment horizontal="center" vertical="center" wrapText="1"/>
    </xf>
    <xf numFmtId="0" fontId="40" fillId="37" borderId="34" xfId="32" applyFont="1" applyFill="1" applyBorder="1" applyAlignment="1">
      <alignment horizontal="center" vertical="center" wrapText="1"/>
    </xf>
    <xf numFmtId="0" fontId="40" fillId="22" borderId="156" xfId="32" applyFont="1" applyFill="1" applyBorder="1" applyAlignment="1">
      <alignment horizontal="center" vertical="center"/>
    </xf>
    <xf numFmtId="0" fontId="40" fillId="22" borderId="158" xfId="32" applyFont="1" applyFill="1" applyBorder="1" applyAlignment="1">
      <alignment horizontal="center" vertical="center"/>
    </xf>
    <xf numFmtId="0" fontId="15" fillId="0" borderId="0" xfId="32" applyFont="1" applyAlignment="1">
      <alignment horizontal="center" vertical="center" wrapText="1"/>
    </xf>
    <xf numFmtId="0" fontId="40" fillId="22" borderId="156" xfId="32" applyFont="1" applyFill="1" applyBorder="1" applyAlignment="1">
      <alignment horizontal="center" vertical="center" wrapText="1"/>
    </xf>
    <xf numFmtId="0" fontId="40" fillId="22" borderId="158" xfId="32" applyFont="1" applyFill="1" applyBorder="1" applyAlignment="1">
      <alignment horizontal="center" vertical="center" wrapText="1"/>
    </xf>
    <xf numFmtId="0" fontId="42" fillId="27" borderId="30" xfId="32" applyFont="1" applyFill="1" applyBorder="1" applyAlignment="1">
      <alignment horizontal="center" vertical="center"/>
    </xf>
    <xf numFmtId="0" fontId="42" fillId="27" borderId="28" xfId="32" applyFont="1" applyFill="1" applyBorder="1" applyAlignment="1">
      <alignment horizontal="center" vertical="center"/>
    </xf>
    <xf numFmtId="0" fontId="42" fillId="27" borderId="19" xfId="32" applyFont="1" applyFill="1" applyBorder="1" applyAlignment="1">
      <alignment horizontal="center" vertical="center"/>
    </xf>
    <xf numFmtId="0" fontId="13" fillId="26" borderId="0" xfId="0" applyFont="1" applyFill="1" applyAlignment="1">
      <alignment horizontal="right" vertical="center"/>
    </xf>
    <xf numFmtId="0" fontId="40" fillId="27" borderId="0" xfId="0" applyFont="1" applyFill="1" applyAlignment="1">
      <alignment horizontal="left" vertical="center"/>
    </xf>
    <xf numFmtId="0" fontId="42" fillId="27" borderId="0" xfId="0" applyFont="1" applyFill="1" applyAlignment="1">
      <alignment vertical="center"/>
    </xf>
    <xf numFmtId="0" fontId="42" fillId="26" borderId="0" xfId="0" applyFont="1" applyFill="1" applyAlignment="1">
      <alignment horizontal="left" vertical="center" wrapText="1"/>
    </xf>
    <xf numFmtId="0" fontId="15" fillId="0" borderId="0" xfId="32" applyFont="1" applyAlignment="1">
      <alignment horizontal="center" vertical="center"/>
    </xf>
    <xf numFmtId="0" fontId="40" fillId="37" borderId="72" xfId="32" applyFont="1" applyFill="1" applyBorder="1" applyAlignment="1">
      <alignment horizontal="center" vertical="center" wrapText="1"/>
    </xf>
    <xf numFmtId="0" fontId="40" fillId="39" borderId="8" xfId="32" applyFont="1" applyFill="1" applyBorder="1" applyAlignment="1">
      <alignment horizontal="center" vertical="center" wrapText="1"/>
    </xf>
    <xf numFmtId="0" fontId="40" fillId="39" borderId="11" xfId="32" applyFont="1" applyFill="1" applyBorder="1" applyAlignment="1">
      <alignment horizontal="center" vertical="center" wrapText="1"/>
    </xf>
    <xf numFmtId="0" fontId="40" fillId="39" borderId="3" xfId="32" applyFont="1" applyFill="1" applyBorder="1" applyAlignment="1">
      <alignment horizontal="center" vertical="center" wrapText="1"/>
    </xf>
    <xf numFmtId="0" fontId="40" fillId="39" borderId="20" xfId="32" applyFont="1" applyFill="1" applyBorder="1" applyAlignment="1">
      <alignment horizontal="center" vertical="center" wrapText="1"/>
    </xf>
    <xf numFmtId="0" fontId="40" fillId="39" borderId="0" xfId="32" applyFont="1" applyFill="1" applyAlignment="1">
      <alignment horizontal="center" vertical="center" wrapText="1"/>
    </xf>
    <xf numFmtId="0" fontId="40" fillId="39" borderId="43" xfId="32" applyFont="1" applyFill="1" applyBorder="1" applyAlignment="1">
      <alignment horizontal="center" vertical="center" wrapText="1"/>
    </xf>
    <xf numFmtId="0" fontId="40" fillId="37" borderId="29" xfId="32" applyFont="1" applyFill="1" applyBorder="1" applyAlignment="1">
      <alignment horizontal="center" vertical="center"/>
    </xf>
    <xf numFmtId="0" fontId="40" fillId="37" borderId="22" xfId="32" applyFont="1" applyFill="1" applyBorder="1" applyAlignment="1">
      <alignment horizontal="center" vertical="center"/>
    </xf>
    <xf numFmtId="0" fontId="40" fillId="37" borderId="14" xfId="32" applyFont="1" applyFill="1" applyBorder="1" applyAlignment="1">
      <alignment horizontal="center" vertical="center"/>
    </xf>
    <xf numFmtId="0" fontId="40" fillId="37" borderId="54" xfId="32" applyFont="1" applyFill="1" applyBorder="1" applyAlignment="1">
      <alignment horizontal="center" vertical="center" wrapText="1"/>
    </xf>
    <xf numFmtId="0" fontId="40" fillId="37" borderId="58" xfId="32" applyFont="1" applyFill="1" applyBorder="1" applyAlignment="1">
      <alignment horizontal="center" vertical="center" wrapText="1"/>
    </xf>
    <xf numFmtId="0" fontId="40" fillId="37" borderId="4" xfId="32" applyFont="1" applyFill="1" applyBorder="1" applyAlignment="1">
      <alignment horizontal="center" vertical="center" wrapText="1"/>
    </xf>
    <xf numFmtId="0" fontId="75" fillId="37" borderId="74" xfId="32" applyFont="1" applyFill="1" applyBorder="1" applyAlignment="1">
      <alignment horizontal="center" vertical="center" wrapText="1"/>
    </xf>
    <xf numFmtId="0" fontId="75" fillId="37" borderId="64" xfId="32" applyFont="1" applyFill="1" applyBorder="1" applyAlignment="1">
      <alignment horizontal="center" vertical="center" wrapText="1"/>
    </xf>
    <xf numFmtId="0" fontId="42" fillId="27" borderId="1" xfId="32" applyFont="1" applyFill="1" applyBorder="1" applyAlignment="1">
      <alignment horizontal="center" vertical="center"/>
    </xf>
    <xf numFmtId="0" fontId="42" fillId="27" borderId="8" xfId="32" applyFont="1" applyFill="1" applyBorder="1" applyAlignment="1">
      <alignment horizontal="center" vertical="center"/>
    </xf>
    <xf numFmtId="0" fontId="42" fillId="27" borderId="3" xfId="32" applyFont="1" applyFill="1" applyBorder="1" applyAlignment="1">
      <alignment horizontal="center" vertical="center"/>
    </xf>
    <xf numFmtId="0" fontId="40" fillId="27" borderId="0" xfId="32" applyFont="1" applyFill="1" applyAlignment="1">
      <alignment horizontal="center" vertical="center"/>
    </xf>
    <xf numFmtId="0" fontId="40" fillId="22" borderId="154" xfId="32" applyFont="1" applyFill="1" applyBorder="1" applyAlignment="1">
      <alignment horizontal="center" vertical="center"/>
    </xf>
    <xf numFmtId="0" fontId="168" fillId="0" borderId="162" xfId="0" applyFont="1" applyBorder="1" applyAlignment="1">
      <alignment horizontal="left" vertical="center" wrapText="1"/>
    </xf>
    <xf numFmtId="0" fontId="168" fillId="0" borderId="163" xfId="0" applyFont="1" applyBorder="1" applyAlignment="1">
      <alignment horizontal="left" vertical="center" wrapText="1"/>
    </xf>
    <xf numFmtId="0" fontId="168" fillId="0" borderId="164" xfId="0" applyFont="1" applyBorder="1" applyAlignment="1">
      <alignment horizontal="left" vertical="center" wrapText="1"/>
    </xf>
    <xf numFmtId="0" fontId="84" fillId="27" borderId="0" xfId="0" applyFont="1" applyFill="1" applyAlignment="1">
      <alignment horizontal="left" vertical="center" wrapText="1"/>
    </xf>
    <xf numFmtId="0" fontId="77" fillId="27" borderId="0" xfId="32" applyFont="1" applyFill="1" applyAlignment="1">
      <alignment horizontal="center" vertical="center" wrapText="1"/>
    </xf>
    <xf numFmtId="0" fontId="69" fillId="39" borderId="1" xfId="32" applyFont="1" applyFill="1" applyBorder="1" applyAlignment="1">
      <alignment horizontal="left" vertical="center"/>
    </xf>
    <xf numFmtId="0" fontId="69" fillId="39" borderId="8" xfId="32" applyFont="1" applyFill="1" applyBorder="1" applyAlignment="1">
      <alignment horizontal="left" vertical="center"/>
    </xf>
    <xf numFmtId="0" fontId="69" fillId="39" borderId="3" xfId="32" applyFont="1" applyFill="1" applyBorder="1" applyAlignment="1">
      <alignment horizontal="left" vertical="center"/>
    </xf>
    <xf numFmtId="0" fontId="47" fillId="37" borderId="35" xfId="32" applyFont="1" applyFill="1" applyBorder="1" applyAlignment="1">
      <alignment horizontal="center" vertical="center" wrapText="1"/>
    </xf>
    <xf numFmtId="0" fontId="47" fillId="37" borderId="34" xfId="32" applyFont="1" applyFill="1" applyBorder="1" applyAlignment="1">
      <alignment horizontal="center" vertical="center" wrapText="1"/>
    </xf>
    <xf numFmtId="0" fontId="47" fillId="37" borderId="35" xfId="32" applyFont="1" applyFill="1" applyBorder="1" applyAlignment="1">
      <alignment horizontal="center" vertical="center"/>
    </xf>
    <xf numFmtId="0" fontId="47" fillId="37" borderId="34" xfId="32" applyFont="1" applyFill="1" applyBorder="1" applyAlignment="1">
      <alignment horizontal="center" vertical="center"/>
    </xf>
    <xf numFmtId="0" fontId="65" fillId="37" borderId="1" xfId="32" applyFont="1" applyFill="1" applyBorder="1" applyAlignment="1">
      <alignment horizontal="center" vertical="center" wrapText="1"/>
    </xf>
    <xf numFmtId="0" fontId="65" fillId="37" borderId="8" xfId="32" applyFont="1" applyFill="1" applyBorder="1" applyAlignment="1">
      <alignment horizontal="center" vertical="center" wrapText="1"/>
    </xf>
    <xf numFmtId="0" fontId="65" fillId="37" borderId="3" xfId="32" applyFont="1" applyFill="1" applyBorder="1" applyAlignment="1">
      <alignment horizontal="center" vertical="center" wrapText="1"/>
    </xf>
    <xf numFmtId="0" fontId="81" fillId="27" borderId="0" xfId="32" applyFont="1" applyFill="1" applyAlignment="1">
      <alignment horizontal="center" vertical="center"/>
    </xf>
    <xf numFmtId="0" fontId="69" fillId="27" borderId="0" xfId="32" applyFont="1" applyFill="1" applyAlignment="1">
      <alignment horizontal="center" vertical="center"/>
    </xf>
    <xf numFmtId="0" fontId="65" fillId="37" borderId="35" xfId="32" applyFont="1" applyFill="1" applyBorder="1" applyAlignment="1">
      <alignment horizontal="center" vertical="center" wrapText="1"/>
    </xf>
    <xf numFmtId="0" fontId="65" fillId="37" borderId="34" xfId="32" applyFont="1" applyFill="1" applyBorder="1" applyAlignment="1">
      <alignment horizontal="center" vertical="center" wrapText="1"/>
    </xf>
    <xf numFmtId="0" fontId="84" fillId="27" borderId="0" xfId="0" applyFont="1" applyFill="1" applyAlignment="1">
      <alignment horizontal="left" vertical="center"/>
    </xf>
    <xf numFmtId="0" fontId="158" fillId="37" borderId="35" xfId="32" applyFont="1" applyFill="1" applyBorder="1" applyAlignment="1">
      <alignment horizontal="center" vertical="center" wrapText="1"/>
    </xf>
    <xf numFmtId="0" fontId="158" fillId="37" borderId="34" xfId="32" applyFont="1" applyFill="1" applyBorder="1" applyAlignment="1">
      <alignment horizontal="center" vertical="center" wrapText="1"/>
    </xf>
    <xf numFmtId="0" fontId="47" fillId="37" borderId="1" xfId="32" applyFont="1" applyFill="1" applyBorder="1" applyAlignment="1">
      <alignment horizontal="center" vertical="center" wrapText="1"/>
    </xf>
    <xf numFmtId="0" fontId="47" fillId="37" borderId="8" xfId="32" applyFont="1" applyFill="1" applyBorder="1" applyAlignment="1">
      <alignment horizontal="center" vertical="center" wrapText="1"/>
    </xf>
    <xf numFmtId="0" fontId="47" fillId="37" borderId="3" xfId="32" applyFont="1" applyFill="1" applyBorder="1" applyAlignment="1">
      <alignment horizontal="center" vertical="center" wrapText="1"/>
    </xf>
    <xf numFmtId="3" fontId="47" fillId="37" borderId="1" xfId="32" applyNumberFormat="1" applyFont="1" applyFill="1" applyBorder="1" applyAlignment="1">
      <alignment horizontal="center" vertical="center" wrapText="1"/>
    </xf>
    <xf numFmtId="3" fontId="47" fillId="37" borderId="8" xfId="32" applyNumberFormat="1" applyFont="1" applyFill="1" applyBorder="1" applyAlignment="1">
      <alignment horizontal="center" vertical="center" wrapText="1"/>
    </xf>
    <xf numFmtId="3" fontId="47" fillId="37" borderId="3" xfId="32" applyNumberFormat="1" applyFont="1" applyFill="1" applyBorder="1" applyAlignment="1">
      <alignment horizontal="center" vertical="center" wrapText="1"/>
    </xf>
    <xf numFmtId="0" fontId="40" fillId="37" borderId="29" xfId="49" applyFont="1" applyFill="1" applyBorder="1" applyAlignment="1">
      <alignment horizontal="center" vertical="center" wrapText="1"/>
    </xf>
    <xf numFmtId="0" fontId="40" fillId="37" borderId="22" xfId="49" applyFont="1" applyFill="1" applyBorder="1" applyAlignment="1">
      <alignment horizontal="center" vertical="center" wrapText="1"/>
    </xf>
    <xf numFmtId="0" fontId="40" fillId="37" borderId="14" xfId="49" applyFont="1" applyFill="1" applyBorder="1" applyAlignment="1">
      <alignment horizontal="center" vertical="center" wrapText="1"/>
    </xf>
    <xf numFmtId="0" fontId="15" fillId="0" borderId="0" xfId="31" applyFont="1" applyAlignment="1">
      <alignment horizontal="center" vertical="center"/>
    </xf>
    <xf numFmtId="0" fontId="20" fillId="0" borderId="0" xfId="0" applyFont="1" applyAlignment="1">
      <alignment horizontal="center" vertical="center"/>
    </xf>
    <xf numFmtId="0" fontId="40" fillId="37" borderId="1" xfId="49" applyFont="1" applyFill="1" applyBorder="1" applyAlignment="1">
      <alignment horizontal="center" vertical="center"/>
    </xf>
    <xf numFmtId="0" fontId="40" fillId="37" borderId="8" xfId="49" applyFont="1" applyFill="1" applyBorder="1" applyAlignment="1">
      <alignment horizontal="center" vertical="center"/>
    </xf>
    <xf numFmtId="0" fontId="40" fillId="37" borderId="3" xfId="49" applyFont="1" applyFill="1" applyBorder="1" applyAlignment="1">
      <alignment horizontal="center" vertical="center"/>
    </xf>
    <xf numFmtId="49" fontId="40" fillId="37" borderId="75" xfId="31" applyNumberFormat="1" applyFont="1" applyFill="1" applyBorder="1" applyAlignment="1">
      <alignment horizontal="center" vertical="center"/>
    </xf>
    <xf numFmtId="49" fontId="40" fillId="37" borderId="56" xfId="31" applyNumberFormat="1" applyFont="1" applyFill="1" applyBorder="1" applyAlignment="1">
      <alignment horizontal="center" vertical="center"/>
    </xf>
    <xf numFmtId="49" fontId="12" fillId="0" borderId="51" xfId="31" applyNumberFormat="1" applyFont="1" applyBorder="1" applyAlignment="1">
      <alignment horizontal="center" vertical="center"/>
    </xf>
    <xf numFmtId="49" fontId="12" fillId="0" borderId="21" xfId="31" applyNumberFormat="1" applyFont="1" applyBorder="1" applyAlignment="1">
      <alignment horizontal="center" vertical="center"/>
    </xf>
    <xf numFmtId="0" fontId="40" fillId="37" borderId="74" xfId="31" applyFont="1" applyFill="1" applyBorder="1" applyAlignment="1">
      <alignment horizontal="center" vertical="center"/>
    </xf>
    <xf numFmtId="0" fontId="40" fillId="37" borderId="78" xfId="31" applyFont="1" applyFill="1" applyBorder="1" applyAlignment="1">
      <alignment horizontal="center" vertical="center"/>
    </xf>
    <xf numFmtId="0" fontId="40" fillId="37" borderId="11" xfId="31" applyFont="1" applyFill="1" applyBorder="1" applyAlignment="1">
      <alignment horizontal="center" vertical="center" wrapText="1"/>
    </xf>
    <xf numFmtId="0" fontId="40" fillId="37" borderId="20" xfId="31" applyFont="1" applyFill="1" applyBorder="1" applyAlignment="1">
      <alignment horizontal="center" vertical="center" wrapText="1"/>
    </xf>
    <xf numFmtId="0" fontId="40" fillId="37" borderId="29" xfId="49" applyFont="1" applyFill="1" applyBorder="1" applyAlignment="1">
      <alignment horizontal="center" vertical="center"/>
    </xf>
    <xf numFmtId="0" fontId="40" fillId="37" borderId="22" xfId="49" applyFont="1" applyFill="1" applyBorder="1" applyAlignment="1">
      <alignment horizontal="center" vertical="center"/>
    </xf>
    <xf numFmtId="0" fontId="40" fillId="37" borderId="14" xfId="49" applyFont="1" applyFill="1" applyBorder="1" applyAlignment="1">
      <alignment horizontal="center" vertical="center"/>
    </xf>
    <xf numFmtId="49" fontId="12" fillId="0" borderId="17" xfId="31" applyNumberFormat="1" applyFont="1" applyBorder="1" applyAlignment="1">
      <alignment horizontal="center" vertical="center"/>
    </xf>
    <xf numFmtId="0" fontId="40" fillId="37" borderId="0" xfId="31" applyFont="1" applyFill="1" applyAlignment="1">
      <alignment horizontal="center" vertical="center" wrapText="1"/>
    </xf>
    <xf numFmtId="0" fontId="40" fillId="37" borderId="35" xfId="31" applyFont="1" applyFill="1" applyBorder="1" applyAlignment="1">
      <alignment horizontal="center" vertical="center" wrapText="1"/>
    </xf>
    <xf numFmtId="0" fontId="40" fillId="37" borderId="34" xfId="31" applyFont="1" applyFill="1" applyBorder="1" applyAlignment="1">
      <alignment horizontal="center" vertical="center" wrapText="1"/>
    </xf>
    <xf numFmtId="0" fontId="40" fillId="37" borderId="37" xfId="31" applyFont="1" applyFill="1" applyBorder="1" applyAlignment="1">
      <alignment horizontal="center" vertical="center" wrapText="1"/>
    </xf>
    <xf numFmtId="0" fontId="43" fillId="0" borderId="0" xfId="0" applyFont="1" applyAlignment="1">
      <alignment horizontal="left" vertical="top" wrapText="1"/>
    </xf>
    <xf numFmtId="0" fontId="21" fillId="22" borderId="154" xfId="0" applyFont="1" applyFill="1" applyBorder="1" applyAlignment="1">
      <alignment horizontal="center" vertical="center"/>
    </xf>
    <xf numFmtId="0" fontId="15" fillId="27" borderId="0" xfId="49" applyFont="1" applyFill="1" applyAlignment="1">
      <alignment horizontal="center" vertical="center" wrapText="1"/>
    </xf>
    <xf numFmtId="0" fontId="40" fillId="37" borderId="40" xfId="49" applyFont="1" applyFill="1" applyBorder="1" applyAlignment="1">
      <alignment horizontal="center" vertical="center" wrapText="1"/>
    </xf>
    <xf numFmtId="0" fontId="40" fillId="37" borderId="42" xfId="49" applyFont="1" applyFill="1" applyBorder="1" applyAlignment="1">
      <alignment horizontal="center" vertical="center" wrapText="1"/>
    </xf>
    <xf numFmtId="0" fontId="40" fillId="37" borderId="11" xfId="49" applyFont="1" applyFill="1" applyBorder="1" applyAlignment="1">
      <alignment horizontal="center" vertical="center" wrapText="1"/>
    </xf>
    <xf numFmtId="0" fontId="40" fillId="37" borderId="41" xfId="49" applyFont="1" applyFill="1" applyBorder="1" applyAlignment="1">
      <alignment horizontal="center" vertical="center" wrapText="1"/>
    </xf>
    <xf numFmtId="0" fontId="40" fillId="37" borderId="35" xfId="49" applyFont="1" applyFill="1" applyBorder="1" applyAlignment="1">
      <alignment horizontal="center" vertical="center" wrapText="1"/>
    </xf>
    <xf numFmtId="0" fontId="40" fillId="37" borderId="34" xfId="49" applyFont="1" applyFill="1" applyBorder="1" applyAlignment="1">
      <alignment horizontal="center" vertical="center" wrapText="1"/>
    </xf>
    <xf numFmtId="0" fontId="113" fillId="27" borderId="87" xfId="49" applyFont="1" applyFill="1" applyBorder="1" applyAlignment="1">
      <alignment horizontal="center" vertical="center" wrapText="1"/>
    </xf>
    <xf numFmtId="0" fontId="114" fillId="0" borderId="88" xfId="0" applyFont="1" applyBorder="1" applyAlignment="1">
      <alignment horizontal="center" vertical="center" wrapText="1"/>
    </xf>
    <xf numFmtId="0" fontId="20" fillId="27" borderId="0" xfId="49" applyFont="1" applyFill="1" applyAlignment="1">
      <alignment horizontal="center" vertical="center" wrapText="1"/>
    </xf>
    <xf numFmtId="0" fontId="119" fillId="27" borderId="0" xfId="49" applyFont="1" applyFill="1" applyAlignment="1">
      <alignment vertical="center" wrapText="1"/>
    </xf>
    <xf numFmtId="0" fontId="43" fillId="27" borderId="0" xfId="49" applyFont="1" applyFill="1" applyAlignment="1">
      <alignment vertical="center" wrapText="1"/>
    </xf>
    <xf numFmtId="3" fontId="40" fillId="37" borderId="40" xfId="49" applyNumberFormat="1" applyFont="1" applyFill="1" applyBorder="1" applyAlignment="1">
      <alignment horizontal="center" vertical="center"/>
    </xf>
    <xf numFmtId="3" fontId="40" fillId="37" borderId="42" xfId="49" applyNumberFormat="1" applyFont="1" applyFill="1" applyBorder="1" applyAlignment="1">
      <alignment horizontal="center" vertical="center"/>
    </xf>
    <xf numFmtId="3" fontId="40" fillId="37" borderId="11" xfId="49" applyNumberFormat="1" applyFont="1" applyFill="1" applyBorder="1" applyAlignment="1">
      <alignment horizontal="center" vertical="center"/>
    </xf>
    <xf numFmtId="3" fontId="40" fillId="37" borderId="41" xfId="49" applyNumberFormat="1" applyFont="1" applyFill="1" applyBorder="1" applyAlignment="1">
      <alignment horizontal="center" vertical="center"/>
    </xf>
    <xf numFmtId="3" fontId="15" fillId="27" borderId="0" xfId="49" applyNumberFormat="1" applyFont="1" applyFill="1" applyAlignment="1">
      <alignment horizontal="center" vertical="center" wrapText="1"/>
    </xf>
    <xf numFmtId="3" fontId="20" fillId="27" borderId="0" xfId="49" applyNumberFormat="1" applyFont="1" applyFill="1" applyAlignment="1">
      <alignment horizontal="center" vertical="center"/>
    </xf>
    <xf numFmtId="3" fontId="40" fillId="37" borderId="35" xfId="49" applyNumberFormat="1" applyFont="1" applyFill="1" applyBorder="1" applyAlignment="1">
      <alignment horizontal="center" vertical="center" wrapText="1"/>
    </xf>
    <xf numFmtId="3" fontId="40" fillId="37" borderId="34" xfId="49" applyNumberFormat="1" applyFont="1" applyFill="1" applyBorder="1" applyAlignment="1">
      <alignment horizontal="center" vertical="center" wrapText="1"/>
    </xf>
    <xf numFmtId="0" fontId="21" fillId="37" borderId="1" xfId="49" applyFont="1" applyFill="1" applyBorder="1" applyAlignment="1">
      <alignment horizontal="center" vertical="center"/>
    </xf>
    <xf numFmtId="0" fontId="21" fillId="37" borderId="8" xfId="49" applyFont="1" applyFill="1" applyBorder="1" applyAlignment="1">
      <alignment horizontal="center" vertical="center"/>
    </xf>
    <xf numFmtId="0" fontId="21" fillId="37" borderId="3" xfId="49" applyFont="1" applyFill="1" applyBorder="1" applyAlignment="1">
      <alignment horizontal="center" vertical="center"/>
    </xf>
    <xf numFmtId="0" fontId="21" fillId="37" borderId="40" xfId="49" applyFont="1" applyFill="1" applyBorder="1" applyAlignment="1">
      <alignment horizontal="center" vertical="center"/>
    </xf>
    <xf numFmtId="0" fontId="21" fillId="37" borderId="11" xfId="49" applyFont="1" applyFill="1" applyBorder="1" applyAlignment="1">
      <alignment horizontal="center" vertical="center"/>
    </xf>
    <xf numFmtId="0" fontId="21" fillId="37" borderId="41" xfId="49" applyFont="1" applyFill="1" applyBorder="1" applyAlignment="1">
      <alignment horizontal="center" vertical="center"/>
    </xf>
    <xf numFmtId="0" fontId="43" fillId="27" borderId="0" xfId="49" applyFont="1" applyFill="1" applyAlignment="1">
      <alignment vertical="top" wrapText="1"/>
    </xf>
    <xf numFmtId="0" fontId="15" fillId="0" borderId="0" xfId="49" applyFont="1" applyAlignment="1">
      <alignment horizontal="center" vertical="center" wrapText="1"/>
    </xf>
    <xf numFmtId="0" fontId="21" fillId="32" borderId="1" xfId="49" applyFont="1" applyFill="1" applyBorder="1" applyAlignment="1">
      <alignment horizontal="center" vertical="center" wrapText="1"/>
    </xf>
    <xf numFmtId="0" fontId="21" fillId="32" borderId="8" xfId="49" applyFont="1" applyFill="1" applyBorder="1" applyAlignment="1">
      <alignment horizontal="center" vertical="center" wrapText="1"/>
    </xf>
    <xf numFmtId="0" fontId="21" fillId="32" borderId="3" xfId="49" applyFont="1" applyFill="1" applyBorder="1" applyAlignment="1">
      <alignment horizontal="center" vertical="center" wrapText="1"/>
    </xf>
    <xf numFmtId="0" fontId="20" fillId="27" borderId="0" xfId="49" applyFont="1" applyFill="1" applyAlignment="1">
      <alignment horizontal="center" vertical="center"/>
    </xf>
    <xf numFmtId="0" fontId="21" fillId="37" borderId="42" xfId="49" applyFont="1" applyFill="1" applyBorder="1" applyAlignment="1">
      <alignment horizontal="center" vertical="center"/>
    </xf>
    <xf numFmtId="0" fontId="42" fillId="27" borderId="0" xfId="49" applyFont="1" applyFill="1" applyAlignment="1">
      <alignment vertical="center" wrapText="1"/>
    </xf>
    <xf numFmtId="0" fontId="40" fillId="36" borderId="1" xfId="49" applyFont="1" applyFill="1" applyBorder="1" applyAlignment="1">
      <alignment horizontal="left" vertical="center" wrapText="1"/>
    </xf>
    <xf numFmtId="0" fontId="40" fillId="36" borderId="8" xfId="49" applyFont="1" applyFill="1" applyBorder="1" applyAlignment="1">
      <alignment horizontal="left" vertical="center" wrapText="1"/>
    </xf>
    <xf numFmtId="0" fontId="40" fillId="36" borderId="3" xfId="49" applyFont="1" applyFill="1" applyBorder="1" applyAlignment="1">
      <alignment horizontal="left" vertical="center" wrapText="1"/>
    </xf>
    <xf numFmtId="0" fontId="40" fillId="32" borderId="1" xfId="49" applyFont="1" applyFill="1" applyBorder="1" applyAlignment="1">
      <alignment horizontal="left" vertical="center" wrapText="1"/>
    </xf>
    <xf numFmtId="0" fontId="40" fillId="32" borderId="8" xfId="49" applyFont="1" applyFill="1" applyBorder="1" applyAlignment="1">
      <alignment horizontal="left" vertical="center" wrapText="1"/>
    </xf>
    <xf numFmtId="0" fontId="40" fillId="32" borderId="3" xfId="49" applyFont="1" applyFill="1" applyBorder="1" applyAlignment="1">
      <alignment horizontal="left" vertical="center" wrapText="1"/>
    </xf>
    <xf numFmtId="49" fontId="40" fillId="24" borderId="1" xfId="49" applyNumberFormat="1" applyFont="1" applyFill="1" applyBorder="1" applyAlignment="1">
      <alignment horizontal="left" vertical="center" wrapText="1"/>
    </xf>
    <xf numFmtId="49" fontId="40" fillId="24" borderId="8" xfId="49" applyNumberFormat="1" applyFont="1" applyFill="1" applyBorder="1" applyAlignment="1">
      <alignment horizontal="left" vertical="center" wrapText="1"/>
    </xf>
    <xf numFmtId="49" fontId="40" fillId="24" borderId="3" xfId="49" applyNumberFormat="1" applyFont="1" applyFill="1" applyBorder="1" applyAlignment="1">
      <alignment horizontal="left" vertical="center" wrapText="1"/>
    </xf>
    <xf numFmtId="3" fontId="41" fillId="37" borderId="40" xfId="49" applyNumberFormat="1" applyFont="1" applyFill="1" applyBorder="1" applyAlignment="1">
      <alignment horizontal="center" vertical="center" wrapText="1"/>
    </xf>
    <xf numFmtId="3" fontId="41" fillId="37" borderId="41" xfId="49" applyNumberFormat="1" applyFont="1" applyFill="1" applyBorder="1" applyAlignment="1">
      <alignment horizontal="center" vertical="center" wrapText="1"/>
    </xf>
    <xf numFmtId="3" fontId="41" fillId="37" borderId="27" xfId="49" applyNumberFormat="1" applyFont="1" applyFill="1" applyBorder="1" applyAlignment="1">
      <alignment horizontal="center" vertical="center" wrapText="1"/>
    </xf>
    <xf numFmtId="3" fontId="41" fillId="37" borderId="16" xfId="49" applyNumberFormat="1" applyFont="1" applyFill="1" applyBorder="1" applyAlignment="1">
      <alignment horizontal="center" vertical="center" wrapText="1"/>
    </xf>
    <xf numFmtId="3" fontId="41" fillId="37" borderId="42" xfId="49" applyNumberFormat="1" applyFont="1" applyFill="1" applyBorder="1" applyAlignment="1">
      <alignment horizontal="center" vertical="center" wrapText="1"/>
    </xf>
    <xf numFmtId="3" fontId="41" fillId="37" borderId="43" xfId="49" applyNumberFormat="1" applyFont="1" applyFill="1" applyBorder="1" applyAlignment="1">
      <alignment horizontal="center" vertical="center" wrapText="1"/>
    </xf>
    <xf numFmtId="3" fontId="41" fillId="26" borderId="20" xfId="49" applyNumberFormat="1" applyFont="1" applyFill="1" applyBorder="1" applyAlignment="1">
      <alignment horizontal="center" vertical="center" wrapText="1"/>
    </xf>
    <xf numFmtId="3" fontId="41" fillId="26" borderId="43" xfId="49" applyNumberFormat="1" applyFont="1" applyFill="1" applyBorder="1" applyAlignment="1">
      <alignment horizontal="center" vertical="center" wrapText="1"/>
    </xf>
    <xf numFmtId="49" fontId="40" fillId="24" borderId="1" xfId="49" applyNumberFormat="1" applyFont="1" applyFill="1" applyBorder="1" applyAlignment="1">
      <alignment horizontal="left" vertical="center"/>
    </xf>
    <xf numFmtId="49" fontId="40" fillId="24" borderId="8" xfId="49" applyNumberFormat="1" applyFont="1" applyFill="1" applyBorder="1" applyAlignment="1">
      <alignment horizontal="left" vertical="center"/>
    </xf>
    <xf numFmtId="49" fontId="40" fillId="24" borderId="3" xfId="49" applyNumberFormat="1" applyFont="1" applyFill="1" applyBorder="1" applyAlignment="1">
      <alignment horizontal="left" vertical="center"/>
    </xf>
    <xf numFmtId="0" fontId="164" fillId="0" borderId="30" xfId="49" applyFont="1" applyBorder="1" applyAlignment="1">
      <alignment horizontal="left" vertical="center" wrapText="1"/>
    </xf>
    <xf numFmtId="0" fontId="164" fillId="0" borderId="28" xfId="49" applyFont="1" applyBorder="1" applyAlignment="1">
      <alignment horizontal="left" vertical="center" wrapText="1"/>
    </xf>
    <xf numFmtId="0" fontId="164" fillId="0" borderId="19" xfId="49" applyFont="1" applyBorder="1" applyAlignment="1">
      <alignment horizontal="left" vertical="center" wrapText="1"/>
    </xf>
    <xf numFmtId="3" fontId="43" fillId="37" borderId="39" xfId="32" applyNumberFormat="1" applyFont="1" applyFill="1" applyBorder="1" applyAlignment="1">
      <alignment horizontal="center" vertical="center"/>
    </xf>
    <xf numFmtId="3" fontId="43" fillId="37" borderId="5" xfId="32" applyNumberFormat="1" applyFont="1" applyFill="1" applyBorder="1" applyAlignment="1">
      <alignment horizontal="center" vertical="center"/>
    </xf>
    <xf numFmtId="3" fontId="43" fillId="52" borderId="39" xfId="32" applyNumberFormat="1" applyFont="1" applyFill="1" applyBorder="1" applyAlignment="1">
      <alignment horizontal="center" vertical="center"/>
    </xf>
    <xf numFmtId="3" fontId="43" fillId="52" borderId="5" xfId="32" applyNumberFormat="1" applyFont="1" applyFill="1" applyBorder="1" applyAlignment="1">
      <alignment horizontal="center" vertical="center"/>
    </xf>
    <xf numFmtId="0" fontId="40" fillId="37" borderId="26" xfId="49" applyFont="1" applyFill="1" applyBorder="1" applyAlignment="1">
      <alignment horizontal="center" vertical="center" wrapText="1"/>
    </xf>
    <xf numFmtId="1" fontId="40" fillId="38" borderId="1" xfId="21" applyFont="1" applyFill="1" applyBorder="1">
      <alignment horizontal="center" vertical="center" wrapText="1"/>
    </xf>
    <xf numFmtId="1" fontId="40" fillId="38" borderId="8" xfId="21" applyFont="1" applyFill="1" applyBorder="1">
      <alignment horizontal="center" vertical="center" wrapText="1"/>
    </xf>
    <xf numFmtId="1" fontId="40" fillId="38" borderId="3" xfId="21" applyFont="1" applyFill="1" applyBorder="1">
      <alignment horizontal="center" vertical="center" wrapText="1"/>
    </xf>
    <xf numFmtId="0" fontId="40" fillId="22" borderId="154" xfId="49" applyFont="1" applyFill="1" applyBorder="1" applyAlignment="1">
      <alignment horizontal="center" vertical="center" wrapText="1"/>
    </xf>
    <xf numFmtId="2" fontId="40" fillId="22" borderId="154" xfId="49" applyNumberFormat="1" applyFont="1" applyFill="1" applyBorder="1" applyAlignment="1">
      <alignment horizontal="center" vertical="center" wrapText="1"/>
    </xf>
    <xf numFmtId="180" fontId="169" fillId="27" borderId="162" xfId="31" applyNumberFormat="1" applyFont="1" applyFill="1" applyBorder="1" applyAlignment="1">
      <alignment horizontal="center" vertical="center"/>
    </xf>
    <xf numFmtId="180" fontId="169" fillId="27" borderId="164" xfId="31" applyNumberFormat="1" applyFont="1" applyFill="1" applyBorder="1" applyAlignment="1">
      <alignment horizontal="center" vertical="center"/>
    </xf>
    <xf numFmtId="0" fontId="40" fillId="37" borderId="76" xfId="49" applyFont="1" applyFill="1" applyBorder="1" applyAlignment="1">
      <alignment horizontal="center" vertical="center" wrapText="1"/>
    </xf>
    <xf numFmtId="0" fontId="41" fillId="37" borderId="53" xfId="49" applyFont="1" applyFill="1" applyBorder="1" applyAlignment="1">
      <alignment vertical="center"/>
    </xf>
    <xf numFmtId="0" fontId="41" fillId="37" borderId="57" xfId="49" applyFont="1" applyFill="1" applyBorder="1" applyAlignment="1">
      <alignment vertical="center"/>
    </xf>
    <xf numFmtId="0" fontId="40" fillId="37" borderId="20" xfId="49" applyFont="1" applyFill="1" applyBorder="1" applyAlignment="1">
      <alignment horizontal="center" vertical="center" wrapText="1"/>
    </xf>
    <xf numFmtId="0" fontId="40" fillId="37" borderId="43" xfId="49" applyFont="1" applyFill="1" applyBorder="1" applyAlignment="1">
      <alignment horizontal="center" vertical="center" wrapText="1"/>
    </xf>
    <xf numFmtId="0" fontId="52" fillId="27" borderId="0" xfId="49" applyFont="1" applyFill="1" applyAlignment="1">
      <alignment horizontal="left" vertical="center" wrapText="1"/>
    </xf>
    <xf numFmtId="0" fontId="40" fillId="24" borderId="1" xfId="49" applyFont="1" applyFill="1" applyBorder="1" applyAlignment="1">
      <alignment horizontal="center" vertical="center" wrapText="1"/>
    </xf>
    <xf numFmtId="0" fontId="40" fillId="24" borderId="3" xfId="49" applyFont="1" applyFill="1" applyBorder="1" applyAlignment="1">
      <alignment horizontal="center" vertical="center" wrapText="1"/>
    </xf>
    <xf numFmtId="2" fontId="40" fillId="37" borderId="75" xfId="49" applyNumberFormat="1" applyFont="1" applyFill="1" applyBorder="1" applyAlignment="1">
      <alignment horizontal="center" vertical="center" wrapText="1"/>
    </xf>
    <xf numFmtId="2" fontId="40" fillId="37" borderId="73" xfId="49" applyNumberFormat="1" applyFont="1" applyFill="1" applyBorder="1" applyAlignment="1">
      <alignment horizontal="center" vertical="center" wrapText="1"/>
    </xf>
    <xf numFmtId="2" fontId="40" fillId="37" borderId="76" xfId="49" applyNumberFormat="1" applyFont="1" applyFill="1" applyBorder="1" applyAlignment="1">
      <alignment horizontal="center" vertical="center" wrapText="1"/>
    </xf>
    <xf numFmtId="0" fontId="40" fillId="37" borderId="72" xfId="49" applyFont="1" applyFill="1" applyBorder="1" applyAlignment="1">
      <alignment horizontal="center" vertical="center" wrapText="1"/>
    </xf>
    <xf numFmtId="0" fontId="40" fillId="37" borderId="73" xfId="49" applyFont="1" applyFill="1" applyBorder="1" applyAlignment="1">
      <alignment horizontal="center" vertical="center" wrapText="1"/>
    </xf>
    <xf numFmtId="0" fontId="40" fillId="37" borderId="75" xfId="49" applyFont="1" applyFill="1" applyBorder="1" applyAlignment="1">
      <alignment horizontal="center" vertical="center" wrapText="1"/>
    </xf>
    <xf numFmtId="0" fontId="40" fillId="37" borderId="35" xfId="49" applyFont="1" applyFill="1" applyBorder="1" applyAlignment="1">
      <alignment horizontal="center" vertical="center"/>
    </xf>
    <xf numFmtId="0" fontId="40" fillId="37" borderId="34" xfId="49" applyFont="1" applyFill="1" applyBorder="1" applyAlignment="1">
      <alignment horizontal="center" vertical="center"/>
    </xf>
    <xf numFmtId="0" fontId="40" fillId="37" borderId="1" xfId="49" applyFont="1" applyFill="1" applyBorder="1" applyAlignment="1">
      <alignment horizontal="center" vertical="center" wrapText="1"/>
    </xf>
    <xf numFmtId="0" fontId="40" fillId="37" borderId="8" xfId="49" applyFont="1" applyFill="1" applyBorder="1" applyAlignment="1">
      <alignment horizontal="center" vertical="center" wrapText="1"/>
    </xf>
    <xf numFmtId="0" fontId="40" fillId="37" borderId="3" xfId="49" applyFont="1" applyFill="1" applyBorder="1" applyAlignment="1">
      <alignment horizontal="center" vertical="center" wrapText="1"/>
    </xf>
    <xf numFmtId="2" fontId="40" fillId="37" borderId="1" xfId="49" applyNumberFormat="1" applyFont="1" applyFill="1" applyBorder="1" applyAlignment="1">
      <alignment horizontal="center" vertical="center" wrapText="1"/>
    </xf>
    <xf numFmtId="2" fontId="40" fillId="37" borderId="8" xfId="49" applyNumberFormat="1" applyFont="1" applyFill="1" applyBorder="1" applyAlignment="1">
      <alignment horizontal="center" vertical="center" wrapText="1"/>
    </xf>
    <xf numFmtId="2" fontId="40" fillId="37" borderId="3" xfId="49" applyNumberFormat="1" applyFont="1" applyFill="1" applyBorder="1" applyAlignment="1">
      <alignment horizontal="center" vertical="center" wrapText="1"/>
    </xf>
    <xf numFmtId="0" fontId="41" fillId="37" borderId="52" xfId="49" applyFont="1" applyFill="1" applyBorder="1" applyAlignment="1">
      <alignment vertical="center"/>
    </xf>
    <xf numFmtId="0" fontId="41" fillId="37" borderId="56" xfId="49" applyFont="1" applyFill="1" applyBorder="1" applyAlignment="1">
      <alignment vertical="center"/>
    </xf>
    <xf numFmtId="169" fontId="40" fillId="22" borderId="154" xfId="49" applyNumberFormat="1" applyFont="1" applyFill="1" applyBorder="1" applyAlignment="1">
      <alignment horizontal="center" vertical="center" wrapText="1"/>
    </xf>
    <xf numFmtId="0" fontId="40" fillId="22" borderId="162" xfId="49" applyFont="1" applyFill="1" applyBorder="1" applyAlignment="1">
      <alignment horizontal="center" vertical="center" wrapText="1"/>
    </xf>
    <xf numFmtId="0" fontId="40" fillId="22" borderId="163" xfId="49" applyFont="1" applyFill="1" applyBorder="1" applyAlignment="1">
      <alignment horizontal="center" vertical="center" wrapText="1"/>
    </xf>
    <xf numFmtId="169" fontId="40" fillId="37" borderId="1" xfId="49" applyNumberFormat="1" applyFont="1" applyFill="1" applyBorder="1" applyAlignment="1">
      <alignment horizontal="center" vertical="center" wrapText="1"/>
    </xf>
    <xf numFmtId="169" fontId="40" fillId="37" borderId="8" xfId="49" applyNumberFormat="1" applyFont="1" applyFill="1" applyBorder="1" applyAlignment="1">
      <alignment horizontal="center" vertical="center" wrapText="1"/>
    </xf>
    <xf numFmtId="169" fontId="40" fillId="37" borderId="3" xfId="49" applyNumberFormat="1" applyFont="1" applyFill="1" applyBorder="1" applyAlignment="1">
      <alignment horizontal="center" vertical="center" wrapText="1"/>
    </xf>
    <xf numFmtId="171" fontId="105" fillId="37" borderId="73" xfId="49" applyNumberFormat="1" applyFont="1" applyFill="1" applyBorder="1" applyAlignment="1">
      <alignment horizontal="center" vertical="center" wrapText="1"/>
    </xf>
    <xf numFmtId="169" fontId="105" fillId="37" borderId="73" xfId="49" applyNumberFormat="1" applyFont="1" applyFill="1" applyBorder="1" applyAlignment="1">
      <alignment horizontal="center" vertical="center" wrapText="1"/>
    </xf>
    <xf numFmtId="169" fontId="105" fillId="37" borderId="76" xfId="49" applyNumberFormat="1" applyFont="1" applyFill="1" applyBorder="1" applyAlignment="1">
      <alignment horizontal="center" vertical="center" wrapText="1"/>
    </xf>
    <xf numFmtId="171" fontId="105" fillId="37" borderId="75" xfId="49" applyNumberFormat="1" applyFont="1" applyFill="1" applyBorder="1" applyAlignment="1">
      <alignment horizontal="center" vertical="center" wrapText="1"/>
    </xf>
    <xf numFmtId="171" fontId="40" fillId="37" borderId="8" xfId="49" applyNumberFormat="1" applyFont="1" applyFill="1" applyBorder="1" applyAlignment="1">
      <alignment horizontal="center" vertical="center" wrapText="1"/>
    </xf>
    <xf numFmtId="171" fontId="40" fillId="37" borderId="65" xfId="49" applyNumberFormat="1" applyFont="1" applyFill="1" applyBorder="1" applyAlignment="1">
      <alignment horizontal="center" vertical="center" wrapText="1"/>
    </xf>
    <xf numFmtId="171" fontId="40" fillId="37" borderId="60" xfId="49" applyNumberFormat="1" applyFont="1" applyFill="1" applyBorder="1" applyAlignment="1">
      <alignment horizontal="center" vertical="center" wrapText="1"/>
    </xf>
    <xf numFmtId="171" fontId="40" fillId="37" borderId="3" xfId="49" applyNumberFormat="1" applyFont="1" applyFill="1" applyBorder="1" applyAlignment="1">
      <alignment horizontal="center" vertical="center" wrapText="1"/>
    </xf>
    <xf numFmtId="2" fontId="40" fillId="0" borderId="49" xfId="83" applyNumberFormat="1" applyFont="1" applyBorder="1" applyAlignment="1">
      <alignment horizontal="center" vertical="center" textRotation="90" wrapText="1"/>
    </xf>
    <xf numFmtId="2" fontId="40" fillId="0" borderId="52" xfId="83" applyNumberFormat="1" applyFont="1" applyBorder="1" applyAlignment="1">
      <alignment horizontal="center" vertical="center" textRotation="90" wrapText="1"/>
    </xf>
    <xf numFmtId="2" fontId="40" fillId="0" borderId="56" xfId="83" applyNumberFormat="1" applyFont="1" applyBorder="1" applyAlignment="1">
      <alignment horizontal="center" vertical="center" textRotation="90" wrapText="1"/>
    </xf>
    <xf numFmtId="0" fontId="40" fillId="37" borderId="27" xfId="49" applyFont="1" applyFill="1" applyBorder="1" applyAlignment="1">
      <alignment horizontal="center" vertical="center" wrapText="1"/>
    </xf>
    <xf numFmtId="0" fontId="40" fillId="37" borderId="16" xfId="49" applyFont="1" applyFill="1" applyBorder="1" applyAlignment="1">
      <alignment horizontal="center" vertical="center" wrapText="1"/>
    </xf>
    <xf numFmtId="0" fontId="40" fillId="37" borderId="25" xfId="49" applyFont="1" applyFill="1" applyBorder="1" applyAlignment="1">
      <alignment horizontal="center" vertical="center" wrapText="1"/>
    </xf>
    <xf numFmtId="0" fontId="40" fillId="37" borderId="6" xfId="49" applyFont="1" applyFill="1" applyBorder="1" applyAlignment="1">
      <alignment horizontal="center" vertical="center" wrapText="1"/>
    </xf>
    <xf numFmtId="0" fontId="40" fillId="37" borderId="45" xfId="49" applyFont="1" applyFill="1" applyBorder="1" applyAlignment="1">
      <alignment horizontal="center" vertical="center" wrapText="1"/>
    </xf>
    <xf numFmtId="0" fontId="41" fillId="37" borderId="66" xfId="49" applyFont="1" applyFill="1" applyBorder="1" applyAlignment="1">
      <alignment vertical="center"/>
    </xf>
    <xf numFmtId="0" fontId="41" fillId="37" borderId="47" xfId="49" applyFont="1" applyFill="1" applyBorder="1" applyAlignment="1">
      <alignment vertical="center"/>
    </xf>
    <xf numFmtId="0" fontId="40" fillId="37" borderId="46" xfId="49" applyFont="1" applyFill="1" applyBorder="1" applyAlignment="1">
      <alignment horizontal="center" vertical="center" wrapText="1"/>
    </xf>
    <xf numFmtId="0" fontId="41" fillId="37" borderId="68" xfId="49" applyFont="1" applyFill="1" applyBorder="1" applyAlignment="1">
      <alignment vertical="center"/>
    </xf>
    <xf numFmtId="0" fontId="41" fillId="37" borderId="48" xfId="49" applyFont="1" applyFill="1" applyBorder="1" applyAlignment="1">
      <alignment vertical="center"/>
    </xf>
    <xf numFmtId="169" fontId="40" fillId="37" borderId="60" xfId="49" applyNumberFormat="1" applyFont="1" applyFill="1" applyBorder="1" applyAlignment="1">
      <alignment horizontal="center" vertical="center" wrapText="1"/>
    </xf>
    <xf numFmtId="171" fontId="40" fillId="37" borderId="1" xfId="49" applyNumberFormat="1" applyFont="1" applyFill="1" applyBorder="1" applyAlignment="1">
      <alignment horizontal="center" vertical="center" wrapText="1"/>
    </xf>
    <xf numFmtId="0" fontId="43" fillId="27" borderId="0" xfId="40" applyFont="1" applyFill="1" applyAlignment="1">
      <alignment horizontal="left" vertical="center" wrapText="1"/>
    </xf>
    <xf numFmtId="175" fontId="40" fillId="37" borderId="1" xfId="49" applyNumberFormat="1" applyFont="1" applyFill="1" applyBorder="1" applyAlignment="1">
      <alignment horizontal="center" vertical="center" wrapText="1"/>
    </xf>
    <xf numFmtId="175" fontId="40" fillId="37" borderId="11" xfId="49" applyNumberFormat="1" applyFont="1" applyFill="1" applyBorder="1" applyAlignment="1">
      <alignment horizontal="center" vertical="center" wrapText="1"/>
    </xf>
    <xf numFmtId="175" fontId="40" fillId="37" borderId="41" xfId="49" applyNumberFormat="1" applyFont="1" applyFill="1" applyBorder="1" applyAlignment="1">
      <alignment horizontal="center" vertical="center" wrapText="1"/>
    </xf>
    <xf numFmtId="169" fontId="40" fillId="37" borderId="11" xfId="49" applyNumberFormat="1" applyFont="1" applyFill="1" applyBorder="1" applyAlignment="1">
      <alignment horizontal="center" vertical="center" wrapText="1"/>
    </xf>
    <xf numFmtId="169" fontId="40" fillId="37" borderId="41" xfId="49" applyNumberFormat="1" applyFont="1" applyFill="1" applyBorder="1" applyAlignment="1">
      <alignment horizontal="center" vertical="center" wrapText="1"/>
    </xf>
    <xf numFmtId="0" fontId="12" fillId="0" borderId="154" xfId="83" applyFont="1" applyBorder="1" applyAlignment="1">
      <alignment horizontal="center" vertical="center"/>
    </xf>
    <xf numFmtId="49" fontId="21" fillId="22" borderId="162" xfId="83" applyNumberFormat="1" applyFont="1" applyFill="1" applyBorder="1" applyAlignment="1">
      <alignment horizontal="left" vertical="center" wrapText="1"/>
    </xf>
    <xf numFmtId="0" fontId="21" fillId="22" borderId="163" xfId="83" applyFont="1" applyFill="1" applyBorder="1" applyAlignment="1">
      <alignment horizontal="left" vertical="center" wrapText="1"/>
    </xf>
    <xf numFmtId="0" fontId="21" fillId="22" borderId="164" xfId="83" applyFont="1" applyFill="1" applyBorder="1" applyAlignment="1">
      <alignment horizontal="left" vertical="center" wrapText="1"/>
    </xf>
    <xf numFmtId="0" fontId="12" fillId="37" borderId="29" xfId="0" applyFont="1" applyFill="1" applyBorder="1" applyAlignment="1">
      <alignment horizontal="center" vertical="center"/>
    </xf>
    <xf numFmtId="0" fontId="12" fillId="37" borderId="14" xfId="0" applyFont="1" applyFill="1" applyBorder="1" applyAlignment="1">
      <alignment horizontal="center" vertical="center"/>
    </xf>
    <xf numFmtId="0" fontId="38" fillId="26" borderId="52" xfId="0" applyFont="1" applyFill="1" applyBorder="1" applyAlignment="1">
      <alignment horizontal="center" vertical="center" wrapText="1"/>
    </xf>
    <xf numFmtId="0" fontId="12" fillId="28" borderId="24" xfId="83" applyFont="1" applyFill="1" applyBorder="1" applyAlignment="1" applyProtection="1">
      <alignment horizontal="center" vertical="center"/>
      <protection locked="0"/>
    </xf>
    <xf numFmtId="0" fontId="12" fillId="28" borderId="23" xfId="83" applyFont="1" applyFill="1" applyBorder="1" applyAlignment="1" applyProtection="1">
      <alignment horizontal="center" vertical="center"/>
      <protection locked="0"/>
    </xf>
    <xf numFmtId="0" fontId="12" fillId="0" borderId="52" xfId="49" applyFont="1" applyBorder="1" applyAlignment="1">
      <alignment horizontal="right" vertical="center"/>
    </xf>
    <xf numFmtId="0" fontId="12" fillId="0" borderId="7" xfId="49" applyFont="1" applyBorder="1" applyAlignment="1">
      <alignment horizontal="right" vertical="center"/>
    </xf>
    <xf numFmtId="0" fontId="101" fillId="0" borderId="52" xfId="0" applyFont="1" applyBorder="1" applyAlignment="1">
      <alignment horizontal="right" vertical="center" wrapText="1"/>
    </xf>
    <xf numFmtId="0" fontId="101" fillId="0" borderId="7" xfId="0" applyFont="1" applyBorder="1" applyAlignment="1">
      <alignment horizontal="right" vertical="center" wrapText="1"/>
    </xf>
    <xf numFmtId="0" fontId="38" fillId="0" borderId="75" xfId="32" applyFont="1" applyBorder="1" applyAlignment="1">
      <alignment horizontal="right" vertical="center" wrapText="1"/>
    </xf>
    <xf numFmtId="0" fontId="38" fillId="0" borderId="73" xfId="32" applyFont="1" applyBorder="1" applyAlignment="1">
      <alignment horizontal="right" vertical="center" wrapText="1"/>
    </xf>
    <xf numFmtId="0" fontId="15" fillId="26" borderId="0" xfId="83" applyFont="1" applyFill="1" applyAlignment="1">
      <alignment horizontal="center" vertical="center" wrapText="1"/>
    </xf>
    <xf numFmtId="0" fontId="15" fillId="26" borderId="0" xfId="49" applyFont="1" applyFill="1" applyAlignment="1">
      <alignment horizontal="center"/>
    </xf>
    <xf numFmtId="0" fontId="12" fillId="37" borderId="22" xfId="0" applyFont="1" applyFill="1" applyBorder="1" applyAlignment="1">
      <alignment horizontal="center" vertical="center"/>
    </xf>
    <xf numFmtId="0" fontId="12" fillId="28" borderId="30" xfId="83" applyFont="1" applyFill="1" applyBorder="1" applyAlignment="1" applyProtection="1">
      <alignment horizontal="center" vertical="center"/>
      <protection locked="0"/>
    </xf>
    <xf numFmtId="0" fontId="12" fillId="28" borderId="28" xfId="83" applyFont="1" applyFill="1" applyBorder="1" applyAlignment="1" applyProtection="1">
      <alignment horizontal="center" vertical="center"/>
      <protection locked="0"/>
    </xf>
    <xf numFmtId="0" fontId="12" fillId="0" borderId="52" xfId="49" applyFont="1" applyBorder="1" applyAlignment="1">
      <alignment horizontal="right" vertical="center" wrapText="1"/>
    </xf>
    <xf numFmtId="0" fontId="12" fillId="0" borderId="7" xfId="49" applyFont="1" applyBorder="1" applyAlignment="1">
      <alignment horizontal="right" vertical="center" wrapText="1"/>
    </xf>
    <xf numFmtId="0" fontId="38" fillId="26" borderId="54" xfId="0" applyFont="1" applyFill="1" applyBorder="1" applyAlignment="1">
      <alignment horizontal="center" vertical="center" wrapText="1"/>
    </xf>
    <xf numFmtId="0" fontId="38" fillId="26" borderId="49" xfId="0" applyFont="1" applyFill="1" applyBorder="1" applyAlignment="1">
      <alignment horizontal="center" vertical="center" wrapText="1"/>
    </xf>
    <xf numFmtId="0" fontId="12" fillId="37" borderId="1" xfId="0" applyFont="1" applyFill="1" applyBorder="1" applyAlignment="1">
      <alignment horizontal="center" vertical="center"/>
    </xf>
    <xf numFmtId="0" fontId="12" fillId="37" borderId="3" xfId="0" applyFont="1" applyFill="1" applyBorder="1" applyAlignment="1">
      <alignment horizontal="center" vertical="center"/>
    </xf>
    <xf numFmtId="3" fontId="12" fillId="37" borderId="29" xfId="0" applyNumberFormat="1" applyFont="1" applyFill="1" applyBorder="1" applyAlignment="1">
      <alignment horizontal="center" vertical="center"/>
    </xf>
    <xf numFmtId="3" fontId="12" fillId="37" borderId="22" xfId="0" applyNumberFormat="1" applyFont="1" applyFill="1" applyBorder="1" applyAlignment="1">
      <alignment horizontal="center" vertical="center"/>
    </xf>
    <xf numFmtId="0" fontId="38" fillId="0" borderId="52" xfId="32" applyFont="1" applyBorder="1" applyAlignment="1">
      <alignment horizontal="right" vertical="center" wrapText="1"/>
    </xf>
    <xf numFmtId="0" fontId="38" fillId="0" borderId="7" xfId="32" applyFont="1" applyBorder="1" applyAlignment="1">
      <alignment horizontal="right" vertical="center" wrapText="1"/>
    </xf>
    <xf numFmtId="0" fontId="38" fillId="0" borderId="36" xfId="32" applyFont="1" applyBorder="1" applyAlignment="1">
      <alignment horizontal="right" vertical="center" wrapText="1"/>
    </xf>
    <xf numFmtId="0" fontId="38" fillId="0" borderId="69" xfId="32" applyFont="1" applyBorder="1" applyAlignment="1">
      <alignment horizontal="right" vertical="center" wrapText="1"/>
    </xf>
    <xf numFmtId="0" fontId="67" fillId="0" borderId="25" xfId="32" applyFont="1" applyBorder="1" applyAlignment="1">
      <alignment horizontal="right" vertical="center" wrapText="1"/>
    </xf>
    <xf numFmtId="0" fontId="67" fillId="0" borderId="44" xfId="32" applyFont="1" applyBorder="1" applyAlignment="1">
      <alignment horizontal="right" vertical="center" wrapText="1"/>
    </xf>
    <xf numFmtId="0" fontId="38" fillId="0" borderId="52" xfId="0" applyFont="1" applyBorder="1" applyAlignment="1">
      <alignment horizontal="right" vertical="center" wrapText="1"/>
    </xf>
    <xf numFmtId="0" fontId="38" fillId="0" borderId="7" xfId="0" applyFont="1" applyBorder="1" applyAlignment="1">
      <alignment horizontal="right" vertical="center" wrapText="1"/>
    </xf>
    <xf numFmtId="0" fontId="43" fillId="0" borderId="52" xfId="0" applyFont="1" applyBorder="1" applyAlignment="1">
      <alignment horizontal="right"/>
    </xf>
    <xf numFmtId="0" fontId="43" fillId="0" borderId="7" xfId="0" applyFont="1" applyBorder="1" applyAlignment="1">
      <alignment horizontal="right"/>
    </xf>
    <xf numFmtId="0" fontId="12" fillId="0" borderId="56" xfId="49" applyFont="1" applyBorder="1" applyAlignment="1">
      <alignment horizontal="right" vertical="center" wrapText="1"/>
    </xf>
    <xf numFmtId="0" fontId="12" fillId="0" borderId="77" xfId="49" applyFont="1" applyBorder="1" applyAlignment="1">
      <alignment horizontal="right" vertical="center" wrapText="1"/>
    </xf>
    <xf numFmtId="0" fontId="38" fillId="0" borderId="30" xfId="32" applyFont="1" applyBorder="1" applyAlignment="1">
      <alignment horizontal="right" vertical="center" wrapText="1"/>
    </xf>
    <xf numFmtId="0" fontId="38" fillId="0" borderId="79" xfId="32" applyFont="1" applyBorder="1" applyAlignment="1">
      <alignment horizontal="right" vertical="center" wrapText="1"/>
    </xf>
    <xf numFmtId="14" fontId="12" fillId="28" borderId="24" xfId="83" applyNumberFormat="1" applyFont="1" applyFill="1" applyBorder="1" applyAlignment="1" applyProtection="1">
      <alignment horizontal="center" vertical="center"/>
      <protection locked="0"/>
    </xf>
    <xf numFmtId="0" fontId="12" fillId="28" borderId="30" xfId="83" applyFont="1" applyFill="1" applyBorder="1" applyAlignment="1" applyProtection="1">
      <alignment horizontal="center" vertical="center" wrapText="1"/>
      <protection locked="0"/>
    </xf>
    <xf numFmtId="0" fontId="12" fillId="28" borderId="28" xfId="83" applyFont="1" applyFill="1" applyBorder="1" applyAlignment="1" applyProtection="1">
      <alignment horizontal="center" vertical="center" wrapText="1"/>
      <protection locked="0"/>
    </xf>
    <xf numFmtId="0" fontId="40" fillId="22" borderId="154" xfId="0" applyFont="1" applyFill="1" applyBorder="1" applyAlignment="1">
      <alignment horizontal="center" vertical="center"/>
    </xf>
    <xf numFmtId="0" fontId="40" fillId="22" borderId="156" xfId="0" applyFont="1" applyFill="1" applyBorder="1" applyAlignment="1">
      <alignment horizontal="center" vertical="center"/>
    </xf>
    <xf numFmtId="0" fontId="40" fillId="37" borderId="35" xfId="0" applyFont="1" applyFill="1" applyBorder="1" applyAlignment="1">
      <alignment horizontal="center" vertical="center"/>
    </xf>
    <xf numFmtId="0" fontId="40" fillId="37" borderId="34" xfId="0" applyFont="1" applyFill="1" applyBorder="1" applyAlignment="1">
      <alignment horizontal="center" vertical="center"/>
    </xf>
    <xf numFmtId="0" fontId="40" fillId="37" borderId="1" xfId="0" applyFont="1" applyFill="1" applyBorder="1" applyAlignment="1">
      <alignment horizontal="center" vertical="center"/>
    </xf>
    <xf numFmtId="0" fontId="40" fillId="37" borderId="8" xfId="0" applyFont="1" applyFill="1" applyBorder="1" applyAlignment="1">
      <alignment horizontal="center" vertical="center"/>
    </xf>
    <xf numFmtId="0" fontId="40" fillId="37" borderId="3" xfId="0" applyFont="1" applyFill="1" applyBorder="1" applyAlignment="1">
      <alignment horizontal="center" vertical="center"/>
    </xf>
    <xf numFmtId="0" fontId="43" fillId="0" borderId="0" xfId="0" applyFont="1" applyAlignment="1">
      <alignment horizontal="left"/>
    </xf>
    <xf numFmtId="0" fontId="21" fillId="27" borderId="0" xfId="0" applyFont="1" applyFill="1" applyAlignment="1">
      <alignment horizontal="left" indent="1"/>
    </xf>
    <xf numFmtId="0" fontId="43" fillId="27" borderId="0" xfId="0" applyFont="1" applyFill="1" applyAlignment="1">
      <alignment horizontal="left"/>
    </xf>
    <xf numFmtId="0" fontId="20" fillId="27" borderId="0" xfId="32" applyFont="1" applyFill="1" applyAlignment="1">
      <alignment horizontal="center"/>
    </xf>
    <xf numFmtId="0" fontId="43" fillId="27" borderId="0" xfId="0" applyFont="1" applyFill="1"/>
    <xf numFmtId="0" fontId="43" fillId="0" borderId="0" xfId="0" applyFont="1"/>
    <xf numFmtId="0" fontId="47" fillId="22" borderId="154" xfId="0" applyFont="1" applyFill="1" applyBorder="1" applyAlignment="1">
      <alignment horizontal="center" vertical="center" wrapText="1"/>
    </xf>
    <xf numFmtId="0" fontId="47" fillId="22" borderId="154" xfId="0" applyFont="1" applyFill="1" applyBorder="1" applyAlignment="1">
      <alignment horizontal="center" vertical="center"/>
    </xf>
    <xf numFmtId="0" fontId="43" fillId="27" borderId="0" xfId="0" applyFont="1" applyFill="1" applyAlignment="1">
      <alignment horizontal="left" vertical="center" wrapText="1"/>
    </xf>
    <xf numFmtId="0" fontId="47" fillId="37" borderId="29" xfId="0" applyFont="1" applyFill="1" applyBorder="1" applyAlignment="1">
      <alignment horizontal="center" vertical="center"/>
    </xf>
    <xf numFmtId="0" fontId="47" fillId="37" borderId="22" xfId="0" applyFont="1" applyFill="1" applyBorder="1" applyAlignment="1">
      <alignment horizontal="center" vertical="center"/>
    </xf>
    <xf numFmtId="0" fontId="47" fillId="37" borderId="14" xfId="0" applyFont="1" applyFill="1" applyBorder="1" applyAlignment="1">
      <alignment horizontal="center" vertical="center"/>
    </xf>
    <xf numFmtId="0" fontId="47" fillId="37" borderId="45" xfId="0" applyFont="1" applyFill="1" applyBorder="1" applyAlignment="1">
      <alignment horizontal="center" vertical="center" wrapText="1"/>
    </xf>
    <xf numFmtId="0" fontId="47" fillId="37" borderId="47" xfId="0" applyFont="1" applyFill="1" applyBorder="1" applyAlignment="1">
      <alignment horizontal="center" vertical="center" wrapText="1"/>
    </xf>
    <xf numFmtId="0" fontId="47" fillId="37" borderId="46" xfId="0" applyFont="1" applyFill="1" applyBorder="1" applyAlignment="1">
      <alignment horizontal="center" vertical="center"/>
    </xf>
    <xf numFmtId="0" fontId="47" fillId="37" borderId="48" xfId="0" applyFont="1" applyFill="1" applyBorder="1" applyAlignment="1">
      <alignment horizontal="center" vertical="center"/>
    </xf>
    <xf numFmtId="0" fontId="47" fillId="37" borderId="35" xfId="0" applyFont="1" applyFill="1" applyBorder="1" applyAlignment="1">
      <alignment horizontal="center" vertical="center" wrapText="1"/>
    </xf>
    <xf numFmtId="0" fontId="47" fillId="37" borderId="34" xfId="0" applyFont="1" applyFill="1" applyBorder="1" applyAlignment="1">
      <alignment horizontal="center" vertical="center" wrapText="1"/>
    </xf>
    <xf numFmtId="0" fontId="20" fillId="0" borderId="0" xfId="0" applyFont="1" applyAlignment="1">
      <alignment horizontal="center"/>
    </xf>
    <xf numFmtId="0" fontId="47" fillId="37" borderId="26" xfId="0" applyFont="1" applyFill="1" applyBorder="1" applyAlignment="1">
      <alignment horizontal="center" vertical="center" wrapText="1"/>
    </xf>
    <xf numFmtId="0" fontId="40" fillId="37" borderId="75" xfId="0" applyFont="1" applyFill="1" applyBorder="1" applyAlignment="1">
      <alignment horizontal="center" vertical="center"/>
    </xf>
    <xf numFmtId="0" fontId="40" fillId="37" borderId="54" xfId="0" applyFont="1" applyFill="1" applyBorder="1" applyAlignment="1">
      <alignment horizontal="center" vertical="center"/>
    </xf>
    <xf numFmtId="0" fontId="40" fillId="37" borderId="73" xfId="0" applyFont="1" applyFill="1" applyBorder="1" applyAlignment="1">
      <alignment horizontal="center" vertical="center"/>
    </xf>
    <xf numFmtId="0" fontId="40" fillId="37" borderId="63" xfId="0" applyFont="1" applyFill="1" applyBorder="1" applyAlignment="1">
      <alignment horizontal="center" vertical="center"/>
    </xf>
    <xf numFmtId="0" fontId="40" fillId="37" borderId="56" xfId="0" applyFont="1" applyFill="1" applyBorder="1" applyAlignment="1">
      <alignment horizontal="center" vertical="center"/>
    </xf>
    <xf numFmtId="0" fontId="40" fillId="37" borderId="74" xfId="0" applyFont="1" applyFill="1" applyBorder="1" applyAlignment="1">
      <alignment horizontal="center" vertical="center"/>
    </xf>
    <xf numFmtId="0" fontId="40" fillId="37" borderId="78" xfId="0" applyFont="1" applyFill="1" applyBorder="1" applyAlignment="1">
      <alignment horizontal="center" vertical="center"/>
    </xf>
    <xf numFmtId="0" fontId="47" fillId="37" borderId="51" xfId="0" applyFont="1" applyFill="1" applyBorder="1" applyAlignment="1">
      <alignment horizontal="center" vertical="center" wrapText="1"/>
    </xf>
    <xf numFmtId="0" fontId="47" fillId="37" borderId="21" xfId="0" applyFont="1" applyFill="1" applyBorder="1" applyAlignment="1">
      <alignment horizontal="center" vertical="center" wrapText="1"/>
    </xf>
    <xf numFmtId="0" fontId="47" fillId="37" borderId="72" xfId="0" applyFont="1" applyFill="1" applyBorder="1" applyAlignment="1">
      <alignment horizontal="center" vertical="center"/>
    </xf>
    <xf numFmtId="0" fontId="47" fillId="37" borderId="73" xfId="0" applyFont="1" applyFill="1" applyBorder="1" applyAlignment="1">
      <alignment horizontal="center" vertical="center"/>
    </xf>
    <xf numFmtId="0" fontId="47" fillId="37" borderId="76" xfId="0" applyFont="1" applyFill="1" applyBorder="1" applyAlignment="1">
      <alignment horizontal="center" vertical="center"/>
    </xf>
    <xf numFmtId="0" fontId="47" fillId="37" borderId="40" xfId="0" applyFont="1" applyFill="1" applyBorder="1" applyAlignment="1">
      <alignment horizontal="center" vertical="center" wrapText="1"/>
    </xf>
    <xf numFmtId="0" fontId="47" fillId="37" borderId="42" xfId="0" applyFont="1" applyFill="1" applyBorder="1" applyAlignment="1">
      <alignment horizontal="center" vertical="center" wrapText="1"/>
    </xf>
    <xf numFmtId="0" fontId="15" fillId="0" borderId="0" xfId="0" applyFont="1" applyAlignment="1">
      <alignment horizontal="center"/>
    </xf>
    <xf numFmtId="0" fontId="19" fillId="0" borderId="0" xfId="0" applyFont="1" applyAlignment="1">
      <alignment horizontal="center"/>
    </xf>
    <xf numFmtId="0" fontId="47" fillId="37" borderId="154" xfId="32" applyFont="1" applyFill="1" applyBorder="1" applyAlignment="1">
      <alignment horizontal="center" vertical="center"/>
    </xf>
    <xf numFmtId="0" fontId="77" fillId="0" borderId="0" xfId="32" applyFont="1" applyAlignment="1">
      <alignment horizontal="center" vertical="center"/>
    </xf>
    <xf numFmtId="0" fontId="82" fillId="0" borderId="0" xfId="32" applyFont="1" applyAlignment="1">
      <alignment horizontal="center" vertical="center" wrapText="1"/>
    </xf>
    <xf numFmtId="0" fontId="47" fillId="37" borderId="1" xfId="32" applyFont="1" applyFill="1" applyBorder="1" applyAlignment="1">
      <alignment horizontal="center" vertical="center"/>
    </xf>
    <xf numFmtId="0" fontId="47" fillId="37" borderId="8" xfId="32" applyFont="1" applyFill="1" applyBorder="1" applyAlignment="1">
      <alignment horizontal="center" vertical="center"/>
    </xf>
    <xf numFmtId="0" fontId="47" fillId="37" borderId="3" xfId="32" applyFont="1" applyFill="1" applyBorder="1" applyAlignment="1">
      <alignment horizontal="center" vertical="center"/>
    </xf>
    <xf numFmtId="1" fontId="47" fillId="38" borderId="45" xfId="21" applyFont="1" applyFill="1" applyBorder="1">
      <alignment horizontal="center" vertical="center" wrapText="1"/>
    </xf>
    <xf numFmtId="1" fontId="47" fillId="38" borderId="47" xfId="21" applyFont="1" applyFill="1" applyBorder="1">
      <alignment horizontal="center" vertical="center" wrapText="1"/>
    </xf>
    <xf numFmtId="1" fontId="47" fillId="38" borderId="59" xfId="21" applyFont="1" applyFill="1" applyBorder="1">
      <alignment horizontal="center" vertical="center" wrapText="1"/>
    </xf>
    <xf numFmtId="1" fontId="47" fillId="38" borderId="101" xfId="21" applyFont="1" applyFill="1" applyBorder="1">
      <alignment horizontal="center" vertical="center" wrapText="1"/>
    </xf>
    <xf numFmtId="1" fontId="47" fillId="38" borderId="66" xfId="21" applyFont="1" applyFill="1" applyBorder="1">
      <alignment horizontal="center" vertical="center" wrapText="1"/>
    </xf>
    <xf numFmtId="1" fontId="47" fillId="38" borderId="11" xfId="21" applyFont="1" applyFill="1" applyBorder="1">
      <alignment horizontal="center" vertical="center" wrapText="1"/>
    </xf>
    <xf numFmtId="1" fontId="47" fillId="38" borderId="0" xfId="21" applyFont="1" applyFill="1">
      <alignment horizontal="center" vertical="center" wrapText="1"/>
    </xf>
    <xf numFmtId="1" fontId="47" fillId="38" borderId="20" xfId="21" applyFont="1" applyFill="1" applyBorder="1">
      <alignment horizontal="center" vertical="center" wrapText="1"/>
    </xf>
    <xf numFmtId="0" fontId="47" fillId="37" borderId="29" xfId="32" applyFont="1" applyFill="1" applyBorder="1" applyAlignment="1">
      <alignment horizontal="center" vertical="center"/>
    </xf>
    <xf numFmtId="0" fontId="47" fillId="37" borderId="22" xfId="32" applyFont="1" applyFill="1" applyBorder="1" applyAlignment="1">
      <alignment horizontal="center" vertical="center"/>
    </xf>
    <xf numFmtId="0" fontId="47" fillId="37" borderId="14" xfId="32" applyFont="1" applyFill="1" applyBorder="1" applyAlignment="1">
      <alignment horizontal="center" vertical="center"/>
    </xf>
    <xf numFmtId="0" fontId="15" fillId="20" borderId="0" xfId="0" applyFont="1" applyFill="1" applyAlignment="1">
      <alignment horizontal="center" vertical="center"/>
    </xf>
    <xf numFmtId="0" fontId="19" fillId="0" borderId="0" xfId="0" applyFont="1" applyAlignment="1">
      <alignment horizontal="center" vertical="center" wrapText="1"/>
    </xf>
    <xf numFmtId="0" fontId="43" fillId="26" borderId="0" xfId="0" applyFont="1" applyFill="1" applyAlignment="1">
      <alignment horizontal="left" wrapText="1"/>
    </xf>
    <xf numFmtId="0" fontId="43" fillId="27" borderId="0" xfId="0" applyFont="1" applyFill="1" applyAlignment="1">
      <alignment vertical="center"/>
    </xf>
    <xf numFmtId="0" fontId="15" fillId="0" borderId="0" xfId="40" applyFont="1" applyAlignment="1">
      <alignment horizontal="center" vertical="center"/>
    </xf>
    <xf numFmtId="0" fontId="15" fillId="20" borderId="0" xfId="40" applyFont="1" applyFill="1" applyAlignment="1">
      <alignment horizontal="center" vertical="center"/>
    </xf>
    <xf numFmtId="169" fontId="82" fillId="28" borderId="60" xfId="49" applyNumberFormat="1" applyFont="1" applyFill="1" applyBorder="1" applyAlignment="1" applyProtection="1">
      <alignment horizontal="center" vertical="center" wrapText="1"/>
      <protection locked="0"/>
    </xf>
    <xf numFmtId="169" fontId="82" fillId="28" borderId="8" xfId="49" applyNumberFormat="1" applyFont="1" applyFill="1" applyBorder="1" applyAlignment="1" applyProtection="1">
      <alignment horizontal="center" vertical="center" wrapText="1"/>
      <protection locked="0"/>
    </xf>
    <xf numFmtId="169" fontId="82" fillId="28" borderId="3" xfId="49" applyNumberFormat="1" applyFont="1" applyFill="1" applyBorder="1" applyAlignment="1" applyProtection="1">
      <alignment horizontal="center" vertical="center" wrapText="1"/>
      <protection locked="0"/>
    </xf>
    <xf numFmtId="0" fontId="21" fillId="27" borderId="0" xfId="49" applyFont="1" applyFill="1" applyAlignment="1">
      <alignment horizontal="left" vertical="center" wrapText="1"/>
    </xf>
    <xf numFmtId="0" fontId="55" fillId="26" borderId="7" xfId="52" applyFont="1" applyFill="1" applyBorder="1" applyAlignment="1">
      <alignment horizontal="left" vertical="center"/>
    </xf>
    <xf numFmtId="0" fontId="143" fillId="37" borderId="7" xfId="56" applyFont="1" applyFill="1" applyBorder="1" applyAlignment="1">
      <alignment horizontal="center" vertical="center" wrapText="1"/>
    </xf>
    <xf numFmtId="0" fontId="143" fillId="37" borderId="32" xfId="56" applyFont="1" applyFill="1" applyBorder="1" applyAlignment="1">
      <alignment horizontal="center" vertical="center" wrapText="1"/>
    </xf>
    <xf numFmtId="0" fontId="143" fillId="37" borderId="69" xfId="56" applyFont="1" applyFill="1" applyBorder="1" applyAlignment="1">
      <alignment horizontal="center" vertical="center" wrapText="1"/>
    </xf>
    <xf numFmtId="0" fontId="143" fillId="37" borderId="7" xfId="56" applyFont="1" applyFill="1" applyBorder="1" applyAlignment="1">
      <alignment horizontal="center" vertical="center"/>
    </xf>
    <xf numFmtId="0" fontId="143" fillId="26" borderId="62" xfId="52" applyFont="1" applyFill="1" applyBorder="1" applyAlignment="1">
      <alignment horizontal="center" vertical="center"/>
    </xf>
    <xf numFmtId="0" fontId="143" fillId="26" borderId="23" xfId="52" applyFont="1" applyFill="1" applyBorder="1" applyAlignment="1">
      <alignment horizontal="center" vertical="center"/>
    </xf>
    <xf numFmtId="0" fontId="143" fillId="26" borderId="32" xfId="52" applyFont="1" applyFill="1" applyBorder="1" applyAlignment="1">
      <alignment horizontal="center" vertical="center"/>
    </xf>
    <xf numFmtId="0" fontId="55" fillId="22" borderId="7" xfId="52" applyFont="1" applyFill="1" applyBorder="1" applyAlignment="1">
      <alignment horizontal="left" vertical="center"/>
    </xf>
    <xf numFmtId="0" fontId="143" fillId="20" borderId="63" xfId="52" applyFont="1" applyFill="1" applyBorder="1" applyAlignment="1">
      <alignment horizontal="left" vertical="center" wrapText="1"/>
    </xf>
    <xf numFmtId="0" fontId="143" fillId="20" borderId="31" xfId="52" applyFont="1" applyFill="1" applyBorder="1" applyAlignment="1">
      <alignment horizontal="left" vertical="center" wrapText="1"/>
    </xf>
    <xf numFmtId="0" fontId="55" fillId="20" borderId="7" xfId="52" applyFont="1" applyFill="1" applyBorder="1" applyAlignment="1">
      <alignment horizontal="left" vertical="center" wrapText="1"/>
    </xf>
    <xf numFmtId="0" fontId="143" fillId="22" borderId="63" xfId="52" applyFont="1" applyFill="1" applyBorder="1" applyAlignment="1">
      <alignment horizontal="left" vertical="center"/>
    </xf>
    <xf numFmtId="0" fontId="143" fillId="22" borderId="31" xfId="52" applyFont="1" applyFill="1" applyBorder="1" applyAlignment="1">
      <alignment horizontal="left" vertical="center"/>
    </xf>
    <xf numFmtId="0" fontId="55" fillId="26" borderId="7" xfId="52" applyFont="1" applyFill="1" applyBorder="1" applyAlignment="1">
      <alignment horizontal="left" vertical="center" wrapText="1"/>
    </xf>
    <xf numFmtId="0" fontId="143" fillId="22" borderId="4" xfId="52" applyFont="1" applyFill="1" applyBorder="1" applyAlignment="1">
      <alignment horizontal="left" vertical="center"/>
    </xf>
    <xf numFmtId="0" fontId="143" fillId="22" borderId="7" xfId="52" applyFont="1" applyFill="1" applyBorder="1" applyAlignment="1">
      <alignment horizontal="center" vertical="center" wrapText="1"/>
    </xf>
    <xf numFmtId="0" fontId="143" fillId="47" borderId="62" xfId="0" applyFont="1" applyFill="1" applyBorder="1" applyAlignment="1">
      <alignment horizontal="center" vertical="center"/>
    </xf>
    <xf numFmtId="0" fontId="143" fillId="47" borderId="23" xfId="0" applyFont="1" applyFill="1" applyBorder="1" applyAlignment="1">
      <alignment horizontal="center" vertical="center"/>
    </xf>
    <xf numFmtId="0" fontId="143" fillId="47" borderId="32" xfId="0" applyFont="1" applyFill="1" applyBorder="1" applyAlignment="1">
      <alignment horizontal="center" vertical="center"/>
    </xf>
    <xf numFmtId="0" fontId="55" fillId="20" borderId="7" xfId="32" applyFont="1" applyFill="1" applyBorder="1" applyAlignment="1">
      <alignment horizontal="center" vertical="center" wrapText="1"/>
    </xf>
    <xf numFmtId="0" fontId="143" fillId="47" borderId="7" xfId="0" applyFont="1" applyFill="1" applyBorder="1" applyAlignment="1">
      <alignment horizontal="center" vertical="center" wrapText="1"/>
    </xf>
    <xf numFmtId="0" fontId="143" fillId="47" borderId="23" xfId="0" applyFont="1" applyFill="1" applyBorder="1" applyAlignment="1">
      <alignment horizontal="center" vertical="center" wrapText="1"/>
    </xf>
    <xf numFmtId="0" fontId="143" fillId="47" borderId="32" xfId="0" applyFont="1" applyFill="1" applyBorder="1" applyAlignment="1">
      <alignment horizontal="center" vertical="center" wrapText="1"/>
    </xf>
    <xf numFmtId="0" fontId="143" fillId="47" borderId="64" xfId="0" applyFont="1" applyFill="1" applyBorder="1" applyAlignment="1">
      <alignment horizontal="center" vertical="center" wrapText="1"/>
    </xf>
    <xf numFmtId="0" fontId="143" fillId="47" borderId="37" xfId="0" applyFont="1" applyFill="1" applyBorder="1" applyAlignment="1">
      <alignment horizontal="center" vertical="center" wrapText="1"/>
    </xf>
    <xf numFmtId="0" fontId="143" fillId="47" borderId="69" xfId="0" applyFont="1" applyFill="1" applyBorder="1" applyAlignment="1">
      <alignment horizontal="center" vertical="center" wrapText="1"/>
    </xf>
    <xf numFmtId="0" fontId="143" fillId="37" borderId="63" xfId="52" applyFont="1" applyFill="1" applyBorder="1" applyAlignment="1">
      <alignment horizontal="center" vertical="center"/>
    </xf>
    <xf numFmtId="0" fontId="143" fillId="37" borderId="31" xfId="52" applyFont="1" applyFill="1" applyBorder="1" applyAlignment="1">
      <alignment horizontal="center" vertical="center"/>
    </xf>
    <xf numFmtId="0" fontId="143" fillId="37" borderId="63" xfId="52" applyFont="1" applyFill="1" applyBorder="1" applyAlignment="1">
      <alignment horizontal="center" vertical="center" wrapText="1"/>
    </xf>
    <xf numFmtId="0" fontId="47" fillId="22" borderId="62" xfId="0" applyFont="1" applyFill="1" applyBorder="1" applyAlignment="1">
      <alignment horizontal="left" vertical="center"/>
    </xf>
    <xf numFmtId="0" fontId="47" fillId="22" borderId="23" xfId="0" applyFont="1" applyFill="1" applyBorder="1" applyAlignment="1">
      <alignment horizontal="left" vertical="center"/>
    </xf>
    <xf numFmtId="0" fontId="47" fillId="22" borderId="32" xfId="0" applyFont="1" applyFill="1" applyBorder="1" applyAlignment="1">
      <alignment horizontal="left" vertical="center"/>
    </xf>
    <xf numFmtId="0" fontId="143" fillId="37" borderId="63" xfId="32" applyFont="1" applyFill="1" applyBorder="1" applyAlignment="1">
      <alignment horizontal="center" vertical="center" wrapText="1"/>
    </xf>
    <xf numFmtId="0" fontId="143" fillId="37" borderId="31" xfId="32" applyFont="1" applyFill="1" applyBorder="1" applyAlignment="1">
      <alignment horizontal="center" vertical="center" wrapText="1"/>
    </xf>
    <xf numFmtId="0" fontId="47" fillId="37" borderId="7" xfId="0" applyFont="1" applyFill="1" applyBorder="1" applyAlignment="1">
      <alignment horizontal="center" vertical="center"/>
    </xf>
    <xf numFmtId="0" fontId="143" fillId="37" borderId="62" xfId="32" applyFont="1" applyFill="1" applyBorder="1" applyAlignment="1">
      <alignment horizontal="center" vertical="center" wrapText="1"/>
    </xf>
    <xf numFmtId="0" fontId="143" fillId="37" borderId="23" xfId="32" applyFont="1" applyFill="1" applyBorder="1" applyAlignment="1">
      <alignment horizontal="center" vertical="center" wrapText="1"/>
    </xf>
    <xf numFmtId="0" fontId="143" fillId="37" borderId="7" xfId="32" applyFont="1" applyFill="1" applyBorder="1" applyAlignment="1">
      <alignment horizontal="center" vertical="center"/>
    </xf>
    <xf numFmtId="2" fontId="143" fillId="37" borderId="63" xfId="32" applyNumberFormat="1" applyFont="1" applyFill="1" applyBorder="1" applyAlignment="1">
      <alignment horizontal="center" vertical="center" wrapText="1"/>
    </xf>
    <xf numFmtId="2" fontId="143" fillId="37" borderId="31" xfId="32" applyNumberFormat="1" applyFont="1" applyFill="1" applyBorder="1" applyAlignment="1">
      <alignment horizontal="center" vertical="center" wrapText="1"/>
    </xf>
    <xf numFmtId="2" fontId="143" fillId="37" borderId="62" xfId="32" applyNumberFormat="1" applyFont="1" applyFill="1" applyBorder="1" applyAlignment="1">
      <alignment horizontal="center" vertical="center" wrapText="1"/>
    </xf>
    <xf numFmtId="2" fontId="143" fillId="37" borderId="23" xfId="32" applyNumberFormat="1" applyFont="1" applyFill="1" applyBorder="1" applyAlignment="1">
      <alignment horizontal="center" vertical="center" wrapText="1"/>
    </xf>
    <xf numFmtId="2" fontId="143" fillId="37" borderId="32" xfId="32" applyNumberFormat="1" applyFont="1" applyFill="1" applyBorder="1" applyAlignment="1">
      <alignment horizontal="center" vertical="center" wrapText="1"/>
    </xf>
    <xf numFmtId="0" fontId="143" fillId="37" borderId="32" xfId="32" applyFont="1" applyFill="1" applyBorder="1" applyAlignment="1">
      <alignment horizontal="center" vertical="center" wrapText="1"/>
    </xf>
    <xf numFmtId="2" fontId="47" fillId="37" borderId="7" xfId="0" applyNumberFormat="1" applyFont="1" applyFill="1" applyBorder="1" applyAlignment="1">
      <alignment horizontal="center" vertical="center"/>
    </xf>
    <xf numFmtId="0" fontId="143" fillId="37" borderId="7" xfId="0" applyFont="1" applyFill="1" applyBorder="1" applyAlignment="1">
      <alignment horizontal="center" vertical="center" wrapText="1"/>
    </xf>
    <xf numFmtId="0" fontId="40" fillId="37" borderId="63" xfId="0" applyFont="1" applyFill="1" applyBorder="1" applyAlignment="1">
      <alignment horizontal="center" vertical="center" wrapText="1"/>
    </xf>
    <xf numFmtId="0" fontId="40" fillId="37" borderId="31" xfId="0" applyFont="1" applyFill="1" applyBorder="1" applyAlignment="1">
      <alignment horizontal="center" vertical="center" wrapText="1"/>
    </xf>
    <xf numFmtId="0" fontId="143" fillId="0" borderId="7" xfId="0" applyFont="1" applyBorder="1" applyAlignment="1">
      <alignment horizontal="left" vertical="center"/>
    </xf>
    <xf numFmtId="0" fontId="143" fillId="37" borderId="7" xfId="49" applyFont="1" applyFill="1" applyBorder="1" applyAlignment="1">
      <alignment horizontal="center" vertical="center" wrapText="1"/>
    </xf>
    <xf numFmtId="0" fontId="143" fillId="0" borderId="62" xfId="0" applyFont="1" applyBorder="1" applyAlignment="1">
      <alignment horizontal="left" vertical="center"/>
    </xf>
    <xf numFmtId="0" fontId="143" fillId="0" borderId="23" xfId="0" applyFont="1" applyBorder="1" applyAlignment="1">
      <alignment horizontal="left" vertical="center"/>
    </xf>
    <xf numFmtId="0" fontId="143" fillId="0" borderId="32" xfId="0" applyFont="1" applyBorder="1" applyAlignment="1">
      <alignment horizontal="left" vertical="center"/>
    </xf>
    <xf numFmtId="3" fontId="143" fillId="37" borderId="7" xfId="49" applyNumberFormat="1" applyFont="1" applyFill="1" applyBorder="1" applyAlignment="1">
      <alignment horizontal="center" vertical="center" wrapText="1"/>
    </xf>
    <xf numFmtId="3" fontId="143" fillId="37" borderId="63" xfId="49" applyNumberFormat="1" applyFont="1" applyFill="1" applyBorder="1" applyAlignment="1">
      <alignment horizontal="center" vertical="center" wrapText="1"/>
    </xf>
    <xf numFmtId="3" fontId="143" fillId="37" borderId="31" xfId="49" applyNumberFormat="1" applyFont="1" applyFill="1" applyBorder="1" applyAlignment="1">
      <alignment horizontal="center" vertical="center" wrapText="1"/>
    </xf>
    <xf numFmtId="3" fontId="143" fillId="37" borderId="62" xfId="49" applyNumberFormat="1" applyFont="1" applyFill="1" applyBorder="1" applyAlignment="1">
      <alignment horizontal="center" vertical="center" wrapText="1"/>
    </xf>
    <xf numFmtId="3" fontId="143" fillId="37" borderId="23" xfId="49" applyNumberFormat="1" applyFont="1" applyFill="1" applyBorder="1" applyAlignment="1">
      <alignment horizontal="center" vertical="center" wrapText="1"/>
    </xf>
    <xf numFmtId="3" fontId="143" fillId="37" borderId="32" xfId="49" applyNumberFormat="1" applyFont="1" applyFill="1" applyBorder="1" applyAlignment="1">
      <alignment horizontal="center" vertical="center" wrapText="1"/>
    </xf>
    <xf numFmtId="0" fontId="47" fillId="37" borderId="63" xfId="0" applyFont="1" applyFill="1" applyBorder="1" applyAlignment="1">
      <alignment horizontal="center" vertical="center"/>
    </xf>
    <xf numFmtId="0" fontId="47" fillId="37" borderId="31" xfId="0" applyFont="1" applyFill="1" applyBorder="1" applyAlignment="1">
      <alignment horizontal="center" vertical="center"/>
    </xf>
    <xf numFmtId="0" fontId="47" fillId="37" borderId="62" xfId="0" applyFont="1" applyFill="1" applyBorder="1" applyAlignment="1">
      <alignment horizontal="center" vertical="center"/>
    </xf>
    <xf numFmtId="0" fontId="47" fillId="37" borderId="23" xfId="0" applyFont="1" applyFill="1" applyBorder="1" applyAlignment="1">
      <alignment horizontal="center" vertical="center"/>
    </xf>
    <xf numFmtId="0" fontId="47" fillId="37" borderId="32" xfId="0" applyFont="1" applyFill="1" applyBorder="1" applyAlignment="1">
      <alignment horizontal="center" vertical="center"/>
    </xf>
    <xf numFmtId="3" fontId="47" fillId="37" borderId="62" xfId="0" applyNumberFormat="1" applyFont="1" applyFill="1" applyBorder="1" applyAlignment="1">
      <alignment horizontal="center" vertical="center"/>
    </xf>
    <xf numFmtId="3" fontId="47" fillId="37" borderId="23" xfId="0" applyNumberFormat="1" applyFont="1" applyFill="1" applyBorder="1" applyAlignment="1">
      <alignment horizontal="center" vertical="center"/>
    </xf>
    <xf numFmtId="3" fontId="47" fillId="37" borderId="32" xfId="0" applyNumberFormat="1" applyFont="1" applyFill="1" applyBorder="1" applyAlignment="1">
      <alignment horizontal="center" vertical="center"/>
    </xf>
    <xf numFmtId="1" fontId="158" fillId="38" borderId="7" xfId="21" applyFont="1" applyFill="1" applyBorder="1">
      <alignment horizontal="center" vertical="center" wrapText="1"/>
    </xf>
    <xf numFmtId="3" fontId="158" fillId="37" borderId="7" xfId="32" applyNumberFormat="1" applyFont="1" applyFill="1" applyBorder="1" applyAlignment="1">
      <alignment horizontal="center" vertical="center"/>
    </xf>
    <xf numFmtId="0" fontId="158" fillId="37" borderId="7" xfId="32" applyFont="1" applyFill="1" applyBorder="1" applyAlignment="1">
      <alignment horizontal="center" vertical="center"/>
    </xf>
  </cellXfs>
  <cellStyles count="469">
    <cellStyle name="20% - Accent1 2" xfId="387" xr:uid="{9A8C13E1-D484-4A29-9111-B11E4A162F85}"/>
    <cellStyle name="20% - Accent2 2" xfId="388" xr:uid="{223256E2-DAE8-4246-9BA9-0C1CC6B7E12F}"/>
    <cellStyle name="20% - Accent3 2" xfId="389" xr:uid="{81129190-1C28-4730-BB9E-783ED0AC7763}"/>
    <cellStyle name="20% - Accent4 2" xfId="390" xr:uid="{07934F0C-FB66-4A0E-B7CF-6B627C9D6B8A}"/>
    <cellStyle name="20% - Accent5 2" xfId="391" xr:uid="{25779353-2136-4224-B4DF-53FBE82DD9D7}"/>
    <cellStyle name="20% - Accent6 2" xfId="392" xr:uid="{591A06D4-6410-407D-81F8-443734E5F0D1}"/>
    <cellStyle name="20% - Акцент1 2" xfId="94" xr:uid="{73DB9D6B-9172-4BB5-ADB2-B95647FCF7EC}"/>
    <cellStyle name="20% - Акцент2 2" xfId="95" xr:uid="{FA63E1F1-88F7-4666-B01D-11539E1F53AF}"/>
    <cellStyle name="20% - Акцент3 2" xfId="96" xr:uid="{852A31D0-10AE-47DD-AFB0-944FD9C8DF61}"/>
    <cellStyle name="20% - Акцент4 2" xfId="97" xr:uid="{330D41ED-23A8-447A-B19A-DADA18FCA9AF}"/>
    <cellStyle name="20% - Акцент5 2" xfId="98" xr:uid="{F5B8F235-0F52-41FB-9A48-FD3ECED4CD43}"/>
    <cellStyle name="20% - Акцент6 2" xfId="99" xr:uid="{78E3153E-044E-4902-8A2B-2E5F351921C5}"/>
    <cellStyle name="40% - Accent1 2" xfId="393" xr:uid="{C0CC7D49-D858-4A38-B151-1C7B58500E11}"/>
    <cellStyle name="40% - Accent2 2" xfId="394" xr:uid="{D24EB231-27E1-4B49-B9F7-9712CE40B03B}"/>
    <cellStyle name="40% - Accent3 2" xfId="395" xr:uid="{94772844-CCA4-40D7-A6A2-E673EC0BB65E}"/>
    <cellStyle name="40% - Accent4 2" xfId="396" xr:uid="{2F340D5E-4CEA-4FE3-B96E-5E291787270E}"/>
    <cellStyle name="40% - Accent5 2" xfId="397" xr:uid="{4E4A4CDB-8A5B-4F6F-A3A0-D00F9033C1EC}"/>
    <cellStyle name="40% - Accent6 2" xfId="398" xr:uid="{1C192121-BE72-4055-968A-E8F4FD3435D2}"/>
    <cellStyle name="40% - Акцент1 2" xfId="100" xr:uid="{37744129-1F6E-403B-8D23-C145E38E752B}"/>
    <cellStyle name="40% - Акцент2 2" xfId="101" xr:uid="{62DC87F7-20F6-442A-9AD9-45D98513F93D}"/>
    <cellStyle name="40% - Акцент3 2" xfId="102" xr:uid="{C093EF38-6FDA-484D-9569-C47879AF57E6}"/>
    <cellStyle name="40% - Акцент4 2" xfId="103" xr:uid="{1258E436-F8FB-4959-A8CB-4B393C98A08C}"/>
    <cellStyle name="40% - Акцент5 2" xfId="104" xr:uid="{3A047824-4227-4291-83BD-166AD73B9D24}"/>
    <cellStyle name="40% - Акцент6 2" xfId="105" xr:uid="{85B28097-51F3-4A08-878E-D01CE21D0596}"/>
    <cellStyle name="60% - Accent1 2" xfId="399" xr:uid="{B4259958-DB72-4D41-8829-952FF94F8292}"/>
    <cellStyle name="60% - Accent2 2" xfId="400" xr:uid="{24FE4399-3273-4607-94C5-AC6E2AE0B699}"/>
    <cellStyle name="60% - Accent3 2" xfId="401" xr:uid="{8AAED518-C64F-4CC4-9C09-252514FE106C}"/>
    <cellStyle name="60% - Accent4 2" xfId="402" xr:uid="{DB3256BD-BFD6-43A0-956E-2D2223BF890A}"/>
    <cellStyle name="60% - Accent5 2" xfId="403" xr:uid="{9D7D93A7-51CE-418F-807F-CD8106BFE1FD}"/>
    <cellStyle name="60% - Accent6 2" xfId="404" xr:uid="{4E307131-DCB3-4CAF-B4E4-3042AC5B8499}"/>
    <cellStyle name="60% - Акцент1 2" xfId="106" xr:uid="{E8FC2BE9-5274-470D-8CC7-92CB83A62F03}"/>
    <cellStyle name="60% - Акцент2 2" xfId="107" xr:uid="{EAE09153-6C9A-4A65-8109-CC6922DC4C13}"/>
    <cellStyle name="60% - Акцент3 2" xfId="108" xr:uid="{4AD28A3D-2F32-4058-A122-2FBD1B775CAA}"/>
    <cellStyle name="60% - Акцент4 2" xfId="109" xr:uid="{6CC824F0-859E-4175-B163-16646C1C030E}"/>
    <cellStyle name="60% - Акцент5 2" xfId="110" xr:uid="{C81F0264-AC56-410B-BA4D-31E8FF8CA268}"/>
    <cellStyle name="60% - Акцент6 2" xfId="111" xr:uid="{D7CBEE8B-89F2-471D-9060-0E210B43C74D}"/>
    <cellStyle name="Accent1 - 20%" xfId="3" xr:uid="{00000000-0005-0000-0000-000000000000}"/>
    <cellStyle name="Accent1 - 40%" xfId="4" xr:uid="{00000000-0005-0000-0000-000001000000}"/>
    <cellStyle name="Accent1 - 60%" xfId="5" xr:uid="{00000000-0005-0000-0000-000002000000}"/>
    <cellStyle name="Accent1 2" xfId="405" xr:uid="{0D8D76A7-931C-473D-B8D1-07BAB9501EE6}"/>
    <cellStyle name="Accent1 3" xfId="386" xr:uid="{45980B3E-C766-48FE-B5C7-D6A93350CDCD}"/>
    <cellStyle name="Accent2 - 20%" xfId="6" xr:uid="{00000000-0005-0000-0000-000003000000}"/>
    <cellStyle name="Accent2 - 40%" xfId="7" xr:uid="{00000000-0005-0000-0000-000004000000}"/>
    <cellStyle name="Accent2 - 60%" xfId="8" xr:uid="{00000000-0005-0000-0000-000005000000}"/>
    <cellStyle name="Accent2 2" xfId="406" xr:uid="{4FFB156D-265D-4AE6-8921-BC061F43E83C}"/>
    <cellStyle name="Accent2 3" xfId="420" xr:uid="{D66B397A-4EA6-4F30-9F29-96F5C30DDF29}"/>
    <cellStyle name="Accent3 - 20%" xfId="9" xr:uid="{00000000-0005-0000-0000-000006000000}"/>
    <cellStyle name="Accent3 - 40%" xfId="10" xr:uid="{00000000-0005-0000-0000-000007000000}"/>
    <cellStyle name="Accent3 - 60%" xfId="11" xr:uid="{00000000-0005-0000-0000-000008000000}"/>
    <cellStyle name="Accent3 2" xfId="407" xr:uid="{A546A7DD-C496-4803-8B38-B21C6D2DD774}"/>
    <cellStyle name="Accent3 3" xfId="417" xr:uid="{0BA32A54-6348-42A1-81A2-B9E59204542D}"/>
    <cellStyle name="Accent4 - 20%" xfId="12" xr:uid="{00000000-0005-0000-0000-000009000000}"/>
    <cellStyle name="Accent4 - 40%" xfId="13" xr:uid="{00000000-0005-0000-0000-00000A000000}"/>
    <cellStyle name="Accent4 - 60%" xfId="14" xr:uid="{00000000-0005-0000-0000-00000B000000}"/>
    <cellStyle name="Accent4 2" xfId="408" xr:uid="{B3D59E0F-2375-4FD4-985A-0CEE22D5DCFF}"/>
    <cellStyle name="Accent4 3" xfId="416" xr:uid="{A7D82D11-27CC-41A7-905B-9245448DCCFC}"/>
    <cellStyle name="Accent5 - 20%" xfId="15" xr:uid="{00000000-0005-0000-0000-00000C000000}"/>
    <cellStyle name="Accent5 - 40%" xfId="16" xr:uid="{00000000-0005-0000-0000-00000D000000}"/>
    <cellStyle name="Accent5 - 60%" xfId="17" xr:uid="{00000000-0005-0000-0000-00000E000000}"/>
    <cellStyle name="Accent5 2" xfId="409" xr:uid="{778F8349-1B9D-4566-8603-61C041AEA3A8}"/>
    <cellStyle name="Accent5 3" xfId="412" xr:uid="{413F4ECF-8176-45D5-8F67-9A39B7A04AF5}"/>
    <cellStyle name="Accent6 - 20%" xfId="18" xr:uid="{00000000-0005-0000-0000-00000F000000}"/>
    <cellStyle name="Accent6 - 40%" xfId="19" xr:uid="{00000000-0005-0000-0000-000010000000}"/>
    <cellStyle name="Accent6 - 60%" xfId="20" xr:uid="{00000000-0005-0000-0000-000011000000}"/>
    <cellStyle name="Accent6 2" xfId="411" xr:uid="{7ADAAD09-4CFB-45F3-9E03-C9951A9A712E}"/>
    <cellStyle name="Accent6 3" xfId="410" xr:uid="{8FB6EB4E-3449-43DC-983F-BC8A89D346B0}"/>
    <cellStyle name="Bad 2" xfId="413" xr:uid="{1E590F32-BDA3-41BF-912D-9F25A50E073F}"/>
    <cellStyle name="Blue" xfId="21" xr:uid="{00000000-0005-0000-0000-000012000000}"/>
    <cellStyle name="Calculation 2" xfId="414" xr:uid="{B3DA6FD7-5AC2-43E5-BC54-CBE4CE7F4D30}"/>
    <cellStyle name="Check Cell 2" xfId="415" xr:uid="{808FFF7D-1536-4AB1-A686-146FFEF44492}"/>
    <cellStyle name="Choice" xfId="22" xr:uid="{00000000-0005-0000-0000-000013000000}"/>
    <cellStyle name="Choice 2" xfId="156" xr:uid="{16562557-12F2-4EE0-A60A-34D9EF3287DF}"/>
    <cellStyle name="Choice 2 2" xfId="157" xr:uid="{386F988C-6426-44E4-BD70-CAF6A7726847}"/>
    <cellStyle name="Choice 3" xfId="158" xr:uid="{7A0646F4-CBC3-4D6F-B145-1CC5C68F44B2}"/>
    <cellStyle name="Choice 3 2" xfId="159" xr:uid="{6480B72C-A854-49FF-86E1-3B1FEF8AAD99}"/>
    <cellStyle name="Closed" xfId="23" xr:uid="{00000000-0005-0000-0000-000014000000}"/>
    <cellStyle name="Comma 2" xfId="44" xr:uid="{00000000-0005-0000-0000-000015000000}"/>
    <cellStyle name="Comma 2 2" xfId="48" xr:uid="{00000000-0005-0000-0000-000016000000}"/>
    <cellStyle name="Comma 3" xfId="46" xr:uid="{00000000-0005-0000-0000-000017000000}"/>
    <cellStyle name="Comma 3 2" xfId="160" xr:uid="{BE8E90F0-500C-4FF6-898C-EC473417C4A3}"/>
    <cellStyle name="Comma 3 3" xfId="161" xr:uid="{A2A59F7B-6EC8-4758-9073-36941165A926}"/>
    <cellStyle name="Comma 4" xfId="162" xr:uid="{D01CD281-63A2-4E38-8936-AFF6B1FE607F}"/>
    <cellStyle name="Comma 5" xfId="163" xr:uid="{E599CEF3-7322-4CD0-A993-A549EE0D231C}"/>
    <cellStyle name="Comma 6" xfId="211" xr:uid="{98754B05-9673-491A-B80B-699E00013276}"/>
    <cellStyle name="Comma 6 2" xfId="353" xr:uid="{593830D4-041A-4D90-B815-6CE6E65E586D}"/>
    <cellStyle name="Comma 6 3" xfId="306" xr:uid="{44EE4F89-477F-4F16-9A89-43D75324CAE9}"/>
    <cellStyle name="Comma 6 4" xfId="258" xr:uid="{A7CAB952-F240-46E2-9D19-8E51B877430D}"/>
    <cellStyle name="Currency 2" xfId="151" xr:uid="{1DC622B3-D4E6-4FDE-BB7B-7E84702DD4E4}"/>
    <cellStyle name="Emphasis 1" xfId="24" xr:uid="{00000000-0005-0000-0000-000018000000}"/>
    <cellStyle name="Emphasis 2" xfId="25" xr:uid="{00000000-0005-0000-0000-000019000000}"/>
    <cellStyle name="Emphasis 3" xfId="26" xr:uid="{00000000-0005-0000-0000-00001A000000}"/>
    <cellStyle name="Explanatory Text 2" xfId="418" xr:uid="{59AF18D4-9106-4315-829E-1D0EA484C3B6}"/>
    <cellStyle name="Good 2" xfId="419" xr:uid="{F08D45E6-9E30-491C-9D70-D01B0B949C91}"/>
    <cellStyle name="Green" xfId="27" xr:uid="{00000000-0005-0000-0000-00001B000000}"/>
    <cellStyle name="Grey" xfId="28" xr:uid="{00000000-0005-0000-0000-00001C000000}"/>
    <cellStyle name="Heading 1 2" xfId="421" xr:uid="{749F5E45-C3D6-4A6C-821C-AA1EF04AC0EF}"/>
    <cellStyle name="Heading 2 2" xfId="422" xr:uid="{A5119F5F-1056-412A-BDC6-16CA8CA0F901}"/>
    <cellStyle name="Heading 3 2" xfId="423" xr:uid="{B1B5B285-B637-4ED3-ACF9-778C07625A1C}"/>
    <cellStyle name="Heading 4 2" xfId="424" xr:uid="{05A989DD-BEFC-4640-A365-5B56E637270E}"/>
    <cellStyle name="Hyperlink 2" xfId="29" xr:uid="{00000000-0005-0000-0000-00001D000000}"/>
    <cellStyle name="Hyperlink 3" xfId="77" xr:uid="{00000000-0005-0000-0000-00001E000000}"/>
    <cellStyle name="Hyperlink 4" xfId="445" xr:uid="{87E857E0-B139-4CAE-B456-1945C381AEFB}"/>
    <cellStyle name="Input 2" xfId="425" xr:uid="{41377FC7-4945-452A-9225-1F31026A2CD8}"/>
    <cellStyle name="Koloni" xfId="30" xr:uid="{00000000-0005-0000-0000-00001F000000}"/>
    <cellStyle name="Linked Cell 2" xfId="426" xr:uid="{3267C5F0-A695-4DC6-81BE-912E8594DDFB}"/>
    <cellStyle name="Neutral 2" xfId="427" xr:uid="{F632D93E-844F-4771-8906-17D9E6A20797}"/>
    <cellStyle name="Normal 10" xfId="92" xr:uid="{00000000-0005-0000-0000-000020000000}"/>
    <cellStyle name="Normal 10 2" xfId="198" xr:uid="{1E662468-6F63-4F01-985D-67152EBF385D}"/>
    <cellStyle name="Normal 10 2 2" xfId="342" xr:uid="{64CEF6B2-54A7-4070-A47A-59AF662691EE}"/>
    <cellStyle name="Normal 10 2 3" xfId="446" xr:uid="{3B89D2BD-18B2-4AF6-9F16-F56AFCADF4D7}"/>
    <cellStyle name="Normal 10 2 4" xfId="295" xr:uid="{1F5F844F-ABDB-40CB-91B6-0302E6F0FE6F}"/>
    <cellStyle name="Normal 10 2 5" xfId="247" xr:uid="{ACC2AE35-3A8F-46D1-A239-DEC93982E456}"/>
    <cellStyle name="Normal 10 3" xfId="318" xr:uid="{080E7210-A965-4416-B497-4827EF24D214}"/>
    <cellStyle name="Normal 10 4" xfId="385" xr:uid="{9E0A20FD-B068-406E-81DB-28BCE7FA3D50}"/>
    <cellStyle name="Normal 10 5" xfId="271" xr:uid="{1500CAE7-35A2-40D5-9CFE-85C3E295B0DA}"/>
    <cellStyle name="Normal 10 6" xfId="223" xr:uid="{10662B58-3582-46F1-9809-57E56F153AAA}"/>
    <cellStyle name="Normal 10 7" xfId="154" xr:uid="{93941789-85FD-4BFD-B20B-57BF0DE29A8A}"/>
    <cellStyle name="Normal 11" xfId="178" xr:uid="{A31CC002-AB5C-41E6-88D4-8F21638FA18A}"/>
    <cellStyle name="Normal 11 2" xfId="207" xr:uid="{32E2AD5E-DBE9-4D24-9FDD-2B8EB0AB440F}"/>
    <cellStyle name="Normal 12" xfId="179" xr:uid="{2C39686B-9679-43BC-84F7-50C2E5382139}"/>
    <cellStyle name="Normal 12 2" xfId="208" xr:uid="{A517DD07-4B74-4F38-B988-60DF9473DDEE}"/>
    <cellStyle name="Normal 2" xfId="31" xr:uid="{00000000-0005-0000-0000-000021000000}"/>
    <cellStyle name="Normal 2 2" xfId="78" xr:uid="{00000000-0005-0000-0000-000022000000}"/>
    <cellStyle name="Normal 2 2 2" xfId="87" xr:uid="{00000000-0005-0000-0000-000023000000}"/>
    <cellStyle name="Normal 2 2 2 2" xfId="261" xr:uid="{EB234E7A-54D6-4227-904D-A6A2D5594C64}"/>
    <cellStyle name="Normal 2 2 3" xfId="164" xr:uid="{852C8FEE-6E54-4EF4-BCAC-653D2B0C7D08}"/>
    <cellStyle name="Normal 2 3" xfId="82" xr:uid="{00000000-0005-0000-0000-000024000000}"/>
    <cellStyle name="Normal 2_Tadlici i spravki BP 11 12 2012" xfId="143" xr:uid="{3BB9F20B-AF32-4766-91AE-74122BC441AA}"/>
    <cellStyle name="Normal 3" xfId="32" xr:uid="{00000000-0005-0000-0000-000025000000}"/>
    <cellStyle name="Normal 3 2" xfId="130" xr:uid="{23DB0AF1-7979-4261-B455-168B745DC98D}"/>
    <cellStyle name="Normal 4" xfId="45" xr:uid="{00000000-0005-0000-0000-000026000000}"/>
    <cellStyle name="Normal 4 2" xfId="56" xr:uid="{00000000-0005-0000-0000-000027000000}"/>
    <cellStyle name="Normal 4 2 2" xfId="439" xr:uid="{F9B3CD7B-92B6-4ADF-8EE5-98DA01BBAB28}"/>
    <cellStyle name="Normal 4 2 3" xfId="362" xr:uid="{54DB572D-4836-402B-88AF-1200460275DB}"/>
    <cellStyle name="Normal 4 2 4" xfId="144" xr:uid="{D91D6768-B797-4FA5-ACD2-A3F5DDA4BFA6}"/>
    <cellStyle name="Normal 4 3" xfId="149" xr:uid="{8398E010-24EB-421F-8A24-5183B03FC96C}"/>
    <cellStyle name="Normal 4 3 2" xfId="165" xr:uid="{C224757A-4577-4CF0-9D90-13B24105C9D6}"/>
    <cellStyle name="Normal 4 3 3" xfId="183" xr:uid="{05E015C6-3D37-4A7B-8A0A-B76BE27CF1F0}"/>
    <cellStyle name="Normal 4 4" xfId="166" xr:uid="{F78120A4-A888-4AFF-9E7C-FA49353CF88C}"/>
    <cellStyle name="Normal 4 5" xfId="167" xr:uid="{A0557CF8-3DE0-4C1C-A636-A9258756218A}"/>
    <cellStyle name="Normal 4 6" xfId="428" xr:uid="{40AEE490-B0F5-4FCB-93C5-00013EC01B60}"/>
    <cellStyle name="Normal 4 7" xfId="131" xr:uid="{AF858372-69BC-444C-826A-D621F6593098}"/>
    <cellStyle name="Normal 4_2. Променливи" xfId="66" xr:uid="{00000000-0005-0000-0000-000028000000}"/>
    <cellStyle name="Normal 5" xfId="49" xr:uid="{00000000-0005-0000-0000-000029000000}"/>
    <cellStyle name="Normal 5 2" xfId="83" xr:uid="{00000000-0005-0000-0000-00002A000000}"/>
    <cellStyle name="Normal 6" xfId="52" xr:uid="{00000000-0005-0000-0000-00002B000000}"/>
    <cellStyle name="Normal 6 10" xfId="263" xr:uid="{119548A9-47EE-4915-BD22-078100091E39}"/>
    <cellStyle name="Normal 6 11" xfId="215" xr:uid="{39CB97D7-9E1D-4887-A4E4-EA8E9047181E}"/>
    <cellStyle name="Normal 6 12" xfId="140" xr:uid="{DC181DAD-83C6-4F8E-B868-C64C0CBC8233}"/>
    <cellStyle name="Normal 6 2" xfId="54" xr:uid="{00000000-0005-0000-0000-00002C000000}"/>
    <cellStyle name="Normal 6 2 10" xfId="141" xr:uid="{8A223A17-35AB-4B1F-8CF6-D1777F374DC1}"/>
    <cellStyle name="Normal 6 2 2" xfId="58" xr:uid="{00000000-0005-0000-0000-00002D000000}"/>
    <cellStyle name="Normal 6 2 2 2" xfId="74" xr:uid="{00000000-0005-0000-0000-00002E000000}"/>
    <cellStyle name="Normal 6 2 2 2 2" xfId="200" xr:uid="{FEB2C48C-C9B2-46ED-8917-AC07AE15DE4C}"/>
    <cellStyle name="Normal 6 2 2 2 2 2" xfId="344" xr:uid="{94571D9F-FF34-4473-BE13-0927FEE601C1}"/>
    <cellStyle name="Normal 6 2 2 2 2 3" xfId="448" xr:uid="{3A0FEFC8-D8A1-4195-852D-30884B5F2627}"/>
    <cellStyle name="Normal 6 2 2 2 2 4" xfId="297" xr:uid="{C5EEC8F5-1226-495F-8EE6-ABA0C01FF9A1}"/>
    <cellStyle name="Normal 6 2 2 2 2 5" xfId="249" xr:uid="{99F22BA0-60BB-43D3-B8AA-186C2E45A630}"/>
    <cellStyle name="Normal 6 2 2 2 3" xfId="320" xr:uid="{91BCBF49-6918-45EE-8863-6ABA7E6A3F35}"/>
    <cellStyle name="Normal 6 2 2 2 4" xfId="372" xr:uid="{59AEA979-4B75-4767-8B1B-EB78B5127C75}"/>
    <cellStyle name="Normal 6 2 2 2 5" xfId="273" xr:uid="{D0F24F15-143A-45D3-A4CE-8A9482D4E7CA}"/>
    <cellStyle name="Normal 6 2 2 2 6" xfId="225" xr:uid="{B31FA90B-15F7-454C-BF99-BD941A54C6C9}"/>
    <cellStyle name="Normal 6 2 2 2 7" xfId="168" xr:uid="{E4F9B432-5BF3-437B-A6AB-212AA79BE063}"/>
    <cellStyle name="Normal 6 2 2 3" xfId="195" xr:uid="{E469A4E6-543B-4C4A-968A-21C71275E0B4}"/>
    <cellStyle name="Normal 6 2 2 3 2" xfId="339" xr:uid="{D2AA6B2C-9859-482D-9725-CA74CDB80845}"/>
    <cellStyle name="Normal 6 2 2 3 3" xfId="442" xr:uid="{2C2AC74D-4EFD-48B6-AC14-DCFF36DC8636}"/>
    <cellStyle name="Normal 6 2 2 3 4" xfId="292" xr:uid="{275C0197-B4F9-4C7E-864A-2F1DC4481060}"/>
    <cellStyle name="Normal 6 2 2 3 5" xfId="244" xr:uid="{12964F15-9737-4D9E-9F58-2C43AF8BA0F9}"/>
    <cellStyle name="Normal 6 2 2 4" xfId="315" xr:uid="{BC66E3F6-6923-40D4-89B4-51ADFF5CD390}"/>
    <cellStyle name="Normal 6 2 2 5" xfId="364" xr:uid="{0F36E242-D9D3-45CB-9F36-B91A8CAA5CDA}"/>
    <cellStyle name="Normal 6 2 2 6" xfId="268" xr:uid="{2FFB3DEC-30B1-488E-95B8-ED221B6C536E}"/>
    <cellStyle name="Normal 6 2 2 7" xfId="220" xr:uid="{F9D52E27-DF6E-4700-98E0-29B761A4B755}"/>
    <cellStyle name="Normal 6 2 2 8" xfId="147" xr:uid="{36A6CDDD-C50B-4061-9A44-E4B95BED5641}"/>
    <cellStyle name="Normal 6 2 3" xfId="65" xr:uid="{00000000-0005-0000-0000-00002F000000}"/>
    <cellStyle name="Normal 6 2 3 2" xfId="76" xr:uid="{00000000-0005-0000-0000-000030000000}"/>
    <cellStyle name="Normal 6 2 3 2 2" xfId="345" xr:uid="{2AD50252-9C36-4CE0-BB38-C8A39508D05D}"/>
    <cellStyle name="Normal 6 2 3 2 3" xfId="374" xr:uid="{8AA5943B-EE48-44DC-84FA-3D25C754689E}"/>
    <cellStyle name="Normal 6 2 3 2 4" xfId="298" xr:uid="{CD6B2365-1E5C-4BEA-AC0A-31C3645782F7}"/>
    <cellStyle name="Normal 6 2 3 2 5" xfId="250" xr:uid="{61AA0389-763A-479C-A020-85E72AE863A5}"/>
    <cellStyle name="Normal 6 2 3 2 6" xfId="201" xr:uid="{B627984D-2186-4E35-8DB2-A9C35E52EA99}"/>
    <cellStyle name="Normal 6 2 3 3" xfId="321" xr:uid="{5C658B22-8D56-42E4-9522-E7C0EA1211E6}"/>
    <cellStyle name="Normal 6 2 3 3 2" xfId="449" xr:uid="{6844D829-857E-4F12-AF78-97232EE360A2}"/>
    <cellStyle name="Normal 6 2 3 4" xfId="368" xr:uid="{ACDB030A-BA21-48E3-B158-F87A601031E5}"/>
    <cellStyle name="Normal 6 2 3 5" xfId="274" xr:uid="{DC4EDC61-145F-4513-A047-0F1BEDADF0E5}"/>
    <cellStyle name="Normal 6 2 3 6" xfId="226" xr:uid="{1486D637-B92E-479D-AC8E-177D8341801C}"/>
    <cellStyle name="Normal 6 2 3 7" xfId="169" xr:uid="{5FBDBA1C-D4D1-4FA2-A790-72B3025FC081}"/>
    <cellStyle name="Normal 6 2 4" xfId="72" xr:uid="{00000000-0005-0000-0000-000031000000}"/>
    <cellStyle name="Normal 6 2 4 2" xfId="335" xr:uid="{53AFC651-1E11-4B62-910B-8144915BCC1D}"/>
    <cellStyle name="Normal 6 2 4 2 2" xfId="467" xr:uid="{20523493-1A09-42C9-A787-31340D26813C}"/>
    <cellStyle name="Normal 6 2 4 3" xfId="370" xr:uid="{F1372391-ED3E-417F-9E44-EF04B9CA06E4}"/>
    <cellStyle name="Normal 6 2 4 4" xfId="288" xr:uid="{4F105557-0947-471A-B8E9-C1EE33137820}"/>
    <cellStyle name="Normal 6 2 4 5" xfId="240" xr:uid="{9422CDFA-9663-4A61-AEBC-27CBFCCFF7AC}"/>
    <cellStyle name="Normal 6 2 4 6" xfId="191" xr:uid="{B9F324D6-A64D-4738-A8FE-9F2FF5C3303C}"/>
    <cellStyle name="Normal 6 2 5" xfId="81" xr:uid="{00000000-0005-0000-0000-000032000000}"/>
    <cellStyle name="Normal 6 2 5 2" xfId="91" xr:uid="{00000000-0005-0000-0000-000033000000}"/>
    <cellStyle name="Normal 6 2 5 2 2" xfId="384" xr:uid="{C83C8CFC-CFFE-4D5E-8C07-08A02F792478}"/>
    <cellStyle name="Normal 6 2 5 3" xfId="377" xr:uid="{768FFEC5-A4FF-4E4B-9306-781EF7F4136C}"/>
    <cellStyle name="Normal 6 2 5 4" xfId="311" xr:uid="{93312C4E-1E05-4BF1-B18B-22F7CE224D31}"/>
    <cellStyle name="Normal 6 2 6" xfId="437" xr:uid="{DCB30E2D-EB07-4474-BD9E-DBE6F3AEE461}"/>
    <cellStyle name="Normal 6 2 7" xfId="361" xr:uid="{93537DD5-3501-436C-A102-D4EFED998C72}"/>
    <cellStyle name="Normal 6 2 8" xfId="264" xr:uid="{C093CF8A-E68C-45C6-B11A-B41C3A2137A8}"/>
    <cellStyle name="Normal 6 2 9" xfId="216" xr:uid="{36CAEFCB-08D0-4734-8D99-64D7F8228BBB}"/>
    <cellStyle name="Normal 6 2_2. Променливи" xfId="68" xr:uid="{00000000-0005-0000-0000-000034000000}"/>
    <cellStyle name="Normal 6 3" xfId="57" xr:uid="{00000000-0005-0000-0000-000035000000}"/>
    <cellStyle name="Normal 6 3 2" xfId="73" xr:uid="{00000000-0005-0000-0000-000036000000}"/>
    <cellStyle name="Normal 6 3 2 2" xfId="202" xr:uid="{C6E8ACE8-E645-4770-A471-03D71013F184}"/>
    <cellStyle name="Normal 6 3 2 2 2" xfId="346" xr:uid="{1A297F57-F6B6-4AF2-A5CF-2C93544763DA}"/>
    <cellStyle name="Normal 6 3 2 2 3" xfId="450" xr:uid="{6A951B46-A081-4B1F-8BC8-64ABFCD24365}"/>
    <cellStyle name="Normal 6 3 2 2 4" xfId="299" xr:uid="{A1CFF844-448F-401A-9E7C-1D1F4ABC6622}"/>
    <cellStyle name="Normal 6 3 2 2 5" xfId="251" xr:uid="{1D8099BE-C0BB-4216-A14B-48EF9C23D953}"/>
    <cellStyle name="Normal 6 3 2 3" xfId="322" xr:uid="{9742BD8B-67E6-41AA-AA01-9609734473AB}"/>
    <cellStyle name="Normal 6 3 2 4" xfId="371" xr:uid="{DF8B4920-8221-415F-9849-6DC3B778C4E3}"/>
    <cellStyle name="Normal 6 3 2 5" xfId="275" xr:uid="{31367650-2557-44CF-BC20-8535A5F88A11}"/>
    <cellStyle name="Normal 6 3 2 6" xfId="227" xr:uid="{8B53D134-62A8-440C-804D-E8068F49B2E6}"/>
    <cellStyle name="Normal 6 3 2 7" xfId="170" xr:uid="{384E6673-4F87-4E46-9E7C-AB257BD20D37}"/>
    <cellStyle name="Normal 6 3 3" xfId="90" xr:uid="{00000000-0005-0000-0000-000037000000}"/>
    <cellStyle name="Normal 6 3 3 2" xfId="338" xr:uid="{D512B9C5-CDF8-4961-AD71-F8F2B31EA26D}"/>
    <cellStyle name="Normal 6 3 3 3" xfId="383" xr:uid="{00510245-D4A2-4CD1-B53B-D34AADCCF672}"/>
    <cellStyle name="Normal 6 3 3 4" xfId="291" xr:uid="{6840B6DE-1F92-4808-A09C-E1349D22648C}"/>
    <cellStyle name="Normal 6 3 3 5" xfId="243" xr:uid="{2D3C29F5-5B52-4776-B5F0-82D431B0FA83}"/>
    <cellStyle name="Normal 6 3 3 6" xfId="194" xr:uid="{D626E492-4C89-4FFB-9F14-9351D8994D15}"/>
    <cellStyle name="Normal 6 3 4" xfId="314" xr:uid="{37E93275-B34F-43AD-8BC0-4523ACDEC8B7}"/>
    <cellStyle name="Normal 6 3 4 2" xfId="441" xr:uid="{9A0050CC-5789-40E9-939E-6BA51989D494}"/>
    <cellStyle name="Normal 6 3 5" xfId="363" xr:uid="{06D81D5A-9A07-46C2-8896-0CE9812138F1}"/>
    <cellStyle name="Normal 6 3 6" xfId="267" xr:uid="{FD06BB20-3772-4838-9FDF-A6E88C21CC0B}"/>
    <cellStyle name="Normal 6 3 7" xfId="219" xr:uid="{6F24C8DD-9944-44D9-AEDE-C8A031BC2E54}"/>
    <cellStyle name="Normal 6 3 8" xfId="146" xr:uid="{10E01D6B-C429-4079-8BBD-A4117199D120}"/>
    <cellStyle name="Normal 6 4" xfId="64" xr:uid="{00000000-0005-0000-0000-000038000000}"/>
    <cellStyle name="Normal 6 4 2" xfId="75" xr:uid="{00000000-0005-0000-0000-000039000000}"/>
    <cellStyle name="Normal 6 4 2 2" xfId="347" xr:uid="{FA40DB67-F62E-4F83-9991-B5C35F178572}"/>
    <cellStyle name="Normal 6 4 2 3" xfId="373" xr:uid="{E6B83C2F-0F43-4790-A1D5-28A8989E46EE}"/>
    <cellStyle name="Normal 6 4 2 4" xfId="300" xr:uid="{C3DB240D-FC82-4391-90F8-D017B6B41FFA}"/>
    <cellStyle name="Normal 6 4 2 5" xfId="252" xr:uid="{BF9C25CC-BA1F-43AE-BB38-43180C2EF9FE}"/>
    <cellStyle name="Normal 6 4 2 6" xfId="203" xr:uid="{154B12C4-8F95-472D-9036-0F3EA44A1387}"/>
    <cellStyle name="Normal 6 4 3" xfId="323" xr:uid="{E8D92146-2A32-4F61-B265-7A55704D46AB}"/>
    <cellStyle name="Normal 6 4 3 2" xfId="451" xr:uid="{04E0B52B-3EC8-4A1B-8595-6F8075D1556B}"/>
    <cellStyle name="Normal 6 4 4" xfId="367" xr:uid="{E8D6565C-3F3E-4D44-8151-44D49C5C05EC}"/>
    <cellStyle name="Normal 6 4 5" xfId="276" xr:uid="{4FFD1C3A-5743-41EB-8C86-9030FB7D718D}"/>
    <cellStyle name="Normal 6 4 6" xfId="228" xr:uid="{85CDAFD3-723C-4B10-B558-D0628FE74F75}"/>
    <cellStyle name="Normal 6 4 7" xfId="171" xr:uid="{206BA6AC-32EC-476B-A22F-D61C27F2FCDA}"/>
    <cellStyle name="Normal 6 5" xfId="71" xr:uid="{00000000-0005-0000-0000-00003A000000}"/>
    <cellStyle name="Normal 6 5 2" xfId="459" xr:uid="{C58193BA-4AFF-4F43-B68C-278DBC66FE0E}"/>
    <cellStyle name="Normal 6 5 3" xfId="369" xr:uid="{06BB58B2-4B69-4BF9-B942-01080FB57A4A}"/>
    <cellStyle name="Normal 6 5 4" xfId="181" xr:uid="{0DD21D95-35E1-4687-BEAB-1D21976E781B}"/>
    <cellStyle name="Normal 6 6" xfId="80" xr:uid="{00000000-0005-0000-0000-00003B000000}"/>
    <cellStyle name="Normal 6 6 2" xfId="212" xr:uid="{6BEDDCC6-F68D-45D9-8AF2-516CA74D40C9}"/>
    <cellStyle name="Normal 6 6 2 2" xfId="354" xr:uid="{D4A09224-43A4-460C-B933-C05AAFD1B933}"/>
    <cellStyle name="Normal 6 6 2 3" xfId="463" xr:uid="{2EA37FB8-DE38-4C15-8389-319E8114B72D}"/>
    <cellStyle name="Normal 6 6 2 4" xfId="307" xr:uid="{AF493CA6-8DD4-4C91-AD70-A1579122A6B5}"/>
    <cellStyle name="Normal 6 6 2 5" xfId="259" xr:uid="{88CCA291-8E39-4900-B1C9-46FAA1DC7C19}"/>
    <cellStyle name="Normal 6 6 3" xfId="330" xr:uid="{61F6416E-B525-4A00-B80E-A410C6221B43}"/>
    <cellStyle name="Normal 6 6 4" xfId="376" xr:uid="{75005266-C8D9-4CC5-A7AF-90B6D32826A9}"/>
    <cellStyle name="Normal 6 6 5" xfId="283" xr:uid="{5EA7DBFC-8D22-45CE-89BA-71F1895D948E}"/>
    <cellStyle name="Normal 6 6 6" xfId="235" xr:uid="{19CFAC46-A05A-4254-9247-B486A778CDC5}"/>
    <cellStyle name="Normal 6 6 7" xfId="185" xr:uid="{20BABCC2-6CA9-4AF1-AE8C-7AC9335BB058}"/>
    <cellStyle name="Normal 6 7" xfId="190" xr:uid="{56CAF84D-BC33-4D46-ABD3-071B862FB90A}"/>
    <cellStyle name="Normal 6 7 2" xfId="334" xr:uid="{ACBFB41E-904D-4035-8165-BC4D11A1A66A}"/>
    <cellStyle name="Normal 6 7 3" xfId="436" xr:uid="{39822F5F-AF7C-475C-A64A-428E286EC6CB}"/>
    <cellStyle name="Normal 6 7 4" xfId="287" xr:uid="{F8ECBA78-CEB0-428D-806A-44CA1E289305}"/>
    <cellStyle name="Normal 6 7 5" xfId="239" xr:uid="{2AB5C1BB-1E94-43C7-984D-9DBB786F6DF2}"/>
    <cellStyle name="Normal 6 8" xfId="310" xr:uid="{E4CD3A81-4BD0-4B6D-910F-9BFDAE1D803B}"/>
    <cellStyle name="Normal 6 9" xfId="359" xr:uid="{56C29990-0DEC-4557-8D6B-35A9F8AA109A}"/>
    <cellStyle name="Normal 6_2. Променливи" xfId="67" xr:uid="{00000000-0005-0000-0000-00003C000000}"/>
    <cellStyle name="Normal 7" xfId="53" xr:uid="{00000000-0005-0000-0000-00003D000000}"/>
    <cellStyle name="Normal 7 10" xfId="139" xr:uid="{477E06DD-5A59-4EAD-821B-398FF4D8DF32}"/>
    <cellStyle name="Normal 7 2" xfId="84" xr:uid="{00000000-0005-0000-0000-00003E000000}"/>
    <cellStyle name="Normal 7 2 2" xfId="172" xr:uid="{97CB26DB-264C-44FE-95C7-D7225E0E7477}"/>
    <cellStyle name="Normal 7 2 2 2" xfId="204" xr:uid="{1733ACAD-B30F-4F00-8CDF-356A8371200B}"/>
    <cellStyle name="Normal 7 2 2 2 2" xfId="348" xr:uid="{BE9CFD3F-F51D-4C6E-8424-263B5F7A1030}"/>
    <cellStyle name="Normal 7 2 2 2 3" xfId="301" xr:uid="{CF40C1EE-208C-494B-B4FF-A9DF1FB163DC}"/>
    <cellStyle name="Normal 7 2 2 2 4" xfId="253" xr:uid="{61440290-826E-490C-990E-2165B587FF09}"/>
    <cellStyle name="Normal 7 2 2 3" xfId="324" xr:uid="{67532692-8795-4DCE-957E-DF1C254A6E0B}"/>
    <cellStyle name="Normal 7 2 2 4" xfId="452" xr:uid="{9ADD0288-3DF7-4A7C-88A8-AB2E8DDB9561}"/>
    <cellStyle name="Normal 7 2 2 5" xfId="277" xr:uid="{2707A222-3529-421D-95BB-C7D56F8571F4}"/>
    <cellStyle name="Normal 7 2 2 6" xfId="229" xr:uid="{C0EAF2AF-CF97-4208-9416-956FBCE115B4}"/>
    <cellStyle name="Normal 7 2 3" xfId="193" xr:uid="{344EC0E3-2CA3-4D12-800C-59C52410C0A1}"/>
    <cellStyle name="Normal 7 2 3 2" xfId="337" xr:uid="{A648E1E6-0E9B-4C6A-83A7-627252DEE498}"/>
    <cellStyle name="Normal 7 2 3 3" xfId="440" xr:uid="{2D741E51-07B8-4B06-B197-0459C5B4153A}"/>
    <cellStyle name="Normal 7 2 3 4" xfId="290" xr:uid="{064E615F-7A19-42A8-A51F-D9FF0ADEF7D3}"/>
    <cellStyle name="Normal 7 2 3 5" xfId="242" xr:uid="{68466458-2319-435B-B57F-1F12CB5966F2}"/>
    <cellStyle name="Normal 7 2 4" xfId="313" xr:uid="{C0CDF415-109E-4B0F-8784-33806124421A}"/>
    <cellStyle name="Normal 7 2 5" xfId="378" xr:uid="{921FB13E-4CED-4A9F-947C-52C180261045}"/>
    <cellStyle name="Normal 7 2 6" xfId="266" xr:uid="{D40D30B4-02E5-4396-A517-4172812280A8}"/>
    <cellStyle name="Normal 7 2 7" xfId="218" xr:uid="{116D3F69-89F8-4163-BDB6-A49AE4A81038}"/>
    <cellStyle name="Normal 7 2 8" xfId="145" xr:uid="{941A9A47-18B1-4772-8B7E-1036D21337D1}"/>
    <cellStyle name="Normal 7 3" xfId="173" xr:uid="{63E90DE0-2BEA-4C80-AA22-159A71E65B63}"/>
    <cellStyle name="Normal 7 3 2" xfId="205" xr:uid="{2FA2EDCD-3432-4A8A-B14F-93EC63B92020}"/>
    <cellStyle name="Normal 7 3 2 2" xfId="349" xr:uid="{566BFDE7-6847-46ED-A721-6BC582727439}"/>
    <cellStyle name="Normal 7 3 2 3" xfId="302" xr:uid="{AD7F3A53-969B-4976-87C3-80E9ADB527A4}"/>
    <cellStyle name="Normal 7 3 2 4" xfId="254" xr:uid="{9FB4A67C-A1E5-45D1-82F4-60868FB75DF8}"/>
    <cellStyle name="Normal 7 3 3" xfId="325" xr:uid="{B72E41A3-037F-40D0-AE36-270D66B2ECF8}"/>
    <cellStyle name="Normal 7 3 4" xfId="453" xr:uid="{8C139A3D-CFBE-46B2-8EC6-E842C58EB906}"/>
    <cellStyle name="Normal 7 3 5" xfId="278" xr:uid="{C344A9A5-3E66-489D-BEDD-CCA104185836}"/>
    <cellStyle name="Normal 7 3 6" xfId="230" xr:uid="{4E1BAD90-8A8D-4CEC-8336-740474A697E2}"/>
    <cellStyle name="Normal 7 4" xfId="182" xr:uid="{0896EF32-D65B-4A80-A23B-B2652231B22F}"/>
    <cellStyle name="Normal 7 4 2" xfId="210" xr:uid="{1426C84B-704D-4B9C-9BAF-2D0BD6272276}"/>
    <cellStyle name="Normal 7 4 2 2" xfId="352" xr:uid="{DBE666D0-60A6-4A64-92D9-69872605F7CB}"/>
    <cellStyle name="Normal 7 4 2 3" xfId="305" xr:uid="{1FBF46B5-FE8F-46C5-B433-9B46F13F6683}"/>
    <cellStyle name="Normal 7 4 2 4" xfId="257" xr:uid="{ADAD9FC2-34D2-4A14-99AA-93943EDC2037}"/>
    <cellStyle name="Normal 7 4 3" xfId="328" xr:uid="{46AF9C1C-62E2-4345-A8B6-5BB3F5C68EE6}"/>
    <cellStyle name="Normal 7 4 4" xfId="460" xr:uid="{F2C936E8-AA1F-45F5-BB00-47B127BA80B7}"/>
    <cellStyle name="Normal 7 4 5" xfId="281" xr:uid="{3A2C2325-6111-4CC7-9B3A-C9BF79CB4630}"/>
    <cellStyle name="Normal 7 4 6" xfId="233" xr:uid="{956E4B2F-2624-4D29-98A2-642D8CFB9032}"/>
    <cellStyle name="Normal 7 5" xfId="189" xr:uid="{9D7D5BE3-EC0F-4545-A38B-5D2B7133D73A}"/>
    <cellStyle name="Normal 7 5 2" xfId="333" xr:uid="{0B53580E-1D9D-4273-AC79-E70829EB05E8}"/>
    <cellStyle name="Normal 7 5 3" xfId="464" xr:uid="{418487EC-3576-4475-B51B-685FA7649624}"/>
    <cellStyle name="Normal 7 5 4" xfId="286" xr:uid="{DB2B905B-A52A-4CD0-930F-A5865CFCD6F5}"/>
    <cellStyle name="Normal 7 5 5" xfId="238" xr:uid="{56597DD6-19B9-443E-A552-CED3FFFBE903}"/>
    <cellStyle name="Normal 7 6" xfId="309" xr:uid="{B84C4F1A-3612-48F3-AB04-69E58BCF49B0}"/>
    <cellStyle name="Normal 7 6 2" xfId="435" xr:uid="{7807275C-723D-44DE-92E6-EF33DD782031}"/>
    <cellStyle name="Normal 7 7" xfId="360" xr:uid="{FD05E0D5-5FB7-4700-A594-39E4853C1462}"/>
    <cellStyle name="Normal 7 8" xfId="262" xr:uid="{1B60B52F-752F-400B-8D9E-3891BDD801FD}"/>
    <cellStyle name="Normal 7 9" xfId="214" xr:uid="{0F3B2C4C-6063-4697-AEF9-988BC1818187}"/>
    <cellStyle name="Normal 8" xfId="79" xr:uid="{00000000-0005-0000-0000-00003F000000}"/>
    <cellStyle name="Normal 8 2" xfId="88" xr:uid="{00000000-0005-0000-0000-000040000000}"/>
    <cellStyle name="Normal 8 2 10" xfId="148" xr:uid="{A0970C3B-5925-46DA-A926-7A328914998F}"/>
    <cellStyle name="Normal 8 2 2" xfId="174" xr:uid="{826091C7-36AC-40FB-B7B2-6961E82BD576}"/>
    <cellStyle name="Normal 8 2 2 2" xfId="206" xr:uid="{642AE0CC-6C10-487A-97E2-D95E09F5E6BB}"/>
    <cellStyle name="Normal 8 2 2 2 2" xfId="350" xr:uid="{3511F1FC-04FE-4179-963A-A0F17E40B0AF}"/>
    <cellStyle name="Normal 8 2 2 2 3" xfId="303" xr:uid="{DA7822C3-43D3-4ACA-97CA-E369B0ED8631}"/>
    <cellStyle name="Normal 8 2 2 2 4" xfId="255" xr:uid="{8507B9C4-8774-43C6-A658-F964DE0DE236}"/>
    <cellStyle name="Normal 8 2 2 3" xfId="326" xr:uid="{8279DF86-E456-48E1-8E35-4E68E937A6CA}"/>
    <cellStyle name="Normal 8 2 2 4" xfId="454" xr:uid="{BBBA8DF5-F73C-4717-8055-00C95CA6865A}"/>
    <cellStyle name="Normal 8 2 2 5" xfId="279" xr:uid="{A68F34F9-AF52-4C2C-9650-050B07159157}"/>
    <cellStyle name="Normal 8 2 2 6" xfId="231" xr:uid="{B7BF4A95-06D1-4AC9-90AA-3CB9D85EB148}"/>
    <cellStyle name="Normal 8 2 3" xfId="180" xr:uid="{672C6B7C-325F-409D-AF03-DF86EF3909C4}"/>
    <cellStyle name="Normal 8 2 3 2" xfId="209" xr:uid="{0AF159FA-B2BF-4E57-9E55-83FA71F4671D}"/>
    <cellStyle name="Normal 8 2 3 2 2" xfId="351" xr:uid="{FD3B5CDC-DED9-4AE2-8585-58A3BF55444A}"/>
    <cellStyle name="Normal 8 2 3 2 3" xfId="304" xr:uid="{87668C93-C524-495C-A158-A2F1E96914E6}"/>
    <cellStyle name="Normal 8 2 3 2 4" xfId="256" xr:uid="{F4A567A0-A088-4857-BC90-28173A65DA78}"/>
    <cellStyle name="Normal 8 2 3 3" xfId="327" xr:uid="{44DBFAD5-693C-4195-B5C6-F9814CBB8868}"/>
    <cellStyle name="Normal 8 2 3 4" xfId="458" xr:uid="{DD31C17A-1841-48CB-B869-AE5F60BCFD03}"/>
    <cellStyle name="Normal 8 2 3 5" xfId="280" xr:uid="{0A028A35-652A-40FB-A3E2-A0593848974B}"/>
    <cellStyle name="Normal 8 2 3 6" xfId="232" xr:uid="{359F0647-644A-420C-A8F5-B015E514EBCF}"/>
    <cellStyle name="Normal 8 2 4" xfId="186" xr:uid="{B93B4D16-0588-4AFE-ACA5-10783415D969}"/>
    <cellStyle name="Normal 8 2 4 2" xfId="213" xr:uid="{F604F2C1-6BFE-411A-99B2-D64DF5DFA7AC}"/>
    <cellStyle name="Normal 8 2 4 2 2" xfId="355" xr:uid="{7F1FBC56-9A37-4160-BCA9-BDAD95C59A0D}"/>
    <cellStyle name="Normal 8 2 4 2 3" xfId="308" xr:uid="{7A65C494-FEFC-42E4-BD5C-BDCD28103FE9}"/>
    <cellStyle name="Normal 8 2 4 2 4" xfId="260" xr:uid="{E9D6D863-50B0-4E6D-9CFD-9C1E2478959D}"/>
    <cellStyle name="Normal 8 2 4 3" xfId="331" xr:uid="{C41AB795-DDB6-437A-9CEB-99A4B6FBAC03}"/>
    <cellStyle name="Normal 8 2 4 4" xfId="443" xr:uid="{F0D976FB-7537-4301-A2F3-4FAD8E589533}"/>
    <cellStyle name="Normal 8 2 4 5" xfId="284" xr:uid="{7625A634-B103-47EB-9FBC-42D3841B885D}"/>
    <cellStyle name="Normal 8 2 4 6" xfId="236" xr:uid="{0C53B941-66E6-4DA7-9A18-E0E2702BA032}"/>
    <cellStyle name="Normal 8 2 5" xfId="196" xr:uid="{F1B24031-BED9-451F-8FCE-DC68D26D5FF2}"/>
    <cellStyle name="Normal 8 2 5 2" xfId="340" xr:uid="{4833DA77-8F08-4267-B0BC-CC2A15BB9692}"/>
    <cellStyle name="Normal 8 2 5 3" xfId="293" xr:uid="{1A0534CA-6B38-4150-890D-6D5C5C82C2DB}"/>
    <cellStyle name="Normal 8 2 5 4" xfId="245" xr:uid="{E65E618E-5029-442F-9570-65EC4D46FDBA}"/>
    <cellStyle name="Normal 8 2 6" xfId="316" xr:uid="{98562EB8-B101-4D37-A2EF-43C1C7BE93DE}"/>
    <cellStyle name="Normal 8 2 7" xfId="381" xr:uid="{55BA498A-BF74-4212-B411-0DD6CB7D2E46}"/>
    <cellStyle name="Normal 8 2 8" xfId="269" xr:uid="{2A49D29E-566A-4B38-A220-F43B8B439902}"/>
    <cellStyle name="Normal 8 2 9" xfId="221" xr:uid="{FA535FAA-16EC-4A93-BC40-87666996EEC2}"/>
    <cellStyle name="Normal 8 3" xfId="155" xr:uid="{C4B97B2A-EE3D-4E82-BB8D-774CA64BDBF0}"/>
    <cellStyle name="Normal 8 3 2" xfId="199" xr:uid="{4CA3B5D4-FC93-4369-B931-F44A7375710D}"/>
    <cellStyle name="Normal 8 3 2 2" xfId="343" xr:uid="{8C04B5E6-0A23-4F62-93E6-ECC9C7E3D23F}"/>
    <cellStyle name="Normal 8 3 2 3" xfId="296" xr:uid="{77ECA77E-1EAF-4B95-AC3B-4D308F9A0909}"/>
    <cellStyle name="Normal 8 3 2 4" xfId="248" xr:uid="{C6758A4C-480B-4237-9BEF-84A13F4848F7}"/>
    <cellStyle name="Normal 8 3 3" xfId="319" xr:uid="{877CD122-17DA-4FA3-8AD7-3DE6C7EBA29C}"/>
    <cellStyle name="Normal 8 3 4" xfId="447" xr:uid="{44116A9A-74A9-4FA9-A066-B853B5458A73}"/>
    <cellStyle name="Normal 8 3 5" xfId="272" xr:uid="{7E68A0B2-BC6B-4C9E-9B61-1B8001D2EFC2}"/>
    <cellStyle name="Normal 8 3 6" xfId="224" xr:uid="{6D21A819-7C71-482C-987C-8922B84664DE}"/>
    <cellStyle name="Normal 8 4" xfId="192" xr:uid="{AA0B69B3-2934-4E7D-9415-F52A7538790B}"/>
    <cellStyle name="Normal 8 4 2" xfId="336" xr:uid="{311745EE-093C-4849-985D-B38421E7CA07}"/>
    <cellStyle name="Normal 8 4 3" xfId="466" xr:uid="{2EB20EDB-4C8D-4D25-A26F-C251B6B3EFD1}"/>
    <cellStyle name="Normal 8 4 4" xfId="289" xr:uid="{9690C8FA-0A0E-403B-B9D4-B609AA64DE35}"/>
    <cellStyle name="Normal 8 4 5" xfId="241" xr:uid="{8CD88873-6EA8-4311-8EC2-7E3235512E92}"/>
    <cellStyle name="Normal 8 5" xfId="312" xr:uid="{7940D00A-C12D-4C8E-B758-A62AD7DC069C}"/>
    <cellStyle name="Normal 8 5 2" xfId="438" xr:uid="{D31A8184-07A9-4782-B917-6B03D0C9186F}"/>
    <cellStyle name="Normal 8 6" xfId="375" xr:uid="{71C222AE-9D45-47D2-9144-856472E1E72B}"/>
    <cellStyle name="Normal 8 7" xfId="265" xr:uid="{4293F2B8-51A5-4AA1-BE09-61D505FA7643}"/>
    <cellStyle name="Normal 8 8" xfId="217" xr:uid="{CF4AB8E0-CB77-4DC7-B1B7-F3B5BE4EF345}"/>
    <cellStyle name="Normal 8 9" xfId="142" xr:uid="{BB915B52-4F35-4AA8-8A96-89D4DCBB7B6E}"/>
    <cellStyle name="Normal 9" xfId="85" xr:uid="{00000000-0005-0000-0000-000041000000}"/>
    <cellStyle name="Normal 9 2" xfId="187" xr:uid="{17852E03-2890-42E4-82EE-608C12BDCA3F}"/>
    <cellStyle name="Normal 9 2 2" xfId="332" xr:uid="{A23DCF9F-71A0-4610-83F5-4B9CA194E68C}"/>
    <cellStyle name="Normal 9 2 3" xfId="444" xr:uid="{A5FCF6DB-37BD-483E-8EC3-60AA857C1524}"/>
    <cellStyle name="Normal 9 2 4" xfId="285" xr:uid="{46503EDB-ED63-4F85-B490-6CBECF68E9C5}"/>
    <cellStyle name="Normal 9 2 5" xfId="237" xr:uid="{04C3A2AC-DE16-4D4C-9EAB-07457753AF5C}"/>
    <cellStyle name="Normal 9 3" xfId="197" xr:uid="{0A761013-C831-426E-80DF-479E44007E89}"/>
    <cellStyle name="Normal 9 3 2" xfId="341" xr:uid="{54318299-0152-4868-B0EF-A672FCA1A763}"/>
    <cellStyle name="Normal 9 3 3" xfId="294" xr:uid="{30F1B169-C348-4CD2-8727-3C6BD8C32128}"/>
    <cellStyle name="Normal 9 3 4" xfId="246" xr:uid="{E13414FE-A384-4B93-8D48-E722076A933D}"/>
    <cellStyle name="Normal 9 4" xfId="317" xr:uid="{2D86360E-AC0B-40AD-845C-4322D8E52C35}"/>
    <cellStyle name="Normal 9 5" xfId="379" xr:uid="{31B83E10-06A8-4805-A346-53E18A3987D6}"/>
    <cellStyle name="Normal 9 6" xfId="270" xr:uid="{EE2B33AF-87E6-440C-BBCA-1B8C806053DE}"/>
    <cellStyle name="Normal 9 7" xfId="222" xr:uid="{FE810469-F504-4C84-9CE3-A4A27040EE06}"/>
    <cellStyle name="Normal 9 8" xfId="150" xr:uid="{60FBDFC5-EEDC-4B1F-8B18-27764ACAC420}"/>
    <cellStyle name="Normal_Lov_Forms_DKER" xfId="42" xr:uid="{00000000-0005-0000-0000-000042000000}"/>
    <cellStyle name="Normal_Model_2005_Sofia_DKER_3" xfId="40" xr:uid="{00000000-0005-0000-0000-000043000000}"/>
    <cellStyle name="Normal_Pazardjik_2_bo_groups" xfId="43" xr:uid="{00000000-0005-0000-0000-000044000000}"/>
    <cellStyle name="Normal_Sheet1_1" xfId="47" xr:uid="{00000000-0005-0000-0000-000045000000}"/>
    <cellStyle name="Note 2" xfId="429" xr:uid="{71284A00-9161-4751-BD33-AAA61229E080}"/>
    <cellStyle name="Output 2" xfId="430" xr:uid="{460F218A-BAA9-4F2D-84A8-F0AD9A6BB61E}"/>
    <cellStyle name="Percent 2" xfId="33" xr:uid="{00000000-0005-0000-0000-000046000000}"/>
    <cellStyle name="Percent 3" xfId="34" xr:uid="{00000000-0005-0000-0000-000047000000}"/>
    <cellStyle name="Percent 4" xfId="35" xr:uid="{00000000-0005-0000-0000-000048000000}"/>
    <cellStyle name="Percent 4 2" xfId="188" xr:uid="{C5DA220B-03FA-4C73-8F4C-2C7AC2CD9077}"/>
    <cellStyle name="Percent 5" xfId="41" xr:uid="{00000000-0005-0000-0000-000049000000}"/>
    <cellStyle name="Percent 5 2" xfId="59" xr:uid="{00000000-0005-0000-0000-00004A000000}"/>
    <cellStyle name="Percent 6" xfId="50" xr:uid="{00000000-0005-0000-0000-00004B000000}"/>
    <cellStyle name="Percent 6 2" xfId="60" xr:uid="{00000000-0005-0000-0000-00004C000000}"/>
    <cellStyle name="Percent 6 2 2" xfId="455" xr:uid="{467A29F9-EF4F-40FF-9928-7905744AEF61}"/>
    <cellStyle name="Percent 6 2 3" xfId="365" xr:uid="{666EDDC5-E04B-42CC-B730-BF08D61482D8}"/>
    <cellStyle name="Percent 6 2 4" xfId="175" xr:uid="{2762F563-C97E-4BE2-B457-5EAD3094FE0D}"/>
    <cellStyle name="Percent 6 3" xfId="70" xr:uid="{00000000-0005-0000-0000-00004D000000}"/>
    <cellStyle name="Percent 7" xfId="51" xr:uid="{00000000-0005-0000-0000-00004E000000}"/>
    <cellStyle name="Percent 7 2" xfId="61" xr:uid="{00000000-0005-0000-0000-00004F000000}"/>
    <cellStyle name="Percent 7 2 2" xfId="456" xr:uid="{322B7B5B-7B3B-4079-A144-F8E4A9392346}"/>
    <cellStyle name="Percent 7 2 3" xfId="366" xr:uid="{D951A00D-11AD-4FA2-9E1D-B899DB2056C3}"/>
    <cellStyle name="Percent 7 2 4" xfId="176" xr:uid="{5CB34C66-E4A4-40E8-9EA0-AAAF1165C8AF}"/>
    <cellStyle name="Percent 8" xfId="86" xr:uid="{00000000-0005-0000-0000-000050000000}"/>
    <cellStyle name="Percent 8 2" xfId="89" xr:uid="{00000000-0005-0000-0000-000051000000}"/>
    <cellStyle name="Percent 8 2 2" xfId="382" xr:uid="{F7D216EE-C4C3-431D-999D-2A0AE364E06C}"/>
    <cellStyle name="Percent 8 3" xfId="457" xr:uid="{92A52DCF-A662-4606-BB24-16A1BD5923C3}"/>
    <cellStyle name="Percent 8 4" xfId="380" xr:uid="{E412DBD8-2D18-4F3C-B342-2B1490BA0386}"/>
    <cellStyle name="Percent 8 5" xfId="177" xr:uid="{E7E669B6-57E2-4861-AE2C-3DB737837412}"/>
    <cellStyle name="Percent 9" xfId="431" xr:uid="{273382D3-94AD-4265-A5A3-4D5CBC4F6E27}"/>
    <cellStyle name="Sheet Title" xfId="36" xr:uid="{00000000-0005-0000-0000-000052000000}"/>
    <cellStyle name="Standard_A_1" xfId="135" xr:uid="{DB6CB438-CE46-4D7A-AE94-ABAE97D8C1E8}"/>
    <cellStyle name="Title 2" xfId="432" xr:uid="{F7FB509D-E307-4341-A730-6C4EE25DAC11}"/>
    <cellStyle name="Total 2" xfId="433" xr:uid="{5F7DFC95-E16D-4879-BC92-A2E7C02CDA6F}"/>
    <cellStyle name="Warning Text 2" xfId="434" xr:uid="{2919D54C-85DA-41DF-BE83-D029BDF32D39}"/>
    <cellStyle name="White" xfId="37" xr:uid="{00000000-0005-0000-0000-000053000000}"/>
    <cellStyle name="Zaglavie" xfId="38" xr:uid="{00000000-0005-0000-0000-000054000000}"/>
    <cellStyle name="Акцент1 2" xfId="112" xr:uid="{2E3F5CBB-656A-4EAC-BCA7-3849E52F0BC1}"/>
    <cellStyle name="Акцент2 2" xfId="113" xr:uid="{47615F47-FB5C-4DA9-864D-D08C9E3ED96D}"/>
    <cellStyle name="Акцент3 2" xfId="114" xr:uid="{EEEB683F-FA96-4030-9244-76AF34D44CBE}"/>
    <cellStyle name="Акцент4 2" xfId="115" xr:uid="{EBCF504B-8E42-4477-88D3-E8601EB4D4DF}"/>
    <cellStyle name="Акцент5 2" xfId="116" xr:uid="{BC3CF5E6-8196-4C9F-9C79-DA8F4C2FB1A4}"/>
    <cellStyle name="Акцент6 2" xfId="117" xr:uid="{F6450718-588B-4C43-AD4E-DC1D9FFE6F96}"/>
    <cellStyle name="Бележка 2" xfId="132" xr:uid="{630BCEE7-F592-4D83-AEF3-D2021DC961DB}"/>
    <cellStyle name="Вход 2" xfId="127" xr:uid="{4FE073AD-90AB-4D74-8AC9-F35B655B0F87}"/>
    <cellStyle name="Добър 2" xfId="122" xr:uid="{4AC23FF5-4D8D-482C-8E96-893D15E858DA}"/>
    <cellStyle name="Заглавие 1 2" xfId="123" xr:uid="{AD943DD2-7810-449B-BF8C-BD506BEF1395}"/>
    <cellStyle name="Заглавие 2 2" xfId="124" xr:uid="{58AA1F4E-DEA8-487C-9E86-BCA42E5DAF5A}"/>
    <cellStyle name="Заглавие 3 2" xfId="125" xr:uid="{DCAB8547-5028-48C3-AC76-05AD9E4F4805}"/>
    <cellStyle name="Заглавие 4 2" xfId="126" xr:uid="{DAED2B76-306B-407C-9ED3-5B7E8E2EAC01}"/>
    <cellStyle name="Заглавие 5" xfId="136" xr:uid="{8266C5A0-350F-4C76-B9B2-D84D555DA4F6}"/>
    <cellStyle name="Запетая" xfId="55" builtinId="3"/>
    <cellStyle name="Запетая 2" xfId="62" xr:uid="{00000000-0005-0000-0000-000056000000}"/>
    <cellStyle name="Запетая 2 2" xfId="465" xr:uid="{1A6C9E74-B39E-4208-9C43-B8A2F8B1009C}"/>
    <cellStyle name="Запетая 2 3" xfId="468" xr:uid="{7416F85A-8FD2-42A9-B04E-B59CBA150DC6}"/>
    <cellStyle name="Запетая 2 4" xfId="329" xr:uid="{140AF258-4723-429F-9D3A-07167150817D}"/>
    <cellStyle name="Запетая 3" xfId="282" xr:uid="{BA0923DF-FDEA-438C-9595-E8CA5DB20198}"/>
    <cellStyle name="Запетая 4" xfId="234" xr:uid="{16001D55-7802-4B06-939B-98FB7690170C}"/>
    <cellStyle name="Запетая 5" xfId="184" xr:uid="{AA539E6E-6E8B-488B-BB0D-034BFA342A70}"/>
    <cellStyle name="Изход 2" xfId="133" xr:uid="{0E2ACCAE-A10E-4475-80F7-732C3FA41DB6}"/>
    <cellStyle name="Изчисление 2" xfId="119" xr:uid="{9DA3730B-4D4D-4DA0-B7D5-21A90A55C739}"/>
    <cellStyle name="Контролна клетка 2" xfId="120" xr:uid="{1BB15D93-555E-4C05-8177-71180E383ECB}"/>
    <cellStyle name="Лош 2" xfId="118" xr:uid="{D5848645-D0D2-4642-9CB4-B9126EAF6D04}"/>
    <cellStyle name="Неутрален 2" xfId="129" xr:uid="{094A3B8B-CAB4-4390-9C68-2333C9B0799F}"/>
    <cellStyle name="Нормален" xfId="0" builtinId="0"/>
    <cellStyle name="Нормален 2" xfId="152" xr:uid="{9EDBF47F-8B07-407C-8E45-696E116D1920}"/>
    <cellStyle name="Нормален 3" xfId="39" xr:uid="{00000000-0005-0000-0000-000058000000}"/>
    <cellStyle name="Нормален 4" xfId="356" xr:uid="{CD847BD9-A86F-40EF-9D5C-F67389D8804B}"/>
    <cellStyle name="Нормален 5" xfId="93" xr:uid="{E0BA23F0-1395-4076-9500-B21A05EA451D}"/>
    <cellStyle name="Обяснителен текст 2" xfId="121" xr:uid="{13B39A67-7F77-4098-8E9F-DFE0501AD3A0}"/>
    <cellStyle name="Предупредителен текст 2" xfId="138" xr:uid="{CE0B1907-ADCD-49FA-A3A0-E13E54D5820E}"/>
    <cellStyle name="Процент" xfId="1" builtinId="5"/>
    <cellStyle name="Процент 2" xfId="63" xr:uid="{00000000-0005-0000-0000-00005A000000}"/>
    <cellStyle name="Процент 2 2" xfId="461" xr:uid="{41AE6D73-163B-4B06-84E5-7C4AF1F6C5BF}"/>
    <cellStyle name="Процент 3" xfId="69" xr:uid="{00000000-0005-0000-0000-00005B000000}"/>
    <cellStyle name="Процент 4" xfId="357" xr:uid="{58133EDF-9EE7-4A45-A34A-29F1949BAF75}"/>
    <cellStyle name="Процент 5" xfId="134" xr:uid="{5A766223-8429-4266-A83F-261BCD6F8E2F}"/>
    <cellStyle name="Свързана клетка 2" xfId="128" xr:uid="{31DAD13E-7481-4961-AB35-92E16067DA7F}"/>
    <cellStyle name="Сума 2" xfId="137" xr:uid="{9882FAB9-8C81-42BE-968B-24055514B139}"/>
    <cellStyle name="Хипервръзка" xfId="2" builtinId="8"/>
    <cellStyle name="Хипервръзка 2" xfId="462" xr:uid="{FBFC8A3A-E390-43B1-A330-7F6438E4363D}"/>
    <cellStyle name="Хипервръзка 3" xfId="358" xr:uid="{4041A38C-50AC-40A1-B9DC-22800B47430D}"/>
    <cellStyle name="Хипервръзка 4" xfId="153" xr:uid="{059CF4C6-A23D-46B1-9033-1ADFB1438334}"/>
  </cellStyles>
  <dxfs count="326">
    <dxf>
      <font>
        <color rgb="FF9C0006"/>
      </font>
    </dxf>
    <dxf>
      <font>
        <b val="0"/>
        <i val="0"/>
        <color rgb="FF008000"/>
      </font>
    </dxf>
    <dxf>
      <font>
        <color rgb="FF9C0006"/>
      </font>
    </dxf>
    <dxf>
      <font>
        <b val="0"/>
        <i val="0"/>
        <color rgb="FF008000"/>
      </font>
    </dxf>
    <dxf>
      <font>
        <color rgb="FF9C0006"/>
      </font>
    </dxf>
    <dxf>
      <font>
        <b val="0"/>
        <i val="0"/>
        <color rgb="FF008000"/>
      </font>
    </dxf>
    <dxf>
      <font>
        <color rgb="FF9C0006"/>
      </font>
    </dxf>
    <dxf>
      <font>
        <b val="0"/>
        <i val="0"/>
        <color rgb="FF008000"/>
      </font>
    </dxf>
    <dxf>
      <font>
        <color rgb="FF9C0006"/>
      </font>
    </dxf>
    <dxf>
      <font>
        <b val="0"/>
        <i val="0"/>
        <color rgb="FF008000"/>
      </font>
    </dxf>
    <dxf>
      <font>
        <color rgb="FF9C0006"/>
      </font>
    </dxf>
    <dxf>
      <font>
        <b val="0"/>
        <i val="0"/>
        <color rgb="FF008000"/>
      </font>
    </dxf>
    <dxf>
      <font>
        <color rgb="FF9C0006"/>
      </font>
    </dxf>
    <dxf>
      <font>
        <b val="0"/>
        <i val="0"/>
        <color rgb="FF008000"/>
      </font>
    </dxf>
    <dxf>
      <font>
        <color rgb="FF9C0006"/>
      </font>
    </dxf>
    <dxf>
      <font>
        <b val="0"/>
        <i val="0"/>
        <color rgb="FF008000"/>
      </font>
    </dxf>
    <dxf>
      <font>
        <color rgb="FF9C0006"/>
      </font>
    </dxf>
    <dxf>
      <font>
        <b val="0"/>
        <i val="0"/>
        <color rgb="FF008000"/>
      </font>
    </dxf>
    <dxf>
      <font>
        <color rgb="FF9C0006"/>
      </font>
    </dxf>
    <dxf>
      <font>
        <b val="0"/>
        <i val="0"/>
        <color rgb="FF008000"/>
      </font>
    </dxf>
    <dxf>
      <font>
        <color rgb="FF9C0006"/>
      </font>
    </dxf>
    <dxf>
      <font>
        <b val="0"/>
        <i val="0"/>
        <color rgb="FF008000"/>
      </font>
    </dxf>
    <dxf>
      <font>
        <color rgb="FF9C0006"/>
      </font>
    </dxf>
    <dxf>
      <font>
        <b val="0"/>
        <i val="0"/>
        <color rgb="FF008000"/>
      </font>
    </dxf>
    <dxf>
      <font>
        <color rgb="FF9C0006"/>
      </font>
    </dxf>
    <dxf>
      <font>
        <b val="0"/>
        <i val="0"/>
        <color rgb="FF008000"/>
      </font>
    </dxf>
    <dxf>
      <font>
        <color rgb="FF9C0006"/>
      </font>
    </dxf>
    <dxf>
      <font>
        <b val="0"/>
        <i val="0"/>
        <color rgb="FF008000"/>
      </font>
    </dxf>
    <dxf>
      <font>
        <color rgb="FF9C0006"/>
      </font>
    </dxf>
    <dxf>
      <font>
        <b val="0"/>
        <i val="0"/>
        <color rgb="FF008000"/>
      </font>
    </dxf>
    <dxf>
      <font>
        <color rgb="FF9C0006"/>
      </font>
    </dxf>
    <dxf>
      <font>
        <b val="0"/>
        <i val="0"/>
        <color rgb="FF008000"/>
      </font>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dxf>
    <dxf>
      <font>
        <b val="0"/>
        <i val="0"/>
        <color rgb="FF008000"/>
      </font>
    </dxf>
    <dxf>
      <font>
        <color rgb="FF9C0006"/>
      </font>
    </dxf>
    <dxf>
      <font>
        <b val="0"/>
        <i val="0"/>
        <color rgb="FF008000"/>
      </font>
    </dxf>
    <dxf>
      <font>
        <color rgb="FF9C0006"/>
      </font>
    </dxf>
    <dxf>
      <font>
        <b val="0"/>
        <i val="0"/>
        <color rgb="FF008000"/>
      </font>
    </dxf>
    <dxf>
      <font>
        <color rgb="FF9C0006"/>
      </font>
    </dxf>
    <dxf>
      <font>
        <b val="0"/>
        <i val="0"/>
        <color rgb="FF008000"/>
      </font>
    </dxf>
    <dxf>
      <font>
        <color rgb="FF9C0006"/>
      </font>
    </dxf>
    <dxf>
      <font>
        <b val="0"/>
        <i val="0"/>
        <color rgb="FF008000"/>
      </font>
    </dxf>
    <dxf>
      <font>
        <color rgb="FF9C0006"/>
      </font>
    </dxf>
    <dxf>
      <font>
        <b val="0"/>
        <i val="0"/>
        <color rgb="FF008000"/>
      </font>
    </dxf>
    <dxf>
      <font>
        <color rgb="FF9C0006"/>
      </font>
    </dxf>
    <dxf>
      <font>
        <b val="0"/>
        <i val="0"/>
        <color rgb="FF008000"/>
      </font>
    </dxf>
    <dxf>
      <font>
        <color rgb="FF9C0006"/>
      </font>
    </dxf>
    <dxf>
      <font>
        <b val="0"/>
        <i val="0"/>
        <color rgb="FF008000"/>
      </font>
    </dxf>
    <dxf>
      <font>
        <color rgb="FF9C0006"/>
      </font>
    </dxf>
    <dxf>
      <font>
        <b val="0"/>
        <i val="0"/>
        <color rgb="FF008000"/>
      </font>
    </dxf>
    <dxf>
      <font>
        <color rgb="FF9C0006"/>
      </font>
    </dxf>
    <dxf>
      <font>
        <b val="0"/>
        <i val="0"/>
        <color rgb="FF008000"/>
      </font>
    </dxf>
    <dxf>
      <font>
        <color rgb="FF9C0006"/>
      </font>
    </dxf>
    <dxf>
      <font>
        <b val="0"/>
        <i val="0"/>
        <color rgb="FF008000"/>
      </font>
    </dxf>
    <dxf>
      <font>
        <color rgb="FF9C0006"/>
      </font>
    </dxf>
    <dxf>
      <font>
        <b val="0"/>
        <i val="0"/>
        <color rgb="FF008000"/>
      </font>
    </dxf>
    <dxf>
      <font>
        <color rgb="FF9C0006"/>
      </font>
    </dxf>
    <dxf>
      <font>
        <b val="0"/>
        <i val="0"/>
        <color rgb="FF008000"/>
      </font>
    </dxf>
    <dxf>
      <font>
        <color rgb="FF9C0006"/>
      </font>
    </dxf>
    <dxf>
      <font>
        <b val="0"/>
        <i val="0"/>
        <color rgb="FF008000"/>
      </font>
    </dxf>
    <dxf>
      <font>
        <color rgb="FF9C0006"/>
      </font>
      <fill>
        <patternFill>
          <bgColor rgb="FFFFC7CE"/>
        </patternFill>
      </fill>
    </dxf>
    <dxf>
      <font>
        <color rgb="FF9C0006"/>
      </font>
      <fill>
        <patternFill>
          <bgColor rgb="FFFFC7CE"/>
        </patternFill>
      </fill>
    </dxf>
    <dxf>
      <font>
        <color rgb="FFFF0000"/>
      </font>
      <fill>
        <patternFill>
          <bgColor theme="0"/>
        </patternFill>
      </fill>
    </dxf>
    <dxf>
      <font>
        <color rgb="FF9C0006"/>
      </font>
      <fill>
        <patternFill>
          <bgColor rgb="FFFFC7CE"/>
        </patternFill>
      </fill>
    </dxf>
    <dxf>
      <font>
        <color rgb="FF9C0006"/>
      </font>
      <fill>
        <patternFill>
          <bgColor rgb="FFFFC7CE"/>
        </patternFill>
      </fill>
    </dxf>
    <dxf>
      <font>
        <color rgb="FFFF0000"/>
      </font>
      <fill>
        <patternFill>
          <bgColor theme="0"/>
        </patternFill>
      </fill>
    </dxf>
    <dxf>
      <font>
        <color rgb="FF9C0006"/>
      </font>
      <fill>
        <patternFill>
          <bgColor rgb="FFFFC7CE"/>
        </patternFill>
      </fill>
    </dxf>
    <dxf>
      <font>
        <color rgb="FF9C0006"/>
      </font>
      <fill>
        <patternFill>
          <bgColor rgb="FFFFC7CE"/>
        </patternFill>
      </fill>
    </dxf>
    <dxf>
      <font>
        <color rgb="FFFF0000"/>
      </font>
      <fill>
        <patternFill>
          <bgColor theme="0"/>
        </patternFill>
      </fill>
    </dxf>
    <dxf>
      <font>
        <color rgb="FF9C0006"/>
      </font>
      <fill>
        <patternFill>
          <bgColor rgb="FFFFC7CE"/>
        </patternFill>
      </fill>
    </dxf>
    <dxf>
      <font>
        <color rgb="FF9C0006"/>
      </font>
      <fill>
        <patternFill>
          <bgColor rgb="FFFFC7CE"/>
        </patternFill>
      </fill>
    </dxf>
    <dxf>
      <font>
        <color rgb="FFFF0000"/>
      </font>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fgColor auto="1"/>
          <bgColor theme="5"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FFFF"/>
      <color rgb="FFE8E8E8"/>
      <color rgb="FFFFFFCC"/>
      <color rgb="FFFF99FF"/>
      <color rgb="FFCCFFCC"/>
      <color rgb="FFFF8080"/>
      <color rgb="FFBCF6C6"/>
      <color rgb="FF3399FF"/>
      <color rgb="FFFF33CC"/>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2.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microsoft.com/office/2017/10/relationships/person" Target="persons/perso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3</xdr:col>
      <xdr:colOff>1085850</xdr:colOff>
      <xdr:row>17</xdr:row>
      <xdr:rowOff>0</xdr:rowOff>
    </xdr:from>
    <xdr:to>
      <xdr:col>4</xdr:col>
      <xdr:colOff>0</xdr:colOff>
      <xdr:row>17</xdr:row>
      <xdr:rowOff>0</xdr:rowOff>
    </xdr:to>
    <xdr:sp macro="" textlink="">
      <xdr:nvSpPr>
        <xdr:cNvPr id="2" name="Line 253">
          <a:extLst>
            <a:ext uri="{FF2B5EF4-FFF2-40B4-BE49-F238E27FC236}">
              <a16:creationId xmlns:a16="http://schemas.microsoft.com/office/drawing/2014/main" id="{00000000-0008-0000-0400-000002000000}"/>
            </a:ext>
          </a:extLst>
        </xdr:cNvPr>
        <xdr:cNvSpPr>
          <a:spLocks noChangeShapeType="1"/>
        </xdr:cNvSpPr>
      </xdr:nvSpPr>
      <xdr:spPr bwMode="auto">
        <a:xfrm>
          <a:off x="5629275" y="37909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1085850</xdr:colOff>
      <xdr:row>17</xdr:row>
      <xdr:rowOff>0</xdr:rowOff>
    </xdr:from>
    <xdr:to>
      <xdr:col>4</xdr:col>
      <xdr:colOff>0</xdr:colOff>
      <xdr:row>17</xdr:row>
      <xdr:rowOff>0</xdr:rowOff>
    </xdr:to>
    <xdr:sp macro="" textlink="">
      <xdr:nvSpPr>
        <xdr:cNvPr id="3" name="Line 254">
          <a:extLst>
            <a:ext uri="{FF2B5EF4-FFF2-40B4-BE49-F238E27FC236}">
              <a16:creationId xmlns:a16="http://schemas.microsoft.com/office/drawing/2014/main" id="{00000000-0008-0000-0400-000003000000}"/>
            </a:ext>
          </a:extLst>
        </xdr:cNvPr>
        <xdr:cNvSpPr>
          <a:spLocks noChangeShapeType="1"/>
        </xdr:cNvSpPr>
      </xdr:nvSpPr>
      <xdr:spPr bwMode="auto">
        <a:xfrm>
          <a:off x="5629275" y="37909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1085850</xdr:colOff>
      <xdr:row>17</xdr:row>
      <xdr:rowOff>0</xdr:rowOff>
    </xdr:from>
    <xdr:to>
      <xdr:col>4</xdr:col>
      <xdr:colOff>0</xdr:colOff>
      <xdr:row>17</xdr:row>
      <xdr:rowOff>0</xdr:rowOff>
    </xdr:to>
    <xdr:sp macro="" textlink="">
      <xdr:nvSpPr>
        <xdr:cNvPr id="4" name="Line 255">
          <a:extLst>
            <a:ext uri="{FF2B5EF4-FFF2-40B4-BE49-F238E27FC236}">
              <a16:creationId xmlns:a16="http://schemas.microsoft.com/office/drawing/2014/main" id="{00000000-0008-0000-0400-000004000000}"/>
            </a:ext>
          </a:extLst>
        </xdr:cNvPr>
        <xdr:cNvSpPr>
          <a:spLocks noChangeShapeType="1"/>
        </xdr:cNvSpPr>
      </xdr:nvSpPr>
      <xdr:spPr bwMode="auto">
        <a:xfrm>
          <a:off x="5629275" y="37909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1085850</xdr:colOff>
      <xdr:row>17</xdr:row>
      <xdr:rowOff>0</xdr:rowOff>
    </xdr:from>
    <xdr:to>
      <xdr:col>4</xdr:col>
      <xdr:colOff>0</xdr:colOff>
      <xdr:row>17</xdr:row>
      <xdr:rowOff>0</xdr:rowOff>
    </xdr:to>
    <xdr:sp macro="" textlink="">
      <xdr:nvSpPr>
        <xdr:cNvPr id="5" name="Line 256">
          <a:extLst>
            <a:ext uri="{FF2B5EF4-FFF2-40B4-BE49-F238E27FC236}">
              <a16:creationId xmlns:a16="http://schemas.microsoft.com/office/drawing/2014/main" id="{00000000-0008-0000-0400-000005000000}"/>
            </a:ext>
          </a:extLst>
        </xdr:cNvPr>
        <xdr:cNvSpPr>
          <a:spLocks noChangeShapeType="1"/>
        </xdr:cNvSpPr>
      </xdr:nvSpPr>
      <xdr:spPr bwMode="auto">
        <a:xfrm>
          <a:off x="5629275" y="37909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1085850</xdr:colOff>
      <xdr:row>66</xdr:row>
      <xdr:rowOff>0</xdr:rowOff>
    </xdr:from>
    <xdr:to>
      <xdr:col>4</xdr:col>
      <xdr:colOff>0</xdr:colOff>
      <xdr:row>66</xdr:row>
      <xdr:rowOff>0</xdr:rowOff>
    </xdr:to>
    <xdr:sp macro="" textlink="">
      <xdr:nvSpPr>
        <xdr:cNvPr id="10" name="Line 253">
          <a:extLst>
            <a:ext uri="{FF2B5EF4-FFF2-40B4-BE49-F238E27FC236}">
              <a16:creationId xmlns:a16="http://schemas.microsoft.com/office/drawing/2014/main" id="{00000000-0008-0000-0400-00000A000000}"/>
            </a:ext>
          </a:extLst>
        </xdr:cNvPr>
        <xdr:cNvSpPr>
          <a:spLocks noChangeShapeType="1"/>
        </xdr:cNvSpPr>
      </xdr:nvSpPr>
      <xdr:spPr bwMode="auto">
        <a:xfrm>
          <a:off x="6238875" y="33909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1085850</xdr:colOff>
      <xdr:row>66</xdr:row>
      <xdr:rowOff>0</xdr:rowOff>
    </xdr:from>
    <xdr:to>
      <xdr:col>4</xdr:col>
      <xdr:colOff>0</xdr:colOff>
      <xdr:row>66</xdr:row>
      <xdr:rowOff>0</xdr:rowOff>
    </xdr:to>
    <xdr:sp macro="" textlink="">
      <xdr:nvSpPr>
        <xdr:cNvPr id="11" name="Line 254">
          <a:extLst>
            <a:ext uri="{FF2B5EF4-FFF2-40B4-BE49-F238E27FC236}">
              <a16:creationId xmlns:a16="http://schemas.microsoft.com/office/drawing/2014/main" id="{00000000-0008-0000-0400-00000B000000}"/>
            </a:ext>
          </a:extLst>
        </xdr:cNvPr>
        <xdr:cNvSpPr>
          <a:spLocks noChangeShapeType="1"/>
        </xdr:cNvSpPr>
      </xdr:nvSpPr>
      <xdr:spPr bwMode="auto">
        <a:xfrm>
          <a:off x="6238875" y="33909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1085850</xdr:colOff>
      <xdr:row>66</xdr:row>
      <xdr:rowOff>0</xdr:rowOff>
    </xdr:from>
    <xdr:to>
      <xdr:col>4</xdr:col>
      <xdr:colOff>0</xdr:colOff>
      <xdr:row>66</xdr:row>
      <xdr:rowOff>0</xdr:rowOff>
    </xdr:to>
    <xdr:sp macro="" textlink="">
      <xdr:nvSpPr>
        <xdr:cNvPr id="12" name="Line 255">
          <a:extLst>
            <a:ext uri="{FF2B5EF4-FFF2-40B4-BE49-F238E27FC236}">
              <a16:creationId xmlns:a16="http://schemas.microsoft.com/office/drawing/2014/main" id="{00000000-0008-0000-0400-00000C000000}"/>
            </a:ext>
          </a:extLst>
        </xdr:cNvPr>
        <xdr:cNvSpPr>
          <a:spLocks noChangeShapeType="1"/>
        </xdr:cNvSpPr>
      </xdr:nvSpPr>
      <xdr:spPr bwMode="auto">
        <a:xfrm>
          <a:off x="6238875" y="33909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1085850</xdr:colOff>
      <xdr:row>66</xdr:row>
      <xdr:rowOff>0</xdr:rowOff>
    </xdr:from>
    <xdr:to>
      <xdr:col>4</xdr:col>
      <xdr:colOff>0</xdr:colOff>
      <xdr:row>66</xdr:row>
      <xdr:rowOff>0</xdr:rowOff>
    </xdr:to>
    <xdr:sp macro="" textlink="">
      <xdr:nvSpPr>
        <xdr:cNvPr id="13" name="Line 256">
          <a:extLst>
            <a:ext uri="{FF2B5EF4-FFF2-40B4-BE49-F238E27FC236}">
              <a16:creationId xmlns:a16="http://schemas.microsoft.com/office/drawing/2014/main" id="{00000000-0008-0000-0400-00000D000000}"/>
            </a:ext>
          </a:extLst>
        </xdr:cNvPr>
        <xdr:cNvSpPr>
          <a:spLocks noChangeShapeType="1"/>
        </xdr:cNvSpPr>
      </xdr:nvSpPr>
      <xdr:spPr bwMode="auto">
        <a:xfrm>
          <a:off x="6238875" y="33909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1085850</xdr:colOff>
      <xdr:row>97</xdr:row>
      <xdr:rowOff>0</xdr:rowOff>
    </xdr:from>
    <xdr:to>
      <xdr:col>4</xdr:col>
      <xdr:colOff>0</xdr:colOff>
      <xdr:row>97</xdr:row>
      <xdr:rowOff>0</xdr:rowOff>
    </xdr:to>
    <xdr:sp macro="" textlink="">
      <xdr:nvSpPr>
        <xdr:cNvPr id="42" name="Line 253">
          <a:extLst>
            <a:ext uri="{FF2B5EF4-FFF2-40B4-BE49-F238E27FC236}">
              <a16:creationId xmlns:a16="http://schemas.microsoft.com/office/drawing/2014/main" id="{00000000-0008-0000-0400-00002A000000}"/>
            </a:ext>
          </a:extLst>
        </xdr:cNvPr>
        <xdr:cNvSpPr>
          <a:spLocks noChangeShapeType="1"/>
        </xdr:cNvSpPr>
      </xdr:nvSpPr>
      <xdr:spPr bwMode="auto">
        <a:xfrm>
          <a:off x="6238875" y="101631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1085850</xdr:colOff>
      <xdr:row>97</xdr:row>
      <xdr:rowOff>0</xdr:rowOff>
    </xdr:from>
    <xdr:to>
      <xdr:col>4</xdr:col>
      <xdr:colOff>0</xdr:colOff>
      <xdr:row>97</xdr:row>
      <xdr:rowOff>0</xdr:rowOff>
    </xdr:to>
    <xdr:sp macro="" textlink="">
      <xdr:nvSpPr>
        <xdr:cNvPr id="43" name="Line 254">
          <a:extLst>
            <a:ext uri="{FF2B5EF4-FFF2-40B4-BE49-F238E27FC236}">
              <a16:creationId xmlns:a16="http://schemas.microsoft.com/office/drawing/2014/main" id="{00000000-0008-0000-0400-00002B000000}"/>
            </a:ext>
          </a:extLst>
        </xdr:cNvPr>
        <xdr:cNvSpPr>
          <a:spLocks noChangeShapeType="1"/>
        </xdr:cNvSpPr>
      </xdr:nvSpPr>
      <xdr:spPr bwMode="auto">
        <a:xfrm>
          <a:off x="6238875" y="101631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1085850</xdr:colOff>
      <xdr:row>97</xdr:row>
      <xdr:rowOff>0</xdr:rowOff>
    </xdr:from>
    <xdr:to>
      <xdr:col>4</xdr:col>
      <xdr:colOff>0</xdr:colOff>
      <xdr:row>97</xdr:row>
      <xdr:rowOff>0</xdr:rowOff>
    </xdr:to>
    <xdr:sp macro="" textlink="">
      <xdr:nvSpPr>
        <xdr:cNvPr id="44" name="Line 255">
          <a:extLst>
            <a:ext uri="{FF2B5EF4-FFF2-40B4-BE49-F238E27FC236}">
              <a16:creationId xmlns:a16="http://schemas.microsoft.com/office/drawing/2014/main" id="{00000000-0008-0000-0400-00002C000000}"/>
            </a:ext>
          </a:extLst>
        </xdr:cNvPr>
        <xdr:cNvSpPr>
          <a:spLocks noChangeShapeType="1"/>
        </xdr:cNvSpPr>
      </xdr:nvSpPr>
      <xdr:spPr bwMode="auto">
        <a:xfrm>
          <a:off x="6238875" y="101631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1085850</xdr:colOff>
      <xdr:row>97</xdr:row>
      <xdr:rowOff>0</xdr:rowOff>
    </xdr:from>
    <xdr:to>
      <xdr:col>4</xdr:col>
      <xdr:colOff>0</xdr:colOff>
      <xdr:row>97</xdr:row>
      <xdr:rowOff>0</xdr:rowOff>
    </xdr:to>
    <xdr:sp macro="" textlink="">
      <xdr:nvSpPr>
        <xdr:cNvPr id="45" name="Line 256">
          <a:extLst>
            <a:ext uri="{FF2B5EF4-FFF2-40B4-BE49-F238E27FC236}">
              <a16:creationId xmlns:a16="http://schemas.microsoft.com/office/drawing/2014/main" id="{00000000-0008-0000-0400-00002D000000}"/>
            </a:ext>
          </a:extLst>
        </xdr:cNvPr>
        <xdr:cNvSpPr>
          <a:spLocks noChangeShapeType="1"/>
        </xdr:cNvSpPr>
      </xdr:nvSpPr>
      <xdr:spPr bwMode="auto">
        <a:xfrm>
          <a:off x="6238875" y="101631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1085850</xdr:colOff>
      <xdr:row>14</xdr:row>
      <xdr:rowOff>0</xdr:rowOff>
    </xdr:from>
    <xdr:to>
      <xdr:col>4</xdr:col>
      <xdr:colOff>0</xdr:colOff>
      <xdr:row>14</xdr:row>
      <xdr:rowOff>0</xdr:rowOff>
    </xdr:to>
    <xdr:sp macro="" textlink="">
      <xdr:nvSpPr>
        <xdr:cNvPr id="2" name="Line 253">
          <a:extLst>
            <a:ext uri="{FF2B5EF4-FFF2-40B4-BE49-F238E27FC236}">
              <a16:creationId xmlns:a16="http://schemas.microsoft.com/office/drawing/2014/main" id="{00000000-0008-0000-0600-000002000000}"/>
            </a:ext>
          </a:extLst>
        </xdr:cNvPr>
        <xdr:cNvSpPr>
          <a:spLocks noChangeShapeType="1"/>
        </xdr:cNvSpPr>
      </xdr:nvSpPr>
      <xdr:spPr bwMode="auto">
        <a:xfrm>
          <a:off x="5905500" y="35433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1085850</xdr:colOff>
      <xdr:row>14</xdr:row>
      <xdr:rowOff>0</xdr:rowOff>
    </xdr:from>
    <xdr:to>
      <xdr:col>4</xdr:col>
      <xdr:colOff>0</xdr:colOff>
      <xdr:row>14</xdr:row>
      <xdr:rowOff>0</xdr:rowOff>
    </xdr:to>
    <xdr:sp macro="" textlink="">
      <xdr:nvSpPr>
        <xdr:cNvPr id="3" name="Line 254">
          <a:extLst>
            <a:ext uri="{FF2B5EF4-FFF2-40B4-BE49-F238E27FC236}">
              <a16:creationId xmlns:a16="http://schemas.microsoft.com/office/drawing/2014/main" id="{00000000-0008-0000-0600-000003000000}"/>
            </a:ext>
          </a:extLst>
        </xdr:cNvPr>
        <xdr:cNvSpPr>
          <a:spLocks noChangeShapeType="1"/>
        </xdr:cNvSpPr>
      </xdr:nvSpPr>
      <xdr:spPr bwMode="auto">
        <a:xfrm>
          <a:off x="5905500" y="35433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1085850</xdr:colOff>
      <xdr:row>14</xdr:row>
      <xdr:rowOff>0</xdr:rowOff>
    </xdr:from>
    <xdr:to>
      <xdr:col>4</xdr:col>
      <xdr:colOff>0</xdr:colOff>
      <xdr:row>14</xdr:row>
      <xdr:rowOff>0</xdr:rowOff>
    </xdr:to>
    <xdr:sp macro="" textlink="">
      <xdr:nvSpPr>
        <xdr:cNvPr id="4" name="Line 255">
          <a:extLst>
            <a:ext uri="{FF2B5EF4-FFF2-40B4-BE49-F238E27FC236}">
              <a16:creationId xmlns:a16="http://schemas.microsoft.com/office/drawing/2014/main" id="{00000000-0008-0000-0600-000004000000}"/>
            </a:ext>
          </a:extLst>
        </xdr:cNvPr>
        <xdr:cNvSpPr>
          <a:spLocks noChangeShapeType="1"/>
        </xdr:cNvSpPr>
      </xdr:nvSpPr>
      <xdr:spPr bwMode="auto">
        <a:xfrm>
          <a:off x="5905500" y="35433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1085850</xdr:colOff>
      <xdr:row>14</xdr:row>
      <xdr:rowOff>0</xdr:rowOff>
    </xdr:from>
    <xdr:to>
      <xdr:col>4</xdr:col>
      <xdr:colOff>0</xdr:colOff>
      <xdr:row>14</xdr:row>
      <xdr:rowOff>0</xdr:rowOff>
    </xdr:to>
    <xdr:sp macro="" textlink="">
      <xdr:nvSpPr>
        <xdr:cNvPr id="5" name="Line 256">
          <a:extLst>
            <a:ext uri="{FF2B5EF4-FFF2-40B4-BE49-F238E27FC236}">
              <a16:creationId xmlns:a16="http://schemas.microsoft.com/office/drawing/2014/main" id="{00000000-0008-0000-0600-000005000000}"/>
            </a:ext>
          </a:extLst>
        </xdr:cNvPr>
        <xdr:cNvSpPr>
          <a:spLocks noChangeShapeType="1"/>
        </xdr:cNvSpPr>
      </xdr:nvSpPr>
      <xdr:spPr bwMode="auto">
        <a:xfrm>
          <a:off x="5905500" y="35433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1085850</xdr:colOff>
      <xdr:row>33</xdr:row>
      <xdr:rowOff>0</xdr:rowOff>
    </xdr:from>
    <xdr:to>
      <xdr:col>4</xdr:col>
      <xdr:colOff>0</xdr:colOff>
      <xdr:row>33</xdr:row>
      <xdr:rowOff>0</xdr:rowOff>
    </xdr:to>
    <xdr:sp macro="" textlink="">
      <xdr:nvSpPr>
        <xdr:cNvPr id="6" name="Line 253">
          <a:extLst>
            <a:ext uri="{FF2B5EF4-FFF2-40B4-BE49-F238E27FC236}">
              <a16:creationId xmlns:a16="http://schemas.microsoft.com/office/drawing/2014/main" id="{00000000-0008-0000-0600-000006000000}"/>
            </a:ext>
          </a:extLst>
        </xdr:cNvPr>
        <xdr:cNvSpPr>
          <a:spLocks noChangeShapeType="1"/>
        </xdr:cNvSpPr>
      </xdr:nvSpPr>
      <xdr:spPr bwMode="auto">
        <a:xfrm>
          <a:off x="5905500" y="64674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1085850</xdr:colOff>
      <xdr:row>33</xdr:row>
      <xdr:rowOff>0</xdr:rowOff>
    </xdr:from>
    <xdr:to>
      <xdr:col>4</xdr:col>
      <xdr:colOff>0</xdr:colOff>
      <xdr:row>33</xdr:row>
      <xdr:rowOff>0</xdr:rowOff>
    </xdr:to>
    <xdr:sp macro="" textlink="">
      <xdr:nvSpPr>
        <xdr:cNvPr id="7" name="Line 254">
          <a:extLst>
            <a:ext uri="{FF2B5EF4-FFF2-40B4-BE49-F238E27FC236}">
              <a16:creationId xmlns:a16="http://schemas.microsoft.com/office/drawing/2014/main" id="{00000000-0008-0000-0600-000007000000}"/>
            </a:ext>
          </a:extLst>
        </xdr:cNvPr>
        <xdr:cNvSpPr>
          <a:spLocks noChangeShapeType="1"/>
        </xdr:cNvSpPr>
      </xdr:nvSpPr>
      <xdr:spPr bwMode="auto">
        <a:xfrm>
          <a:off x="5905500" y="64674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1085850</xdr:colOff>
      <xdr:row>33</xdr:row>
      <xdr:rowOff>0</xdr:rowOff>
    </xdr:from>
    <xdr:to>
      <xdr:col>4</xdr:col>
      <xdr:colOff>0</xdr:colOff>
      <xdr:row>33</xdr:row>
      <xdr:rowOff>0</xdr:rowOff>
    </xdr:to>
    <xdr:sp macro="" textlink="">
      <xdr:nvSpPr>
        <xdr:cNvPr id="8" name="Line 255">
          <a:extLst>
            <a:ext uri="{FF2B5EF4-FFF2-40B4-BE49-F238E27FC236}">
              <a16:creationId xmlns:a16="http://schemas.microsoft.com/office/drawing/2014/main" id="{00000000-0008-0000-0600-000008000000}"/>
            </a:ext>
          </a:extLst>
        </xdr:cNvPr>
        <xdr:cNvSpPr>
          <a:spLocks noChangeShapeType="1"/>
        </xdr:cNvSpPr>
      </xdr:nvSpPr>
      <xdr:spPr bwMode="auto">
        <a:xfrm>
          <a:off x="5905500" y="64674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1085850</xdr:colOff>
      <xdr:row>33</xdr:row>
      <xdr:rowOff>0</xdr:rowOff>
    </xdr:from>
    <xdr:to>
      <xdr:col>4</xdr:col>
      <xdr:colOff>0</xdr:colOff>
      <xdr:row>33</xdr:row>
      <xdr:rowOff>0</xdr:rowOff>
    </xdr:to>
    <xdr:sp macro="" textlink="">
      <xdr:nvSpPr>
        <xdr:cNvPr id="9" name="Line 256">
          <a:extLst>
            <a:ext uri="{FF2B5EF4-FFF2-40B4-BE49-F238E27FC236}">
              <a16:creationId xmlns:a16="http://schemas.microsoft.com/office/drawing/2014/main" id="{00000000-0008-0000-0600-000009000000}"/>
            </a:ext>
          </a:extLst>
        </xdr:cNvPr>
        <xdr:cNvSpPr>
          <a:spLocks noChangeShapeType="1"/>
        </xdr:cNvSpPr>
      </xdr:nvSpPr>
      <xdr:spPr bwMode="auto">
        <a:xfrm>
          <a:off x="5905500" y="64674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1085850</xdr:colOff>
      <xdr:row>52</xdr:row>
      <xdr:rowOff>0</xdr:rowOff>
    </xdr:from>
    <xdr:to>
      <xdr:col>4</xdr:col>
      <xdr:colOff>0</xdr:colOff>
      <xdr:row>52</xdr:row>
      <xdr:rowOff>0</xdr:rowOff>
    </xdr:to>
    <xdr:sp macro="" textlink="">
      <xdr:nvSpPr>
        <xdr:cNvPr id="10" name="Line 253">
          <a:extLst>
            <a:ext uri="{FF2B5EF4-FFF2-40B4-BE49-F238E27FC236}">
              <a16:creationId xmlns:a16="http://schemas.microsoft.com/office/drawing/2014/main" id="{00000000-0008-0000-0600-00000A000000}"/>
            </a:ext>
          </a:extLst>
        </xdr:cNvPr>
        <xdr:cNvSpPr>
          <a:spLocks noChangeShapeType="1"/>
        </xdr:cNvSpPr>
      </xdr:nvSpPr>
      <xdr:spPr bwMode="auto">
        <a:xfrm>
          <a:off x="5905500" y="93916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1085850</xdr:colOff>
      <xdr:row>52</xdr:row>
      <xdr:rowOff>0</xdr:rowOff>
    </xdr:from>
    <xdr:to>
      <xdr:col>4</xdr:col>
      <xdr:colOff>0</xdr:colOff>
      <xdr:row>52</xdr:row>
      <xdr:rowOff>0</xdr:rowOff>
    </xdr:to>
    <xdr:sp macro="" textlink="">
      <xdr:nvSpPr>
        <xdr:cNvPr id="11" name="Line 254">
          <a:extLst>
            <a:ext uri="{FF2B5EF4-FFF2-40B4-BE49-F238E27FC236}">
              <a16:creationId xmlns:a16="http://schemas.microsoft.com/office/drawing/2014/main" id="{00000000-0008-0000-0600-00000B000000}"/>
            </a:ext>
          </a:extLst>
        </xdr:cNvPr>
        <xdr:cNvSpPr>
          <a:spLocks noChangeShapeType="1"/>
        </xdr:cNvSpPr>
      </xdr:nvSpPr>
      <xdr:spPr bwMode="auto">
        <a:xfrm>
          <a:off x="5905500" y="93916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1085850</xdr:colOff>
      <xdr:row>52</xdr:row>
      <xdr:rowOff>0</xdr:rowOff>
    </xdr:from>
    <xdr:to>
      <xdr:col>4</xdr:col>
      <xdr:colOff>0</xdr:colOff>
      <xdr:row>52</xdr:row>
      <xdr:rowOff>0</xdr:rowOff>
    </xdr:to>
    <xdr:sp macro="" textlink="">
      <xdr:nvSpPr>
        <xdr:cNvPr id="12" name="Line 255">
          <a:extLst>
            <a:ext uri="{FF2B5EF4-FFF2-40B4-BE49-F238E27FC236}">
              <a16:creationId xmlns:a16="http://schemas.microsoft.com/office/drawing/2014/main" id="{00000000-0008-0000-0600-00000C000000}"/>
            </a:ext>
          </a:extLst>
        </xdr:cNvPr>
        <xdr:cNvSpPr>
          <a:spLocks noChangeShapeType="1"/>
        </xdr:cNvSpPr>
      </xdr:nvSpPr>
      <xdr:spPr bwMode="auto">
        <a:xfrm>
          <a:off x="5905500" y="93916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1085850</xdr:colOff>
      <xdr:row>52</xdr:row>
      <xdr:rowOff>0</xdr:rowOff>
    </xdr:from>
    <xdr:to>
      <xdr:col>4</xdr:col>
      <xdr:colOff>0</xdr:colOff>
      <xdr:row>52</xdr:row>
      <xdr:rowOff>0</xdr:rowOff>
    </xdr:to>
    <xdr:sp macro="" textlink="">
      <xdr:nvSpPr>
        <xdr:cNvPr id="13" name="Line 256">
          <a:extLst>
            <a:ext uri="{FF2B5EF4-FFF2-40B4-BE49-F238E27FC236}">
              <a16:creationId xmlns:a16="http://schemas.microsoft.com/office/drawing/2014/main" id="{00000000-0008-0000-0600-00000D000000}"/>
            </a:ext>
          </a:extLst>
        </xdr:cNvPr>
        <xdr:cNvSpPr>
          <a:spLocks noChangeShapeType="1"/>
        </xdr:cNvSpPr>
      </xdr:nvSpPr>
      <xdr:spPr bwMode="auto">
        <a:xfrm>
          <a:off x="5905500" y="93916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1085850</xdr:colOff>
      <xdr:row>18</xdr:row>
      <xdr:rowOff>0</xdr:rowOff>
    </xdr:from>
    <xdr:to>
      <xdr:col>4</xdr:col>
      <xdr:colOff>0</xdr:colOff>
      <xdr:row>18</xdr:row>
      <xdr:rowOff>0</xdr:rowOff>
    </xdr:to>
    <xdr:sp macro="" textlink="">
      <xdr:nvSpPr>
        <xdr:cNvPr id="2" name="Line 253">
          <a:extLst>
            <a:ext uri="{FF2B5EF4-FFF2-40B4-BE49-F238E27FC236}">
              <a16:creationId xmlns:a16="http://schemas.microsoft.com/office/drawing/2014/main" id="{00000000-0008-0000-0900-000002000000}"/>
            </a:ext>
          </a:extLst>
        </xdr:cNvPr>
        <xdr:cNvSpPr>
          <a:spLocks noChangeShapeType="1"/>
        </xdr:cNvSpPr>
      </xdr:nvSpPr>
      <xdr:spPr bwMode="auto">
        <a:xfrm>
          <a:off x="6257925" y="35623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1085850</xdr:colOff>
      <xdr:row>18</xdr:row>
      <xdr:rowOff>0</xdr:rowOff>
    </xdr:from>
    <xdr:to>
      <xdr:col>4</xdr:col>
      <xdr:colOff>0</xdr:colOff>
      <xdr:row>18</xdr:row>
      <xdr:rowOff>0</xdr:rowOff>
    </xdr:to>
    <xdr:sp macro="" textlink="">
      <xdr:nvSpPr>
        <xdr:cNvPr id="3" name="Line 254">
          <a:extLst>
            <a:ext uri="{FF2B5EF4-FFF2-40B4-BE49-F238E27FC236}">
              <a16:creationId xmlns:a16="http://schemas.microsoft.com/office/drawing/2014/main" id="{00000000-0008-0000-0900-000003000000}"/>
            </a:ext>
          </a:extLst>
        </xdr:cNvPr>
        <xdr:cNvSpPr>
          <a:spLocks noChangeShapeType="1"/>
        </xdr:cNvSpPr>
      </xdr:nvSpPr>
      <xdr:spPr bwMode="auto">
        <a:xfrm>
          <a:off x="6257925" y="35623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1085850</xdr:colOff>
      <xdr:row>18</xdr:row>
      <xdr:rowOff>0</xdr:rowOff>
    </xdr:from>
    <xdr:to>
      <xdr:col>4</xdr:col>
      <xdr:colOff>0</xdr:colOff>
      <xdr:row>18</xdr:row>
      <xdr:rowOff>0</xdr:rowOff>
    </xdr:to>
    <xdr:sp macro="" textlink="">
      <xdr:nvSpPr>
        <xdr:cNvPr id="4" name="Line 255">
          <a:extLst>
            <a:ext uri="{FF2B5EF4-FFF2-40B4-BE49-F238E27FC236}">
              <a16:creationId xmlns:a16="http://schemas.microsoft.com/office/drawing/2014/main" id="{00000000-0008-0000-0900-000004000000}"/>
            </a:ext>
          </a:extLst>
        </xdr:cNvPr>
        <xdr:cNvSpPr>
          <a:spLocks noChangeShapeType="1"/>
        </xdr:cNvSpPr>
      </xdr:nvSpPr>
      <xdr:spPr bwMode="auto">
        <a:xfrm>
          <a:off x="6257925" y="35623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1085850</xdr:colOff>
      <xdr:row>18</xdr:row>
      <xdr:rowOff>0</xdr:rowOff>
    </xdr:from>
    <xdr:to>
      <xdr:col>4</xdr:col>
      <xdr:colOff>0</xdr:colOff>
      <xdr:row>18</xdr:row>
      <xdr:rowOff>0</xdr:rowOff>
    </xdr:to>
    <xdr:sp macro="" textlink="">
      <xdr:nvSpPr>
        <xdr:cNvPr id="5" name="Line 256">
          <a:extLst>
            <a:ext uri="{FF2B5EF4-FFF2-40B4-BE49-F238E27FC236}">
              <a16:creationId xmlns:a16="http://schemas.microsoft.com/office/drawing/2014/main" id="{00000000-0008-0000-0900-000005000000}"/>
            </a:ext>
          </a:extLst>
        </xdr:cNvPr>
        <xdr:cNvSpPr>
          <a:spLocks noChangeShapeType="1"/>
        </xdr:cNvSpPr>
      </xdr:nvSpPr>
      <xdr:spPr bwMode="auto">
        <a:xfrm>
          <a:off x="6257925" y="35623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48</xdr:row>
      <xdr:rowOff>9525</xdr:rowOff>
    </xdr:from>
    <xdr:to>
      <xdr:col>2</xdr:col>
      <xdr:colOff>0</xdr:colOff>
      <xdr:row>50</xdr:row>
      <xdr:rowOff>228600</xdr:rowOff>
    </xdr:to>
    <xdr:sp macro="" textlink="">
      <xdr:nvSpPr>
        <xdr:cNvPr id="4" name="Line 32">
          <a:extLst>
            <a:ext uri="{FF2B5EF4-FFF2-40B4-BE49-F238E27FC236}">
              <a16:creationId xmlns:a16="http://schemas.microsoft.com/office/drawing/2014/main" id="{00000000-0008-0000-1600-000004000000}"/>
            </a:ext>
          </a:extLst>
        </xdr:cNvPr>
        <xdr:cNvSpPr>
          <a:spLocks noChangeShapeType="1"/>
        </xdr:cNvSpPr>
      </xdr:nvSpPr>
      <xdr:spPr bwMode="auto">
        <a:xfrm>
          <a:off x="4067175" y="1781175"/>
          <a:ext cx="0" cy="5619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48</xdr:row>
      <xdr:rowOff>0</xdr:rowOff>
    </xdr:from>
    <xdr:to>
      <xdr:col>2</xdr:col>
      <xdr:colOff>0</xdr:colOff>
      <xdr:row>51</xdr:row>
      <xdr:rowOff>0</xdr:rowOff>
    </xdr:to>
    <xdr:sp macro="" textlink="">
      <xdr:nvSpPr>
        <xdr:cNvPr id="5" name="Line 33">
          <a:extLst>
            <a:ext uri="{FF2B5EF4-FFF2-40B4-BE49-F238E27FC236}">
              <a16:creationId xmlns:a16="http://schemas.microsoft.com/office/drawing/2014/main" id="{00000000-0008-0000-1600-000005000000}"/>
            </a:ext>
          </a:extLst>
        </xdr:cNvPr>
        <xdr:cNvSpPr>
          <a:spLocks noChangeShapeType="1"/>
        </xdr:cNvSpPr>
      </xdr:nvSpPr>
      <xdr:spPr bwMode="auto">
        <a:xfrm flipV="1">
          <a:off x="4067175" y="1771650"/>
          <a:ext cx="0" cy="5715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9525</xdr:colOff>
      <xdr:row>25</xdr:row>
      <xdr:rowOff>0</xdr:rowOff>
    </xdr:from>
    <xdr:to>
      <xdr:col>3</xdr:col>
      <xdr:colOff>942975</xdr:colOff>
      <xdr:row>25</xdr:row>
      <xdr:rowOff>0</xdr:rowOff>
    </xdr:to>
    <xdr:sp macro="" textlink="">
      <xdr:nvSpPr>
        <xdr:cNvPr id="8" name="Line 8">
          <a:extLst>
            <a:ext uri="{FF2B5EF4-FFF2-40B4-BE49-F238E27FC236}">
              <a16:creationId xmlns:a16="http://schemas.microsoft.com/office/drawing/2014/main" id="{00000000-0008-0000-1600-000008000000}"/>
            </a:ext>
          </a:extLst>
        </xdr:cNvPr>
        <xdr:cNvSpPr>
          <a:spLocks noChangeShapeType="1"/>
        </xdr:cNvSpPr>
      </xdr:nvSpPr>
      <xdr:spPr bwMode="auto">
        <a:xfrm>
          <a:off x="14722475" y="2457450"/>
          <a:ext cx="6000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25</xdr:row>
      <xdr:rowOff>0</xdr:rowOff>
    </xdr:from>
    <xdr:to>
      <xdr:col>4</xdr:col>
      <xdr:colOff>0</xdr:colOff>
      <xdr:row>25</xdr:row>
      <xdr:rowOff>0</xdr:rowOff>
    </xdr:to>
    <xdr:sp macro="" textlink="">
      <xdr:nvSpPr>
        <xdr:cNvPr id="9" name="Line 10">
          <a:extLst>
            <a:ext uri="{FF2B5EF4-FFF2-40B4-BE49-F238E27FC236}">
              <a16:creationId xmlns:a16="http://schemas.microsoft.com/office/drawing/2014/main" id="{00000000-0008-0000-1600-000009000000}"/>
            </a:ext>
          </a:extLst>
        </xdr:cNvPr>
        <xdr:cNvSpPr>
          <a:spLocks noChangeShapeType="1"/>
        </xdr:cNvSpPr>
      </xdr:nvSpPr>
      <xdr:spPr bwMode="auto">
        <a:xfrm flipV="1">
          <a:off x="14712950" y="2457450"/>
          <a:ext cx="6096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9525</xdr:colOff>
      <xdr:row>25</xdr:row>
      <xdr:rowOff>0</xdr:rowOff>
    </xdr:from>
    <xdr:to>
      <xdr:col>4</xdr:col>
      <xdr:colOff>942975</xdr:colOff>
      <xdr:row>25</xdr:row>
      <xdr:rowOff>0</xdr:rowOff>
    </xdr:to>
    <xdr:sp macro="" textlink="">
      <xdr:nvSpPr>
        <xdr:cNvPr id="10" name="Line 8">
          <a:extLst>
            <a:ext uri="{FF2B5EF4-FFF2-40B4-BE49-F238E27FC236}">
              <a16:creationId xmlns:a16="http://schemas.microsoft.com/office/drawing/2014/main" id="{00000000-0008-0000-1600-00000A000000}"/>
            </a:ext>
          </a:extLst>
        </xdr:cNvPr>
        <xdr:cNvSpPr>
          <a:spLocks noChangeShapeType="1"/>
        </xdr:cNvSpPr>
      </xdr:nvSpPr>
      <xdr:spPr bwMode="auto">
        <a:xfrm>
          <a:off x="15332075" y="2457450"/>
          <a:ext cx="6000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25</xdr:row>
      <xdr:rowOff>0</xdr:rowOff>
    </xdr:from>
    <xdr:to>
      <xdr:col>5</xdr:col>
      <xdr:colOff>0</xdr:colOff>
      <xdr:row>25</xdr:row>
      <xdr:rowOff>0</xdr:rowOff>
    </xdr:to>
    <xdr:sp macro="" textlink="">
      <xdr:nvSpPr>
        <xdr:cNvPr id="11" name="Line 10">
          <a:extLst>
            <a:ext uri="{FF2B5EF4-FFF2-40B4-BE49-F238E27FC236}">
              <a16:creationId xmlns:a16="http://schemas.microsoft.com/office/drawing/2014/main" id="{00000000-0008-0000-1600-00000B000000}"/>
            </a:ext>
          </a:extLst>
        </xdr:cNvPr>
        <xdr:cNvSpPr>
          <a:spLocks noChangeShapeType="1"/>
        </xdr:cNvSpPr>
      </xdr:nvSpPr>
      <xdr:spPr bwMode="auto">
        <a:xfrm flipV="1">
          <a:off x="15322550" y="2457450"/>
          <a:ext cx="6096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25</xdr:row>
      <xdr:rowOff>0</xdr:rowOff>
    </xdr:from>
    <xdr:to>
      <xdr:col>5</xdr:col>
      <xdr:colOff>942975</xdr:colOff>
      <xdr:row>25</xdr:row>
      <xdr:rowOff>0</xdr:rowOff>
    </xdr:to>
    <xdr:sp macro="" textlink="">
      <xdr:nvSpPr>
        <xdr:cNvPr id="12" name="Line 8">
          <a:extLst>
            <a:ext uri="{FF2B5EF4-FFF2-40B4-BE49-F238E27FC236}">
              <a16:creationId xmlns:a16="http://schemas.microsoft.com/office/drawing/2014/main" id="{00000000-0008-0000-1600-00000C000000}"/>
            </a:ext>
          </a:extLst>
        </xdr:cNvPr>
        <xdr:cNvSpPr>
          <a:spLocks noChangeShapeType="1"/>
        </xdr:cNvSpPr>
      </xdr:nvSpPr>
      <xdr:spPr bwMode="auto">
        <a:xfrm>
          <a:off x="14722475" y="2457450"/>
          <a:ext cx="6000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25</xdr:row>
      <xdr:rowOff>0</xdr:rowOff>
    </xdr:from>
    <xdr:to>
      <xdr:col>6</xdr:col>
      <xdr:colOff>0</xdr:colOff>
      <xdr:row>25</xdr:row>
      <xdr:rowOff>0</xdr:rowOff>
    </xdr:to>
    <xdr:sp macro="" textlink="">
      <xdr:nvSpPr>
        <xdr:cNvPr id="13" name="Line 10">
          <a:extLst>
            <a:ext uri="{FF2B5EF4-FFF2-40B4-BE49-F238E27FC236}">
              <a16:creationId xmlns:a16="http://schemas.microsoft.com/office/drawing/2014/main" id="{00000000-0008-0000-1600-00000D000000}"/>
            </a:ext>
          </a:extLst>
        </xdr:cNvPr>
        <xdr:cNvSpPr>
          <a:spLocks noChangeShapeType="1"/>
        </xdr:cNvSpPr>
      </xdr:nvSpPr>
      <xdr:spPr bwMode="auto">
        <a:xfrm flipV="1">
          <a:off x="14712950" y="2457450"/>
          <a:ext cx="6096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25</xdr:row>
      <xdr:rowOff>0</xdr:rowOff>
    </xdr:from>
    <xdr:to>
      <xdr:col>6</xdr:col>
      <xdr:colOff>942975</xdr:colOff>
      <xdr:row>25</xdr:row>
      <xdr:rowOff>0</xdr:rowOff>
    </xdr:to>
    <xdr:sp macro="" textlink="">
      <xdr:nvSpPr>
        <xdr:cNvPr id="14" name="Line 8">
          <a:extLst>
            <a:ext uri="{FF2B5EF4-FFF2-40B4-BE49-F238E27FC236}">
              <a16:creationId xmlns:a16="http://schemas.microsoft.com/office/drawing/2014/main" id="{00000000-0008-0000-1600-00000E000000}"/>
            </a:ext>
          </a:extLst>
        </xdr:cNvPr>
        <xdr:cNvSpPr>
          <a:spLocks noChangeShapeType="1"/>
        </xdr:cNvSpPr>
      </xdr:nvSpPr>
      <xdr:spPr bwMode="auto">
        <a:xfrm>
          <a:off x="15332075" y="2457450"/>
          <a:ext cx="6000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25</xdr:row>
      <xdr:rowOff>0</xdr:rowOff>
    </xdr:from>
    <xdr:to>
      <xdr:col>7</xdr:col>
      <xdr:colOff>0</xdr:colOff>
      <xdr:row>25</xdr:row>
      <xdr:rowOff>0</xdr:rowOff>
    </xdr:to>
    <xdr:sp macro="" textlink="">
      <xdr:nvSpPr>
        <xdr:cNvPr id="15" name="Line 10">
          <a:extLst>
            <a:ext uri="{FF2B5EF4-FFF2-40B4-BE49-F238E27FC236}">
              <a16:creationId xmlns:a16="http://schemas.microsoft.com/office/drawing/2014/main" id="{00000000-0008-0000-1600-00000F000000}"/>
            </a:ext>
          </a:extLst>
        </xdr:cNvPr>
        <xdr:cNvSpPr>
          <a:spLocks noChangeShapeType="1"/>
        </xdr:cNvSpPr>
      </xdr:nvSpPr>
      <xdr:spPr bwMode="auto">
        <a:xfrm flipV="1">
          <a:off x="15322550" y="2457450"/>
          <a:ext cx="6096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9525</xdr:colOff>
      <xdr:row>25</xdr:row>
      <xdr:rowOff>0</xdr:rowOff>
    </xdr:from>
    <xdr:to>
      <xdr:col>7</xdr:col>
      <xdr:colOff>942975</xdr:colOff>
      <xdr:row>25</xdr:row>
      <xdr:rowOff>0</xdr:rowOff>
    </xdr:to>
    <xdr:sp macro="" textlink="">
      <xdr:nvSpPr>
        <xdr:cNvPr id="16" name="Line 8">
          <a:extLst>
            <a:ext uri="{FF2B5EF4-FFF2-40B4-BE49-F238E27FC236}">
              <a16:creationId xmlns:a16="http://schemas.microsoft.com/office/drawing/2014/main" id="{00000000-0008-0000-1600-000010000000}"/>
            </a:ext>
          </a:extLst>
        </xdr:cNvPr>
        <xdr:cNvSpPr>
          <a:spLocks noChangeShapeType="1"/>
        </xdr:cNvSpPr>
      </xdr:nvSpPr>
      <xdr:spPr bwMode="auto">
        <a:xfrm>
          <a:off x="15941675" y="2457450"/>
          <a:ext cx="6000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25</xdr:row>
      <xdr:rowOff>0</xdr:rowOff>
    </xdr:from>
    <xdr:to>
      <xdr:col>8</xdr:col>
      <xdr:colOff>0</xdr:colOff>
      <xdr:row>25</xdr:row>
      <xdr:rowOff>0</xdr:rowOff>
    </xdr:to>
    <xdr:sp macro="" textlink="">
      <xdr:nvSpPr>
        <xdr:cNvPr id="17" name="Line 10">
          <a:extLst>
            <a:ext uri="{FF2B5EF4-FFF2-40B4-BE49-F238E27FC236}">
              <a16:creationId xmlns:a16="http://schemas.microsoft.com/office/drawing/2014/main" id="{00000000-0008-0000-1600-000011000000}"/>
            </a:ext>
          </a:extLst>
        </xdr:cNvPr>
        <xdr:cNvSpPr>
          <a:spLocks noChangeShapeType="1"/>
        </xdr:cNvSpPr>
      </xdr:nvSpPr>
      <xdr:spPr bwMode="auto">
        <a:xfrm flipV="1">
          <a:off x="15932150" y="2457450"/>
          <a:ext cx="6096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pdc\VIK-Transfer\Documents%20and%20Settings\Kostadin%20Kolarov_2\My%20Documents\Mobile\New%20Business%20Pla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dc\VIK-Transfer\Documents%20and%20Settings\dk-kpeev\Desktop\UKAZANIQ\BP\Model_BP_Prilojeniq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Описание на продуктите"/>
      <sheetName val="Състояние на продуктите"/>
      <sheetName val="Пазарна прогноза (1)"/>
      <sheetName val="Пазарна прогноза (2)"/>
      <sheetName val="Пазарна прогноза (3)"/>
      <sheetName val="Пазарна прогноза (4)"/>
      <sheetName val="Пазарна прогноза (5)"/>
      <sheetName val="План за персонала"/>
      <sheetName val="ОПР 96-98"/>
      <sheetName val="Баланси 96-98"/>
      <sheetName val="Минали отчети"/>
      <sheetName val="Начало"/>
      <sheetName val="Начален баланс"/>
      <sheetName val="Прогнозни продажби"/>
      <sheetName val="Себестойност"/>
      <sheetName val="Постоянни разходи"/>
      <sheetName val="Инвестиции"/>
      <sheetName val="Собствен капитал"/>
      <sheetName val="Разчети по ДДС"/>
      <sheetName val="Проформа ОПР"/>
      <sheetName val="Проформа ОПП"/>
      <sheetName val="Проформа баланси"/>
      <sheetName val="Буфер"/>
      <sheetName val="Финансови показатели"/>
      <sheetName val="Оценка на проекта"/>
      <sheetName val="Мин. и оч. резултати"/>
      <sheetName val="Критични точки"/>
      <sheetName val="Sheet8"/>
      <sheetName val="Описание_на_продуктите"/>
      <sheetName val="Състояние_на_продуктите"/>
      <sheetName val="Пазарна_прогноза_(1)"/>
      <sheetName val="Пазарна_прогноза_(2)"/>
      <sheetName val="Пазарна_прогноза_(3)"/>
      <sheetName val="Пазарна_прогноза_(4)"/>
      <sheetName val="Пазарна_прогноза_(5)"/>
      <sheetName val="План_за_персонала"/>
      <sheetName val="ОПР_96-98"/>
      <sheetName val="Баланси_96-98"/>
      <sheetName val="Минали_отчети"/>
      <sheetName val="Начален_баланс"/>
      <sheetName val="Прогнозни_продажби"/>
      <sheetName val="Постоянни_разходи"/>
      <sheetName val="Собствен_капитал"/>
      <sheetName val="Разчети_по_ДДС"/>
      <sheetName val="Проформа_ОПР"/>
      <sheetName val="Проформа_ОПП"/>
      <sheetName val="Проформа_баланси"/>
      <sheetName val="Финансови_показатели"/>
      <sheetName val="Оценка_на_проекта"/>
      <sheetName val="Мин__и_оч__резултати"/>
      <sheetName val="Критични_точки"/>
      <sheetName val="TB-20-02-2002"/>
      <sheetName val="dropdown"/>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sheetData sheetId="12"/>
      <sheetData sheetId="13"/>
      <sheetData sheetId="14" refreshError="1">
        <row r="124">
          <cell r="B124" t="str">
            <v>Електроенергия</v>
          </cell>
          <cell r="C124">
            <v>29491.133333333335</v>
          </cell>
          <cell r="D124">
            <v>29488.799999999999</v>
          </cell>
          <cell r="E124">
            <v>29488.799999999999</v>
          </cell>
          <cell r="F124">
            <v>29488.799999999999</v>
          </cell>
          <cell r="G124">
            <v>29488.799999999999</v>
          </cell>
          <cell r="H124">
            <v>29488.799999999999</v>
          </cell>
          <cell r="I124">
            <v>29488.799999999999</v>
          </cell>
          <cell r="J124">
            <v>29488.799999999999</v>
          </cell>
          <cell r="K124">
            <v>29488.799999999999</v>
          </cell>
          <cell r="L124">
            <v>29488.799999999999</v>
          </cell>
          <cell r="M124">
            <v>29488.799999999999</v>
          </cell>
          <cell r="N124">
            <v>29488.799999999999</v>
          </cell>
          <cell r="O124">
            <v>353867.93333333329</v>
          </cell>
          <cell r="P124">
            <v>357142.80000000005</v>
          </cell>
          <cell r="Q124">
            <v>364285.65600000002</v>
          </cell>
          <cell r="R124">
            <v>371571.36912000005</v>
          </cell>
          <cell r="S124">
            <v>379002.79650240007</v>
          </cell>
          <cell r="T124">
            <v>386582.85243244807</v>
          </cell>
        </row>
        <row r="125">
          <cell r="B125" t="str">
            <v>Отчетна стойност на продадените стоки</v>
          </cell>
          <cell r="C125">
            <v>0</v>
          </cell>
          <cell r="D125">
            <v>0</v>
          </cell>
          <cell r="E125">
            <v>0</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row>
        <row r="126">
          <cell r="B126" t="str">
            <v>Услуги и др.</v>
          </cell>
          <cell r="C126">
            <v>18927.500000000004</v>
          </cell>
          <cell r="D126">
            <v>18926</v>
          </cell>
          <cell r="E126">
            <v>18926</v>
          </cell>
          <cell r="F126">
            <v>18926</v>
          </cell>
          <cell r="G126">
            <v>18926</v>
          </cell>
          <cell r="H126">
            <v>18926</v>
          </cell>
          <cell r="I126">
            <v>18926</v>
          </cell>
          <cell r="J126">
            <v>18926</v>
          </cell>
          <cell r="K126">
            <v>18926</v>
          </cell>
          <cell r="L126">
            <v>18926</v>
          </cell>
          <cell r="M126">
            <v>18926</v>
          </cell>
          <cell r="N126">
            <v>18926</v>
          </cell>
          <cell r="O126">
            <v>227113.5</v>
          </cell>
          <cell r="P126">
            <v>229591.8</v>
          </cell>
          <cell r="Q126">
            <v>234183.636</v>
          </cell>
          <cell r="R126">
            <v>238867.30872</v>
          </cell>
          <cell r="S126">
            <v>243644.65489439998</v>
          </cell>
          <cell r="T126">
            <v>248517.54799228802</v>
          </cell>
        </row>
      </sheetData>
      <sheetData sheetId="15"/>
      <sheetData sheetId="16" refreshError="1">
        <row r="40">
          <cell r="E40">
            <v>151605.31</v>
          </cell>
        </row>
        <row r="43">
          <cell r="M43" t="str">
            <v>Всичко начислени амортизации</v>
          </cell>
          <cell r="N43">
            <v>0</v>
          </cell>
          <cell r="O43">
            <v>151605.31</v>
          </cell>
          <cell r="P43">
            <v>247855.31000000003</v>
          </cell>
          <cell r="Q43">
            <v>265355.31000000006</v>
          </cell>
          <cell r="R43">
            <v>274105.31</v>
          </cell>
          <cell r="S43">
            <v>282855.31</v>
          </cell>
          <cell r="T43">
            <v>291605.31</v>
          </cell>
        </row>
      </sheetData>
      <sheetData sheetId="17" refreshError="1">
        <row r="4">
          <cell r="B4" t="str">
            <v>Получени съучастия (увеличение на собствения капитал)</v>
          </cell>
          <cell r="C4">
            <v>0</v>
          </cell>
          <cell r="D4">
            <v>0</v>
          </cell>
          <cell r="E4">
            <v>0</v>
          </cell>
          <cell r="F4">
            <v>0</v>
          </cell>
          <cell r="G4">
            <v>0</v>
          </cell>
          <cell r="H4">
            <v>0</v>
          </cell>
          <cell r="I4">
            <v>0</v>
          </cell>
          <cell r="J4">
            <v>0</v>
          </cell>
          <cell r="K4">
            <v>0</v>
          </cell>
          <cell r="L4">
            <v>0</v>
          </cell>
          <cell r="M4">
            <v>0</v>
          </cell>
          <cell r="N4">
            <v>0</v>
          </cell>
          <cell r="O4">
            <v>0</v>
          </cell>
          <cell r="P4">
            <v>0</v>
          </cell>
          <cell r="Q4">
            <v>0</v>
          </cell>
          <cell r="R4">
            <v>0</v>
          </cell>
          <cell r="S4">
            <v>0</v>
          </cell>
          <cell r="T4">
            <v>0</v>
          </cell>
        </row>
        <row r="5">
          <cell r="B5" t="str">
            <v>Получени вземания по записани дялови вноски</v>
          </cell>
          <cell r="C5">
            <v>0</v>
          </cell>
          <cell r="D5">
            <v>0</v>
          </cell>
          <cell r="E5">
            <v>0</v>
          </cell>
          <cell r="F5">
            <v>0</v>
          </cell>
          <cell r="G5">
            <v>0</v>
          </cell>
          <cell r="H5">
            <v>0</v>
          </cell>
          <cell r="I5">
            <v>0</v>
          </cell>
          <cell r="J5">
            <v>0</v>
          </cell>
          <cell r="K5">
            <v>0</v>
          </cell>
          <cell r="L5">
            <v>0</v>
          </cell>
          <cell r="M5">
            <v>0</v>
          </cell>
          <cell r="N5">
            <v>0</v>
          </cell>
          <cell r="O5">
            <v>0</v>
          </cell>
          <cell r="P5">
            <v>0</v>
          </cell>
          <cell r="Q5">
            <v>0</v>
          </cell>
          <cell r="R5">
            <v>0</v>
          </cell>
          <cell r="S5">
            <v>0</v>
          </cell>
          <cell r="T5">
            <v>0</v>
          </cell>
        </row>
        <row r="6">
          <cell r="B6" t="str">
            <v>Намаление на собствения капитал</v>
          </cell>
          <cell r="C6">
            <v>0</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row>
        <row r="7">
          <cell r="B7" t="str">
            <v>Вземания по получени през периода съучастия</v>
          </cell>
          <cell r="C7">
            <v>0</v>
          </cell>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row>
      </sheetData>
      <sheetData sheetId="18"/>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refreshError="1"/>
      <sheetData sheetId="5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етикет"/>
      <sheetName val=" 2.  Експлоатационни данни"/>
      <sheetName val="5. Целеви нива"/>
      <sheetName val="2. Производствена програма"/>
      <sheetName val="3. Ремонтна програма"/>
      <sheetName val="4. Намаляване на загубите"/>
      <sheetName val="5. Подобряване на ефективността"/>
      <sheetName val="6. Инвестиции"/>
      <sheetName val="6.1. Инв.пр- доставяне"/>
      <sheetName val="6.2. Инв.пр.-отвеждане"/>
      <sheetName val="6.3.Инв.пр.-пречистване"/>
      <sheetName val="7. Активи"/>
      <sheetName val="7.1. Предст. въвеж. активи"/>
      <sheetName val="8. Амортизационен план "/>
      <sheetName val="9. Ниво на протребление"/>
      <sheetName val="10. Разходи"/>
      <sheetName val="11.Цени и приходи  "/>
      <sheetName val="12.Соц. поносимост"/>
      <sheetName val="13. Персонала"/>
      <sheetName val="13.1.Квалиф. структура"/>
      <sheetName val="14.Соц. програма "/>
      <sheetName val="Sheet4"/>
      <sheetName val="6_ Инвестиции"/>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persons/person.xml><?xml version="1.0" encoding="utf-8"?>
<personList xmlns="http://schemas.microsoft.com/office/spreadsheetml/2018/threadedcomments" xmlns:x="http://schemas.openxmlformats.org/spreadsheetml/2006/main">
  <person displayName="Cvetomir Tsokov ( finance chief )" id="{9A006C6C-6A03-4EBF-9988-45857720689E}" userId="S::crc@wsslovech.onmicrosoft.com::34841586-3f3e-434e-9095-a9588db34129"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14" dT="2026-03-09T10:57:38.04" personId="{9A006C6C-6A03-4EBF-9988-45857720689E}" id="{F1443688-EC0A-4D04-B2BC-3A30DA983F9F}">
    <text>За 2024 г. - 801.00 лева</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21.bin"/><Relationship Id="rId4" Type="http://schemas.microsoft.com/office/2017/10/relationships/threadedComment" Target="../threadedComments/threadedComment1.xm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2:E91"/>
  <sheetViews>
    <sheetView showGridLines="0" view="pageBreakPreview" zoomScale="70" zoomScaleNormal="70" zoomScaleSheetLayoutView="70" zoomScalePageLayoutView="80" workbookViewId="0">
      <selection activeCell="C36" sqref="C36:D36"/>
    </sheetView>
  </sheetViews>
  <sheetFormatPr defaultColWidth="9.109375" defaultRowHeight="15.6"/>
  <cols>
    <col min="1" max="1" width="6.6640625" style="1596" customWidth="1"/>
    <col min="2" max="2" width="37.33203125" style="1596" customWidth="1"/>
    <col min="3" max="3" width="49.5546875" style="1596" customWidth="1"/>
    <col min="4" max="4" width="55.109375" style="1596" customWidth="1"/>
    <col min="5" max="5" width="15.33203125" style="1596" customWidth="1"/>
    <col min="6" max="6" width="19" style="1596" customWidth="1"/>
    <col min="7" max="7" width="21.109375" style="1596" bestFit="1" customWidth="1"/>
    <col min="8" max="8" width="15" style="1596" customWidth="1"/>
    <col min="9" max="16384" width="9.109375" style="1596"/>
  </cols>
  <sheetData>
    <row r="2" spans="1:5" ht="17.399999999999999">
      <c r="A2" s="4890" t="s">
        <v>85</v>
      </c>
      <c r="B2" s="4890"/>
      <c r="C2" s="4890"/>
      <c r="D2" s="4890"/>
      <c r="E2" s="3748"/>
    </row>
    <row r="3" spans="1:5" ht="21.75" customHeight="1">
      <c r="A3" s="4891" t="str">
        <f>"на "&amp;C8&amp;", гр. "&amp;C9</f>
        <v>на "В И К" АД, гр. Ловеч</v>
      </c>
      <c r="B3" s="4891"/>
      <c r="C3" s="4891"/>
      <c r="D3" s="4891"/>
      <c r="E3" s="3749"/>
    </row>
    <row r="4" spans="1:5" ht="20.25" customHeight="1">
      <c r="A4" s="4891" t="str">
        <f>"ЕИК по БУЛСТАТ: " &amp;C10</f>
        <v>ЕИК по БУЛСТАТ: 110549443</v>
      </c>
      <c r="B4" s="4891"/>
      <c r="C4" s="4891"/>
      <c r="D4" s="4891"/>
      <c r="E4" s="3749"/>
    </row>
    <row r="5" spans="1:5" ht="16.2" thickBot="1"/>
    <row r="6" spans="1:5">
      <c r="A6" s="4892" t="s">
        <v>1</v>
      </c>
      <c r="B6" s="4894" t="s">
        <v>86</v>
      </c>
      <c r="C6" s="4895"/>
      <c r="D6" s="4896"/>
    </row>
    <row r="7" spans="1:5" ht="16.8" thickBot="1">
      <c r="A7" s="4893"/>
      <c r="B7" s="1597" t="s">
        <v>87</v>
      </c>
      <c r="C7" s="4897" t="s">
        <v>88</v>
      </c>
      <c r="D7" s="4898"/>
    </row>
    <row r="8" spans="1:5">
      <c r="A8" s="1598">
        <v>1</v>
      </c>
      <c r="B8" s="1599" t="s">
        <v>89</v>
      </c>
      <c r="C8" s="4899" t="s">
        <v>1978</v>
      </c>
      <c r="D8" s="4900"/>
    </row>
    <row r="9" spans="1:5">
      <c r="A9" s="1600" t="s">
        <v>90</v>
      </c>
      <c r="B9" s="1601" t="s">
        <v>92</v>
      </c>
      <c r="C9" s="4888" t="s">
        <v>1979</v>
      </c>
      <c r="D9" s="4889"/>
    </row>
    <row r="10" spans="1:5">
      <c r="A10" s="1600" t="s">
        <v>91</v>
      </c>
      <c r="B10" s="1601" t="s">
        <v>94</v>
      </c>
      <c r="C10" s="4888" t="s">
        <v>1980</v>
      </c>
      <c r="D10" s="4889"/>
    </row>
    <row r="11" spans="1:5" ht="16.2" thickBot="1">
      <c r="A11" s="1602" t="s">
        <v>95</v>
      </c>
      <c r="B11" s="1603" t="s">
        <v>1281</v>
      </c>
      <c r="C11" s="4911"/>
      <c r="D11" s="4912"/>
    </row>
    <row r="12" spans="1:5" ht="18.600000000000001" thickBot="1">
      <c r="A12" s="3722" t="s">
        <v>96</v>
      </c>
      <c r="B12" s="767" t="s">
        <v>1739</v>
      </c>
      <c r="C12" s="4913" t="s">
        <v>1064</v>
      </c>
      <c r="D12" s="4914"/>
    </row>
    <row r="13" spans="1:5">
      <c r="A13" s="4901" t="s">
        <v>97</v>
      </c>
      <c r="B13" s="4904" t="s">
        <v>98</v>
      </c>
      <c r="C13" s="4907" t="s">
        <v>1066</v>
      </c>
      <c r="D13" s="4908"/>
    </row>
    <row r="14" spans="1:5">
      <c r="A14" s="4902"/>
      <c r="B14" s="4905"/>
      <c r="C14" s="4909" t="s">
        <v>1775</v>
      </c>
      <c r="D14" s="4910"/>
    </row>
    <row r="15" spans="1:5">
      <c r="A15" s="4902"/>
      <c r="B15" s="4905"/>
      <c r="C15" s="4909" t="s">
        <v>1776</v>
      </c>
      <c r="D15" s="4910"/>
    </row>
    <row r="16" spans="1:5">
      <c r="A16" s="4902"/>
      <c r="B16" s="4905"/>
      <c r="C16" s="4909" t="s">
        <v>1777</v>
      </c>
      <c r="D16" s="4910"/>
    </row>
    <row r="17" spans="1:4">
      <c r="A17" s="4902"/>
      <c r="B17" s="4905"/>
      <c r="C17" s="4909" t="s">
        <v>1778</v>
      </c>
      <c r="D17" s="4910"/>
    </row>
    <row r="18" spans="1:4" ht="16.2" thickBot="1">
      <c r="A18" s="4903"/>
      <c r="B18" s="4906"/>
      <c r="C18" s="4915" t="s">
        <v>1779</v>
      </c>
      <c r="D18" s="4916"/>
    </row>
    <row r="19" spans="1:4" ht="16.2" thickBot="1">
      <c r="A19" s="1598" t="s">
        <v>99</v>
      </c>
      <c r="B19" s="1604" t="s">
        <v>690</v>
      </c>
      <c r="C19" s="4917" t="s">
        <v>1982</v>
      </c>
      <c r="D19" s="4918"/>
    </row>
    <row r="20" spans="1:4" s="24" customFormat="1" ht="16.2" thickBot="1">
      <c r="A20" s="1605" t="s">
        <v>100</v>
      </c>
      <c r="B20" s="1606" t="s">
        <v>1282</v>
      </c>
      <c r="C20" s="1607"/>
      <c r="D20" s="1608"/>
    </row>
    <row r="21" spans="1:4" s="24" customFormat="1">
      <c r="A21" s="25" t="s">
        <v>101</v>
      </c>
      <c r="B21" s="747" t="s">
        <v>157</v>
      </c>
      <c r="C21" s="4924" t="s">
        <v>1981</v>
      </c>
      <c r="D21" s="4925"/>
    </row>
    <row r="22" spans="1:4" s="24" customFormat="1">
      <c r="A22" s="26" t="s">
        <v>102</v>
      </c>
      <c r="B22" s="748" t="s">
        <v>158</v>
      </c>
      <c r="C22" s="350"/>
      <c r="D22" s="351"/>
    </row>
    <row r="23" spans="1:4" s="24" customFormat="1" ht="16.2">
      <c r="A23" s="26" t="s">
        <v>1274</v>
      </c>
      <c r="B23" s="1609" t="s">
        <v>691</v>
      </c>
      <c r="C23" s="4926" t="s">
        <v>1983</v>
      </c>
      <c r="D23" s="4927"/>
    </row>
    <row r="24" spans="1:4" s="24" customFormat="1">
      <c r="A24" s="26"/>
      <c r="B24" s="1610" t="s">
        <v>160</v>
      </c>
      <c r="C24" s="4926" t="s">
        <v>1984</v>
      </c>
      <c r="D24" s="4927"/>
    </row>
    <row r="25" spans="1:4" s="24" customFormat="1">
      <c r="A25" s="26"/>
      <c r="B25" s="1610" t="s">
        <v>161</v>
      </c>
      <c r="C25" s="4926" t="s">
        <v>1985</v>
      </c>
      <c r="D25" s="4927"/>
    </row>
    <row r="26" spans="1:4" s="24" customFormat="1">
      <c r="A26" s="26"/>
      <c r="B26" s="1610" t="s">
        <v>162</v>
      </c>
      <c r="C26" s="4926" t="s">
        <v>1986</v>
      </c>
      <c r="D26" s="4927"/>
    </row>
    <row r="27" spans="1:4" s="24" customFormat="1">
      <c r="A27" s="26"/>
      <c r="B27" s="1610" t="s">
        <v>163</v>
      </c>
      <c r="C27" s="4928" t="s">
        <v>1987</v>
      </c>
      <c r="D27" s="4929"/>
    </row>
    <row r="28" spans="1:4" s="24" customFormat="1" ht="16.2">
      <c r="A28" s="26" t="s">
        <v>1275</v>
      </c>
      <c r="B28" s="1609" t="s">
        <v>692</v>
      </c>
      <c r="C28" s="4926" t="s">
        <v>1988</v>
      </c>
      <c r="D28" s="4927"/>
    </row>
    <row r="29" spans="1:4" s="24" customFormat="1">
      <c r="A29" s="26"/>
      <c r="B29" s="1610" t="s">
        <v>160</v>
      </c>
      <c r="C29" s="4926" t="s">
        <v>1989</v>
      </c>
      <c r="D29" s="4927"/>
    </row>
    <row r="30" spans="1:4" s="24" customFormat="1">
      <c r="A30" s="26"/>
      <c r="B30" s="1610" t="s">
        <v>161</v>
      </c>
      <c r="C30" s="4926" t="s">
        <v>1990</v>
      </c>
      <c r="D30" s="4927"/>
    </row>
    <row r="31" spans="1:4" s="24" customFormat="1">
      <c r="A31" s="26"/>
      <c r="B31" s="1610" t="s">
        <v>162</v>
      </c>
      <c r="C31" s="4926"/>
      <c r="D31" s="4927"/>
    </row>
    <row r="32" spans="1:4" s="24" customFormat="1">
      <c r="A32" s="26"/>
      <c r="B32" s="1610" t="s">
        <v>163</v>
      </c>
      <c r="C32" s="4928" t="s">
        <v>1991</v>
      </c>
      <c r="D32" s="4929"/>
    </row>
    <row r="33" spans="1:4" s="24" customFormat="1" ht="16.2">
      <c r="A33" s="26" t="s">
        <v>1276</v>
      </c>
      <c r="B33" s="1609" t="s">
        <v>693</v>
      </c>
      <c r="C33" s="4926" t="s">
        <v>1992</v>
      </c>
      <c r="D33" s="4927"/>
    </row>
    <row r="34" spans="1:4" s="24" customFormat="1">
      <c r="A34" s="26"/>
      <c r="B34" s="1610" t="s">
        <v>160</v>
      </c>
      <c r="C34" s="4926"/>
      <c r="D34" s="4927"/>
    </row>
    <row r="35" spans="1:4" s="24" customFormat="1">
      <c r="A35" s="26"/>
      <c r="B35" s="1610" t="s">
        <v>161</v>
      </c>
      <c r="C35" s="4926" t="s">
        <v>1993</v>
      </c>
      <c r="D35" s="4927"/>
    </row>
    <row r="36" spans="1:4" s="24" customFormat="1">
      <c r="A36" s="26"/>
      <c r="B36" s="1610" t="s">
        <v>162</v>
      </c>
      <c r="C36" s="4926"/>
      <c r="D36" s="4927"/>
    </row>
    <row r="37" spans="1:4" s="24" customFormat="1">
      <c r="A37" s="26"/>
      <c r="B37" s="1610" t="s">
        <v>163</v>
      </c>
      <c r="C37" s="4928" t="s">
        <v>1998</v>
      </c>
      <c r="D37" s="4929"/>
    </row>
    <row r="38" spans="1:4" s="24" customFormat="1" ht="16.2">
      <c r="A38" s="26" t="s">
        <v>1277</v>
      </c>
      <c r="B38" s="1609" t="s">
        <v>1049</v>
      </c>
      <c r="C38" s="4926" t="s">
        <v>1994</v>
      </c>
      <c r="D38" s="4927"/>
    </row>
    <row r="39" spans="1:4" s="24" customFormat="1">
      <c r="A39" s="26"/>
      <c r="B39" s="1610" t="s">
        <v>160</v>
      </c>
      <c r="C39" s="4926" t="s">
        <v>1995</v>
      </c>
      <c r="D39" s="4927"/>
    </row>
    <row r="40" spans="1:4" s="24" customFormat="1">
      <c r="A40" s="26"/>
      <c r="B40" s="1610" t="s">
        <v>161</v>
      </c>
      <c r="C40" s="4926" t="s">
        <v>1996</v>
      </c>
      <c r="D40" s="4927"/>
    </row>
    <row r="41" spans="1:4" s="24" customFormat="1">
      <c r="A41" s="26"/>
      <c r="B41" s="1610" t="s">
        <v>162</v>
      </c>
      <c r="C41" s="4926"/>
      <c r="D41" s="4927"/>
    </row>
    <row r="42" spans="1:4" s="24" customFormat="1">
      <c r="A42" s="26"/>
      <c r="B42" s="1610" t="s">
        <v>163</v>
      </c>
      <c r="C42" s="4928" t="s">
        <v>1997</v>
      </c>
      <c r="D42" s="4929"/>
    </row>
    <row r="43" spans="1:4" s="24" customFormat="1" ht="16.2">
      <c r="A43" s="26" t="s">
        <v>1278</v>
      </c>
      <c r="B43" s="1609" t="s">
        <v>165</v>
      </c>
      <c r="C43" s="4926" t="s">
        <v>1999</v>
      </c>
      <c r="D43" s="4927"/>
    </row>
    <row r="44" spans="1:4" s="24" customFormat="1">
      <c r="A44" s="26"/>
      <c r="B44" s="1610" t="s">
        <v>160</v>
      </c>
      <c r="C44" s="4926" t="s">
        <v>1984</v>
      </c>
      <c r="D44" s="4927"/>
    </row>
    <row r="45" spans="1:4" s="24" customFormat="1">
      <c r="A45" s="26"/>
      <c r="B45" s="1610" t="s">
        <v>162</v>
      </c>
      <c r="C45" s="4926" t="s">
        <v>1986</v>
      </c>
      <c r="D45" s="4927"/>
    </row>
    <row r="46" spans="1:4" s="24" customFormat="1" ht="16.2" thickBot="1">
      <c r="A46" s="1611"/>
      <c r="B46" s="1612" t="s">
        <v>163</v>
      </c>
      <c r="C46" s="4940" t="s">
        <v>1987</v>
      </c>
      <c r="D46" s="4941"/>
    </row>
    <row r="47" spans="1:4">
      <c r="A47" s="1613" t="s">
        <v>104</v>
      </c>
      <c r="B47" s="1614" t="s">
        <v>1283</v>
      </c>
      <c r="C47" s="4943"/>
      <c r="D47" s="4944"/>
    </row>
    <row r="48" spans="1:4">
      <c r="A48" s="18" t="s">
        <v>105</v>
      </c>
      <c r="B48" s="609" t="s">
        <v>106</v>
      </c>
      <c r="C48" s="4934" t="s">
        <v>107</v>
      </c>
      <c r="D48" s="4935"/>
    </row>
    <row r="49" spans="1:4">
      <c r="A49" s="3718"/>
      <c r="B49" s="3719" t="s">
        <v>108</v>
      </c>
      <c r="C49" s="4919" t="s">
        <v>1190</v>
      </c>
      <c r="D49" s="4920"/>
    </row>
    <row r="50" spans="1:4">
      <c r="A50" s="18" t="s">
        <v>109</v>
      </c>
      <c r="B50" s="609" t="s">
        <v>110</v>
      </c>
      <c r="C50" s="4934" t="s">
        <v>111</v>
      </c>
      <c r="D50" s="4935"/>
    </row>
    <row r="51" spans="1:4">
      <c r="A51" s="4933"/>
      <c r="B51" s="4930" t="s">
        <v>108</v>
      </c>
      <c r="C51" s="4919" t="s">
        <v>344</v>
      </c>
      <c r="D51" s="4920"/>
    </row>
    <row r="52" spans="1:4">
      <c r="A52" s="4902"/>
      <c r="B52" s="4931"/>
      <c r="C52" s="4919" t="s">
        <v>345</v>
      </c>
      <c r="D52" s="4920"/>
    </row>
    <row r="53" spans="1:4">
      <c r="A53" s="4902"/>
      <c r="B53" s="4931"/>
      <c r="C53" s="4936" t="s">
        <v>1014</v>
      </c>
      <c r="D53" s="4937"/>
    </row>
    <row r="54" spans="1:4">
      <c r="A54" s="3721"/>
      <c r="B54" s="4931"/>
      <c r="C54" s="4945" t="s">
        <v>1411</v>
      </c>
      <c r="D54" s="4946"/>
    </row>
    <row r="55" spans="1:4">
      <c r="A55" s="3721"/>
      <c r="B55" s="4931"/>
      <c r="C55" s="4945" t="s">
        <v>1191</v>
      </c>
      <c r="D55" s="4946"/>
    </row>
    <row r="56" spans="1:4">
      <c r="A56" s="3721"/>
      <c r="B56" s="4931"/>
      <c r="C56" s="1615" t="s">
        <v>553</v>
      </c>
      <c r="D56" s="3717"/>
    </row>
    <row r="57" spans="1:4">
      <c r="A57" s="3721"/>
      <c r="B57" s="4931"/>
      <c r="C57" s="4919" t="s">
        <v>1004</v>
      </c>
      <c r="D57" s="4920"/>
    </row>
    <row r="58" spans="1:4">
      <c r="A58" s="3721"/>
      <c r="B58" s="4931"/>
      <c r="C58" s="4919" t="s">
        <v>651</v>
      </c>
      <c r="D58" s="4920"/>
    </row>
    <row r="59" spans="1:4">
      <c r="A59" s="3721"/>
      <c r="B59" s="4932"/>
      <c r="C59" s="4919" t="s">
        <v>602</v>
      </c>
      <c r="D59" s="4920"/>
    </row>
    <row r="60" spans="1:4">
      <c r="A60" s="18" t="s">
        <v>83</v>
      </c>
      <c r="B60" s="609" t="s">
        <v>112</v>
      </c>
      <c r="C60" s="4934" t="s">
        <v>113</v>
      </c>
      <c r="D60" s="4935"/>
    </row>
    <row r="61" spans="1:4">
      <c r="A61" s="4921"/>
      <c r="B61" s="4930" t="s">
        <v>108</v>
      </c>
      <c r="C61" s="4919" t="s">
        <v>603</v>
      </c>
      <c r="D61" s="4920"/>
    </row>
    <row r="62" spans="1:4">
      <c r="A62" s="4922"/>
      <c r="B62" s="4931"/>
      <c r="C62" s="4919" t="s">
        <v>604</v>
      </c>
      <c r="D62" s="4920"/>
    </row>
    <row r="63" spans="1:4">
      <c r="A63" s="4922"/>
      <c r="B63" s="4931"/>
      <c r="C63" s="4919" t="s">
        <v>605</v>
      </c>
      <c r="D63" s="4920"/>
    </row>
    <row r="64" spans="1:4">
      <c r="A64" s="4922"/>
      <c r="B64" s="4931"/>
      <c r="C64" s="4919" t="s">
        <v>1474</v>
      </c>
      <c r="D64" s="4920"/>
    </row>
    <row r="65" spans="1:4">
      <c r="A65" s="4922"/>
      <c r="B65" s="4931"/>
      <c r="C65" s="4919" t="s">
        <v>1509</v>
      </c>
      <c r="D65" s="4920"/>
    </row>
    <row r="66" spans="1:4">
      <c r="A66" s="4922"/>
      <c r="B66" s="4931"/>
      <c r="C66" s="4919" t="s">
        <v>1938</v>
      </c>
      <c r="D66" s="4920"/>
    </row>
    <row r="67" spans="1:4">
      <c r="A67" s="4922"/>
      <c r="B67" s="4931"/>
      <c r="C67" s="4938" t="s">
        <v>609</v>
      </c>
      <c r="D67" s="4939"/>
    </row>
    <row r="68" spans="1:4">
      <c r="A68" s="4922"/>
      <c r="B68" s="4931"/>
      <c r="C68" s="4938" t="s">
        <v>1740</v>
      </c>
      <c r="D68" s="4939"/>
    </row>
    <row r="69" spans="1:4" ht="32.25" customHeight="1">
      <c r="A69" s="4923"/>
      <c r="B69" s="4932"/>
      <c r="C69" s="4938" t="s">
        <v>1507</v>
      </c>
      <c r="D69" s="4939"/>
    </row>
    <row r="70" spans="1:4">
      <c r="A70" s="18" t="s">
        <v>84</v>
      </c>
      <c r="B70" s="609" t="s">
        <v>114</v>
      </c>
      <c r="C70" s="4934" t="s">
        <v>115</v>
      </c>
      <c r="D70" s="4935"/>
    </row>
    <row r="71" spans="1:4">
      <c r="A71" s="18"/>
      <c r="B71" s="3720" t="s">
        <v>108</v>
      </c>
      <c r="C71" s="4919" t="s">
        <v>610</v>
      </c>
      <c r="D71" s="4920"/>
    </row>
    <row r="72" spans="1:4">
      <c r="A72" s="18" t="s">
        <v>1279</v>
      </c>
      <c r="B72" s="609" t="s">
        <v>341</v>
      </c>
      <c r="C72" s="4934" t="s">
        <v>554</v>
      </c>
      <c r="D72" s="4935"/>
    </row>
    <row r="73" spans="1:4">
      <c r="A73" s="4921"/>
      <c r="B73" s="4930" t="s">
        <v>108</v>
      </c>
      <c r="C73" s="4919" t="s">
        <v>611</v>
      </c>
      <c r="D73" s="4920"/>
    </row>
    <row r="74" spans="1:4">
      <c r="A74" s="4923"/>
      <c r="B74" s="4931"/>
      <c r="C74" s="4919" t="s">
        <v>612</v>
      </c>
      <c r="D74" s="4920"/>
    </row>
    <row r="75" spans="1:4">
      <c r="A75" s="18" t="s">
        <v>1280</v>
      </c>
      <c r="B75" s="609" t="s">
        <v>343</v>
      </c>
      <c r="C75" s="4934" t="s">
        <v>342</v>
      </c>
      <c r="D75" s="4935"/>
    </row>
    <row r="76" spans="1:4">
      <c r="A76" s="4921"/>
      <c r="B76" s="4930" t="s">
        <v>108</v>
      </c>
      <c r="C76" s="1615" t="s">
        <v>613</v>
      </c>
      <c r="D76" s="3717"/>
    </row>
    <row r="77" spans="1:4">
      <c r="A77" s="4922"/>
      <c r="B77" s="4931"/>
      <c r="C77" s="1615" t="s">
        <v>614</v>
      </c>
      <c r="D77" s="3717"/>
    </row>
    <row r="78" spans="1:4">
      <c r="A78" s="4922"/>
      <c r="B78" s="4931"/>
      <c r="C78" s="1615" t="s">
        <v>615</v>
      </c>
      <c r="D78" s="3717"/>
    </row>
    <row r="79" spans="1:4">
      <c r="A79" s="4922"/>
      <c r="B79" s="4931"/>
      <c r="C79" s="1615" t="s">
        <v>1005</v>
      </c>
      <c r="D79" s="3717"/>
    </row>
    <row r="80" spans="1:4" ht="18.75" customHeight="1">
      <c r="A80" s="4923"/>
      <c r="B80" s="4932"/>
      <c r="C80" s="4919" t="s">
        <v>1412</v>
      </c>
      <c r="D80" s="4920"/>
    </row>
    <row r="82" spans="1:5">
      <c r="B82" s="1616" t="str">
        <f>"Дата: "&amp;C19</f>
        <v>Дата: 16.03.2026</v>
      </c>
      <c r="C82" s="1617"/>
    </row>
    <row r="83" spans="1:5">
      <c r="D83" s="1618"/>
    </row>
    <row r="85" spans="1:5" ht="15.75" customHeight="1">
      <c r="A85" s="4942" t="s">
        <v>1939</v>
      </c>
      <c r="B85" s="4942"/>
      <c r="C85" s="4942"/>
      <c r="D85" s="4942"/>
    </row>
    <row r="86" spans="1:5">
      <c r="A86" s="4942"/>
      <c r="B86" s="4942"/>
      <c r="C86" s="4942"/>
      <c r="D86" s="4942"/>
    </row>
    <row r="87" spans="1:5">
      <c r="D87" s="1618"/>
      <c r="E87" s="3750"/>
    </row>
    <row r="88" spans="1:5" hidden="1">
      <c r="C88" s="1619"/>
    </row>
    <row r="89" spans="1:5">
      <c r="A89" s="2" t="s">
        <v>555</v>
      </c>
      <c r="C89" s="1620"/>
      <c r="D89" s="1621"/>
    </row>
    <row r="90" spans="1:5" s="1621" customFormat="1">
      <c r="A90" s="1622" t="s">
        <v>188</v>
      </c>
      <c r="B90" s="1623"/>
      <c r="C90" s="1620"/>
      <c r="D90" s="1624"/>
    </row>
    <row r="91" spans="1:5" s="1624" customFormat="1">
      <c r="B91" s="3751"/>
      <c r="C91" s="1596"/>
      <c r="D91" s="1596"/>
      <c r="E91" s="3752"/>
    </row>
  </sheetData>
  <sheetProtection algorithmName="SHA-512" hashValue="QLwn4P86K0X1cYnp2aXnHA5altilmROq/p9kMNHdfB4aK5a0dhZuRZ2sVGMnr7NQ+ZcpBwYhoavBDX3+Y+UdBw==" saltValue="yJa9TYXOqGLkEV6IsaqUcA==" spinCount="100000" sheet="1" formatCells="0" formatColumns="0" formatRows="0"/>
  <mergeCells count="83">
    <mergeCell ref="A85:D86"/>
    <mergeCell ref="C80:D80"/>
    <mergeCell ref="C75:D75"/>
    <mergeCell ref="C47:D47"/>
    <mergeCell ref="C48:D48"/>
    <mergeCell ref="C50:D50"/>
    <mergeCell ref="C55:D55"/>
    <mergeCell ref="C66:D66"/>
    <mergeCell ref="B73:B74"/>
    <mergeCell ref="C54:D54"/>
    <mergeCell ref="A73:A74"/>
    <mergeCell ref="C72:D72"/>
    <mergeCell ref="C67:D67"/>
    <mergeCell ref="C68:D68"/>
    <mergeCell ref="C71:D71"/>
    <mergeCell ref="C73:D73"/>
    <mergeCell ref="C45:D45"/>
    <mergeCell ref="C46:D46"/>
    <mergeCell ref="C51:D51"/>
    <mergeCell ref="C49:D49"/>
    <mergeCell ref="C43:D43"/>
    <mergeCell ref="C44:D44"/>
    <mergeCell ref="C40:D40"/>
    <mergeCell ref="C41:D41"/>
    <mergeCell ref="C38:D38"/>
    <mergeCell ref="C33:D33"/>
    <mergeCell ref="C34:D34"/>
    <mergeCell ref="C35:D35"/>
    <mergeCell ref="C36:D36"/>
    <mergeCell ref="C37:D37"/>
    <mergeCell ref="C39:D39"/>
    <mergeCell ref="A76:A80"/>
    <mergeCell ref="B76:B80"/>
    <mergeCell ref="A51:A53"/>
    <mergeCell ref="B51:B59"/>
    <mergeCell ref="C60:D60"/>
    <mergeCell ref="C70:D70"/>
    <mergeCell ref="C52:D52"/>
    <mergeCell ref="C53:D53"/>
    <mergeCell ref="C57:D57"/>
    <mergeCell ref="C58:D58"/>
    <mergeCell ref="C59:D59"/>
    <mergeCell ref="C61:D61"/>
    <mergeCell ref="C62:D62"/>
    <mergeCell ref="C74:D74"/>
    <mergeCell ref="B61:B69"/>
    <mergeCell ref="C69:D69"/>
    <mergeCell ref="C63:D63"/>
    <mergeCell ref="C64:D64"/>
    <mergeCell ref="C65:D65"/>
    <mergeCell ref="A61:A69"/>
    <mergeCell ref="C21:D21"/>
    <mergeCell ref="C23:D23"/>
    <mergeCell ref="C24:D24"/>
    <mergeCell ref="C25:D25"/>
    <mergeCell ref="C26:D26"/>
    <mergeCell ref="C30:D30"/>
    <mergeCell ref="C31:D31"/>
    <mergeCell ref="C32:D32"/>
    <mergeCell ref="C27:D27"/>
    <mergeCell ref="C28:D28"/>
    <mergeCell ref="C29:D29"/>
    <mergeCell ref="C42:D42"/>
    <mergeCell ref="C11:D11"/>
    <mergeCell ref="C12:D12"/>
    <mergeCell ref="C17:D17"/>
    <mergeCell ref="C18:D18"/>
    <mergeCell ref="C19:D19"/>
    <mergeCell ref="A13:A18"/>
    <mergeCell ref="B13:B18"/>
    <mergeCell ref="C13:D13"/>
    <mergeCell ref="C14:D14"/>
    <mergeCell ref="C15:D15"/>
    <mergeCell ref="C16:D16"/>
    <mergeCell ref="C10:D10"/>
    <mergeCell ref="A2:D2"/>
    <mergeCell ref="A3:D3"/>
    <mergeCell ref="A4:D4"/>
    <mergeCell ref="A6:A7"/>
    <mergeCell ref="B6:D6"/>
    <mergeCell ref="C7:D7"/>
    <mergeCell ref="C8:D8"/>
    <mergeCell ref="C9:D9"/>
  </mergeCells>
  <hyperlinks>
    <hyperlink ref="C51" location="'2. Променливи'!A1" display="Справка № 2 - Променливи за изчисление на показателите за качество на предоставяните В и К услуги" xr:uid="{00000000-0004-0000-0000-000000000000}"/>
    <hyperlink ref="C52" location="'3. Показатели за качество'!A1" display="Справка № 3 - Показатели за качество на предоставяните В и К услуги " xr:uid="{00000000-0004-0000-0000-000001000000}"/>
    <hyperlink ref="C61" location="'9.Инвестиционна програма'!A1" display="Справка № 9 - Инвестиционна програма" xr:uid="{00000000-0004-0000-0000-000002000000}"/>
    <hyperlink ref="C63" location="'11. Амортиз. план'!A1" display="Справка № 11 - Амортизационен план на Дълготрайни Активи" xr:uid="{00000000-0004-0000-0000-000003000000}"/>
    <hyperlink ref="C64" location="'11.1.Амортиз.нови активи'!A1" display="Справка № 10.1 - Амортизация на новоизградени активи, чрез инвестиционната програма" xr:uid="{00000000-0004-0000-0000-000004000000}"/>
    <hyperlink ref="C77:D77" location="'11.РБА'!A1" display="Справка № 11  - Регулаторна база на активите" xr:uid="{00000000-0004-0000-0000-000005000000}"/>
    <hyperlink ref="C76:D76" location="'10.Необходими приходи'!A1" display="Справка № 10  - Необходими приходи" xr:uid="{00000000-0004-0000-0000-000006000000}"/>
    <hyperlink ref="C78:D78" location="'13.HB'!A1" display="Справка № 12  - Оборотен капитал" xr:uid="{00000000-0004-0000-0000-000007000000}"/>
    <hyperlink ref="C79:D79" location="'13.HB'!A1" display="Справка № 13  - Необходима възвръщаемост" xr:uid="{00000000-0004-0000-0000-000008000000}"/>
    <hyperlink ref="C62" location="'10. Финансиране на ИП'!A1" display="Справка № 10 - Инвестиции и източници на финансиране" xr:uid="{00000000-0004-0000-0000-000009000000}"/>
    <hyperlink ref="C71" location="'13. Соц. поносимост'!A1" display="Справка № 12 - Анализ на социалната поносимост на предлаганите цени" xr:uid="{00000000-0004-0000-0000-00000A000000}"/>
    <hyperlink ref="C77" location="'17. РБА'!A1" display="Справка № 16  - Регулаторна база на активите" xr:uid="{00000000-0004-0000-0000-00000B000000}"/>
    <hyperlink ref="C76" location="'16. Необходими приходи'!A1" display="Справка № 15  - Необходими приходи" xr:uid="{00000000-0004-0000-0000-00000C000000}"/>
    <hyperlink ref="C78" location="'18. OK'!A1" display="Справка № 17  - Оборотен капитал" xr:uid="{00000000-0004-0000-0000-00000D000000}"/>
    <hyperlink ref="C79" location="'19. HB'!A1" display="Справка № 18  - Необходима възвръщаемост" xr:uid="{00000000-0004-0000-0000-00000E000000}"/>
    <hyperlink ref="C80" location="'20.Цени за дост.,отв. и преч.'!A1" display="Справка № 19  - Цени за доставяне на вода, отвеждане и пречистване на отпадъчни води" xr:uid="{00000000-0004-0000-0000-00000F000000}"/>
    <hyperlink ref="C56" location="'5. Персонал'!A1" display="Справка № 5 - Персонал" xr:uid="{00000000-0004-0000-0000-000010000000}"/>
    <hyperlink ref="C57" location="'6. Ел.Енергия'!A1" display="Справка № 6 - Отчет и прогнозно ниво на потребление на ел.енергия за периода на бизнес плана" xr:uid="{00000000-0004-0000-0000-000011000000}"/>
    <hyperlink ref="C59" location="'8. Ремонтна програма'!A1" display="Справка № 7 - Ремонтна програма" xr:uid="{00000000-0004-0000-0000-000012000000}"/>
    <hyperlink ref="C73" location="'14. ОПР'!A1" display="Справка № 13  - Прогнозен отчет за приходите и разходите" xr:uid="{00000000-0004-0000-0000-000013000000}"/>
    <hyperlink ref="C74" location="'15. ОПП'!A1" display="Справка № 14  - Прогнозен отчет за паричния поток" xr:uid="{00000000-0004-0000-0000-000014000000}"/>
    <hyperlink ref="C58" location="'7. Утайки от ПСОВ'!A1" display="Справка № 7 - Оползотворяване на утойки от ПСОВ" xr:uid="{00000000-0004-0000-0000-000015000000}"/>
    <hyperlink ref="C53" location="'4. Отчет и прогн. потребление'!A1" display="Справка № 4 -  Отчет и прогнозно ниво на потребление на ВиК услугите  за периода на бизнес плана" xr:uid="{00000000-0004-0000-0000-000016000000}"/>
    <hyperlink ref="C67" location="'12. Разходи'!A1" display="Справка № 12 - Годишни разходи" xr:uid="{00000000-0004-0000-0000-000017000000}"/>
    <hyperlink ref="C68" location="'12.1.Разходи-увелич.и нам.'!A1" display="Справка № 12.1 - Изменения на годишните разходи спрямо отчетната година" xr:uid="{00000000-0004-0000-0000-000018000000}"/>
    <hyperlink ref="C54:D54" location="'4.1. Фактурирани количества'!A1" display="Справка № 4.1. Отчет и прогноза на фактурираните количества" xr:uid="{00000000-0004-0000-0000-000019000000}"/>
    <hyperlink ref="C55:D55" location="'4.2. Продад. и закупени кол-ва'!A1" display="Справка № 4.2. - Отчет и прогноза за продадени и/или закупени водни количества на/от други ВиК оператори" xr:uid="{00000000-0004-0000-0000-00001A000000}"/>
    <hyperlink ref="C69" location="'12.1.Разходи-увелич.и нам.'!A1" display="Справка № 12.1 - Изменения на годишните разходи спрямо отчетната година" xr:uid="{00000000-0004-0000-0000-00001B000000}"/>
    <hyperlink ref="C69:D69" location="'12.2.Нови дейности или обекти'!Print_Area" display="Справка № 12.2 - Бъдещи обекти и/или дейности и допълнителни разходи, включени в коефициент Qр " xr:uid="{00000000-0004-0000-0000-00001C000000}"/>
    <hyperlink ref="C49:D49" location="'1. Обща информация'!Print_Area" display="Справка № 1 - Обща информация" xr:uid="{00000000-0004-0000-0000-00001D000000}"/>
    <hyperlink ref="C68:D68" location="'12.1. Разходи изменение'!Print_Area" display="Справка № 12.1. - Изменения на годишните разходи спрямо базовата година" xr:uid="{00000000-0004-0000-0000-00001E000000}"/>
    <hyperlink ref="C80:D80" location="'20.Цени '!A1" display="Справка № 20  - Цени за регулирани услуги" xr:uid="{00000000-0004-0000-0000-00001F000000}"/>
    <hyperlink ref="C66" location="'11.2. Нови активи отч.год.'!A1" display="Справка № 11.2 - Новопродобити активи през отчетната година" xr:uid="{00000000-0004-0000-0000-000020000000}"/>
    <hyperlink ref="C66:D66" location="'11.3. ДА Базова година'!A1" display="Справка № 11.3. - Амортизационен план на дълготрайни активи за 2024 г. и 2025 г. " xr:uid="{00000000-0004-0000-0000-000021000000}"/>
    <hyperlink ref="C65:D65" location="'11.2. ДА за периода'!Print_Area" display="Справка № 11.2. - Дълготрайни активи за периода на бизнес плана" xr:uid="{00000000-0004-0000-0000-000022000000}"/>
  </hyperlinks>
  <printOptions horizontalCentered="1"/>
  <pageMargins left="0.78740157480314965" right="0.19685039370078741" top="0.39370078740157483" bottom="0.19685039370078741" header="0.78740157480314965" footer="0"/>
  <pageSetup paperSize="9" scale="59" orientation="portrait" r:id="rId1"/>
  <ignoredErrors>
    <ignoredError sqref="A9:A10 A59 A11:A19 A56:A57 A49 A51:A53 A61" numberStoredAsText="1"/>
  </ignoredErrors>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CC"/>
    <pageSetUpPr fitToPage="1"/>
  </sheetPr>
  <dimension ref="A1:U51"/>
  <sheetViews>
    <sheetView showGridLines="0" zoomScaleNormal="100" zoomScaleSheetLayoutView="100" workbookViewId="0">
      <selection activeCell="G13" sqref="G13"/>
    </sheetView>
  </sheetViews>
  <sheetFormatPr defaultRowHeight="13.2"/>
  <cols>
    <col min="1" max="1" width="5.33203125" style="2023" customWidth="1"/>
    <col min="2" max="2" width="44.88671875" style="2023" customWidth="1"/>
    <col min="3" max="3" width="10.33203125" style="2023" customWidth="1"/>
    <col min="4" max="11" width="9.6640625" style="3851" customWidth="1"/>
    <col min="12" max="12" width="2.44140625" style="2023" customWidth="1"/>
    <col min="13" max="13" width="11.33203125" style="2023" bestFit="1" customWidth="1"/>
    <col min="14" max="14" width="9.6640625" style="2023" bestFit="1" customWidth="1"/>
    <col min="15" max="257" width="9.109375" style="2023"/>
    <col min="258" max="258" width="5.33203125" style="2023" customWidth="1"/>
    <col min="259" max="259" width="56.44140625" style="2023" customWidth="1"/>
    <col min="260" max="260" width="10.33203125" style="2023" customWidth="1"/>
    <col min="261" max="267" width="10.6640625" style="2023" customWidth="1"/>
    <col min="268" max="268" width="9.109375" style="2023"/>
    <col min="269" max="269" width="11.33203125" style="2023" bestFit="1" customWidth="1"/>
    <col min="270" max="270" width="9.6640625" style="2023" bestFit="1" customWidth="1"/>
    <col min="271" max="513" width="9.109375" style="2023"/>
    <col min="514" max="514" width="5.33203125" style="2023" customWidth="1"/>
    <col min="515" max="515" width="56.44140625" style="2023" customWidth="1"/>
    <col min="516" max="516" width="10.33203125" style="2023" customWidth="1"/>
    <col min="517" max="523" width="10.6640625" style="2023" customWidth="1"/>
    <col min="524" max="524" width="9.109375" style="2023"/>
    <col min="525" max="525" width="11.33203125" style="2023" bestFit="1" customWidth="1"/>
    <col min="526" max="526" width="9.6640625" style="2023" bestFit="1" customWidth="1"/>
    <col min="527" max="769" width="9.109375" style="2023"/>
    <col min="770" max="770" width="5.33203125" style="2023" customWidth="1"/>
    <col min="771" max="771" width="56.44140625" style="2023" customWidth="1"/>
    <col min="772" max="772" width="10.33203125" style="2023" customWidth="1"/>
    <col min="773" max="779" width="10.6640625" style="2023" customWidth="1"/>
    <col min="780" max="780" width="9.109375" style="2023"/>
    <col min="781" max="781" width="11.33203125" style="2023" bestFit="1" customWidth="1"/>
    <col min="782" max="782" width="9.6640625" style="2023" bestFit="1" customWidth="1"/>
    <col min="783" max="1025" width="9.109375" style="2023"/>
    <col min="1026" max="1026" width="5.33203125" style="2023" customWidth="1"/>
    <col min="1027" max="1027" width="56.44140625" style="2023" customWidth="1"/>
    <col min="1028" max="1028" width="10.33203125" style="2023" customWidth="1"/>
    <col min="1029" max="1035" width="10.6640625" style="2023" customWidth="1"/>
    <col min="1036" max="1036" width="9.109375" style="2023"/>
    <col min="1037" max="1037" width="11.33203125" style="2023" bestFit="1" customWidth="1"/>
    <col min="1038" max="1038" width="9.6640625" style="2023" bestFit="1" customWidth="1"/>
    <col min="1039" max="1281" width="9.109375" style="2023"/>
    <col min="1282" max="1282" width="5.33203125" style="2023" customWidth="1"/>
    <col min="1283" max="1283" width="56.44140625" style="2023" customWidth="1"/>
    <col min="1284" max="1284" width="10.33203125" style="2023" customWidth="1"/>
    <col min="1285" max="1291" width="10.6640625" style="2023" customWidth="1"/>
    <col min="1292" max="1292" width="9.109375" style="2023"/>
    <col min="1293" max="1293" width="11.33203125" style="2023" bestFit="1" customWidth="1"/>
    <col min="1294" max="1294" width="9.6640625" style="2023" bestFit="1" customWidth="1"/>
    <col min="1295" max="1537" width="9.109375" style="2023"/>
    <col min="1538" max="1538" width="5.33203125" style="2023" customWidth="1"/>
    <col min="1539" max="1539" width="56.44140625" style="2023" customWidth="1"/>
    <col min="1540" max="1540" width="10.33203125" style="2023" customWidth="1"/>
    <col min="1541" max="1547" width="10.6640625" style="2023" customWidth="1"/>
    <col min="1548" max="1548" width="9.109375" style="2023"/>
    <col min="1549" max="1549" width="11.33203125" style="2023" bestFit="1" customWidth="1"/>
    <col min="1550" max="1550" width="9.6640625" style="2023" bestFit="1" customWidth="1"/>
    <col min="1551" max="1793" width="9.109375" style="2023"/>
    <col min="1794" max="1794" width="5.33203125" style="2023" customWidth="1"/>
    <col min="1795" max="1795" width="56.44140625" style="2023" customWidth="1"/>
    <col min="1796" max="1796" width="10.33203125" style="2023" customWidth="1"/>
    <col min="1797" max="1803" width="10.6640625" style="2023" customWidth="1"/>
    <col min="1804" max="1804" width="9.109375" style="2023"/>
    <col min="1805" max="1805" width="11.33203125" style="2023" bestFit="1" customWidth="1"/>
    <col min="1806" max="1806" width="9.6640625" style="2023" bestFit="1" customWidth="1"/>
    <col min="1807" max="2049" width="9.109375" style="2023"/>
    <col min="2050" max="2050" width="5.33203125" style="2023" customWidth="1"/>
    <col min="2051" max="2051" width="56.44140625" style="2023" customWidth="1"/>
    <col min="2052" max="2052" width="10.33203125" style="2023" customWidth="1"/>
    <col min="2053" max="2059" width="10.6640625" style="2023" customWidth="1"/>
    <col min="2060" max="2060" width="9.109375" style="2023"/>
    <col min="2061" max="2061" width="11.33203125" style="2023" bestFit="1" customWidth="1"/>
    <col min="2062" max="2062" width="9.6640625" style="2023" bestFit="1" customWidth="1"/>
    <col min="2063" max="2305" width="9.109375" style="2023"/>
    <col min="2306" max="2306" width="5.33203125" style="2023" customWidth="1"/>
    <col min="2307" max="2307" width="56.44140625" style="2023" customWidth="1"/>
    <col min="2308" max="2308" width="10.33203125" style="2023" customWidth="1"/>
    <col min="2309" max="2315" width="10.6640625" style="2023" customWidth="1"/>
    <col min="2316" max="2316" width="9.109375" style="2023"/>
    <col min="2317" max="2317" width="11.33203125" style="2023" bestFit="1" customWidth="1"/>
    <col min="2318" max="2318" width="9.6640625" style="2023" bestFit="1" customWidth="1"/>
    <col min="2319" max="2561" width="9.109375" style="2023"/>
    <col min="2562" max="2562" width="5.33203125" style="2023" customWidth="1"/>
    <col min="2563" max="2563" width="56.44140625" style="2023" customWidth="1"/>
    <col min="2564" max="2564" width="10.33203125" style="2023" customWidth="1"/>
    <col min="2565" max="2571" width="10.6640625" style="2023" customWidth="1"/>
    <col min="2572" max="2572" width="9.109375" style="2023"/>
    <col min="2573" max="2573" width="11.33203125" style="2023" bestFit="1" customWidth="1"/>
    <col min="2574" max="2574" width="9.6640625" style="2023" bestFit="1" customWidth="1"/>
    <col min="2575" max="2817" width="9.109375" style="2023"/>
    <col min="2818" max="2818" width="5.33203125" style="2023" customWidth="1"/>
    <col min="2819" max="2819" width="56.44140625" style="2023" customWidth="1"/>
    <col min="2820" max="2820" width="10.33203125" style="2023" customWidth="1"/>
    <col min="2821" max="2827" width="10.6640625" style="2023" customWidth="1"/>
    <col min="2828" max="2828" width="9.109375" style="2023"/>
    <col min="2829" max="2829" width="11.33203125" style="2023" bestFit="1" customWidth="1"/>
    <col min="2830" max="2830" width="9.6640625" style="2023" bestFit="1" customWidth="1"/>
    <col min="2831" max="3073" width="9.109375" style="2023"/>
    <col min="3074" max="3074" width="5.33203125" style="2023" customWidth="1"/>
    <col min="3075" max="3075" width="56.44140625" style="2023" customWidth="1"/>
    <col min="3076" max="3076" width="10.33203125" style="2023" customWidth="1"/>
    <col min="3077" max="3083" width="10.6640625" style="2023" customWidth="1"/>
    <col min="3084" max="3084" width="9.109375" style="2023"/>
    <col min="3085" max="3085" width="11.33203125" style="2023" bestFit="1" customWidth="1"/>
    <col min="3086" max="3086" width="9.6640625" style="2023" bestFit="1" customWidth="1"/>
    <col min="3087" max="3329" width="9.109375" style="2023"/>
    <col min="3330" max="3330" width="5.33203125" style="2023" customWidth="1"/>
    <col min="3331" max="3331" width="56.44140625" style="2023" customWidth="1"/>
    <col min="3332" max="3332" width="10.33203125" style="2023" customWidth="1"/>
    <col min="3333" max="3339" width="10.6640625" style="2023" customWidth="1"/>
    <col min="3340" max="3340" width="9.109375" style="2023"/>
    <col min="3341" max="3341" width="11.33203125" style="2023" bestFit="1" customWidth="1"/>
    <col min="3342" max="3342" width="9.6640625" style="2023" bestFit="1" customWidth="1"/>
    <col min="3343" max="3585" width="9.109375" style="2023"/>
    <col min="3586" max="3586" width="5.33203125" style="2023" customWidth="1"/>
    <col min="3587" max="3587" width="56.44140625" style="2023" customWidth="1"/>
    <col min="3588" max="3588" width="10.33203125" style="2023" customWidth="1"/>
    <col min="3589" max="3595" width="10.6640625" style="2023" customWidth="1"/>
    <col min="3596" max="3596" width="9.109375" style="2023"/>
    <col min="3597" max="3597" width="11.33203125" style="2023" bestFit="1" customWidth="1"/>
    <col min="3598" max="3598" width="9.6640625" style="2023" bestFit="1" customWidth="1"/>
    <col min="3599" max="3841" width="9.109375" style="2023"/>
    <col min="3842" max="3842" width="5.33203125" style="2023" customWidth="1"/>
    <col min="3843" max="3843" width="56.44140625" style="2023" customWidth="1"/>
    <col min="3844" max="3844" width="10.33203125" style="2023" customWidth="1"/>
    <col min="3845" max="3851" width="10.6640625" style="2023" customWidth="1"/>
    <col min="3852" max="3852" width="9.109375" style="2023"/>
    <col min="3853" max="3853" width="11.33203125" style="2023" bestFit="1" customWidth="1"/>
    <col min="3854" max="3854" width="9.6640625" style="2023" bestFit="1" customWidth="1"/>
    <col min="3855" max="4097" width="9.109375" style="2023"/>
    <col min="4098" max="4098" width="5.33203125" style="2023" customWidth="1"/>
    <col min="4099" max="4099" width="56.44140625" style="2023" customWidth="1"/>
    <col min="4100" max="4100" width="10.33203125" style="2023" customWidth="1"/>
    <col min="4101" max="4107" width="10.6640625" style="2023" customWidth="1"/>
    <col min="4108" max="4108" width="9.109375" style="2023"/>
    <col min="4109" max="4109" width="11.33203125" style="2023" bestFit="1" customWidth="1"/>
    <col min="4110" max="4110" width="9.6640625" style="2023" bestFit="1" customWidth="1"/>
    <col min="4111" max="4353" width="9.109375" style="2023"/>
    <col min="4354" max="4354" width="5.33203125" style="2023" customWidth="1"/>
    <col min="4355" max="4355" width="56.44140625" style="2023" customWidth="1"/>
    <col min="4356" max="4356" width="10.33203125" style="2023" customWidth="1"/>
    <col min="4357" max="4363" width="10.6640625" style="2023" customWidth="1"/>
    <col min="4364" max="4364" width="9.109375" style="2023"/>
    <col min="4365" max="4365" width="11.33203125" style="2023" bestFit="1" customWidth="1"/>
    <col min="4366" max="4366" width="9.6640625" style="2023" bestFit="1" customWidth="1"/>
    <col min="4367" max="4609" width="9.109375" style="2023"/>
    <col min="4610" max="4610" width="5.33203125" style="2023" customWidth="1"/>
    <col min="4611" max="4611" width="56.44140625" style="2023" customWidth="1"/>
    <col min="4612" max="4612" width="10.33203125" style="2023" customWidth="1"/>
    <col min="4613" max="4619" width="10.6640625" style="2023" customWidth="1"/>
    <col min="4620" max="4620" width="9.109375" style="2023"/>
    <col min="4621" max="4621" width="11.33203125" style="2023" bestFit="1" customWidth="1"/>
    <col min="4622" max="4622" width="9.6640625" style="2023" bestFit="1" customWidth="1"/>
    <col min="4623" max="4865" width="9.109375" style="2023"/>
    <col min="4866" max="4866" width="5.33203125" style="2023" customWidth="1"/>
    <col min="4867" max="4867" width="56.44140625" style="2023" customWidth="1"/>
    <col min="4868" max="4868" width="10.33203125" style="2023" customWidth="1"/>
    <col min="4869" max="4875" width="10.6640625" style="2023" customWidth="1"/>
    <col min="4876" max="4876" width="9.109375" style="2023"/>
    <col min="4877" max="4877" width="11.33203125" style="2023" bestFit="1" customWidth="1"/>
    <col min="4878" max="4878" width="9.6640625" style="2023" bestFit="1" customWidth="1"/>
    <col min="4879" max="5121" width="9.109375" style="2023"/>
    <col min="5122" max="5122" width="5.33203125" style="2023" customWidth="1"/>
    <col min="5123" max="5123" width="56.44140625" style="2023" customWidth="1"/>
    <col min="5124" max="5124" width="10.33203125" style="2023" customWidth="1"/>
    <col min="5125" max="5131" width="10.6640625" style="2023" customWidth="1"/>
    <col min="5132" max="5132" width="9.109375" style="2023"/>
    <col min="5133" max="5133" width="11.33203125" style="2023" bestFit="1" customWidth="1"/>
    <col min="5134" max="5134" width="9.6640625" style="2023" bestFit="1" customWidth="1"/>
    <col min="5135" max="5377" width="9.109375" style="2023"/>
    <col min="5378" max="5378" width="5.33203125" style="2023" customWidth="1"/>
    <col min="5379" max="5379" width="56.44140625" style="2023" customWidth="1"/>
    <col min="5380" max="5380" width="10.33203125" style="2023" customWidth="1"/>
    <col min="5381" max="5387" width="10.6640625" style="2023" customWidth="1"/>
    <col min="5388" max="5388" width="9.109375" style="2023"/>
    <col min="5389" max="5389" width="11.33203125" style="2023" bestFit="1" customWidth="1"/>
    <col min="5390" max="5390" width="9.6640625" style="2023" bestFit="1" customWidth="1"/>
    <col min="5391" max="5633" width="9.109375" style="2023"/>
    <col min="5634" max="5634" width="5.33203125" style="2023" customWidth="1"/>
    <col min="5635" max="5635" width="56.44140625" style="2023" customWidth="1"/>
    <col min="5636" max="5636" width="10.33203125" style="2023" customWidth="1"/>
    <col min="5637" max="5643" width="10.6640625" style="2023" customWidth="1"/>
    <col min="5644" max="5644" width="9.109375" style="2023"/>
    <col min="5645" max="5645" width="11.33203125" style="2023" bestFit="1" customWidth="1"/>
    <col min="5646" max="5646" width="9.6640625" style="2023" bestFit="1" customWidth="1"/>
    <col min="5647" max="5889" width="9.109375" style="2023"/>
    <col min="5890" max="5890" width="5.33203125" style="2023" customWidth="1"/>
    <col min="5891" max="5891" width="56.44140625" style="2023" customWidth="1"/>
    <col min="5892" max="5892" width="10.33203125" style="2023" customWidth="1"/>
    <col min="5893" max="5899" width="10.6640625" style="2023" customWidth="1"/>
    <col min="5900" max="5900" width="9.109375" style="2023"/>
    <col min="5901" max="5901" width="11.33203125" style="2023" bestFit="1" customWidth="1"/>
    <col min="5902" max="5902" width="9.6640625" style="2023" bestFit="1" customWidth="1"/>
    <col min="5903" max="6145" width="9.109375" style="2023"/>
    <col min="6146" max="6146" width="5.33203125" style="2023" customWidth="1"/>
    <col min="6147" max="6147" width="56.44140625" style="2023" customWidth="1"/>
    <col min="6148" max="6148" width="10.33203125" style="2023" customWidth="1"/>
    <col min="6149" max="6155" width="10.6640625" style="2023" customWidth="1"/>
    <col min="6156" max="6156" width="9.109375" style="2023"/>
    <col min="6157" max="6157" width="11.33203125" style="2023" bestFit="1" customWidth="1"/>
    <col min="6158" max="6158" width="9.6640625" style="2023" bestFit="1" customWidth="1"/>
    <col min="6159" max="6401" width="9.109375" style="2023"/>
    <col min="6402" max="6402" width="5.33203125" style="2023" customWidth="1"/>
    <col min="6403" max="6403" width="56.44140625" style="2023" customWidth="1"/>
    <col min="6404" max="6404" width="10.33203125" style="2023" customWidth="1"/>
    <col min="6405" max="6411" width="10.6640625" style="2023" customWidth="1"/>
    <col min="6412" max="6412" width="9.109375" style="2023"/>
    <col min="6413" max="6413" width="11.33203125" style="2023" bestFit="1" customWidth="1"/>
    <col min="6414" max="6414" width="9.6640625" style="2023" bestFit="1" customWidth="1"/>
    <col min="6415" max="6657" width="9.109375" style="2023"/>
    <col min="6658" max="6658" width="5.33203125" style="2023" customWidth="1"/>
    <col min="6659" max="6659" width="56.44140625" style="2023" customWidth="1"/>
    <col min="6660" max="6660" width="10.33203125" style="2023" customWidth="1"/>
    <col min="6661" max="6667" width="10.6640625" style="2023" customWidth="1"/>
    <col min="6668" max="6668" width="9.109375" style="2023"/>
    <col min="6669" max="6669" width="11.33203125" style="2023" bestFit="1" customWidth="1"/>
    <col min="6670" max="6670" width="9.6640625" style="2023" bestFit="1" customWidth="1"/>
    <col min="6671" max="6913" width="9.109375" style="2023"/>
    <col min="6914" max="6914" width="5.33203125" style="2023" customWidth="1"/>
    <col min="6915" max="6915" width="56.44140625" style="2023" customWidth="1"/>
    <col min="6916" max="6916" width="10.33203125" style="2023" customWidth="1"/>
    <col min="6917" max="6923" width="10.6640625" style="2023" customWidth="1"/>
    <col min="6924" max="6924" width="9.109375" style="2023"/>
    <col min="6925" max="6925" width="11.33203125" style="2023" bestFit="1" customWidth="1"/>
    <col min="6926" max="6926" width="9.6640625" style="2023" bestFit="1" customWidth="1"/>
    <col min="6927" max="7169" width="9.109375" style="2023"/>
    <col min="7170" max="7170" width="5.33203125" style="2023" customWidth="1"/>
    <col min="7171" max="7171" width="56.44140625" style="2023" customWidth="1"/>
    <col min="7172" max="7172" width="10.33203125" style="2023" customWidth="1"/>
    <col min="7173" max="7179" width="10.6640625" style="2023" customWidth="1"/>
    <col min="7180" max="7180" width="9.109375" style="2023"/>
    <col min="7181" max="7181" width="11.33203125" style="2023" bestFit="1" customWidth="1"/>
    <col min="7182" max="7182" width="9.6640625" style="2023" bestFit="1" customWidth="1"/>
    <col min="7183" max="7425" width="9.109375" style="2023"/>
    <col min="7426" max="7426" width="5.33203125" style="2023" customWidth="1"/>
    <col min="7427" max="7427" width="56.44140625" style="2023" customWidth="1"/>
    <col min="7428" max="7428" width="10.33203125" style="2023" customWidth="1"/>
    <col min="7429" max="7435" width="10.6640625" style="2023" customWidth="1"/>
    <col min="7436" max="7436" width="9.109375" style="2023"/>
    <col min="7437" max="7437" width="11.33203125" style="2023" bestFit="1" customWidth="1"/>
    <col min="7438" max="7438" width="9.6640625" style="2023" bestFit="1" customWidth="1"/>
    <col min="7439" max="7681" width="9.109375" style="2023"/>
    <col min="7682" max="7682" width="5.33203125" style="2023" customWidth="1"/>
    <col min="7683" max="7683" width="56.44140625" style="2023" customWidth="1"/>
    <col min="7684" max="7684" width="10.33203125" style="2023" customWidth="1"/>
    <col min="7685" max="7691" width="10.6640625" style="2023" customWidth="1"/>
    <col min="7692" max="7692" width="9.109375" style="2023"/>
    <col min="7693" max="7693" width="11.33203125" style="2023" bestFit="1" customWidth="1"/>
    <col min="7694" max="7694" width="9.6640625" style="2023" bestFit="1" customWidth="1"/>
    <col min="7695" max="7937" width="9.109375" style="2023"/>
    <col min="7938" max="7938" width="5.33203125" style="2023" customWidth="1"/>
    <col min="7939" max="7939" width="56.44140625" style="2023" customWidth="1"/>
    <col min="7940" max="7940" width="10.33203125" style="2023" customWidth="1"/>
    <col min="7941" max="7947" width="10.6640625" style="2023" customWidth="1"/>
    <col min="7948" max="7948" width="9.109375" style="2023"/>
    <col min="7949" max="7949" width="11.33203125" style="2023" bestFit="1" customWidth="1"/>
    <col min="7950" max="7950" width="9.6640625" style="2023" bestFit="1" customWidth="1"/>
    <col min="7951" max="8193" width="9.109375" style="2023"/>
    <col min="8194" max="8194" width="5.33203125" style="2023" customWidth="1"/>
    <col min="8195" max="8195" width="56.44140625" style="2023" customWidth="1"/>
    <col min="8196" max="8196" width="10.33203125" style="2023" customWidth="1"/>
    <col min="8197" max="8203" width="10.6640625" style="2023" customWidth="1"/>
    <col min="8204" max="8204" width="9.109375" style="2023"/>
    <col min="8205" max="8205" width="11.33203125" style="2023" bestFit="1" customWidth="1"/>
    <col min="8206" max="8206" width="9.6640625" style="2023" bestFit="1" customWidth="1"/>
    <col min="8207" max="8449" width="9.109375" style="2023"/>
    <col min="8450" max="8450" width="5.33203125" style="2023" customWidth="1"/>
    <col min="8451" max="8451" width="56.44140625" style="2023" customWidth="1"/>
    <col min="8452" max="8452" width="10.33203125" style="2023" customWidth="1"/>
    <col min="8453" max="8459" width="10.6640625" style="2023" customWidth="1"/>
    <col min="8460" max="8460" width="9.109375" style="2023"/>
    <col min="8461" max="8461" width="11.33203125" style="2023" bestFit="1" customWidth="1"/>
    <col min="8462" max="8462" width="9.6640625" style="2023" bestFit="1" customWidth="1"/>
    <col min="8463" max="8705" width="9.109375" style="2023"/>
    <col min="8706" max="8706" width="5.33203125" style="2023" customWidth="1"/>
    <col min="8707" max="8707" width="56.44140625" style="2023" customWidth="1"/>
    <col min="8708" max="8708" width="10.33203125" style="2023" customWidth="1"/>
    <col min="8709" max="8715" width="10.6640625" style="2023" customWidth="1"/>
    <col min="8716" max="8716" width="9.109375" style="2023"/>
    <col min="8717" max="8717" width="11.33203125" style="2023" bestFit="1" customWidth="1"/>
    <col min="8718" max="8718" width="9.6640625" style="2023" bestFit="1" customWidth="1"/>
    <col min="8719" max="8961" width="9.109375" style="2023"/>
    <col min="8962" max="8962" width="5.33203125" style="2023" customWidth="1"/>
    <col min="8963" max="8963" width="56.44140625" style="2023" customWidth="1"/>
    <col min="8964" max="8964" width="10.33203125" style="2023" customWidth="1"/>
    <col min="8965" max="8971" width="10.6640625" style="2023" customWidth="1"/>
    <col min="8972" max="8972" width="9.109375" style="2023"/>
    <col min="8973" max="8973" width="11.33203125" style="2023" bestFit="1" customWidth="1"/>
    <col min="8974" max="8974" width="9.6640625" style="2023" bestFit="1" customWidth="1"/>
    <col min="8975" max="9217" width="9.109375" style="2023"/>
    <col min="9218" max="9218" width="5.33203125" style="2023" customWidth="1"/>
    <col min="9219" max="9219" width="56.44140625" style="2023" customWidth="1"/>
    <col min="9220" max="9220" width="10.33203125" style="2023" customWidth="1"/>
    <col min="9221" max="9227" width="10.6640625" style="2023" customWidth="1"/>
    <col min="9228" max="9228" width="9.109375" style="2023"/>
    <col min="9229" max="9229" width="11.33203125" style="2023" bestFit="1" customWidth="1"/>
    <col min="9230" max="9230" width="9.6640625" style="2023" bestFit="1" customWidth="1"/>
    <col min="9231" max="9473" width="9.109375" style="2023"/>
    <col min="9474" max="9474" width="5.33203125" style="2023" customWidth="1"/>
    <col min="9475" max="9475" width="56.44140625" style="2023" customWidth="1"/>
    <col min="9476" max="9476" width="10.33203125" style="2023" customWidth="1"/>
    <col min="9477" max="9483" width="10.6640625" style="2023" customWidth="1"/>
    <col min="9484" max="9484" width="9.109375" style="2023"/>
    <col min="9485" max="9485" width="11.33203125" style="2023" bestFit="1" customWidth="1"/>
    <col min="9486" max="9486" width="9.6640625" style="2023" bestFit="1" customWidth="1"/>
    <col min="9487" max="9729" width="9.109375" style="2023"/>
    <col min="9730" max="9730" width="5.33203125" style="2023" customWidth="1"/>
    <col min="9731" max="9731" width="56.44140625" style="2023" customWidth="1"/>
    <col min="9732" max="9732" width="10.33203125" style="2023" customWidth="1"/>
    <col min="9733" max="9739" width="10.6640625" style="2023" customWidth="1"/>
    <col min="9740" max="9740" width="9.109375" style="2023"/>
    <col min="9741" max="9741" width="11.33203125" style="2023" bestFit="1" customWidth="1"/>
    <col min="9742" max="9742" width="9.6640625" style="2023" bestFit="1" customWidth="1"/>
    <col min="9743" max="9985" width="9.109375" style="2023"/>
    <col min="9986" max="9986" width="5.33203125" style="2023" customWidth="1"/>
    <col min="9987" max="9987" width="56.44140625" style="2023" customWidth="1"/>
    <col min="9988" max="9988" width="10.33203125" style="2023" customWidth="1"/>
    <col min="9989" max="9995" width="10.6640625" style="2023" customWidth="1"/>
    <col min="9996" max="9996" width="9.109375" style="2023"/>
    <col min="9997" max="9997" width="11.33203125" style="2023" bestFit="1" customWidth="1"/>
    <col min="9998" max="9998" width="9.6640625" style="2023" bestFit="1" customWidth="1"/>
    <col min="9999" max="10241" width="9.109375" style="2023"/>
    <col min="10242" max="10242" width="5.33203125" style="2023" customWidth="1"/>
    <col min="10243" max="10243" width="56.44140625" style="2023" customWidth="1"/>
    <col min="10244" max="10244" width="10.33203125" style="2023" customWidth="1"/>
    <col min="10245" max="10251" width="10.6640625" style="2023" customWidth="1"/>
    <col min="10252" max="10252" width="9.109375" style="2023"/>
    <col min="10253" max="10253" width="11.33203125" style="2023" bestFit="1" customWidth="1"/>
    <col min="10254" max="10254" width="9.6640625" style="2023" bestFit="1" customWidth="1"/>
    <col min="10255" max="10497" width="9.109375" style="2023"/>
    <col min="10498" max="10498" width="5.33203125" style="2023" customWidth="1"/>
    <col min="10499" max="10499" width="56.44140625" style="2023" customWidth="1"/>
    <col min="10500" max="10500" width="10.33203125" style="2023" customWidth="1"/>
    <col min="10501" max="10507" width="10.6640625" style="2023" customWidth="1"/>
    <col min="10508" max="10508" width="9.109375" style="2023"/>
    <col min="10509" max="10509" width="11.33203125" style="2023" bestFit="1" customWidth="1"/>
    <col min="10510" max="10510" width="9.6640625" style="2023" bestFit="1" customWidth="1"/>
    <col min="10511" max="10753" width="9.109375" style="2023"/>
    <col min="10754" max="10754" width="5.33203125" style="2023" customWidth="1"/>
    <col min="10755" max="10755" width="56.44140625" style="2023" customWidth="1"/>
    <col min="10756" max="10756" width="10.33203125" style="2023" customWidth="1"/>
    <col min="10757" max="10763" width="10.6640625" style="2023" customWidth="1"/>
    <col min="10764" max="10764" width="9.109375" style="2023"/>
    <col min="10765" max="10765" width="11.33203125" style="2023" bestFit="1" customWidth="1"/>
    <col min="10766" max="10766" width="9.6640625" style="2023" bestFit="1" customWidth="1"/>
    <col min="10767" max="11009" width="9.109375" style="2023"/>
    <col min="11010" max="11010" width="5.33203125" style="2023" customWidth="1"/>
    <col min="11011" max="11011" width="56.44140625" style="2023" customWidth="1"/>
    <col min="11012" max="11012" width="10.33203125" style="2023" customWidth="1"/>
    <col min="11013" max="11019" width="10.6640625" style="2023" customWidth="1"/>
    <col min="11020" max="11020" width="9.109375" style="2023"/>
    <col min="11021" max="11021" width="11.33203125" style="2023" bestFit="1" customWidth="1"/>
    <col min="11022" max="11022" width="9.6640625" style="2023" bestFit="1" customWidth="1"/>
    <col min="11023" max="11265" width="9.109375" style="2023"/>
    <col min="11266" max="11266" width="5.33203125" style="2023" customWidth="1"/>
    <col min="11267" max="11267" width="56.44140625" style="2023" customWidth="1"/>
    <col min="11268" max="11268" width="10.33203125" style="2023" customWidth="1"/>
    <col min="11269" max="11275" width="10.6640625" style="2023" customWidth="1"/>
    <col min="11276" max="11276" width="9.109375" style="2023"/>
    <col min="11277" max="11277" width="11.33203125" style="2023" bestFit="1" customWidth="1"/>
    <col min="11278" max="11278" width="9.6640625" style="2023" bestFit="1" customWidth="1"/>
    <col min="11279" max="11521" width="9.109375" style="2023"/>
    <col min="11522" max="11522" width="5.33203125" style="2023" customWidth="1"/>
    <col min="11523" max="11523" width="56.44140625" style="2023" customWidth="1"/>
    <col min="11524" max="11524" width="10.33203125" style="2023" customWidth="1"/>
    <col min="11525" max="11531" width="10.6640625" style="2023" customWidth="1"/>
    <col min="11532" max="11532" width="9.109375" style="2023"/>
    <col min="11533" max="11533" width="11.33203125" style="2023" bestFit="1" customWidth="1"/>
    <col min="11534" max="11534" width="9.6640625" style="2023" bestFit="1" customWidth="1"/>
    <col min="11535" max="11777" width="9.109375" style="2023"/>
    <col min="11778" max="11778" width="5.33203125" style="2023" customWidth="1"/>
    <col min="11779" max="11779" width="56.44140625" style="2023" customWidth="1"/>
    <col min="11780" max="11780" width="10.33203125" style="2023" customWidth="1"/>
    <col min="11781" max="11787" width="10.6640625" style="2023" customWidth="1"/>
    <col min="11788" max="11788" width="9.109375" style="2023"/>
    <col min="11789" max="11789" width="11.33203125" style="2023" bestFit="1" customWidth="1"/>
    <col min="11790" max="11790" width="9.6640625" style="2023" bestFit="1" customWidth="1"/>
    <col min="11791" max="12033" width="9.109375" style="2023"/>
    <col min="12034" max="12034" width="5.33203125" style="2023" customWidth="1"/>
    <col min="12035" max="12035" width="56.44140625" style="2023" customWidth="1"/>
    <col min="12036" max="12036" width="10.33203125" style="2023" customWidth="1"/>
    <col min="12037" max="12043" width="10.6640625" style="2023" customWidth="1"/>
    <col min="12044" max="12044" width="9.109375" style="2023"/>
    <col min="12045" max="12045" width="11.33203125" style="2023" bestFit="1" customWidth="1"/>
    <col min="12046" max="12046" width="9.6640625" style="2023" bestFit="1" customWidth="1"/>
    <col min="12047" max="12289" width="9.109375" style="2023"/>
    <col min="12290" max="12290" width="5.33203125" style="2023" customWidth="1"/>
    <col min="12291" max="12291" width="56.44140625" style="2023" customWidth="1"/>
    <col min="12292" max="12292" width="10.33203125" style="2023" customWidth="1"/>
    <col min="12293" max="12299" width="10.6640625" style="2023" customWidth="1"/>
    <col min="12300" max="12300" width="9.109375" style="2023"/>
    <col min="12301" max="12301" width="11.33203125" style="2023" bestFit="1" customWidth="1"/>
    <col min="12302" max="12302" width="9.6640625" style="2023" bestFit="1" customWidth="1"/>
    <col min="12303" max="12545" width="9.109375" style="2023"/>
    <col min="12546" max="12546" width="5.33203125" style="2023" customWidth="1"/>
    <col min="12547" max="12547" width="56.44140625" style="2023" customWidth="1"/>
    <col min="12548" max="12548" width="10.33203125" style="2023" customWidth="1"/>
    <col min="12549" max="12555" width="10.6640625" style="2023" customWidth="1"/>
    <col min="12556" max="12556" width="9.109375" style="2023"/>
    <col min="12557" max="12557" width="11.33203125" style="2023" bestFit="1" customWidth="1"/>
    <col min="12558" max="12558" width="9.6640625" style="2023" bestFit="1" customWidth="1"/>
    <col min="12559" max="12801" width="9.109375" style="2023"/>
    <col min="12802" max="12802" width="5.33203125" style="2023" customWidth="1"/>
    <col min="12803" max="12803" width="56.44140625" style="2023" customWidth="1"/>
    <col min="12804" max="12804" width="10.33203125" style="2023" customWidth="1"/>
    <col min="12805" max="12811" width="10.6640625" style="2023" customWidth="1"/>
    <col min="12812" max="12812" width="9.109375" style="2023"/>
    <col min="12813" max="12813" width="11.33203125" style="2023" bestFit="1" customWidth="1"/>
    <col min="12814" max="12814" width="9.6640625" style="2023" bestFit="1" customWidth="1"/>
    <col min="12815" max="13057" width="9.109375" style="2023"/>
    <col min="13058" max="13058" width="5.33203125" style="2023" customWidth="1"/>
    <col min="13059" max="13059" width="56.44140625" style="2023" customWidth="1"/>
    <col min="13060" max="13060" width="10.33203125" style="2023" customWidth="1"/>
    <col min="13061" max="13067" width="10.6640625" style="2023" customWidth="1"/>
    <col min="13068" max="13068" width="9.109375" style="2023"/>
    <col min="13069" max="13069" width="11.33203125" style="2023" bestFit="1" customWidth="1"/>
    <col min="13070" max="13070" width="9.6640625" style="2023" bestFit="1" customWidth="1"/>
    <col min="13071" max="13313" width="9.109375" style="2023"/>
    <col min="13314" max="13314" width="5.33203125" style="2023" customWidth="1"/>
    <col min="13315" max="13315" width="56.44140625" style="2023" customWidth="1"/>
    <col min="13316" max="13316" width="10.33203125" style="2023" customWidth="1"/>
    <col min="13317" max="13323" width="10.6640625" style="2023" customWidth="1"/>
    <col min="13324" max="13324" width="9.109375" style="2023"/>
    <col min="13325" max="13325" width="11.33203125" style="2023" bestFit="1" customWidth="1"/>
    <col min="13326" max="13326" width="9.6640625" style="2023" bestFit="1" customWidth="1"/>
    <col min="13327" max="13569" width="9.109375" style="2023"/>
    <col min="13570" max="13570" width="5.33203125" style="2023" customWidth="1"/>
    <col min="13571" max="13571" width="56.44140625" style="2023" customWidth="1"/>
    <col min="13572" max="13572" width="10.33203125" style="2023" customWidth="1"/>
    <col min="13573" max="13579" width="10.6640625" style="2023" customWidth="1"/>
    <col min="13580" max="13580" width="9.109375" style="2023"/>
    <col min="13581" max="13581" width="11.33203125" style="2023" bestFit="1" customWidth="1"/>
    <col min="13582" max="13582" width="9.6640625" style="2023" bestFit="1" customWidth="1"/>
    <col min="13583" max="13825" width="9.109375" style="2023"/>
    <col min="13826" max="13826" width="5.33203125" style="2023" customWidth="1"/>
    <col min="13827" max="13827" width="56.44140625" style="2023" customWidth="1"/>
    <col min="13828" max="13828" width="10.33203125" style="2023" customWidth="1"/>
    <col min="13829" max="13835" width="10.6640625" style="2023" customWidth="1"/>
    <col min="13836" max="13836" width="9.109375" style="2023"/>
    <col min="13837" max="13837" width="11.33203125" style="2023" bestFit="1" customWidth="1"/>
    <col min="13838" max="13838" width="9.6640625" style="2023" bestFit="1" customWidth="1"/>
    <col min="13839" max="14081" width="9.109375" style="2023"/>
    <col min="14082" max="14082" width="5.33203125" style="2023" customWidth="1"/>
    <col min="14083" max="14083" width="56.44140625" style="2023" customWidth="1"/>
    <col min="14084" max="14084" width="10.33203125" style="2023" customWidth="1"/>
    <col min="14085" max="14091" width="10.6640625" style="2023" customWidth="1"/>
    <col min="14092" max="14092" width="9.109375" style="2023"/>
    <col min="14093" max="14093" width="11.33203125" style="2023" bestFit="1" customWidth="1"/>
    <col min="14094" max="14094" width="9.6640625" style="2023" bestFit="1" customWidth="1"/>
    <col min="14095" max="14337" width="9.109375" style="2023"/>
    <col min="14338" max="14338" width="5.33203125" style="2023" customWidth="1"/>
    <col min="14339" max="14339" width="56.44140625" style="2023" customWidth="1"/>
    <col min="14340" max="14340" width="10.33203125" style="2023" customWidth="1"/>
    <col min="14341" max="14347" width="10.6640625" style="2023" customWidth="1"/>
    <col min="14348" max="14348" width="9.109375" style="2023"/>
    <col min="14349" max="14349" width="11.33203125" style="2023" bestFit="1" customWidth="1"/>
    <col min="14350" max="14350" width="9.6640625" style="2023" bestFit="1" customWidth="1"/>
    <col min="14351" max="14593" width="9.109375" style="2023"/>
    <col min="14594" max="14594" width="5.33203125" style="2023" customWidth="1"/>
    <col min="14595" max="14595" width="56.44140625" style="2023" customWidth="1"/>
    <col min="14596" max="14596" width="10.33203125" style="2023" customWidth="1"/>
    <col min="14597" max="14603" width="10.6640625" style="2023" customWidth="1"/>
    <col min="14604" max="14604" width="9.109375" style="2023"/>
    <col min="14605" max="14605" width="11.33203125" style="2023" bestFit="1" customWidth="1"/>
    <col min="14606" max="14606" width="9.6640625" style="2023" bestFit="1" customWidth="1"/>
    <col min="14607" max="14849" width="9.109375" style="2023"/>
    <col min="14850" max="14850" width="5.33203125" style="2023" customWidth="1"/>
    <col min="14851" max="14851" width="56.44140625" style="2023" customWidth="1"/>
    <col min="14852" max="14852" width="10.33203125" style="2023" customWidth="1"/>
    <col min="14853" max="14859" width="10.6640625" style="2023" customWidth="1"/>
    <col min="14860" max="14860" width="9.109375" style="2023"/>
    <col min="14861" max="14861" width="11.33203125" style="2023" bestFit="1" customWidth="1"/>
    <col min="14862" max="14862" width="9.6640625" style="2023" bestFit="1" customWidth="1"/>
    <col min="14863" max="15105" width="9.109375" style="2023"/>
    <col min="15106" max="15106" width="5.33203125" style="2023" customWidth="1"/>
    <col min="15107" max="15107" width="56.44140625" style="2023" customWidth="1"/>
    <col min="15108" max="15108" width="10.33203125" style="2023" customWidth="1"/>
    <col min="15109" max="15115" width="10.6640625" style="2023" customWidth="1"/>
    <col min="15116" max="15116" width="9.109375" style="2023"/>
    <col min="15117" max="15117" width="11.33203125" style="2023" bestFit="1" customWidth="1"/>
    <col min="15118" max="15118" width="9.6640625" style="2023" bestFit="1" customWidth="1"/>
    <col min="15119" max="15361" width="9.109375" style="2023"/>
    <col min="15362" max="15362" width="5.33203125" style="2023" customWidth="1"/>
    <col min="15363" max="15363" width="56.44140625" style="2023" customWidth="1"/>
    <col min="15364" max="15364" width="10.33203125" style="2023" customWidth="1"/>
    <col min="15365" max="15371" width="10.6640625" style="2023" customWidth="1"/>
    <col min="15372" max="15372" width="9.109375" style="2023"/>
    <col min="15373" max="15373" width="11.33203125" style="2023" bestFit="1" customWidth="1"/>
    <col min="15374" max="15374" width="9.6640625" style="2023" bestFit="1" customWidth="1"/>
    <col min="15375" max="15617" width="9.109375" style="2023"/>
    <col min="15618" max="15618" width="5.33203125" style="2023" customWidth="1"/>
    <col min="15619" max="15619" width="56.44140625" style="2023" customWidth="1"/>
    <col min="15620" max="15620" width="10.33203125" style="2023" customWidth="1"/>
    <col min="15621" max="15627" width="10.6640625" style="2023" customWidth="1"/>
    <col min="15628" max="15628" width="9.109375" style="2023"/>
    <col min="15629" max="15629" width="11.33203125" style="2023" bestFit="1" customWidth="1"/>
    <col min="15630" max="15630" width="9.6640625" style="2023" bestFit="1" customWidth="1"/>
    <col min="15631" max="15873" width="9.109375" style="2023"/>
    <col min="15874" max="15874" width="5.33203125" style="2023" customWidth="1"/>
    <col min="15875" max="15875" width="56.44140625" style="2023" customWidth="1"/>
    <col min="15876" max="15876" width="10.33203125" style="2023" customWidth="1"/>
    <col min="15877" max="15883" width="10.6640625" style="2023" customWidth="1"/>
    <col min="15884" max="15884" width="9.109375" style="2023"/>
    <col min="15885" max="15885" width="11.33203125" style="2023" bestFit="1" customWidth="1"/>
    <col min="15886" max="15886" width="9.6640625" style="2023" bestFit="1" customWidth="1"/>
    <col min="15887" max="16129" width="9.109375" style="2023"/>
    <col min="16130" max="16130" width="5.33203125" style="2023" customWidth="1"/>
    <col min="16131" max="16131" width="56.44140625" style="2023" customWidth="1"/>
    <col min="16132" max="16132" width="10.33203125" style="2023" customWidth="1"/>
    <col min="16133" max="16139" width="10.6640625" style="2023" customWidth="1"/>
    <col min="16140" max="16140" width="9.109375" style="2023"/>
    <col min="16141" max="16141" width="11.33203125" style="2023" bestFit="1" customWidth="1"/>
    <col min="16142" max="16142" width="9.6640625" style="2023" bestFit="1" customWidth="1"/>
    <col min="16143" max="16384" width="9.109375" style="2023"/>
  </cols>
  <sheetData>
    <row r="1" spans="1:21" ht="19.5" customHeight="1" thickBot="1">
      <c r="A1" s="5009" t="str">
        <f>+'1. Обща информация'!B40</f>
        <v>Фиксиран курс на лева към 1 евро</v>
      </c>
      <c r="B1" s="5009"/>
      <c r="C1" s="5010">
        <f>+'1. Обща информация'!$C$40</f>
        <v>1.95583</v>
      </c>
      <c r="D1" s="5010"/>
      <c r="E1" s="2024"/>
      <c r="F1" s="2024"/>
      <c r="G1" s="2024"/>
      <c r="H1" s="2024"/>
      <c r="I1" s="2024"/>
      <c r="J1" s="2024" t="s">
        <v>1048</v>
      </c>
      <c r="K1" s="2024"/>
    </row>
    <row r="2" spans="1:21" ht="19.5" customHeight="1">
      <c r="A2" s="5254" t="s">
        <v>1401</v>
      </c>
      <c r="B2" s="5254"/>
      <c r="C2" s="5254"/>
      <c r="D2" s="5254"/>
      <c r="E2" s="5254"/>
      <c r="F2" s="5254"/>
      <c r="G2" s="5254"/>
      <c r="H2" s="5254"/>
      <c r="I2" s="5254"/>
      <c r="J2" s="5254"/>
      <c r="K2" s="5254"/>
    </row>
    <row r="3" spans="1:21" ht="17.399999999999999">
      <c r="A3" s="5254" t="s">
        <v>1741</v>
      </c>
      <c r="B3" s="5254"/>
      <c r="C3" s="5254"/>
      <c r="D3" s="5254"/>
      <c r="E3" s="5254"/>
      <c r="F3" s="5254"/>
      <c r="G3" s="5254"/>
      <c r="H3" s="5254"/>
      <c r="I3" s="5254"/>
      <c r="J3" s="5254"/>
      <c r="K3" s="5254"/>
    </row>
    <row r="4" spans="1:21" s="3845" customFormat="1" ht="19.5" customHeight="1">
      <c r="A4" s="5243" t="str">
        <f>'1. Обща информация'!A4:D4</f>
        <v>на "В И К" АД, гр. Ловеч</v>
      </c>
      <c r="B4" s="5243"/>
      <c r="C4" s="5243"/>
      <c r="D4" s="5243"/>
      <c r="E4" s="5243"/>
      <c r="F4" s="5243"/>
      <c r="G4" s="5243"/>
      <c r="H4" s="5243"/>
      <c r="I4" s="5243"/>
      <c r="J4" s="5243"/>
      <c r="K4" s="5243"/>
    </row>
    <row r="5" spans="1:21" s="3845" customFormat="1" ht="19.5" customHeight="1">
      <c r="A5" s="5243" t="str">
        <f>'1. Обща информация'!A5:D5</f>
        <v>ЕИК по БУЛСТАТ: 110549443</v>
      </c>
      <c r="B5" s="5243"/>
      <c r="C5" s="5243"/>
      <c r="D5" s="5243"/>
      <c r="E5" s="5243"/>
      <c r="F5" s="5243"/>
      <c r="G5" s="5243"/>
      <c r="H5" s="5243"/>
      <c r="I5" s="5243"/>
      <c r="J5" s="5243"/>
      <c r="K5" s="5243"/>
    </row>
    <row r="6" spans="1:21" s="3845" customFormat="1" ht="15.75" customHeight="1" thickBot="1">
      <c r="A6" s="2025"/>
      <c r="B6" s="2025"/>
      <c r="C6" s="2025"/>
      <c r="D6" s="2025"/>
      <c r="E6" s="2025"/>
      <c r="F6" s="2025"/>
      <c r="G6" s="2025"/>
      <c r="H6" s="2025"/>
      <c r="I6" s="2025"/>
      <c r="J6" s="2025"/>
      <c r="K6" s="2025"/>
    </row>
    <row r="7" spans="1:21" s="2047" customFormat="1" ht="12" customHeight="1">
      <c r="A7" s="5244" t="s">
        <v>1</v>
      </c>
      <c r="B7" s="5246" t="s">
        <v>87</v>
      </c>
      <c r="C7" s="5248" t="s">
        <v>166</v>
      </c>
      <c r="D7" s="5250" t="str">
        <f>'Приложение '!$C12</f>
        <v>2024 г.</v>
      </c>
      <c r="E7" s="5250" t="str">
        <f>CONCATENATE(LEFT(F7,4)-1, " г.")</f>
        <v>2025 г.</v>
      </c>
      <c r="F7" s="5250" t="str">
        <f>'Приложение '!$C13</f>
        <v>2026 г.</v>
      </c>
      <c r="G7" s="5250" t="str">
        <f>'Приложение '!$C14</f>
        <v>2027 г.</v>
      </c>
      <c r="H7" s="5250" t="str">
        <f>'Приложение '!$C15</f>
        <v>2028 г.</v>
      </c>
      <c r="I7" s="5250" t="str">
        <f>'Приложение '!$C16</f>
        <v>2029 г.</v>
      </c>
      <c r="J7" s="5250" t="str">
        <f>'Приложение '!$C17</f>
        <v>2030 г.</v>
      </c>
      <c r="K7" s="5250" t="str">
        <f>'Приложение '!$C18</f>
        <v>2031 г.</v>
      </c>
      <c r="L7" s="4488"/>
      <c r="M7" s="5252" t="s">
        <v>166</v>
      </c>
      <c r="N7" s="5255" t="str">
        <f>+D7</f>
        <v>2024 г.</v>
      </c>
      <c r="O7" s="5255" t="str">
        <f t="shared" ref="O7:U7" si="0">+E7</f>
        <v>2025 г.</v>
      </c>
      <c r="P7" s="5255" t="str">
        <f t="shared" si="0"/>
        <v>2026 г.</v>
      </c>
      <c r="Q7" s="5255" t="str">
        <f t="shared" si="0"/>
        <v>2027 г.</v>
      </c>
      <c r="R7" s="5255" t="str">
        <f t="shared" si="0"/>
        <v>2028 г.</v>
      </c>
      <c r="S7" s="5255" t="str">
        <f t="shared" si="0"/>
        <v>2029 г.</v>
      </c>
      <c r="T7" s="5255" t="str">
        <f t="shared" si="0"/>
        <v>2030 г.</v>
      </c>
      <c r="U7" s="5255" t="str">
        <f t="shared" si="0"/>
        <v>2031 г.</v>
      </c>
    </row>
    <row r="8" spans="1:21" s="2047" customFormat="1" ht="13.5" customHeight="1" thickBot="1">
      <c r="A8" s="5245"/>
      <c r="B8" s="5247"/>
      <c r="C8" s="5249"/>
      <c r="D8" s="5251"/>
      <c r="E8" s="5251"/>
      <c r="F8" s="5251"/>
      <c r="G8" s="5251"/>
      <c r="H8" s="5251"/>
      <c r="I8" s="5251"/>
      <c r="J8" s="5251"/>
      <c r="K8" s="5251"/>
      <c r="L8" s="4488"/>
      <c r="M8" s="5253"/>
      <c r="N8" s="5256"/>
      <c r="O8" s="5256"/>
      <c r="P8" s="5256"/>
      <c r="Q8" s="5256"/>
      <c r="R8" s="5256"/>
      <c r="S8" s="5256"/>
      <c r="T8" s="5256"/>
      <c r="U8" s="5256"/>
    </row>
    <row r="9" spans="1:21" s="2047" customFormat="1">
      <c r="A9" s="49" t="s">
        <v>141</v>
      </c>
      <c r="B9" s="50" t="s">
        <v>1000</v>
      </c>
      <c r="C9" s="2026" t="s">
        <v>595</v>
      </c>
      <c r="D9" s="4109">
        <f>SUM(D10:D12)</f>
        <v>347.7</v>
      </c>
      <c r="E9" s="4117">
        <f t="shared" ref="E9:K9" si="1">SUM(E10:E12)</f>
        <v>413.93</v>
      </c>
      <c r="F9" s="4117">
        <f t="shared" si="1"/>
        <v>325.49</v>
      </c>
      <c r="G9" s="4117">
        <f t="shared" si="1"/>
        <v>326</v>
      </c>
      <c r="H9" s="4112">
        <f t="shared" si="1"/>
        <v>331</v>
      </c>
      <c r="I9" s="313">
        <f t="shared" si="1"/>
        <v>331</v>
      </c>
      <c r="J9" s="313">
        <f t="shared" si="1"/>
        <v>331</v>
      </c>
      <c r="K9" s="313">
        <f t="shared" si="1"/>
        <v>331</v>
      </c>
      <c r="L9" s="4488"/>
      <c r="M9" s="3846"/>
    </row>
    <row r="10" spans="1:21" s="2047" customFormat="1" ht="24">
      <c r="A10" s="51" t="s">
        <v>90</v>
      </c>
      <c r="B10" s="2027" t="str">
        <f>+"Налични утайки в началото на годината, които са произведени преди "&amp;D7</f>
        <v>Налични утайки в началото на годината, които са произведени преди 2024 г.</v>
      </c>
      <c r="C10" s="2028" t="s">
        <v>595</v>
      </c>
      <c r="D10" s="253">
        <v>44.99</v>
      </c>
      <c r="E10" s="314">
        <f t="shared" ref="E10:G11" si="2">IF(D25&lt;0,"error",D25)</f>
        <v>0</v>
      </c>
      <c r="F10" s="314">
        <f t="shared" si="2"/>
        <v>0</v>
      </c>
      <c r="G10" s="314">
        <f t="shared" si="2"/>
        <v>0</v>
      </c>
      <c r="H10" s="4108">
        <f t="shared" ref="H10:K11" si="3">IF(G25&lt;0,"error",G25)</f>
        <v>0</v>
      </c>
      <c r="I10" s="314">
        <f t="shared" si="3"/>
        <v>0</v>
      </c>
      <c r="J10" s="315">
        <f t="shared" si="3"/>
        <v>0</v>
      </c>
      <c r="K10" s="314">
        <f t="shared" si="3"/>
        <v>0</v>
      </c>
      <c r="L10" s="4488"/>
    </row>
    <row r="11" spans="1:21" s="2047" customFormat="1" ht="24">
      <c r="A11" s="51" t="s">
        <v>91</v>
      </c>
      <c r="B11" s="2027" t="str">
        <f>+"Налични утайки в началото на годината, които са произведени през периода " &amp;D7&amp;" - "&amp;K7</f>
        <v>Налични утайки в началото на годината, които са произведени през периода 2024 г. - 2031 г.</v>
      </c>
      <c r="C11" s="2028" t="s">
        <v>595</v>
      </c>
      <c r="D11" s="4107"/>
      <c r="E11" s="314">
        <f t="shared" si="2"/>
        <v>47.069999999999972</v>
      </c>
      <c r="F11" s="314">
        <f t="shared" si="2"/>
        <v>35.490000000000023</v>
      </c>
      <c r="G11" s="1455">
        <f t="shared" si="2"/>
        <v>36</v>
      </c>
      <c r="H11" s="4108">
        <f t="shared" si="3"/>
        <v>41</v>
      </c>
      <c r="I11" s="314">
        <f t="shared" si="3"/>
        <v>41</v>
      </c>
      <c r="J11" s="315">
        <f t="shared" si="3"/>
        <v>41</v>
      </c>
      <c r="K11" s="314">
        <f t="shared" si="3"/>
        <v>41</v>
      </c>
      <c r="L11" s="4488"/>
    </row>
    <row r="12" spans="1:21" s="2047" customFormat="1">
      <c r="A12" s="51" t="s">
        <v>93</v>
      </c>
      <c r="B12" s="52" t="s">
        <v>596</v>
      </c>
      <c r="C12" s="2028" t="s">
        <v>595</v>
      </c>
      <c r="D12" s="62">
        <v>302.70999999999998</v>
      </c>
      <c r="E12" s="63">
        <v>366.86</v>
      </c>
      <c r="F12" s="63">
        <v>290</v>
      </c>
      <c r="G12" s="63">
        <v>290</v>
      </c>
      <c r="H12" s="4113">
        <v>290</v>
      </c>
      <c r="I12" s="63">
        <v>290</v>
      </c>
      <c r="J12" s="63">
        <v>290</v>
      </c>
      <c r="K12" s="63">
        <v>290</v>
      </c>
      <c r="L12" s="4488"/>
    </row>
    <row r="13" spans="1:21" s="2047" customFormat="1">
      <c r="A13" s="51" t="s">
        <v>145</v>
      </c>
      <c r="B13" s="52" t="s">
        <v>1034</v>
      </c>
      <c r="C13" s="2028" t="s">
        <v>170</v>
      </c>
      <c r="D13" s="251">
        <v>0.77810000000000001</v>
      </c>
      <c r="E13" s="252">
        <v>0.79420000000000002</v>
      </c>
      <c r="F13" s="252">
        <v>0.78</v>
      </c>
      <c r="G13" s="252">
        <v>0.78</v>
      </c>
      <c r="H13" s="4114">
        <v>0.78</v>
      </c>
      <c r="I13" s="252">
        <v>0.78</v>
      </c>
      <c r="J13" s="252">
        <v>0.78</v>
      </c>
      <c r="K13" s="252">
        <v>0.78</v>
      </c>
      <c r="L13" s="4488"/>
    </row>
    <row r="14" spans="1:21" s="2047" customFormat="1" ht="45.6">
      <c r="A14" s="49" t="s">
        <v>95</v>
      </c>
      <c r="B14" s="53" t="s">
        <v>629</v>
      </c>
      <c r="C14" s="4119" t="s">
        <v>595</v>
      </c>
      <c r="D14" s="4120">
        <f>SUM(D15:D17)</f>
        <v>295.7</v>
      </c>
      <c r="E14" s="313">
        <f t="shared" ref="E14:K14" si="4">SUM(E15:E17)</f>
        <v>374.52</v>
      </c>
      <c r="F14" s="313">
        <f t="shared" si="4"/>
        <v>284.49</v>
      </c>
      <c r="G14" s="313">
        <f t="shared" si="4"/>
        <v>280</v>
      </c>
      <c r="H14" s="4112">
        <f t="shared" si="4"/>
        <v>285</v>
      </c>
      <c r="I14" s="313">
        <f t="shared" si="4"/>
        <v>285</v>
      </c>
      <c r="J14" s="313">
        <f t="shared" si="4"/>
        <v>285</v>
      </c>
      <c r="K14" s="313">
        <f t="shared" si="4"/>
        <v>287</v>
      </c>
      <c r="L14" s="4488"/>
      <c r="M14" s="3846"/>
    </row>
    <row r="15" spans="1:21" s="2047" customFormat="1">
      <c r="A15" s="51" t="s">
        <v>96</v>
      </c>
      <c r="B15" s="52" t="str">
        <f>+"Оползотворени утайки, произведени преди "&amp;D7</f>
        <v>Оползотворени утайки, произведени преди 2024 г.</v>
      </c>
      <c r="C15" s="2029" t="s">
        <v>595</v>
      </c>
      <c r="D15" s="62">
        <v>44.99</v>
      </c>
      <c r="E15" s="63">
        <v>0</v>
      </c>
      <c r="F15" s="63">
        <v>0</v>
      </c>
      <c r="G15" s="63">
        <v>0</v>
      </c>
      <c r="H15" s="4113">
        <v>0</v>
      </c>
      <c r="I15" s="63">
        <v>0</v>
      </c>
      <c r="J15" s="64">
        <v>0</v>
      </c>
      <c r="K15" s="63">
        <v>0</v>
      </c>
      <c r="L15" s="4488"/>
      <c r="M15" s="3847"/>
    </row>
    <row r="16" spans="1:21" s="2047" customFormat="1">
      <c r="A16" s="51" t="s">
        <v>97</v>
      </c>
      <c r="B16" s="52" t="s">
        <v>616</v>
      </c>
      <c r="C16" s="2029" t="s">
        <v>595</v>
      </c>
      <c r="D16" s="4107"/>
      <c r="E16" s="63">
        <v>32</v>
      </c>
      <c r="F16" s="63">
        <v>35.49</v>
      </c>
      <c r="G16" s="63">
        <v>36</v>
      </c>
      <c r="H16" s="4113">
        <v>41</v>
      </c>
      <c r="I16" s="63">
        <v>41</v>
      </c>
      <c r="J16" s="64">
        <v>41</v>
      </c>
      <c r="K16" s="63">
        <v>41</v>
      </c>
      <c r="L16" s="4488"/>
      <c r="M16" s="3847"/>
    </row>
    <row r="17" spans="1:21" s="2047" customFormat="1">
      <c r="A17" s="51" t="s">
        <v>169</v>
      </c>
      <c r="B17" s="52" t="s">
        <v>617</v>
      </c>
      <c r="C17" s="2029" t="s">
        <v>595</v>
      </c>
      <c r="D17" s="62">
        <v>250.71</v>
      </c>
      <c r="E17" s="63">
        <v>342.52</v>
      </c>
      <c r="F17" s="63">
        <v>249</v>
      </c>
      <c r="G17" s="63">
        <v>244</v>
      </c>
      <c r="H17" s="4113">
        <v>244</v>
      </c>
      <c r="I17" s="63">
        <v>244</v>
      </c>
      <c r="J17" s="64">
        <v>244</v>
      </c>
      <c r="K17" s="63">
        <v>246</v>
      </c>
      <c r="L17" s="4488"/>
      <c r="M17" s="3847"/>
    </row>
    <row r="18" spans="1:21" s="2047" customFormat="1">
      <c r="A18" s="51" t="s">
        <v>242</v>
      </c>
      <c r="B18" s="52" t="s">
        <v>1035</v>
      </c>
      <c r="C18" s="2028" t="s">
        <v>170</v>
      </c>
      <c r="D18" s="251">
        <v>0.77949999999999997</v>
      </c>
      <c r="E18" s="252">
        <v>0.81</v>
      </c>
      <c r="F18" s="252">
        <v>0.78</v>
      </c>
      <c r="G18" s="252">
        <v>0.78</v>
      </c>
      <c r="H18" s="4114">
        <v>0.78</v>
      </c>
      <c r="I18" s="252">
        <v>0.78</v>
      </c>
      <c r="J18" s="252">
        <v>0.78</v>
      </c>
      <c r="K18" s="252">
        <v>0.78</v>
      </c>
      <c r="L18" s="4488"/>
      <c r="M18" s="3847"/>
    </row>
    <row r="19" spans="1:21" s="2047" customFormat="1">
      <c r="A19" s="49" t="s">
        <v>99</v>
      </c>
      <c r="B19" s="50" t="s">
        <v>597</v>
      </c>
      <c r="C19" s="2026" t="s">
        <v>595</v>
      </c>
      <c r="D19" s="4109">
        <f>SUM(D20:D22)</f>
        <v>4.93</v>
      </c>
      <c r="E19" s="313">
        <f t="shared" ref="E19:K19" si="5">SUM(E20:E22)</f>
        <v>3.92</v>
      </c>
      <c r="F19" s="313">
        <f t="shared" si="5"/>
        <v>5</v>
      </c>
      <c r="G19" s="313">
        <f t="shared" si="5"/>
        <v>5</v>
      </c>
      <c r="H19" s="4112">
        <f t="shared" si="5"/>
        <v>5</v>
      </c>
      <c r="I19" s="313">
        <f t="shared" si="5"/>
        <v>5</v>
      </c>
      <c r="J19" s="313">
        <f t="shared" si="5"/>
        <v>5</v>
      </c>
      <c r="K19" s="313">
        <f t="shared" si="5"/>
        <v>5</v>
      </c>
      <c r="L19" s="4488"/>
      <c r="M19" s="3846"/>
    </row>
    <row r="20" spans="1:21" s="2047" customFormat="1">
      <c r="A20" s="54" t="s">
        <v>171</v>
      </c>
      <c r="B20" s="55" t="str">
        <f>+"Депонирани утайки, произведени преди "&amp;D7</f>
        <v>Депонирани утайки, произведени преди 2024 г.</v>
      </c>
      <c r="C20" s="2029" t="s">
        <v>595</v>
      </c>
      <c r="D20" s="62">
        <v>0</v>
      </c>
      <c r="E20" s="63">
        <v>0</v>
      </c>
      <c r="F20" s="63">
        <v>0</v>
      </c>
      <c r="G20" s="63">
        <v>0</v>
      </c>
      <c r="H20" s="4113">
        <v>0</v>
      </c>
      <c r="I20" s="63">
        <v>0</v>
      </c>
      <c r="J20" s="64">
        <v>0</v>
      </c>
      <c r="K20" s="63">
        <v>0</v>
      </c>
      <c r="L20" s="4488"/>
      <c r="M20" s="3846"/>
    </row>
    <row r="21" spans="1:21" s="2047" customFormat="1">
      <c r="A21" s="54" t="s">
        <v>172</v>
      </c>
      <c r="B21" s="55" t="s">
        <v>618</v>
      </c>
      <c r="C21" s="2029" t="s">
        <v>595</v>
      </c>
      <c r="D21" s="4107"/>
      <c r="E21" s="63">
        <v>0</v>
      </c>
      <c r="F21" s="63">
        <v>0</v>
      </c>
      <c r="G21" s="63">
        <v>0</v>
      </c>
      <c r="H21" s="4113">
        <v>0</v>
      </c>
      <c r="I21" s="63">
        <v>0</v>
      </c>
      <c r="J21" s="64">
        <v>0</v>
      </c>
      <c r="K21" s="63">
        <v>0</v>
      </c>
      <c r="L21" s="4488"/>
      <c r="M21" s="3846"/>
    </row>
    <row r="22" spans="1:21" s="2047" customFormat="1">
      <c r="A22" s="54" t="s">
        <v>619</v>
      </c>
      <c r="B22" s="55" t="s">
        <v>620</v>
      </c>
      <c r="C22" s="2029" t="s">
        <v>595</v>
      </c>
      <c r="D22" s="62">
        <v>4.93</v>
      </c>
      <c r="E22" s="63">
        <v>3.92</v>
      </c>
      <c r="F22" s="63">
        <v>5</v>
      </c>
      <c r="G22" s="63">
        <v>5</v>
      </c>
      <c r="H22" s="4113">
        <v>5</v>
      </c>
      <c r="I22" s="63">
        <v>5</v>
      </c>
      <c r="J22" s="63">
        <v>5</v>
      </c>
      <c r="K22" s="63">
        <v>5</v>
      </c>
      <c r="L22" s="4488"/>
      <c r="M22" s="3846"/>
    </row>
    <row r="23" spans="1:21" s="2047" customFormat="1">
      <c r="A23" s="51" t="s">
        <v>1002</v>
      </c>
      <c r="B23" s="52" t="s">
        <v>1036</v>
      </c>
      <c r="C23" s="2028" t="s">
        <v>170</v>
      </c>
      <c r="D23" s="251">
        <v>0.77590000000000003</v>
      </c>
      <c r="E23" s="252">
        <v>0.78</v>
      </c>
      <c r="F23" s="252">
        <v>0.78</v>
      </c>
      <c r="G23" s="252">
        <v>0.78</v>
      </c>
      <c r="H23" s="4114">
        <v>0.78</v>
      </c>
      <c r="I23" s="252">
        <v>0.78</v>
      </c>
      <c r="J23" s="252">
        <v>0.78</v>
      </c>
      <c r="K23" s="252">
        <v>0.78</v>
      </c>
      <c r="L23" s="4488"/>
      <c r="M23" s="3846"/>
    </row>
    <row r="24" spans="1:21" s="2047" customFormat="1">
      <c r="A24" s="49" t="s">
        <v>100</v>
      </c>
      <c r="B24" s="50" t="s">
        <v>598</v>
      </c>
      <c r="C24" s="2026" t="s">
        <v>595</v>
      </c>
      <c r="D24" s="4109">
        <f t="shared" ref="D24:K24" si="6">IF(D9-D14-D19&gt;=0,D9-D14-D19,0)</f>
        <v>47.07</v>
      </c>
      <c r="E24" s="313">
        <f t="shared" ref="E24" si="7">IF(E9-E14-E19&gt;=0,E9-E14-E19,0)</f>
        <v>35.490000000000023</v>
      </c>
      <c r="F24" s="313">
        <f t="shared" si="6"/>
        <v>36</v>
      </c>
      <c r="G24" s="313">
        <f t="shared" si="6"/>
        <v>41</v>
      </c>
      <c r="H24" s="4112">
        <f t="shared" si="6"/>
        <v>41</v>
      </c>
      <c r="I24" s="313">
        <f t="shared" si="6"/>
        <v>41</v>
      </c>
      <c r="J24" s="313">
        <f t="shared" si="6"/>
        <v>41</v>
      </c>
      <c r="K24" s="313">
        <f t="shared" si="6"/>
        <v>39</v>
      </c>
      <c r="L24" s="4488"/>
      <c r="M24" s="3846"/>
    </row>
    <row r="25" spans="1:21" s="2047" customFormat="1">
      <c r="A25" s="54" t="s">
        <v>101</v>
      </c>
      <c r="B25" s="55" t="str">
        <f>+"Остатък утайки, които са произведени преди "&amp;D7</f>
        <v>Остатък утайки, които са произведени преди 2024 г.</v>
      </c>
      <c r="C25" s="2029" t="s">
        <v>595</v>
      </c>
      <c r="D25" s="316">
        <f>D10-D15-D20</f>
        <v>0</v>
      </c>
      <c r="E25" s="314">
        <f>E10-E15-E20</f>
        <v>0</v>
      </c>
      <c r="F25" s="314">
        <f>F10-F15-F20</f>
        <v>0</v>
      </c>
      <c r="G25" s="314">
        <f t="shared" ref="G25:K25" si="8">G10-G15-G20</f>
        <v>0</v>
      </c>
      <c r="H25" s="4108">
        <f t="shared" si="8"/>
        <v>0</v>
      </c>
      <c r="I25" s="314">
        <f t="shared" si="8"/>
        <v>0</v>
      </c>
      <c r="J25" s="315">
        <f t="shared" si="8"/>
        <v>0</v>
      </c>
      <c r="K25" s="314">
        <f t="shared" si="8"/>
        <v>0</v>
      </c>
      <c r="L25" s="4488"/>
      <c r="M25" s="3846"/>
    </row>
    <row r="26" spans="1:21" s="2047" customFormat="1" ht="13.8" thickBot="1">
      <c r="A26" s="54" t="s">
        <v>102</v>
      </c>
      <c r="B26" s="55" t="str">
        <f>+"Остатък утайки, произведени през периода "&amp;D7&amp;" - "&amp;K7</f>
        <v>Остатък утайки, произведени през периода 2024 г. - 2031 г.</v>
      </c>
      <c r="C26" s="2029" t="s">
        <v>595</v>
      </c>
      <c r="D26" s="316">
        <f>D11+D12-D16-D21-D17-D22</f>
        <v>47.069999999999972</v>
      </c>
      <c r="E26" s="314">
        <f t="shared" ref="E26" si="9">E11+E12-E16-E21-E17-E22</f>
        <v>35.490000000000023</v>
      </c>
      <c r="F26" s="314">
        <f t="shared" ref="F26:K26" si="10">F11+F12-F16-F21-F17-F22</f>
        <v>36</v>
      </c>
      <c r="G26" s="314">
        <f t="shared" si="10"/>
        <v>41</v>
      </c>
      <c r="H26" s="4108">
        <f t="shared" si="10"/>
        <v>41</v>
      </c>
      <c r="I26" s="314">
        <f t="shared" si="10"/>
        <v>41</v>
      </c>
      <c r="J26" s="314">
        <f t="shared" si="10"/>
        <v>41</v>
      </c>
      <c r="K26" s="314">
        <f t="shared" si="10"/>
        <v>39</v>
      </c>
      <c r="L26" s="4488"/>
      <c r="M26" s="3846"/>
    </row>
    <row r="27" spans="1:21" s="2047" customFormat="1" ht="13.8" thickBot="1">
      <c r="A27" s="49" t="s">
        <v>104</v>
      </c>
      <c r="B27" s="50" t="s">
        <v>621</v>
      </c>
      <c r="C27" s="2026" t="s">
        <v>295</v>
      </c>
      <c r="D27" s="4110">
        <f>SUM(D28:D31)</f>
        <v>94.96493000000001</v>
      </c>
      <c r="E27" s="317">
        <f t="shared" ref="E27" si="11">SUM(E28:E31)</f>
        <v>140.339</v>
      </c>
      <c r="F27" s="317">
        <f t="shared" ref="F27:K27" si="12">SUM(F28:F31)</f>
        <v>93.628</v>
      </c>
      <c r="G27" s="317">
        <f t="shared" si="12"/>
        <v>92.158000000000001</v>
      </c>
      <c r="H27" s="4115">
        <f t="shared" si="12"/>
        <v>93.768000000000001</v>
      </c>
      <c r="I27" s="317">
        <f t="shared" si="12"/>
        <v>93.768000000000001</v>
      </c>
      <c r="J27" s="317">
        <f t="shared" si="12"/>
        <v>93.768000000000001</v>
      </c>
      <c r="K27" s="317">
        <f t="shared" si="12"/>
        <v>94.417999999999992</v>
      </c>
      <c r="L27" s="4488"/>
      <c r="M27" s="4491" t="s">
        <v>1875</v>
      </c>
      <c r="N27" s="4504">
        <f>IFERROR(D27/$C$1,0)</f>
        <v>48.554797707367207</v>
      </c>
      <c r="O27" s="4504">
        <f t="shared" ref="O27:U32" si="13">IFERROR(E27/$C$1,0)</f>
        <v>71.75419131519611</v>
      </c>
      <c r="P27" s="4504">
        <f t="shared" si="13"/>
        <v>47.871236252639548</v>
      </c>
      <c r="Q27" s="4504">
        <f t="shared" si="13"/>
        <v>47.119637187281107</v>
      </c>
      <c r="R27" s="4504">
        <f t="shared" si="13"/>
        <v>47.942817116007014</v>
      </c>
      <c r="S27" s="4504">
        <f t="shared" si="13"/>
        <v>47.942817116007014</v>
      </c>
      <c r="T27" s="4504">
        <f t="shared" si="13"/>
        <v>47.942817116007014</v>
      </c>
      <c r="U27" s="4504">
        <f t="shared" si="13"/>
        <v>48.275156838784554</v>
      </c>
    </row>
    <row r="28" spans="1:21" s="2047" customFormat="1" ht="13.8" thickBot="1">
      <c r="A28" s="54" t="s">
        <v>105</v>
      </c>
      <c r="B28" s="55" t="s">
        <v>723</v>
      </c>
      <c r="C28" s="2029" t="s">
        <v>295</v>
      </c>
      <c r="D28" s="62">
        <v>0</v>
      </c>
      <c r="E28" s="63">
        <v>0</v>
      </c>
      <c r="F28" s="63">
        <v>1.44</v>
      </c>
      <c r="G28" s="63">
        <v>1.44</v>
      </c>
      <c r="H28" s="4113">
        <v>1.44</v>
      </c>
      <c r="I28" s="63">
        <v>1.44</v>
      </c>
      <c r="J28" s="64">
        <v>1.44</v>
      </c>
      <c r="K28" s="63">
        <v>1.44</v>
      </c>
      <c r="L28" s="4488"/>
      <c r="M28" s="4491" t="s">
        <v>1875</v>
      </c>
      <c r="N28" s="4504">
        <f t="shared" ref="N28:N32" si="14">IFERROR(D28/$C$1,0)</f>
        <v>0</v>
      </c>
      <c r="O28" s="4504">
        <f t="shared" si="13"/>
        <v>0</v>
      </c>
      <c r="P28" s="4504">
        <f t="shared" si="13"/>
        <v>0.73626030892255456</v>
      </c>
      <c r="Q28" s="4504">
        <f t="shared" si="13"/>
        <v>0.73626030892255456</v>
      </c>
      <c r="R28" s="4504">
        <f t="shared" si="13"/>
        <v>0.73626030892255456</v>
      </c>
      <c r="S28" s="4504">
        <f t="shared" si="13"/>
        <v>0.73626030892255456</v>
      </c>
      <c r="T28" s="4504">
        <f t="shared" si="13"/>
        <v>0.73626030892255456</v>
      </c>
      <c r="U28" s="4504">
        <f t="shared" si="13"/>
        <v>0.73626030892255456</v>
      </c>
    </row>
    <row r="29" spans="1:21" s="2047" customFormat="1" ht="13.8" thickBot="1">
      <c r="A29" s="54" t="s">
        <v>109</v>
      </c>
      <c r="B29" s="55" t="s">
        <v>724</v>
      </c>
      <c r="C29" s="2029" t="s">
        <v>295</v>
      </c>
      <c r="D29" s="62">
        <v>2.1374599999999999</v>
      </c>
      <c r="E29" s="63">
        <v>0.83899999999999997</v>
      </c>
      <c r="F29" s="63">
        <v>1.0680000000000001</v>
      </c>
      <c r="G29" s="63">
        <v>1.0680000000000001</v>
      </c>
      <c r="H29" s="4113">
        <v>1.0680000000000001</v>
      </c>
      <c r="I29" s="63">
        <v>1.0680000000000001</v>
      </c>
      <c r="J29" s="416">
        <v>1.0680000000000001</v>
      </c>
      <c r="K29" s="417">
        <v>1.0680000000000001</v>
      </c>
      <c r="L29" s="4488"/>
      <c r="M29" s="4491" t="s">
        <v>1875</v>
      </c>
      <c r="N29" s="4504">
        <f t="shared" si="14"/>
        <v>1.0928659443816691</v>
      </c>
      <c r="O29" s="4504">
        <f t="shared" si="13"/>
        <v>0.42897388832362732</v>
      </c>
      <c r="P29" s="4504">
        <f t="shared" si="13"/>
        <v>0.5460597291175614</v>
      </c>
      <c r="Q29" s="4504">
        <f t="shared" si="13"/>
        <v>0.5460597291175614</v>
      </c>
      <c r="R29" s="4504">
        <f t="shared" si="13"/>
        <v>0.5460597291175614</v>
      </c>
      <c r="S29" s="4504">
        <f t="shared" si="13"/>
        <v>0.5460597291175614</v>
      </c>
      <c r="T29" s="4504">
        <f t="shared" si="13"/>
        <v>0.5460597291175614</v>
      </c>
      <c r="U29" s="4504">
        <f t="shared" si="13"/>
        <v>0.5460597291175614</v>
      </c>
    </row>
    <row r="30" spans="1:21" s="2047" customFormat="1" ht="13.8" thickBot="1">
      <c r="A30" s="54" t="s">
        <v>83</v>
      </c>
      <c r="B30" s="55" t="s">
        <v>623</v>
      </c>
      <c r="C30" s="2029" t="s">
        <v>295</v>
      </c>
      <c r="D30" s="62">
        <v>0</v>
      </c>
      <c r="E30" s="63">
        <v>0</v>
      </c>
      <c r="F30" s="63">
        <v>0</v>
      </c>
      <c r="G30" s="63">
        <v>0</v>
      </c>
      <c r="H30" s="4113">
        <v>0</v>
      </c>
      <c r="I30" s="63">
        <v>0</v>
      </c>
      <c r="J30" s="64">
        <v>0</v>
      </c>
      <c r="K30" s="63">
        <v>0</v>
      </c>
      <c r="L30" s="4488"/>
      <c r="M30" s="4491" t="s">
        <v>1875</v>
      </c>
      <c r="N30" s="4504">
        <f t="shared" si="14"/>
        <v>0</v>
      </c>
      <c r="O30" s="4504">
        <f t="shared" si="13"/>
        <v>0</v>
      </c>
      <c r="P30" s="4504">
        <f t="shared" si="13"/>
        <v>0</v>
      </c>
      <c r="Q30" s="4504">
        <f t="shared" si="13"/>
        <v>0</v>
      </c>
      <c r="R30" s="4504">
        <f t="shared" si="13"/>
        <v>0</v>
      </c>
      <c r="S30" s="4504">
        <f t="shared" si="13"/>
        <v>0</v>
      </c>
      <c r="T30" s="4504">
        <f t="shared" si="13"/>
        <v>0</v>
      </c>
      <c r="U30" s="4504">
        <f t="shared" si="13"/>
        <v>0</v>
      </c>
    </row>
    <row r="31" spans="1:21" s="2047" customFormat="1" ht="13.8" thickBot="1">
      <c r="A31" s="54" t="s">
        <v>84</v>
      </c>
      <c r="B31" s="55" t="s">
        <v>624</v>
      </c>
      <c r="C31" s="2029" t="s">
        <v>295</v>
      </c>
      <c r="D31" s="62">
        <v>92.827470000000005</v>
      </c>
      <c r="E31" s="63">
        <v>139.5</v>
      </c>
      <c r="F31" s="63">
        <v>91.12</v>
      </c>
      <c r="G31" s="63">
        <v>89.65</v>
      </c>
      <c r="H31" s="4113">
        <v>91.26</v>
      </c>
      <c r="I31" s="63">
        <v>91.26</v>
      </c>
      <c r="J31" s="64">
        <v>91.26</v>
      </c>
      <c r="K31" s="63">
        <v>91.91</v>
      </c>
      <c r="L31" s="4488"/>
      <c r="M31" s="4491" t="s">
        <v>1875</v>
      </c>
      <c r="N31" s="4504">
        <f t="shared" si="14"/>
        <v>47.461931762985536</v>
      </c>
      <c r="O31" s="4504">
        <f t="shared" si="13"/>
        <v>71.325217426872484</v>
      </c>
      <c r="P31" s="4504">
        <f t="shared" si="13"/>
        <v>46.588916214599429</v>
      </c>
      <c r="Q31" s="4504">
        <f t="shared" si="13"/>
        <v>45.837317149240988</v>
      </c>
      <c r="R31" s="4504">
        <f t="shared" si="13"/>
        <v>46.660497077966902</v>
      </c>
      <c r="S31" s="4504">
        <f t="shared" si="13"/>
        <v>46.660497077966902</v>
      </c>
      <c r="T31" s="4504">
        <f t="shared" si="13"/>
        <v>46.660497077966902</v>
      </c>
      <c r="U31" s="4504">
        <f t="shared" si="13"/>
        <v>46.992836800744442</v>
      </c>
    </row>
    <row r="32" spans="1:21" s="2047" customFormat="1" ht="13.8" thickBot="1">
      <c r="A32" s="49" t="s">
        <v>599</v>
      </c>
      <c r="B32" s="611" t="s">
        <v>622</v>
      </c>
      <c r="C32" s="2026" t="s">
        <v>600</v>
      </c>
      <c r="D32" s="4111">
        <f t="shared" ref="D32:K32" si="15">IFERROR(D27*1000/(D14+D19),0)</f>
        <v>315.88640521571369</v>
      </c>
      <c r="E32" s="4118">
        <f t="shared" si="15"/>
        <v>370.83553535567063</v>
      </c>
      <c r="F32" s="4118">
        <f t="shared" si="15"/>
        <v>323.42395246813362</v>
      </c>
      <c r="G32" s="4118">
        <f t="shared" si="15"/>
        <v>323.36140350877196</v>
      </c>
      <c r="H32" s="4116">
        <f t="shared" si="15"/>
        <v>323.33793103448278</v>
      </c>
      <c r="I32" s="318">
        <f t="shared" si="15"/>
        <v>323.33793103448278</v>
      </c>
      <c r="J32" s="318">
        <f t="shared" si="15"/>
        <v>323.33793103448278</v>
      </c>
      <c r="K32" s="318">
        <f t="shared" si="15"/>
        <v>323.34931506849313</v>
      </c>
      <c r="L32" s="4488"/>
      <c r="M32" s="4505" t="s">
        <v>1880</v>
      </c>
      <c r="N32" s="4506">
        <f t="shared" si="14"/>
        <v>161.51015436705322</v>
      </c>
      <c r="O32" s="4506">
        <f t="shared" si="13"/>
        <v>189.60519848640763</v>
      </c>
      <c r="P32" s="4506">
        <f t="shared" si="13"/>
        <v>165.3640410813484</v>
      </c>
      <c r="Q32" s="4506">
        <f t="shared" si="13"/>
        <v>165.3320603062495</v>
      </c>
      <c r="R32" s="4506">
        <f t="shared" si="13"/>
        <v>165.32005902071387</v>
      </c>
      <c r="S32" s="4506">
        <f t="shared" si="13"/>
        <v>165.32005902071387</v>
      </c>
      <c r="T32" s="4506">
        <f t="shared" si="13"/>
        <v>165.32005902071387</v>
      </c>
      <c r="U32" s="4506">
        <f t="shared" si="13"/>
        <v>165.32587958487861</v>
      </c>
    </row>
    <row r="33" spans="1:21" s="3848" customFormat="1">
      <c r="A33" s="1522" t="s">
        <v>1117</v>
      </c>
      <c r="B33" s="871" t="s">
        <v>1118</v>
      </c>
      <c r="C33" s="2030" t="s">
        <v>1119</v>
      </c>
      <c r="D33" s="2031">
        <f>SUM(D34:D36)</f>
        <v>1566.9220369535828</v>
      </c>
      <c r="E33" s="2032">
        <f>SUM(E34:E36)</f>
        <v>2011.3216715257531</v>
      </c>
      <c r="F33" s="2032">
        <f>SUM(F34:F36)</f>
        <v>1479.5000000000002</v>
      </c>
      <c r="G33" s="2032">
        <f t="shared" ref="G33:K33" si="16">SUM(G34:G36)</f>
        <v>1481.818181818182</v>
      </c>
      <c r="H33" s="2032">
        <f t="shared" si="16"/>
        <v>1504.5454545454545</v>
      </c>
      <c r="I33" s="2032">
        <f t="shared" si="16"/>
        <v>1504.5454545454545</v>
      </c>
      <c r="J33" s="2032">
        <f t="shared" si="16"/>
        <v>1504.5454545454545</v>
      </c>
      <c r="K33" s="2031">
        <f t="shared" si="16"/>
        <v>1504.5454545454545</v>
      </c>
      <c r="L33" s="4488"/>
    </row>
    <row r="34" spans="1:21" s="3848" customFormat="1" ht="24">
      <c r="A34" s="1523" t="s">
        <v>958</v>
      </c>
      <c r="B34" s="4257" t="str">
        <f>+"Налични утайки в началото на годината, които са произведени преди "&amp;D7</f>
        <v>Налични утайки в началото на годината, които са произведени преди 2024 г.</v>
      </c>
      <c r="C34" s="2033" t="s">
        <v>1119</v>
      </c>
      <c r="D34" s="2034">
        <f>D10/(100%-D13)</f>
        <v>202.74898602974315</v>
      </c>
      <c r="E34" s="2034">
        <f t="shared" ref="E34" si="17">E10/(100%-E13)</f>
        <v>0</v>
      </c>
      <c r="F34" s="2034">
        <f t="shared" ref="F34:K34" si="18">F10/(100%-F13)</f>
        <v>0</v>
      </c>
      <c r="G34" s="2034">
        <f t="shared" si="18"/>
        <v>0</v>
      </c>
      <c r="H34" s="2034">
        <f t="shared" si="18"/>
        <v>0</v>
      </c>
      <c r="I34" s="2034">
        <f t="shared" si="18"/>
        <v>0</v>
      </c>
      <c r="J34" s="2034">
        <f t="shared" si="18"/>
        <v>0</v>
      </c>
      <c r="K34" s="2034">
        <f t="shared" si="18"/>
        <v>0</v>
      </c>
      <c r="L34" s="4488"/>
    </row>
    <row r="35" spans="1:21" s="3848" customFormat="1" ht="24">
      <c r="A35" s="1523" t="s">
        <v>959</v>
      </c>
      <c r="B35" s="4257" t="str">
        <f>+"Налични утайки в началото на годината, които са произведени през периода "&amp;D7&amp;" - "&amp;K7</f>
        <v>Налични утайки в началото на годината, които са произведени през периода 2024 г. - 2031 г.</v>
      </c>
      <c r="C35" s="2033" t="s">
        <v>1119</v>
      </c>
      <c r="D35" s="2034">
        <f>D11/(100%-D13)</f>
        <v>0</v>
      </c>
      <c r="E35" s="2034">
        <f t="shared" ref="E35" si="19">E11/(100%-E13)</f>
        <v>228.71720116618064</v>
      </c>
      <c r="F35" s="2034">
        <f t="shared" ref="F35:K35" si="20">F11/(100%-F13)</f>
        <v>161.31818181818196</v>
      </c>
      <c r="G35" s="2034">
        <f t="shared" si="20"/>
        <v>163.63636363636365</v>
      </c>
      <c r="H35" s="2034">
        <f t="shared" si="20"/>
        <v>186.36363636363637</v>
      </c>
      <c r="I35" s="2034">
        <f t="shared" si="20"/>
        <v>186.36363636363637</v>
      </c>
      <c r="J35" s="2034">
        <f t="shared" si="20"/>
        <v>186.36363636363637</v>
      </c>
      <c r="K35" s="2034">
        <f t="shared" si="20"/>
        <v>186.36363636363637</v>
      </c>
      <c r="L35" s="4488"/>
    </row>
    <row r="36" spans="1:21" s="3848" customFormat="1">
      <c r="A36" s="1523" t="s">
        <v>960</v>
      </c>
      <c r="B36" s="872" t="s">
        <v>1192</v>
      </c>
      <c r="C36" s="2033" t="s">
        <v>1119</v>
      </c>
      <c r="D36" s="2035">
        <f>D12/(100%-D13)</f>
        <v>1364.1730509238396</v>
      </c>
      <c r="E36" s="2035">
        <f t="shared" ref="E36" si="21">E12/(100%-E13)</f>
        <v>1782.6044703595726</v>
      </c>
      <c r="F36" s="2035">
        <f t="shared" ref="F36:K36" si="22">F12/(100%-F13)</f>
        <v>1318.1818181818182</v>
      </c>
      <c r="G36" s="2035">
        <f t="shared" si="22"/>
        <v>1318.1818181818182</v>
      </c>
      <c r="H36" s="2035">
        <f t="shared" si="22"/>
        <v>1318.1818181818182</v>
      </c>
      <c r="I36" s="2035">
        <f t="shared" si="22"/>
        <v>1318.1818181818182</v>
      </c>
      <c r="J36" s="2035">
        <f t="shared" si="22"/>
        <v>1318.1818181818182</v>
      </c>
      <c r="K36" s="2035">
        <f t="shared" si="22"/>
        <v>1318.1818181818182</v>
      </c>
      <c r="L36" s="4488"/>
    </row>
    <row r="37" spans="1:21" s="3848" customFormat="1">
      <c r="A37" s="1524" t="s">
        <v>1120</v>
      </c>
      <c r="B37" s="873" t="s">
        <v>1121</v>
      </c>
      <c r="C37" s="2036" t="s">
        <v>1119</v>
      </c>
      <c r="D37" s="2037">
        <f>SUM(D38:D39)</f>
        <v>1363.0421914415028</v>
      </c>
      <c r="E37" s="2038">
        <f>SUM(E38:E39)</f>
        <v>1988.9760765550243</v>
      </c>
      <c r="F37" s="2038">
        <f>SUM(F38:F39)</f>
        <v>1315.8636363636365</v>
      </c>
      <c r="G37" s="2038">
        <f t="shared" ref="G37:K37" si="23">SUM(G38:G39)</f>
        <v>1295.4545454545457</v>
      </c>
      <c r="H37" s="2038">
        <f t="shared" si="23"/>
        <v>1318.1818181818185</v>
      </c>
      <c r="I37" s="2038">
        <f t="shared" si="23"/>
        <v>1318.1818181818185</v>
      </c>
      <c r="J37" s="2038">
        <f t="shared" si="23"/>
        <v>1318.1818181818185</v>
      </c>
      <c r="K37" s="2037">
        <f t="shared" si="23"/>
        <v>1327.2727272727275</v>
      </c>
      <c r="L37" s="4488"/>
    </row>
    <row r="38" spans="1:21" s="3848" customFormat="1">
      <c r="A38" s="1523" t="s">
        <v>1122</v>
      </c>
      <c r="B38" s="872" t="s">
        <v>1123</v>
      </c>
      <c r="C38" s="2033" t="s">
        <v>1119</v>
      </c>
      <c r="D38" s="2034">
        <f>D14/(100%-D18)</f>
        <v>1341.0430839002265</v>
      </c>
      <c r="E38" s="2034">
        <f t="shared" ref="E38" si="24">E14/(100%-E18)</f>
        <v>1971.1578947368425</v>
      </c>
      <c r="F38" s="2034">
        <f t="shared" ref="F38:K38" si="25">F14/(100%-F18)</f>
        <v>1293.1363636363637</v>
      </c>
      <c r="G38" s="2034">
        <f t="shared" si="25"/>
        <v>1272.727272727273</v>
      </c>
      <c r="H38" s="2034">
        <f t="shared" si="25"/>
        <v>1295.4545454545457</v>
      </c>
      <c r="I38" s="2034">
        <f t="shared" si="25"/>
        <v>1295.4545454545457</v>
      </c>
      <c r="J38" s="2034">
        <f t="shared" si="25"/>
        <v>1295.4545454545457</v>
      </c>
      <c r="K38" s="2034">
        <f t="shared" si="25"/>
        <v>1304.5454545454547</v>
      </c>
      <c r="L38" s="4488"/>
    </row>
    <row r="39" spans="1:21" s="3848" customFormat="1">
      <c r="A39" s="1523" t="s">
        <v>1124</v>
      </c>
      <c r="B39" s="872" t="s">
        <v>1125</v>
      </c>
      <c r="C39" s="2033" t="s">
        <v>1119</v>
      </c>
      <c r="D39" s="2035">
        <f t="shared" ref="D39:K39" si="26">D19/(100%-D23)</f>
        <v>21.999107541276217</v>
      </c>
      <c r="E39" s="2039">
        <f t="shared" ref="E39" si="27">E19/(100%-E23)</f>
        <v>17.81818181818182</v>
      </c>
      <c r="F39" s="2039">
        <f t="shared" si="26"/>
        <v>22.72727272727273</v>
      </c>
      <c r="G39" s="2039">
        <f t="shared" si="26"/>
        <v>22.72727272727273</v>
      </c>
      <c r="H39" s="2039">
        <f t="shared" si="26"/>
        <v>22.72727272727273</v>
      </c>
      <c r="I39" s="2039">
        <f t="shared" si="26"/>
        <v>22.72727272727273</v>
      </c>
      <c r="J39" s="2039">
        <f t="shared" si="26"/>
        <v>22.72727272727273</v>
      </c>
      <c r="K39" s="2039">
        <f t="shared" si="26"/>
        <v>22.72727272727273</v>
      </c>
      <c r="L39" s="4488"/>
    </row>
    <row r="40" spans="1:21" s="3848" customFormat="1">
      <c r="A40" s="1525" t="s">
        <v>1126</v>
      </c>
      <c r="B40" s="874" t="s">
        <v>621</v>
      </c>
      <c r="C40" s="2040" t="s">
        <v>1127</v>
      </c>
      <c r="D40" s="2037">
        <f>SUM(D41:D42)</f>
        <v>166.38156298133285</v>
      </c>
      <c r="E40" s="2041">
        <f>SUM(E41:E42)</f>
        <v>117.85732104440621</v>
      </c>
      <c r="F40" s="2041">
        <f>SUM(F41:F42)</f>
        <v>117.45633969559563</v>
      </c>
      <c r="G40" s="2041">
        <f t="shared" ref="G40:K40" si="28">SUM(G41:G42)</f>
        <v>117.43128571428571</v>
      </c>
      <c r="H40" s="2041">
        <f t="shared" si="28"/>
        <v>117.43831578947368</v>
      </c>
      <c r="I40" s="2041">
        <f t="shared" si="28"/>
        <v>117.43831578947368</v>
      </c>
      <c r="J40" s="2041">
        <f t="shared" si="28"/>
        <v>117.43831578947368</v>
      </c>
      <c r="K40" s="2042">
        <f t="shared" si="28"/>
        <v>117.44565853658534</v>
      </c>
      <c r="L40" s="4488"/>
      <c r="M40" s="4505" t="s">
        <v>1881</v>
      </c>
      <c r="N40" s="4506">
        <f t="shared" ref="N40:N42" si="29">IFERROR(D40/$C$1,0)</f>
        <v>85.069542333092784</v>
      </c>
      <c r="O40" s="4506">
        <f t="shared" ref="O40:O42" si="30">IFERROR(E40/$C$1,0)</f>
        <v>60.259491389541118</v>
      </c>
      <c r="P40" s="4506">
        <f t="shared" ref="P40:P42" si="31">IFERROR(F40/$C$1,0)</f>
        <v>60.054472881383163</v>
      </c>
      <c r="Q40" s="4506">
        <f t="shared" ref="Q40:Q42" si="32">IFERROR(G40/$C$1,0)</f>
        <v>60.041662984147756</v>
      </c>
      <c r="R40" s="4506">
        <f t="shared" ref="R40:R42" si="33">IFERROR(H40/$C$1,0)</f>
        <v>60.045257404515567</v>
      </c>
      <c r="S40" s="4506">
        <f t="shared" ref="S40:S42" si="34">IFERROR(I40/$C$1,0)</f>
        <v>60.045257404515567</v>
      </c>
      <c r="T40" s="4506">
        <f t="shared" ref="T40:T42" si="35">IFERROR(J40/$C$1,0)</f>
        <v>60.045257404515567</v>
      </c>
      <c r="U40" s="4506">
        <f t="shared" ref="U40:U42" si="36">IFERROR(K40/$C$1,0)</f>
        <v>60.049011691499437</v>
      </c>
    </row>
    <row r="41" spans="1:21" s="3848" customFormat="1">
      <c r="A41" s="1523" t="s">
        <v>961</v>
      </c>
      <c r="B41" s="2027" t="s">
        <v>624</v>
      </c>
      <c r="C41" s="2033" t="s">
        <v>1127</v>
      </c>
      <c r="D41" s="2034">
        <f>IFERROR((D31*1000)/D38,0)</f>
        <v>69.220348782549891</v>
      </c>
      <c r="E41" s="2034">
        <f t="shared" ref="E41" si="37">IFERROR((E31*1000)/E38,0)</f>
        <v>70.77058635052866</v>
      </c>
      <c r="F41" s="2034">
        <f t="shared" ref="F41:K41" si="38">IFERROR((F31*1000)/F38,0)</f>
        <v>70.464339695595626</v>
      </c>
      <c r="G41" s="2034">
        <f t="shared" si="38"/>
        <v>70.439285714285703</v>
      </c>
      <c r="H41" s="2034">
        <f t="shared" si="38"/>
        <v>70.446315789473672</v>
      </c>
      <c r="I41" s="2034">
        <f t="shared" si="38"/>
        <v>70.446315789473672</v>
      </c>
      <c r="J41" s="2034">
        <f t="shared" si="38"/>
        <v>70.446315789473672</v>
      </c>
      <c r="K41" s="2034">
        <f t="shared" si="38"/>
        <v>70.453658536585351</v>
      </c>
      <c r="L41" s="4488"/>
      <c r="M41" s="4505" t="s">
        <v>1881</v>
      </c>
      <c r="N41" s="4506">
        <f t="shared" si="29"/>
        <v>35.391802346088305</v>
      </c>
      <c r="O41" s="4506">
        <f t="shared" si="30"/>
        <v>36.184426228521225</v>
      </c>
      <c r="P41" s="4506">
        <f t="shared" si="31"/>
        <v>36.02784480021046</v>
      </c>
      <c r="Q41" s="4506">
        <f t="shared" si="32"/>
        <v>36.015034902975053</v>
      </c>
      <c r="R41" s="4506">
        <f t="shared" si="33"/>
        <v>36.018629323342864</v>
      </c>
      <c r="S41" s="4506">
        <f t="shared" si="34"/>
        <v>36.018629323342864</v>
      </c>
      <c r="T41" s="4506">
        <f t="shared" si="35"/>
        <v>36.018629323342864</v>
      </c>
      <c r="U41" s="4506">
        <f t="shared" si="36"/>
        <v>36.022383610326742</v>
      </c>
    </row>
    <row r="42" spans="1:21" s="3848" customFormat="1" ht="13.8" thickBot="1">
      <c r="A42" s="1526" t="s">
        <v>962</v>
      </c>
      <c r="B42" s="2043" t="s">
        <v>724</v>
      </c>
      <c r="C42" s="2044" t="s">
        <v>1127</v>
      </c>
      <c r="D42" s="2045">
        <f>IFERROR((D29*1000)/D39,0)</f>
        <v>97.161214198782957</v>
      </c>
      <c r="E42" s="2045">
        <f t="shared" ref="E42" si="39">IFERROR((E29*1000)/E39,0)</f>
        <v>47.086734693877546</v>
      </c>
      <c r="F42" s="2045">
        <f t="shared" ref="F42:K42" si="40">IFERROR((F29*1000)/F39,0)</f>
        <v>46.991999999999997</v>
      </c>
      <c r="G42" s="2045">
        <f t="shared" si="40"/>
        <v>46.991999999999997</v>
      </c>
      <c r="H42" s="2045">
        <f t="shared" si="40"/>
        <v>46.991999999999997</v>
      </c>
      <c r="I42" s="2045">
        <f t="shared" si="40"/>
        <v>46.991999999999997</v>
      </c>
      <c r="J42" s="2045">
        <f t="shared" si="40"/>
        <v>46.991999999999997</v>
      </c>
      <c r="K42" s="2045">
        <f t="shared" si="40"/>
        <v>46.991999999999997</v>
      </c>
      <c r="L42" s="4488"/>
      <c r="M42" s="4505" t="s">
        <v>1881</v>
      </c>
      <c r="N42" s="4506">
        <f t="shared" si="29"/>
        <v>49.677739987004472</v>
      </c>
      <c r="O42" s="4506">
        <f t="shared" si="30"/>
        <v>24.075065161019896</v>
      </c>
      <c r="P42" s="4506">
        <f t="shared" si="31"/>
        <v>24.026628081172699</v>
      </c>
      <c r="Q42" s="4506">
        <f t="shared" si="32"/>
        <v>24.026628081172699</v>
      </c>
      <c r="R42" s="4506">
        <f t="shared" si="33"/>
        <v>24.026628081172699</v>
      </c>
      <c r="S42" s="4506">
        <f t="shared" si="34"/>
        <v>24.026628081172699</v>
      </c>
      <c r="T42" s="4506">
        <f t="shared" si="35"/>
        <v>24.026628081172699</v>
      </c>
      <c r="U42" s="4506">
        <f t="shared" si="36"/>
        <v>24.026628081172699</v>
      </c>
    </row>
    <row r="43" spans="1:21" s="2047" customFormat="1" ht="8.25" customHeight="1">
      <c r="A43" s="60"/>
      <c r="B43" s="61"/>
      <c r="C43" s="2046"/>
      <c r="D43" s="319"/>
      <c r="E43" s="319"/>
      <c r="F43" s="319"/>
      <c r="G43" s="319"/>
      <c r="H43" s="319"/>
      <c r="I43" s="319"/>
      <c r="J43" s="319"/>
      <c r="K43" s="319"/>
      <c r="M43" s="3849"/>
    </row>
    <row r="44" spans="1:21" s="2047" customFormat="1" ht="15" customHeight="1">
      <c r="A44" s="60"/>
      <c r="B44" s="61"/>
      <c r="C44" s="2046"/>
      <c r="D44" s="319"/>
      <c r="E44" s="319"/>
      <c r="F44" s="319"/>
      <c r="G44" s="319"/>
      <c r="H44" s="319"/>
      <c r="I44" s="319"/>
      <c r="J44" s="319"/>
      <c r="K44" s="319"/>
      <c r="M44" s="3849"/>
    </row>
    <row r="45" spans="1:21" s="2047" customFormat="1" ht="12">
      <c r="B45" s="2048" t="str">
        <f>'Приложение '!B82</f>
        <v>Дата: 16.03.2026</v>
      </c>
      <c r="D45" s="2049"/>
      <c r="E45" s="2049"/>
      <c r="F45" s="2050"/>
      <c r="G45" s="2051"/>
      <c r="H45" s="2049"/>
      <c r="I45" s="2049"/>
      <c r="M45" s="57"/>
      <c r="N45" s="57"/>
    </row>
    <row r="46" spans="1:21" s="2047" customFormat="1" ht="14.25" customHeight="1">
      <c r="D46" s="2052"/>
      <c r="E46" s="2052"/>
      <c r="F46" s="2050"/>
      <c r="G46" s="2053"/>
      <c r="H46" s="2049"/>
      <c r="I46" s="2049"/>
      <c r="J46" s="2054"/>
      <c r="L46" s="56"/>
      <c r="M46" s="57"/>
      <c r="N46" s="57"/>
      <c r="O46" s="56"/>
    </row>
    <row r="47" spans="1:21" s="2047" customFormat="1" ht="12">
      <c r="D47" s="2049"/>
      <c r="E47" s="2049"/>
      <c r="F47" s="2056"/>
      <c r="G47" s="2049"/>
      <c r="H47" s="2055"/>
      <c r="I47" s="2049"/>
      <c r="J47" s="2049"/>
      <c r="K47" s="65"/>
      <c r="L47" s="58"/>
      <c r="M47" s="57"/>
      <c r="N47" s="57"/>
      <c r="O47" s="58"/>
    </row>
    <row r="48" spans="1:21" s="2047" customFormat="1">
      <c r="A48" s="5241" t="s">
        <v>187</v>
      </c>
      <c r="B48" s="5241"/>
      <c r="C48" s="5241"/>
      <c r="D48" s="5241"/>
      <c r="E48" s="4105"/>
      <c r="F48" s="2057"/>
      <c r="G48" s="2058"/>
      <c r="H48" s="2058"/>
      <c r="I48" s="2049"/>
      <c r="J48" s="2049"/>
      <c r="K48" s="2049"/>
    </row>
    <row r="49" spans="1:12" s="139" customFormat="1">
      <c r="A49" s="5242" t="s">
        <v>188</v>
      </c>
      <c r="B49" s="5242"/>
      <c r="C49" s="5242"/>
      <c r="D49" s="5242"/>
      <c r="E49" s="4106"/>
      <c r="F49" s="2057"/>
      <c r="G49" s="2058"/>
      <c r="H49" s="2058"/>
      <c r="I49" s="2052"/>
      <c r="J49" s="2052"/>
      <c r="K49" s="2052"/>
      <c r="L49" s="3850"/>
    </row>
    <row r="50" spans="1:12" s="139" customFormat="1">
      <c r="A50" s="5240" t="s">
        <v>1372</v>
      </c>
      <c r="B50" s="5240"/>
      <c r="C50" s="5240"/>
      <c r="D50" s="5240"/>
      <c r="E50" s="5240"/>
      <c r="F50" s="5240"/>
      <c r="G50" s="2049"/>
      <c r="H50" s="2049"/>
      <c r="I50" s="2052"/>
      <c r="J50" s="2052"/>
      <c r="K50" s="2052"/>
    </row>
    <row r="51" spans="1:12" s="2047" customFormat="1" ht="12">
      <c r="D51" s="2049"/>
      <c r="E51" s="2049"/>
      <c r="F51" s="2049"/>
      <c r="G51" s="2049"/>
      <c r="H51" s="2049"/>
      <c r="I51" s="2049"/>
      <c r="J51" s="2049"/>
      <c r="K51" s="2049"/>
    </row>
  </sheetData>
  <sheetProtection algorithmName="SHA-512" hashValue="Ux7bjRoKvEpwpuuYzzHAXnIPPvbMq6DkO4vIg2gEkIpJ9+AyOWay2xU3nbWsmFgpHdEVpCRV8YdXBBJ0TpkhnA==" saltValue="Ml6D2izG0cjAF7zYX2IGDQ==" spinCount="100000" sheet="1" formatCells="0" formatColumns="0" formatRows="0"/>
  <mergeCells count="29">
    <mergeCell ref="S7:S8"/>
    <mergeCell ref="T7:T8"/>
    <mergeCell ref="U7:U8"/>
    <mergeCell ref="N7:N8"/>
    <mergeCell ref="O7:O8"/>
    <mergeCell ref="P7:P8"/>
    <mergeCell ref="Q7:Q8"/>
    <mergeCell ref="R7:R8"/>
    <mergeCell ref="A1:B1"/>
    <mergeCell ref="C1:D1"/>
    <mergeCell ref="M7:M8"/>
    <mergeCell ref="A2:K2"/>
    <mergeCell ref="A3:K3"/>
    <mergeCell ref="K7:K8"/>
    <mergeCell ref="A50:F50"/>
    <mergeCell ref="A48:D48"/>
    <mergeCell ref="A49:D49"/>
    <mergeCell ref="A4:K4"/>
    <mergeCell ref="A5:K5"/>
    <mergeCell ref="A7:A8"/>
    <mergeCell ref="B7:B8"/>
    <mergeCell ref="C7:C8"/>
    <mergeCell ref="D7:D8"/>
    <mergeCell ref="F7:F8"/>
    <mergeCell ref="G7:G8"/>
    <mergeCell ref="H7:H8"/>
    <mergeCell ref="E7:E8"/>
    <mergeCell ref="I7:I8"/>
    <mergeCell ref="J7:J8"/>
  </mergeCells>
  <printOptions horizontalCentered="1"/>
  <pageMargins left="0.51181102362204722" right="0.11811023622047245" top="0.59055118110236227" bottom="0" header="0.31496062992125984" footer="0.19685039370078741"/>
  <pageSetup paperSize="9" scale="71" orientation="portrait" r:id="rId1"/>
  <headerFooter>
    <oddFooter>&amp;C&amp;A</oddFooter>
  </headerFooter>
  <ignoredErrors>
    <ignoredError sqref="G11:K11 H10:K10" unlockedFormula="1"/>
    <ignoredError sqref="F24:K24 D24 D21" formulaRange="1"/>
    <ignoredError sqref="F25:K26 D25:D26" formulaRange="1" unlockedFormula="1"/>
    <ignoredError sqref="A24:A32 A11:A12 A14:A17 A19:A22" numberStoredAsText="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tabColor rgb="FFFFFFCC"/>
  </sheetPr>
  <dimension ref="A1:AI165"/>
  <sheetViews>
    <sheetView showGridLines="0" topLeftCell="H133" zoomScale="110" zoomScaleNormal="110" zoomScaleSheetLayoutView="100" workbookViewId="0">
      <selection activeCell="J152" sqref="J152:O152"/>
    </sheetView>
  </sheetViews>
  <sheetFormatPr defaultColWidth="9.109375" defaultRowHeight="12"/>
  <cols>
    <col min="1" max="1" width="5.88671875" style="2059" customWidth="1"/>
    <col min="2" max="2" width="47.33203125" style="2060" customWidth="1"/>
    <col min="3" max="3" width="10.6640625" style="2059" customWidth="1"/>
    <col min="4" max="15" width="8.6640625" style="2059" customWidth="1"/>
    <col min="16" max="16" width="11.44140625" style="2059" customWidth="1"/>
    <col min="17" max="22" width="6.6640625" style="2059" customWidth="1"/>
    <col min="23" max="23" width="2.33203125" style="2059" customWidth="1"/>
    <col min="24" max="16384" width="9.109375" style="2059"/>
  </cols>
  <sheetData>
    <row r="1" spans="1:35" ht="16.8" thickBot="1">
      <c r="A1" s="5009" t="str">
        <f>+'1. Обща информация'!B40</f>
        <v>Фиксиран курс на лева към 1 евро</v>
      </c>
      <c r="B1" s="5009"/>
      <c r="C1" s="5010">
        <f>+'1. Обща информация'!$C$40</f>
        <v>1.95583</v>
      </c>
      <c r="D1" s="5010"/>
      <c r="K1" s="2061"/>
      <c r="L1" s="2061"/>
      <c r="M1" s="2061"/>
      <c r="N1" s="5260"/>
      <c r="O1" s="5260"/>
      <c r="P1" s="4085"/>
      <c r="Q1" s="2061"/>
      <c r="T1" s="5260" t="s">
        <v>0</v>
      </c>
      <c r="U1" s="5260"/>
      <c r="V1" s="5260"/>
    </row>
    <row r="2" spans="1:35" s="3804" customFormat="1" ht="19.5" customHeight="1">
      <c r="A2" s="5067" t="s">
        <v>1403</v>
      </c>
      <c r="B2" s="5067"/>
      <c r="C2" s="5067"/>
      <c r="D2" s="5067"/>
      <c r="E2" s="5067"/>
      <c r="F2" s="5067"/>
      <c r="G2" s="5067"/>
      <c r="H2" s="5067"/>
      <c r="I2" s="5067"/>
      <c r="J2" s="5067"/>
      <c r="K2" s="5067"/>
      <c r="L2" s="5067"/>
      <c r="M2" s="5067"/>
      <c r="N2" s="5067"/>
      <c r="O2" s="5067"/>
      <c r="P2" s="5067"/>
      <c r="Q2" s="5067"/>
      <c r="R2" s="5067"/>
      <c r="S2" s="5067"/>
      <c r="T2" s="5067"/>
      <c r="U2" s="5067"/>
      <c r="V2" s="5067"/>
    </row>
    <row r="3" spans="1:35" s="3804" customFormat="1" ht="19.5" customHeight="1">
      <c r="A3" s="5067" t="s">
        <v>1402</v>
      </c>
      <c r="B3" s="5067"/>
      <c r="C3" s="5067"/>
      <c r="D3" s="5067"/>
      <c r="E3" s="5067"/>
      <c r="F3" s="5067"/>
      <c r="G3" s="5067"/>
      <c r="H3" s="5067"/>
      <c r="I3" s="5067"/>
      <c r="J3" s="5067"/>
      <c r="K3" s="5067"/>
      <c r="L3" s="5067"/>
      <c r="M3" s="5067"/>
      <c r="N3" s="5067"/>
      <c r="O3" s="5067"/>
      <c r="P3" s="5067"/>
      <c r="Q3" s="5067"/>
      <c r="R3" s="5067"/>
      <c r="S3" s="5067"/>
      <c r="T3" s="5067"/>
      <c r="U3" s="5067"/>
      <c r="V3" s="5067"/>
    </row>
    <row r="4" spans="1:35" s="3804" customFormat="1" ht="15.75" customHeight="1">
      <c r="A4" s="5264" t="s">
        <v>1734</v>
      </c>
      <c r="B4" s="5264"/>
      <c r="C4" s="5264"/>
      <c r="D4" s="5264"/>
      <c r="E4" s="5264"/>
      <c r="F4" s="5264"/>
      <c r="G4" s="5264"/>
      <c r="H4" s="5264"/>
      <c r="I4" s="5264"/>
      <c r="J4" s="5264"/>
      <c r="K4" s="5264"/>
      <c r="L4" s="5264"/>
      <c r="M4" s="5264"/>
      <c r="N4" s="5264"/>
      <c r="O4" s="5264"/>
      <c r="P4" s="5264"/>
      <c r="Q4" s="5264"/>
      <c r="R4" s="5264"/>
      <c r="S4" s="5264"/>
      <c r="T4" s="5264"/>
      <c r="U4" s="5264"/>
      <c r="V4" s="5264"/>
    </row>
    <row r="5" spans="1:35" s="3804" customFormat="1" ht="19.5" customHeight="1">
      <c r="A5" s="5264" t="s">
        <v>1735</v>
      </c>
      <c r="B5" s="5264"/>
      <c r="C5" s="5264"/>
      <c r="D5" s="5264"/>
      <c r="E5" s="5264"/>
      <c r="F5" s="5264"/>
      <c r="G5" s="5264"/>
      <c r="H5" s="5264"/>
      <c r="I5" s="5264"/>
      <c r="J5" s="5264"/>
      <c r="K5" s="5264"/>
      <c r="L5" s="5264"/>
      <c r="M5" s="5264"/>
      <c r="N5" s="5264"/>
      <c r="O5" s="5264"/>
      <c r="P5" s="5264"/>
      <c r="Q5" s="5264"/>
      <c r="R5" s="5264"/>
      <c r="S5" s="5264"/>
      <c r="T5" s="5264"/>
      <c r="U5" s="5264"/>
      <c r="V5" s="5264"/>
    </row>
    <row r="6" spans="1:35" ht="12.6" thickBot="1">
      <c r="A6" s="5283"/>
      <c r="B6" s="5283"/>
      <c r="C6" s="5283"/>
      <c r="D6" s="5283"/>
      <c r="E6" s="5283"/>
      <c r="F6" s="5283"/>
      <c r="G6" s="5283"/>
      <c r="H6" s="5283"/>
      <c r="I6" s="5283"/>
      <c r="J6" s="5283"/>
      <c r="K6" s="2382"/>
      <c r="L6" s="2382"/>
      <c r="M6" s="2382"/>
      <c r="N6" s="2382"/>
      <c r="O6" s="2382"/>
      <c r="P6" s="2382"/>
      <c r="Q6" s="2382"/>
    </row>
    <row r="7" spans="1:35" ht="18.75" customHeight="1" thickBot="1">
      <c r="A7" s="5193" t="s">
        <v>203</v>
      </c>
      <c r="B7" s="5276" t="s">
        <v>461</v>
      </c>
      <c r="C7" s="5278" t="s">
        <v>462</v>
      </c>
      <c r="D7" s="5272" t="s">
        <v>913</v>
      </c>
      <c r="E7" s="5273"/>
      <c r="F7" s="5273"/>
      <c r="G7" s="5273"/>
      <c r="H7" s="5273"/>
      <c r="I7" s="5274"/>
      <c r="J7" s="5265" t="s">
        <v>1560</v>
      </c>
      <c r="K7" s="5185"/>
      <c r="L7" s="5185"/>
      <c r="M7" s="5185"/>
      <c r="N7" s="5185"/>
      <c r="O7" s="5186"/>
      <c r="P7" s="5250" t="str">
        <f>CONCATENATE("Изменение (хил.лв.) ",K8," спр. ",J8)</f>
        <v>Изменение (хил.лв.) 2027 г. спр. 2024 г.</v>
      </c>
      <c r="Q7" s="5185" t="s">
        <v>1882</v>
      </c>
      <c r="R7" s="5185"/>
      <c r="S7" s="5185"/>
      <c r="T7" s="5185"/>
      <c r="U7" s="5185"/>
      <c r="V7" s="5186"/>
      <c r="W7" s="4488"/>
      <c r="X7" s="5198" t="s">
        <v>1883</v>
      </c>
      <c r="Y7" s="5198"/>
      <c r="Z7" s="5198"/>
      <c r="AA7" s="5198"/>
      <c r="AB7" s="5198"/>
      <c r="AC7" s="5198"/>
      <c r="AD7" s="5198" t="s">
        <v>1884</v>
      </c>
      <c r="AE7" s="5198"/>
      <c r="AF7" s="5198"/>
      <c r="AG7" s="5198"/>
      <c r="AH7" s="5198"/>
      <c r="AI7" s="5198"/>
    </row>
    <row r="8" spans="1:35" ht="21" customHeight="1" thickBot="1">
      <c r="A8" s="5275"/>
      <c r="B8" s="5277"/>
      <c r="C8" s="5279"/>
      <c r="D8" s="4258" t="str">
        <f>'Приложение '!$C12</f>
        <v>2024 г.</v>
      </c>
      <c r="E8" s="4258" t="str">
        <f>'Приложение '!$C14</f>
        <v>2027 г.</v>
      </c>
      <c r="F8" s="4258" t="str">
        <f>'Приложение '!$C15</f>
        <v>2028 г.</v>
      </c>
      <c r="G8" s="4258" t="str">
        <f>'Приложение '!$C16</f>
        <v>2029 г.</v>
      </c>
      <c r="H8" s="4258" t="str">
        <f>'Приложение '!$C17</f>
        <v>2030 г.</v>
      </c>
      <c r="I8" s="4259" t="str">
        <f>'Приложение '!$C18</f>
        <v>2031 г.</v>
      </c>
      <c r="J8" s="4260" t="str">
        <f t="shared" ref="J8:O8" si="0">D8</f>
        <v>2024 г.</v>
      </c>
      <c r="K8" s="4261" t="str">
        <f t="shared" si="0"/>
        <v>2027 г.</v>
      </c>
      <c r="L8" s="4261" t="str">
        <f t="shared" si="0"/>
        <v>2028 г.</v>
      </c>
      <c r="M8" s="4261" t="str">
        <f t="shared" si="0"/>
        <v>2029 г.</v>
      </c>
      <c r="N8" s="4261" t="str">
        <f t="shared" si="0"/>
        <v>2030 г.</v>
      </c>
      <c r="O8" s="4262" t="str">
        <f t="shared" si="0"/>
        <v>2031 г.</v>
      </c>
      <c r="P8" s="5251"/>
      <c r="Q8" s="4260" t="str">
        <f t="shared" ref="Q8:V8" si="1">J8</f>
        <v>2024 г.</v>
      </c>
      <c r="R8" s="4261" t="str">
        <f t="shared" si="1"/>
        <v>2027 г.</v>
      </c>
      <c r="S8" s="4261" t="str">
        <f t="shared" si="1"/>
        <v>2028 г.</v>
      </c>
      <c r="T8" s="4261" t="str">
        <f t="shared" si="1"/>
        <v>2029 г.</v>
      </c>
      <c r="U8" s="4261" t="str">
        <f t="shared" si="1"/>
        <v>2030 г.</v>
      </c>
      <c r="V8" s="4262" t="str">
        <f t="shared" si="1"/>
        <v>2031 г.</v>
      </c>
      <c r="W8" s="4488"/>
      <c r="X8" s="4507" t="str">
        <f>J8</f>
        <v>2024 г.</v>
      </c>
      <c r="Y8" s="4507" t="str">
        <f t="shared" ref="Y8:AC8" si="2">K8</f>
        <v>2027 г.</v>
      </c>
      <c r="Z8" s="4507" t="str">
        <f t="shared" si="2"/>
        <v>2028 г.</v>
      </c>
      <c r="AA8" s="4507" t="str">
        <f t="shared" si="2"/>
        <v>2029 г.</v>
      </c>
      <c r="AB8" s="4507" t="str">
        <f t="shared" si="2"/>
        <v>2030 г.</v>
      </c>
      <c r="AC8" s="4507" t="str">
        <f t="shared" si="2"/>
        <v>2031 г.</v>
      </c>
      <c r="AD8" s="4507" t="str">
        <f>+X8</f>
        <v>2024 г.</v>
      </c>
      <c r="AE8" s="4507" t="str">
        <f t="shared" ref="AE8:AI8" si="3">+Y8</f>
        <v>2027 г.</v>
      </c>
      <c r="AF8" s="4507" t="str">
        <f t="shared" si="3"/>
        <v>2028 г.</v>
      </c>
      <c r="AG8" s="4507" t="str">
        <f t="shared" si="3"/>
        <v>2029 г.</v>
      </c>
      <c r="AH8" s="4507" t="str">
        <f t="shared" si="3"/>
        <v>2030 г.</v>
      </c>
      <c r="AI8" s="4507" t="str">
        <f t="shared" si="3"/>
        <v>2031 г.</v>
      </c>
    </row>
    <row r="9" spans="1:35" ht="21" customHeight="1" thickBot="1">
      <c r="A9" s="1503">
        <v>1</v>
      </c>
      <c r="B9" s="3639" t="s">
        <v>207</v>
      </c>
      <c r="C9" s="5266"/>
      <c r="D9" s="5266"/>
      <c r="E9" s="5266"/>
      <c r="F9" s="5266"/>
      <c r="G9" s="5266"/>
      <c r="H9" s="5266"/>
      <c r="I9" s="5266"/>
      <c r="J9" s="5266"/>
      <c r="K9" s="5266"/>
      <c r="L9" s="5266"/>
      <c r="M9" s="5266"/>
      <c r="N9" s="5266"/>
      <c r="O9" s="5266"/>
      <c r="P9" s="5267"/>
      <c r="Q9" s="5266"/>
      <c r="R9" s="5266"/>
      <c r="S9" s="5266"/>
      <c r="T9" s="5266"/>
      <c r="U9" s="5266"/>
      <c r="V9" s="5268"/>
      <c r="W9" s="4488"/>
    </row>
    <row r="10" spans="1:35" ht="13.2">
      <c r="A10" s="432" t="s">
        <v>463</v>
      </c>
      <c r="B10" s="1480" t="s">
        <v>464</v>
      </c>
      <c r="C10" s="1455" t="s">
        <v>676</v>
      </c>
      <c r="D10" s="3640">
        <v>62</v>
      </c>
      <c r="E10" s="3641">
        <v>40</v>
      </c>
      <c r="F10" s="3641">
        <v>43</v>
      </c>
      <c r="G10" s="3641">
        <v>45</v>
      </c>
      <c r="H10" s="3641">
        <v>47</v>
      </c>
      <c r="I10" s="3642">
        <v>50</v>
      </c>
      <c r="J10" s="3643">
        <v>17.838734783570708</v>
      </c>
      <c r="K10" s="3644">
        <v>15.153285423650191</v>
      </c>
      <c r="L10" s="3644">
        <v>16.465794396047524</v>
      </c>
      <c r="M10" s="3644">
        <v>17.921674829284655</v>
      </c>
      <c r="N10" s="3644">
        <v>19.55613479889951</v>
      </c>
      <c r="O10" s="4090">
        <v>21.393382685157967</v>
      </c>
      <c r="P10" s="4440">
        <f>IFERROR((K10-J10)/J10,0)</f>
        <v>-0.15054034899346047</v>
      </c>
      <c r="Q10" s="4094">
        <f>ROUND(IFERROR(J10*1000/D10,0),0)</f>
        <v>288</v>
      </c>
      <c r="R10" s="3853">
        <f t="shared" ref="Q10:V22" si="4">ROUND(IFERROR(K10*1000/E10,0),0)</f>
        <v>379</v>
      </c>
      <c r="S10" s="3853">
        <f t="shared" si="4"/>
        <v>383</v>
      </c>
      <c r="T10" s="3853">
        <f t="shared" si="4"/>
        <v>398</v>
      </c>
      <c r="U10" s="3853">
        <f t="shared" si="4"/>
        <v>416</v>
      </c>
      <c r="V10" s="3854">
        <f t="shared" si="4"/>
        <v>428</v>
      </c>
      <c r="W10" s="4488"/>
      <c r="X10" s="4504">
        <f>IFERROR(J10/$C$1,0)</f>
        <v>9.1208002656522851</v>
      </c>
      <c r="Y10" s="4504">
        <f t="shared" ref="Y10:AC10" si="5">IFERROR(K10/$C$1,0)</f>
        <v>7.7477518105613425</v>
      </c>
      <c r="Z10" s="4504">
        <f t="shared" si="5"/>
        <v>8.4188269921452914</v>
      </c>
      <c r="AA10" s="4504">
        <f t="shared" si="5"/>
        <v>9.1632068376518685</v>
      </c>
      <c r="AB10" s="4504">
        <f t="shared" si="5"/>
        <v>9.9988929502561632</v>
      </c>
      <c r="AC10" s="4504">
        <f t="shared" si="5"/>
        <v>10.938262878245025</v>
      </c>
      <c r="AD10" s="4504">
        <f>IFERROR(Q10/$C$1,0)</f>
        <v>147.25206178451091</v>
      </c>
      <c r="AE10" s="4504">
        <f t="shared" ref="AE10:AI10" si="6">IFERROR(R10/$C$1,0)</f>
        <v>193.7796229733668</v>
      </c>
      <c r="AF10" s="4504">
        <f t="shared" si="6"/>
        <v>195.82479049815169</v>
      </c>
      <c r="AG10" s="4504">
        <f t="shared" si="6"/>
        <v>203.49416871609498</v>
      </c>
      <c r="AH10" s="4504">
        <f t="shared" si="6"/>
        <v>212.6974225776269</v>
      </c>
      <c r="AI10" s="4504">
        <f t="shared" si="6"/>
        <v>218.83292515198153</v>
      </c>
    </row>
    <row r="11" spans="1:35" ht="13.2">
      <c r="A11" s="433" t="s">
        <v>465</v>
      </c>
      <c r="B11" s="1481" t="s">
        <v>722</v>
      </c>
      <c r="C11" s="314" t="s">
        <v>676</v>
      </c>
      <c r="D11" s="253">
        <v>455</v>
      </c>
      <c r="E11" s="420">
        <v>400</v>
      </c>
      <c r="F11" s="420">
        <v>405</v>
      </c>
      <c r="G11" s="420">
        <v>410</v>
      </c>
      <c r="H11" s="420">
        <v>412</v>
      </c>
      <c r="I11" s="435">
        <v>415</v>
      </c>
      <c r="J11" s="419">
        <v>189.03071431732644</v>
      </c>
      <c r="K11" s="3963">
        <v>200.82777002536744</v>
      </c>
      <c r="L11" s="3963">
        <v>210.1264733996004</v>
      </c>
      <c r="M11" s="3963">
        <v>230.35843993218418</v>
      </c>
      <c r="N11" s="3963">
        <v>253.19391947912462</v>
      </c>
      <c r="O11" s="4092">
        <v>268.94387940331239</v>
      </c>
      <c r="P11" s="2997">
        <f t="shared" ref="P11:P24" si="7">IFERROR((K11-J11)/J11,0)</f>
        <v>6.2408142246329588E-2</v>
      </c>
      <c r="Q11" s="4095">
        <f t="shared" si="4"/>
        <v>415</v>
      </c>
      <c r="R11" s="3855">
        <f t="shared" si="4"/>
        <v>502</v>
      </c>
      <c r="S11" s="3855">
        <f t="shared" si="4"/>
        <v>519</v>
      </c>
      <c r="T11" s="3855">
        <f t="shared" si="4"/>
        <v>562</v>
      </c>
      <c r="U11" s="3855">
        <f t="shared" si="4"/>
        <v>615</v>
      </c>
      <c r="V11" s="3856">
        <f t="shared" si="4"/>
        <v>648</v>
      </c>
      <c r="W11" s="4488"/>
      <c r="X11" s="4504">
        <f t="shared" ref="X11:X24" si="8">IFERROR(J11/$C$1,0)</f>
        <v>96.649869527170793</v>
      </c>
      <c r="Y11" s="4504">
        <f t="shared" ref="Y11:Y24" si="9">IFERROR(K11/$C$1,0)</f>
        <v>102.68160833271166</v>
      </c>
      <c r="Z11" s="4504">
        <f t="shared" ref="Z11:Z24" si="10">IFERROR(L11/$C$1,0)</f>
        <v>107.43595987360885</v>
      </c>
      <c r="AA11" s="4504">
        <f t="shared" ref="AA11:AA24" si="11">IFERROR(M11/$C$1,0)</f>
        <v>117.78040010235254</v>
      </c>
      <c r="AB11" s="4504">
        <f t="shared" ref="AB11:AB24" si="12">IFERROR(N11/$C$1,0)</f>
        <v>129.45599539792551</v>
      </c>
      <c r="AC11" s="4504">
        <f t="shared" ref="AC11:AC24" si="13">IFERROR(O11/$C$1,0)</f>
        <v>137.50882203632852</v>
      </c>
      <c r="AD11" s="4504">
        <f t="shared" ref="AD11:AD22" si="14">IFERROR(Q11/$C$1,0)</f>
        <v>212.18613069643067</v>
      </c>
      <c r="AE11" s="4504">
        <f t="shared" ref="AE11:AE22" si="15">IFERROR(R11/$C$1,0)</f>
        <v>256.66852436050169</v>
      </c>
      <c r="AF11" s="4504">
        <f t="shared" ref="AF11:AF22" si="16">IFERROR(S11/$C$1,0)</f>
        <v>265.36048634083738</v>
      </c>
      <c r="AG11" s="4504">
        <f t="shared" ref="AG11:AG22" si="17">IFERROR(T11/$C$1,0)</f>
        <v>287.3460372322748</v>
      </c>
      <c r="AH11" s="4504">
        <f t="shared" ref="AH11:AH22" si="18">IFERROR(U11/$C$1,0)</f>
        <v>314.44450693567438</v>
      </c>
      <c r="AI11" s="4504">
        <f t="shared" ref="AI11:AI22" si="19">IFERROR(V11/$C$1,0)</f>
        <v>331.31713901514956</v>
      </c>
    </row>
    <row r="12" spans="1:35" ht="13.2">
      <c r="A12" s="433" t="s">
        <v>466</v>
      </c>
      <c r="B12" s="1481" t="s">
        <v>467</v>
      </c>
      <c r="C12" s="314" t="s">
        <v>676</v>
      </c>
      <c r="D12" s="445">
        <v>1638</v>
      </c>
      <c r="E12" s="420">
        <v>1500</v>
      </c>
      <c r="F12" s="420">
        <v>1520</v>
      </c>
      <c r="G12" s="420">
        <v>1540</v>
      </c>
      <c r="H12" s="420">
        <v>1560</v>
      </c>
      <c r="I12" s="435">
        <v>1580</v>
      </c>
      <c r="J12" s="419">
        <v>814.15609921289911</v>
      </c>
      <c r="K12" s="3963">
        <v>887.38132648637782</v>
      </c>
      <c r="L12" s="3963">
        <v>936.41357922496979</v>
      </c>
      <c r="M12" s="3963">
        <v>996.70638266383321</v>
      </c>
      <c r="N12" s="3963">
        <v>1063.7764785755367</v>
      </c>
      <c r="O12" s="4092">
        <v>1138.4224260561059</v>
      </c>
      <c r="P12" s="2997">
        <f t="shared" si="7"/>
        <v>8.994003403557449E-2</v>
      </c>
      <c r="Q12" s="4095">
        <f t="shared" si="4"/>
        <v>497</v>
      </c>
      <c r="R12" s="3855">
        <f t="shared" si="4"/>
        <v>592</v>
      </c>
      <c r="S12" s="3855">
        <f t="shared" si="4"/>
        <v>616</v>
      </c>
      <c r="T12" s="3855">
        <f t="shared" si="4"/>
        <v>647</v>
      </c>
      <c r="U12" s="3855">
        <f t="shared" si="4"/>
        <v>682</v>
      </c>
      <c r="V12" s="3856">
        <f t="shared" si="4"/>
        <v>721</v>
      </c>
      <c r="W12" s="4488"/>
      <c r="X12" s="4504">
        <f t="shared" si="8"/>
        <v>416.27140355393828</v>
      </c>
      <c r="Y12" s="4504">
        <f t="shared" si="9"/>
        <v>453.71086775761586</v>
      </c>
      <c r="Z12" s="4504">
        <f t="shared" si="10"/>
        <v>478.78066049961899</v>
      </c>
      <c r="AA12" s="4504">
        <f t="shared" si="11"/>
        <v>509.60788139246932</v>
      </c>
      <c r="AB12" s="4504">
        <f t="shared" si="12"/>
        <v>543.90027690317493</v>
      </c>
      <c r="AC12" s="4504">
        <f t="shared" si="13"/>
        <v>582.06614381418933</v>
      </c>
      <c r="AD12" s="4504">
        <f t="shared" si="14"/>
        <v>254.1120649545206</v>
      </c>
      <c r="AE12" s="4504">
        <f t="shared" si="15"/>
        <v>302.68479366816138</v>
      </c>
      <c r="AF12" s="4504">
        <f t="shared" si="16"/>
        <v>314.95579881687058</v>
      </c>
      <c r="AG12" s="4504">
        <f t="shared" si="17"/>
        <v>330.80584713395336</v>
      </c>
      <c r="AH12" s="4504">
        <f t="shared" si="18"/>
        <v>348.701062975821</v>
      </c>
      <c r="AI12" s="4504">
        <f t="shared" si="19"/>
        <v>368.64144634247356</v>
      </c>
    </row>
    <row r="13" spans="1:35" ht="13.2">
      <c r="A13" s="433" t="s">
        <v>468</v>
      </c>
      <c r="B13" s="1481" t="s">
        <v>469</v>
      </c>
      <c r="C13" s="314" t="s">
        <v>676</v>
      </c>
      <c r="D13" s="445">
        <v>767</v>
      </c>
      <c r="E13" s="420">
        <v>770</v>
      </c>
      <c r="F13" s="420">
        <v>790</v>
      </c>
      <c r="G13" s="420">
        <v>800</v>
      </c>
      <c r="H13" s="420">
        <v>810</v>
      </c>
      <c r="I13" s="435">
        <v>820</v>
      </c>
      <c r="J13" s="419">
        <v>272.64366182699234</v>
      </c>
      <c r="K13" s="3963">
        <v>322.75859740440001</v>
      </c>
      <c r="L13" s="3963">
        <v>344.94478207009377</v>
      </c>
      <c r="M13" s="3963">
        <v>369.26167912402468</v>
      </c>
      <c r="N13" s="3963">
        <v>401.70756081794855</v>
      </c>
      <c r="O13" s="4092">
        <v>432.23744806434593</v>
      </c>
      <c r="P13" s="2997">
        <f t="shared" si="7"/>
        <v>0.18381111536423098</v>
      </c>
      <c r="Q13" s="4095">
        <f t="shared" si="4"/>
        <v>355</v>
      </c>
      <c r="R13" s="3855">
        <f t="shared" si="4"/>
        <v>419</v>
      </c>
      <c r="S13" s="3855">
        <f t="shared" si="4"/>
        <v>437</v>
      </c>
      <c r="T13" s="3855">
        <f t="shared" si="4"/>
        <v>462</v>
      </c>
      <c r="U13" s="3855">
        <f t="shared" si="4"/>
        <v>496</v>
      </c>
      <c r="V13" s="3856">
        <f t="shared" si="4"/>
        <v>527</v>
      </c>
      <c r="W13" s="4488"/>
      <c r="X13" s="4504">
        <f t="shared" si="8"/>
        <v>139.40049075174855</v>
      </c>
      <c r="Y13" s="4504">
        <f t="shared" si="9"/>
        <v>165.02385043914862</v>
      </c>
      <c r="Z13" s="4504">
        <f t="shared" si="10"/>
        <v>176.36746653343786</v>
      </c>
      <c r="AA13" s="4504">
        <f t="shared" si="11"/>
        <v>188.80049857299699</v>
      </c>
      <c r="AB13" s="4504">
        <f t="shared" si="12"/>
        <v>205.38981446135327</v>
      </c>
      <c r="AC13" s="4504">
        <f t="shared" si="13"/>
        <v>220.99949794427221</v>
      </c>
      <c r="AD13" s="4504">
        <f t="shared" si="14"/>
        <v>181.50861782465756</v>
      </c>
      <c r="AE13" s="4504">
        <f t="shared" si="15"/>
        <v>214.23129822121555</v>
      </c>
      <c r="AF13" s="4504">
        <f t="shared" si="16"/>
        <v>223.43455208274747</v>
      </c>
      <c r="AG13" s="4504">
        <f t="shared" si="17"/>
        <v>236.21684911265294</v>
      </c>
      <c r="AH13" s="4504">
        <f t="shared" si="18"/>
        <v>253.60077307332438</v>
      </c>
      <c r="AI13" s="4504">
        <f t="shared" si="19"/>
        <v>269.45082139040716</v>
      </c>
    </row>
    <row r="14" spans="1:35" ht="13.2">
      <c r="A14" s="433" t="s">
        <v>470</v>
      </c>
      <c r="B14" s="1481" t="s">
        <v>471</v>
      </c>
      <c r="C14" s="314" t="s">
        <v>676</v>
      </c>
      <c r="D14" s="445">
        <v>108</v>
      </c>
      <c r="E14" s="420">
        <v>85</v>
      </c>
      <c r="F14" s="420">
        <v>86</v>
      </c>
      <c r="G14" s="420">
        <v>87</v>
      </c>
      <c r="H14" s="420">
        <v>88</v>
      </c>
      <c r="I14" s="435">
        <v>89</v>
      </c>
      <c r="J14" s="419">
        <v>46.211568037633498</v>
      </c>
      <c r="K14" s="3963">
        <v>40.450040025492115</v>
      </c>
      <c r="L14" s="3963">
        <v>43.609776755569868</v>
      </c>
      <c r="M14" s="3963">
        <v>47.113067390581982</v>
      </c>
      <c r="N14" s="3963">
        <v>51.044124109301315</v>
      </c>
      <c r="O14" s="4092">
        <v>55.460621777918519</v>
      </c>
      <c r="P14" s="2997">
        <f t="shared" si="7"/>
        <v>-0.12467718055897486</v>
      </c>
      <c r="Q14" s="4095">
        <f t="shared" si="4"/>
        <v>428</v>
      </c>
      <c r="R14" s="3855">
        <f t="shared" si="4"/>
        <v>476</v>
      </c>
      <c r="S14" s="3855">
        <f t="shared" si="4"/>
        <v>507</v>
      </c>
      <c r="T14" s="3855">
        <f t="shared" si="4"/>
        <v>542</v>
      </c>
      <c r="U14" s="3855">
        <f t="shared" si="4"/>
        <v>580</v>
      </c>
      <c r="V14" s="3856">
        <f t="shared" si="4"/>
        <v>623</v>
      </c>
      <c r="W14" s="4488"/>
      <c r="X14" s="4504">
        <f t="shared" si="8"/>
        <v>23.627599554988674</v>
      </c>
      <c r="Y14" s="4504">
        <f t="shared" si="9"/>
        <v>20.681777059096198</v>
      </c>
      <c r="Z14" s="4504">
        <f t="shared" si="10"/>
        <v>22.297324795902441</v>
      </c>
      <c r="AA14" s="4504">
        <f t="shared" si="11"/>
        <v>24.088528855054879</v>
      </c>
      <c r="AB14" s="4504">
        <f t="shared" si="12"/>
        <v>26.098446239857921</v>
      </c>
      <c r="AC14" s="4504">
        <f t="shared" si="13"/>
        <v>28.356565641143924</v>
      </c>
      <c r="AD14" s="4504">
        <f t="shared" si="14"/>
        <v>218.83292515198153</v>
      </c>
      <c r="AE14" s="4504">
        <f t="shared" si="15"/>
        <v>243.3749354494</v>
      </c>
      <c r="AF14" s="4504">
        <f t="shared" si="16"/>
        <v>259.22498376648275</v>
      </c>
      <c r="AG14" s="4504">
        <f t="shared" si="17"/>
        <v>277.12019960835045</v>
      </c>
      <c r="AH14" s="4504">
        <f t="shared" si="18"/>
        <v>296.54929109380674</v>
      </c>
      <c r="AI14" s="4504">
        <f t="shared" si="19"/>
        <v>318.5348419852441</v>
      </c>
    </row>
    <row r="15" spans="1:35" ht="13.2">
      <c r="A15" s="433" t="s">
        <v>472</v>
      </c>
      <c r="B15" s="1481" t="s">
        <v>1345</v>
      </c>
      <c r="C15" s="314" t="s">
        <v>676</v>
      </c>
      <c r="D15" s="445">
        <v>226</v>
      </c>
      <c r="E15" s="420">
        <v>182</v>
      </c>
      <c r="F15" s="420">
        <v>184</v>
      </c>
      <c r="G15" s="420">
        <v>186</v>
      </c>
      <c r="H15" s="420">
        <v>188</v>
      </c>
      <c r="I15" s="435">
        <v>190</v>
      </c>
      <c r="J15" s="419">
        <v>67.250726656788146</v>
      </c>
      <c r="K15" s="3963">
        <v>73.31878290847321</v>
      </c>
      <c r="L15" s="3963">
        <v>81.359967342697729</v>
      </c>
      <c r="M15" s="3963">
        <v>90.137608180675684</v>
      </c>
      <c r="N15" s="3963">
        <v>100.00165884605063</v>
      </c>
      <c r="O15" s="4092">
        <v>111.10134065909655</v>
      </c>
      <c r="P15" s="2997">
        <f t="shared" si="7"/>
        <v>9.023034476122746E-2</v>
      </c>
      <c r="Q15" s="4095">
        <f t="shared" si="4"/>
        <v>298</v>
      </c>
      <c r="R15" s="3855">
        <f t="shared" si="4"/>
        <v>403</v>
      </c>
      <c r="S15" s="3855">
        <f t="shared" si="4"/>
        <v>442</v>
      </c>
      <c r="T15" s="3855">
        <f t="shared" si="4"/>
        <v>485</v>
      </c>
      <c r="U15" s="3855">
        <f t="shared" si="4"/>
        <v>532</v>
      </c>
      <c r="V15" s="3856">
        <f t="shared" si="4"/>
        <v>585</v>
      </c>
      <c r="W15" s="4488"/>
      <c r="X15" s="4504">
        <f t="shared" si="8"/>
        <v>34.384750544161889</v>
      </c>
      <c r="Y15" s="4504">
        <f t="shared" si="9"/>
        <v>37.487298440290417</v>
      </c>
      <c r="Z15" s="4504">
        <f t="shared" si="10"/>
        <v>41.598690756710823</v>
      </c>
      <c r="AA15" s="4504">
        <f t="shared" si="11"/>
        <v>46.086627253225323</v>
      </c>
      <c r="AB15" s="4504">
        <f t="shared" si="12"/>
        <v>51.130036274139691</v>
      </c>
      <c r="AC15" s="4504">
        <f t="shared" si="13"/>
        <v>56.805213469011392</v>
      </c>
      <c r="AD15" s="4504">
        <f t="shared" si="14"/>
        <v>152.36498059647312</v>
      </c>
      <c r="AE15" s="4504">
        <f t="shared" si="15"/>
        <v>206.05062812207606</v>
      </c>
      <c r="AF15" s="4504">
        <f t="shared" si="16"/>
        <v>225.99101148872859</v>
      </c>
      <c r="AG15" s="4504">
        <f t="shared" si="17"/>
        <v>247.97656238016597</v>
      </c>
      <c r="AH15" s="4504">
        <f t="shared" si="18"/>
        <v>272.00728079638822</v>
      </c>
      <c r="AI15" s="4504">
        <f t="shared" si="19"/>
        <v>299.1057504997878</v>
      </c>
    </row>
    <row r="16" spans="1:35" ht="24">
      <c r="A16" s="433" t="s">
        <v>473</v>
      </c>
      <c r="B16" s="1481" t="s">
        <v>1346</v>
      </c>
      <c r="C16" s="314" t="s">
        <v>676</v>
      </c>
      <c r="D16" s="445">
        <v>83</v>
      </c>
      <c r="E16" s="420">
        <v>83</v>
      </c>
      <c r="F16" s="420">
        <v>85</v>
      </c>
      <c r="G16" s="420">
        <v>87</v>
      </c>
      <c r="H16" s="420">
        <v>87</v>
      </c>
      <c r="I16" s="435">
        <v>89</v>
      </c>
      <c r="J16" s="419">
        <v>24.372867847203068</v>
      </c>
      <c r="K16" s="3963">
        <v>31.898409192692657</v>
      </c>
      <c r="L16" s="3963">
        <v>35.306546895269257</v>
      </c>
      <c r="M16" s="3963">
        <v>40.361310461194336</v>
      </c>
      <c r="N16" s="3963">
        <v>44.655130038170185</v>
      </c>
      <c r="O16" s="4092">
        <v>50.964746469351915</v>
      </c>
      <c r="P16" s="2997">
        <f t="shared" si="7"/>
        <v>0.30876716653404374</v>
      </c>
      <c r="Q16" s="4095">
        <f t="shared" si="4"/>
        <v>294</v>
      </c>
      <c r="R16" s="3855">
        <f t="shared" si="4"/>
        <v>384</v>
      </c>
      <c r="S16" s="3855">
        <f t="shared" si="4"/>
        <v>415</v>
      </c>
      <c r="T16" s="3855">
        <f t="shared" si="4"/>
        <v>464</v>
      </c>
      <c r="U16" s="3855">
        <f t="shared" si="4"/>
        <v>513</v>
      </c>
      <c r="V16" s="3856">
        <f t="shared" si="4"/>
        <v>573</v>
      </c>
      <c r="W16" s="4488"/>
      <c r="X16" s="4504">
        <f t="shared" si="8"/>
        <v>12.461649451743284</v>
      </c>
      <c r="Y16" s="4504">
        <f t="shared" si="9"/>
        <v>16.309397643298578</v>
      </c>
      <c r="Z16" s="4504">
        <f t="shared" si="10"/>
        <v>18.051950780624725</v>
      </c>
      <c r="AA16" s="4504">
        <f t="shared" si="11"/>
        <v>20.636410353248664</v>
      </c>
      <c r="AB16" s="4504">
        <f t="shared" si="12"/>
        <v>22.831805442277798</v>
      </c>
      <c r="AC16" s="4504">
        <f t="shared" si="13"/>
        <v>26.057861097003276</v>
      </c>
      <c r="AD16" s="4504">
        <f t="shared" si="14"/>
        <v>150.31981307168823</v>
      </c>
      <c r="AE16" s="4504">
        <f t="shared" si="15"/>
        <v>196.33608237934791</v>
      </c>
      <c r="AF16" s="4504">
        <f t="shared" si="16"/>
        <v>212.18613069643067</v>
      </c>
      <c r="AG16" s="4504">
        <f t="shared" si="17"/>
        <v>237.2394328750454</v>
      </c>
      <c r="AH16" s="4504">
        <f t="shared" si="18"/>
        <v>262.29273505366007</v>
      </c>
      <c r="AI16" s="4504">
        <f t="shared" si="19"/>
        <v>292.97024792543317</v>
      </c>
    </row>
    <row r="17" spans="1:35" ht="23.25" customHeight="1">
      <c r="A17" s="433" t="s">
        <v>474</v>
      </c>
      <c r="B17" s="1481" t="s">
        <v>1347</v>
      </c>
      <c r="C17" s="314" t="s">
        <v>676</v>
      </c>
      <c r="D17" s="445">
        <v>169</v>
      </c>
      <c r="E17" s="420">
        <v>165</v>
      </c>
      <c r="F17" s="420">
        <v>170</v>
      </c>
      <c r="G17" s="420">
        <v>175</v>
      </c>
      <c r="H17" s="420">
        <v>180</v>
      </c>
      <c r="I17" s="435">
        <v>185</v>
      </c>
      <c r="J17" s="419">
        <v>23.821894219202829</v>
      </c>
      <c r="K17" s="3963">
        <v>31.151372781575912</v>
      </c>
      <c r="L17" s="3963">
        <v>32.486378091590375</v>
      </c>
      <c r="M17" s="3963">
        <v>34.33522559947972</v>
      </c>
      <c r="N17" s="3963">
        <v>35.766720270168257</v>
      </c>
      <c r="O17" s="4092">
        <v>37.836587532009908</v>
      </c>
      <c r="P17" s="2997">
        <f t="shared" si="7"/>
        <v>0.3076782431711409</v>
      </c>
      <c r="Q17" s="4095">
        <f t="shared" si="4"/>
        <v>141</v>
      </c>
      <c r="R17" s="3855">
        <f t="shared" si="4"/>
        <v>189</v>
      </c>
      <c r="S17" s="3855">
        <f t="shared" si="4"/>
        <v>191</v>
      </c>
      <c r="T17" s="3855">
        <f t="shared" si="4"/>
        <v>196</v>
      </c>
      <c r="U17" s="3855">
        <f t="shared" si="4"/>
        <v>199</v>
      </c>
      <c r="V17" s="3856">
        <f t="shared" si="4"/>
        <v>205</v>
      </c>
      <c r="W17" s="4488"/>
      <c r="X17" s="4504">
        <f t="shared" si="8"/>
        <v>12.179941108993537</v>
      </c>
      <c r="Y17" s="4504">
        <f t="shared" si="9"/>
        <v>15.927443991336625</v>
      </c>
      <c r="Z17" s="4504">
        <f t="shared" si="10"/>
        <v>16.61002136770086</v>
      </c>
      <c r="AA17" s="4504">
        <f t="shared" si="11"/>
        <v>17.555322088054545</v>
      </c>
      <c r="AB17" s="4504">
        <f t="shared" si="12"/>
        <v>18.287233691153247</v>
      </c>
      <c r="AC17" s="4504">
        <f t="shared" si="13"/>
        <v>19.345540017286734</v>
      </c>
      <c r="AD17" s="4504">
        <f t="shared" si="14"/>
        <v>72.092155248666813</v>
      </c>
      <c r="AE17" s="4504">
        <f t="shared" si="15"/>
        <v>96.634165546085299</v>
      </c>
      <c r="AF17" s="4504">
        <f t="shared" si="16"/>
        <v>97.656749308477728</v>
      </c>
      <c r="AG17" s="4504">
        <f t="shared" si="17"/>
        <v>100.21320871445883</v>
      </c>
      <c r="AH17" s="4504">
        <f t="shared" si="18"/>
        <v>101.74708435804749</v>
      </c>
      <c r="AI17" s="4504">
        <f t="shared" si="19"/>
        <v>104.81483564522479</v>
      </c>
    </row>
    <row r="18" spans="1:35" ht="13.2">
      <c r="A18" s="433" t="s">
        <v>475</v>
      </c>
      <c r="B18" s="1481" t="s">
        <v>1348</v>
      </c>
      <c r="C18" s="314" t="s">
        <v>676</v>
      </c>
      <c r="D18" s="445">
        <v>22</v>
      </c>
      <c r="E18" s="420">
        <v>22</v>
      </c>
      <c r="F18" s="420">
        <v>22</v>
      </c>
      <c r="G18" s="420">
        <v>23</v>
      </c>
      <c r="H18" s="420">
        <v>23</v>
      </c>
      <c r="I18" s="435">
        <v>23</v>
      </c>
      <c r="J18" s="419">
        <v>5.5248249397013041</v>
      </c>
      <c r="K18" s="3963">
        <v>7.645368736164162</v>
      </c>
      <c r="L18" s="3963">
        <v>8.273442075712742</v>
      </c>
      <c r="M18" s="3963">
        <v>9.2564575779878542</v>
      </c>
      <c r="N18" s="3963">
        <v>10.04137307892476</v>
      </c>
      <c r="O18" s="4092">
        <v>12.046100574650817</v>
      </c>
      <c r="P18" s="2997">
        <f t="shared" si="7"/>
        <v>0.38382099335395481</v>
      </c>
      <c r="Q18" s="4095">
        <f t="shared" si="4"/>
        <v>251</v>
      </c>
      <c r="R18" s="3855">
        <f t="shared" si="4"/>
        <v>348</v>
      </c>
      <c r="S18" s="3855">
        <f t="shared" si="4"/>
        <v>376</v>
      </c>
      <c r="T18" s="3855">
        <f t="shared" si="4"/>
        <v>402</v>
      </c>
      <c r="U18" s="3855">
        <f t="shared" si="4"/>
        <v>437</v>
      </c>
      <c r="V18" s="3856">
        <f>ROUND(IFERROR(O18*1000/I18,0),0)</f>
        <v>524</v>
      </c>
      <c r="W18" s="4488"/>
      <c r="X18" s="4504">
        <f t="shared" si="8"/>
        <v>2.824798136699664</v>
      </c>
      <c r="Y18" s="4504">
        <f t="shared" si="9"/>
        <v>3.9090149635521301</v>
      </c>
      <c r="Z18" s="4504">
        <f t="shared" si="10"/>
        <v>4.2301437628591145</v>
      </c>
      <c r="AA18" s="4504">
        <f t="shared" si="11"/>
        <v>4.7327516082624026</v>
      </c>
      <c r="AB18" s="4504">
        <f t="shared" si="12"/>
        <v>5.1340725313165052</v>
      </c>
      <c r="AC18" s="4504">
        <f t="shared" si="13"/>
        <v>6.1590734238920648</v>
      </c>
      <c r="AD18" s="4504">
        <f t="shared" si="14"/>
        <v>128.33426218025085</v>
      </c>
      <c r="AE18" s="4504">
        <f t="shared" si="15"/>
        <v>177.92957465628405</v>
      </c>
      <c r="AF18" s="4504">
        <f t="shared" si="16"/>
        <v>192.24574732977814</v>
      </c>
      <c r="AG18" s="4504">
        <f t="shared" si="17"/>
        <v>205.53933624087983</v>
      </c>
      <c r="AH18" s="4504">
        <f t="shared" si="18"/>
        <v>223.43455208274747</v>
      </c>
      <c r="AI18" s="4504">
        <f t="shared" si="19"/>
        <v>267.9169457468185</v>
      </c>
    </row>
    <row r="19" spans="1:35" ht="24">
      <c r="A19" s="433" t="s">
        <v>476</v>
      </c>
      <c r="B19" s="1481" t="s">
        <v>1408</v>
      </c>
      <c r="C19" s="314" t="s">
        <v>676</v>
      </c>
      <c r="D19" s="445">
        <v>50</v>
      </c>
      <c r="E19" s="420">
        <v>50</v>
      </c>
      <c r="F19" s="420">
        <v>51</v>
      </c>
      <c r="G19" s="420">
        <v>51</v>
      </c>
      <c r="H19" s="420">
        <v>52</v>
      </c>
      <c r="I19" s="435">
        <v>52</v>
      </c>
      <c r="J19" s="419">
        <v>14.569969461921424</v>
      </c>
      <c r="K19" s="3963">
        <v>17.995808189843828</v>
      </c>
      <c r="L19" s="3963">
        <v>19.965175731563434</v>
      </c>
      <c r="M19" s="3963">
        <v>22.148718364839844</v>
      </c>
      <c r="N19" s="3963">
        <v>24.598878065970869</v>
      </c>
      <c r="O19" s="4092">
        <v>27.351576707873654</v>
      </c>
      <c r="P19" s="2997">
        <f t="shared" si="7"/>
        <v>0.23513012411424911</v>
      </c>
      <c r="Q19" s="4095">
        <f t="shared" si="4"/>
        <v>291</v>
      </c>
      <c r="R19" s="3855">
        <f t="shared" si="4"/>
        <v>360</v>
      </c>
      <c r="S19" s="3855">
        <f t="shared" si="4"/>
        <v>391</v>
      </c>
      <c r="T19" s="3855">
        <f t="shared" si="4"/>
        <v>434</v>
      </c>
      <c r="U19" s="3855">
        <f t="shared" si="4"/>
        <v>473</v>
      </c>
      <c r="V19" s="3856">
        <f t="shared" si="4"/>
        <v>526</v>
      </c>
      <c r="W19" s="4488"/>
      <c r="X19" s="4504">
        <f t="shared" si="8"/>
        <v>7.4495070951572604</v>
      </c>
      <c r="Y19" s="4504">
        <f t="shared" si="9"/>
        <v>9.2011106230315658</v>
      </c>
      <c r="Z19" s="4504">
        <f t="shared" si="10"/>
        <v>10.208032258204156</v>
      </c>
      <c r="AA19" s="4504">
        <f t="shared" si="11"/>
        <v>11.324459878844197</v>
      </c>
      <c r="AB19" s="4504">
        <f t="shared" si="12"/>
        <v>12.577206641666642</v>
      </c>
      <c r="AC19" s="4504">
        <f t="shared" si="13"/>
        <v>13.984639108651393</v>
      </c>
      <c r="AD19" s="4504">
        <f t="shared" si="14"/>
        <v>148.78593742809957</v>
      </c>
      <c r="AE19" s="4504">
        <f t="shared" si="15"/>
        <v>184.06507723063865</v>
      </c>
      <c r="AF19" s="4504">
        <f t="shared" si="16"/>
        <v>199.91512554772143</v>
      </c>
      <c r="AG19" s="4504">
        <f t="shared" si="17"/>
        <v>221.90067643915881</v>
      </c>
      <c r="AH19" s="4504">
        <f t="shared" si="18"/>
        <v>241.84105980581134</v>
      </c>
      <c r="AI19" s="4504">
        <f t="shared" si="19"/>
        <v>268.93952950921096</v>
      </c>
    </row>
    <row r="20" spans="1:35" ht="13.2">
      <c r="A20" s="433" t="s">
        <v>681</v>
      </c>
      <c r="B20" s="1482" t="s">
        <v>914</v>
      </c>
      <c r="C20" s="314" t="s">
        <v>676</v>
      </c>
      <c r="D20" s="445">
        <v>106</v>
      </c>
      <c r="E20" s="420">
        <v>110</v>
      </c>
      <c r="F20" s="420">
        <v>112</v>
      </c>
      <c r="G20" s="420">
        <v>112</v>
      </c>
      <c r="H20" s="420">
        <v>112</v>
      </c>
      <c r="I20" s="435">
        <v>113</v>
      </c>
      <c r="J20" s="419">
        <v>23.149996152998966</v>
      </c>
      <c r="K20" s="3963">
        <v>35.126652608864561</v>
      </c>
      <c r="L20" s="3963">
        <v>39.184322320833921</v>
      </c>
      <c r="M20" s="3963">
        <v>43.683765295919549</v>
      </c>
      <c r="N20" s="3963">
        <v>48.734411185065291</v>
      </c>
      <c r="O20" s="4092">
        <v>54.410433935316945</v>
      </c>
      <c r="P20" s="2997">
        <f t="shared" si="7"/>
        <v>0.51735025685151481</v>
      </c>
      <c r="Q20" s="4095">
        <f t="shared" si="4"/>
        <v>218</v>
      </c>
      <c r="R20" s="3855">
        <f t="shared" si="4"/>
        <v>319</v>
      </c>
      <c r="S20" s="3855">
        <f t="shared" si="4"/>
        <v>350</v>
      </c>
      <c r="T20" s="3855">
        <f t="shared" si="4"/>
        <v>390</v>
      </c>
      <c r="U20" s="3855">
        <f t="shared" si="4"/>
        <v>435</v>
      </c>
      <c r="V20" s="3856">
        <f t="shared" si="4"/>
        <v>482</v>
      </c>
      <c r="W20" s="4488"/>
      <c r="X20" s="4504">
        <f t="shared" si="8"/>
        <v>11.836405082752062</v>
      </c>
      <c r="Y20" s="4504">
        <f t="shared" si="9"/>
        <v>17.959972292512418</v>
      </c>
      <c r="Z20" s="4504">
        <f t="shared" si="10"/>
        <v>20.03462587281815</v>
      </c>
      <c r="AA20" s="4504">
        <f t="shared" si="11"/>
        <v>22.33515453588479</v>
      </c>
      <c r="AB20" s="4504">
        <f t="shared" si="12"/>
        <v>24.917508773802066</v>
      </c>
      <c r="AC20" s="4504">
        <f t="shared" si="13"/>
        <v>27.819613123490768</v>
      </c>
      <c r="AD20" s="4504">
        <f t="shared" si="14"/>
        <v>111.46163010077564</v>
      </c>
      <c r="AE20" s="4504">
        <f t="shared" si="15"/>
        <v>163.10211010159369</v>
      </c>
      <c r="AF20" s="4504">
        <f t="shared" si="16"/>
        <v>178.95215841867648</v>
      </c>
      <c r="AG20" s="4504">
        <f t="shared" si="17"/>
        <v>199.4038336665252</v>
      </c>
      <c r="AH20" s="4504">
        <f t="shared" si="18"/>
        <v>222.41196832035504</v>
      </c>
      <c r="AI20" s="4504">
        <f t="shared" si="19"/>
        <v>246.44268673657731</v>
      </c>
    </row>
    <row r="21" spans="1:35" ht="13.2">
      <c r="A21" s="433" t="s">
        <v>729</v>
      </c>
      <c r="B21" s="1482" t="s">
        <v>915</v>
      </c>
      <c r="C21" s="314" t="s">
        <v>676</v>
      </c>
      <c r="D21" s="445">
        <v>161</v>
      </c>
      <c r="E21" s="420">
        <v>120</v>
      </c>
      <c r="F21" s="420">
        <v>120</v>
      </c>
      <c r="G21" s="420">
        <v>120</v>
      </c>
      <c r="H21" s="420">
        <v>120</v>
      </c>
      <c r="I21" s="435">
        <v>120</v>
      </c>
      <c r="J21" s="419">
        <v>67.210832034924223</v>
      </c>
      <c r="K21" s="3963">
        <v>54.573205603841714</v>
      </c>
      <c r="L21" s="3963">
        <v>54.750943981454405</v>
      </c>
      <c r="M21" s="3963">
        <v>54.948057194880732</v>
      </c>
      <c r="N21" s="3963">
        <v>55.169297810985938</v>
      </c>
      <c r="O21" s="4092">
        <v>55.417926883873662</v>
      </c>
      <c r="P21" s="2997">
        <f t="shared" si="7"/>
        <v>-0.18802960844936009</v>
      </c>
      <c r="Q21" s="4095">
        <f t="shared" si="4"/>
        <v>417</v>
      </c>
      <c r="R21" s="3855">
        <f t="shared" si="4"/>
        <v>455</v>
      </c>
      <c r="S21" s="3855">
        <f t="shared" si="4"/>
        <v>456</v>
      </c>
      <c r="T21" s="3855">
        <f t="shared" si="4"/>
        <v>458</v>
      </c>
      <c r="U21" s="3855">
        <f t="shared" si="4"/>
        <v>460</v>
      </c>
      <c r="V21" s="3856">
        <f t="shared" si="4"/>
        <v>462</v>
      </c>
      <c r="W21" s="4488"/>
      <c r="X21" s="4504">
        <f t="shared" si="8"/>
        <v>34.364352747899474</v>
      </c>
      <c r="Y21" s="4504">
        <f t="shared" si="9"/>
        <v>27.902836956096245</v>
      </c>
      <c r="Z21" s="4504">
        <f t="shared" si="10"/>
        <v>27.9937131455466</v>
      </c>
      <c r="AA21" s="4504">
        <f t="shared" si="11"/>
        <v>28.094495531247979</v>
      </c>
      <c r="AB21" s="4504">
        <f t="shared" si="12"/>
        <v>28.20761406205342</v>
      </c>
      <c r="AC21" s="4504">
        <f t="shared" si="13"/>
        <v>28.334736088450256</v>
      </c>
      <c r="AD21" s="4504">
        <f t="shared" si="14"/>
        <v>213.20871445882312</v>
      </c>
      <c r="AE21" s="4504">
        <f t="shared" si="15"/>
        <v>232.63780594427942</v>
      </c>
      <c r="AF21" s="4504">
        <f t="shared" si="16"/>
        <v>233.14909782547562</v>
      </c>
      <c r="AG21" s="4504">
        <f t="shared" si="17"/>
        <v>234.17168158786808</v>
      </c>
      <c r="AH21" s="4504">
        <f t="shared" si="18"/>
        <v>235.19426535026051</v>
      </c>
      <c r="AI21" s="4504">
        <f t="shared" si="19"/>
        <v>236.21684911265294</v>
      </c>
    </row>
    <row r="22" spans="1:35" ht="26.25" customHeight="1">
      <c r="A22" s="433" t="s">
        <v>730</v>
      </c>
      <c r="B22" s="2062" t="s">
        <v>1349</v>
      </c>
      <c r="C22" s="314" t="s">
        <v>676</v>
      </c>
      <c r="D22" s="445">
        <v>947</v>
      </c>
      <c r="E22" s="420">
        <v>900</v>
      </c>
      <c r="F22" s="420">
        <v>910</v>
      </c>
      <c r="G22" s="420">
        <v>910</v>
      </c>
      <c r="H22" s="420">
        <v>920</v>
      </c>
      <c r="I22" s="435">
        <v>920</v>
      </c>
      <c r="J22" s="419">
        <v>33.012914659694843</v>
      </c>
      <c r="K22" s="3963">
        <v>44.975644915997471</v>
      </c>
      <c r="L22" s="3963">
        <v>50.364318240458516</v>
      </c>
      <c r="M22" s="3963">
        <v>56.337858858517997</v>
      </c>
      <c r="N22" s="3963">
        <v>63.040544675396049</v>
      </c>
      <c r="O22" s="4092">
        <v>70.569969968493822</v>
      </c>
      <c r="P22" s="2997">
        <f t="shared" si="7"/>
        <v>0.36236516465199642</v>
      </c>
      <c r="Q22" s="4095">
        <f t="shared" si="4"/>
        <v>35</v>
      </c>
      <c r="R22" s="3855">
        <f t="shared" si="4"/>
        <v>50</v>
      </c>
      <c r="S22" s="3855">
        <f t="shared" si="4"/>
        <v>55</v>
      </c>
      <c r="T22" s="3855">
        <f t="shared" si="4"/>
        <v>62</v>
      </c>
      <c r="U22" s="3855">
        <f t="shared" si="4"/>
        <v>69</v>
      </c>
      <c r="V22" s="3856">
        <f t="shared" si="4"/>
        <v>77</v>
      </c>
      <c r="W22" s="4488"/>
      <c r="X22" s="4504">
        <f t="shared" si="8"/>
        <v>16.879235240125595</v>
      </c>
      <c r="Y22" s="4504">
        <f t="shared" si="9"/>
        <v>22.995682097113487</v>
      </c>
      <c r="Z22" s="4504">
        <f t="shared" si="10"/>
        <v>25.750867018329057</v>
      </c>
      <c r="AA22" s="4504">
        <f t="shared" si="11"/>
        <v>28.805089838338709</v>
      </c>
      <c r="AB22" s="4504">
        <f t="shared" si="12"/>
        <v>32.232118678717498</v>
      </c>
      <c r="AC22" s="4504">
        <f t="shared" si="13"/>
        <v>36.081852701151853</v>
      </c>
      <c r="AD22" s="4504">
        <f t="shared" si="14"/>
        <v>17.895215841867646</v>
      </c>
      <c r="AE22" s="4504">
        <f t="shared" si="15"/>
        <v>25.564594059810926</v>
      </c>
      <c r="AF22" s="4504">
        <f t="shared" si="16"/>
        <v>28.121053465792016</v>
      </c>
      <c r="AG22" s="4504">
        <f t="shared" si="17"/>
        <v>31.700096634165547</v>
      </c>
      <c r="AH22" s="4504">
        <f t="shared" si="18"/>
        <v>35.279139802539078</v>
      </c>
      <c r="AI22" s="4504">
        <f t="shared" si="19"/>
        <v>39.369474852108823</v>
      </c>
    </row>
    <row r="23" spans="1:35" ht="24.6" thickBot="1">
      <c r="A23" s="433" t="s">
        <v>731</v>
      </c>
      <c r="B23" s="1481" t="s">
        <v>1340</v>
      </c>
      <c r="C23" s="314" t="s">
        <v>313</v>
      </c>
      <c r="D23" s="2063"/>
      <c r="E23" s="2064"/>
      <c r="F23" s="2064"/>
      <c r="G23" s="2064"/>
      <c r="H23" s="2064"/>
      <c r="I23" s="2065"/>
      <c r="J23" s="3645">
        <v>84.950970258281913</v>
      </c>
      <c r="K23" s="3964">
        <v>100.94310939992849</v>
      </c>
      <c r="L23" s="3964">
        <v>108.98214413444481</v>
      </c>
      <c r="M23" s="3964">
        <v>117.90078314990689</v>
      </c>
      <c r="N23" s="3964">
        <v>127.91571322619157</v>
      </c>
      <c r="O23" s="4093">
        <v>139.17614456494783</v>
      </c>
      <c r="P23" s="4441">
        <f t="shared" si="7"/>
        <v>0.18825140069647991</v>
      </c>
      <c r="Q23" s="3672"/>
      <c r="R23" s="2064"/>
      <c r="S23" s="2064"/>
      <c r="T23" s="2064"/>
      <c r="U23" s="2064"/>
      <c r="V23" s="2065"/>
      <c r="W23" s="4488"/>
      <c r="X23" s="4504">
        <f t="shared" si="8"/>
        <v>43.434741392800966</v>
      </c>
      <c r="Y23" s="4504">
        <f t="shared" si="9"/>
        <v>51.611392298885121</v>
      </c>
      <c r="Z23" s="4504">
        <f t="shared" si="10"/>
        <v>55.721685491297713</v>
      </c>
      <c r="AA23" s="4504">
        <f t="shared" si="11"/>
        <v>60.281713211223312</v>
      </c>
      <c r="AB23" s="4504">
        <f t="shared" si="12"/>
        <v>65.40226564997549</v>
      </c>
      <c r="AC23" s="4504">
        <f t="shared" si="13"/>
        <v>71.15963277224904</v>
      </c>
    </row>
    <row r="24" spans="1:35" ht="23.4" thickBot="1">
      <c r="A24" s="3646"/>
      <c r="B24" s="3647" t="s">
        <v>1350</v>
      </c>
      <c r="C24" s="1484"/>
      <c r="D24" s="3648">
        <f t="shared" ref="D24:O24" si="20">SUM(D10:D23)</f>
        <v>4794</v>
      </c>
      <c r="E24" s="324">
        <f t="shared" si="20"/>
        <v>4427</v>
      </c>
      <c r="F24" s="324">
        <f t="shared" si="20"/>
        <v>4498</v>
      </c>
      <c r="G24" s="324">
        <f t="shared" si="20"/>
        <v>4546</v>
      </c>
      <c r="H24" s="324">
        <f t="shared" si="20"/>
        <v>4599</v>
      </c>
      <c r="I24" s="323">
        <f t="shared" si="20"/>
        <v>4646</v>
      </c>
      <c r="J24" s="3648">
        <f t="shared" si="20"/>
        <v>1683.7457744091384</v>
      </c>
      <c r="K24" s="324">
        <f t="shared" si="20"/>
        <v>1864.1993737026694</v>
      </c>
      <c r="L24" s="324">
        <f t="shared" si="20"/>
        <v>1982.2336446603063</v>
      </c>
      <c r="M24" s="324">
        <f t="shared" si="20"/>
        <v>2130.4710286233117</v>
      </c>
      <c r="N24" s="324">
        <f t="shared" si="20"/>
        <v>2299.2019449777345</v>
      </c>
      <c r="O24" s="3649">
        <f t="shared" si="20"/>
        <v>2475.3325852824564</v>
      </c>
      <c r="P24" s="4263">
        <f t="shared" si="7"/>
        <v>0.10717389883686917</v>
      </c>
      <c r="Q24" s="3650"/>
      <c r="R24" s="3651"/>
      <c r="S24" s="3651"/>
      <c r="T24" s="3651"/>
      <c r="U24" s="3651"/>
      <c r="V24" s="3652"/>
      <c r="W24" s="4488"/>
      <c r="X24" s="4504">
        <f t="shared" si="8"/>
        <v>860.88554445383215</v>
      </c>
      <c r="Y24" s="4504">
        <f t="shared" si="9"/>
        <v>953.15000470525013</v>
      </c>
      <c r="Z24" s="4504">
        <f t="shared" si="10"/>
        <v>1013.4999691488044</v>
      </c>
      <c r="AA24" s="4504">
        <f t="shared" si="11"/>
        <v>1089.2925400588556</v>
      </c>
      <c r="AB24" s="4504">
        <f t="shared" si="12"/>
        <v>1175.5632876976704</v>
      </c>
      <c r="AC24" s="4504">
        <f t="shared" si="13"/>
        <v>1265.6174541153662</v>
      </c>
    </row>
    <row r="25" spans="1:35" ht="13.8" thickBot="1">
      <c r="A25" s="3653"/>
      <c r="B25" s="3654" t="s">
        <v>1427</v>
      </c>
      <c r="C25" s="3701" t="s">
        <v>170</v>
      </c>
      <c r="D25" s="3655"/>
      <c r="E25" s="3656">
        <f>IFERROR((E24-D24)/D24,0)</f>
        <v>-7.6554025865665412E-2</v>
      </c>
      <c r="F25" s="3656">
        <f>IFERROR((F24-E24)/E24,0)</f>
        <v>1.6037948949627286E-2</v>
      </c>
      <c r="G25" s="3656">
        <f>IFERROR((G24-F24)/F24,0)</f>
        <v>1.0671409515340151E-2</v>
      </c>
      <c r="H25" s="3656">
        <f>IFERROR((H24-G24)/G24,0)</f>
        <v>1.1658600967883855E-2</v>
      </c>
      <c r="I25" s="3657">
        <f>IFERROR((I24-H24)/H24,0)</f>
        <v>1.0219612959338986E-2</v>
      </c>
      <c r="J25" s="3658"/>
      <c r="K25" s="3656">
        <f>IFERROR((K24-J24)/J24,0)</f>
        <v>0.10717389883686917</v>
      </c>
      <c r="L25" s="3656">
        <f>IFERROR((L24-K24)/K24,0)</f>
        <v>6.3316334412878497E-2</v>
      </c>
      <c r="M25" s="3656">
        <f>IFERROR((M24-L24)/L24,0)</f>
        <v>7.4783002681002686E-2</v>
      </c>
      <c r="N25" s="3656">
        <f>IFERROR((N24-M24)/M24,0)</f>
        <v>7.9198878598905412E-2</v>
      </c>
      <c r="O25" s="3656">
        <f>IFERROR((O24-N24)/N24,0)</f>
        <v>7.6605119741418634E-2</v>
      </c>
      <c r="P25" s="4091"/>
      <c r="Q25" s="3659"/>
      <c r="R25" s="3660"/>
      <c r="S25" s="3660"/>
      <c r="T25" s="3660"/>
      <c r="U25" s="3660"/>
      <c r="V25" s="3661"/>
      <c r="W25" s="4488"/>
    </row>
    <row r="26" spans="1:35" ht="13.5" customHeight="1" thickBot="1">
      <c r="A26" s="3662" t="s">
        <v>1067</v>
      </c>
      <c r="B26" s="1498"/>
      <c r="C26" s="1498"/>
      <c r="D26" s="1498"/>
      <c r="E26" s="1498"/>
      <c r="F26" s="1498"/>
      <c r="G26" s="1498"/>
      <c r="H26" s="1498"/>
      <c r="I26" s="1498"/>
      <c r="J26" s="1498"/>
      <c r="K26" s="1498"/>
      <c r="L26" s="1498"/>
      <c r="M26" s="1498"/>
      <c r="N26" s="1498"/>
      <c r="O26" s="1498"/>
      <c r="P26" s="3663"/>
      <c r="Q26" s="3663"/>
      <c r="R26" s="3663"/>
      <c r="S26" s="3663"/>
      <c r="T26" s="3663"/>
      <c r="U26" s="3663"/>
      <c r="V26" s="3664"/>
      <c r="W26" s="4488"/>
    </row>
    <row r="27" spans="1:35" ht="13.2">
      <c r="A27" s="1353"/>
      <c r="B27" s="1493" t="s">
        <v>1068</v>
      </c>
      <c r="C27" s="3710"/>
      <c r="D27" s="2067"/>
      <c r="E27" s="2068"/>
      <c r="F27" s="2068"/>
      <c r="G27" s="2068"/>
      <c r="H27" s="2068"/>
      <c r="I27" s="2069"/>
      <c r="J27" s="441">
        <v>154.61510345450446</v>
      </c>
      <c r="K27" s="442">
        <v>157.27492381499076</v>
      </c>
      <c r="L27" s="442">
        <v>154.27480682676634</v>
      </c>
      <c r="M27" s="442">
        <v>152.80506971015046</v>
      </c>
      <c r="N27" s="442">
        <v>151.58865485603346</v>
      </c>
      <c r="O27" s="4096">
        <v>149.44074285925382</v>
      </c>
      <c r="P27" s="4442">
        <f>IFERROR((K27-J27)/J27,0)</f>
        <v>1.7202849534482548E-2</v>
      </c>
      <c r="Q27" s="3665"/>
      <c r="R27" s="2068"/>
      <c r="S27" s="2068"/>
      <c r="T27" s="2068"/>
      <c r="U27" s="2068"/>
      <c r="V27" s="2069"/>
      <c r="W27" s="4488"/>
      <c r="X27" s="4504">
        <f t="shared" ref="X27" si="21">IFERROR(J27/$C$1,0)</f>
        <v>79.053447106601524</v>
      </c>
      <c r="Y27" s="4504">
        <f t="shared" ref="Y27" si="22">IFERROR(K27/$C$1,0)</f>
        <v>80.413391662358563</v>
      </c>
      <c r="Z27" s="4504">
        <f t="shared" ref="Z27" si="23">IFERROR(L27/$C$1,0)</f>
        <v>78.879456203640572</v>
      </c>
      <c r="AA27" s="4504">
        <f t="shared" ref="AA27" si="24">IFERROR(M27/$C$1,0)</f>
        <v>78.127991548422131</v>
      </c>
      <c r="AB27" s="4504">
        <f t="shared" ref="AB27" si="25">IFERROR(N27/$C$1,0)</f>
        <v>77.506048509345632</v>
      </c>
      <c r="AC27" s="4504">
        <f t="shared" ref="AC27" si="26">IFERROR(O27/$C$1,0)</f>
        <v>76.407838543868237</v>
      </c>
    </row>
    <row r="28" spans="1:35" ht="13.2">
      <c r="A28" s="1353"/>
      <c r="B28" s="3666" t="s">
        <v>1430</v>
      </c>
      <c r="C28" s="3711" t="s">
        <v>170</v>
      </c>
      <c r="D28" s="2070"/>
      <c r="E28" s="2007"/>
      <c r="F28" s="2007"/>
      <c r="G28" s="2007"/>
      <c r="H28" s="2007"/>
      <c r="I28" s="2071"/>
      <c r="J28" s="3968"/>
      <c r="K28" s="3667">
        <f>IFERROR((K27-J27)/J27,0)</f>
        <v>1.7202849534482548E-2</v>
      </c>
      <c r="L28" s="3667">
        <f>IFERROR((L27-K27)/K27,0)</f>
        <v>-1.9075621945642055E-2</v>
      </c>
      <c r="M28" s="3667">
        <f>IFERROR((M27-L27)/L27,0)</f>
        <v>-9.5267474116252047E-3</v>
      </c>
      <c r="N28" s="3667">
        <f>IFERROR((N27-M27)/M27,0)</f>
        <v>-7.9605660756175926E-3</v>
      </c>
      <c r="O28" s="4097">
        <f>IFERROR((O27-N27)/N27,0)</f>
        <v>-1.4169345316900875E-2</v>
      </c>
      <c r="P28" s="4443"/>
      <c r="Q28" s="3079"/>
      <c r="R28" s="2007"/>
      <c r="S28" s="2007"/>
      <c r="T28" s="2007"/>
      <c r="U28" s="2007"/>
      <c r="V28" s="2071"/>
      <c r="W28" s="4488"/>
    </row>
    <row r="29" spans="1:35" ht="13.2">
      <c r="A29" s="1352"/>
      <c r="B29" s="1487" t="s">
        <v>642</v>
      </c>
      <c r="C29" s="3712"/>
      <c r="D29" s="2070"/>
      <c r="E29" s="2007"/>
      <c r="F29" s="2007"/>
      <c r="G29" s="2007"/>
      <c r="H29" s="2007"/>
      <c r="I29" s="2071"/>
      <c r="J29" s="444">
        <v>426.39587756462765</v>
      </c>
      <c r="K29" s="426">
        <v>423.07706224236631</v>
      </c>
      <c r="L29" s="426">
        <v>414.85934231293044</v>
      </c>
      <c r="M29" s="426">
        <v>411.12274222410815</v>
      </c>
      <c r="N29" s="426">
        <v>407.7690202902333</v>
      </c>
      <c r="O29" s="4098">
        <v>402.40760241512243</v>
      </c>
      <c r="P29" s="4443">
        <f>IFERROR((K29-J29)/J29,0)</f>
        <v>-7.7834132478410744E-3</v>
      </c>
      <c r="Q29" s="3079"/>
      <c r="R29" s="2007"/>
      <c r="S29" s="2007"/>
      <c r="T29" s="2007"/>
      <c r="U29" s="2007"/>
      <c r="V29" s="2071"/>
      <c r="W29" s="4488"/>
      <c r="X29" s="4504">
        <f t="shared" ref="X29" si="27">IFERROR(J29/$C$1,0)</f>
        <v>218.01275037433092</v>
      </c>
      <c r="Y29" s="4504">
        <f t="shared" ref="Y29" si="28">IFERROR(K29/$C$1,0)</f>
        <v>216.31586704486909</v>
      </c>
      <c r="Z29" s="4504">
        <f t="shared" ref="Z29" si="29">IFERROR(L29/$C$1,0)</f>
        <v>212.11421356300417</v>
      </c>
      <c r="AA29" s="4504">
        <f t="shared" ref="AA29" si="30">IFERROR(M29/$C$1,0)</f>
        <v>210.20372027431227</v>
      </c>
      <c r="AB29" s="4504">
        <f t="shared" ref="AB29" si="31">IFERROR(N29/$C$1,0)</f>
        <v>208.48898947773236</v>
      </c>
      <c r="AC29" s="4504">
        <f t="shared" ref="AC29" si="32">IFERROR(O29/$C$1,0)</f>
        <v>205.74774004648791</v>
      </c>
    </row>
    <row r="30" spans="1:35" ht="13.2">
      <c r="A30" s="1352"/>
      <c r="B30" s="3666" t="s">
        <v>1427</v>
      </c>
      <c r="C30" s="3711" t="s">
        <v>170</v>
      </c>
      <c r="D30" s="2070"/>
      <c r="E30" s="2007"/>
      <c r="F30" s="2007"/>
      <c r="G30" s="2007"/>
      <c r="H30" s="2007"/>
      <c r="I30" s="2071"/>
      <c r="J30" s="3671"/>
      <c r="K30" s="3667">
        <f>IFERROR((K29-J29)/J29,0)</f>
        <v>-7.7834132478410744E-3</v>
      </c>
      <c r="L30" s="3667">
        <f>IFERROR((L29-K29)/K29,0)</f>
        <v>-1.9423695262231502E-2</v>
      </c>
      <c r="M30" s="3667">
        <f>IFERROR((M29-L29)/L29,0)</f>
        <v>-9.0069083848755421E-3</v>
      </c>
      <c r="N30" s="3667">
        <f>IFERROR((N29-M29)/M29,0)</f>
        <v>-8.1574712109861724E-3</v>
      </c>
      <c r="O30" s="4097">
        <f>IFERROR((O29-N29)/N29,0)</f>
        <v>-1.3148173618718843E-2</v>
      </c>
      <c r="P30" s="4443"/>
      <c r="Q30" s="3079"/>
      <c r="R30" s="2007"/>
      <c r="S30" s="2007"/>
      <c r="T30" s="2007"/>
      <c r="U30" s="2007"/>
      <c r="V30" s="2071"/>
      <c r="W30" s="4488"/>
    </row>
    <row r="31" spans="1:35" ht="13.2">
      <c r="A31" s="1352"/>
      <c r="B31" s="1487" t="s">
        <v>641</v>
      </c>
      <c r="C31" s="3712"/>
      <c r="D31" s="2070"/>
      <c r="E31" s="2007"/>
      <c r="F31" s="2007"/>
      <c r="G31" s="2007"/>
      <c r="H31" s="2007"/>
      <c r="I31" s="2071"/>
      <c r="J31" s="444">
        <v>266.41627011003345</v>
      </c>
      <c r="K31" s="426">
        <v>257.88140928225533</v>
      </c>
      <c r="L31" s="426">
        <v>254.71816167845742</v>
      </c>
      <c r="M31" s="426">
        <v>252.88181110475207</v>
      </c>
      <c r="N31" s="426">
        <v>251.46828284661527</v>
      </c>
      <c r="O31" s="4098">
        <v>249.08944053994813</v>
      </c>
      <c r="P31" s="4443">
        <f>IFERROR((K31-J31)/J31,0)</f>
        <v>-3.2035809315448742E-2</v>
      </c>
      <c r="Q31" s="3079"/>
      <c r="R31" s="2007"/>
      <c r="S31" s="2007"/>
      <c r="T31" s="2007"/>
      <c r="U31" s="2007"/>
      <c r="V31" s="2071"/>
      <c r="W31" s="4488"/>
      <c r="X31" s="4504">
        <f t="shared" ref="X31" si="33">IFERROR(J31/$C$1,0)</f>
        <v>136.21647592583889</v>
      </c>
      <c r="Y31" s="4504">
        <f t="shared" ref="Y31" si="34">IFERROR(K31/$C$1,0)</f>
        <v>131.85267087745629</v>
      </c>
      <c r="Z31" s="4504">
        <f t="shared" ref="Z31" si="35">IFERROR(L31/$C$1,0)</f>
        <v>130.23532805942102</v>
      </c>
      <c r="AA31" s="4504">
        <f t="shared" ref="AA31" si="36">IFERROR(M31/$C$1,0)</f>
        <v>129.29641692005546</v>
      </c>
      <c r="AB31" s="4504">
        <f t="shared" ref="AB31" si="37">IFERROR(N31/$C$1,0)</f>
        <v>128.5736913978287</v>
      </c>
      <c r="AC31" s="4504">
        <f t="shared" ref="AC31" si="38">IFERROR(O31/$C$1,0)</f>
        <v>127.35740863978369</v>
      </c>
    </row>
    <row r="32" spans="1:35" ht="13.2">
      <c r="A32" s="1352"/>
      <c r="B32" s="3666" t="s">
        <v>1430</v>
      </c>
      <c r="C32" s="3711" t="s">
        <v>170</v>
      </c>
      <c r="D32" s="2070"/>
      <c r="E32" s="2007"/>
      <c r="F32" s="2007"/>
      <c r="G32" s="2007"/>
      <c r="H32" s="2007"/>
      <c r="I32" s="2071"/>
      <c r="J32" s="3671"/>
      <c r="K32" s="3667">
        <f>IFERROR((K31-J31)/J31,0)</f>
        <v>-3.2035809315448742E-2</v>
      </c>
      <c r="L32" s="3667">
        <f>IFERROR((L31-K31)/K31,0)</f>
        <v>-1.2266287874732714E-2</v>
      </c>
      <c r="M32" s="3667">
        <f>IFERROR((M31-L31)/L31,0)</f>
        <v>-7.2093429129857518E-3</v>
      </c>
      <c r="N32" s="3667">
        <f>IFERROR((N31-M31)/M31,0)</f>
        <v>-5.5896794315162387E-3</v>
      </c>
      <c r="O32" s="4097">
        <f>IFERROR((O31-N31)/N31,0)</f>
        <v>-9.4598105166134577E-3</v>
      </c>
      <c r="P32" s="4443"/>
      <c r="Q32" s="3079"/>
      <c r="R32" s="2007"/>
      <c r="S32" s="2007"/>
      <c r="T32" s="2007"/>
      <c r="U32" s="2007"/>
      <c r="V32" s="2071"/>
      <c r="W32" s="4488"/>
    </row>
    <row r="33" spans="1:35" ht="13.2">
      <c r="A33" s="1352"/>
      <c r="B33" s="1487" t="s">
        <v>640</v>
      </c>
      <c r="C33" s="3712"/>
      <c r="D33" s="2070"/>
      <c r="E33" s="2007"/>
      <c r="F33" s="2007"/>
      <c r="G33" s="2007"/>
      <c r="H33" s="2007"/>
      <c r="I33" s="2071"/>
      <c r="J33" s="444">
        <v>656.67534467700068</v>
      </c>
      <c r="K33" s="426">
        <v>801.96864448577332</v>
      </c>
      <c r="L33" s="426">
        <v>902.09164479237802</v>
      </c>
      <c r="M33" s="426">
        <v>1024.3586109061441</v>
      </c>
      <c r="N33" s="426">
        <v>1165.4231746842327</v>
      </c>
      <c r="O33" s="4098">
        <v>1319.5725875620888</v>
      </c>
      <c r="P33" s="4443">
        <f>IFERROR((K33-J33)/J33,0)</f>
        <v>0.2212559082452504</v>
      </c>
      <c r="Q33" s="3079"/>
      <c r="R33" s="2007"/>
      <c r="S33" s="2007"/>
      <c r="T33" s="2007"/>
      <c r="U33" s="2007"/>
      <c r="V33" s="2071"/>
      <c r="W33" s="4488"/>
      <c r="X33" s="4504">
        <f t="shared" ref="X33" si="39">IFERROR(J33/$C$1,0)</f>
        <v>335.75277231507886</v>
      </c>
      <c r="Y33" s="4504">
        <f t="shared" ref="Y33" si="40">IFERROR(K33/$C$1,0)</f>
        <v>410.04005689951242</v>
      </c>
      <c r="Z33" s="4504">
        <f t="shared" ref="Z33" si="41">IFERROR(L33/$C$1,0)</f>
        <v>461.23213407728588</v>
      </c>
      <c r="AA33" s="4504">
        <f t="shared" ref="AA33" si="42">IFERROR(M33/$C$1,0)</f>
        <v>523.74624118974759</v>
      </c>
      <c r="AB33" s="4504">
        <f t="shared" ref="AB33" si="43">IFERROR(N33/$C$1,0)</f>
        <v>595.87140737397044</v>
      </c>
      <c r="AC33" s="4504">
        <f t="shared" ref="AC33" si="44">IFERROR(O33/$C$1,0)</f>
        <v>674.68675066958212</v>
      </c>
    </row>
    <row r="34" spans="1:35" ht="13.2">
      <c r="A34" s="1352"/>
      <c r="B34" s="3666" t="s">
        <v>1430</v>
      </c>
      <c r="C34" s="3711" t="s">
        <v>170</v>
      </c>
      <c r="D34" s="2070"/>
      <c r="E34" s="2007"/>
      <c r="F34" s="2007"/>
      <c r="G34" s="2007"/>
      <c r="H34" s="2007"/>
      <c r="I34" s="2071"/>
      <c r="J34" s="3969"/>
      <c r="K34" s="3667">
        <f>IFERROR((K33-J33)/J33,0)</f>
        <v>0.2212559082452504</v>
      </c>
      <c r="L34" s="3667">
        <f>IFERROR((L33-K33)/K33,0)</f>
        <v>0.12484652734871463</v>
      </c>
      <c r="M34" s="3667">
        <f>IFERROR((M33-L33)/L33,0)</f>
        <v>0.13553718939710011</v>
      </c>
      <c r="N34" s="3667">
        <f>IFERROR((N33-M33)/M33,0)</f>
        <v>0.13771013615368871</v>
      </c>
      <c r="O34" s="4097">
        <f>IFERROR((O33-N33)/N33,0)</f>
        <v>0.13226904718075674</v>
      </c>
      <c r="P34" s="4443"/>
      <c r="Q34" s="3079"/>
      <c r="R34" s="2007"/>
      <c r="S34" s="2007"/>
      <c r="T34" s="2007"/>
      <c r="U34" s="2007"/>
      <c r="V34" s="2071"/>
      <c r="W34" s="4488"/>
    </row>
    <row r="35" spans="1:35" ht="13.2">
      <c r="A35" s="1352"/>
      <c r="B35" s="1487" t="s">
        <v>639</v>
      </c>
      <c r="C35" s="3712"/>
      <c r="D35" s="2070"/>
      <c r="E35" s="2007"/>
      <c r="F35" s="2007"/>
      <c r="G35" s="2007"/>
      <c r="H35" s="2007"/>
      <c r="I35" s="2071"/>
      <c r="J35" s="951">
        <v>128.28306346552179</v>
      </c>
      <c r="K35" s="428">
        <v>161.1693299220137</v>
      </c>
      <c r="L35" s="428">
        <v>190.83079845227977</v>
      </c>
      <c r="M35" s="428">
        <v>216.54973176701932</v>
      </c>
      <c r="N35" s="428">
        <v>246.23399184735308</v>
      </c>
      <c r="O35" s="4099">
        <v>278.64907085291122</v>
      </c>
      <c r="P35" s="4443">
        <f>IFERROR((K35-J35)/J35,0)</f>
        <v>0.25635704018972577</v>
      </c>
      <c r="Q35" s="3079"/>
      <c r="R35" s="2007"/>
      <c r="S35" s="2007"/>
      <c r="T35" s="2007"/>
      <c r="U35" s="2007"/>
      <c r="V35" s="2071"/>
      <c r="W35" s="4488"/>
      <c r="X35" s="4504">
        <f t="shared" ref="X35" si="45">IFERROR(J35/$C$1,0)</f>
        <v>65.590088844900521</v>
      </c>
      <c r="Y35" s="4504">
        <f t="shared" ref="Y35" si="46">IFERROR(K35/$C$1,0)</f>
        <v>82.404569886960374</v>
      </c>
      <c r="Z35" s="4504">
        <f t="shared" ref="Z35" si="47">IFERROR(L35/$C$1,0)</f>
        <v>97.570237930842538</v>
      </c>
      <c r="AA35" s="4504">
        <f t="shared" ref="AA35" si="48">IFERROR(M35/$C$1,0)</f>
        <v>110.72011972769583</v>
      </c>
      <c r="AB35" s="4504">
        <f t="shared" ref="AB35" si="49">IFERROR(N35/$C$1,0)</f>
        <v>125.89744090608748</v>
      </c>
      <c r="AC35" s="4504">
        <f t="shared" ref="AC35" si="50">IFERROR(O35/$C$1,0)</f>
        <v>142.47100762996337</v>
      </c>
    </row>
    <row r="36" spans="1:35" ht="13.2">
      <c r="A36" s="1354"/>
      <c r="B36" s="3666" t="s">
        <v>1427</v>
      </c>
      <c r="C36" s="3711" t="s">
        <v>170</v>
      </c>
      <c r="D36" s="2070"/>
      <c r="E36" s="2007"/>
      <c r="F36" s="2007"/>
      <c r="G36" s="2007"/>
      <c r="H36" s="2007"/>
      <c r="I36" s="2071"/>
      <c r="J36" s="3969"/>
      <c r="K36" s="3667">
        <f>IFERROR((K35-J35)/J35,0)</f>
        <v>0.25635704018972577</v>
      </c>
      <c r="L36" s="3667">
        <f>IFERROR((L35-K35)/K35,0)</f>
        <v>0.18403916269068438</v>
      </c>
      <c r="M36" s="3667">
        <f>IFERROR((M35-L35)/L35,0)</f>
        <v>0.13477349318522597</v>
      </c>
      <c r="N36" s="3667">
        <f>IFERROR((N35-M35)/M35,0)</f>
        <v>0.13707825836639845</v>
      </c>
      <c r="O36" s="4097">
        <f>IFERROR((O35-N35)/N35,0)</f>
        <v>0.13164339643916059</v>
      </c>
      <c r="P36" s="4443"/>
      <c r="Q36" s="3079"/>
      <c r="R36" s="2007"/>
      <c r="S36" s="2007"/>
      <c r="T36" s="2007"/>
      <c r="U36" s="2007"/>
      <c r="V36" s="2071"/>
      <c r="W36" s="4488"/>
    </row>
    <row r="37" spans="1:35" ht="24">
      <c r="A37" s="1354"/>
      <c r="B37" s="1494" t="s">
        <v>638</v>
      </c>
      <c r="C37" s="3712"/>
      <c r="D37" s="2070"/>
      <c r="E37" s="2007"/>
      <c r="F37" s="2007"/>
      <c r="G37" s="2007"/>
      <c r="H37" s="2007"/>
      <c r="I37" s="2071"/>
      <c r="J37" s="3708">
        <f>J24-J27-J29-J31-J33-J35</f>
        <v>51.360115137450492</v>
      </c>
      <c r="K37" s="3685">
        <f>K24-K27-K29-K31-K33-K35</f>
        <v>62.82800395527002</v>
      </c>
      <c r="L37" s="3685">
        <f t="shared" ref="L37:O37" si="51">L24-L27-L29-L31-L33-L35</f>
        <v>65.458890597494332</v>
      </c>
      <c r="M37" s="3685">
        <f t="shared" si="51"/>
        <v>72.753062911137391</v>
      </c>
      <c r="N37" s="3685">
        <f t="shared" si="51"/>
        <v>76.718820453266744</v>
      </c>
      <c r="O37" s="3713">
        <f t="shared" si="51"/>
        <v>76.173141053131872</v>
      </c>
      <c r="P37" s="4443">
        <f>IFERROR((K37-J37)/J37,0)</f>
        <v>0.22328393904743088</v>
      </c>
      <c r="Q37" s="3079"/>
      <c r="R37" s="2007"/>
      <c r="S37" s="2007"/>
      <c r="T37" s="2007"/>
      <c r="U37" s="2007"/>
      <c r="V37" s="2071"/>
      <c r="W37" s="4488"/>
      <c r="X37" s="4504">
        <f t="shared" ref="X37" si="52">IFERROR(J37/$C$1,0)</f>
        <v>26.260009887081441</v>
      </c>
      <c r="Y37" s="4504">
        <f t="shared" ref="Y37" si="53">IFERROR(K37/$C$1,0)</f>
        <v>32.123448334093467</v>
      </c>
      <c r="Z37" s="4504">
        <f t="shared" ref="Z37" si="54">IFERROR(L37/$C$1,0)</f>
        <v>33.468599314610337</v>
      </c>
      <c r="AA37" s="4504">
        <f t="shared" ref="AA37" si="55">IFERROR(M37/$C$1,0)</f>
        <v>37.198050398622271</v>
      </c>
      <c r="AB37" s="4504">
        <f t="shared" ref="AB37" si="56">IFERROR(N37/$C$1,0)</f>
        <v>39.225710032705678</v>
      </c>
      <c r="AC37" s="4504">
        <f t="shared" ref="AC37" si="57">IFERROR(O37/$C$1,0)</f>
        <v>38.946708585680696</v>
      </c>
    </row>
    <row r="38" spans="1:35" ht="13.8" thickBot="1">
      <c r="A38" s="1354"/>
      <c r="B38" s="4460" t="s">
        <v>1430</v>
      </c>
      <c r="C38" s="4461" t="s">
        <v>170</v>
      </c>
      <c r="D38" s="2072"/>
      <c r="E38" s="2073"/>
      <c r="F38" s="2073"/>
      <c r="G38" s="2073"/>
      <c r="H38" s="2073"/>
      <c r="I38" s="2074"/>
      <c r="J38" s="3969"/>
      <c r="K38" s="4462">
        <f>IFERROR((K37-J37)/J37,0)</f>
        <v>0.22328393904743088</v>
      </c>
      <c r="L38" s="4462">
        <f>IFERROR((L37-K37)/K37,0)</f>
        <v>4.1874426634615887E-2</v>
      </c>
      <c r="M38" s="4462">
        <f>IFERROR((M37-L37)/L37,0)</f>
        <v>0.11143134640785174</v>
      </c>
      <c r="N38" s="4462">
        <f>IFERROR((N37-M37)/M37,0)</f>
        <v>5.450983619718168E-2</v>
      </c>
      <c r="O38" s="4463">
        <f>IFERROR((O37-N37)/N37,0)</f>
        <v>-7.1127188467042853E-3</v>
      </c>
      <c r="P38" s="4464"/>
      <c r="Q38" s="3686"/>
      <c r="R38" s="2073"/>
      <c r="S38" s="2073"/>
      <c r="T38" s="2073"/>
      <c r="U38" s="2073"/>
      <c r="V38" s="2074"/>
      <c r="W38" s="4488"/>
    </row>
    <row r="39" spans="1:35" ht="13.5" customHeight="1" thickBot="1">
      <c r="A39" s="5280"/>
      <c r="B39" s="5281"/>
      <c r="C39" s="5281"/>
      <c r="D39" s="5281"/>
      <c r="E39" s="5281"/>
      <c r="F39" s="5281"/>
      <c r="G39" s="5281"/>
      <c r="H39" s="5281"/>
      <c r="I39" s="5281"/>
      <c r="J39" s="5281"/>
      <c r="K39" s="5281"/>
      <c r="L39" s="5281"/>
      <c r="M39" s="5281"/>
      <c r="N39" s="5281"/>
      <c r="O39" s="5281"/>
      <c r="P39" s="5281"/>
      <c r="Q39" s="5281"/>
      <c r="R39" s="5281"/>
      <c r="S39" s="5281"/>
      <c r="T39" s="5281"/>
      <c r="U39" s="5281"/>
      <c r="V39" s="5282"/>
      <c r="W39" s="4488"/>
    </row>
    <row r="40" spans="1:35" ht="18" customHeight="1" thickBot="1">
      <c r="A40" s="1503">
        <v>2</v>
      </c>
      <c r="B40" s="1502" t="s">
        <v>208</v>
      </c>
      <c r="C40" s="5266"/>
      <c r="D40" s="5269"/>
      <c r="E40" s="5269"/>
      <c r="F40" s="5269"/>
      <c r="G40" s="5269"/>
      <c r="H40" s="5269"/>
      <c r="I40" s="5269"/>
      <c r="J40" s="5266"/>
      <c r="K40" s="5266"/>
      <c r="L40" s="5266"/>
      <c r="M40" s="5266"/>
      <c r="N40" s="5266"/>
      <c r="O40" s="5266"/>
      <c r="P40" s="5270"/>
      <c r="Q40" s="5269"/>
      <c r="R40" s="5269"/>
      <c r="S40" s="5269"/>
      <c r="T40" s="5269"/>
      <c r="U40" s="5269"/>
      <c r="V40" s="5271"/>
      <c r="W40" s="4488"/>
    </row>
    <row r="41" spans="1:35" ht="13.2">
      <c r="A41" s="432" t="s">
        <v>477</v>
      </c>
      <c r="B41" s="1480" t="s">
        <v>478</v>
      </c>
      <c r="C41" s="1455" t="s">
        <v>676</v>
      </c>
      <c r="D41" s="3673">
        <v>11</v>
      </c>
      <c r="E41" s="422">
        <v>15</v>
      </c>
      <c r="F41" s="422">
        <v>13</v>
      </c>
      <c r="G41" s="422">
        <v>14</v>
      </c>
      <c r="H41" s="422">
        <v>13</v>
      </c>
      <c r="I41" s="3674">
        <v>11</v>
      </c>
      <c r="J41" s="3673">
        <v>6.7851879643913664</v>
      </c>
      <c r="K41" s="3641">
        <v>11.634477722077474</v>
      </c>
      <c r="L41" s="3641">
        <v>10.598758732049202</v>
      </c>
      <c r="M41" s="3641">
        <v>12.024597297605609</v>
      </c>
      <c r="N41" s="3641">
        <v>11.797624536942489</v>
      </c>
      <c r="O41" s="4100">
        <v>10.579576750515908</v>
      </c>
      <c r="P41" s="4444">
        <f t="shared" ref="P41:P53" si="58">IFERROR((K41-J41)/J41,0)</f>
        <v>0.71468760823357536</v>
      </c>
      <c r="Q41" s="4094">
        <f t="shared" ref="Q41:V51" si="59">ROUND(IFERROR(J41*1000/D41,0),0)</f>
        <v>617</v>
      </c>
      <c r="R41" s="3853">
        <f t="shared" si="59"/>
        <v>776</v>
      </c>
      <c r="S41" s="3853">
        <f t="shared" si="59"/>
        <v>815</v>
      </c>
      <c r="T41" s="3853">
        <f t="shared" si="59"/>
        <v>859</v>
      </c>
      <c r="U41" s="3853">
        <f t="shared" si="59"/>
        <v>908</v>
      </c>
      <c r="V41" s="3854">
        <f t="shared" si="59"/>
        <v>962</v>
      </c>
      <c r="W41" s="4488"/>
      <c r="X41" s="4504">
        <f t="shared" ref="X41:X53" si="60">IFERROR(J41/$C$1,0)</f>
        <v>3.4692115185836023</v>
      </c>
      <c r="Y41" s="4504">
        <f t="shared" ref="Y41:Y53" si="61">IFERROR(K41/$C$1,0)</f>
        <v>5.9486140012564865</v>
      </c>
      <c r="Z41" s="4504">
        <f t="shared" ref="Z41:Z53" si="62">IFERROR(L41/$C$1,0)</f>
        <v>5.4190592904542836</v>
      </c>
      <c r="AA41" s="4504">
        <f t="shared" ref="AA41:AA53" si="63">IFERROR(M41/$C$1,0)</f>
        <v>6.1480789729197376</v>
      </c>
      <c r="AB41" s="4504">
        <f t="shared" ref="AB41:AB53" si="64">IFERROR(N41/$C$1,0)</f>
        <v>6.0320296431399916</v>
      </c>
      <c r="AC41" s="4504">
        <f t="shared" ref="AC41:AC53" si="65">IFERROR(O41/$C$1,0)</f>
        <v>5.4092516990310555</v>
      </c>
      <c r="AD41" s="4504">
        <f t="shared" ref="AD41:AD51" si="66">IFERROR(Q41/$C$1,0)</f>
        <v>315.46709069806684</v>
      </c>
      <c r="AE41" s="4504">
        <f t="shared" ref="AE41:AE51" si="67">IFERROR(R41/$C$1,0)</f>
        <v>396.76249980826555</v>
      </c>
      <c r="AF41" s="4504">
        <f t="shared" ref="AF41:AF51" si="68">IFERROR(S41/$C$1,0)</f>
        <v>416.7028831749181</v>
      </c>
      <c r="AG41" s="4504">
        <f t="shared" ref="AG41:AG51" si="69">IFERROR(T41/$C$1,0)</f>
        <v>439.19972594755171</v>
      </c>
      <c r="AH41" s="4504">
        <f t="shared" ref="AH41:AH51" si="70">IFERROR(U41/$C$1,0)</f>
        <v>464.25302812616638</v>
      </c>
      <c r="AI41" s="4504">
        <f t="shared" ref="AI41:AI51" si="71">IFERROR(V41/$C$1,0)</f>
        <v>491.86278971076217</v>
      </c>
    </row>
    <row r="42" spans="1:35" ht="13.2">
      <c r="A42" s="433" t="s">
        <v>479</v>
      </c>
      <c r="B42" s="1481" t="s">
        <v>480</v>
      </c>
      <c r="C42" s="314" t="s">
        <v>676</v>
      </c>
      <c r="D42" s="419">
        <v>6</v>
      </c>
      <c r="E42" s="420">
        <v>6</v>
      </c>
      <c r="F42" s="420">
        <v>6</v>
      </c>
      <c r="G42" s="420">
        <v>3</v>
      </c>
      <c r="H42" s="420">
        <v>7</v>
      </c>
      <c r="I42" s="435">
        <v>6</v>
      </c>
      <c r="J42" s="419">
        <v>5.7408478099603153</v>
      </c>
      <c r="K42" s="3965">
        <v>8.1396111591515279</v>
      </c>
      <c r="L42" s="3965">
        <v>8.8371427476042914</v>
      </c>
      <c r="M42" s="3965">
        <v>4.8021052245407372</v>
      </c>
      <c r="N42" s="3965">
        <v>12.202408462462902</v>
      </c>
      <c r="O42" s="3967">
        <v>11.413763932969379</v>
      </c>
      <c r="P42" s="4445">
        <f t="shared" si="58"/>
        <v>0.41784130647556644</v>
      </c>
      <c r="Q42" s="4095">
        <f t="shared" si="59"/>
        <v>957</v>
      </c>
      <c r="R42" s="3855">
        <f t="shared" si="59"/>
        <v>1357</v>
      </c>
      <c r="S42" s="3855">
        <f t="shared" si="59"/>
        <v>1473</v>
      </c>
      <c r="T42" s="3855">
        <f t="shared" si="59"/>
        <v>1601</v>
      </c>
      <c r="U42" s="3855">
        <f t="shared" si="59"/>
        <v>1743</v>
      </c>
      <c r="V42" s="3856">
        <f t="shared" si="59"/>
        <v>1902</v>
      </c>
      <c r="W42" s="4488"/>
      <c r="X42" s="4504">
        <f t="shared" si="60"/>
        <v>2.9352488764158005</v>
      </c>
      <c r="Y42" s="4504">
        <f t="shared" si="61"/>
        <v>4.1617171017683177</v>
      </c>
      <c r="Z42" s="4504">
        <f t="shared" si="62"/>
        <v>4.5183593398221173</v>
      </c>
      <c r="AA42" s="4504">
        <f t="shared" si="63"/>
        <v>2.4552774139576226</v>
      </c>
      <c r="AB42" s="4504">
        <f t="shared" si="64"/>
        <v>6.2389923778973131</v>
      </c>
      <c r="AC42" s="4504">
        <f t="shared" si="65"/>
        <v>5.8357648328174632</v>
      </c>
      <c r="AD42" s="4504">
        <f t="shared" si="66"/>
        <v>489.30633030478111</v>
      </c>
      <c r="AE42" s="4504">
        <f t="shared" si="67"/>
        <v>693.82308278326855</v>
      </c>
      <c r="AF42" s="4504">
        <f t="shared" si="68"/>
        <v>753.13294100202984</v>
      </c>
      <c r="AG42" s="4504">
        <f t="shared" si="69"/>
        <v>818.57830179514576</v>
      </c>
      <c r="AH42" s="4504">
        <f t="shared" si="70"/>
        <v>891.18174892500883</v>
      </c>
      <c r="AI42" s="4504">
        <f t="shared" si="71"/>
        <v>972.47715803520759</v>
      </c>
    </row>
    <row r="43" spans="1:35" ht="13.2">
      <c r="A43" s="433" t="s">
        <v>481</v>
      </c>
      <c r="B43" s="1481" t="s">
        <v>1351</v>
      </c>
      <c r="C43" s="314" t="s">
        <v>676</v>
      </c>
      <c r="D43" s="445">
        <v>0</v>
      </c>
      <c r="E43" s="420">
        <v>0</v>
      </c>
      <c r="F43" s="420">
        <v>1</v>
      </c>
      <c r="G43" s="420">
        <v>0</v>
      </c>
      <c r="H43" s="420">
        <v>1</v>
      </c>
      <c r="I43" s="435">
        <v>0</v>
      </c>
      <c r="J43" s="419">
        <v>0</v>
      </c>
      <c r="K43" s="3965">
        <v>0</v>
      </c>
      <c r="L43" s="3965">
        <v>0.37868527967653459</v>
      </c>
      <c r="M43" s="3965">
        <v>0</v>
      </c>
      <c r="N43" s="3965">
        <v>0.42748450947296862</v>
      </c>
      <c r="O43" s="3967">
        <v>0</v>
      </c>
      <c r="P43" s="4445">
        <f t="shared" si="58"/>
        <v>0</v>
      </c>
      <c r="Q43" s="4095">
        <f t="shared" si="59"/>
        <v>0</v>
      </c>
      <c r="R43" s="3855">
        <f t="shared" si="59"/>
        <v>0</v>
      </c>
      <c r="S43" s="3855">
        <f t="shared" si="59"/>
        <v>379</v>
      </c>
      <c r="T43" s="3855">
        <f t="shared" si="59"/>
        <v>0</v>
      </c>
      <c r="U43" s="3855">
        <f t="shared" si="59"/>
        <v>427</v>
      </c>
      <c r="V43" s="3856">
        <f t="shared" si="59"/>
        <v>0</v>
      </c>
      <c r="W43" s="4488"/>
      <c r="X43" s="4504">
        <f t="shared" si="60"/>
        <v>0</v>
      </c>
      <c r="Y43" s="4504">
        <f t="shared" si="61"/>
        <v>0</v>
      </c>
      <c r="Z43" s="4504">
        <f t="shared" si="62"/>
        <v>0.19361870902713149</v>
      </c>
      <c r="AA43" s="4504">
        <f t="shared" si="63"/>
        <v>0</v>
      </c>
      <c r="AB43" s="4504">
        <f t="shared" si="64"/>
        <v>0.21856935903067681</v>
      </c>
      <c r="AC43" s="4504">
        <f t="shared" si="65"/>
        <v>0</v>
      </c>
      <c r="AD43" s="4504">
        <f t="shared" si="66"/>
        <v>0</v>
      </c>
      <c r="AE43" s="4504">
        <f t="shared" si="67"/>
        <v>0</v>
      </c>
      <c r="AF43" s="4504">
        <f t="shared" si="68"/>
        <v>193.7796229733668</v>
      </c>
      <c r="AG43" s="4504">
        <f t="shared" si="69"/>
        <v>0</v>
      </c>
      <c r="AH43" s="4504">
        <f t="shared" si="70"/>
        <v>218.3216332707853</v>
      </c>
      <c r="AI43" s="4504">
        <f t="shared" si="71"/>
        <v>0</v>
      </c>
    </row>
    <row r="44" spans="1:35" ht="24">
      <c r="A44" s="433" t="s">
        <v>482</v>
      </c>
      <c r="B44" s="1481" t="s">
        <v>1352</v>
      </c>
      <c r="C44" s="314" t="s">
        <v>676</v>
      </c>
      <c r="D44" s="445">
        <v>0</v>
      </c>
      <c r="E44" s="420">
        <v>0</v>
      </c>
      <c r="F44" s="420">
        <v>0</v>
      </c>
      <c r="G44" s="420">
        <v>0</v>
      </c>
      <c r="H44" s="420">
        <v>0</v>
      </c>
      <c r="I44" s="435">
        <v>0</v>
      </c>
      <c r="J44" s="419">
        <v>0</v>
      </c>
      <c r="K44" s="3965">
        <v>0</v>
      </c>
      <c r="L44" s="3965">
        <v>0</v>
      </c>
      <c r="M44" s="3965">
        <v>0</v>
      </c>
      <c r="N44" s="3965">
        <v>0</v>
      </c>
      <c r="O44" s="3967">
        <v>0</v>
      </c>
      <c r="P44" s="4445">
        <f t="shared" si="58"/>
        <v>0</v>
      </c>
      <c r="Q44" s="4095">
        <f t="shared" si="59"/>
        <v>0</v>
      </c>
      <c r="R44" s="3855">
        <f t="shared" si="59"/>
        <v>0</v>
      </c>
      <c r="S44" s="3855">
        <f t="shared" si="59"/>
        <v>0</v>
      </c>
      <c r="T44" s="3855">
        <f t="shared" si="59"/>
        <v>0</v>
      </c>
      <c r="U44" s="3855">
        <f t="shared" si="59"/>
        <v>0</v>
      </c>
      <c r="V44" s="3856">
        <f t="shared" si="59"/>
        <v>0</v>
      </c>
      <c r="W44" s="4488"/>
      <c r="X44" s="4504">
        <f t="shared" si="60"/>
        <v>0</v>
      </c>
      <c r="Y44" s="4504">
        <f t="shared" si="61"/>
        <v>0</v>
      </c>
      <c r="Z44" s="4504">
        <f t="shared" si="62"/>
        <v>0</v>
      </c>
      <c r="AA44" s="4504">
        <f t="shared" si="63"/>
        <v>0</v>
      </c>
      <c r="AB44" s="4504">
        <f t="shared" si="64"/>
        <v>0</v>
      </c>
      <c r="AC44" s="4504">
        <f t="shared" si="65"/>
        <v>0</v>
      </c>
      <c r="AD44" s="4504">
        <f t="shared" si="66"/>
        <v>0</v>
      </c>
      <c r="AE44" s="4504">
        <f t="shared" si="67"/>
        <v>0</v>
      </c>
      <c r="AF44" s="4504">
        <f t="shared" si="68"/>
        <v>0</v>
      </c>
      <c r="AG44" s="4504">
        <f t="shared" si="69"/>
        <v>0</v>
      </c>
      <c r="AH44" s="4504">
        <f t="shared" si="70"/>
        <v>0</v>
      </c>
      <c r="AI44" s="4504">
        <f t="shared" si="71"/>
        <v>0</v>
      </c>
    </row>
    <row r="45" spans="1:35" ht="13.2">
      <c r="A45" s="433" t="s">
        <v>483</v>
      </c>
      <c r="B45" s="1481" t="s">
        <v>1353</v>
      </c>
      <c r="C45" s="314" t="s">
        <v>676</v>
      </c>
      <c r="D45" s="445">
        <v>0</v>
      </c>
      <c r="E45" s="420">
        <v>0</v>
      </c>
      <c r="F45" s="420">
        <v>0</v>
      </c>
      <c r="G45" s="420">
        <v>0</v>
      </c>
      <c r="H45" s="420">
        <v>0</v>
      </c>
      <c r="I45" s="435">
        <v>0</v>
      </c>
      <c r="J45" s="419">
        <v>0</v>
      </c>
      <c r="K45" s="3965">
        <v>0</v>
      </c>
      <c r="L45" s="3965">
        <v>0</v>
      </c>
      <c r="M45" s="3965">
        <v>0</v>
      </c>
      <c r="N45" s="3965">
        <v>0</v>
      </c>
      <c r="O45" s="3967">
        <v>0</v>
      </c>
      <c r="P45" s="4445">
        <f t="shared" si="58"/>
        <v>0</v>
      </c>
      <c r="Q45" s="4095">
        <f t="shared" si="59"/>
        <v>0</v>
      </c>
      <c r="R45" s="3855">
        <f t="shared" si="59"/>
        <v>0</v>
      </c>
      <c r="S45" s="3855">
        <f t="shared" si="59"/>
        <v>0</v>
      </c>
      <c r="T45" s="3855">
        <f t="shared" si="59"/>
        <v>0</v>
      </c>
      <c r="U45" s="3855">
        <f t="shared" si="59"/>
        <v>0</v>
      </c>
      <c r="V45" s="3856">
        <f t="shared" si="59"/>
        <v>0</v>
      </c>
      <c r="W45" s="4488"/>
      <c r="X45" s="4504">
        <f t="shared" si="60"/>
        <v>0</v>
      </c>
      <c r="Y45" s="4504">
        <f t="shared" si="61"/>
        <v>0</v>
      </c>
      <c r="Z45" s="4504">
        <f t="shared" si="62"/>
        <v>0</v>
      </c>
      <c r="AA45" s="4504">
        <f t="shared" si="63"/>
        <v>0</v>
      </c>
      <c r="AB45" s="4504">
        <f t="shared" si="64"/>
        <v>0</v>
      </c>
      <c r="AC45" s="4504">
        <f t="shared" si="65"/>
        <v>0</v>
      </c>
      <c r="AD45" s="4504">
        <f t="shared" si="66"/>
        <v>0</v>
      </c>
      <c r="AE45" s="4504">
        <f t="shared" si="67"/>
        <v>0</v>
      </c>
      <c r="AF45" s="4504">
        <f t="shared" si="68"/>
        <v>0</v>
      </c>
      <c r="AG45" s="4504">
        <f t="shared" si="69"/>
        <v>0</v>
      </c>
      <c r="AH45" s="4504">
        <f t="shared" si="70"/>
        <v>0</v>
      </c>
      <c r="AI45" s="4504">
        <f t="shared" si="71"/>
        <v>0</v>
      </c>
    </row>
    <row r="46" spans="1:35" ht="24">
      <c r="A46" s="433" t="s">
        <v>484</v>
      </c>
      <c r="B46" s="1489" t="s">
        <v>1354</v>
      </c>
      <c r="C46" s="314" t="s">
        <v>676</v>
      </c>
      <c r="D46" s="445">
        <v>0</v>
      </c>
      <c r="E46" s="420">
        <v>1</v>
      </c>
      <c r="F46" s="420">
        <v>1</v>
      </c>
      <c r="G46" s="420">
        <v>1</v>
      </c>
      <c r="H46" s="420">
        <v>1</v>
      </c>
      <c r="I46" s="435">
        <v>1</v>
      </c>
      <c r="J46" s="419">
        <v>0</v>
      </c>
      <c r="K46" s="3965">
        <v>1.6279309341353254</v>
      </c>
      <c r="L46" s="3965">
        <v>1.6573705593530692</v>
      </c>
      <c r="M46" s="3965">
        <v>1.6977044313675789</v>
      </c>
      <c r="N46" s="3965">
        <v>1.7549690189459373</v>
      </c>
      <c r="O46" s="3967">
        <v>1.8387958976379948</v>
      </c>
      <c r="P46" s="4445">
        <f t="shared" si="58"/>
        <v>0</v>
      </c>
      <c r="Q46" s="4095">
        <f t="shared" si="59"/>
        <v>0</v>
      </c>
      <c r="R46" s="3855">
        <f t="shared" si="59"/>
        <v>1628</v>
      </c>
      <c r="S46" s="3855">
        <f t="shared" si="59"/>
        <v>1657</v>
      </c>
      <c r="T46" s="3855">
        <f t="shared" si="59"/>
        <v>1698</v>
      </c>
      <c r="U46" s="3855">
        <f t="shared" si="59"/>
        <v>1755</v>
      </c>
      <c r="V46" s="3856">
        <f t="shared" si="59"/>
        <v>1839</v>
      </c>
      <c r="W46" s="4488"/>
      <c r="X46" s="4504">
        <f t="shared" si="60"/>
        <v>0</v>
      </c>
      <c r="Y46" s="4504">
        <f t="shared" si="61"/>
        <v>0.83234786977156783</v>
      </c>
      <c r="Z46" s="4504">
        <f t="shared" si="62"/>
        <v>0.84740011113085967</v>
      </c>
      <c r="AA46" s="4504">
        <f t="shared" si="63"/>
        <v>0.8680224924290858</v>
      </c>
      <c r="AB46" s="4504">
        <f t="shared" si="64"/>
        <v>0.89730141113795026</v>
      </c>
      <c r="AC46" s="4504">
        <f t="shared" si="65"/>
        <v>0.94016141363921957</v>
      </c>
      <c r="AD46" s="4504">
        <f t="shared" si="66"/>
        <v>0</v>
      </c>
      <c r="AE46" s="4504">
        <f t="shared" si="67"/>
        <v>832.38318258744368</v>
      </c>
      <c r="AF46" s="4504">
        <f t="shared" si="68"/>
        <v>847.21064714213401</v>
      </c>
      <c r="AG46" s="4504">
        <f t="shared" si="69"/>
        <v>868.17361427117896</v>
      </c>
      <c r="AH46" s="4504">
        <f t="shared" si="70"/>
        <v>897.31725149936346</v>
      </c>
      <c r="AI46" s="4504">
        <f t="shared" si="71"/>
        <v>940.26576951984578</v>
      </c>
    </row>
    <row r="47" spans="1:35" ht="13.2">
      <c r="A47" s="433" t="s">
        <v>682</v>
      </c>
      <c r="B47" s="1482" t="s">
        <v>1073</v>
      </c>
      <c r="C47" s="314" t="s">
        <v>676</v>
      </c>
      <c r="D47" s="445">
        <v>68</v>
      </c>
      <c r="E47" s="420">
        <v>65</v>
      </c>
      <c r="F47" s="420">
        <v>65</v>
      </c>
      <c r="G47" s="420">
        <v>64</v>
      </c>
      <c r="H47" s="420">
        <v>64</v>
      </c>
      <c r="I47" s="435">
        <v>63</v>
      </c>
      <c r="J47" s="419">
        <v>29.015148256470557</v>
      </c>
      <c r="K47" s="3965">
        <v>37.295782284546242</v>
      </c>
      <c r="L47" s="3965">
        <v>39.957024086361301</v>
      </c>
      <c r="M47" s="3965">
        <v>42.223814881615937</v>
      </c>
      <c r="N47" s="3965">
        <v>45.435637599214978</v>
      </c>
      <c r="O47" s="3967">
        <v>48.255499842010288</v>
      </c>
      <c r="P47" s="4445">
        <f t="shared" si="58"/>
        <v>0.28539002988651119</v>
      </c>
      <c r="Q47" s="4095">
        <f t="shared" si="59"/>
        <v>427</v>
      </c>
      <c r="R47" s="3855">
        <f t="shared" si="59"/>
        <v>574</v>
      </c>
      <c r="S47" s="3855">
        <f t="shared" si="59"/>
        <v>615</v>
      </c>
      <c r="T47" s="3855">
        <f t="shared" si="59"/>
        <v>660</v>
      </c>
      <c r="U47" s="3855">
        <f t="shared" si="59"/>
        <v>710</v>
      </c>
      <c r="V47" s="3856">
        <f t="shared" si="59"/>
        <v>766</v>
      </c>
      <c r="W47" s="4488"/>
      <c r="X47" s="4504">
        <f t="shared" si="60"/>
        <v>14.83520973523801</v>
      </c>
      <c r="Y47" s="4504">
        <f t="shared" si="61"/>
        <v>19.069030684950249</v>
      </c>
      <c r="Z47" s="4504">
        <f t="shared" si="62"/>
        <v>20.429702012118284</v>
      </c>
      <c r="AA47" s="4504">
        <f t="shared" si="63"/>
        <v>21.588693742102297</v>
      </c>
      <c r="AB47" s="4504">
        <f t="shared" si="64"/>
        <v>23.230872621452264</v>
      </c>
      <c r="AC47" s="4504">
        <f t="shared" si="65"/>
        <v>24.672645292285264</v>
      </c>
      <c r="AD47" s="4504">
        <f t="shared" si="66"/>
        <v>218.3216332707853</v>
      </c>
      <c r="AE47" s="4504">
        <f t="shared" si="67"/>
        <v>293.48153980662943</v>
      </c>
      <c r="AF47" s="4504">
        <f t="shared" si="68"/>
        <v>314.44450693567438</v>
      </c>
      <c r="AG47" s="4504">
        <f t="shared" si="69"/>
        <v>337.4526415895042</v>
      </c>
      <c r="AH47" s="4504">
        <f t="shared" si="70"/>
        <v>363.01723564931513</v>
      </c>
      <c r="AI47" s="4504">
        <f t="shared" si="71"/>
        <v>391.64958099630337</v>
      </c>
    </row>
    <row r="48" spans="1:35" ht="24">
      <c r="A48" s="2066" t="s">
        <v>1069</v>
      </c>
      <c r="B48" s="1496" t="s">
        <v>1070</v>
      </c>
      <c r="C48" s="314" t="s">
        <v>676</v>
      </c>
      <c r="D48" s="419">
        <v>31</v>
      </c>
      <c r="E48" s="420">
        <v>30</v>
      </c>
      <c r="F48" s="420">
        <v>32</v>
      </c>
      <c r="G48" s="420">
        <v>28</v>
      </c>
      <c r="H48" s="420">
        <v>28</v>
      </c>
      <c r="I48" s="435">
        <v>29</v>
      </c>
      <c r="J48" s="419">
        <v>17.123534890459151</v>
      </c>
      <c r="K48" s="3965">
        <v>21.915817011619001</v>
      </c>
      <c r="L48" s="3965">
        <v>24.931727352574658</v>
      </c>
      <c r="M48" s="3965">
        <v>23.311386875236174</v>
      </c>
      <c r="N48" s="3965">
        <v>24.979013434517931</v>
      </c>
      <c r="O48" s="3967">
        <v>27.799427264083107</v>
      </c>
      <c r="P48" s="4445">
        <f t="shared" si="58"/>
        <v>0.27986523529262652</v>
      </c>
      <c r="Q48" s="4095">
        <f t="shared" si="59"/>
        <v>552</v>
      </c>
      <c r="R48" s="3855">
        <f t="shared" si="59"/>
        <v>731</v>
      </c>
      <c r="S48" s="3855">
        <f t="shared" si="59"/>
        <v>779</v>
      </c>
      <c r="T48" s="3855">
        <f t="shared" si="59"/>
        <v>833</v>
      </c>
      <c r="U48" s="3855">
        <f t="shared" si="59"/>
        <v>892</v>
      </c>
      <c r="V48" s="3856">
        <f t="shared" si="59"/>
        <v>959</v>
      </c>
      <c r="W48" s="4488"/>
      <c r="X48" s="4504">
        <f t="shared" si="60"/>
        <v>8.755124366871943</v>
      </c>
      <c r="Y48" s="4504">
        <f t="shared" si="61"/>
        <v>11.205379307822767</v>
      </c>
      <c r="Z48" s="4504">
        <f t="shared" si="62"/>
        <v>12.747389779569113</v>
      </c>
      <c r="AA48" s="4504">
        <f t="shared" si="63"/>
        <v>11.918922848732342</v>
      </c>
      <c r="AB48" s="4504">
        <f t="shared" si="64"/>
        <v>12.771566769360287</v>
      </c>
      <c r="AC48" s="4504">
        <f t="shared" si="65"/>
        <v>14.213621462030497</v>
      </c>
      <c r="AD48" s="4504">
        <f t="shared" si="66"/>
        <v>282.23311842031262</v>
      </c>
      <c r="AE48" s="4504">
        <f t="shared" si="67"/>
        <v>373.75436515443573</v>
      </c>
      <c r="AF48" s="4504">
        <f t="shared" si="68"/>
        <v>398.2963754518542</v>
      </c>
      <c r="AG48" s="4504">
        <f t="shared" si="69"/>
        <v>425.90613703644999</v>
      </c>
      <c r="AH48" s="4504">
        <f t="shared" si="70"/>
        <v>456.07235802702689</v>
      </c>
      <c r="AI48" s="4504">
        <f t="shared" si="71"/>
        <v>490.32891406717351</v>
      </c>
    </row>
    <row r="49" spans="1:35" ht="13.2">
      <c r="A49" s="2066" t="s">
        <v>1071</v>
      </c>
      <c r="B49" s="1496" t="s">
        <v>1072</v>
      </c>
      <c r="C49" s="314" t="s">
        <v>676</v>
      </c>
      <c r="D49" s="419">
        <v>13</v>
      </c>
      <c r="E49" s="420">
        <v>11</v>
      </c>
      <c r="F49" s="420">
        <v>11</v>
      </c>
      <c r="G49" s="420">
        <v>15</v>
      </c>
      <c r="H49" s="420">
        <v>11</v>
      </c>
      <c r="I49" s="435">
        <v>13</v>
      </c>
      <c r="J49" s="419">
        <v>3.2255670560386309</v>
      </c>
      <c r="K49" s="3965">
        <v>3.7416796706288409</v>
      </c>
      <c r="L49" s="3965">
        <v>4.0203539630262091</v>
      </c>
      <c r="M49" s="3965">
        <v>5.9001940522018543</v>
      </c>
      <c r="N49" s="3965">
        <v>4.6683929707177283</v>
      </c>
      <c r="O49" s="3967">
        <v>5.9678894689079041</v>
      </c>
      <c r="P49" s="4445">
        <f t="shared" si="58"/>
        <v>0.16000678504698515</v>
      </c>
      <c r="Q49" s="4095">
        <f t="shared" si="59"/>
        <v>248</v>
      </c>
      <c r="R49" s="3855">
        <f t="shared" si="59"/>
        <v>340</v>
      </c>
      <c r="S49" s="3855">
        <f t="shared" si="59"/>
        <v>365</v>
      </c>
      <c r="T49" s="3855">
        <f t="shared" si="59"/>
        <v>393</v>
      </c>
      <c r="U49" s="3855">
        <f t="shared" si="59"/>
        <v>424</v>
      </c>
      <c r="V49" s="3856">
        <f t="shared" si="59"/>
        <v>459</v>
      </c>
      <c r="W49" s="4488"/>
      <c r="X49" s="4504">
        <f t="shared" si="60"/>
        <v>1.6492062480065399</v>
      </c>
      <c r="Y49" s="4504">
        <f t="shared" si="61"/>
        <v>1.9130904376294673</v>
      </c>
      <c r="Z49" s="4504">
        <f t="shared" si="62"/>
        <v>2.0555743408303426</v>
      </c>
      <c r="AA49" s="4504">
        <f t="shared" si="63"/>
        <v>3.0167213163730255</v>
      </c>
      <c r="AB49" s="4504">
        <f t="shared" si="64"/>
        <v>2.3869114241614704</v>
      </c>
      <c r="AC49" s="4504">
        <f t="shared" si="65"/>
        <v>3.0513334333290234</v>
      </c>
      <c r="AD49" s="4504">
        <f t="shared" si="66"/>
        <v>126.80038653666219</v>
      </c>
      <c r="AE49" s="4504">
        <f t="shared" si="67"/>
        <v>173.8392396067143</v>
      </c>
      <c r="AF49" s="4504">
        <f t="shared" si="68"/>
        <v>186.62153663661974</v>
      </c>
      <c r="AG49" s="4504">
        <f t="shared" si="69"/>
        <v>200.93770931011386</v>
      </c>
      <c r="AH49" s="4504">
        <f t="shared" si="70"/>
        <v>216.78775762719664</v>
      </c>
      <c r="AI49" s="4504">
        <f t="shared" si="71"/>
        <v>234.68297346906428</v>
      </c>
    </row>
    <row r="50" spans="1:35" ht="13.2">
      <c r="A50" s="433" t="s">
        <v>727</v>
      </c>
      <c r="B50" s="1481" t="s">
        <v>915</v>
      </c>
      <c r="C50" s="314" t="s">
        <v>676</v>
      </c>
      <c r="D50" s="419">
        <v>1</v>
      </c>
      <c r="E50" s="420">
        <v>0</v>
      </c>
      <c r="F50" s="420">
        <v>0</v>
      </c>
      <c r="G50" s="420">
        <v>0</v>
      </c>
      <c r="H50" s="420">
        <v>0</v>
      </c>
      <c r="I50" s="435">
        <v>0</v>
      </c>
      <c r="J50" s="445">
        <v>0.83178369556573328</v>
      </c>
      <c r="K50" s="3965">
        <v>0</v>
      </c>
      <c r="L50" s="3965">
        <v>0</v>
      </c>
      <c r="M50" s="3965">
        <v>0</v>
      </c>
      <c r="N50" s="3965">
        <v>0</v>
      </c>
      <c r="O50" s="3967">
        <v>0</v>
      </c>
      <c r="P50" s="4445">
        <f t="shared" si="58"/>
        <v>-1</v>
      </c>
      <c r="Q50" s="4095">
        <f t="shared" si="59"/>
        <v>832</v>
      </c>
      <c r="R50" s="3855">
        <f t="shared" si="59"/>
        <v>0</v>
      </c>
      <c r="S50" s="3855">
        <f t="shared" si="59"/>
        <v>0</v>
      </c>
      <c r="T50" s="3855">
        <f t="shared" si="59"/>
        <v>0</v>
      </c>
      <c r="U50" s="3855">
        <f t="shared" si="59"/>
        <v>0</v>
      </c>
      <c r="V50" s="3856">
        <f t="shared" si="59"/>
        <v>0</v>
      </c>
      <c r="W50" s="4488"/>
      <c r="X50" s="4504">
        <f t="shared" si="60"/>
        <v>0.42528425045414647</v>
      </c>
      <c r="Y50" s="4504">
        <f t="shared" si="61"/>
        <v>0</v>
      </c>
      <c r="Z50" s="4504">
        <f t="shared" si="62"/>
        <v>0</v>
      </c>
      <c r="AA50" s="4504">
        <f t="shared" si="63"/>
        <v>0</v>
      </c>
      <c r="AB50" s="4504">
        <f t="shared" si="64"/>
        <v>0</v>
      </c>
      <c r="AC50" s="4504">
        <f t="shared" si="65"/>
        <v>0</v>
      </c>
      <c r="AD50" s="4504">
        <f t="shared" si="66"/>
        <v>425.39484515525379</v>
      </c>
      <c r="AE50" s="4504">
        <f t="shared" si="67"/>
        <v>0</v>
      </c>
      <c r="AF50" s="4504">
        <f t="shared" si="68"/>
        <v>0</v>
      </c>
      <c r="AG50" s="4504">
        <f t="shared" si="69"/>
        <v>0</v>
      </c>
      <c r="AH50" s="4504">
        <f t="shared" si="70"/>
        <v>0</v>
      </c>
      <c r="AI50" s="4504">
        <f t="shared" si="71"/>
        <v>0</v>
      </c>
    </row>
    <row r="51" spans="1:35" ht="13.2">
      <c r="A51" s="433" t="s">
        <v>732</v>
      </c>
      <c r="B51" s="1489" t="s">
        <v>1355</v>
      </c>
      <c r="C51" s="314" t="s">
        <v>676</v>
      </c>
      <c r="D51" s="419">
        <v>1</v>
      </c>
      <c r="E51" s="420">
        <v>0</v>
      </c>
      <c r="F51" s="420">
        <v>0</v>
      </c>
      <c r="G51" s="420">
        <v>0</v>
      </c>
      <c r="H51" s="420">
        <v>0</v>
      </c>
      <c r="I51" s="435">
        <v>0</v>
      </c>
      <c r="J51" s="445">
        <v>0.62855227361203447</v>
      </c>
      <c r="K51" s="3965">
        <v>0</v>
      </c>
      <c r="L51" s="3965">
        <v>0</v>
      </c>
      <c r="M51" s="3965">
        <v>0</v>
      </c>
      <c r="N51" s="3965">
        <v>0</v>
      </c>
      <c r="O51" s="3967">
        <v>0</v>
      </c>
      <c r="P51" s="4445">
        <f t="shared" si="58"/>
        <v>-1</v>
      </c>
      <c r="Q51" s="4095">
        <f t="shared" si="59"/>
        <v>629</v>
      </c>
      <c r="R51" s="3855">
        <f t="shared" si="59"/>
        <v>0</v>
      </c>
      <c r="S51" s="3855">
        <f t="shared" si="59"/>
        <v>0</v>
      </c>
      <c r="T51" s="3855">
        <f t="shared" si="59"/>
        <v>0</v>
      </c>
      <c r="U51" s="3855">
        <f t="shared" si="59"/>
        <v>0</v>
      </c>
      <c r="V51" s="3856">
        <f t="shared" si="59"/>
        <v>0</v>
      </c>
      <c r="W51" s="4488"/>
      <c r="X51" s="4504">
        <f t="shared" si="60"/>
        <v>0.32137367440525733</v>
      </c>
      <c r="Y51" s="4504">
        <f t="shared" si="61"/>
        <v>0</v>
      </c>
      <c r="Z51" s="4504">
        <f t="shared" si="62"/>
        <v>0</v>
      </c>
      <c r="AA51" s="4504">
        <f t="shared" si="63"/>
        <v>0</v>
      </c>
      <c r="AB51" s="4504">
        <f t="shared" si="64"/>
        <v>0</v>
      </c>
      <c r="AC51" s="4504">
        <f t="shared" si="65"/>
        <v>0</v>
      </c>
      <c r="AD51" s="4504">
        <f t="shared" si="66"/>
        <v>321.60259327242142</v>
      </c>
      <c r="AE51" s="4504">
        <f t="shared" si="67"/>
        <v>0</v>
      </c>
      <c r="AF51" s="4504">
        <f t="shared" si="68"/>
        <v>0</v>
      </c>
      <c r="AG51" s="4504">
        <f t="shared" si="69"/>
        <v>0</v>
      </c>
      <c r="AH51" s="4504">
        <f t="shared" si="70"/>
        <v>0</v>
      </c>
      <c r="AI51" s="4504">
        <f t="shared" si="71"/>
        <v>0</v>
      </c>
    </row>
    <row r="52" spans="1:35" ht="24.6" thickBot="1">
      <c r="A52" s="434" t="s">
        <v>917</v>
      </c>
      <c r="B52" s="1490" t="s">
        <v>1341</v>
      </c>
      <c r="C52" s="1491" t="s">
        <v>313</v>
      </c>
      <c r="D52" s="2063"/>
      <c r="E52" s="2064"/>
      <c r="F52" s="2064"/>
      <c r="G52" s="2064"/>
      <c r="H52" s="2064"/>
      <c r="I52" s="2065"/>
      <c r="J52" s="3675">
        <v>1.4368408871868366</v>
      </c>
      <c r="K52" s="3966">
        <v>1.7987202443434867</v>
      </c>
      <c r="L52" s="3966">
        <v>1.888396026890484</v>
      </c>
      <c r="M52" s="3966">
        <v>1.9870114839324722</v>
      </c>
      <c r="N52" s="3966">
        <v>2.0969312478316802</v>
      </c>
      <c r="O52" s="4101">
        <v>2.2196505893359153</v>
      </c>
      <c r="P52" s="4446">
        <f t="shared" si="58"/>
        <v>0.25185764156890522</v>
      </c>
      <c r="Q52" s="3672"/>
      <c r="R52" s="2064"/>
      <c r="S52" s="2064"/>
      <c r="T52" s="2064"/>
      <c r="U52" s="2064"/>
      <c r="V52" s="2065"/>
      <c r="W52" s="4488"/>
      <c r="X52" s="4504">
        <f t="shared" si="60"/>
        <v>0.73464508018940122</v>
      </c>
      <c r="Y52" s="4504">
        <f t="shared" si="61"/>
        <v>0.91967105747610312</v>
      </c>
      <c r="Z52" s="4504">
        <f t="shared" si="62"/>
        <v>0.96552155703230036</v>
      </c>
      <c r="AA52" s="4504">
        <f t="shared" si="63"/>
        <v>1.0159428395783234</v>
      </c>
      <c r="AB52" s="4504">
        <f t="shared" si="64"/>
        <v>1.0721439224429936</v>
      </c>
      <c r="AC52" s="4504">
        <f t="shared" si="65"/>
        <v>1.1348893254198551</v>
      </c>
    </row>
    <row r="53" spans="1:35" ht="23.25" customHeight="1" thickBot="1">
      <c r="A53" s="1350"/>
      <c r="B53" s="1483" t="s">
        <v>1074</v>
      </c>
      <c r="C53" s="1484"/>
      <c r="D53" s="421">
        <f>SUM(D41:D52)-D48-D49</f>
        <v>87</v>
      </c>
      <c r="E53" s="321">
        <f t="shared" ref="E53:O53" si="72">SUM(E41:E52)-E48-E49</f>
        <v>87</v>
      </c>
      <c r="F53" s="321">
        <f t="shared" si="72"/>
        <v>86</v>
      </c>
      <c r="G53" s="321">
        <f t="shared" si="72"/>
        <v>82</v>
      </c>
      <c r="H53" s="321">
        <f t="shared" si="72"/>
        <v>86</v>
      </c>
      <c r="I53" s="322">
        <f t="shared" si="72"/>
        <v>81</v>
      </c>
      <c r="J53" s="322">
        <f t="shared" si="72"/>
        <v>44.438360887186846</v>
      </c>
      <c r="K53" s="322">
        <f t="shared" si="72"/>
        <v>60.49652234425406</v>
      </c>
      <c r="L53" s="321">
        <f t="shared" si="72"/>
        <v>63.317377431934887</v>
      </c>
      <c r="M53" s="321">
        <f t="shared" si="72"/>
        <v>62.735233319062345</v>
      </c>
      <c r="N53" s="321">
        <f t="shared" si="72"/>
        <v>73.715055374870943</v>
      </c>
      <c r="O53" s="4103">
        <f t="shared" si="72"/>
        <v>74.307287012469487</v>
      </c>
      <c r="P53" s="4264">
        <f t="shared" si="58"/>
        <v>0.36135809549396208</v>
      </c>
      <c r="Q53" s="3676"/>
      <c r="R53" s="3677"/>
      <c r="S53" s="3677"/>
      <c r="T53" s="3677"/>
      <c r="U53" s="3677"/>
      <c r="V53" s="3678"/>
      <c r="W53" s="4488"/>
      <c r="X53" s="4504">
        <f t="shared" si="60"/>
        <v>22.720973135286219</v>
      </c>
      <c r="Y53" s="4504">
        <f t="shared" si="61"/>
        <v>30.931380715222726</v>
      </c>
      <c r="Z53" s="4504">
        <f t="shared" si="62"/>
        <v>32.373661019584979</v>
      </c>
      <c r="AA53" s="4504">
        <f t="shared" si="63"/>
        <v>32.076015460987072</v>
      </c>
      <c r="AB53" s="4504">
        <f t="shared" si="64"/>
        <v>37.689909335101184</v>
      </c>
      <c r="AC53" s="4504">
        <f t="shared" si="65"/>
        <v>37.99271256319286</v>
      </c>
    </row>
    <row r="54" spans="1:35" ht="12.75" customHeight="1" thickBot="1">
      <c r="A54" s="3653"/>
      <c r="B54" s="3654" t="s">
        <v>1427</v>
      </c>
      <c r="C54" s="3697" t="s">
        <v>170</v>
      </c>
      <c r="D54" s="3655"/>
      <c r="E54" s="3656">
        <f>IFERROR((E53-D53)/D53,0)</f>
        <v>0</v>
      </c>
      <c r="F54" s="3656">
        <f>IFERROR((F53-E53)/E53,0)</f>
        <v>-1.1494252873563218E-2</v>
      </c>
      <c r="G54" s="3656">
        <f>IFERROR((G53-F53)/F53,0)</f>
        <v>-4.6511627906976744E-2</v>
      </c>
      <c r="H54" s="3656">
        <f>IFERROR((H53-G53)/G53,0)</f>
        <v>4.878048780487805E-2</v>
      </c>
      <c r="I54" s="3657">
        <f>IFERROR((I53-H53)/H53,0)</f>
        <v>-5.8139534883720929E-2</v>
      </c>
      <c r="J54" s="3658"/>
      <c r="K54" s="3656">
        <f>IFERROR((K53-J53)/J53,0)</f>
        <v>0.36135809549396208</v>
      </c>
      <c r="L54" s="3656">
        <f>IFERROR((L53-K53)/K53,0)</f>
        <v>4.6628384217340883E-2</v>
      </c>
      <c r="M54" s="3656">
        <f>IFERROR((M53-L53)/L53,0)</f>
        <v>-9.1940654601232689E-3</v>
      </c>
      <c r="N54" s="3656">
        <f>IFERROR((N53-M53)/M53,0)</f>
        <v>0.17501843023308458</v>
      </c>
      <c r="O54" s="3656">
        <f>IFERROR((O53-N53)/N53,0)</f>
        <v>8.0340662377150311E-3</v>
      </c>
      <c r="P54" s="4091">
        <f t="shared" ref="P54" si="73">IFERROR((O54-J54)/J54,0)</f>
        <v>0</v>
      </c>
      <c r="Q54" s="3659"/>
      <c r="R54" s="3660"/>
      <c r="S54" s="3660"/>
      <c r="T54" s="3660"/>
      <c r="U54" s="3660"/>
      <c r="V54" s="3661"/>
      <c r="W54" s="4488"/>
    </row>
    <row r="55" spans="1:35" ht="13.5" customHeight="1" thickBot="1">
      <c r="A55" s="3679" t="s">
        <v>1075</v>
      </c>
      <c r="B55" s="430"/>
      <c r="C55" s="430"/>
      <c r="D55" s="430"/>
      <c r="E55" s="430"/>
      <c r="F55" s="430"/>
      <c r="G55" s="430"/>
      <c r="H55" s="430"/>
      <c r="I55" s="430"/>
      <c r="J55" s="430"/>
      <c r="K55" s="430"/>
      <c r="L55" s="430"/>
      <c r="M55" s="430"/>
      <c r="N55" s="430"/>
      <c r="O55" s="430"/>
      <c r="P55" s="3680"/>
      <c r="Q55" s="3680"/>
      <c r="R55" s="3680"/>
      <c r="S55" s="3680"/>
      <c r="T55" s="3680"/>
      <c r="U55" s="3680"/>
      <c r="V55" s="3681"/>
      <c r="W55" s="4488"/>
    </row>
    <row r="56" spans="1:35" ht="13.2">
      <c r="A56" s="1351"/>
      <c r="B56" s="1495" t="s">
        <v>1068</v>
      </c>
      <c r="C56" s="3710"/>
      <c r="D56" s="2067"/>
      <c r="E56" s="2068"/>
      <c r="F56" s="2068"/>
      <c r="G56" s="2068"/>
      <c r="H56" s="2068"/>
      <c r="I56" s="2069"/>
      <c r="J56" s="441">
        <v>6.7873400000000013</v>
      </c>
      <c r="K56" s="442">
        <v>7.5044821617647059</v>
      </c>
      <c r="L56" s="442">
        <v>7.3468981617647042</v>
      </c>
      <c r="M56" s="442">
        <v>7.18626788235294</v>
      </c>
      <c r="N56" s="442">
        <v>7.3037012156862735</v>
      </c>
      <c r="O56" s="443">
        <v>7.0048076029411774</v>
      </c>
      <c r="P56" s="4447">
        <f>IFERROR((K56-J56)/J56,0)</f>
        <v>0.10565879442678643</v>
      </c>
      <c r="Q56" s="3665"/>
      <c r="R56" s="2068"/>
      <c r="S56" s="2068"/>
      <c r="T56" s="2068"/>
      <c r="U56" s="2068"/>
      <c r="V56" s="2069"/>
      <c r="W56" s="4488"/>
      <c r="X56" s="4504">
        <f t="shared" ref="X56" si="74">IFERROR(J56/$C$1,0)</f>
        <v>3.4703118369183423</v>
      </c>
      <c r="Y56" s="4504">
        <f t="shared" ref="Y56" si="75">IFERROR(K56/$C$1,0)</f>
        <v>3.8369808018921412</v>
      </c>
      <c r="Z56" s="4504">
        <f t="shared" ref="Z56" si="76">IFERROR(L56/$C$1,0)</f>
        <v>3.7564093820857152</v>
      </c>
      <c r="AA56" s="4504">
        <f t="shared" ref="AA56" si="77">IFERROR(M56/$C$1,0)</f>
        <v>3.6742804243482001</v>
      </c>
      <c r="AB56" s="4504">
        <f t="shared" ref="AB56" si="78">IFERROR(N56/$C$1,0)</f>
        <v>3.7343231342633429</v>
      </c>
      <c r="AC56" s="4504">
        <f t="shared" ref="AC56" si="79">IFERROR(O56/$C$1,0)</f>
        <v>3.5815012567253683</v>
      </c>
    </row>
    <row r="57" spans="1:35" ht="13.2">
      <c r="A57" s="1353"/>
      <c r="B57" s="3699" t="s">
        <v>1427</v>
      </c>
      <c r="C57" s="3711" t="s">
        <v>170</v>
      </c>
      <c r="D57" s="2070"/>
      <c r="E57" s="2007"/>
      <c r="F57" s="2007"/>
      <c r="G57" s="2007"/>
      <c r="H57" s="2007"/>
      <c r="I57" s="2071"/>
      <c r="J57" s="3968"/>
      <c r="K57" s="3667">
        <f>IFERROR((K56-J56)/J56,0)</f>
        <v>0.10565879442678643</v>
      </c>
      <c r="L57" s="3667">
        <f>IFERROR((L56-K56)/K56,0)</f>
        <v>-2.0998650753397925E-2</v>
      </c>
      <c r="M57" s="3667">
        <f>IFERROR((M56-L56)/L56,0)</f>
        <v>-2.1863686670890409E-2</v>
      </c>
      <c r="N57" s="3667">
        <f>IFERROR((N56-M56)/M56,0)</f>
        <v>1.6341352041956345E-2</v>
      </c>
      <c r="O57" s="3668">
        <f>IFERROR((O56-N56)/N56,0)</f>
        <v>-4.0923581608617504E-2</v>
      </c>
      <c r="P57" s="4265"/>
      <c r="Q57" s="3079"/>
      <c r="R57" s="2007"/>
      <c r="S57" s="2007"/>
      <c r="T57" s="2007"/>
      <c r="U57" s="2007"/>
      <c r="V57" s="2071"/>
      <c r="W57" s="4488"/>
    </row>
    <row r="58" spans="1:35" ht="13.2">
      <c r="A58" s="1352"/>
      <c r="B58" s="1496" t="s">
        <v>642</v>
      </c>
      <c r="C58" s="3712"/>
      <c r="D58" s="2070"/>
      <c r="E58" s="2007"/>
      <c r="F58" s="2007"/>
      <c r="G58" s="2007"/>
      <c r="H58" s="2007"/>
      <c r="I58" s="2071"/>
      <c r="J58" s="444">
        <v>9.5276337941480236</v>
      </c>
      <c r="K58" s="426">
        <v>11.281842624488245</v>
      </c>
      <c r="L58" s="426">
        <v>10.962119150424643</v>
      </c>
      <c r="M58" s="426">
        <v>10.266219878136628</v>
      </c>
      <c r="N58" s="426">
        <v>11.108286730850562</v>
      </c>
      <c r="O58" s="427">
        <v>10.08376654234001</v>
      </c>
      <c r="P58" s="4448">
        <f>IFERROR((K58-J58)/J58,0)</f>
        <v>0.18411799490212102</v>
      </c>
      <c r="Q58" s="3079"/>
      <c r="R58" s="2007"/>
      <c r="S58" s="2007"/>
      <c r="T58" s="2007"/>
      <c r="U58" s="2007"/>
      <c r="V58" s="2071"/>
      <c r="W58" s="4488"/>
      <c r="X58" s="4504">
        <f t="shared" ref="X58" si="80">IFERROR(J58/$C$1,0)</f>
        <v>4.8714018059586079</v>
      </c>
      <c r="Y58" s="4504">
        <f t="shared" ref="Y58" si="81">IFERROR(K58/$C$1,0)</f>
        <v>5.7683145388342778</v>
      </c>
      <c r="Z58" s="4504">
        <f t="shared" ref="Z58" si="82">IFERROR(L58/$C$1,0)</f>
        <v>5.6048425223177079</v>
      </c>
      <c r="AA58" s="4504">
        <f t="shared" ref="AA58" si="83">IFERROR(M58/$C$1,0)</f>
        <v>5.2490348742664894</v>
      </c>
      <c r="AB58" s="4504">
        <f t="shared" ref="AB58" si="84">IFERROR(N58/$C$1,0)</f>
        <v>5.6795768194835761</v>
      </c>
      <c r="AC58" s="4504">
        <f t="shared" ref="AC58" si="85">IFERROR(O58/$C$1,0)</f>
        <v>5.155747964976511</v>
      </c>
    </row>
    <row r="59" spans="1:35" ht="13.2">
      <c r="A59" s="1352"/>
      <c r="B59" s="3699" t="s">
        <v>1427</v>
      </c>
      <c r="C59" s="3711" t="s">
        <v>170</v>
      </c>
      <c r="D59" s="2070"/>
      <c r="E59" s="2007"/>
      <c r="F59" s="2007"/>
      <c r="G59" s="2007"/>
      <c r="H59" s="2007"/>
      <c r="I59" s="2071"/>
      <c r="J59" s="3671"/>
      <c r="K59" s="3667">
        <f>IFERROR((K58-J58)/J58,0)</f>
        <v>0.18411799490212102</v>
      </c>
      <c r="L59" s="3667">
        <f>IFERROR((L58-K58)/K58,0)</f>
        <v>-2.8339650242028201E-2</v>
      </c>
      <c r="M59" s="3667">
        <f>IFERROR((M58-L58)/L58,0)</f>
        <v>-6.3482184670566891E-2</v>
      </c>
      <c r="N59" s="3667">
        <f>IFERROR((N58-M58)/M58,0)</f>
        <v>8.2023068150647638E-2</v>
      </c>
      <c r="O59" s="3668">
        <f>IFERROR((O58-N58)/N58,0)</f>
        <v>-9.2230261365616045E-2</v>
      </c>
      <c r="P59" s="4265"/>
      <c r="Q59" s="3079"/>
      <c r="R59" s="2007"/>
      <c r="S59" s="2007"/>
      <c r="T59" s="2007"/>
      <c r="U59" s="2007"/>
      <c r="V59" s="2071"/>
      <c r="W59" s="4488"/>
    </row>
    <row r="60" spans="1:35" ht="13.2">
      <c r="A60" s="1352"/>
      <c r="B60" s="1496" t="s">
        <v>641</v>
      </c>
      <c r="C60" s="3712"/>
      <c r="D60" s="2070"/>
      <c r="E60" s="2007"/>
      <c r="F60" s="2007"/>
      <c r="G60" s="2007"/>
      <c r="H60" s="2007"/>
      <c r="I60" s="2071"/>
      <c r="J60" s="444">
        <v>10.875167093038815</v>
      </c>
      <c r="K60" s="426">
        <v>11.756566951262704</v>
      </c>
      <c r="L60" s="426">
        <v>11.567679263864406</v>
      </c>
      <c r="M60" s="426">
        <v>10.838423074387514</v>
      </c>
      <c r="N60" s="426">
        <v>11.691977890087609</v>
      </c>
      <c r="O60" s="427">
        <v>10.978389499212893</v>
      </c>
      <c r="P60" s="4448">
        <f>IFERROR((K60-J60)/J60,0)</f>
        <v>8.1047017547718578E-2</v>
      </c>
      <c r="Q60" s="3079"/>
      <c r="R60" s="2007"/>
      <c r="S60" s="2007"/>
      <c r="T60" s="2007"/>
      <c r="U60" s="2007"/>
      <c r="V60" s="2071"/>
      <c r="W60" s="4488"/>
      <c r="X60" s="4504">
        <f t="shared" ref="X60" si="86">IFERROR(J60/$C$1,0)</f>
        <v>5.5603846413230267</v>
      </c>
      <c r="Y60" s="4504">
        <f t="shared" ref="Y60" si="87">IFERROR(K60/$C$1,0)</f>
        <v>6.0110372329203985</v>
      </c>
      <c r="Z60" s="4504">
        <f t="shared" ref="Z60" si="88">IFERROR(L60/$C$1,0)</f>
        <v>5.9144604918957198</v>
      </c>
      <c r="AA60" s="4504">
        <f t="shared" ref="AA60" si="89">IFERROR(M60/$C$1,0)</f>
        <v>5.5415977229040942</v>
      </c>
      <c r="AB60" s="4504">
        <f t="shared" ref="AB60" si="90">IFERROR(N60/$C$1,0)</f>
        <v>5.9780133703274867</v>
      </c>
      <c r="AC60" s="4504">
        <f t="shared" ref="AC60" si="91">IFERROR(O60/$C$1,0)</f>
        <v>5.6131614195573709</v>
      </c>
    </row>
    <row r="61" spans="1:35" ht="13.2">
      <c r="A61" s="1352"/>
      <c r="B61" s="3699" t="s">
        <v>1427</v>
      </c>
      <c r="C61" s="3711" t="s">
        <v>170</v>
      </c>
      <c r="D61" s="2070"/>
      <c r="E61" s="2007"/>
      <c r="F61" s="2007"/>
      <c r="G61" s="2007"/>
      <c r="H61" s="2007"/>
      <c r="I61" s="2071"/>
      <c r="J61" s="3671"/>
      <c r="K61" s="3667">
        <f>IFERROR((K60-J60)/J60,0)</f>
        <v>8.1047017547718578E-2</v>
      </c>
      <c r="L61" s="3667">
        <f>IFERROR((L60-K60)/K60,0)</f>
        <v>-1.6066568427784977E-2</v>
      </c>
      <c r="M61" s="3667">
        <f>IFERROR((M60-L60)/L60,0)</f>
        <v>-6.3042566520233045E-2</v>
      </c>
      <c r="N61" s="3667">
        <f>IFERROR((N60-M60)/M60,0)</f>
        <v>7.8752675536088529E-2</v>
      </c>
      <c r="O61" s="3668">
        <f>IFERROR((O60-N60)/N60,0)</f>
        <v>-6.1032307585844096E-2</v>
      </c>
      <c r="P61" s="4265"/>
      <c r="Q61" s="3079"/>
      <c r="R61" s="2007"/>
      <c r="S61" s="2007"/>
      <c r="T61" s="2007"/>
      <c r="U61" s="2007"/>
      <c r="V61" s="2071"/>
      <c r="W61" s="4488"/>
    </row>
    <row r="62" spans="1:35" ht="13.2">
      <c r="A62" s="1352"/>
      <c r="B62" s="1496" t="s">
        <v>640</v>
      </c>
      <c r="C62" s="3712"/>
      <c r="D62" s="2070"/>
      <c r="E62" s="2007"/>
      <c r="F62" s="2007"/>
      <c r="G62" s="2007"/>
      <c r="H62" s="2007"/>
      <c r="I62" s="2071"/>
      <c r="J62" s="444">
        <v>13.455360000000001</v>
      </c>
      <c r="K62" s="426">
        <v>23.413907519078556</v>
      </c>
      <c r="L62" s="426">
        <v>26.041993180433511</v>
      </c>
      <c r="M62" s="426">
        <v>26.858776685922098</v>
      </c>
      <c r="N62" s="426">
        <v>34.148209098739542</v>
      </c>
      <c r="O62" s="427">
        <v>36.441503028896832</v>
      </c>
      <c r="P62" s="4448">
        <f>IFERROR((K62-J62)/J62,0)</f>
        <v>0.74011750849316216</v>
      </c>
      <c r="Q62" s="3079"/>
      <c r="R62" s="2007"/>
      <c r="S62" s="2007"/>
      <c r="T62" s="2007"/>
      <c r="U62" s="2007"/>
      <c r="V62" s="2071"/>
      <c r="W62" s="4488"/>
      <c r="X62" s="4504">
        <f t="shared" ref="X62" si="92">IFERROR(J62/$C$1,0)</f>
        <v>6.8796163265723509</v>
      </c>
      <c r="Y62" s="4504">
        <f t="shared" ref="Y62" si="93">IFERROR(K62/$C$1,0)</f>
        <v>11.97134082158396</v>
      </c>
      <c r="Z62" s="4504">
        <f t="shared" ref="Z62" si="94">IFERROR(L62/$C$1,0)</f>
        <v>13.315059683322943</v>
      </c>
      <c r="AA62" s="4504">
        <f t="shared" ref="AA62" si="95">IFERROR(M62/$C$1,0)</f>
        <v>13.732674458374245</v>
      </c>
      <c r="AB62" s="4504">
        <f t="shared" ref="AB62" si="96">IFERROR(N62/$C$1,0)</f>
        <v>17.459702069576366</v>
      </c>
      <c r="AC62" s="4504">
        <f t="shared" ref="AC62" si="97">IFERROR(O62/$C$1,0)</f>
        <v>18.632244637262357</v>
      </c>
    </row>
    <row r="63" spans="1:35" ht="13.2">
      <c r="A63" s="1352"/>
      <c r="B63" s="3699" t="s">
        <v>1427</v>
      </c>
      <c r="C63" s="3711" t="s">
        <v>170</v>
      </c>
      <c r="D63" s="2070"/>
      <c r="E63" s="2007"/>
      <c r="F63" s="2007"/>
      <c r="G63" s="2007"/>
      <c r="H63" s="2007"/>
      <c r="I63" s="2071"/>
      <c r="J63" s="3969"/>
      <c r="K63" s="3667">
        <f>IFERROR((K62-J62)/J62,0)</f>
        <v>0.74011750849316216</v>
      </c>
      <c r="L63" s="3667">
        <f>IFERROR((L62-K62)/K62,0)</f>
        <v>0.11224464174608573</v>
      </c>
      <c r="M63" s="3667">
        <f>IFERROR((M62-L62)/L62,0)</f>
        <v>3.1364093363724255E-2</v>
      </c>
      <c r="N63" s="3667">
        <f>IFERROR((N62-M62)/M62,0)</f>
        <v>0.2713985263758556</v>
      </c>
      <c r="O63" s="3668">
        <f>IFERROR((O62-N62)/N62,0)</f>
        <v>6.7157077653069039E-2</v>
      </c>
      <c r="P63" s="4265"/>
      <c r="Q63" s="3079"/>
      <c r="R63" s="2007"/>
      <c r="S63" s="2007"/>
      <c r="T63" s="2007"/>
      <c r="U63" s="2007"/>
      <c r="V63" s="2071"/>
      <c r="W63" s="4488"/>
    </row>
    <row r="64" spans="1:35" ht="13.2">
      <c r="A64" s="1352"/>
      <c r="B64" s="1496" t="s">
        <v>639</v>
      </c>
      <c r="C64" s="3712"/>
      <c r="D64" s="2070"/>
      <c r="E64" s="2007"/>
      <c r="F64" s="2007"/>
      <c r="G64" s="2007"/>
      <c r="H64" s="2007"/>
      <c r="I64" s="2071"/>
      <c r="J64" s="951">
        <v>2.6389199999999997</v>
      </c>
      <c r="K64" s="428">
        <v>4.7054255944452112</v>
      </c>
      <c r="L64" s="428">
        <v>5.508990556114437</v>
      </c>
      <c r="M64" s="428">
        <v>5.677953819104089</v>
      </c>
      <c r="N64" s="428">
        <v>7.2149327587371692</v>
      </c>
      <c r="O64" s="429">
        <v>7.6952121127689495</v>
      </c>
      <c r="P64" s="4266">
        <f>IFERROR((K64-J64)/J64,0)</f>
        <v>0.78308762465145276</v>
      </c>
      <c r="Q64" s="3079"/>
      <c r="R64" s="2007"/>
      <c r="S64" s="2007"/>
      <c r="T64" s="2007"/>
      <c r="U64" s="2007"/>
      <c r="V64" s="2071"/>
      <c r="W64" s="4488"/>
      <c r="X64" s="4504">
        <f t="shared" ref="X64" si="98">IFERROR(J64/$C$1,0)</f>
        <v>1.3492583711263249</v>
      </c>
      <c r="Y64" s="4504">
        <f t="shared" ref="Y64" si="99">IFERROR(K64/$C$1,0)</f>
        <v>2.4058459040127267</v>
      </c>
      <c r="Z64" s="4504">
        <f t="shared" ref="Z64" si="100">IFERROR(L64/$C$1,0)</f>
        <v>2.8167021449279526</v>
      </c>
      <c r="AA64" s="4504">
        <f t="shared" ref="AA64" si="101">IFERROR(M64/$C$1,0)</f>
        <v>2.9030916895149828</v>
      </c>
      <c r="AB64" s="4504">
        <f t="shared" ref="AB64" si="102">IFERROR(N64/$C$1,0)</f>
        <v>3.6889365429189498</v>
      </c>
      <c r="AC64" s="4504">
        <f t="shared" ref="AC64" si="103">IFERROR(O64/$C$1,0)</f>
        <v>3.9344994773415634</v>
      </c>
    </row>
    <row r="65" spans="1:35" ht="13.2">
      <c r="A65" s="1354"/>
      <c r="B65" s="3699" t="s">
        <v>1427</v>
      </c>
      <c r="C65" s="3711" t="s">
        <v>170</v>
      </c>
      <c r="D65" s="2070"/>
      <c r="E65" s="2007"/>
      <c r="F65" s="2007"/>
      <c r="G65" s="2007"/>
      <c r="H65" s="2007"/>
      <c r="I65" s="2071"/>
      <c r="J65" s="3969"/>
      <c r="K65" s="3667">
        <f>IFERROR((K64-J64)/J64,0)</f>
        <v>0.78308762465145276</v>
      </c>
      <c r="L65" s="3667">
        <f>IFERROR((L64-K64)/K64,0)</f>
        <v>0.17077412989333843</v>
      </c>
      <c r="M65" s="3667">
        <f>IFERROR((M64-L64)/L64,0)</f>
        <v>3.0670457912134092E-2</v>
      </c>
      <c r="N65" s="3667">
        <f>IFERROR((N64-M64)/M64,0)</f>
        <v>0.27069239881130214</v>
      </c>
      <c r="O65" s="3668">
        <f>IFERROR((O64-N64)/N64,0)</f>
        <v>6.6567405420399739E-2</v>
      </c>
      <c r="P65" s="4265"/>
      <c r="Q65" s="3079"/>
      <c r="R65" s="2007"/>
      <c r="S65" s="2007"/>
      <c r="T65" s="2007"/>
      <c r="U65" s="2007"/>
      <c r="V65" s="2071"/>
      <c r="W65" s="4488"/>
    </row>
    <row r="66" spans="1:35" ht="24">
      <c r="A66" s="1352"/>
      <c r="B66" s="1496" t="s">
        <v>638</v>
      </c>
      <c r="C66" s="3712"/>
      <c r="D66" s="2070"/>
      <c r="E66" s="2007"/>
      <c r="F66" s="2007"/>
      <c r="G66" s="2007"/>
      <c r="H66" s="2007"/>
      <c r="I66" s="2071"/>
      <c r="J66" s="3708">
        <f>J53-J56-J58-J60-J62-J64</f>
        <v>1.1539400000000066</v>
      </c>
      <c r="K66" s="3685">
        <f t="shared" ref="K66:O66" si="104">K53-K56-K58-K60-K62-K64</f>
        <v>1.8342974932146401</v>
      </c>
      <c r="L66" s="3685">
        <f t="shared" si="104"/>
        <v>1.8896971193331851</v>
      </c>
      <c r="M66" s="3685">
        <f t="shared" si="104"/>
        <v>1.9075919791590836</v>
      </c>
      <c r="N66" s="3685">
        <f t="shared" si="104"/>
        <v>2.2479476807697845</v>
      </c>
      <c r="O66" s="3669">
        <f t="shared" si="104"/>
        <v>2.1036082263096176</v>
      </c>
      <c r="P66" s="4266">
        <f>IFERROR((K66-J66)/J66,0)</f>
        <v>0.58959520704250612</v>
      </c>
      <c r="Q66" s="3079"/>
      <c r="R66" s="2007"/>
      <c r="S66" s="2007"/>
      <c r="T66" s="2007"/>
      <c r="U66" s="2007"/>
      <c r="V66" s="2071"/>
      <c r="W66" s="4488"/>
      <c r="X66" s="4504">
        <f t="shared" ref="X66" si="105">IFERROR(J66/$C$1,0)</f>
        <v>0.59000015338756773</v>
      </c>
      <c r="Y66" s="4504">
        <f t="shared" ref="Y66" si="106">IFERROR(K66/$C$1,0)</f>
        <v>0.93786141597922112</v>
      </c>
      <c r="Z66" s="4504">
        <f t="shared" ref="Z66" si="107">IFERROR(L66/$C$1,0)</f>
        <v>0.96618679503493921</v>
      </c>
      <c r="AA66" s="4504">
        <f t="shared" ref="AA66" si="108">IFERROR(M66/$C$1,0)</f>
        <v>0.97533629157906554</v>
      </c>
      <c r="AB66" s="4504">
        <f t="shared" ref="AB66" si="109">IFERROR(N66/$C$1,0)</f>
        <v>1.1493573985314596</v>
      </c>
      <c r="AC66" s="4504">
        <f t="shared" ref="AC66" si="110">IFERROR(O66/$C$1,0)</f>
        <v>1.075557807329685</v>
      </c>
    </row>
    <row r="67" spans="1:35" ht="13.8" thickBot="1">
      <c r="A67" s="4465"/>
      <c r="B67" s="4466" t="s">
        <v>1427</v>
      </c>
      <c r="C67" s="4461" t="s">
        <v>170</v>
      </c>
      <c r="D67" s="2072"/>
      <c r="E67" s="2073"/>
      <c r="F67" s="2073"/>
      <c r="G67" s="2073"/>
      <c r="H67" s="2073"/>
      <c r="I67" s="2074"/>
      <c r="J67" s="3969"/>
      <c r="K67" s="4462">
        <f>IFERROR((K66-J66)/J66,0)</f>
        <v>0.58959520704250612</v>
      </c>
      <c r="L67" s="4462">
        <f>IFERROR((L66-K66)/K66,0)</f>
        <v>3.0202094438594104E-2</v>
      </c>
      <c r="M67" s="4462">
        <f>IFERROR((M66-L66)/L66,0)</f>
        <v>9.4696973619841744E-3</v>
      </c>
      <c r="N67" s="4462">
        <f>IFERROR((N66-M66)/M66,0)</f>
        <v>0.17842164641557076</v>
      </c>
      <c r="O67" s="4467">
        <f>IFERROR((O66-N66)/N66,0)</f>
        <v>-6.4209436765334055E-2</v>
      </c>
      <c r="P67" s="4468"/>
      <c r="Q67" s="3686"/>
      <c r="R67" s="2073"/>
      <c r="S67" s="2073"/>
      <c r="T67" s="2073"/>
      <c r="U67" s="2073"/>
      <c r="V67" s="2074"/>
      <c r="W67" s="4488"/>
    </row>
    <row r="68" spans="1:35" ht="13.5" customHeight="1" thickBot="1">
      <c r="A68" s="5280"/>
      <c r="B68" s="5281"/>
      <c r="C68" s="5281"/>
      <c r="D68" s="5281"/>
      <c r="E68" s="5281"/>
      <c r="F68" s="5281"/>
      <c r="G68" s="5281"/>
      <c r="H68" s="5281"/>
      <c r="I68" s="5281"/>
      <c r="J68" s="5281"/>
      <c r="K68" s="5281"/>
      <c r="L68" s="5281"/>
      <c r="M68" s="5281"/>
      <c r="N68" s="5281"/>
      <c r="O68" s="5281"/>
      <c r="P68" s="5281"/>
      <c r="Q68" s="5281"/>
      <c r="R68" s="5281"/>
      <c r="S68" s="5281"/>
      <c r="T68" s="5281"/>
      <c r="U68" s="5281"/>
      <c r="V68" s="5282"/>
      <c r="W68" s="4488"/>
    </row>
    <row r="69" spans="1:35" ht="18" customHeight="1" thickBot="1">
      <c r="A69" s="1503">
        <v>3</v>
      </c>
      <c r="B69" s="3683" t="s">
        <v>209</v>
      </c>
      <c r="C69" s="5266"/>
      <c r="D69" s="5266"/>
      <c r="E69" s="5266"/>
      <c r="F69" s="5266"/>
      <c r="G69" s="5266"/>
      <c r="H69" s="5266"/>
      <c r="I69" s="5266"/>
      <c r="J69" s="5269"/>
      <c r="K69" s="5269"/>
      <c r="L69" s="5269"/>
      <c r="M69" s="5269"/>
      <c r="N69" s="5269"/>
      <c r="O69" s="5269"/>
      <c r="P69" s="5270"/>
      <c r="Q69" s="5266"/>
      <c r="R69" s="5266"/>
      <c r="S69" s="5266"/>
      <c r="T69" s="5266"/>
      <c r="U69" s="5266"/>
      <c r="V69" s="5268"/>
      <c r="W69" s="4488"/>
    </row>
    <row r="70" spans="1:35" ht="13.2">
      <c r="A70" s="432" t="s">
        <v>263</v>
      </c>
      <c r="B70" s="1480" t="s">
        <v>1356</v>
      </c>
      <c r="C70" s="1455" t="s">
        <v>676</v>
      </c>
      <c r="D70" s="1453">
        <v>51</v>
      </c>
      <c r="E70" s="1454">
        <v>41</v>
      </c>
      <c r="F70" s="1454">
        <v>40</v>
      </c>
      <c r="G70" s="1454">
        <v>34</v>
      </c>
      <c r="H70" s="1454">
        <v>35</v>
      </c>
      <c r="I70" s="3684">
        <v>20</v>
      </c>
      <c r="J70" s="1453">
        <v>9.5971112327018115</v>
      </c>
      <c r="K70" s="3965">
        <v>8.8117970618005632</v>
      </c>
      <c r="L70" s="3965">
        <v>8.9988533131335675</v>
      </c>
      <c r="M70" s="3965">
        <v>8.0363803804630916</v>
      </c>
      <c r="N70" s="3965">
        <v>8.7297390196381563</v>
      </c>
      <c r="O70" s="3967">
        <v>5.2881416310938416</v>
      </c>
      <c r="P70" s="4444">
        <f t="shared" ref="P70:P78" si="111">IFERROR((K70-J70)/J70,0)</f>
        <v>-8.1828182654101009E-2</v>
      </c>
      <c r="Q70" s="4094">
        <f t="shared" ref="Q70:V77" si="112">ROUND(IFERROR(J70*1000/D70,0),0)</f>
        <v>188</v>
      </c>
      <c r="R70" s="3853">
        <f t="shared" si="112"/>
        <v>215</v>
      </c>
      <c r="S70" s="3853">
        <f t="shared" si="112"/>
        <v>225</v>
      </c>
      <c r="T70" s="3853">
        <f t="shared" si="112"/>
        <v>236</v>
      </c>
      <c r="U70" s="3853">
        <f t="shared" si="112"/>
        <v>249</v>
      </c>
      <c r="V70" s="3854">
        <f t="shared" si="112"/>
        <v>264</v>
      </c>
      <c r="W70" s="4488"/>
      <c r="X70" s="4504">
        <f t="shared" ref="X70:X79" si="113">IFERROR(J70/$C$1,0)</f>
        <v>4.9069250562174691</v>
      </c>
      <c r="Y70" s="4504">
        <f t="shared" ref="Y70:Y79" si="114">IFERROR(K70/$C$1,0)</f>
        <v>4.5054002964473208</v>
      </c>
      <c r="Z70" s="4504">
        <f t="shared" ref="Z70:Z79" si="115">IFERROR(L70/$C$1,0)</f>
        <v>4.6010406390808853</v>
      </c>
      <c r="AA70" s="4504">
        <f t="shared" ref="AA70:AA79" si="116">IFERROR(M70/$C$1,0)</f>
        <v>4.1089360427353565</v>
      </c>
      <c r="AB70" s="4504">
        <f t="shared" ref="AB70:AB79" si="117">IFERROR(N70/$C$1,0)</f>
        <v>4.4634446857028252</v>
      </c>
      <c r="AC70" s="4504">
        <f t="shared" ref="AC70:AC79" si="118">IFERROR(O70/$C$1,0)</f>
        <v>2.7037838825940095</v>
      </c>
      <c r="AD70" s="4504">
        <f t="shared" ref="AD70:AD77" si="119">IFERROR(Q70/$C$1,0)</f>
        <v>96.12287366488907</v>
      </c>
      <c r="AE70" s="4504">
        <f t="shared" ref="AE70:AE77" si="120">IFERROR(R70/$C$1,0)</f>
        <v>109.92775445718698</v>
      </c>
      <c r="AF70" s="4504">
        <f t="shared" ref="AF70:AF77" si="121">IFERROR(S70/$C$1,0)</f>
        <v>115.04067326914917</v>
      </c>
      <c r="AG70" s="4504">
        <f t="shared" ref="AG70:AG77" si="122">IFERROR(T70/$C$1,0)</f>
        <v>120.66488396230757</v>
      </c>
      <c r="AH70" s="4504">
        <f t="shared" ref="AH70:AH77" si="123">IFERROR(U70/$C$1,0)</f>
        <v>127.3116784178584</v>
      </c>
      <c r="AI70" s="4504">
        <f t="shared" ref="AI70:AI77" si="124">IFERROR(V70/$C$1,0)</f>
        <v>134.98105663580168</v>
      </c>
    </row>
    <row r="71" spans="1:35" ht="13.2">
      <c r="A71" s="433" t="s">
        <v>264</v>
      </c>
      <c r="B71" s="1481" t="s">
        <v>1357</v>
      </c>
      <c r="C71" s="314" t="s">
        <v>676</v>
      </c>
      <c r="D71" s="419">
        <v>10</v>
      </c>
      <c r="E71" s="420">
        <v>11</v>
      </c>
      <c r="F71" s="420">
        <v>10</v>
      </c>
      <c r="G71" s="420">
        <v>12</v>
      </c>
      <c r="H71" s="420">
        <v>13</v>
      </c>
      <c r="I71" s="435">
        <v>11</v>
      </c>
      <c r="J71" s="419">
        <v>4.0058326384667415</v>
      </c>
      <c r="K71" s="3963">
        <v>4.9517028353949444</v>
      </c>
      <c r="L71" s="3963">
        <v>4.6611517597967271</v>
      </c>
      <c r="M71" s="3963">
        <v>5.8105082771413867</v>
      </c>
      <c r="N71" s="3963">
        <v>6.5642968143468279</v>
      </c>
      <c r="O71" s="4092">
        <v>5.8162100613835079</v>
      </c>
      <c r="P71" s="4445">
        <f t="shared" si="111"/>
        <v>0.23612324385330308</v>
      </c>
      <c r="Q71" s="4095">
        <f t="shared" si="112"/>
        <v>401</v>
      </c>
      <c r="R71" s="3855">
        <f t="shared" si="112"/>
        <v>450</v>
      </c>
      <c r="S71" s="3855">
        <f t="shared" si="112"/>
        <v>466</v>
      </c>
      <c r="T71" s="3855">
        <f t="shared" si="112"/>
        <v>484</v>
      </c>
      <c r="U71" s="3855">
        <f t="shared" si="112"/>
        <v>505</v>
      </c>
      <c r="V71" s="3856">
        <f t="shared" si="112"/>
        <v>529</v>
      </c>
      <c r="W71" s="4488"/>
      <c r="X71" s="4504">
        <f t="shared" si="113"/>
        <v>2.0481497054788718</v>
      </c>
      <c r="Y71" s="4504">
        <f t="shared" si="114"/>
        <v>2.5317654578337301</v>
      </c>
      <c r="Z71" s="4504">
        <f t="shared" si="115"/>
        <v>2.3832090518075328</v>
      </c>
      <c r="AA71" s="4504">
        <f t="shared" si="116"/>
        <v>2.9708657077258183</v>
      </c>
      <c r="AB71" s="4504">
        <f t="shared" si="117"/>
        <v>3.3562716669377339</v>
      </c>
      <c r="AC71" s="4504">
        <f t="shared" si="118"/>
        <v>2.9737809837171474</v>
      </c>
      <c r="AD71" s="4504">
        <f t="shared" si="119"/>
        <v>205.02804435968361</v>
      </c>
      <c r="AE71" s="4504">
        <f t="shared" si="120"/>
        <v>230.08134653829833</v>
      </c>
      <c r="AF71" s="4504">
        <f t="shared" si="121"/>
        <v>238.26201663743782</v>
      </c>
      <c r="AG71" s="4504">
        <f t="shared" si="122"/>
        <v>247.46527049896974</v>
      </c>
      <c r="AH71" s="4504">
        <f t="shared" si="123"/>
        <v>258.20240000409035</v>
      </c>
      <c r="AI71" s="4504">
        <f t="shared" si="124"/>
        <v>270.47340515279956</v>
      </c>
    </row>
    <row r="72" spans="1:35" ht="24">
      <c r="A72" s="433" t="s">
        <v>485</v>
      </c>
      <c r="B72" s="1481" t="s">
        <v>1358</v>
      </c>
      <c r="C72" s="314" t="s">
        <v>676</v>
      </c>
      <c r="D72" s="445">
        <v>8</v>
      </c>
      <c r="E72" s="420">
        <v>15</v>
      </c>
      <c r="F72" s="420">
        <v>12</v>
      </c>
      <c r="G72" s="420">
        <v>14</v>
      </c>
      <c r="H72" s="420">
        <v>17</v>
      </c>
      <c r="I72" s="435">
        <v>20</v>
      </c>
      <c r="J72" s="419">
        <v>7.3209563264184885</v>
      </c>
      <c r="K72" s="3963">
        <v>15.13178524953652</v>
      </c>
      <c r="L72" s="3963">
        <v>12.319330029037701</v>
      </c>
      <c r="M72" s="3963">
        <v>14.655462271173034</v>
      </c>
      <c r="N72" s="3963">
        <v>18.189634121904895</v>
      </c>
      <c r="O72" s="4092">
        <v>21.931194776879678</v>
      </c>
      <c r="P72" s="4445">
        <f t="shared" si="111"/>
        <v>1.0669137438959693</v>
      </c>
      <c r="Q72" s="4095">
        <f t="shared" si="112"/>
        <v>915</v>
      </c>
      <c r="R72" s="3855">
        <f t="shared" si="112"/>
        <v>1009</v>
      </c>
      <c r="S72" s="3855">
        <f t="shared" si="112"/>
        <v>1027</v>
      </c>
      <c r="T72" s="3855">
        <f t="shared" si="112"/>
        <v>1047</v>
      </c>
      <c r="U72" s="3855">
        <f t="shared" si="112"/>
        <v>1070</v>
      </c>
      <c r="V72" s="3856">
        <f t="shared" si="112"/>
        <v>1097</v>
      </c>
      <c r="W72" s="4488"/>
      <c r="X72" s="4504">
        <f t="shared" si="113"/>
        <v>3.7431455322898661</v>
      </c>
      <c r="Y72" s="4504">
        <f t="shared" si="114"/>
        <v>7.736758946092718</v>
      </c>
      <c r="Z72" s="4504">
        <f t="shared" si="115"/>
        <v>6.2987734256237511</v>
      </c>
      <c r="AA72" s="4504">
        <f t="shared" si="116"/>
        <v>7.4932188744282655</v>
      </c>
      <c r="AB72" s="4504">
        <f t="shared" si="117"/>
        <v>9.3002122484596796</v>
      </c>
      <c r="AC72" s="4504">
        <f t="shared" si="118"/>
        <v>11.213241834351493</v>
      </c>
      <c r="AD72" s="4504">
        <f t="shared" si="119"/>
        <v>467.8320712945399</v>
      </c>
      <c r="AE72" s="4504">
        <f t="shared" si="120"/>
        <v>515.89350812698444</v>
      </c>
      <c r="AF72" s="4504">
        <f t="shared" si="121"/>
        <v>525.09676198851639</v>
      </c>
      <c r="AG72" s="4504">
        <f t="shared" si="122"/>
        <v>535.32259961244074</v>
      </c>
      <c r="AH72" s="4504">
        <f t="shared" si="123"/>
        <v>547.08231287995375</v>
      </c>
      <c r="AI72" s="4504">
        <f t="shared" si="124"/>
        <v>560.88719367225167</v>
      </c>
    </row>
    <row r="73" spans="1:35" ht="13.2">
      <c r="A73" s="433" t="s">
        <v>486</v>
      </c>
      <c r="B73" s="1481" t="s">
        <v>1359</v>
      </c>
      <c r="C73" s="314" t="s">
        <v>676</v>
      </c>
      <c r="D73" s="445">
        <v>3</v>
      </c>
      <c r="E73" s="420">
        <v>1</v>
      </c>
      <c r="F73" s="420">
        <v>1</v>
      </c>
      <c r="G73" s="420">
        <v>1</v>
      </c>
      <c r="H73" s="420">
        <v>1</v>
      </c>
      <c r="I73" s="435">
        <v>1</v>
      </c>
      <c r="J73" s="419">
        <v>0.64875020606444589</v>
      </c>
      <c r="K73" s="3963">
        <v>0.24668506853529934</v>
      </c>
      <c r="L73" s="3963">
        <v>0.2579648740197738</v>
      </c>
      <c r="M73" s="3963">
        <v>0.27075248737768848</v>
      </c>
      <c r="N73" s="3963">
        <v>0.28540803712878049</v>
      </c>
      <c r="O73" s="4092">
        <v>0.30222873223355096</v>
      </c>
      <c r="P73" s="4445">
        <f t="shared" si="111"/>
        <v>-0.61975338700579308</v>
      </c>
      <c r="Q73" s="4095">
        <f t="shared" si="112"/>
        <v>216</v>
      </c>
      <c r="R73" s="3855">
        <f t="shared" si="112"/>
        <v>247</v>
      </c>
      <c r="S73" s="3855">
        <f t="shared" si="112"/>
        <v>258</v>
      </c>
      <c r="T73" s="3855">
        <f t="shared" si="112"/>
        <v>271</v>
      </c>
      <c r="U73" s="3855">
        <f t="shared" si="112"/>
        <v>285</v>
      </c>
      <c r="V73" s="3856">
        <f t="shared" si="112"/>
        <v>302</v>
      </c>
      <c r="W73" s="4488"/>
      <c r="X73" s="4504">
        <f t="shared" si="113"/>
        <v>0.33170071328512496</v>
      </c>
      <c r="Y73" s="4504">
        <f t="shared" si="114"/>
        <v>0.12612807275443128</v>
      </c>
      <c r="Z73" s="4504">
        <f t="shared" si="115"/>
        <v>0.13189534572011566</v>
      </c>
      <c r="AA73" s="4504">
        <f t="shared" si="116"/>
        <v>0.13843354860989374</v>
      </c>
      <c r="AB73" s="4504">
        <f t="shared" si="117"/>
        <v>0.14592681221209436</v>
      </c>
      <c r="AC73" s="4504">
        <f t="shared" si="118"/>
        <v>0.15452709705524048</v>
      </c>
      <c r="AD73" s="4504">
        <f t="shared" si="119"/>
        <v>110.43904633838319</v>
      </c>
      <c r="AE73" s="4504">
        <f t="shared" si="120"/>
        <v>126.28909465546597</v>
      </c>
      <c r="AF73" s="4504">
        <f t="shared" si="121"/>
        <v>131.91330534862436</v>
      </c>
      <c r="AG73" s="4504">
        <f t="shared" si="122"/>
        <v>138.56009980417522</v>
      </c>
      <c r="AH73" s="4504">
        <f t="shared" si="123"/>
        <v>145.71818614092228</v>
      </c>
      <c r="AI73" s="4504">
        <f t="shared" si="124"/>
        <v>154.41014812125798</v>
      </c>
    </row>
    <row r="74" spans="1:35" ht="24">
      <c r="A74" s="433" t="s">
        <v>487</v>
      </c>
      <c r="B74" s="1481" t="s">
        <v>1409</v>
      </c>
      <c r="C74" s="314" t="s">
        <v>676</v>
      </c>
      <c r="D74" s="445">
        <v>2</v>
      </c>
      <c r="E74" s="420">
        <v>1</v>
      </c>
      <c r="F74" s="420">
        <v>1</v>
      </c>
      <c r="G74" s="420">
        <v>1</v>
      </c>
      <c r="H74" s="420">
        <v>1</v>
      </c>
      <c r="I74" s="435">
        <v>1</v>
      </c>
      <c r="J74" s="419">
        <v>1.273514334383409</v>
      </c>
      <c r="K74" s="3963">
        <v>0.69595249681019722</v>
      </c>
      <c r="L74" s="3963">
        <v>0.70252936955745171</v>
      </c>
      <c r="M74" s="3963">
        <v>0.70998539403516603</v>
      </c>
      <c r="N74" s="3963">
        <v>0.71853054899255053</v>
      </c>
      <c r="O74" s="4092">
        <v>0.72833812691370436</v>
      </c>
      <c r="P74" s="4445">
        <f t="shared" si="111"/>
        <v>-0.45351812852019996</v>
      </c>
      <c r="Q74" s="4095">
        <f t="shared" si="112"/>
        <v>637</v>
      </c>
      <c r="R74" s="3855">
        <f t="shared" si="112"/>
        <v>696</v>
      </c>
      <c r="S74" s="3855">
        <f t="shared" si="112"/>
        <v>703</v>
      </c>
      <c r="T74" s="3855">
        <f t="shared" si="112"/>
        <v>710</v>
      </c>
      <c r="U74" s="3855">
        <f t="shared" si="112"/>
        <v>719</v>
      </c>
      <c r="V74" s="3856">
        <f t="shared" si="112"/>
        <v>728</v>
      </c>
      <c r="W74" s="4488"/>
      <c r="X74" s="4504">
        <f t="shared" si="113"/>
        <v>0.6511375397572432</v>
      </c>
      <c r="Y74" s="4504">
        <f t="shared" si="114"/>
        <v>0.35583486131729097</v>
      </c>
      <c r="Z74" s="4504">
        <f t="shared" si="115"/>
        <v>0.35919756295662286</v>
      </c>
      <c r="AA74" s="4504">
        <f t="shared" si="116"/>
        <v>0.36300976773807847</v>
      </c>
      <c r="AB74" s="4504">
        <f t="shared" si="117"/>
        <v>0.3673788360913528</v>
      </c>
      <c r="AC74" s="4504">
        <f t="shared" si="118"/>
        <v>0.37239337105663806</v>
      </c>
      <c r="AD74" s="4504">
        <f t="shared" si="119"/>
        <v>325.69292832199119</v>
      </c>
      <c r="AE74" s="4504">
        <f t="shared" si="120"/>
        <v>355.85914931256809</v>
      </c>
      <c r="AF74" s="4504">
        <f t="shared" si="121"/>
        <v>359.43819248094161</v>
      </c>
      <c r="AG74" s="4504">
        <f t="shared" si="122"/>
        <v>363.01723564931513</v>
      </c>
      <c r="AH74" s="4504">
        <f t="shared" si="123"/>
        <v>367.6188625800811</v>
      </c>
      <c r="AI74" s="4504">
        <f t="shared" si="124"/>
        <v>372.22048951084707</v>
      </c>
    </row>
    <row r="75" spans="1:35" ht="13.2">
      <c r="A75" s="433" t="s">
        <v>683</v>
      </c>
      <c r="B75" s="1482" t="s">
        <v>914</v>
      </c>
      <c r="C75" s="314" t="s">
        <v>676</v>
      </c>
      <c r="D75" s="445">
        <v>20</v>
      </c>
      <c r="E75" s="420">
        <v>25</v>
      </c>
      <c r="F75" s="420">
        <v>30</v>
      </c>
      <c r="G75" s="420">
        <v>30</v>
      </c>
      <c r="H75" s="420">
        <v>25</v>
      </c>
      <c r="I75" s="435">
        <v>35</v>
      </c>
      <c r="J75" s="419">
        <v>5.3997953707683131</v>
      </c>
      <c r="K75" s="3963">
        <v>7.6929507823683396</v>
      </c>
      <c r="L75" s="3963">
        <v>9.6451215928443652</v>
      </c>
      <c r="M75" s="3963">
        <v>10.113986902886731</v>
      </c>
      <c r="N75" s="3963">
        <v>8.8761176595105571</v>
      </c>
      <c r="O75" s="4092">
        <v>13.146095431571277</v>
      </c>
      <c r="P75" s="4445">
        <f t="shared" si="111"/>
        <v>0.42467450229947207</v>
      </c>
      <c r="Q75" s="4095">
        <f t="shared" si="112"/>
        <v>270</v>
      </c>
      <c r="R75" s="3855">
        <f t="shared" si="112"/>
        <v>308</v>
      </c>
      <c r="S75" s="3855">
        <f t="shared" si="112"/>
        <v>322</v>
      </c>
      <c r="T75" s="3855">
        <f t="shared" si="112"/>
        <v>337</v>
      </c>
      <c r="U75" s="3855">
        <f t="shared" si="112"/>
        <v>355</v>
      </c>
      <c r="V75" s="3856">
        <f t="shared" si="112"/>
        <v>376</v>
      </c>
      <c r="W75" s="4488"/>
      <c r="X75" s="4504">
        <f t="shared" si="113"/>
        <v>2.7608715331947629</v>
      </c>
      <c r="Y75" s="4504">
        <f t="shared" si="114"/>
        <v>3.9333432774670292</v>
      </c>
      <c r="Z75" s="4504">
        <f t="shared" si="115"/>
        <v>4.9314723635716629</v>
      </c>
      <c r="AA75" s="4504">
        <f t="shared" si="116"/>
        <v>5.1711993899708721</v>
      </c>
      <c r="AB75" s="4504">
        <f t="shared" si="117"/>
        <v>4.5382868958501286</v>
      </c>
      <c r="AC75" s="4504">
        <f t="shared" si="118"/>
        <v>6.7214918635930925</v>
      </c>
      <c r="AD75" s="4504">
        <f t="shared" si="119"/>
        <v>138.04880792297899</v>
      </c>
      <c r="AE75" s="4504">
        <f t="shared" si="120"/>
        <v>157.47789940843529</v>
      </c>
      <c r="AF75" s="4504">
        <f t="shared" si="121"/>
        <v>164.63598574518235</v>
      </c>
      <c r="AG75" s="4504">
        <f t="shared" si="122"/>
        <v>172.30536396312564</v>
      </c>
      <c r="AH75" s="4504">
        <f t="shared" si="123"/>
        <v>181.50861782465756</v>
      </c>
      <c r="AI75" s="4504">
        <f t="shared" si="124"/>
        <v>192.24574732977814</v>
      </c>
    </row>
    <row r="76" spans="1:35" ht="13.2">
      <c r="A76" s="433" t="s">
        <v>728</v>
      </c>
      <c r="B76" s="1481" t="s">
        <v>915</v>
      </c>
      <c r="C76" s="314" t="s">
        <v>676</v>
      </c>
      <c r="D76" s="445">
        <v>0</v>
      </c>
      <c r="E76" s="420">
        <v>0</v>
      </c>
      <c r="F76" s="420">
        <v>0</v>
      </c>
      <c r="G76" s="420">
        <v>0</v>
      </c>
      <c r="H76" s="420">
        <v>0</v>
      </c>
      <c r="I76" s="435">
        <v>0</v>
      </c>
      <c r="J76" s="419">
        <v>0</v>
      </c>
      <c r="K76" s="3963">
        <v>0</v>
      </c>
      <c r="L76" s="3963">
        <v>0</v>
      </c>
      <c r="M76" s="3963">
        <v>0</v>
      </c>
      <c r="N76" s="3963">
        <v>0</v>
      </c>
      <c r="O76" s="4092">
        <v>0</v>
      </c>
      <c r="P76" s="4445">
        <f t="shared" si="111"/>
        <v>0</v>
      </c>
      <c r="Q76" s="4095">
        <f t="shared" si="112"/>
        <v>0</v>
      </c>
      <c r="R76" s="3855">
        <f t="shared" si="112"/>
        <v>0</v>
      </c>
      <c r="S76" s="3855">
        <f t="shared" si="112"/>
        <v>0</v>
      </c>
      <c r="T76" s="3855">
        <f t="shared" si="112"/>
        <v>0</v>
      </c>
      <c r="U76" s="3855">
        <f t="shared" si="112"/>
        <v>0</v>
      </c>
      <c r="V76" s="3856">
        <f t="shared" si="112"/>
        <v>0</v>
      </c>
      <c r="W76" s="4488"/>
      <c r="X76" s="4504">
        <f t="shared" si="113"/>
        <v>0</v>
      </c>
      <c r="Y76" s="4504">
        <f t="shared" si="114"/>
        <v>0</v>
      </c>
      <c r="Z76" s="4504">
        <f t="shared" si="115"/>
        <v>0</v>
      </c>
      <c r="AA76" s="4504">
        <f t="shared" si="116"/>
        <v>0</v>
      </c>
      <c r="AB76" s="4504">
        <f t="shared" si="117"/>
        <v>0</v>
      </c>
      <c r="AC76" s="4504">
        <f t="shared" si="118"/>
        <v>0</v>
      </c>
      <c r="AD76" s="4504">
        <f t="shared" si="119"/>
        <v>0</v>
      </c>
      <c r="AE76" s="4504">
        <f t="shared" si="120"/>
        <v>0</v>
      </c>
      <c r="AF76" s="4504">
        <f t="shared" si="121"/>
        <v>0</v>
      </c>
      <c r="AG76" s="4504">
        <f t="shared" si="122"/>
        <v>0</v>
      </c>
      <c r="AH76" s="4504">
        <f t="shared" si="123"/>
        <v>0</v>
      </c>
      <c r="AI76" s="4504">
        <f t="shared" si="124"/>
        <v>0</v>
      </c>
    </row>
    <row r="77" spans="1:35" ht="13.2">
      <c r="A77" s="433" t="s">
        <v>733</v>
      </c>
      <c r="B77" s="1489" t="s">
        <v>1360</v>
      </c>
      <c r="C77" s="314" t="s">
        <v>676</v>
      </c>
      <c r="D77" s="419">
        <v>2</v>
      </c>
      <c r="E77" s="420">
        <v>2</v>
      </c>
      <c r="F77" s="420">
        <v>2</v>
      </c>
      <c r="G77" s="420">
        <v>2</v>
      </c>
      <c r="H77" s="420">
        <v>2</v>
      </c>
      <c r="I77" s="435">
        <v>2</v>
      </c>
      <c r="J77" s="419">
        <v>2.2532498911967909</v>
      </c>
      <c r="K77" s="3963">
        <v>2.615328653127917</v>
      </c>
      <c r="L77" s="3963">
        <v>2.7449759887942218</v>
      </c>
      <c r="M77" s="3963">
        <v>2.8919537007473579</v>
      </c>
      <c r="N77" s="3963">
        <v>3.0604010184399635</v>
      </c>
      <c r="O77" s="4092">
        <v>3.2537339892425488</v>
      </c>
      <c r="P77" s="4445">
        <f t="shared" si="111"/>
        <v>0.16069179159654221</v>
      </c>
      <c r="Q77" s="4095">
        <f t="shared" si="112"/>
        <v>1127</v>
      </c>
      <c r="R77" s="3855">
        <f t="shared" si="112"/>
        <v>1308</v>
      </c>
      <c r="S77" s="3855">
        <f t="shared" si="112"/>
        <v>1372</v>
      </c>
      <c r="T77" s="3855">
        <f t="shared" si="112"/>
        <v>1446</v>
      </c>
      <c r="U77" s="3855">
        <f t="shared" si="112"/>
        <v>1530</v>
      </c>
      <c r="V77" s="3856">
        <f t="shared" si="112"/>
        <v>1627</v>
      </c>
      <c r="W77" s="4488"/>
      <c r="X77" s="4504">
        <f t="shared" si="113"/>
        <v>1.1520683756751819</v>
      </c>
      <c r="Y77" s="4504">
        <f t="shared" si="114"/>
        <v>1.337196307004145</v>
      </c>
      <c r="Z77" s="4504">
        <f t="shared" si="115"/>
        <v>1.4034839371490477</v>
      </c>
      <c r="AA77" s="4504">
        <f t="shared" si="116"/>
        <v>1.4786324479874826</v>
      </c>
      <c r="AB77" s="4504">
        <f t="shared" si="117"/>
        <v>1.564758193932992</v>
      </c>
      <c r="AC77" s="4504">
        <f t="shared" si="118"/>
        <v>1.6636077722718994</v>
      </c>
      <c r="AD77" s="4504">
        <f t="shared" si="119"/>
        <v>576.22595010813825</v>
      </c>
      <c r="AE77" s="4504">
        <f t="shared" si="120"/>
        <v>668.76978060465376</v>
      </c>
      <c r="AF77" s="4504">
        <f t="shared" si="121"/>
        <v>701.49246100121172</v>
      </c>
      <c r="AG77" s="4504">
        <f t="shared" si="122"/>
        <v>739.32806020973192</v>
      </c>
      <c r="AH77" s="4504">
        <f t="shared" si="123"/>
        <v>782.27657823021434</v>
      </c>
      <c r="AI77" s="4504">
        <f t="shared" si="124"/>
        <v>831.87189070624754</v>
      </c>
    </row>
    <row r="78" spans="1:35" ht="24.6" thickBot="1">
      <c r="A78" s="433" t="s">
        <v>919</v>
      </c>
      <c r="B78" s="1481" t="s">
        <v>1342</v>
      </c>
      <c r="C78" s="314" t="s">
        <v>313</v>
      </c>
      <c r="D78" s="2063"/>
      <c r="E78" s="2064"/>
      <c r="F78" s="2064"/>
      <c r="G78" s="2064"/>
      <c r="H78" s="2064"/>
      <c r="I78" s="2065"/>
      <c r="J78" s="3645">
        <v>7.6897939592216975</v>
      </c>
      <c r="K78" s="3964">
        <v>8.3725913791952689</v>
      </c>
      <c r="L78" s="3964">
        <v>8.4195045965211364</v>
      </c>
      <c r="M78" s="3964">
        <v>8.4726888544735246</v>
      </c>
      <c r="N78" s="3964">
        <v>8.5336419437310802</v>
      </c>
      <c r="O78" s="4093">
        <v>8.6035999697013317</v>
      </c>
      <c r="P78" s="4446">
        <f t="shared" si="111"/>
        <v>8.8792680739482252E-2</v>
      </c>
      <c r="Q78" s="3672"/>
      <c r="R78" s="2064"/>
      <c r="S78" s="2064"/>
      <c r="T78" s="2064"/>
      <c r="U78" s="2064"/>
      <c r="V78" s="2065"/>
      <c r="W78" s="4488"/>
      <c r="X78" s="4504">
        <f t="shared" si="113"/>
        <v>3.9317292194217788</v>
      </c>
      <c r="Y78" s="4504">
        <f t="shared" si="114"/>
        <v>4.2808379967559906</v>
      </c>
      <c r="Z78" s="4504">
        <f t="shared" si="115"/>
        <v>4.3048243438955005</v>
      </c>
      <c r="AA78" s="4504">
        <f t="shared" si="116"/>
        <v>4.3320170231940018</v>
      </c>
      <c r="AB78" s="4504">
        <f t="shared" si="117"/>
        <v>4.3631818428652185</v>
      </c>
      <c r="AC78" s="4504">
        <f t="shared" si="118"/>
        <v>4.3989508135683222</v>
      </c>
      <c r="AD78" s="2047"/>
      <c r="AE78" s="2047"/>
      <c r="AF78" s="2047"/>
      <c r="AG78" s="2047"/>
      <c r="AH78" s="2047"/>
      <c r="AI78" s="2047"/>
    </row>
    <row r="79" spans="1:35" s="2047" customFormat="1" ht="20.100000000000001" customHeight="1" thickBot="1">
      <c r="A79" s="1350"/>
      <c r="B79" s="1483" t="s">
        <v>1076</v>
      </c>
      <c r="C79" s="1484"/>
      <c r="D79" s="320">
        <f>SUM(D70:D78)</f>
        <v>96</v>
      </c>
      <c r="E79" s="321">
        <f t="shared" ref="E79:O79" si="125">SUM(E70:E78)</f>
        <v>96</v>
      </c>
      <c r="F79" s="321">
        <f t="shared" si="125"/>
        <v>96</v>
      </c>
      <c r="G79" s="321">
        <f t="shared" si="125"/>
        <v>94</v>
      </c>
      <c r="H79" s="321">
        <f t="shared" si="125"/>
        <v>94</v>
      </c>
      <c r="I79" s="418">
        <f t="shared" si="125"/>
        <v>90</v>
      </c>
      <c r="J79" s="320">
        <f t="shared" si="125"/>
        <v>38.189003959221701</v>
      </c>
      <c r="K79" s="321">
        <f t="shared" si="125"/>
        <v>48.518793526769052</v>
      </c>
      <c r="L79" s="321">
        <f t="shared" si="125"/>
        <v>47.749431523704949</v>
      </c>
      <c r="M79" s="321">
        <f t="shared" si="125"/>
        <v>50.961718268297979</v>
      </c>
      <c r="N79" s="321">
        <f t="shared" si="125"/>
        <v>54.957769163692817</v>
      </c>
      <c r="O79" s="955">
        <f t="shared" si="125"/>
        <v>59.069542719019438</v>
      </c>
      <c r="P79" s="4264">
        <f>IFERROR((K79-J79)/J79,0)</f>
        <v>0.27049120156622891</v>
      </c>
      <c r="Q79" s="3676"/>
      <c r="R79" s="3677"/>
      <c r="S79" s="3677"/>
      <c r="T79" s="3677"/>
      <c r="U79" s="3677"/>
      <c r="V79" s="3678"/>
      <c r="W79" s="4488"/>
      <c r="X79" s="4504">
        <f t="shared" si="113"/>
        <v>19.525727675320301</v>
      </c>
      <c r="Y79" s="4504">
        <f t="shared" si="114"/>
        <v>24.807265215672658</v>
      </c>
      <c r="Z79" s="4504">
        <f t="shared" si="115"/>
        <v>24.413896669805123</v>
      </c>
      <c r="AA79" s="4504">
        <f t="shared" si="116"/>
        <v>26.056312802389769</v>
      </c>
      <c r="AB79" s="4504">
        <f t="shared" si="117"/>
        <v>28.099461182052028</v>
      </c>
      <c r="AC79" s="4504">
        <f t="shared" si="118"/>
        <v>30.201777618207839</v>
      </c>
    </row>
    <row r="80" spans="1:35" s="2047" customFormat="1" ht="15" customHeight="1" thickBot="1">
      <c r="A80" s="3653"/>
      <c r="B80" s="3654" t="s">
        <v>1430</v>
      </c>
      <c r="C80" s="3696" t="s">
        <v>170</v>
      </c>
      <c r="D80" s="3655"/>
      <c r="E80" s="3656">
        <f>IFERROR((E79-D79)/D79,0)</f>
        <v>0</v>
      </c>
      <c r="F80" s="3656">
        <f>IFERROR((F79-E79)/E79,0)</f>
        <v>0</v>
      </c>
      <c r="G80" s="3656">
        <f>IFERROR((G79-F79)/F79,0)</f>
        <v>-2.0833333333333332E-2</v>
      </c>
      <c r="H80" s="3656">
        <f>IFERROR((H79-G79)/G79,0)</f>
        <v>0</v>
      </c>
      <c r="I80" s="3657">
        <f>IFERROR((I79-H79)/H79,0)</f>
        <v>-4.2553191489361701E-2</v>
      </c>
      <c r="J80" s="3658"/>
      <c r="K80" s="3656">
        <f>IFERROR((K79-J79)/J79,0)</f>
        <v>0.27049120156622891</v>
      </c>
      <c r="L80" s="3656">
        <f>IFERROR((L79-K79)/K79,0)</f>
        <v>-1.585698957332124E-2</v>
      </c>
      <c r="M80" s="3656">
        <f>IFERROR((M79-L79)/L79,0)</f>
        <v>6.7273821741695647E-2</v>
      </c>
      <c r="N80" s="3656">
        <f>IFERROR((N79-M79)/M79,0)</f>
        <v>7.8412797511199339E-2</v>
      </c>
      <c r="O80" s="3656">
        <f>IFERROR((O79-N79)/N79,0)</f>
        <v>7.4816966152312731E-2</v>
      </c>
      <c r="P80" s="4091"/>
      <c r="Q80" s="3659"/>
      <c r="R80" s="3660"/>
      <c r="S80" s="3660"/>
      <c r="T80" s="3660"/>
      <c r="U80" s="3660"/>
      <c r="V80" s="3661"/>
      <c r="W80" s="4488"/>
    </row>
    <row r="81" spans="1:35" s="2047" customFormat="1" ht="13.5" customHeight="1" thickBot="1">
      <c r="A81" s="3679" t="s">
        <v>1077</v>
      </c>
      <c r="B81" s="430"/>
      <c r="C81" s="430"/>
      <c r="D81" s="430"/>
      <c r="E81" s="430"/>
      <c r="F81" s="430"/>
      <c r="G81" s="430"/>
      <c r="H81" s="430"/>
      <c r="I81" s="430"/>
      <c r="J81" s="430"/>
      <c r="K81" s="430"/>
      <c r="L81" s="430"/>
      <c r="M81" s="430"/>
      <c r="N81" s="430"/>
      <c r="O81" s="430"/>
      <c r="P81" s="430"/>
      <c r="Q81" s="430"/>
      <c r="R81" s="430"/>
      <c r="S81" s="430"/>
      <c r="T81" s="430"/>
      <c r="U81" s="430"/>
      <c r="V81" s="431"/>
      <c r="W81" s="4488"/>
    </row>
    <row r="82" spans="1:35" s="2047" customFormat="1" ht="13.2">
      <c r="A82" s="1353"/>
      <c r="B82" s="1493" t="s">
        <v>1068</v>
      </c>
      <c r="C82" s="1486"/>
      <c r="D82" s="3665"/>
      <c r="E82" s="2068"/>
      <c r="F82" s="2068"/>
      <c r="G82" s="2068"/>
      <c r="H82" s="2068"/>
      <c r="I82" s="3682"/>
      <c r="J82" s="441">
        <v>1.62001</v>
      </c>
      <c r="K82" s="442">
        <v>2.0435527156862743</v>
      </c>
      <c r="L82" s="442">
        <v>2.3336161372549022</v>
      </c>
      <c r="M82" s="442">
        <v>2.3146016666666669</v>
      </c>
      <c r="N82" s="442">
        <v>2.0245382450980389</v>
      </c>
      <c r="O82" s="443">
        <v>2.5634670686274514</v>
      </c>
      <c r="P82" s="4447">
        <f>IFERROR((K82-J82)/J82,0)</f>
        <v>0.26144450693901539</v>
      </c>
      <c r="Q82" s="3665"/>
      <c r="R82" s="2068"/>
      <c r="S82" s="2068"/>
      <c r="T82" s="2068"/>
      <c r="U82" s="2068"/>
      <c r="V82" s="2069"/>
      <c r="W82" s="4488"/>
      <c r="X82" s="4504">
        <f t="shared" ref="X82" si="126">IFERROR(J82/$C$1,0)</f>
        <v>0.82829796045668591</v>
      </c>
      <c r="Y82" s="4504">
        <f t="shared" ref="Y82" si="127">IFERROR(K82/$C$1,0)</f>
        <v>1.0448519123268762</v>
      </c>
      <c r="Z82" s="4504">
        <f t="shared" ref="Z82" si="128">IFERROR(L82/$C$1,0)</f>
        <v>1.1931589848069117</v>
      </c>
      <c r="AA82" s="4504">
        <f t="shared" ref="AA82" si="129">IFERROR(M82/$C$1,0)</f>
        <v>1.1834370403699028</v>
      </c>
      <c r="AB82" s="4504">
        <f t="shared" ref="AB82" si="130">IFERROR(N82/$C$1,0)</f>
        <v>1.0351299678898671</v>
      </c>
      <c r="AC82" s="4504">
        <f t="shared" ref="AC82" si="131">IFERROR(O82/$C$1,0)</f>
        <v>1.3106798999030853</v>
      </c>
    </row>
    <row r="83" spans="1:35" s="2047" customFormat="1" ht="13.2">
      <c r="A83" s="1353"/>
      <c r="B83" s="3699" t="s">
        <v>1427</v>
      </c>
      <c r="C83" s="3696" t="s">
        <v>170</v>
      </c>
      <c r="D83" s="3079"/>
      <c r="E83" s="2007"/>
      <c r="F83" s="2007"/>
      <c r="G83" s="2007"/>
      <c r="H83" s="2007"/>
      <c r="I83" s="3098"/>
      <c r="J83" s="3968"/>
      <c r="K83" s="3667">
        <f>IFERROR((K82-J82)/J82,0)</f>
        <v>0.26144450693901539</v>
      </c>
      <c r="L83" s="3667">
        <f>IFERROR((L82-K82)/K82,0)</f>
        <v>0.14194075804460846</v>
      </c>
      <c r="M83" s="3667">
        <f>IFERROR((M82-L82)/L82,0)</f>
        <v>-8.1480712635980512E-3</v>
      </c>
      <c r="N83" s="3667">
        <f>IFERROR((N82-M82)/M82,0)</f>
        <v>-0.12531893748541093</v>
      </c>
      <c r="O83" s="3668">
        <f>IFERROR((O82-N82)/N82,0)</f>
        <v>0.26619839108216736</v>
      </c>
      <c r="P83" s="4265"/>
      <c r="Q83" s="3079"/>
      <c r="R83" s="2007"/>
      <c r="S83" s="2007"/>
      <c r="T83" s="2007"/>
      <c r="U83" s="2007"/>
      <c r="V83" s="2071"/>
      <c r="W83" s="4488"/>
      <c r="X83" s="2059"/>
      <c r="Y83" s="2059"/>
      <c r="Z83" s="2059"/>
      <c r="AA83" s="2059"/>
      <c r="AB83" s="2059"/>
      <c r="AC83" s="2059"/>
    </row>
    <row r="84" spans="1:35" s="2047" customFormat="1" ht="13.2">
      <c r="A84" s="1352"/>
      <c r="B84" s="1487" t="s">
        <v>642</v>
      </c>
      <c r="C84" s="1488"/>
      <c r="D84" s="3079"/>
      <c r="E84" s="2007"/>
      <c r="F84" s="2007"/>
      <c r="G84" s="2007"/>
      <c r="H84" s="2007"/>
      <c r="I84" s="3098"/>
      <c r="J84" s="444">
        <v>14.229999220778385</v>
      </c>
      <c r="K84" s="426">
        <v>17.631095145968899</v>
      </c>
      <c r="L84" s="426">
        <v>16.380592567510107</v>
      </c>
      <c r="M84" s="426">
        <v>17.179331960069316</v>
      </c>
      <c r="N84" s="426">
        <v>18.429834538528102</v>
      </c>
      <c r="O84" s="427">
        <v>18.729647041639428</v>
      </c>
      <c r="P84" s="4448">
        <f>IFERROR((K84-J84)/J84,0)</f>
        <v>0.23900886236341432</v>
      </c>
      <c r="Q84" s="3079"/>
      <c r="R84" s="2007"/>
      <c r="S84" s="2007"/>
      <c r="T84" s="2007"/>
      <c r="U84" s="2007"/>
      <c r="V84" s="2071"/>
      <c r="W84" s="4488"/>
      <c r="X84" s="4504">
        <f t="shared" ref="X84" si="132">IFERROR(J84/$C$1,0)</f>
        <v>7.2756830710125042</v>
      </c>
      <c r="Y84" s="4504">
        <f t="shared" ref="Y84" si="133">IFERROR(K84/$C$1,0)</f>
        <v>9.0146358047319559</v>
      </c>
      <c r="Z84" s="4504">
        <f t="shared" ref="Z84" si="134">IFERROR(L84/$C$1,0)</f>
        <v>8.375263988951037</v>
      </c>
      <c r="AA84" s="4504">
        <f t="shared" ref="AA84" si="135">IFERROR(M84/$C$1,0)</f>
        <v>8.7836529555581606</v>
      </c>
      <c r="AB84" s="4504">
        <f t="shared" ref="AB84" si="136">IFERROR(N84/$C$1,0)</f>
        <v>9.4230247713390742</v>
      </c>
      <c r="AC84" s="4504">
        <f t="shared" ref="AC84" si="137">IFERROR(O84/$C$1,0)</f>
        <v>9.5763164700610108</v>
      </c>
    </row>
    <row r="85" spans="1:35" s="2047" customFormat="1" ht="13.2">
      <c r="A85" s="1352"/>
      <c r="B85" s="3699" t="s">
        <v>1427</v>
      </c>
      <c r="C85" s="3696" t="s">
        <v>170</v>
      </c>
      <c r="D85" s="3079"/>
      <c r="E85" s="2007"/>
      <c r="F85" s="2007"/>
      <c r="G85" s="2007"/>
      <c r="H85" s="2007"/>
      <c r="I85" s="3098"/>
      <c r="J85" s="3671"/>
      <c r="K85" s="3667">
        <f>IFERROR((K84-J84)/J84,0)</f>
        <v>0.23900886236341432</v>
      </c>
      <c r="L85" s="3667">
        <f>IFERROR((L84-K84)/K84,0)</f>
        <v>-7.0925973009946727E-2</v>
      </c>
      <c r="M85" s="3667">
        <f>IFERROR((M84-L84)/L84,0)</f>
        <v>4.8761324675363676E-2</v>
      </c>
      <c r="N85" s="3667">
        <f>IFERROR((N84-M84)/M84,0)</f>
        <v>7.279110627615698E-2</v>
      </c>
      <c r="O85" s="3668">
        <f>IFERROR((O84-N84)/N84,0)</f>
        <v>1.6267780510159188E-2</v>
      </c>
      <c r="P85" s="4265"/>
      <c r="Q85" s="3079"/>
      <c r="R85" s="2007"/>
      <c r="S85" s="2007"/>
      <c r="T85" s="2007"/>
      <c r="U85" s="2007"/>
      <c r="V85" s="2071"/>
      <c r="W85" s="4488"/>
      <c r="X85" s="2059"/>
      <c r="Y85" s="2059"/>
      <c r="Z85" s="2059"/>
      <c r="AA85" s="2059"/>
      <c r="AB85" s="2059"/>
      <c r="AC85" s="2059"/>
    </row>
    <row r="86" spans="1:35" s="2047" customFormat="1" ht="13.2">
      <c r="A86" s="1352"/>
      <c r="B86" s="1487" t="s">
        <v>641</v>
      </c>
      <c r="C86" s="1488"/>
      <c r="D86" s="3079"/>
      <c r="E86" s="2007"/>
      <c r="F86" s="2007"/>
      <c r="G86" s="2007"/>
      <c r="H86" s="2007"/>
      <c r="I86" s="3098"/>
      <c r="J86" s="444">
        <v>16.482964738443311</v>
      </c>
      <c r="K86" s="426">
        <v>20.522567367123614</v>
      </c>
      <c r="L86" s="426">
        <v>19.393171121914293</v>
      </c>
      <c r="M86" s="426">
        <v>20.198372425384818</v>
      </c>
      <c r="N86" s="426">
        <v>21.327768670594146</v>
      </c>
      <c r="O86" s="427">
        <v>22.416653424935827</v>
      </c>
      <c r="P86" s="4448">
        <f>IFERROR((K86-J86)/J86,0)</f>
        <v>0.24507742950263767</v>
      </c>
      <c r="Q86" s="3079"/>
      <c r="R86" s="2007"/>
      <c r="S86" s="2007"/>
      <c r="T86" s="2007"/>
      <c r="U86" s="2007"/>
      <c r="V86" s="2071"/>
      <c r="W86" s="4488"/>
      <c r="X86" s="4504">
        <f t="shared" ref="X86" si="138">IFERROR(J86/$C$1,0)</f>
        <v>8.4276060488096167</v>
      </c>
      <c r="Y86" s="4504">
        <f t="shared" ref="Y86" si="139">IFERROR(K86/$C$1,0)</f>
        <v>10.493022076112757</v>
      </c>
      <c r="Z86" s="4504">
        <f t="shared" ref="Z86" si="140">IFERROR(L86/$C$1,0)</f>
        <v>9.9155709452837382</v>
      </c>
      <c r="AA86" s="4504">
        <f t="shared" ref="AA86" si="141">IFERROR(M86/$C$1,0)</f>
        <v>10.327263834476829</v>
      </c>
      <c r="AB86" s="4504">
        <f t="shared" ref="AB86" si="142">IFERROR(N86/$C$1,0)</f>
        <v>10.904714965305853</v>
      </c>
      <c r="AC86" s="4504">
        <f t="shared" ref="AC86" si="143">IFERROR(O86/$C$1,0)</f>
        <v>11.461452899759093</v>
      </c>
    </row>
    <row r="87" spans="1:35" s="2047" customFormat="1" ht="13.2">
      <c r="A87" s="1352"/>
      <c r="B87" s="3699" t="s">
        <v>1427</v>
      </c>
      <c r="C87" s="3696" t="s">
        <v>170</v>
      </c>
      <c r="D87" s="3079"/>
      <c r="E87" s="2007"/>
      <c r="F87" s="2007"/>
      <c r="G87" s="2007"/>
      <c r="H87" s="2007"/>
      <c r="I87" s="3098"/>
      <c r="J87" s="3671"/>
      <c r="K87" s="3667">
        <f>IFERROR((K86-J86)/J86,0)</f>
        <v>0.24507742950263767</v>
      </c>
      <c r="L87" s="3667">
        <f>IFERROR((L86-K86)/K86,0)</f>
        <v>-5.5031918034708062E-2</v>
      </c>
      <c r="M87" s="3667">
        <f>IFERROR((M86-L86)/L86,0)</f>
        <v>4.1519836978112755E-2</v>
      </c>
      <c r="N87" s="3667">
        <f>IFERROR((N86-M86)/M86,0)</f>
        <v>5.591521046467738E-2</v>
      </c>
      <c r="O87" s="3668">
        <f>IFERROR((O86-N86)/N86,0)</f>
        <v>5.1054790173291335E-2</v>
      </c>
      <c r="P87" s="4265"/>
      <c r="Q87" s="3079"/>
      <c r="R87" s="2007"/>
      <c r="S87" s="2007"/>
      <c r="T87" s="2007"/>
      <c r="U87" s="2007"/>
      <c r="V87" s="2071"/>
      <c r="W87" s="4488"/>
      <c r="X87" s="2059"/>
      <c r="Y87" s="2059"/>
      <c r="Z87" s="2059"/>
      <c r="AA87" s="2059"/>
      <c r="AB87" s="2059"/>
      <c r="AC87" s="2059"/>
    </row>
    <row r="88" spans="1:35" s="2047" customFormat="1" ht="13.2">
      <c r="A88" s="1352"/>
      <c r="B88" s="1487" t="s">
        <v>640</v>
      </c>
      <c r="C88" s="1488"/>
      <c r="D88" s="3079"/>
      <c r="E88" s="2007"/>
      <c r="F88" s="2007"/>
      <c r="G88" s="2007"/>
      <c r="H88" s="2007"/>
      <c r="I88" s="3098"/>
      <c r="J88" s="444">
        <v>4.6021899999999976</v>
      </c>
      <c r="K88" s="426">
        <v>6.5047428553813962</v>
      </c>
      <c r="L88" s="426">
        <v>7.5087659136332734</v>
      </c>
      <c r="M88" s="426">
        <v>8.7875912274041319</v>
      </c>
      <c r="N88" s="426">
        <v>10.316735830129518</v>
      </c>
      <c r="O88" s="427">
        <v>12.104874125337229</v>
      </c>
      <c r="P88" s="4448">
        <f>IFERROR((K88-J88)/J88,0)</f>
        <v>0.41340163169738747</v>
      </c>
      <c r="Q88" s="3079"/>
      <c r="R88" s="2007"/>
      <c r="S88" s="2007"/>
      <c r="T88" s="2007"/>
      <c r="U88" s="2007"/>
      <c r="V88" s="2071"/>
      <c r="W88" s="4488"/>
      <c r="X88" s="4504">
        <f t="shared" ref="X88" si="144">IFERROR(J88/$C$1,0)</f>
        <v>2.3530623827224235</v>
      </c>
      <c r="Y88" s="4504">
        <f t="shared" ref="Y88" si="145">IFERROR(K88/$C$1,0)</f>
        <v>3.3258222112256157</v>
      </c>
      <c r="Z88" s="4504">
        <f t="shared" ref="Z88" si="146">IFERROR(L88/$C$1,0)</f>
        <v>3.8391710494435984</v>
      </c>
      <c r="AA88" s="4504">
        <f t="shared" ref="AA88" si="147">IFERROR(M88/$C$1,0)</f>
        <v>4.4930240498428455</v>
      </c>
      <c r="AB88" s="4504">
        <f t="shared" ref="AB88" si="148">IFERROR(N88/$C$1,0)</f>
        <v>5.2748632703913527</v>
      </c>
      <c r="AC88" s="4504">
        <f t="shared" ref="AC88" si="149">IFERROR(O88/$C$1,0)</f>
        <v>6.1891238631871017</v>
      </c>
    </row>
    <row r="89" spans="1:35" s="2047" customFormat="1" ht="13.2">
      <c r="A89" s="1352"/>
      <c r="B89" s="3699" t="s">
        <v>1427</v>
      </c>
      <c r="C89" s="3696" t="s">
        <v>170</v>
      </c>
      <c r="D89" s="3079"/>
      <c r="E89" s="2007"/>
      <c r="F89" s="2007"/>
      <c r="G89" s="2007"/>
      <c r="H89" s="2007"/>
      <c r="I89" s="3098"/>
      <c r="J89" s="3969"/>
      <c r="K89" s="3667">
        <f>IFERROR((K88-J88)/J88,0)</f>
        <v>0.41340163169738747</v>
      </c>
      <c r="L89" s="3667">
        <f>IFERROR((L88-K88)/K88,0)</f>
        <v>0.15435245951671178</v>
      </c>
      <c r="M89" s="3667">
        <f>IFERROR((M88-L88)/L88,0)</f>
        <v>0.17031098431886954</v>
      </c>
      <c r="N89" s="3667">
        <f>IFERROR((N88-M88)/M88,0)</f>
        <v>0.17401180404895758</v>
      </c>
      <c r="O89" s="3668">
        <f>IFERROR((O88-N88)/N88,0)</f>
        <v>0.17332403626983847</v>
      </c>
      <c r="P89" s="4265"/>
      <c r="Q89" s="3079"/>
      <c r="R89" s="2007"/>
      <c r="S89" s="2007"/>
      <c r="T89" s="2007"/>
      <c r="U89" s="2007"/>
      <c r="V89" s="2071"/>
      <c r="W89" s="4488"/>
      <c r="X89" s="2059"/>
      <c r="Y89" s="2059"/>
      <c r="Z89" s="2059"/>
      <c r="AA89" s="2059"/>
      <c r="AB89" s="2059"/>
      <c r="AC89" s="2059"/>
    </row>
    <row r="90" spans="1:35" s="2047" customFormat="1" ht="13.2">
      <c r="A90" s="1352"/>
      <c r="B90" s="1487" t="s">
        <v>639</v>
      </c>
      <c r="C90" s="1488"/>
      <c r="D90" s="3079"/>
      <c r="E90" s="2007"/>
      <c r="F90" s="2007"/>
      <c r="G90" s="2007"/>
      <c r="H90" s="2007"/>
      <c r="I90" s="3098"/>
      <c r="J90" s="951">
        <v>0.89989000000000008</v>
      </c>
      <c r="K90" s="428">
        <v>1.3072394469849173</v>
      </c>
      <c r="L90" s="428">
        <v>1.5884237515797974</v>
      </c>
      <c r="M90" s="428">
        <v>1.857699542828299</v>
      </c>
      <c r="N90" s="428">
        <v>2.1797498981223717</v>
      </c>
      <c r="O90" s="429">
        <v>2.5561397376769599</v>
      </c>
      <c r="P90" s="4266">
        <f>IFERROR((K90-J90)/J90,0)</f>
        <v>0.45266582247265469</v>
      </c>
      <c r="Q90" s="3079"/>
      <c r="R90" s="2007"/>
      <c r="S90" s="2007"/>
      <c r="T90" s="2007"/>
      <c r="U90" s="2007"/>
      <c r="V90" s="2071"/>
      <c r="W90" s="4488"/>
      <c r="X90" s="4504">
        <f t="shared" ref="X90" si="150">IFERROR(J90/$C$1,0)</f>
        <v>0.46010645096966513</v>
      </c>
      <c r="Y90" s="4504">
        <f t="shared" ref="Y90" si="151">IFERROR(K90/$C$1,0)</f>
        <v>0.66838091602282268</v>
      </c>
      <c r="Z90" s="4504">
        <f t="shared" ref="Z90" si="152">IFERROR(L90/$C$1,0)</f>
        <v>0.81214816808198942</v>
      </c>
      <c r="AA90" s="4504">
        <f t="shared" ref="AA90" si="153">IFERROR(M90/$C$1,0)</f>
        <v>0.94982669395003605</v>
      </c>
      <c r="AB90" s="4504">
        <f t="shared" ref="AB90" si="154">IFERROR(N90/$C$1,0)</f>
        <v>1.114488425948253</v>
      </c>
      <c r="AC90" s="4504">
        <f t="shared" ref="AC90" si="155">IFERROR(O90/$C$1,0)</f>
        <v>1.3069334950772613</v>
      </c>
    </row>
    <row r="91" spans="1:35" s="2047" customFormat="1" ht="13.2">
      <c r="A91" s="1354"/>
      <c r="B91" s="3699" t="s">
        <v>1427</v>
      </c>
      <c r="C91" s="3696" t="s">
        <v>170</v>
      </c>
      <c r="D91" s="3079"/>
      <c r="E91" s="2007"/>
      <c r="F91" s="2007"/>
      <c r="G91" s="2007"/>
      <c r="H91" s="2007"/>
      <c r="I91" s="3098"/>
      <c r="J91" s="3969"/>
      <c r="K91" s="3667">
        <f>IFERROR((K90-J90)/J90,0)</f>
        <v>0.45266582247265469</v>
      </c>
      <c r="L91" s="3667">
        <f>IFERROR((L90-K90)/K90,0)</f>
        <v>0.21509778123925014</v>
      </c>
      <c r="M91" s="3667">
        <f>IFERROR((M90-L90)/L90,0)</f>
        <v>0.16952390127677713</v>
      </c>
      <c r="N91" s="3667">
        <f>IFERROR((N90-M90)/M90,0)</f>
        <v>0.17335976452024074</v>
      </c>
      <c r="O91" s="3668">
        <f>IFERROR((O90-N90)/N90,0)</f>
        <v>0.17267570003274638</v>
      </c>
      <c r="P91" s="4265"/>
      <c r="Q91" s="3079"/>
      <c r="R91" s="2007"/>
      <c r="S91" s="2007"/>
      <c r="T91" s="2007"/>
      <c r="U91" s="2007"/>
      <c r="V91" s="2071"/>
      <c r="W91" s="4488"/>
      <c r="X91" s="2059"/>
      <c r="Y91" s="2059"/>
      <c r="Z91" s="2059"/>
      <c r="AA91" s="2059"/>
      <c r="AB91" s="2059"/>
      <c r="AC91" s="2059"/>
    </row>
    <row r="92" spans="1:35" s="2047" customFormat="1" ht="22.5" customHeight="1">
      <c r="A92" s="1354"/>
      <c r="B92" s="1494" t="s">
        <v>638</v>
      </c>
      <c r="C92" s="1488"/>
      <c r="D92" s="3079"/>
      <c r="E92" s="2007"/>
      <c r="F92" s="2007"/>
      <c r="G92" s="2007"/>
      <c r="H92" s="2007"/>
      <c r="I92" s="3098"/>
      <c r="J92" s="3709">
        <f>J79-J82-J84-J86-J88-J90</f>
        <v>0.35395000000000643</v>
      </c>
      <c r="K92" s="3685">
        <f t="shared" ref="K92:O92" si="156">K79-K82-K84-K86-K88-K90</f>
        <v>0.50959599562395064</v>
      </c>
      <c r="L92" s="3685">
        <f t="shared" si="156"/>
        <v>0.5448620318125792</v>
      </c>
      <c r="M92" s="3685">
        <f t="shared" si="156"/>
        <v>0.62412144594474572</v>
      </c>
      <c r="N92" s="3685">
        <f t="shared" si="156"/>
        <v>0.67914198122063896</v>
      </c>
      <c r="O92" s="3698">
        <f t="shared" si="156"/>
        <v>0.69876132080253717</v>
      </c>
      <c r="P92" s="4266">
        <f>IFERROR((K92-J92)/J92,0)</f>
        <v>0.43974006391846698</v>
      </c>
      <c r="Q92" s="3079"/>
      <c r="R92" s="2007"/>
      <c r="S92" s="2007"/>
      <c r="T92" s="2007"/>
      <c r="U92" s="2007"/>
      <c r="V92" s="2071"/>
      <c r="W92" s="4488"/>
      <c r="X92" s="4504">
        <f t="shared" ref="X92" si="157">IFERROR(J92/$C$1,0)</f>
        <v>0.18097176134940482</v>
      </c>
      <c r="Y92" s="4504">
        <f t="shared" ref="Y92" si="158">IFERROR(K92/$C$1,0)</f>
        <v>0.26055229525262963</v>
      </c>
      <c r="Z92" s="4504">
        <f t="shared" ref="Z92" si="159">IFERROR(L92/$C$1,0)</f>
        <v>0.27858353323784746</v>
      </c>
      <c r="AA92" s="4504">
        <f t="shared" ref="AA92" si="160">IFERROR(M92/$C$1,0)</f>
        <v>0.31910822819199303</v>
      </c>
      <c r="AB92" s="4504">
        <f t="shared" ref="AB92" si="161">IFERROR(N92/$C$1,0)</f>
        <v>0.34723978117762738</v>
      </c>
      <c r="AC92" s="4504">
        <f t="shared" ref="AC92" si="162">IFERROR(O92/$C$1,0)</f>
        <v>0.35727099022028358</v>
      </c>
    </row>
    <row r="93" spans="1:35" s="2047" customFormat="1" ht="13.8" thickBot="1">
      <c r="A93" s="1354"/>
      <c r="B93" s="4466" t="s">
        <v>1427</v>
      </c>
      <c r="C93" s="4469" t="s">
        <v>170</v>
      </c>
      <c r="D93" s="3686"/>
      <c r="E93" s="2073"/>
      <c r="F93" s="2073"/>
      <c r="G93" s="2073"/>
      <c r="H93" s="2073"/>
      <c r="I93" s="3687"/>
      <c r="J93" s="3969"/>
      <c r="K93" s="4462">
        <f>IFERROR((K92-J92)/J92,0)</f>
        <v>0.43974006391846698</v>
      </c>
      <c r="L93" s="4462">
        <f>IFERROR((L92-K92)/K92,0)</f>
        <v>6.9203911513175717E-2</v>
      </c>
      <c r="M93" s="4462">
        <f>IFERROR((M92-L92)/L92,0)</f>
        <v>0.14546694301398866</v>
      </c>
      <c r="N93" s="4462">
        <f>IFERROR((N92-M92)/M92,0)</f>
        <v>8.8156777232045749E-2</v>
      </c>
      <c r="O93" s="4467">
        <f>IFERROR((O92-N92)/N92,0)</f>
        <v>2.8888421161412929E-2</v>
      </c>
      <c r="P93" s="4468"/>
      <c r="Q93" s="3686"/>
      <c r="R93" s="2073"/>
      <c r="S93" s="2073"/>
      <c r="T93" s="2073"/>
      <c r="U93" s="2073"/>
      <c r="V93" s="2074"/>
      <c r="W93" s="4488"/>
    </row>
    <row r="94" spans="1:35" s="2047" customFormat="1" ht="13.5" customHeight="1" thickBot="1">
      <c r="A94" s="5280"/>
      <c r="B94" s="5281"/>
      <c r="C94" s="5281"/>
      <c r="D94" s="5281"/>
      <c r="E94" s="5281"/>
      <c r="F94" s="5281"/>
      <c r="G94" s="5281"/>
      <c r="H94" s="5281"/>
      <c r="I94" s="5281"/>
      <c r="J94" s="5281"/>
      <c r="K94" s="5281"/>
      <c r="L94" s="5281"/>
      <c r="M94" s="5281"/>
      <c r="N94" s="5281"/>
      <c r="O94" s="5281"/>
      <c r="P94" s="5281"/>
      <c r="Q94" s="5281"/>
      <c r="R94" s="5281"/>
      <c r="S94" s="5281"/>
      <c r="T94" s="5281"/>
      <c r="U94" s="5281"/>
      <c r="V94" s="5282"/>
      <c r="W94" s="4488"/>
    </row>
    <row r="95" spans="1:35" s="2047" customFormat="1" ht="20.25" customHeight="1" thickBot="1">
      <c r="A95" s="1503">
        <v>4</v>
      </c>
      <c r="B95" s="1502" t="s">
        <v>1029</v>
      </c>
      <c r="C95" s="5269"/>
      <c r="D95" s="5266"/>
      <c r="E95" s="5266"/>
      <c r="F95" s="5266"/>
      <c r="G95" s="5266"/>
      <c r="H95" s="5266"/>
      <c r="I95" s="5266"/>
      <c r="J95" s="5269"/>
      <c r="K95" s="5269"/>
      <c r="L95" s="5269"/>
      <c r="M95" s="5269"/>
      <c r="N95" s="5269"/>
      <c r="O95" s="5269"/>
      <c r="P95" s="5269"/>
      <c r="Q95" s="5266"/>
      <c r="R95" s="5266"/>
      <c r="S95" s="5266"/>
      <c r="T95" s="5266"/>
      <c r="U95" s="5266"/>
      <c r="V95" s="5268"/>
      <c r="W95" s="4488"/>
    </row>
    <row r="96" spans="1:35" s="2047" customFormat="1" ht="13.2">
      <c r="A96" s="432" t="s">
        <v>566</v>
      </c>
      <c r="B96" s="1480" t="s">
        <v>464</v>
      </c>
      <c r="C96" s="1455" t="s">
        <v>676</v>
      </c>
      <c r="D96" s="438"/>
      <c r="E96" s="439"/>
      <c r="F96" s="439"/>
      <c r="G96" s="439"/>
      <c r="H96" s="439"/>
      <c r="I96" s="440"/>
      <c r="J96" s="1453"/>
      <c r="K96" s="3965"/>
      <c r="L96" s="3965"/>
      <c r="M96" s="3965"/>
      <c r="N96" s="3965"/>
      <c r="O96" s="3967"/>
      <c r="P96" s="4444">
        <f t="shared" ref="P96:P110" si="163">IFERROR((K96-J96)/J96,0)</f>
        <v>0</v>
      </c>
      <c r="Q96" s="3852">
        <f t="shared" ref="Q96:V108" si="164">ROUND(IFERROR(J96*1000/D96,0),0)</f>
        <v>0</v>
      </c>
      <c r="R96" s="3853">
        <f t="shared" si="164"/>
        <v>0</v>
      </c>
      <c r="S96" s="3853">
        <f t="shared" si="164"/>
        <v>0</v>
      </c>
      <c r="T96" s="3853">
        <f t="shared" si="164"/>
        <v>0</v>
      </c>
      <c r="U96" s="3853">
        <f t="shared" si="164"/>
        <v>0</v>
      </c>
      <c r="V96" s="3854">
        <f t="shared" si="164"/>
        <v>0</v>
      </c>
      <c r="W96" s="4488"/>
      <c r="X96" s="4504">
        <f>IFERROR(J96/$C$1,0)</f>
        <v>0</v>
      </c>
      <c r="Y96" s="4504">
        <f t="shared" ref="Y96:Y110" si="165">IFERROR(K96/$C$1,0)</f>
        <v>0</v>
      </c>
      <c r="Z96" s="4504">
        <f t="shared" ref="Z96:Z110" si="166">IFERROR(L96/$C$1,0)</f>
        <v>0</v>
      </c>
      <c r="AA96" s="4504">
        <f t="shared" ref="AA96:AA110" si="167">IFERROR(M96/$C$1,0)</f>
        <v>0</v>
      </c>
      <c r="AB96" s="4504">
        <f t="shared" ref="AB96:AB110" si="168">IFERROR(N96/$C$1,0)</f>
        <v>0</v>
      </c>
      <c r="AC96" s="4504">
        <f t="shared" ref="AC96:AC110" si="169">IFERROR(O96/$C$1,0)</f>
        <v>0</v>
      </c>
      <c r="AD96" s="4504">
        <f>IFERROR(Q96/$C$1,0)</f>
        <v>0</v>
      </c>
      <c r="AE96" s="4504">
        <f t="shared" ref="AE96:AE108" si="170">IFERROR(R96/$C$1,0)</f>
        <v>0</v>
      </c>
      <c r="AF96" s="4504">
        <f t="shared" ref="AF96:AF108" si="171">IFERROR(S96/$C$1,0)</f>
        <v>0</v>
      </c>
      <c r="AG96" s="4504">
        <f t="shared" ref="AG96:AG108" si="172">IFERROR(T96/$C$1,0)</f>
        <v>0</v>
      </c>
      <c r="AH96" s="4504">
        <f t="shared" ref="AH96:AH108" si="173">IFERROR(U96/$C$1,0)</f>
        <v>0</v>
      </c>
      <c r="AI96" s="4504">
        <f t="shared" ref="AI96:AI108" si="174">IFERROR(V96/$C$1,0)</f>
        <v>0</v>
      </c>
    </row>
    <row r="97" spans="1:35" s="2047" customFormat="1" ht="13.2">
      <c r="A97" s="433" t="s">
        <v>567</v>
      </c>
      <c r="B97" s="1481" t="s">
        <v>722</v>
      </c>
      <c r="C97" s="314" t="s">
        <v>676</v>
      </c>
      <c r="D97" s="419"/>
      <c r="E97" s="420"/>
      <c r="F97" s="420"/>
      <c r="G97" s="420"/>
      <c r="H97" s="420"/>
      <c r="I97" s="435"/>
      <c r="J97" s="419"/>
      <c r="K97" s="3965"/>
      <c r="L97" s="3965"/>
      <c r="M97" s="3965"/>
      <c r="N97" s="3965"/>
      <c r="O97" s="3967"/>
      <c r="P97" s="4445">
        <f t="shared" si="163"/>
        <v>0</v>
      </c>
      <c r="Q97" s="3857">
        <f t="shared" si="164"/>
        <v>0</v>
      </c>
      <c r="R97" s="3858">
        <f t="shared" si="164"/>
        <v>0</v>
      </c>
      <c r="S97" s="3858">
        <f t="shared" si="164"/>
        <v>0</v>
      </c>
      <c r="T97" s="3858">
        <f t="shared" si="164"/>
        <v>0</v>
      </c>
      <c r="U97" s="3858">
        <f t="shared" si="164"/>
        <v>0</v>
      </c>
      <c r="V97" s="3859">
        <f t="shared" si="164"/>
        <v>0</v>
      </c>
      <c r="W97" s="4488"/>
      <c r="X97" s="4504">
        <f t="shared" ref="X97:X110" si="175">IFERROR(J97/$C$1,0)</f>
        <v>0</v>
      </c>
      <c r="Y97" s="4504">
        <f t="shared" si="165"/>
        <v>0</v>
      </c>
      <c r="Z97" s="4504">
        <f t="shared" si="166"/>
        <v>0</v>
      </c>
      <c r="AA97" s="4504">
        <f t="shared" si="167"/>
        <v>0</v>
      </c>
      <c r="AB97" s="4504">
        <f t="shared" si="168"/>
        <v>0</v>
      </c>
      <c r="AC97" s="4504">
        <f t="shared" si="169"/>
        <v>0</v>
      </c>
      <c r="AD97" s="4504">
        <f t="shared" ref="AD97:AD108" si="176">IFERROR(Q97/$C$1,0)</f>
        <v>0</v>
      </c>
      <c r="AE97" s="4504">
        <f t="shared" si="170"/>
        <v>0</v>
      </c>
      <c r="AF97" s="4504">
        <f t="shared" si="171"/>
        <v>0</v>
      </c>
      <c r="AG97" s="4504">
        <f t="shared" si="172"/>
        <v>0</v>
      </c>
      <c r="AH97" s="4504">
        <f t="shared" si="173"/>
        <v>0</v>
      </c>
      <c r="AI97" s="4504">
        <f t="shared" si="174"/>
        <v>0</v>
      </c>
    </row>
    <row r="98" spans="1:35" s="2047" customFormat="1" ht="13.2">
      <c r="A98" s="433" t="s">
        <v>1078</v>
      </c>
      <c r="B98" s="1481" t="s">
        <v>467</v>
      </c>
      <c r="C98" s="314" t="s">
        <v>676</v>
      </c>
      <c r="D98" s="419"/>
      <c r="E98" s="420"/>
      <c r="F98" s="420"/>
      <c r="G98" s="420"/>
      <c r="H98" s="420"/>
      <c r="I98" s="435"/>
      <c r="J98" s="419"/>
      <c r="K98" s="3965"/>
      <c r="L98" s="3965"/>
      <c r="M98" s="3965"/>
      <c r="N98" s="3965"/>
      <c r="O98" s="3967"/>
      <c r="P98" s="4445">
        <f t="shared" si="163"/>
        <v>0</v>
      </c>
      <c r="Q98" s="3857">
        <f t="shared" si="164"/>
        <v>0</v>
      </c>
      <c r="R98" s="3858">
        <f t="shared" si="164"/>
        <v>0</v>
      </c>
      <c r="S98" s="3858">
        <f t="shared" si="164"/>
        <v>0</v>
      </c>
      <c r="T98" s="3858">
        <f t="shared" si="164"/>
        <v>0</v>
      </c>
      <c r="U98" s="3858">
        <f t="shared" si="164"/>
        <v>0</v>
      </c>
      <c r="V98" s="3859">
        <f t="shared" si="164"/>
        <v>0</v>
      </c>
      <c r="W98" s="4488"/>
      <c r="X98" s="4504">
        <f t="shared" si="175"/>
        <v>0</v>
      </c>
      <c r="Y98" s="4504">
        <f t="shared" si="165"/>
        <v>0</v>
      </c>
      <c r="Z98" s="4504">
        <f t="shared" si="166"/>
        <v>0</v>
      </c>
      <c r="AA98" s="4504">
        <f t="shared" si="167"/>
        <v>0</v>
      </c>
      <c r="AB98" s="4504">
        <f t="shared" si="168"/>
        <v>0</v>
      </c>
      <c r="AC98" s="4504">
        <f t="shared" si="169"/>
        <v>0</v>
      </c>
      <c r="AD98" s="4504">
        <f t="shared" si="176"/>
        <v>0</v>
      </c>
      <c r="AE98" s="4504">
        <f t="shared" si="170"/>
        <v>0</v>
      </c>
      <c r="AF98" s="4504">
        <f t="shared" si="171"/>
        <v>0</v>
      </c>
      <c r="AG98" s="4504">
        <f t="shared" si="172"/>
        <v>0</v>
      </c>
      <c r="AH98" s="4504">
        <f t="shared" si="173"/>
        <v>0</v>
      </c>
      <c r="AI98" s="4504">
        <f t="shared" si="174"/>
        <v>0</v>
      </c>
    </row>
    <row r="99" spans="1:35" s="2047" customFormat="1" ht="13.2">
      <c r="A99" s="433" t="s">
        <v>1079</v>
      </c>
      <c r="B99" s="1481" t="s">
        <v>469</v>
      </c>
      <c r="C99" s="314" t="s">
        <v>676</v>
      </c>
      <c r="D99" s="419"/>
      <c r="E99" s="420"/>
      <c r="F99" s="420"/>
      <c r="G99" s="420"/>
      <c r="H99" s="420"/>
      <c r="I99" s="435"/>
      <c r="J99" s="419"/>
      <c r="K99" s="3965"/>
      <c r="L99" s="3965"/>
      <c r="M99" s="3965"/>
      <c r="N99" s="3965"/>
      <c r="O99" s="3967"/>
      <c r="P99" s="4445">
        <f t="shared" si="163"/>
        <v>0</v>
      </c>
      <c r="Q99" s="3857">
        <f t="shared" si="164"/>
        <v>0</v>
      </c>
      <c r="R99" s="3858">
        <f t="shared" si="164"/>
        <v>0</v>
      </c>
      <c r="S99" s="3858">
        <f t="shared" si="164"/>
        <v>0</v>
      </c>
      <c r="T99" s="3858">
        <f t="shared" si="164"/>
        <v>0</v>
      </c>
      <c r="U99" s="3858">
        <f t="shared" si="164"/>
        <v>0</v>
      </c>
      <c r="V99" s="3859">
        <f t="shared" si="164"/>
        <v>0</v>
      </c>
      <c r="W99" s="4488"/>
      <c r="X99" s="4504">
        <f t="shared" si="175"/>
        <v>0</v>
      </c>
      <c r="Y99" s="4504">
        <f t="shared" si="165"/>
        <v>0</v>
      </c>
      <c r="Z99" s="4504">
        <f t="shared" si="166"/>
        <v>0</v>
      </c>
      <c r="AA99" s="4504">
        <f t="shared" si="167"/>
        <v>0</v>
      </c>
      <c r="AB99" s="4504">
        <f t="shared" si="168"/>
        <v>0</v>
      </c>
      <c r="AC99" s="4504">
        <f t="shared" si="169"/>
        <v>0</v>
      </c>
      <c r="AD99" s="4504">
        <f t="shared" si="176"/>
        <v>0</v>
      </c>
      <c r="AE99" s="4504">
        <f t="shared" si="170"/>
        <v>0</v>
      </c>
      <c r="AF99" s="4504">
        <f t="shared" si="171"/>
        <v>0</v>
      </c>
      <c r="AG99" s="4504">
        <f t="shared" si="172"/>
        <v>0</v>
      </c>
      <c r="AH99" s="4504">
        <f t="shared" si="173"/>
        <v>0</v>
      </c>
      <c r="AI99" s="4504">
        <f t="shared" si="174"/>
        <v>0</v>
      </c>
    </row>
    <row r="100" spans="1:35" s="2047" customFormat="1" ht="13.2">
      <c r="A100" s="433" t="s">
        <v>1080</v>
      </c>
      <c r="B100" s="1481" t="s">
        <v>471</v>
      </c>
      <c r="C100" s="314" t="s">
        <v>676</v>
      </c>
      <c r="D100" s="419"/>
      <c r="E100" s="420"/>
      <c r="F100" s="420"/>
      <c r="G100" s="420"/>
      <c r="H100" s="420"/>
      <c r="I100" s="435"/>
      <c r="J100" s="419"/>
      <c r="K100" s="3965"/>
      <c r="L100" s="3965"/>
      <c r="M100" s="3965"/>
      <c r="N100" s="3965"/>
      <c r="O100" s="3967"/>
      <c r="P100" s="4445">
        <f t="shared" si="163"/>
        <v>0</v>
      </c>
      <c r="Q100" s="3857">
        <f t="shared" si="164"/>
        <v>0</v>
      </c>
      <c r="R100" s="3858">
        <f t="shared" si="164"/>
        <v>0</v>
      </c>
      <c r="S100" s="3858">
        <f t="shared" si="164"/>
        <v>0</v>
      </c>
      <c r="T100" s="3858">
        <f t="shared" si="164"/>
        <v>0</v>
      </c>
      <c r="U100" s="3858">
        <f t="shared" si="164"/>
        <v>0</v>
      </c>
      <c r="V100" s="3859">
        <f t="shared" si="164"/>
        <v>0</v>
      </c>
      <c r="W100" s="4488"/>
      <c r="X100" s="4504">
        <f t="shared" si="175"/>
        <v>0</v>
      </c>
      <c r="Y100" s="4504">
        <f t="shared" si="165"/>
        <v>0</v>
      </c>
      <c r="Z100" s="4504">
        <f t="shared" si="166"/>
        <v>0</v>
      </c>
      <c r="AA100" s="4504">
        <f t="shared" si="167"/>
        <v>0</v>
      </c>
      <c r="AB100" s="4504">
        <f t="shared" si="168"/>
        <v>0</v>
      </c>
      <c r="AC100" s="4504">
        <f t="shared" si="169"/>
        <v>0</v>
      </c>
      <c r="AD100" s="4504">
        <f t="shared" si="176"/>
        <v>0</v>
      </c>
      <c r="AE100" s="4504">
        <f t="shared" si="170"/>
        <v>0</v>
      </c>
      <c r="AF100" s="4504">
        <f t="shared" si="171"/>
        <v>0</v>
      </c>
      <c r="AG100" s="4504">
        <f t="shared" si="172"/>
        <v>0</v>
      </c>
      <c r="AH100" s="4504">
        <f t="shared" si="173"/>
        <v>0</v>
      </c>
      <c r="AI100" s="4504">
        <f t="shared" si="174"/>
        <v>0</v>
      </c>
    </row>
    <row r="101" spans="1:35" s="2047" customFormat="1" ht="13.2">
      <c r="A101" s="433" t="s">
        <v>1081</v>
      </c>
      <c r="B101" s="1481" t="s">
        <v>1361</v>
      </c>
      <c r="C101" s="314" t="s">
        <v>676</v>
      </c>
      <c r="D101" s="419"/>
      <c r="E101" s="420"/>
      <c r="F101" s="420"/>
      <c r="G101" s="420"/>
      <c r="H101" s="420"/>
      <c r="I101" s="435"/>
      <c r="J101" s="419"/>
      <c r="K101" s="3965"/>
      <c r="L101" s="3965"/>
      <c r="M101" s="3965"/>
      <c r="N101" s="3965"/>
      <c r="O101" s="3967"/>
      <c r="P101" s="4445">
        <f t="shared" si="163"/>
        <v>0</v>
      </c>
      <c r="Q101" s="3857">
        <f t="shared" si="164"/>
        <v>0</v>
      </c>
      <c r="R101" s="3858">
        <f t="shared" si="164"/>
        <v>0</v>
      </c>
      <c r="S101" s="3858">
        <f t="shared" si="164"/>
        <v>0</v>
      </c>
      <c r="T101" s="3858">
        <f t="shared" si="164"/>
        <v>0</v>
      </c>
      <c r="U101" s="3858">
        <f t="shared" si="164"/>
        <v>0</v>
      </c>
      <c r="V101" s="3859">
        <f t="shared" si="164"/>
        <v>0</v>
      </c>
      <c r="W101" s="4488"/>
      <c r="X101" s="4504">
        <f t="shared" si="175"/>
        <v>0</v>
      </c>
      <c r="Y101" s="4504">
        <f t="shared" si="165"/>
        <v>0</v>
      </c>
      <c r="Z101" s="4504">
        <f t="shared" si="166"/>
        <v>0</v>
      </c>
      <c r="AA101" s="4504">
        <f t="shared" si="167"/>
        <v>0</v>
      </c>
      <c r="AB101" s="4504">
        <f t="shared" si="168"/>
        <v>0</v>
      </c>
      <c r="AC101" s="4504">
        <f t="shared" si="169"/>
        <v>0</v>
      </c>
      <c r="AD101" s="4504">
        <f t="shared" si="176"/>
        <v>0</v>
      </c>
      <c r="AE101" s="4504">
        <f t="shared" si="170"/>
        <v>0</v>
      </c>
      <c r="AF101" s="4504">
        <f t="shared" si="171"/>
        <v>0</v>
      </c>
      <c r="AG101" s="4504">
        <f t="shared" si="172"/>
        <v>0</v>
      </c>
      <c r="AH101" s="4504">
        <f t="shared" si="173"/>
        <v>0</v>
      </c>
      <c r="AI101" s="4504">
        <f t="shared" si="174"/>
        <v>0</v>
      </c>
    </row>
    <row r="102" spans="1:35" s="2047" customFormat="1" ht="24">
      <c r="A102" s="433" t="s">
        <v>1082</v>
      </c>
      <c r="B102" s="1481" t="s">
        <v>1362</v>
      </c>
      <c r="C102" s="314" t="s">
        <v>676</v>
      </c>
      <c r="D102" s="419"/>
      <c r="E102" s="420"/>
      <c r="F102" s="420"/>
      <c r="G102" s="420"/>
      <c r="H102" s="420"/>
      <c r="I102" s="435"/>
      <c r="J102" s="419"/>
      <c r="K102" s="3965"/>
      <c r="L102" s="3965"/>
      <c r="M102" s="3965"/>
      <c r="N102" s="3965"/>
      <c r="O102" s="3967"/>
      <c r="P102" s="4445">
        <f t="shared" si="163"/>
        <v>0</v>
      </c>
      <c r="Q102" s="3857">
        <f t="shared" si="164"/>
        <v>0</v>
      </c>
      <c r="R102" s="3858">
        <f t="shared" si="164"/>
        <v>0</v>
      </c>
      <c r="S102" s="3858">
        <f t="shared" si="164"/>
        <v>0</v>
      </c>
      <c r="T102" s="3858">
        <f t="shared" si="164"/>
        <v>0</v>
      </c>
      <c r="U102" s="3858">
        <f t="shared" si="164"/>
        <v>0</v>
      </c>
      <c r="V102" s="3859">
        <f t="shared" si="164"/>
        <v>0</v>
      </c>
      <c r="W102" s="4488"/>
      <c r="X102" s="4504">
        <f t="shared" si="175"/>
        <v>0</v>
      </c>
      <c r="Y102" s="4504">
        <f t="shared" si="165"/>
        <v>0</v>
      </c>
      <c r="Z102" s="4504">
        <f t="shared" si="166"/>
        <v>0</v>
      </c>
      <c r="AA102" s="4504">
        <f t="shared" si="167"/>
        <v>0</v>
      </c>
      <c r="AB102" s="4504">
        <f t="shared" si="168"/>
        <v>0</v>
      </c>
      <c r="AC102" s="4504">
        <f t="shared" si="169"/>
        <v>0</v>
      </c>
      <c r="AD102" s="4504">
        <f t="shared" si="176"/>
        <v>0</v>
      </c>
      <c r="AE102" s="4504">
        <f t="shared" si="170"/>
        <v>0</v>
      </c>
      <c r="AF102" s="4504">
        <f t="shared" si="171"/>
        <v>0</v>
      </c>
      <c r="AG102" s="4504">
        <f t="shared" si="172"/>
        <v>0</v>
      </c>
      <c r="AH102" s="4504">
        <f t="shared" si="173"/>
        <v>0</v>
      </c>
      <c r="AI102" s="4504">
        <f t="shared" si="174"/>
        <v>0</v>
      </c>
    </row>
    <row r="103" spans="1:35" s="2047" customFormat="1" ht="24">
      <c r="A103" s="433" t="s">
        <v>1083</v>
      </c>
      <c r="B103" s="1481" t="s">
        <v>1363</v>
      </c>
      <c r="C103" s="314" t="s">
        <v>676</v>
      </c>
      <c r="D103" s="419"/>
      <c r="E103" s="420"/>
      <c r="F103" s="420"/>
      <c r="G103" s="420"/>
      <c r="H103" s="420"/>
      <c r="I103" s="435"/>
      <c r="J103" s="419"/>
      <c r="K103" s="3965"/>
      <c r="L103" s="3965"/>
      <c r="M103" s="3965"/>
      <c r="N103" s="3965"/>
      <c r="O103" s="3967"/>
      <c r="P103" s="4445">
        <f t="shared" si="163"/>
        <v>0</v>
      </c>
      <c r="Q103" s="3857">
        <f t="shared" si="164"/>
        <v>0</v>
      </c>
      <c r="R103" s="3858">
        <f t="shared" si="164"/>
        <v>0</v>
      </c>
      <c r="S103" s="3858">
        <f t="shared" si="164"/>
        <v>0</v>
      </c>
      <c r="T103" s="3858">
        <f t="shared" si="164"/>
        <v>0</v>
      </c>
      <c r="U103" s="3858">
        <f t="shared" si="164"/>
        <v>0</v>
      </c>
      <c r="V103" s="3859">
        <f t="shared" si="164"/>
        <v>0</v>
      </c>
      <c r="W103" s="4488"/>
      <c r="X103" s="4504">
        <f t="shared" si="175"/>
        <v>0</v>
      </c>
      <c r="Y103" s="4504">
        <f t="shared" si="165"/>
        <v>0</v>
      </c>
      <c r="Z103" s="4504">
        <f t="shared" si="166"/>
        <v>0</v>
      </c>
      <c r="AA103" s="4504">
        <f t="shared" si="167"/>
        <v>0</v>
      </c>
      <c r="AB103" s="4504">
        <f t="shared" si="168"/>
        <v>0</v>
      </c>
      <c r="AC103" s="4504">
        <f t="shared" si="169"/>
        <v>0</v>
      </c>
      <c r="AD103" s="4504">
        <f t="shared" si="176"/>
        <v>0</v>
      </c>
      <c r="AE103" s="4504">
        <f t="shared" si="170"/>
        <v>0</v>
      </c>
      <c r="AF103" s="4504">
        <f t="shared" si="171"/>
        <v>0</v>
      </c>
      <c r="AG103" s="4504">
        <f t="shared" si="172"/>
        <v>0</v>
      </c>
      <c r="AH103" s="4504">
        <f t="shared" si="173"/>
        <v>0</v>
      </c>
      <c r="AI103" s="4504">
        <f t="shared" si="174"/>
        <v>0</v>
      </c>
    </row>
    <row r="104" spans="1:35" s="2047" customFormat="1" ht="13.2">
      <c r="A104" s="433" t="s">
        <v>1084</v>
      </c>
      <c r="B104" s="1481" t="s">
        <v>1410</v>
      </c>
      <c r="C104" s="314" t="s">
        <v>676</v>
      </c>
      <c r="D104" s="419"/>
      <c r="E104" s="420"/>
      <c r="F104" s="420"/>
      <c r="G104" s="420"/>
      <c r="H104" s="420"/>
      <c r="I104" s="435"/>
      <c r="J104" s="419"/>
      <c r="K104" s="3965"/>
      <c r="L104" s="3965"/>
      <c r="M104" s="3965"/>
      <c r="N104" s="3965"/>
      <c r="O104" s="3967"/>
      <c r="P104" s="4445">
        <f t="shared" si="163"/>
        <v>0</v>
      </c>
      <c r="Q104" s="3857">
        <f t="shared" si="164"/>
        <v>0</v>
      </c>
      <c r="R104" s="3858">
        <f t="shared" si="164"/>
        <v>0</v>
      </c>
      <c r="S104" s="3858">
        <f t="shared" si="164"/>
        <v>0</v>
      </c>
      <c r="T104" s="3858">
        <f t="shared" si="164"/>
        <v>0</v>
      </c>
      <c r="U104" s="3858">
        <f t="shared" si="164"/>
        <v>0</v>
      </c>
      <c r="V104" s="3859">
        <f t="shared" si="164"/>
        <v>0</v>
      </c>
      <c r="W104" s="4488"/>
      <c r="X104" s="4504">
        <f t="shared" si="175"/>
        <v>0</v>
      </c>
      <c r="Y104" s="4504">
        <f t="shared" si="165"/>
        <v>0</v>
      </c>
      <c r="Z104" s="4504">
        <f t="shared" si="166"/>
        <v>0</v>
      </c>
      <c r="AA104" s="4504">
        <f t="shared" si="167"/>
        <v>0</v>
      </c>
      <c r="AB104" s="4504">
        <f t="shared" si="168"/>
        <v>0</v>
      </c>
      <c r="AC104" s="4504">
        <f t="shared" si="169"/>
        <v>0</v>
      </c>
      <c r="AD104" s="4504">
        <f t="shared" si="176"/>
        <v>0</v>
      </c>
      <c r="AE104" s="4504">
        <f t="shared" si="170"/>
        <v>0</v>
      </c>
      <c r="AF104" s="4504">
        <f t="shared" si="171"/>
        <v>0</v>
      </c>
      <c r="AG104" s="4504">
        <f t="shared" si="172"/>
        <v>0</v>
      </c>
      <c r="AH104" s="4504">
        <f t="shared" si="173"/>
        <v>0</v>
      </c>
      <c r="AI104" s="4504">
        <f t="shared" si="174"/>
        <v>0</v>
      </c>
    </row>
    <row r="105" spans="1:35" s="2047" customFormat="1" ht="24">
      <c r="A105" s="433" t="s">
        <v>1085</v>
      </c>
      <c r="B105" s="1481" t="s">
        <v>1364</v>
      </c>
      <c r="C105" s="314" t="s">
        <v>676</v>
      </c>
      <c r="D105" s="419"/>
      <c r="E105" s="420"/>
      <c r="F105" s="420"/>
      <c r="G105" s="420"/>
      <c r="H105" s="420"/>
      <c r="I105" s="435"/>
      <c r="J105" s="419"/>
      <c r="K105" s="3965"/>
      <c r="L105" s="3965"/>
      <c r="M105" s="3965"/>
      <c r="N105" s="3965"/>
      <c r="O105" s="3967"/>
      <c r="P105" s="4445">
        <f t="shared" si="163"/>
        <v>0</v>
      </c>
      <c r="Q105" s="3857">
        <f t="shared" si="164"/>
        <v>0</v>
      </c>
      <c r="R105" s="3858">
        <f t="shared" si="164"/>
        <v>0</v>
      </c>
      <c r="S105" s="3858">
        <f t="shared" si="164"/>
        <v>0</v>
      </c>
      <c r="T105" s="3858">
        <f t="shared" si="164"/>
        <v>0</v>
      </c>
      <c r="U105" s="3858">
        <f t="shared" si="164"/>
        <v>0</v>
      </c>
      <c r="V105" s="3859">
        <f t="shared" si="164"/>
        <v>0</v>
      </c>
      <c r="W105" s="4488"/>
      <c r="X105" s="4504">
        <f t="shared" si="175"/>
        <v>0</v>
      </c>
      <c r="Y105" s="4504">
        <f t="shared" si="165"/>
        <v>0</v>
      </c>
      <c r="Z105" s="4504">
        <f t="shared" si="166"/>
        <v>0</v>
      </c>
      <c r="AA105" s="4504">
        <f t="shared" si="167"/>
        <v>0</v>
      </c>
      <c r="AB105" s="4504">
        <f t="shared" si="168"/>
        <v>0</v>
      </c>
      <c r="AC105" s="4504">
        <f t="shared" si="169"/>
        <v>0</v>
      </c>
      <c r="AD105" s="4504">
        <f t="shared" si="176"/>
        <v>0</v>
      </c>
      <c r="AE105" s="4504">
        <f t="shared" si="170"/>
        <v>0</v>
      </c>
      <c r="AF105" s="4504">
        <f t="shared" si="171"/>
        <v>0</v>
      </c>
      <c r="AG105" s="4504">
        <f t="shared" si="172"/>
        <v>0</v>
      </c>
      <c r="AH105" s="4504">
        <f t="shared" si="173"/>
        <v>0</v>
      </c>
      <c r="AI105" s="4504">
        <f t="shared" si="174"/>
        <v>0</v>
      </c>
    </row>
    <row r="106" spans="1:35" s="2047" customFormat="1" ht="13.2">
      <c r="A106" s="433" t="s">
        <v>1086</v>
      </c>
      <c r="B106" s="1482" t="s">
        <v>914</v>
      </c>
      <c r="C106" s="314" t="s">
        <v>676</v>
      </c>
      <c r="D106" s="419"/>
      <c r="E106" s="420"/>
      <c r="F106" s="420"/>
      <c r="G106" s="420"/>
      <c r="H106" s="420"/>
      <c r="I106" s="435"/>
      <c r="J106" s="419"/>
      <c r="K106" s="3965"/>
      <c r="L106" s="3965"/>
      <c r="M106" s="3965"/>
      <c r="N106" s="3965"/>
      <c r="O106" s="3967"/>
      <c r="P106" s="4445">
        <f t="shared" si="163"/>
        <v>0</v>
      </c>
      <c r="Q106" s="3857">
        <f t="shared" si="164"/>
        <v>0</v>
      </c>
      <c r="R106" s="3858">
        <f t="shared" si="164"/>
        <v>0</v>
      </c>
      <c r="S106" s="3858">
        <f t="shared" si="164"/>
        <v>0</v>
      </c>
      <c r="T106" s="3858">
        <f t="shared" si="164"/>
        <v>0</v>
      </c>
      <c r="U106" s="3858">
        <f t="shared" si="164"/>
        <v>0</v>
      </c>
      <c r="V106" s="3859">
        <f t="shared" si="164"/>
        <v>0</v>
      </c>
      <c r="W106" s="4488"/>
      <c r="X106" s="4504">
        <f t="shared" si="175"/>
        <v>0</v>
      </c>
      <c r="Y106" s="4504">
        <f t="shared" si="165"/>
        <v>0</v>
      </c>
      <c r="Z106" s="4504">
        <f t="shared" si="166"/>
        <v>0</v>
      </c>
      <c r="AA106" s="4504">
        <f t="shared" si="167"/>
        <v>0</v>
      </c>
      <c r="AB106" s="4504">
        <f t="shared" si="168"/>
        <v>0</v>
      </c>
      <c r="AC106" s="4504">
        <f t="shared" si="169"/>
        <v>0</v>
      </c>
      <c r="AD106" s="4504">
        <f t="shared" si="176"/>
        <v>0</v>
      </c>
      <c r="AE106" s="4504">
        <f t="shared" si="170"/>
        <v>0</v>
      </c>
      <c r="AF106" s="4504">
        <f t="shared" si="171"/>
        <v>0</v>
      </c>
      <c r="AG106" s="4504">
        <f t="shared" si="172"/>
        <v>0</v>
      </c>
      <c r="AH106" s="4504">
        <f t="shared" si="173"/>
        <v>0</v>
      </c>
      <c r="AI106" s="4504">
        <f t="shared" si="174"/>
        <v>0</v>
      </c>
    </row>
    <row r="107" spans="1:35" s="2047" customFormat="1" ht="13.2">
      <c r="A107" s="433" t="s">
        <v>1087</v>
      </c>
      <c r="B107" s="1482" t="s">
        <v>915</v>
      </c>
      <c r="C107" s="314" t="s">
        <v>676</v>
      </c>
      <c r="D107" s="419"/>
      <c r="E107" s="420"/>
      <c r="F107" s="420"/>
      <c r="G107" s="420"/>
      <c r="H107" s="420"/>
      <c r="I107" s="435"/>
      <c r="J107" s="419"/>
      <c r="K107" s="3965"/>
      <c r="L107" s="3965"/>
      <c r="M107" s="3965"/>
      <c r="N107" s="3965"/>
      <c r="O107" s="3967"/>
      <c r="P107" s="4445">
        <f t="shared" si="163"/>
        <v>0</v>
      </c>
      <c r="Q107" s="3857">
        <f t="shared" si="164"/>
        <v>0</v>
      </c>
      <c r="R107" s="3858">
        <f t="shared" si="164"/>
        <v>0</v>
      </c>
      <c r="S107" s="3858">
        <f t="shared" si="164"/>
        <v>0</v>
      </c>
      <c r="T107" s="3858">
        <f t="shared" si="164"/>
        <v>0</v>
      </c>
      <c r="U107" s="3858">
        <f t="shared" si="164"/>
        <v>0</v>
      </c>
      <c r="V107" s="3859">
        <f t="shared" si="164"/>
        <v>0</v>
      </c>
      <c r="W107" s="4488"/>
      <c r="X107" s="4504">
        <f t="shared" si="175"/>
        <v>0</v>
      </c>
      <c r="Y107" s="4504">
        <f t="shared" si="165"/>
        <v>0</v>
      </c>
      <c r="Z107" s="4504">
        <f t="shared" si="166"/>
        <v>0</v>
      </c>
      <c r="AA107" s="4504">
        <f t="shared" si="167"/>
        <v>0</v>
      </c>
      <c r="AB107" s="4504">
        <f t="shared" si="168"/>
        <v>0</v>
      </c>
      <c r="AC107" s="4504">
        <f t="shared" si="169"/>
        <v>0</v>
      </c>
      <c r="AD107" s="4504">
        <f t="shared" si="176"/>
        <v>0</v>
      </c>
      <c r="AE107" s="4504">
        <f t="shared" si="170"/>
        <v>0</v>
      </c>
      <c r="AF107" s="4504">
        <f t="shared" si="171"/>
        <v>0</v>
      </c>
      <c r="AG107" s="4504">
        <f t="shared" si="172"/>
        <v>0</v>
      </c>
      <c r="AH107" s="4504">
        <f t="shared" si="173"/>
        <v>0</v>
      </c>
      <c r="AI107" s="4504">
        <f t="shared" si="174"/>
        <v>0</v>
      </c>
    </row>
    <row r="108" spans="1:35" s="2047" customFormat="1" ht="24">
      <c r="A108" s="436" t="s">
        <v>1088</v>
      </c>
      <c r="B108" s="2062" t="s">
        <v>1365</v>
      </c>
      <c r="C108" s="316" t="s">
        <v>676</v>
      </c>
      <c r="D108" s="419"/>
      <c r="E108" s="420"/>
      <c r="F108" s="420"/>
      <c r="G108" s="420"/>
      <c r="H108" s="420"/>
      <c r="I108" s="435"/>
      <c r="J108" s="419"/>
      <c r="K108" s="3965"/>
      <c r="L108" s="3965"/>
      <c r="M108" s="3965"/>
      <c r="N108" s="3965"/>
      <c r="O108" s="3967"/>
      <c r="P108" s="4445">
        <f t="shared" si="163"/>
        <v>0</v>
      </c>
      <c r="Q108" s="3857">
        <f t="shared" si="164"/>
        <v>0</v>
      </c>
      <c r="R108" s="3858">
        <f t="shared" si="164"/>
        <v>0</v>
      </c>
      <c r="S108" s="3858">
        <f t="shared" si="164"/>
        <v>0</v>
      </c>
      <c r="T108" s="3858">
        <f t="shared" si="164"/>
        <v>0</v>
      </c>
      <c r="U108" s="3858">
        <f t="shared" si="164"/>
        <v>0</v>
      </c>
      <c r="V108" s="3859">
        <f t="shared" si="164"/>
        <v>0</v>
      </c>
      <c r="W108" s="4488"/>
      <c r="X108" s="4504">
        <f t="shared" si="175"/>
        <v>0</v>
      </c>
      <c r="Y108" s="4504">
        <f t="shared" si="165"/>
        <v>0</v>
      </c>
      <c r="Z108" s="4504">
        <f t="shared" si="166"/>
        <v>0</v>
      </c>
      <c r="AA108" s="4504">
        <f t="shared" si="167"/>
        <v>0</v>
      </c>
      <c r="AB108" s="4504">
        <f t="shared" si="168"/>
        <v>0</v>
      </c>
      <c r="AC108" s="4504">
        <f t="shared" si="169"/>
        <v>0</v>
      </c>
      <c r="AD108" s="4504">
        <f t="shared" si="176"/>
        <v>0</v>
      </c>
      <c r="AE108" s="4504">
        <f t="shared" si="170"/>
        <v>0</v>
      </c>
      <c r="AF108" s="4504">
        <f t="shared" si="171"/>
        <v>0</v>
      </c>
      <c r="AG108" s="4504">
        <f t="shared" si="172"/>
        <v>0</v>
      </c>
      <c r="AH108" s="4504">
        <f t="shared" si="173"/>
        <v>0</v>
      </c>
      <c r="AI108" s="4504">
        <f t="shared" si="174"/>
        <v>0</v>
      </c>
    </row>
    <row r="109" spans="1:35" s="2047" customFormat="1" ht="24.6" thickBot="1">
      <c r="A109" s="434" t="s">
        <v>1089</v>
      </c>
      <c r="B109" s="1490" t="s">
        <v>1343</v>
      </c>
      <c r="C109" s="1491" t="s">
        <v>313</v>
      </c>
      <c r="D109" s="2063"/>
      <c r="E109" s="2064"/>
      <c r="F109" s="2064"/>
      <c r="G109" s="2064"/>
      <c r="H109" s="2064"/>
      <c r="I109" s="2065"/>
      <c r="J109" s="419"/>
      <c r="K109" s="3965"/>
      <c r="L109" s="3965"/>
      <c r="M109" s="3965"/>
      <c r="N109" s="3965"/>
      <c r="O109" s="3967"/>
      <c r="P109" s="4449">
        <f t="shared" si="163"/>
        <v>0</v>
      </c>
      <c r="Q109" s="2063"/>
      <c r="R109" s="2064"/>
      <c r="S109" s="2064"/>
      <c r="T109" s="2064"/>
      <c r="U109" s="2064"/>
      <c r="V109" s="2065"/>
      <c r="W109" s="4488"/>
      <c r="X109" s="4504">
        <f t="shared" si="175"/>
        <v>0</v>
      </c>
      <c r="Y109" s="4504">
        <f t="shared" si="165"/>
        <v>0</v>
      </c>
      <c r="Z109" s="4504">
        <f t="shared" si="166"/>
        <v>0</v>
      </c>
      <c r="AA109" s="4504">
        <f t="shared" si="167"/>
        <v>0</v>
      </c>
      <c r="AB109" s="4504">
        <f t="shared" si="168"/>
        <v>0</v>
      </c>
      <c r="AC109" s="4504">
        <f t="shared" si="169"/>
        <v>0</v>
      </c>
      <c r="AD109" s="2059"/>
      <c r="AE109" s="2059"/>
      <c r="AF109" s="2059"/>
      <c r="AG109" s="2059"/>
      <c r="AH109" s="2059"/>
      <c r="AI109" s="2059"/>
    </row>
    <row r="110" spans="1:35" s="2047" customFormat="1" ht="23.4" thickBot="1">
      <c r="A110" s="1350"/>
      <c r="B110" s="1483" t="s">
        <v>1090</v>
      </c>
      <c r="C110" s="1497"/>
      <c r="D110" s="320">
        <f>SUM(D96:D109)</f>
        <v>0</v>
      </c>
      <c r="E110" s="321">
        <f t="shared" ref="E110:O110" si="177">SUM(E96:E109)</f>
        <v>0</v>
      </c>
      <c r="F110" s="321">
        <f t="shared" si="177"/>
        <v>0</v>
      </c>
      <c r="G110" s="321">
        <f t="shared" si="177"/>
        <v>0</v>
      </c>
      <c r="H110" s="321">
        <f t="shared" si="177"/>
        <v>0</v>
      </c>
      <c r="I110" s="955">
        <f t="shared" si="177"/>
        <v>0</v>
      </c>
      <c r="J110" s="320">
        <f t="shared" si="177"/>
        <v>0</v>
      </c>
      <c r="K110" s="321">
        <f t="shared" si="177"/>
        <v>0</v>
      </c>
      <c r="L110" s="321">
        <f t="shared" si="177"/>
        <v>0</v>
      </c>
      <c r="M110" s="321">
        <f t="shared" si="177"/>
        <v>0</v>
      </c>
      <c r="N110" s="321">
        <f t="shared" si="177"/>
        <v>0</v>
      </c>
      <c r="O110" s="418">
        <f t="shared" si="177"/>
        <v>0</v>
      </c>
      <c r="P110" s="4264">
        <f t="shared" si="163"/>
        <v>0</v>
      </c>
      <c r="Q110" s="3676"/>
      <c r="R110" s="3677"/>
      <c r="S110" s="3677"/>
      <c r="T110" s="3677"/>
      <c r="U110" s="3677"/>
      <c r="V110" s="3678"/>
      <c r="W110" s="4488"/>
      <c r="X110" s="4504">
        <f t="shared" si="175"/>
        <v>0</v>
      </c>
      <c r="Y110" s="4504">
        <f t="shared" si="165"/>
        <v>0</v>
      </c>
      <c r="Z110" s="4504">
        <f t="shared" si="166"/>
        <v>0</v>
      </c>
      <c r="AA110" s="4504">
        <f t="shared" si="167"/>
        <v>0</v>
      </c>
      <c r="AB110" s="4504">
        <f t="shared" si="168"/>
        <v>0</v>
      </c>
      <c r="AC110" s="4504">
        <f t="shared" si="169"/>
        <v>0</v>
      </c>
      <c r="AD110" s="2059"/>
      <c r="AE110" s="2059"/>
      <c r="AF110" s="2059"/>
      <c r="AG110" s="2059"/>
      <c r="AH110" s="2059"/>
      <c r="AI110" s="2059"/>
    </row>
    <row r="111" spans="1:35" s="2047" customFormat="1" ht="13.8" thickBot="1">
      <c r="A111" s="3653"/>
      <c r="B111" s="3654" t="s">
        <v>1427</v>
      </c>
      <c r="C111" s="3696" t="s">
        <v>170</v>
      </c>
      <c r="D111" s="3655"/>
      <c r="E111" s="3656">
        <f>IFERROR((E110-D110)/D110,0)</f>
        <v>0</v>
      </c>
      <c r="F111" s="3656">
        <f>IFERROR((F110-E110)/E110,0)</f>
        <v>0</v>
      </c>
      <c r="G111" s="3656">
        <f>IFERROR((G110-F110)/F110,0)</f>
        <v>0</v>
      </c>
      <c r="H111" s="3656">
        <f>IFERROR((H110-G110)/G110,0)</f>
        <v>0</v>
      </c>
      <c r="I111" s="3657">
        <f>IFERROR((I110-H110)/H110,0)</f>
        <v>0</v>
      </c>
      <c r="J111" s="3658"/>
      <c r="K111" s="3656">
        <f>IFERROR((K110-J110)/J110,0)</f>
        <v>0</v>
      </c>
      <c r="L111" s="3656">
        <f>IFERROR((L110-K110)/K110,0)</f>
        <v>0</v>
      </c>
      <c r="M111" s="3656">
        <f>IFERROR((M110-L110)/L110,0)</f>
        <v>0</v>
      </c>
      <c r="N111" s="3656">
        <f>IFERROR((N110-M110)/M110,0)</f>
        <v>0</v>
      </c>
      <c r="O111" s="3656">
        <f>IFERROR((O110-N110)/N110,0)</f>
        <v>0</v>
      </c>
      <c r="P111" s="4091"/>
      <c r="Q111" s="3659"/>
      <c r="R111" s="3660"/>
      <c r="S111" s="3660"/>
      <c r="T111" s="3660"/>
      <c r="U111" s="3660"/>
      <c r="V111" s="3661"/>
      <c r="W111" s="4488"/>
      <c r="X111" s="2059"/>
      <c r="Y111" s="2059"/>
      <c r="Z111" s="2059"/>
      <c r="AA111" s="2059"/>
      <c r="AB111" s="2059"/>
      <c r="AC111" s="2059"/>
      <c r="AD111" s="2059"/>
      <c r="AE111" s="2059"/>
      <c r="AF111" s="2059"/>
      <c r="AG111" s="2059"/>
      <c r="AH111" s="2059"/>
      <c r="AI111" s="2059"/>
    </row>
    <row r="112" spans="1:35" s="2047" customFormat="1" ht="13.5" customHeight="1" thickBot="1">
      <c r="A112" s="3679" t="s">
        <v>1091</v>
      </c>
      <c r="B112" s="430"/>
      <c r="C112" s="430"/>
      <c r="D112" s="430"/>
      <c r="E112" s="430"/>
      <c r="F112" s="430"/>
      <c r="G112" s="430"/>
      <c r="H112" s="430"/>
      <c r="I112" s="430"/>
      <c r="J112" s="430"/>
      <c r="K112" s="430"/>
      <c r="L112" s="430"/>
      <c r="M112" s="430"/>
      <c r="N112" s="430"/>
      <c r="O112" s="430"/>
      <c r="P112" s="430"/>
      <c r="Q112" s="430"/>
      <c r="R112" s="430"/>
      <c r="S112" s="430"/>
      <c r="T112" s="430"/>
      <c r="U112" s="430"/>
      <c r="V112" s="431"/>
      <c r="W112" s="4488"/>
      <c r="X112" s="2059"/>
      <c r="Y112" s="2059"/>
      <c r="Z112" s="2059"/>
      <c r="AA112" s="2059"/>
      <c r="AB112" s="2059"/>
      <c r="AC112" s="2059"/>
      <c r="AD112" s="2059"/>
      <c r="AE112" s="2059"/>
      <c r="AF112" s="2059"/>
      <c r="AG112" s="2059"/>
      <c r="AH112" s="2059"/>
      <c r="AI112" s="2059"/>
    </row>
    <row r="113" spans="1:35" s="2047" customFormat="1" ht="13.2">
      <c r="A113" s="1351"/>
      <c r="B113" s="1485" t="s">
        <v>1068</v>
      </c>
      <c r="C113" s="1486"/>
      <c r="D113" s="3665"/>
      <c r="E113" s="2068"/>
      <c r="F113" s="2068"/>
      <c r="G113" s="2068"/>
      <c r="H113" s="2068"/>
      <c r="I113" s="3682"/>
      <c r="J113" s="441"/>
      <c r="K113" s="442"/>
      <c r="L113" s="442"/>
      <c r="M113" s="442"/>
      <c r="N113" s="442"/>
      <c r="O113" s="443"/>
      <c r="P113" s="4447">
        <f>IFERROR((K113-J113)/J113,0)</f>
        <v>0</v>
      </c>
      <c r="Q113" s="3665"/>
      <c r="R113" s="2068"/>
      <c r="S113" s="2068"/>
      <c r="T113" s="2068"/>
      <c r="U113" s="2068"/>
      <c r="V113" s="2069"/>
      <c r="W113" s="4488"/>
      <c r="X113" s="4504">
        <f t="shared" ref="X113" si="178">IFERROR(J113/$C$1,0)</f>
        <v>0</v>
      </c>
      <c r="Y113" s="4504">
        <f t="shared" ref="Y113" si="179">IFERROR(K113/$C$1,0)</f>
        <v>0</v>
      </c>
      <c r="Z113" s="4504">
        <f t="shared" ref="Z113" si="180">IFERROR(L113/$C$1,0)</f>
        <v>0</v>
      </c>
      <c r="AA113" s="4504">
        <f t="shared" ref="AA113" si="181">IFERROR(M113/$C$1,0)</f>
        <v>0</v>
      </c>
      <c r="AB113" s="4504">
        <f t="shared" ref="AB113" si="182">IFERROR(N113/$C$1,0)</f>
        <v>0</v>
      </c>
      <c r="AC113" s="4504">
        <f t="shared" ref="AC113" si="183">IFERROR(O113/$C$1,0)</f>
        <v>0</v>
      </c>
      <c r="AD113" s="2059"/>
      <c r="AE113" s="2059"/>
      <c r="AF113" s="2059"/>
      <c r="AG113" s="2059"/>
      <c r="AH113" s="2059"/>
      <c r="AI113" s="2059"/>
    </row>
    <row r="114" spans="1:35" s="2047" customFormat="1" ht="13.2">
      <c r="A114" s="1353"/>
      <c r="B114" s="3666" t="s">
        <v>1427</v>
      </c>
      <c r="C114" s="3696" t="s">
        <v>170</v>
      </c>
      <c r="D114" s="3079"/>
      <c r="E114" s="2007"/>
      <c r="F114" s="2007"/>
      <c r="G114" s="2007"/>
      <c r="H114" s="2007"/>
      <c r="I114" s="3098"/>
      <c r="J114" s="3968"/>
      <c r="K114" s="3667">
        <f>IFERROR((K113-J113)/J113,0)</f>
        <v>0</v>
      </c>
      <c r="L114" s="3667">
        <f>IFERROR((L113-K113)/K113,0)</f>
        <v>0</v>
      </c>
      <c r="M114" s="3667">
        <f>IFERROR((M113-L113)/L113,0)</f>
        <v>0</v>
      </c>
      <c r="N114" s="3667">
        <f>IFERROR((N113-M113)/M113,0)</f>
        <v>0</v>
      </c>
      <c r="O114" s="3668">
        <f>IFERROR((O113-N113)/N113,0)</f>
        <v>0</v>
      </c>
      <c r="P114" s="4265"/>
      <c r="Q114" s="3079"/>
      <c r="R114" s="2007"/>
      <c r="S114" s="2007"/>
      <c r="T114" s="2007"/>
      <c r="U114" s="2007"/>
      <c r="V114" s="2071"/>
      <c r="W114" s="4488"/>
      <c r="X114" s="2059"/>
      <c r="Y114" s="2059"/>
      <c r="Z114" s="2059"/>
      <c r="AA114" s="2059"/>
      <c r="AB114" s="2059"/>
      <c r="AC114" s="2059"/>
      <c r="AD114" s="2059"/>
      <c r="AE114" s="2059"/>
      <c r="AF114" s="2059"/>
      <c r="AG114" s="2059"/>
      <c r="AH114" s="2059"/>
      <c r="AI114" s="2059"/>
    </row>
    <row r="115" spans="1:35" s="2047" customFormat="1" ht="13.2">
      <c r="A115" s="1352"/>
      <c r="B115" s="1487" t="s">
        <v>642</v>
      </c>
      <c r="C115" s="1488"/>
      <c r="D115" s="3079"/>
      <c r="E115" s="2007"/>
      <c r="F115" s="2007"/>
      <c r="G115" s="2007"/>
      <c r="H115" s="2007"/>
      <c r="I115" s="3098"/>
      <c r="J115" s="444"/>
      <c r="K115" s="426"/>
      <c r="L115" s="426"/>
      <c r="M115" s="426"/>
      <c r="N115" s="426"/>
      <c r="O115" s="427"/>
      <c r="P115" s="4448">
        <f>IFERROR((K115-J115)/J115,0)</f>
        <v>0</v>
      </c>
      <c r="Q115" s="3079"/>
      <c r="R115" s="2007"/>
      <c r="S115" s="2007"/>
      <c r="T115" s="2007"/>
      <c r="U115" s="2007"/>
      <c r="V115" s="2071"/>
      <c r="W115" s="4488"/>
      <c r="X115" s="4504">
        <f t="shared" ref="X115" si="184">IFERROR(J115/$C$1,0)</f>
        <v>0</v>
      </c>
      <c r="Y115" s="4504">
        <f t="shared" ref="Y115" si="185">IFERROR(K115/$C$1,0)</f>
        <v>0</v>
      </c>
      <c r="Z115" s="4504">
        <f t="shared" ref="Z115" si="186">IFERROR(L115/$C$1,0)</f>
        <v>0</v>
      </c>
      <c r="AA115" s="4504">
        <f t="shared" ref="AA115" si="187">IFERROR(M115/$C$1,0)</f>
        <v>0</v>
      </c>
      <c r="AB115" s="4504">
        <f t="shared" ref="AB115" si="188">IFERROR(N115/$C$1,0)</f>
        <v>0</v>
      </c>
      <c r="AC115" s="4504">
        <f t="shared" ref="AC115" si="189">IFERROR(O115/$C$1,0)</f>
        <v>0</v>
      </c>
      <c r="AD115" s="2059"/>
      <c r="AE115" s="2059"/>
      <c r="AF115" s="2059"/>
      <c r="AG115" s="2059"/>
      <c r="AH115" s="2059"/>
      <c r="AI115" s="2059"/>
    </row>
    <row r="116" spans="1:35" s="2047" customFormat="1" ht="13.2">
      <c r="A116" s="1352"/>
      <c r="B116" s="3666" t="s">
        <v>1427</v>
      </c>
      <c r="C116" s="3696" t="s">
        <v>170</v>
      </c>
      <c r="D116" s="3079"/>
      <c r="E116" s="2007"/>
      <c r="F116" s="2007"/>
      <c r="G116" s="2007"/>
      <c r="H116" s="2007"/>
      <c r="I116" s="3098"/>
      <c r="J116" s="3671"/>
      <c r="K116" s="3667">
        <f>IFERROR((K115-J115)/J115,0)</f>
        <v>0</v>
      </c>
      <c r="L116" s="3667">
        <f>IFERROR((L115-K115)/K115,0)</f>
        <v>0</v>
      </c>
      <c r="M116" s="3667">
        <f>IFERROR((M115-L115)/L115,0)</f>
        <v>0</v>
      </c>
      <c r="N116" s="3667">
        <f>IFERROR((N115-M115)/M115,0)</f>
        <v>0</v>
      </c>
      <c r="O116" s="3668">
        <f>IFERROR((O115-N115)/N115,0)</f>
        <v>0</v>
      </c>
      <c r="P116" s="4265"/>
      <c r="Q116" s="3079"/>
      <c r="R116" s="2007"/>
      <c r="S116" s="2007"/>
      <c r="T116" s="2007"/>
      <c r="U116" s="2007"/>
      <c r="V116" s="2071"/>
      <c r="W116" s="4488"/>
      <c r="X116" s="2059"/>
      <c r="Y116" s="2059"/>
      <c r="Z116" s="2059"/>
      <c r="AA116" s="2059"/>
      <c r="AB116" s="2059"/>
      <c r="AC116" s="2059"/>
      <c r="AD116" s="2059"/>
      <c r="AE116" s="2059"/>
      <c r="AF116" s="2059"/>
      <c r="AG116" s="2059"/>
      <c r="AH116" s="2059"/>
      <c r="AI116" s="2059"/>
    </row>
    <row r="117" spans="1:35" s="2047" customFormat="1" ht="13.2">
      <c r="A117" s="1352"/>
      <c r="B117" s="1487" t="s">
        <v>641</v>
      </c>
      <c r="C117" s="1488"/>
      <c r="D117" s="3079"/>
      <c r="E117" s="2007"/>
      <c r="F117" s="2007"/>
      <c r="G117" s="2007"/>
      <c r="H117" s="2007"/>
      <c r="I117" s="3098"/>
      <c r="J117" s="444"/>
      <c r="K117" s="426"/>
      <c r="L117" s="426"/>
      <c r="M117" s="426"/>
      <c r="N117" s="426"/>
      <c r="O117" s="427"/>
      <c r="P117" s="4448">
        <f>IFERROR((K117-J117)/J117,0)</f>
        <v>0</v>
      </c>
      <c r="Q117" s="3079"/>
      <c r="R117" s="2007"/>
      <c r="S117" s="2007"/>
      <c r="T117" s="2007"/>
      <c r="U117" s="2007"/>
      <c r="V117" s="2071"/>
      <c r="W117" s="4488"/>
      <c r="X117" s="4504">
        <f t="shared" ref="X117" si="190">IFERROR(J117/$C$1,0)</f>
        <v>0</v>
      </c>
      <c r="Y117" s="4504">
        <f t="shared" ref="Y117" si="191">IFERROR(K117/$C$1,0)</f>
        <v>0</v>
      </c>
      <c r="Z117" s="4504">
        <f t="shared" ref="Z117" si="192">IFERROR(L117/$C$1,0)</f>
        <v>0</v>
      </c>
      <c r="AA117" s="4504">
        <f t="shared" ref="AA117" si="193">IFERROR(M117/$C$1,0)</f>
        <v>0</v>
      </c>
      <c r="AB117" s="4504">
        <f t="shared" ref="AB117" si="194">IFERROR(N117/$C$1,0)</f>
        <v>0</v>
      </c>
      <c r="AC117" s="4504">
        <f t="shared" ref="AC117" si="195">IFERROR(O117/$C$1,0)</f>
        <v>0</v>
      </c>
      <c r="AD117" s="2059"/>
      <c r="AE117" s="2059"/>
      <c r="AF117" s="2059"/>
      <c r="AG117" s="2059"/>
      <c r="AH117" s="2059"/>
      <c r="AI117" s="2059"/>
    </row>
    <row r="118" spans="1:35" s="2047" customFormat="1" ht="13.2">
      <c r="A118" s="1352"/>
      <c r="B118" s="3666" t="s">
        <v>1430</v>
      </c>
      <c r="C118" s="3696" t="s">
        <v>170</v>
      </c>
      <c r="D118" s="3079"/>
      <c r="E118" s="2007"/>
      <c r="F118" s="2007"/>
      <c r="G118" s="2007"/>
      <c r="H118" s="2007"/>
      <c r="I118" s="3098"/>
      <c r="J118" s="3671"/>
      <c r="K118" s="3667">
        <f>IFERROR((K117-J117)/J117,0)</f>
        <v>0</v>
      </c>
      <c r="L118" s="3667">
        <f>IFERROR((L117-K117)/K117,0)</f>
        <v>0</v>
      </c>
      <c r="M118" s="3667">
        <f>IFERROR((M117-L117)/L117,0)</f>
        <v>0</v>
      </c>
      <c r="N118" s="3667">
        <f>IFERROR((N117-M117)/M117,0)</f>
        <v>0</v>
      </c>
      <c r="O118" s="3668">
        <f>IFERROR((O117-N117)/N117,0)</f>
        <v>0</v>
      </c>
      <c r="P118" s="4265"/>
      <c r="Q118" s="3079"/>
      <c r="R118" s="2007"/>
      <c r="S118" s="2007"/>
      <c r="T118" s="2007"/>
      <c r="U118" s="2007"/>
      <c r="V118" s="2071"/>
      <c r="W118" s="4488"/>
      <c r="X118" s="2059"/>
      <c r="Y118" s="2059"/>
      <c r="Z118" s="2059"/>
      <c r="AA118" s="2059"/>
      <c r="AB118" s="2059"/>
      <c r="AC118" s="2059"/>
      <c r="AD118" s="2059"/>
      <c r="AE118" s="2059"/>
      <c r="AF118" s="2059"/>
      <c r="AG118" s="2059"/>
      <c r="AH118" s="2059"/>
      <c r="AI118" s="2059"/>
    </row>
    <row r="119" spans="1:35" s="2047" customFormat="1" ht="13.2">
      <c r="A119" s="1352"/>
      <c r="B119" s="1487" t="s">
        <v>640</v>
      </c>
      <c r="C119" s="1488"/>
      <c r="D119" s="3079"/>
      <c r="E119" s="2007"/>
      <c r="F119" s="2007"/>
      <c r="G119" s="2007"/>
      <c r="H119" s="2007"/>
      <c r="I119" s="3098"/>
      <c r="J119" s="444"/>
      <c r="K119" s="426"/>
      <c r="L119" s="426"/>
      <c r="M119" s="426"/>
      <c r="N119" s="426"/>
      <c r="O119" s="427"/>
      <c r="P119" s="4448">
        <f>IFERROR((K119-J119)/J119,0)</f>
        <v>0</v>
      </c>
      <c r="Q119" s="3079"/>
      <c r="R119" s="2007"/>
      <c r="S119" s="2007"/>
      <c r="T119" s="2007"/>
      <c r="U119" s="2007"/>
      <c r="V119" s="2071"/>
      <c r="W119" s="4488"/>
      <c r="X119" s="4504">
        <f t="shared" ref="X119" si="196">IFERROR(J119/$C$1,0)</f>
        <v>0</v>
      </c>
      <c r="Y119" s="4504">
        <f t="shared" ref="Y119" si="197">IFERROR(K119/$C$1,0)</f>
        <v>0</v>
      </c>
      <c r="Z119" s="4504">
        <f t="shared" ref="Z119" si="198">IFERROR(L119/$C$1,0)</f>
        <v>0</v>
      </c>
      <c r="AA119" s="4504">
        <f t="shared" ref="AA119" si="199">IFERROR(M119/$C$1,0)</f>
        <v>0</v>
      </c>
      <c r="AB119" s="4504">
        <f t="shared" ref="AB119" si="200">IFERROR(N119/$C$1,0)</f>
        <v>0</v>
      </c>
      <c r="AC119" s="4504">
        <f t="shared" ref="AC119" si="201">IFERROR(O119/$C$1,0)</f>
        <v>0</v>
      </c>
      <c r="AD119" s="2059"/>
      <c r="AE119" s="2059"/>
      <c r="AF119" s="2059"/>
      <c r="AG119" s="2059"/>
      <c r="AH119" s="2059"/>
      <c r="AI119" s="2059"/>
    </row>
    <row r="120" spans="1:35" s="2047" customFormat="1" ht="13.2">
      <c r="A120" s="1352"/>
      <c r="B120" s="3666" t="s">
        <v>1427</v>
      </c>
      <c r="C120" s="3696" t="s">
        <v>170</v>
      </c>
      <c r="D120" s="3079"/>
      <c r="E120" s="2007"/>
      <c r="F120" s="2007"/>
      <c r="G120" s="2007"/>
      <c r="H120" s="2007"/>
      <c r="I120" s="3098"/>
      <c r="J120" s="3969"/>
      <c r="K120" s="3667">
        <f>IFERROR((K119-J119)/J119,0)</f>
        <v>0</v>
      </c>
      <c r="L120" s="3667">
        <f>IFERROR((L119-K119)/K119,0)</f>
        <v>0</v>
      </c>
      <c r="M120" s="3667">
        <f>IFERROR((M119-L119)/L119,0)</f>
        <v>0</v>
      </c>
      <c r="N120" s="3667">
        <f>IFERROR((N119-M119)/M119,0)</f>
        <v>0</v>
      </c>
      <c r="O120" s="3668">
        <f>IFERROR((O119-N119)/N119,0)</f>
        <v>0</v>
      </c>
      <c r="P120" s="4265"/>
      <c r="Q120" s="3079"/>
      <c r="R120" s="2007"/>
      <c r="S120" s="2007"/>
      <c r="T120" s="2007"/>
      <c r="U120" s="2007"/>
      <c r="V120" s="2071"/>
      <c r="W120" s="4488"/>
      <c r="X120" s="2059"/>
      <c r="Y120" s="2059"/>
      <c r="Z120" s="2059"/>
      <c r="AA120" s="2059"/>
      <c r="AB120" s="2059"/>
      <c r="AC120" s="2059"/>
      <c r="AD120" s="2059"/>
      <c r="AE120" s="2059"/>
      <c r="AF120" s="2059"/>
      <c r="AG120" s="2059"/>
      <c r="AH120" s="2059"/>
      <c r="AI120" s="2059"/>
    </row>
    <row r="121" spans="1:35" s="2047" customFormat="1" ht="13.2">
      <c r="A121" s="1352"/>
      <c r="B121" s="1487" t="s">
        <v>639</v>
      </c>
      <c r="C121" s="1488"/>
      <c r="D121" s="3079"/>
      <c r="E121" s="2007"/>
      <c r="F121" s="2007"/>
      <c r="G121" s="2007"/>
      <c r="H121" s="2007"/>
      <c r="I121" s="3098"/>
      <c r="J121" s="951"/>
      <c r="K121" s="428"/>
      <c r="L121" s="428"/>
      <c r="M121" s="428"/>
      <c r="N121" s="428"/>
      <c r="O121" s="429"/>
      <c r="P121" s="4266">
        <f>IFERROR((K121-J121)/J121,0)</f>
        <v>0</v>
      </c>
      <c r="Q121" s="3079"/>
      <c r="R121" s="2007"/>
      <c r="S121" s="2007"/>
      <c r="T121" s="2007"/>
      <c r="U121" s="2007"/>
      <c r="V121" s="2071"/>
      <c r="W121" s="4488"/>
      <c r="X121" s="4504">
        <f t="shared" ref="X121" si="202">IFERROR(J121/$C$1,0)</f>
        <v>0</v>
      </c>
      <c r="Y121" s="4504">
        <f t="shared" ref="Y121" si="203">IFERROR(K121/$C$1,0)</f>
        <v>0</v>
      </c>
      <c r="Z121" s="4504">
        <f t="shared" ref="Z121" si="204">IFERROR(L121/$C$1,0)</f>
        <v>0</v>
      </c>
      <c r="AA121" s="4504">
        <f t="shared" ref="AA121" si="205">IFERROR(M121/$C$1,0)</f>
        <v>0</v>
      </c>
      <c r="AB121" s="4504">
        <f t="shared" ref="AB121" si="206">IFERROR(N121/$C$1,0)</f>
        <v>0</v>
      </c>
      <c r="AC121" s="4504">
        <f t="shared" ref="AC121" si="207">IFERROR(O121/$C$1,0)</f>
        <v>0</v>
      </c>
      <c r="AD121" s="2059"/>
      <c r="AE121" s="2059"/>
      <c r="AF121" s="2059"/>
      <c r="AG121" s="2059"/>
      <c r="AH121" s="2059"/>
      <c r="AI121" s="2059"/>
    </row>
    <row r="122" spans="1:35" s="2047" customFormat="1" ht="13.2">
      <c r="A122" s="1354"/>
      <c r="B122" s="3666" t="s">
        <v>1427</v>
      </c>
      <c r="C122" s="3696" t="s">
        <v>170</v>
      </c>
      <c r="D122" s="3079"/>
      <c r="E122" s="2007"/>
      <c r="F122" s="2007"/>
      <c r="G122" s="2007"/>
      <c r="H122" s="2007"/>
      <c r="I122" s="3098"/>
      <c r="J122" s="3969"/>
      <c r="K122" s="3667">
        <f>IFERROR((K121-J121)/J121,0)</f>
        <v>0</v>
      </c>
      <c r="L122" s="3667">
        <f>IFERROR((L121-K121)/K121,0)</f>
        <v>0</v>
      </c>
      <c r="M122" s="3667">
        <f>IFERROR((M121-L121)/L121,0)</f>
        <v>0</v>
      </c>
      <c r="N122" s="3667">
        <f>IFERROR((N121-M121)/M121,0)</f>
        <v>0</v>
      </c>
      <c r="O122" s="3668">
        <f>IFERROR((O121-N121)/N121,0)</f>
        <v>0</v>
      </c>
      <c r="P122" s="4265"/>
      <c r="Q122" s="3079"/>
      <c r="R122" s="2007"/>
      <c r="S122" s="2007"/>
      <c r="T122" s="2007"/>
      <c r="U122" s="2007"/>
      <c r="V122" s="2071"/>
      <c r="W122" s="4488"/>
      <c r="X122" s="2059"/>
      <c r="Y122" s="2059"/>
      <c r="Z122" s="2059"/>
      <c r="AA122" s="2059"/>
      <c r="AB122" s="2059"/>
      <c r="AC122" s="2059"/>
      <c r="AD122" s="2059"/>
      <c r="AE122" s="2059"/>
      <c r="AF122" s="2059"/>
      <c r="AG122" s="2059"/>
      <c r="AH122" s="2059"/>
      <c r="AI122" s="2059"/>
    </row>
    <row r="123" spans="1:35" s="2047" customFormat="1" ht="24">
      <c r="A123" s="1352"/>
      <c r="B123" s="1521" t="s">
        <v>638</v>
      </c>
      <c r="C123" s="1488"/>
      <c r="D123" s="3079"/>
      <c r="E123" s="2007"/>
      <c r="F123" s="2007"/>
      <c r="G123" s="2007"/>
      <c r="H123" s="2007"/>
      <c r="I123" s="3098"/>
      <c r="J123" s="3709">
        <f>J110-J113-J115-J117-J119-J121</f>
        <v>0</v>
      </c>
      <c r="K123" s="3685">
        <f>K110-K113-K115-K117-K119-K121</f>
        <v>0</v>
      </c>
      <c r="L123" s="3685">
        <f t="shared" ref="L123:O123" si="208">L110-L113-L115-L117-L119-L121</f>
        <v>0</v>
      </c>
      <c r="M123" s="3685">
        <f t="shared" si="208"/>
        <v>0</v>
      </c>
      <c r="N123" s="3685">
        <f t="shared" si="208"/>
        <v>0</v>
      </c>
      <c r="O123" s="3698">
        <f t="shared" si="208"/>
        <v>0</v>
      </c>
      <c r="P123" s="4266">
        <f>IFERROR((K123-J123)/J123,0)</f>
        <v>0</v>
      </c>
      <c r="Q123" s="3079"/>
      <c r="R123" s="2007"/>
      <c r="S123" s="2007"/>
      <c r="T123" s="2007"/>
      <c r="U123" s="2007"/>
      <c r="V123" s="2071"/>
      <c r="W123" s="4488"/>
      <c r="X123" s="4504">
        <f t="shared" ref="X123" si="209">IFERROR(J123/$C$1,0)</f>
        <v>0</v>
      </c>
      <c r="Y123" s="4504">
        <f t="shared" ref="Y123" si="210">IFERROR(K123/$C$1,0)</f>
        <v>0</v>
      </c>
      <c r="Z123" s="4504">
        <f t="shared" ref="Z123" si="211">IFERROR(L123/$C$1,0)</f>
        <v>0</v>
      </c>
      <c r="AA123" s="4504">
        <f t="shared" ref="AA123" si="212">IFERROR(M123/$C$1,0)</f>
        <v>0</v>
      </c>
      <c r="AB123" s="4504">
        <f t="shared" ref="AB123" si="213">IFERROR(N123/$C$1,0)</f>
        <v>0</v>
      </c>
      <c r="AC123" s="4504">
        <f t="shared" ref="AC123" si="214">IFERROR(O123/$C$1,0)</f>
        <v>0</v>
      </c>
      <c r="AD123" s="2059"/>
      <c r="AE123" s="2059"/>
      <c r="AF123" s="2059"/>
      <c r="AG123" s="2059"/>
      <c r="AH123" s="2059"/>
      <c r="AI123" s="2059"/>
    </row>
    <row r="124" spans="1:35" s="2047" customFormat="1" ht="13.8" thickBot="1">
      <c r="A124" s="4465"/>
      <c r="B124" s="4460" t="s">
        <v>1427</v>
      </c>
      <c r="C124" s="4469" t="s">
        <v>170</v>
      </c>
      <c r="D124" s="3686"/>
      <c r="E124" s="2073"/>
      <c r="F124" s="2073"/>
      <c r="G124" s="2073"/>
      <c r="H124" s="2073"/>
      <c r="I124" s="3687"/>
      <c r="J124" s="3708"/>
      <c r="K124" s="4462">
        <f>IFERROR((K123-J123)/J123,0)</f>
        <v>0</v>
      </c>
      <c r="L124" s="4462">
        <f>IFERROR((L123-K123)/K123,0)</f>
        <v>0</v>
      </c>
      <c r="M124" s="4462">
        <f>IFERROR((M123-L123)/L123,0)</f>
        <v>0</v>
      </c>
      <c r="N124" s="4462">
        <f>IFERROR((N123-M123)/M123,0)</f>
        <v>0</v>
      </c>
      <c r="O124" s="4470">
        <f>IFERROR((O123-N123)/N123,0)</f>
        <v>0</v>
      </c>
      <c r="P124" s="4468"/>
      <c r="Q124" s="3686"/>
      <c r="R124" s="2073"/>
      <c r="S124" s="2073"/>
      <c r="T124" s="2073"/>
      <c r="U124" s="2073"/>
      <c r="V124" s="2074"/>
      <c r="W124" s="4488"/>
    </row>
    <row r="125" spans="1:35" s="2047" customFormat="1" ht="13.5" customHeight="1" thickBot="1">
      <c r="A125" s="5280"/>
      <c r="B125" s="5281"/>
      <c r="C125" s="5281"/>
      <c r="D125" s="5281"/>
      <c r="E125" s="5281"/>
      <c r="F125" s="5281"/>
      <c r="G125" s="5281"/>
      <c r="H125" s="5281"/>
      <c r="I125" s="5281"/>
      <c r="J125" s="5281"/>
      <c r="K125" s="5281"/>
      <c r="L125" s="5281"/>
      <c r="M125" s="5281"/>
      <c r="N125" s="5281"/>
      <c r="O125" s="5281"/>
      <c r="P125" s="5281"/>
      <c r="Q125" s="5281"/>
      <c r="R125" s="5281"/>
      <c r="S125" s="5281"/>
      <c r="T125" s="5281"/>
      <c r="U125" s="5281"/>
      <c r="V125" s="5282"/>
      <c r="W125" s="4488"/>
    </row>
    <row r="126" spans="1:35" s="2047" customFormat="1" ht="21.75" customHeight="1" thickBot="1">
      <c r="A126" s="1501">
        <v>5</v>
      </c>
      <c r="B126" s="3688" t="s">
        <v>1092</v>
      </c>
      <c r="C126" s="5266"/>
      <c r="D126" s="5266"/>
      <c r="E126" s="5266"/>
      <c r="F126" s="5266"/>
      <c r="G126" s="5266"/>
      <c r="H126" s="5266"/>
      <c r="I126" s="5266"/>
      <c r="J126" s="5269"/>
      <c r="K126" s="5269"/>
      <c r="L126" s="5269"/>
      <c r="M126" s="5269"/>
      <c r="N126" s="5269"/>
      <c r="O126" s="5269"/>
      <c r="P126" s="5269"/>
      <c r="Q126" s="5266"/>
      <c r="R126" s="5266"/>
      <c r="S126" s="5266"/>
      <c r="T126" s="5266"/>
      <c r="U126" s="5266"/>
      <c r="V126" s="5268"/>
      <c r="W126" s="4488"/>
    </row>
    <row r="127" spans="1:35" s="2047" customFormat="1" ht="13.2">
      <c r="A127" s="432" t="s">
        <v>568</v>
      </c>
      <c r="B127" s="1499" t="s">
        <v>464</v>
      </c>
      <c r="C127" s="314" t="s">
        <v>313</v>
      </c>
      <c r="D127" s="2067"/>
      <c r="E127" s="2068"/>
      <c r="F127" s="2068"/>
      <c r="G127" s="2068"/>
      <c r="H127" s="2068"/>
      <c r="I127" s="2069"/>
      <c r="J127" s="438">
        <v>4.4403823305948267</v>
      </c>
      <c r="K127" s="3965">
        <v>3.4675952597698352</v>
      </c>
      <c r="L127" s="3965">
        <v>3.8181510620685692</v>
      </c>
      <c r="M127" s="3965">
        <v>4.212311659019516</v>
      </c>
      <c r="N127" s="3965">
        <v>4.6610383661362924</v>
      </c>
      <c r="O127" s="3967">
        <v>5.1728500017439352</v>
      </c>
      <c r="P127" s="4444">
        <f t="shared" ref="P127:P141" si="215">IFERROR((K127-J127)/J127,0)</f>
        <v>-0.21907732226622892</v>
      </c>
      <c r="Q127" s="2067"/>
      <c r="R127" s="2068"/>
      <c r="S127" s="2068"/>
      <c r="T127" s="2068"/>
      <c r="U127" s="2068"/>
      <c r="V127" s="2069"/>
      <c r="W127" s="4488"/>
      <c r="X127" s="4504">
        <f>IFERROR(J127/$C$1,0)</f>
        <v>2.2703314350402781</v>
      </c>
      <c r="Y127" s="4504">
        <f t="shared" ref="Y127:Y141" si="216">IFERROR(K127/$C$1,0)</f>
        <v>1.7729533035948091</v>
      </c>
      <c r="Z127" s="4504">
        <f t="shared" ref="Z127:Z141" si="217">IFERROR(L127/$C$1,0)</f>
        <v>1.9521896392163784</v>
      </c>
      <c r="AA127" s="4504">
        <f t="shared" ref="AA127:AA141" si="218">IFERROR(M127/$C$1,0)</f>
        <v>2.1537207523248525</v>
      </c>
      <c r="AB127" s="4504">
        <f t="shared" ref="AB127:AB141" si="219">IFERROR(N127/$C$1,0)</f>
        <v>2.3831510745495734</v>
      </c>
      <c r="AC127" s="4504">
        <f t="shared" ref="AC127:AC141" si="220">IFERROR(O127/$C$1,0)</f>
        <v>2.6448362085375186</v>
      </c>
      <c r="AD127" s="2059"/>
      <c r="AE127" s="2059"/>
      <c r="AF127" s="2059"/>
      <c r="AG127" s="2059"/>
      <c r="AH127" s="2059"/>
      <c r="AI127" s="2059"/>
    </row>
    <row r="128" spans="1:35" s="2047" customFormat="1" ht="13.2">
      <c r="A128" s="433" t="s">
        <v>569</v>
      </c>
      <c r="B128" s="1481" t="s">
        <v>722</v>
      </c>
      <c r="C128" s="316" t="s">
        <v>313</v>
      </c>
      <c r="D128" s="2070"/>
      <c r="E128" s="2007"/>
      <c r="F128" s="2007"/>
      <c r="G128" s="2007"/>
      <c r="H128" s="2007"/>
      <c r="I128" s="2071"/>
      <c r="J128" s="419">
        <v>65.497527493161485</v>
      </c>
      <c r="K128" s="3965">
        <v>134.05662907284523</v>
      </c>
      <c r="L128" s="3965">
        <v>153.14859154541006</v>
      </c>
      <c r="M128" s="3965">
        <v>174.77354755141442</v>
      </c>
      <c r="N128" s="3965">
        <v>199.81094751316871</v>
      </c>
      <c r="O128" s="3967">
        <v>229.4670693660367</v>
      </c>
      <c r="P128" s="4445">
        <f t="shared" si="215"/>
        <v>1.0467433535844832</v>
      </c>
      <c r="Q128" s="2070"/>
      <c r="R128" s="2007"/>
      <c r="S128" s="2007"/>
      <c r="T128" s="2007"/>
      <c r="U128" s="2007"/>
      <c r="V128" s="2071"/>
      <c r="W128" s="4488"/>
      <c r="X128" s="4504">
        <f t="shared" ref="X128:X141" si="221">IFERROR(J128/$C$1,0)</f>
        <v>33.488354045679579</v>
      </c>
      <c r="Y128" s="4504">
        <f t="shared" si="216"/>
        <v>68.542066065478707</v>
      </c>
      <c r="Z128" s="4504">
        <f t="shared" si="217"/>
        <v>78.303631473803989</v>
      </c>
      <c r="AA128" s="4504">
        <f t="shared" si="218"/>
        <v>89.360295910899424</v>
      </c>
      <c r="AB128" s="4504">
        <f t="shared" si="219"/>
        <v>102.16171523760691</v>
      </c>
      <c r="AC128" s="4504">
        <f t="shared" si="220"/>
        <v>117.32464956874406</v>
      </c>
      <c r="AD128" s="2059"/>
      <c r="AE128" s="2059"/>
      <c r="AF128" s="2059"/>
      <c r="AG128" s="2059"/>
      <c r="AH128" s="2059"/>
      <c r="AI128" s="2059"/>
    </row>
    <row r="129" spans="1:35" s="2047" customFormat="1" ht="13.2">
      <c r="A129" s="433" t="s">
        <v>1093</v>
      </c>
      <c r="B129" s="1481" t="s">
        <v>467</v>
      </c>
      <c r="C129" s="316" t="s">
        <v>313</v>
      </c>
      <c r="D129" s="2070"/>
      <c r="E129" s="2007"/>
      <c r="F129" s="2007"/>
      <c r="G129" s="2007"/>
      <c r="H129" s="2007"/>
      <c r="I129" s="2071"/>
      <c r="J129" s="419">
        <v>0</v>
      </c>
      <c r="K129" s="3965">
        <v>0</v>
      </c>
      <c r="L129" s="3965">
        <v>0</v>
      </c>
      <c r="M129" s="3965">
        <v>0</v>
      </c>
      <c r="N129" s="3965">
        <v>0</v>
      </c>
      <c r="O129" s="3967">
        <v>0</v>
      </c>
      <c r="P129" s="4445">
        <f t="shared" si="215"/>
        <v>0</v>
      </c>
      <c r="Q129" s="2070"/>
      <c r="R129" s="2007"/>
      <c r="S129" s="2007"/>
      <c r="T129" s="2007"/>
      <c r="U129" s="2007"/>
      <c r="V129" s="2071"/>
      <c r="W129" s="4488"/>
      <c r="X129" s="4504">
        <f t="shared" si="221"/>
        <v>0</v>
      </c>
      <c r="Y129" s="4504">
        <f t="shared" si="216"/>
        <v>0</v>
      </c>
      <c r="Z129" s="4504">
        <f t="shared" si="217"/>
        <v>0</v>
      </c>
      <c r="AA129" s="4504">
        <f t="shared" si="218"/>
        <v>0</v>
      </c>
      <c r="AB129" s="4504">
        <f t="shared" si="219"/>
        <v>0</v>
      </c>
      <c r="AC129" s="4504">
        <f t="shared" si="220"/>
        <v>0</v>
      </c>
      <c r="AD129" s="2059"/>
      <c r="AE129" s="2059"/>
      <c r="AF129" s="2059"/>
      <c r="AG129" s="2059"/>
      <c r="AH129" s="2059"/>
      <c r="AI129" s="2059"/>
    </row>
    <row r="130" spans="1:35" s="2047" customFormat="1" ht="13.2">
      <c r="A130" s="433" t="s">
        <v>1094</v>
      </c>
      <c r="B130" s="1481" t="s">
        <v>469</v>
      </c>
      <c r="C130" s="316" t="s">
        <v>313</v>
      </c>
      <c r="D130" s="2070"/>
      <c r="E130" s="2007"/>
      <c r="F130" s="2007"/>
      <c r="G130" s="2007"/>
      <c r="H130" s="2007"/>
      <c r="I130" s="2071"/>
      <c r="J130" s="419">
        <v>0</v>
      </c>
      <c r="K130" s="3965">
        <v>0</v>
      </c>
      <c r="L130" s="3965">
        <v>0</v>
      </c>
      <c r="M130" s="3965">
        <v>0</v>
      </c>
      <c r="N130" s="3965">
        <v>0</v>
      </c>
      <c r="O130" s="3967">
        <v>0</v>
      </c>
      <c r="P130" s="4445">
        <f t="shared" si="215"/>
        <v>0</v>
      </c>
      <c r="Q130" s="2070"/>
      <c r="R130" s="2007"/>
      <c r="S130" s="2007"/>
      <c r="T130" s="2007"/>
      <c r="U130" s="2007"/>
      <c r="V130" s="2071"/>
      <c r="W130" s="4488"/>
      <c r="X130" s="4504">
        <f t="shared" si="221"/>
        <v>0</v>
      </c>
      <c r="Y130" s="4504">
        <f t="shared" si="216"/>
        <v>0</v>
      </c>
      <c r="Z130" s="4504">
        <f t="shared" si="217"/>
        <v>0</v>
      </c>
      <c r="AA130" s="4504">
        <f t="shared" si="218"/>
        <v>0</v>
      </c>
      <c r="AB130" s="4504">
        <f t="shared" si="219"/>
        <v>0</v>
      </c>
      <c r="AC130" s="4504">
        <f t="shared" si="220"/>
        <v>0</v>
      </c>
      <c r="AD130" s="2059"/>
      <c r="AE130" s="2059"/>
      <c r="AF130" s="2059"/>
      <c r="AG130" s="2059"/>
      <c r="AH130" s="2059"/>
      <c r="AI130" s="2059"/>
    </row>
    <row r="131" spans="1:35" s="2047" customFormat="1" ht="13.2">
      <c r="A131" s="433" t="s">
        <v>1095</v>
      </c>
      <c r="B131" s="1481" t="s">
        <v>471</v>
      </c>
      <c r="C131" s="316" t="s">
        <v>313</v>
      </c>
      <c r="D131" s="2070"/>
      <c r="E131" s="2007"/>
      <c r="F131" s="2007"/>
      <c r="G131" s="2007"/>
      <c r="H131" s="2007"/>
      <c r="I131" s="2071"/>
      <c r="J131" s="419">
        <v>3.4870519073188557</v>
      </c>
      <c r="K131" s="3965">
        <v>2.9002715585240821</v>
      </c>
      <c r="L131" s="3965">
        <v>3.1496783604116771</v>
      </c>
      <c r="M131" s="3965">
        <v>3.4297196593291162</v>
      </c>
      <c r="N131" s="3965">
        <v>3.7481116372005516</v>
      </c>
      <c r="O131" s="3967">
        <v>4.1107897275764316</v>
      </c>
      <c r="P131" s="4445">
        <f t="shared" si="215"/>
        <v>-0.16827405051332905</v>
      </c>
      <c r="Q131" s="2070"/>
      <c r="R131" s="2007"/>
      <c r="S131" s="2007"/>
      <c r="T131" s="2007"/>
      <c r="U131" s="2007"/>
      <c r="V131" s="2071"/>
      <c r="W131" s="4488"/>
      <c r="X131" s="4504">
        <f t="shared" si="221"/>
        <v>1.7829013295219196</v>
      </c>
      <c r="Y131" s="4504">
        <f t="shared" si="216"/>
        <v>1.4828853011376664</v>
      </c>
      <c r="Z131" s="4504">
        <f t="shared" si="217"/>
        <v>1.6104049740579074</v>
      </c>
      <c r="AA131" s="4504">
        <f t="shared" si="218"/>
        <v>1.7535878165940375</v>
      </c>
      <c r="AB131" s="4504">
        <f t="shared" si="219"/>
        <v>1.9163790499177085</v>
      </c>
      <c r="AC131" s="4504">
        <f t="shared" si="220"/>
        <v>2.1018134130146442</v>
      </c>
      <c r="AD131" s="2059"/>
      <c r="AE131" s="2059"/>
      <c r="AF131" s="2059"/>
      <c r="AG131" s="2059"/>
      <c r="AH131" s="2059"/>
      <c r="AI131" s="2059"/>
    </row>
    <row r="132" spans="1:35" s="2047" customFormat="1" ht="13.2">
      <c r="A132" s="433" t="s">
        <v>1096</v>
      </c>
      <c r="B132" s="1481" t="s">
        <v>1366</v>
      </c>
      <c r="C132" s="316" t="s">
        <v>313</v>
      </c>
      <c r="D132" s="2070"/>
      <c r="E132" s="2007"/>
      <c r="F132" s="2007"/>
      <c r="G132" s="2007"/>
      <c r="H132" s="2007"/>
      <c r="I132" s="2071"/>
      <c r="J132" s="419">
        <v>6.8205848663817505</v>
      </c>
      <c r="K132" s="3965">
        <v>16.027111960297077</v>
      </c>
      <c r="L132" s="3965">
        <v>18.574962915454137</v>
      </c>
      <c r="M132" s="3965">
        <v>20.879666496120734</v>
      </c>
      <c r="N132" s="3965">
        <v>23.542490113827824</v>
      </c>
      <c r="O132" s="3967">
        <v>26.626632715305945</v>
      </c>
      <c r="P132" s="4445">
        <f t="shared" si="215"/>
        <v>1.3498149021345283</v>
      </c>
      <c r="Q132" s="2070"/>
      <c r="R132" s="2007"/>
      <c r="S132" s="2007"/>
      <c r="T132" s="2007"/>
      <c r="U132" s="2007"/>
      <c r="V132" s="2071"/>
      <c r="W132" s="4488"/>
      <c r="X132" s="4504">
        <f t="shared" si="221"/>
        <v>3.4873096671907837</v>
      </c>
      <c r="Y132" s="4504">
        <f t="shared" si="216"/>
        <v>8.194532224322705</v>
      </c>
      <c r="Z132" s="4504">
        <f t="shared" si="217"/>
        <v>9.49722773219254</v>
      </c>
      <c r="AA132" s="4504">
        <f t="shared" si="218"/>
        <v>10.675603961551227</v>
      </c>
      <c r="AB132" s="4504">
        <f t="shared" si="219"/>
        <v>12.037084058342405</v>
      </c>
      <c r="AC132" s="4504">
        <f t="shared" si="220"/>
        <v>13.613981130929552</v>
      </c>
      <c r="AD132" s="2059"/>
      <c r="AE132" s="2059"/>
      <c r="AF132" s="2059"/>
      <c r="AG132" s="2059"/>
      <c r="AH132" s="2059"/>
      <c r="AI132" s="2059"/>
    </row>
    <row r="133" spans="1:35" s="2047" customFormat="1" ht="24">
      <c r="A133" s="433" t="s">
        <v>1097</v>
      </c>
      <c r="B133" s="1481" t="s">
        <v>1367</v>
      </c>
      <c r="C133" s="316" t="s">
        <v>313</v>
      </c>
      <c r="D133" s="2070"/>
      <c r="E133" s="2007"/>
      <c r="F133" s="2007"/>
      <c r="G133" s="2007"/>
      <c r="H133" s="2007"/>
      <c r="I133" s="2071"/>
      <c r="J133" s="419">
        <v>1.4261817577377336</v>
      </c>
      <c r="K133" s="3965">
        <v>2.2067768939065608</v>
      </c>
      <c r="L133" s="3965">
        <v>2.226324747409322</v>
      </c>
      <c r="M133" s="3965">
        <v>2.7055623335943437</v>
      </c>
      <c r="N133" s="3965">
        <v>2.7577208900962091</v>
      </c>
      <c r="O133" s="3967">
        <v>3.3480999373529059</v>
      </c>
      <c r="P133" s="4445">
        <f t="shared" si="215"/>
        <v>0.54733215590068851</v>
      </c>
      <c r="Q133" s="2070"/>
      <c r="R133" s="2007"/>
      <c r="S133" s="2007"/>
      <c r="T133" s="2007"/>
      <c r="U133" s="2007"/>
      <c r="V133" s="2071"/>
      <c r="W133" s="4488"/>
      <c r="X133" s="4504">
        <f t="shared" si="221"/>
        <v>0.72919515384145539</v>
      </c>
      <c r="Y133" s="4504">
        <f t="shared" si="216"/>
        <v>1.1283071094658335</v>
      </c>
      <c r="Z133" s="4504">
        <f t="shared" si="217"/>
        <v>1.1383017682566081</v>
      </c>
      <c r="AA133" s="4504">
        <f t="shared" si="218"/>
        <v>1.3833320552370829</v>
      </c>
      <c r="AB133" s="4504">
        <f t="shared" si="219"/>
        <v>1.4100003017114009</v>
      </c>
      <c r="AC133" s="4504">
        <f t="shared" si="220"/>
        <v>1.7118563154021085</v>
      </c>
      <c r="AD133" s="2059"/>
      <c r="AE133" s="2059"/>
      <c r="AF133" s="2059"/>
      <c r="AG133" s="2059"/>
      <c r="AH133" s="2059"/>
      <c r="AI133" s="2059"/>
    </row>
    <row r="134" spans="1:35" s="2047" customFormat="1" ht="24">
      <c r="A134" s="433" t="s">
        <v>1098</v>
      </c>
      <c r="B134" s="1481" t="s">
        <v>1368</v>
      </c>
      <c r="C134" s="316" t="s">
        <v>313</v>
      </c>
      <c r="D134" s="2070"/>
      <c r="E134" s="2007"/>
      <c r="F134" s="2007"/>
      <c r="G134" s="2007"/>
      <c r="H134" s="2007"/>
      <c r="I134" s="2071"/>
      <c r="J134" s="419">
        <v>11.196101784924338</v>
      </c>
      <c r="K134" s="3965">
        <v>20.092823507479782</v>
      </c>
      <c r="L134" s="3965">
        <v>22.316331994452625</v>
      </c>
      <c r="M134" s="3965">
        <v>24.987948549164145</v>
      </c>
      <c r="N134" s="3965">
        <v>27.837693546705651</v>
      </c>
      <c r="O134" s="3967">
        <v>31.296931184388733</v>
      </c>
      <c r="P134" s="4445">
        <f t="shared" si="215"/>
        <v>0.79462672753966634</v>
      </c>
      <c r="Q134" s="2070"/>
      <c r="R134" s="2007"/>
      <c r="S134" s="2007"/>
      <c r="T134" s="2007"/>
      <c r="U134" s="2007"/>
      <c r="V134" s="2071"/>
      <c r="W134" s="4488"/>
      <c r="X134" s="4504">
        <f t="shared" si="221"/>
        <v>5.7244759436783044</v>
      </c>
      <c r="Y134" s="4504">
        <f t="shared" si="216"/>
        <v>10.273297529682939</v>
      </c>
      <c r="Z134" s="4504">
        <f t="shared" si="217"/>
        <v>11.410159366843041</v>
      </c>
      <c r="AA134" s="4504">
        <f t="shared" si="218"/>
        <v>12.776135220936455</v>
      </c>
      <c r="AB134" s="4504">
        <f t="shared" si="219"/>
        <v>14.233186701658964</v>
      </c>
      <c r="AC134" s="4504">
        <f t="shared" si="220"/>
        <v>16.001866820934708</v>
      </c>
      <c r="AD134" s="2059"/>
      <c r="AE134" s="2059"/>
      <c r="AF134" s="2059"/>
      <c r="AG134" s="2059"/>
      <c r="AH134" s="2059"/>
      <c r="AI134" s="2059"/>
    </row>
    <row r="135" spans="1:35" s="2047" customFormat="1" ht="13.2">
      <c r="A135" s="433" t="s">
        <v>1099</v>
      </c>
      <c r="B135" s="1481" t="s">
        <v>1369</v>
      </c>
      <c r="C135" s="316" t="s">
        <v>313</v>
      </c>
      <c r="D135" s="2070"/>
      <c r="E135" s="2007"/>
      <c r="F135" s="2007"/>
      <c r="G135" s="2007"/>
      <c r="H135" s="2007"/>
      <c r="I135" s="2071"/>
      <c r="J135" s="419">
        <v>0.11466603536986281</v>
      </c>
      <c r="K135" s="3965">
        <v>0.50876888120349761</v>
      </c>
      <c r="L135" s="3965">
        <v>0</v>
      </c>
      <c r="M135" s="3965">
        <v>0.62669268616838458</v>
      </c>
      <c r="N135" s="3965">
        <v>0</v>
      </c>
      <c r="O135" s="3967">
        <v>1.0521772336729942</v>
      </c>
      <c r="P135" s="4445">
        <f t="shared" si="215"/>
        <v>3.4369623451480664</v>
      </c>
      <c r="Q135" s="2070"/>
      <c r="R135" s="2007"/>
      <c r="S135" s="2007"/>
      <c r="T135" s="2007"/>
      <c r="U135" s="2007"/>
      <c r="V135" s="2071"/>
      <c r="W135" s="4488"/>
      <c r="X135" s="4504">
        <f t="shared" si="221"/>
        <v>5.8627812933569279E-2</v>
      </c>
      <c r="Y135" s="4504">
        <f t="shared" si="216"/>
        <v>0.26012939836463173</v>
      </c>
      <c r="Z135" s="4504">
        <f t="shared" si="217"/>
        <v>0</v>
      </c>
      <c r="AA135" s="4504">
        <f t="shared" si="218"/>
        <v>0.32042288244294476</v>
      </c>
      <c r="AB135" s="4504">
        <f t="shared" si="219"/>
        <v>0</v>
      </c>
      <c r="AC135" s="4504">
        <f t="shared" si="220"/>
        <v>0.53796967715649835</v>
      </c>
      <c r="AD135" s="2059"/>
      <c r="AE135" s="2059"/>
      <c r="AF135" s="2059"/>
      <c r="AG135" s="2059"/>
      <c r="AH135" s="2059"/>
      <c r="AI135" s="2059"/>
    </row>
    <row r="136" spans="1:35" s="2047" customFormat="1" ht="24">
      <c r="A136" s="433" t="s">
        <v>1100</v>
      </c>
      <c r="B136" s="1481" t="s">
        <v>1370</v>
      </c>
      <c r="C136" s="316" t="s">
        <v>313</v>
      </c>
      <c r="D136" s="2070"/>
      <c r="E136" s="2007"/>
      <c r="F136" s="2007"/>
      <c r="G136" s="2007"/>
      <c r="H136" s="2007"/>
      <c r="I136" s="2071"/>
      <c r="J136" s="419">
        <v>0</v>
      </c>
      <c r="K136" s="3965">
        <v>0.32478746278318837</v>
      </c>
      <c r="L136" s="3965">
        <v>0.36245540302221357</v>
      </c>
      <c r="M136" s="3965">
        <v>0.40478966422214313</v>
      </c>
      <c r="N136" s="3965">
        <v>0.45297026436069032</v>
      </c>
      <c r="O136" s="3967">
        <v>0.50790979478772869</v>
      </c>
      <c r="P136" s="4445">
        <f t="shared" si="215"/>
        <v>0</v>
      </c>
      <c r="Q136" s="2070"/>
      <c r="R136" s="2007"/>
      <c r="S136" s="2007"/>
      <c r="T136" s="2007"/>
      <c r="U136" s="2007"/>
      <c r="V136" s="2071"/>
      <c r="W136" s="4488"/>
      <c r="X136" s="4504">
        <f t="shared" si="221"/>
        <v>0</v>
      </c>
      <c r="Y136" s="4504">
        <f t="shared" si="216"/>
        <v>0.16606119283536319</v>
      </c>
      <c r="Z136" s="4504">
        <f t="shared" si="217"/>
        <v>0.1853205048609611</v>
      </c>
      <c r="AA136" s="4504">
        <f t="shared" si="218"/>
        <v>0.20696566890892518</v>
      </c>
      <c r="AB136" s="4504">
        <f t="shared" si="219"/>
        <v>0.23160001859092577</v>
      </c>
      <c r="AC136" s="4504">
        <f t="shared" si="220"/>
        <v>0.2596901544550031</v>
      </c>
      <c r="AD136" s="2059"/>
      <c r="AE136" s="2059"/>
      <c r="AF136" s="2059"/>
      <c r="AG136" s="2059"/>
      <c r="AH136" s="2059"/>
      <c r="AI136" s="2059"/>
    </row>
    <row r="137" spans="1:35" s="2047" customFormat="1" ht="15" customHeight="1">
      <c r="A137" s="433" t="s">
        <v>1101</v>
      </c>
      <c r="B137" s="1482" t="s">
        <v>1768</v>
      </c>
      <c r="C137" s="316" t="s">
        <v>313</v>
      </c>
      <c r="D137" s="2070"/>
      <c r="E137" s="2007"/>
      <c r="F137" s="2007"/>
      <c r="G137" s="2007"/>
      <c r="H137" s="2007"/>
      <c r="I137" s="2071"/>
      <c r="J137" s="419">
        <v>10.935867227457221</v>
      </c>
      <c r="K137" s="3965">
        <v>14.388094572337941</v>
      </c>
      <c r="L137" s="3965">
        <v>15.857141903412</v>
      </c>
      <c r="M137" s="3965">
        <v>17.506451994020509</v>
      </c>
      <c r="N137" s="3965">
        <v>19.380714829743418</v>
      </c>
      <c r="O137" s="3967">
        <v>21.515206836026195</v>
      </c>
      <c r="P137" s="4445">
        <f t="shared" si="215"/>
        <v>0.31567933965154976</v>
      </c>
      <c r="Q137" s="2070"/>
      <c r="R137" s="2007"/>
      <c r="S137" s="2007"/>
      <c r="T137" s="2007"/>
      <c r="U137" s="2007"/>
      <c r="V137" s="2071"/>
      <c r="W137" s="4488"/>
      <c r="X137" s="4504">
        <f t="shared" si="221"/>
        <v>5.5914201272386768</v>
      </c>
      <c r="Y137" s="4504">
        <f t="shared" si="216"/>
        <v>7.3565159407197669</v>
      </c>
      <c r="Z137" s="4504">
        <f t="shared" si="217"/>
        <v>8.1076279141909069</v>
      </c>
      <c r="AA137" s="4504">
        <f t="shared" si="218"/>
        <v>8.9509067730940366</v>
      </c>
      <c r="AB137" s="4504">
        <f t="shared" si="219"/>
        <v>9.9092021442269616</v>
      </c>
      <c r="AC137" s="4504">
        <f t="shared" si="220"/>
        <v>11.000550577517574</v>
      </c>
      <c r="AD137" s="2059"/>
      <c r="AE137" s="2059"/>
      <c r="AF137" s="2059"/>
      <c r="AG137" s="2059"/>
      <c r="AH137" s="2059"/>
      <c r="AI137" s="2059"/>
    </row>
    <row r="138" spans="1:35" s="2047" customFormat="1" ht="15" customHeight="1">
      <c r="A138" s="436" t="s">
        <v>1102</v>
      </c>
      <c r="B138" s="1482" t="s">
        <v>915</v>
      </c>
      <c r="C138" s="316" t="s">
        <v>313</v>
      </c>
      <c r="D138" s="2070"/>
      <c r="E138" s="2007"/>
      <c r="F138" s="2007"/>
      <c r="G138" s="2007"/>
      <c r="H138" s="2007"/>
      <c r="I138" s="2071"/>
      <c r="J138" s="419">
        <v>0.50293780175957115</v>
      </c>
      <c r="K138" s="3965">
        <v>0.30127482225774571</v>
      </c>
      <c r="L138" s="3965">
        <v>0.32794197448961881</v>
      </c>
      <c r="M138" s="3965">
        <v>0.35790099493409855</v>
      </c>
      <c r="N138" s="3965">
        <v>0.39198427702935845</v>
      </c>
      <c r="O138" s="3967">
        <v>0.43083554391952106</v>
      </c>
      <c r="P138" s="4445">
        <f t="shared" si="215"/>
        <v>-0.4009700181539152</v>
      </c>
      <c r="Q138" s="2070"/>
      <c r="R138" s="2007"/>
      <c r="S138" s="2007"/>
      <c r="T138" s="2007"/>
      <c r="U138" s="2007"/>
      <c r="V138" s="2071"/>
      <c r="W138" s="4488"/>
      <c r="X138" s="4504">
        <f t="shared" si="221"/>
        <v>0.25714801478634192</v>
      </c>
      <c r="Y138" s="4504">
        <f t="shared" si="216"/>
        <v>0.15403937062921916</v>
      </c>
      <c r="Z138" s="4504">
        <f t="shared" si="217"/>
        <v>0.16767406905999949</v>
      </c>
      <c r="AA138" s="4504">
        <f t="shared" si="218"/>
        <v>0.18299187298185352</v>
      </c>
      <c r="AB138" s="4504">
        <f t="shared" si="219"/>
        <v>0.20041837840168034</v>
      </c>
      <c r="AC138" s="4504">
        <f t="shared" si="220"/>
        <v>0.22028271573680794</v>
      </c>
      <c r="AD138" s="2059"/>
      <c r="AE138" s="2059"/>
      <c r="AF138" s="2059"/>
      <c r="AG138" s="2059"/>
      <c r="AH138" s="2059"/>
      <c r="AI138" s="2059"/>
    </row>
    <row r="139" spans="1:35" s="2047" customFormat="1" ht="24">
      <c r="A139" s="436" t="s">
        <v>1103</v>
      </c>
      <c r="B139" s="2062" t="s">
        <v>1371</v>
      </c>
      <c r="C139" s="316" t="s">
        <v>313</v>
      </c>
      <c r="D139" s="2070"/>
      <c r="E139" s="2007"/>
      <c r="F139" s="2007"/>
      <c r="G139" s="2007"/>
      <c r="H139" s="2007"/>
      <c r="I139" s="2071"/>
      <c r="J139" s="419">
        <v>0.3609586615209448</v>
      </c>
      <c r="K139" s="3965">
        <v>2.2544219648499535</v>
      </c>
      <c r="L139" s="3965">
        <v>2.437161603351278</v>
      </c>
      <c r="M139" s="3965">
        <v>2.6425246742467081</v>
      </c>
      <c r="N139" s="3965">
        <v>2.8753017563620347</v>
      </c>
      <c r="O139" s="3967">
        <v>3.1403301068091594</v>
      </c>
      <c r="P139" s="4445">
        <f t="shared" si="215"/>
        <v>5.2456513866453918</v>
      </c>
      <c r="Q139" s="2070"/>
      <c r="R139" s="2007"/>
      <c r="S139" s="2007"/>
      <c r="T139" s="2007"/>
      <c r="U139" s="2007"/>
      <c r="V139" s="2071"/>
      <c r="W139" s="4488"/>
      <c r="X139" s="4504">
        <f t="shared" si="221"/>
        <v>0.18455523308311295</v>
      </c>
      <c r="Y139" s="4504">
        <f t="shared" si="216"/>
        <v>1.1526676474182078</v>
      </c>
      <c r="Z139" s="4504">
        <f t="shared" si="217"/>
        <v>1.246100940956667</v>
      </c>
      <c r="AA139" s="4504">
        <f t="shared" si="218"/>
        <v>1.3511014118030238</v>
      </c>
      <c r="AB139" s="4504">
        <f t="shared" si="219"/>
        <v>1.4701184440171358</v>
      </c>
      <c r="AC139" s="4504">
        <f t="shared" si="220"/>
        <v>1.6056252878875767</v>
      </c>
      <c r="AD139" s="2059"/>
      <c r="AE139" s="2059"/>
      <c r="AF139" s="2059"/>
      <c r="AG139" s="2059"/>
      <c r="AH139" s="2059"/>
      <c r="AI139" s="2059"/>
    </row>
    <row r="140" spans="1:35" s="2047" customFormat="1" ht="24.6" thickBot="1">
      <c r="A140" s="436" t="s">
        <v>1767</v>
      </c>
      <c r="B140" s="1490" t="s">
        <v>1344</v>
      </c>
      <c r="C140" s="316" t="s">
        <v>313</v>
      </c>
      <c r="D140" s="2072"/>
      <c r="E140" s="2073"/>
      <c r="F140" s="2073"/>
      <c r="G140" s="2073"/>
      <c r="H140" s="2073"/>
      <c r="I140" s="2074"/>
      <c r="J140" s="437">
        <v>21.429650072156903</v>
      </c>
      <c r="K140" s="1106">
        <v>30.369086809856753</v>
      </c>
      <c r="L140" s="1106">
        <v>34.018031345556693</v>
      </c>
      <c r="M140" s="1106">
        <v>38.120079620903454</v>
      </c>
      <c r="N140" s="1106">
        <v>42.789508515361689</v>
      </c>
      <c r="O140" s="1107">
        <v>48.114947858492258</v>
      </c>
      <c r="P140" s="4446">
        <f t="shared" si="215"/>
        <v>0.41715271633458323</v>
      </c>
      <c r="Q140" s="2063"/>
      <c r="R140" s="2064"/>
      <c r="S140" s="2064"/>
      <c r="T140" s="2064"/>
      <c r="U140" s="2064"/>
      <c r="V140" s="2065"/>
      <c r="W140" s="4488"/>
      <c r="X140" s="4504">
        <f t="shared" si="221"/>
        <v>10.956806098769782</v>
      </c>
      <c r="Y140" s="4504">
        <f t="shared" si="216"/>
        <v>15.527467525222926</v>
      </c>
      <c r="Z140" s="4504">
        <f t="shared" si="217"/>
        <v>17.393143241261608</v>
      </c>
      <c r="AA140" s="4504">
        <f t="shared" si="218"/>
        <v>19.490487220721359</v>
      </c>
      <c r="AB140" s="4504">
        <f t="shared" si="219"/>
        <v>21.877928304280889</v>
      </c>
      <c r="AC140" s="4504">
        <f t="shared" si="220"/>
        <v>24.600782204226469</v>
      </c>
      <c r="AD140" s="2059"/>
      <c r="AE140" s="2059"/>
      <c r="AF140" s="2059"/>
      <c r="AG140" s="2059"/>
      <c r="AH140" s="2059"/>
      <c r="AI140" s="2059"/>
    </row>
    <row r="141" spans="1:35" s="2047" customFormat="1" ht="21.6" customHeight="1" thickBot="1">
      <c r="A141" s="1350"/>
      <c r="B141" s="1483" t="s">
        <v>1104</v>
      </c>
      <c r="C141" s="1497"/>
      <c r="D141" s="3705"/>
      <c r="E141" s="3706"/>
      <c r="F141" s="3706"/>
      <c r="G141" s="3706"/>
      <c r="H141" s="3706"/>
      <c r="I141" s="3707"/>
      <c r="J141" s="320">
        <f t="shared" ref="J141:O141" si="222">SUM(J127:J140)</f>
        <v>126.2119099383835</v>
      </c>
      <c r="K141" s="321">
        <f t="shared" si="222"/>
        <v>226.89764276611163</v>
      </c>
      <c r="L141" s="321">
        <f t="shared" si="222"/>
        <v>256.23677285503823</v>
      </c>
      <c r="M141" s="321">
        <f t="shared" si="222"/>
        <v>290.64719588313756</v>
      </c>
      <c r="N141" s="321">
        <f t="shared" si="222"/>
        <v>328.24848170999246</v>
      </c>
      <c r="O141" s="955">
        <f t="shared" si="222"/>
        <v>374.78378030611253</v>
      </c>
      <c r="P141" s="4264">
        <f t="shared" si="215"/>
        <v>0.79775143943929527</v>
      </c>
      <c r="Q141" s="3676"/>
      <c r="R141" s="3677"/>
      <c r="S141" s="3677"/>
      <c r="T141" s="3677"/>
      <c r="U141" s="3677"/>
      <c r="V141" s="3678"/>
      <c r="W141" s="4488"/>
      <c r="X141" s="4504">
        <f t="shared" si="221"/>
        <v>64.5311248617638</v>
      </c>
      <c r="Y141" s="4504">
        <f t="shared" si="216"/>
        <v>116.01092260887278</v>
      </c>
      <c r="Z141" s="4504">
        <f t="shared" si="217"/>
        <v>131.01178162470063</v>
      </c>
      <c r="AA141" s="4504">
        <f t="shared" si="218"/>
        <v>148.60555154749522</v>
      </c>
      <c r="AB141" s="4504">
        <f t="shared" si="219"/>
        <v>167.83078371330456</v>
      </c>
      <c r="AC141" s="4504">
        <f t="shared" si="220"/>
        <v>191.62390407454254</v>
      </c>
      <c r="AD141" s="2059"/>
      <c r="AE141" s="2059"/>
      <c r="AF141" s="2059"/>
      <c r="AG141" s="2059"/>
      <c r="AH141" s="2059"/>
      <c r="AI141" s="2059"/>
    </row>
    <row r="142" spans="1:35" s="2047" customFormat="1" ht="13.5" customHeight="1" thickBot="1">
      <c r="A142" s="3653"/>
      <c r="B142" s="3654" t="s">
        <v>1427</v>
      </c>
      <c r="C142" s="3701" t="s">
        <v>170</v>
      </c>
      <c r="D142" s="3655"/>
      <c r="E142" s="3656">
        <f>IFERROR((E141-D141)/D141,0)</f>
        <v>0</v>
      </c>
      <c r="F142" s="3656">
        <f>IFERROR((F141-E141)/E141,0)</f>
        <v>0</v>
      </c>
      <c r="G142" s="3656">
        <f>IFERROR((G141-F141)/F141,0)</f>
        <v>0</v>
      </c>
      <c r="H142" s="3656">
        <f>IFERROR((H141-G141)/G141,0)</f>
        <v>0</v>
      </c>
      <c r="I142" s="3657">
        <f>IFERROR((I141-H141)/H141,0)</f>
        <v>0</v>
      </c>
      <c r="J142" s="3658"/>
      <c r="K142" s="3656">
        <f>IFERROR((K141-J141)/J141,0)</f>
        <v>0.79775143943929527</v>
      </c>
      <c r="L142" s="3656">
        <f>IFERROR((L141-K141)/K141,0)</f>
        <v>0.12930557466905757</v>
      </c>
      <c r="M142" s="3656">
        <f>IFERROR((M141-L141)/L141,0)</f>
        <v>0.13429150954678337</v>
      </c>
      <c r="N142" s="3656">
        <f>IFERROR((N141-M141)/M141,0)</f>
        <v>0.12937088800255794</v>
      </c>
      <c r="O142" s="3656">
        <f>IFERROR((O141-N141)/N141,0)</f>
        <v>0.14176851132318111</v>
      </c>
      <c r="P142" s="4091"/>
      <c r="Q142" s="3659"/>
      <c r="R142" s="3660"/>
      <c r="S142" s="3660"/>
      <c r="T142" s="3660"/>
      <c r="U142" s="3660"/>
      <c r="V142" s="3661"/>
      <c r="W142" s="4488"/>
      <c r="X142" s="2059"/>
      <c r="Y142" s="2059"/>
      <c r="Z142" s="2059"/>
      <c r="AA142" s="2059"/>
      <c r="AB142" s="2059"/>
      <c r="AC142" s="2059"/>
      <c r="AD142" s="2015"/>
      <c r="AE142" s="2015"/>
      <c r="AF142" s="2015"/>
      <c r="AG142" s="2015"/>
      <c r="AH142" s="2015"/>
      <c r="AI142" s="2015"/>
    </row>
    <row r="143" spans="1:35" s="2047" customFormat="1" ht="13.5" customHeight="1" thickBot="1">
      <c r="A143" s="1350"/>
      <c r="B143" s="1492" t="s">
        <v>1105</v>
      </c>
      <c r="C143" s="430"/>
      <c r="D143" s="430"/>
      <c r="E143" s="430"/>
      <c r="F143" s="430"/>
      <c r="G143" s="430"/>
      <c r="H143" s="430"/>
      <c r="I143" s="430"/>
      <c r="J143" s="430"/>
      <c r="K143" s="430"/>
      <c r="L143" s="430"/>
      <c r="M143" s="430"/>
      <c r="N143" s="430"/>
      <c r="O143" s="430"/>
      <c r="P143" s="430"/>
      <c r="Q143" s="430"/>
      <c r="R143" s="430"/>
      <c r="S143" s="430"/>
      <c r="T143" s="430"/>
      <c r="U143" s="430"/>
      <c r="V143" s="431"/>
      <c r="W143" s="4488"/>
      <c r="X143" s="2059"/>
      <c r="Y143" s="2059"/>
      <c r="Z143" s="2059"/>
      <c r="AA143" s="2059"/>
      <c r="AB143" s="2059"/>
      <c r="AC143" s="2059"/>
      <c r="AD143" s="2020"/>
      <c r="AE143" s="2020"/>
      <c r="AF143" s="2020"/>
      <c r="AG143" s="2020"/>
      <c r="AH143" s="2020"/>
      <c r="AI143" s="2020"/>
    </row>
    <row r="144" spans="1:35" s="2047" customFormat="1" ht="13.2">
      <c r="A144" s="1351"/>
      <c r="B144" s="3690" t="s">
        <v>1068</v>
      </c>
      <c r="C144" s="1486"/>
      <c r="D144" s="3665"/>
      <c r="E144" s="2068"/>
      <c r="F144" s="2068"/>
      <c r="G144" s="2068"/>
      <c r="H144" s="2068"/>
      <c r="I144" s="3682"/>
      <c r="J144" s="441">
        <v>10.22120654549556</v>
      </c>
      <c r="K144" s="442">
        <v>16.228052585141455</v>
      </c>
      <c r="L144" s="442">
        <v>16.752481289019244</v>
      </c>
      <c r="M144" s="442">
        <v>17.369834286662041</v>
      </c>
      <c r="N144" s="442">
        <v>17.900843632790952</v>
      </c>
      <c r="O144" s="443">
        <v>18.529824229286703</v>
      </c>
      <c r="P144" s="4447">
        <f>IFERROR((K144-J144)/J144,0)</f>
        <v>0.58768463516600056</v>
      </c>
      <c r="Q144" s="2067"/>
      <c r="R144" s="2068"/>
      <c r="S144" s="2068"/>
      <c r="T144" s="2068"/>
      <c r="U144" s="2068"/>
      <c r="V144" s="2069"/>
      <c r="W144" s="4488"/>
      <c r="X144" s="4504">
        <f t="shared" ref="X144" si="223">IFERROR(J144/$C$1,0)</f>
        <v>5.2260199227415267</v>
      </c>
      <c r="Y144" s="4504">
        <f t="shared" ref="Y144" si="224">IFERROR(K144/$C$1,0)</f>
        <v>8.2972715344081305</v>
      </c>
      <c r="Z144" s="4504">
        <f t="shared" ref="Z144" si="225">IFERROR(L144/$C$1,0)</f>
        <v>8.5654076729671011</v>
      </c>
      <c r="AA144" s="4504">
        <f t="shared" ref="AA144" si="226">IFERROR(M144/$C$1,0)</f>
        <v>8.8810552484940111</v>
      </c>
      <c r="AB144" s="4504">
        <f t="shared" ref="AB144" si="227">IFERROR(N144/$C$1,0)</f>
        <v>9.1525560160090365</v>
      </c>
      <c r="AC144" s="4504">
        <f t="shared" ref="AC144" si="228">IFERROR(O144/$C$1,0)</f>
        <v>9.4741486884272685</v>
      </c>
      <c r="AD144" s="2059"/>
      <c r="AE144" s="2059"/>
      <c r="AF144" s="2059"/>
      <c r="AG144" s="2059"/>
      <c r="AH144" s="2059"/>
      <c r="AI144" s="2059"/>
    </row>
    <row r="145" spans="1:35" s="2047" customFormat="1" ht="13.2">
      <c r="A145" s="3689"/>
      <c r="B145" s="3666" t="s">
        <v>1427</v>
      </c>
      <c r="C145" s="3696" t="s">
        <v>170</v>
      </c>
      <c r="D145" s="3079"/>
      <c r="E145" s="2007"/>
      <c r="F145" s="2007"/>
      <c r="G145" s="2007"/>
      <c r="H145" s="2007"/>
      <c r="I145" s="3098"/>
      <c r="J145" s="3968"/>
      <c r="K145" s="3667">
        <f>IFERROR((K144-J144)/J144,0)</f>
        <v>0.58768463516600056</v>
      </c>
      <c r="L145" s="3667">
        <f>IFERROR((L144-K144)/K144,0)</f>
        <v>3.2316182186762188E-2</v>
      </c>
      <c r="M145" s="3667">
        <f>IFERROR((M144-L144)/L144,0)</f>
        <v>3.6851436333043622E-2</v>
      </c>
      <c r="N145" s="3667">
        <f>IFERROR((N144-M144)/M144,0)</f>
        <v>3.0570777899514168E-2</v>
      </c>
      <c r="O145" s="3668">
        <f>IFERROR((O144-N144)/N144,0)</f>
        <v>3.5136924795185501E-2</v>
      </c>
      <c r="P145" s="4265"/>
      <c r="Q145" s="2070"/>
      <c r="R145" s="2007"/>
      <c r="S145" s="2007"/>
      <c r="T145" s="2007"/>
      <c r="U145" s="2007"/>
      <c r="V145" s="2071"/>
      <c r="W145" s="4488"/>
      <c r="X145" s="2059"/>
      <c r="Y145" s="2059"/>
      <c r="Z145" s="2059"/>
      <c r="AA145" s="2059"/>
      <c r="AB145" s="2059"/>
      <c r="AC145" s="2059"/>
      <c r="AD145" s="2059"/>
      <c r="AE145" s="2059"/>
      <c r="AF145" s="2059"/>
      <c r="AG145" s="2059"/>
      <c r="AH145" s="2059"/>
      <c r="AI145" s="2059"/>
    </row>
    <row r="146" spans="1:35" s="2047" customFormat="1" ht="13.2">
      <c r="A146" s="1352"/>
      <c r="B146" s="3691" t="s">
        <v>642</v>
      </c>
      <c r="C146" s="1488"/>
      <c r="D146" s="3079"/>
      <c r="E146" s="2007"/>
      <c r="F146" s="2007"/>
      <c r="G146" s="2007"/>
      <c r="H146" s="2007"/>
      <c r="I146" s="3098"/>
      <c r="J146" s="444">
        <v>27.90869178882723</v>
      </c>
      <c r="K146" s="426">
        <v>43.142895434953971</v>
      </c>
      <c r="L146" s="426">
        <v>44.861783129870048</v>
      </c>
      <c r="M146" s="426">
        <v>46.763480745930963</v>
      </c>
      <c r="N146" s="426">
        <v>48.229895896534799</v>
      </c>
      <c r="O146" s="427">
        <v>50.280383372096708</v>
      </c>
      <c r="P146" s="4448">
        <f>IFERROR((K146-J146)/J146,0)</f>
        <v>0.54585875115169302</v>
      </c>
      <c r="Q146" s="2070"/>
      <c r="R146" s="2007"/>
      <c r="S146" s="2007"/>
      <c r="T146" s="2007"/>
      <c r="U146" s="2007"/>
      <c r="V146" s="2071"/>
      <c r="W146" s="4488"/>
      <c r="X146" s="4504">
        <f t="shared" ref="X146" si="229">IFERROR(J146/$C$1,0)</f>
        <v>14.269487526434931</v>
      </c>
      <c r="Y146" s="4504">
        <f t="shared" ref="Y146" si="230">IFERROR(K146/$C$1,0)</f>
        <v>22.058612167189363</v>
      </c>
      <c r="Z146" s="4504">
        <f t="shared" ref="Z146" si="231">IFERROR(L146/$C$1,0)</f>
        <v>22.937465490288037</v>
      </c>
      <c r="AA146" s="4504">
        <f t="shared" ref="AA146" si="232">IFERROR(M146/$C$1,0)</f>
        <v>23.909788041870186</v>
      </c>
      <c r="AB146" s="4504">
        <f t="shared" ref="AB146" si="233">IFERROR(N146/$C$1,0)</f>
        <v>24.659554202837057</v>
      </c>
      <c r="AC146" s="4504">
        <f t="shared" ref="AC146" si="234">IFERROR(O146/$C$1,0)</f>
        <v>25.70795180158639</v>
      </c>
      <c r="AD146" s="2059"/>
      <c r="AE146" s="2059"/>
      <c r="AF146" s="2059"/>
      <c r="AG146" s="2059"/>
      <c r="AH146" s="2059"/>
      <c r="AI146" s="2059"/>
    </row>
    <row r="147" spans="1:35" s="2047" customFormat="1" ht="13.2">
      <c r="A147" s="1352"/>
      <c r="B147" s="3666" t="s">
        <v>1430</v>
      </c>
      <c r="C147" s="3696" t="s">
        <v>170</v>
      </c>
      <c r="D147" s="3079"/>
      <c r="E147" s="2007"/>
      <c r="F147" s="2007"/>
      <c r="G147" s="2007"/>
      <c r="H147" s="2007"/>
      <c r="I147" s="3098"/>
      <c r="J147" s="3671"/>
      <c r="K147" s="3667">
        <f>IFERROR((K146-J146)/J146,0)</f>
        <v>0.54585875115169302</v>
      </c>
      <c r="L147" s="3667">
        <f>IFERROR((L146-K146)/K146,0)</f>
        <v>3.9841732400821908E-2</v>
      </c>
      <c r="M147" s="3667">
        <f>IFERROR((M146-L146)/L146,0)</f>
        <v>4.239014776910905E-2</v>
      </c>
      <c r="N147" s="3667">
        <f>IFERROR((N146-M146)/M146,0)</f>
        <v>3.1358126623870573E-2</v>
      </c>
      <c r="O147" s="3668">
        <f>IFERROR((O146-N146)/N146,0)</f>
        <v>4.2514864223649113E-2</v>
      </c>
      <c r="P147" s="4265"/>
      <c r="Q147" s="2070"/>
      <c r="R147" s="2007"/>
      <c r="S147" s="2007"/>
      <c r="T147" s="2007"/>
      <c r="U147" s="2007"/>
      <c r="V147" s="2071"/>
      <c r="W147" s="4488"/>
      <c r="X147" s="2059"/>
      <c r="Y147" s="2059"/>
      <c r="Z147" s="2059"/>
      <c r="AA147" s="2059"/>
      <c r="AB147" s="2059"/>
      <c r="AC147" s="2059"/>
      <c r="AD147" s="2059"/>
      <c r="AE147" s="2059"/>
      <c r="AF147" s="2059"/>
      <c r="AG147" s="2059"/>
      <c r="AH147" s="2059"/>
      <c r="AI147" s="2059"/>
    </row>
    <row r="148" spans="1:35" s="2047" customFormat="1" ht="13.2">
      <c r="A148" s="1352"/>
      <c r="B148" s="3691" t="s">
        <v>641</v>
      </c>
      <c r="C148" s="1488"/>
      <c r="D148" s="3079"/>
      <c r="E148" s="2007"/>
      <c r="F148" s="2007"/>
      <c r="G148" s="2007"/>
      <c r="H148" s="2007"/>
      <c r="I148" s="3098"/>
      <c r="J148" s="444">
        <v>16.704404884033831</v>
      </c>
      <c r="K148" s="426">
        <v>26.873288321752057</v>
      </c>
      <c r="L148" s="426">
        <v>27.823600655981977</v>
      </c>
      <c r="M148" s="426">
        <v>28.747942830384517</v>
      </c>
      <c r="N148" s="426">
        <v>29.627570416422515</v>
      </c>
      <c r="O148" s="427">
        <v>30.566111079572892</v>
      </c>
      <c r="P148" s="4448">
        <f>IFERROR((K148-J148)/J148,0)</f>
        <v>0.60875460744116083</v>
      </c>
      <c r="Q148" s="2070"/>
      <c r="R148" s="2007"/>
      <c r="S148" s="2007"/>
      <c r="T148" s="2007"/>
      <c r="U148" s="2007"/>
      <c r="V148" s="2071"/>
      <c r="W148" s="4488"/>
      <c r="X148" s="4504">
        <f t="shared" ref="X148" si="235">IFERROR(J148/$C$1,0)</f>
        <v>8.5408265974209581</v>
      </c>
      <c r="Y148" s="4504">
        <f t="shared" ref="Y148" si="236">IFERROR(K148/$C$1,0)</f>
        <v>13.740094139956978</v>
      </c>
      <c r="Z148" s="4504">
        <f t="shared" ref="Z148" si="237">IFERROR(L148/$C$1,0)</f>
        <v>14.225981121049363</v>
      </c>
      <c r="AA148" s="4504">
        <f t="shared" ref="AA148" si="238">IFERROR(M148/$C$1,0)</f>
        <v>14.698589770268642</v>
      </c>
      <c r="AB148" s="4504">
        <f t="shared" ref="AB148" si="239">IFERROR(N148/$C$1,0)</f>
        <v>15.148336213486099</v>
      </c>
      <c r="AC148" s="4504">
        <f t="shared" ref="AC148" si="240">IFERROR(O148/$C$1,0)</f>
        <v>15.628204434727401</v>
      </c>
      <c r="AD148" s="2059"/>
      <c r="AE148" s="2059"/>
      <c r="AF148" s="2059"/>
      <c r="AG148" s="2059"/>
      <c r="AH148" s="2059"/>
      <c r="AI148" s="2059"/>
    </row>
    <row r="149" spans="1:35" s="2047" customFormat="1" ht="13.2">
      <c r="A149" s="1352"/>
      <c r="B149" s="3666" t="s">
        <v>1430</v>
      </c>
      <c r="C149" s="3696" t="s">
        <v>170</v>
      </c>
      <c r="D149" s="3079"/>
      <c r="E149" s="2007"/>
      <c r="F149" s="2007"/>
      <c r="G149" s="2007"/>
      <c r="H149" s="2007"/>
      <c r="I149" s="3098"/>
      <c r="J149" s="3671"/>
      <c r="K149" s="3667">
        <f>IFERROR((K148-J148)/J148,0)</f>
        <v>0.60875460744116083</v>
      </c>
      <c r="L149" s="3667">
        <f>IFERROR((L148-K148)/K148,0)</f>
        <v>3.5362711211664732E-2</v>
      </c>
      <c r="M149" s="3667">
        <f>IFERROR((M148-L148)/L148,0)</f>
        <v>3.3221515282343926E-2</v>
      </c>
      <c r="N149" s="3667">
        <f>IFERROR((N148-M148)/M148,0)</f>
        <v>3.0597931519061407E-2</v>
      </c>
      <c r="O149" s="3668">
        <f>IFERROR((O148-N148)/N148,0)</f>
        <v>3.167794894954145E-2</v>
      </c>
      <c r="P149" s="4265"/>
      <c r="Q149" s="2070"/>
      <c r="R149" s="2007"/>
      <c r="S149" s="2007"/>
      <c r="T149" s="2007"/>
      <c r="U149" s="2007"/>
      <c r="V149" s="2071"/>
      <c r="W149" s="4488"/>
      <c r="X149" s="2059"/>
      <c r="Y149" s="2059"/>
      <c r="Z149" s="2059"/>
      <c r="AA149" s="2059"/>
      <c r="AB149" s="2059"/>
      <c r="AC149" s="2059"/>
      <c r="AD149" s="2059"/>
      <c r="AE149" s="2059"/>
      <c r="AF149" s="2059"/>
      <c r="AG149" s="2059"/>
      <c r="AH149" s="2059"/>
      <c r="AI149" s="2059"/>
    </row>
    <row r="150" spans="1:35" s="2047" customFormat="1" ht="13.2">
      <c r="A150" s="1352"/>
      <c r="B150" s="3691" t="s">
        <v>640</v>
      </c>
      <c r="C150" s="1488"/>
      <c r="D150" s="3079"/>
      <c r="E150" s="2007"/>
      <c r="F150" s="2007"/>
      <c r="G150" s="2007"/>
      <c r="H150" s="2007"/>
      <c r="I150" s="3098"/>
      <c r="J150" s="444">
        <v>55.819605322999116</v>
      </c>
      <c r="K150" s="426">
        <v>109.94479746038633</v>
      </c>
      <c r="L150" s="426">
        <v>129.89496349177784</v>
      </c>
      <c r="M150" s="426">
        <v>154.2126766408087</v>
      </c>
      <c r="N150" s="426">
        <v>182.04367473655384</v>
      </c>
      <c r="O150" s="427">
        <v>217.04566741729809</v>
      </c>
      <c r="P150" s="4448">
        <f>IFERROR((K150-J150)/J150,0)</f>
        <v>0.9696448375833685</v>
      </c>
      <c r="Q150" s="2070"/>
      <c r="R150" s="2007"/>
      <c r="S150" s="2007"/>
      <c r="T150" s="2007"/>
      <c r="U150" s="2007"/>
      <c r="V150" s="2071"/>
      <c r="W150" s="4488"/>
      <c r="X150" s="4504">
        <f t="shared" ref="X150" si="241">IFERROR(J150/$C$1,0)</f>
        <v>28.540111013226671</v>
      </c>
      <c r="Y150" s="4504">
        <f t="shared" ref="Y150" si="242">IFERROR(K150/$C$1,0)</f>
        <v>56.213882321258147</v>
      </c>
      <c r="Z150" s="4504">
        <f t="shared" ref="Z150" si="243">IFERROR(L150/$C$1,0)</f>
        <v>66.414240241625222</v>
      </c>
      <c r="AA150" s="4504">
        <f t="shared" ref="AA150" si="244">IFERROR(M150/$C$1,0)</f>
        <v>78.847689543983222</v>
      </c>
      <c r="AB150" s="4504">
        <f t="shared" ref="AB150" si="245">IFERROR(N150/$C$1,0)</f>
        <v>93.077452915925122</v>
      </c>
      <c r="AC150" s="4504">
        <f t="shared" ref="AC150" si="246">IFERROR(O150/$C$1,0)</f>
        <v>110.97368759927913</v>
      </c>
      <c r="AD150" s="2059"/>
      <c r="AE150" s="2059"/>
      <c r="AF150" s="2059"/>
      <c r="AG150" s="2059"/>
      <c r="AH150" s="2059"/>
      <c r="AI150" s="2059"/>
    </row>
    <row r="151" spans="1:35" s="2047" customFormat="1" ht="13.2">
      <c r="A151" s="1352"/>
      <c r="B151" s="3666" t="s">
        <v>1427</v>
      </c>
      <c r="C151" s="3696" t="s">
        <v>170</v>
      </c>
      <c r="D151" s="3079"/>
      <c r="E151" s="2007"/>
      <c r="F151" s="2007"/>
      <c r="G151" s="2007"/>
      <c r="H151" s="2007"/>
      <c r="I151" s="3098"/>
      <c r="J151" s="3969"/>
      <c r="K151" s="3667">
        <f>IFERROR((K150-J150)/J150,0)</f>
        <v>0.9696448375833685</v>
      </c>
      <c r="L151" s="3667">
        <f>IFERROR((L150-K150)/K150,0)</f>
        <v>0.18145620795362932</v>
      </c>
      <c r="M151" s="3667">
        <f>IFERROR((M150-L150)/L150,0)</f>
        <v>0.18721059304635876</v>
      </c>
      <c r="N151" s="3667">
        <f>IFERROR((N150-M150)/M150,0)</f>
        <v>0.18047153257425749</v>
      </c>
      <c r="O151" s="3668">
        <f>IFERROR((O150-N150)/N150,0)</f>
        <v>0.19227250126321446</v>
      </c>
      <c r="P151" s="4265"/>
      <c r="Q151" s="2070"/>
      <c r="R151" s="2007"/>
      <c r="S151" s="2007"/>
      <c r="T151" s="2007"/>
      <c r="U151" s="2007"/>
      <c r="V151" s="2071"/>
      <c r="W151" s="4488"/>
      <c r="X151" s="2059"/>
      <c r="Y151" s="2059"/>
      <c r="Z151" s="2059"/>
      <c r="AA151" s="2059"/>
      <c r="AB151" s="2059"/>
      <c r="AC151" s="2059"/>
      <c r="AD151" s="2059"/>
      <c r="AE151" s="2059"/>
      <c r="AF151" s="2059"/>
      <c r="AG151" s="2059"/>
      <c r="AH151" s="2059"/>
      <c r="AI151" s="2059"/>
    </row>
    <row r="152" spans="1:35" s="2047" customFormat="1" ht="13.2">
      <c r="A152" s="1352"/>
      <c r="B152" s="3691" t="s">
        <v>639</v>
      </c>
      <c r="C152" s="1488"/>
      <c r="D152" s="3079"/>
      <c r="E152" s="2007"/>
      <c r="F152" s="2007"/>
      <c r="G152" s="2007"/>
      <c r="H152" s="2007"/>
      <c r="I152" s="3098"/>
      <c r="J152" s="951">
        <v>10.914526534478197</v>
      </c>
      <c r="K152" s="428">
        <v>22.095289456689443</v>
      </c>
      <c r="L152" s="428">
        <v>27.478316356394998</v>
      </c>
      <c r="M152" s="428">
        <v>32.600608230451911</v>
      </c>
      <c r="N152" s="428">
        <v>38.46271611433167</v>
      </c>
      <c r="O152" s="429">
        <v>45.832699260762979</v>
      </c>
      <c r="P152" s="4266">
        <f>IFERROR((K152-J152)/J152,0)</f>
        <v>1.0243928480902975</v>
      </c>
      <c r="Q152" s="2070"/>
      <c r="R152" s="2007"/>
      <c r="S152" s="2007"/>
      <c r="T152" s="2007"/>
      <c r="U152" s="2007"/>
      <c r="V152" s="2071"/>
      <c r="W152" s="4488"/>
      <c r="X152" s="4504">
        <f t="shared" ref="X152" si="247">IFERROR(J152/$C$1,0)</f>
        <v>5.5805088041794004</v>
      </c>
      <c r="Y152" s="4504">
        <f t="shared" ref="Y152" si="248">IFERROR(K152/$C$1,0)</f>
        <v>11.297142111885718</v>
      </c>
      <c r="Z152" s="4504">
        <f t="shared" ref="Z152" si="249">IFERROR(L152/$C$1,0)</f>
        <v>14.049440061966019</v>
      </c>
      <c r="AA152" s="4504">
        <f t="shared" ref="AA152" si="250">IFERROR(M152/$C$1,0)</f>
        <v>16.66842631028868</v>
      </c>
      <c r="AB152" s="4504">
        <f t="shared" ref="AB152" si="251">IFERROR(N152/$C$1,0)</f>
        <v>19.665674478012747</v>
      </c>
      <c r="AC152" s="4504">
        <f t="shared" ref="AC152" si="252">IFERROR(O152/$C$1,0)</f>
        <v>23.433887025336038</v>
      </c>
      <c r="AD152" s="2059"/>
      <c r="AE152" s="2059"/>
      <c r="AF152" s="2059"/>
      <c r="AG152" s="2059"/>
      <c r="AH152" s="2059"/>
      <c r="AI152" s="2059"/>
    </row>
    <row r="153" spans="1:35" s="2047" customFormat="1" ht="13.2">
      <c r="A153" s="1354"/>
      <c r="B153" s="3666" t="s">
        <v>1427</v>
      </c>
      <c r="C153" s="3696" t="s">
        <v>170</v>
      </c>
      <c r="D153" s="3079"/>
      <c r="E153" s="2007"/>
      <c r="F153" s="2007"/>
      <c r="G153" s="2007"/>
      <c r="H153" s="2007"/>
      <c r="I153" s="3098"/>
      <c r="J153" s="3969"/>
      <c r="K153" s="3667">
        <f>IFERROR((K152-J152)/J152,0)</f>
        <v>1.0243928480902975</v>
      </c>
      <c r="L153" s="3667">
        <f>IFERROR((L152-K152)/K152,0)</f>
        <v>0.24362780629134601</v>
      </c>
      <c r="M153" s="3667">
        <f>IFERROR((M152-L152)/L152,0)</f>
        <v>0.18641214431119277</v>
      </c>
      <c r="N153" s="3667">
        <f>IFERROR((N152-M152)/M152,0)</f>
        <v>0.17981590534878489</v>
      </c>
      <c r="O153" s="3668">
        <f>IFERROR((O152-N152)/N152,0)</f>
        <v>0.1916136947927389</v>
      </c>
      <c r="P153" s="4265"/>
      <c r="Q153" s="2070"/>
      <c r="R153" s="2007"/>
      <c r="S153" s="2007"/>
      <c r="T153" s="2007"/>
      <c r="U153" s="2007"/>
      <c r="V153" s="2071"/>
      <c r="W153" s="4488"/>
      <c r="X153" s="2059"/>
      <c r="Y153" s="2059"/>
      <c r="Z153" s="2059"/>
      <c r="AA153" s="2059"/>
      <c r="AB153" s="2059"/>
      <c r="AC153" s="2059"/>
      <c r="AD153" s="2059"/>
      <c r="AE153" s="2059"/>
      <c r="AF153" s="2059"/>
      <c r="AG153" s="2059"/>
      <c r="AH153" s="2059"/>
      <c r="AI153" s="2059"/>
    </row>
    <row r="154" spans="1:35" s="2047" customFormat="1" ht="21.75" customHeight="1">
      <c r="A154" s="1352"/>
      <c r="B154" s="1521" t="s">
        <v>638</v>
      </c>
      <c r="C154" s="1488"/>
      <c r="D154" s="3079"/>
      <c r="E154" s="2007"/>
      <c r="F154" s="2007"/>
      <c r="G154" s="2007"/>
      <c r="H154" s="2007"/>
      <c r="I154" s="3098"/>
      <c r="J154" s="3708">
        <f>J141-J144-J146-J148-J150-J152</f>
        <v>4.6434748625495619</v>
      </c>
      <c r="K154" s="3685">
        <f t="shared" ref="K154:O154" si="253">K141-K144-K146-K148-K150-K152</f>
        <v>8.613319507188379</v>
      </c>
      <c r="L154" s="3685">
        <f t="shared" si="253"/>
        <v>9.4256279319941143</v>
      </c>
      <c r="M154" s="3685">
        <f t="shared" si="253"/>
        <v>10.952653148899458</v>
      </c>
      <c r="N154" s="3685">
        <f t="shared" si="253"/>
        <v>11.983780913358686</v>
      </c>
      <c r="O154" s="3669">
        <f t="shared" si="253"/>
        <v>12.529094947095132</v>
      </c>
      <c r="P154" s="4266">
        <f>IFERROR((K154-J154)/J154,0)</f>
        <v>0.85492971581612498</v>
      </c>
      <c r="Q154" s="2070"/>
      <c r="R154" s="2007"/>
      <c r="S154" s="2007"/>
      <c r="T154" s="2007"/>
      <c r="U154" s="2007"/>
      <c r="V154" s="2071"/>
      <c r="W154" s="4488"/>
      <c r="X154" s="4504">
        <f t="shared" ref="X154" si="254">IFERROR(J154/$C$1,0)</f>
        <v>2.3741709977603178</v>
      </c>
      <c r="Y154" s="4504">
        <f t="shared" ref="Y154" si="255">IFERROR(K154/$C$1,0)</f>
        <v>4.4039203341744315</v>
      </c>
      <c r="Z154" s="4504">
        <f t="shared" ref="Z154" si="256">IFERROR(L154/$C$1,0)</f>
        <v>4.8192470368048932</v>
      </c>
      <c r="AA154" s="4504">
        <f t="shared" ref="AA154" si="257">IFERROR(M154/$C$1,0)</f>
        <v>5.6000026325904901</v>
      </c>
      <c r="AB154" s="4504">
        <f t="shared" ref="AB154" si="258">IFERROR(N154/$C$1,0)</f>
        <v>6.1272098870344998</v>
      </c>
      <c r="AC154" s="4504">
        <f t="shared" ref="AC154" si="259">IFERROR(O154/$C$1,0)</f>
        <v>6.4060245251863055</v>
      </c>
      <c r="AD154" s="2059"/>
      <c r="AE154" s="2059"/>
      <c r="AF154" s="2059"/>
      <c r="AG154" s="2059"/>
      <c r="AH154" s="2059"/>
      <c r="AI154" s="2059"/>
    </row>
    <row r="155" spans="1:35" s="2047" customFormat="1" ht="15" customHeight="1">
      <c r="A155" s="3692"/>
      <c r="B155" s="3670" t="s">
        <v>1427</v>
      </c>
      <c r="C155" s="3700" t="s">
        <v>170</v>
      </c>
      <c r="D155" s="3079"/>
      <c r="E155" s="2007"/>
      <c r="F155" s="2007"/>
      <c r="G155" s="2007"/>
      <c r="H155" s="2007"/>
      <c r="I155" s="3098"/>
      <c r="J155" s="3671"/>
      <c r="K155" s="3667">
        <f>IFERROR((K154-J154)/J154,0)</f>
        <v>0.85492971581612498</v>
      </c>
      <c r="L155" s="3667">
        <f>IFERROR((L154-K154)/K154,0)</f>
        <v>9.4308405038012438E-2</v>
      </c>
      <c r="M155" s="3667">
        <f>IFERROR((M154-L154)/L154,0)</f>
        <v>0.16200779703196724</v>
      </c>
      <c r="N155" s="3667">
        <f>IFERROR((N154-M154)/M154,0)</f>
        <v>9.4144108321629602E-2</v>
      </c>
      <c r="O155" s="3668">
        <f>IFERROR((O154-N154)/N154,0)</f>
        <v>4.5504339379950423E-2</v>
      </c>
      <c r="P155" s="4102"/>
      <c r="Q155" s="2070"/>
      <c r="R155" s="2007"/>
      <c r="S155" s="2007"/>
      <c r="T155" s="2007"/>
      <c r="U155" s="2007"/>
      <c r="V155" s="2071"/>
      <c r="W155" s="4488"/>
      <c r="AD155" s="2059"/>
      <c r="AE155" s="2059"/>
      <c r="AF155" s="2059"/>
      <c r="AG155" s="2059"/>
      <c r="AH155" s="2059"/>
      <c r="AI155" s="2059"/>
    </row>
    <row r="156" spans="1:35" ht="13.5" customHeight="1" thickBot="1">
      <c r="A156" s="5257"/>
      <c r="B156" s="5258"/>
      <c r="C156" s="5258"/>
      <c r="D156" s="5258"/>
      <c r="E156" s="5258"/>
      <c r="F156" s="5258"/>
      <c r="G156" s="5258"/>
      <c r="H156" s="5258"/>
      <c r="I156" s="5258"/>
      <c r="J156" s="5258"/>
      <c r="K156" s="5258"/>
      <c r="L156" s="5258"/>
      <c r="M156" s="5258"/>
      <c r="N156" s="5258"/>
      <c r="O156" s="5258"/>
      <c r="P156" s="5258"/>
      <c r="Q156" s="5258"/>
      <c r="R156" s="5258"/>
      <c r="S156" s="5258"/>
      <c r="T156" s="5258"/>
      <c r="U156" s="5258"/>
      <c r="V156" s="5259"/>
      <c r="W156" s="4488"/>
    </row>
    <row r="157" spans="1:35" s="2015" customFormat="1">
      <c r="B157" s="2075"/>
      <c r="K157" s="2017"/>
      <c r="L157" s="2017"/>
      <c r="M157" s="2017"/>
      <c r="N157" s="2017"/>
      <c r="O157" s="2017"/>
      <c r="P157" s="2017"/>
      <c r="Q157" s="2017"/>
      <c r="AD157" s="2059"/>
      <c r="AE157" s="2059"/>
      <c r="AF157" s="2059"/>
      <c r="AG157" s="2059"/>
      <c r="AH157" s="2059"/>
      <c r="AI157" s="2059"/>
    </row>
    <row r="158" spans="1:35" s="2015" customFormat="1">
      <c r="K158" s="2017"/>
      <c r="L158" s="2017"/>
      <c r="M158" s="2017"/>
      <c r="N158" s="2017"/>
      <c r="O158" s="2017"/>
      <c r="P158" s="2017"/>
      <c r="Q158" s="2017"/>
      <c r="AD158" s="2059"/>
      <c r="AE158" s="2059"/>
      <c r="AF158" s="2059"/>
      <c r="AG158" s="2059"/>
      <c r="AH158" s="2059"/>
      <c r="AI158" s="2059"/>
    </row>
    <row r="159" spans="1:35" s="2015" customFormat="1">
      <c r="A159" s="2076" t="s">
        <v>1736</v>
      </c>
      <c r="D159" s="2022"/>
      <c r="E159" s="2022"/>
      <c r="F159" s="2022"/>
      <c r="G159" s="2022"/>
      <c r="I159" s="2013"/>
      <c r="K159" s="2017"/>
      <c r="L159" s="2017"/>
      <c r="M159" s="2017"/>
      <c r="N159" s="2017"/>
      <c r="O159" s="2017"/>
      <c r="P159" s="2017"/>
      <c r="Q159" s="2017"/>
      <c r="AD159" s="2059"/>
      <c r="AE159" s="2059"/>
      <c r="AF159" s="2059"/>
      <c r="AG159" s="2059"/>
      <c r="AH159" s="2059"/>
      <c r="AI159" s="2059"/>
    </row>
    <row r="160" spans="1:35" s="2015" customFormat="1">
      <c r="H160" s="2022"/>
      <c r="I160" s="2013"/>
      <c r="J160" s="2022"/>
      <c r="K160" s="2077"/>
      <c r="L160" s="2077"/>
      <c r="M160" s="2077"/>
      <c r="N160" s="2077"/>
      <c r="O160" s="2077"/>
      <c r="P160" s="2077"/>
      <c r="Q160" s="2077"/>
      <c r="AD160" s="2059"/>
      <c r="AE160" s="2059"/>
      <c r="AF160" s="2059"/>
      <c r="AG160" s="2059"/>
      <c r="AH160" s="2059"/>
      <c r="AI160" s="2059"/>
    </row>
    <row r="161" spans="1:35" s="2015" customFormat="1">
      <c r="I161" s="2013"/>
      <c r="J161" s="2022"/>
      <c r="K161" s="2077"/>
      <c r="L161" s="2077"/>
      <c r="M161" s="2077"/>
      <c r="N161" s="2077"/>
      <c r="O161" s="2077"/>
      <c r="P161" s="2077"/>
      <c r="Q161" s="2077"/>
      <c r="AD161" s="2059"/>
      <c r="AE161" s="2059"/>
      <c r="AF161" s="2059"/>
      <c r="AG161" s="2059"/>
      <c r="AH161" s="2059"/>
      <c r="AI161" s="2059"/>
    </row>
    <row r="162" spans="1:35" s="2020" customFormat="1">
      <c r="A162" s="5261" t="s">
        <v>187</v>
      </c>
      <c r="B162" s="5261"/>
      <c r="C162" s="5261"/>
      <c r="D162" s="5261"/>
      <c r="E162" s="2079"/>
      <c r="F162" s="2079"/>
      <c r="G162" s="2079"/>
      <c r="H162" s="2079"/>
      <c r="I162" s="2079"/>
      <c r="J162" s="2078"/>
      <c r="K162" s="2078"/>
      <c r="L162" s="2078"/>
      <c r="M162" s="2078"/>
      <c r="N162" s="2078"/>
      <c r="O162" s="2078"/>
      <c r="P162" s="2078"/>
      <c r="Q162" s="2078"/>
      <c r="AD162" s="2059"/>
      <c r="AE162" s="2059"/>
      <c r="AF162" s="2059"/>
      <c r="AG162" s="2059"/>
      <c r="AH162" s="2059"/>
      <c r="AI162" s="2059"/>
    </row>
    <row r="163" spans="1:35">
      <c r="A163" s="5262" t="s">
        <v>188</v>
      </c>
      <c r="B163" s="5262"/>
      <c r="C163" s="5262"/>
      <c r="D163" s="5262"/>
    </row>
    <row r="164" spans="1:35">
      <c r="A164" s="4230" t="s">
        <v>1373</v>
      </c>
      <c r="B164" s="4230"/>
      <c r="C164" s="4230"/>
      <c r="D164" s="4230"/>
    </row>
    <row r="165" spans="1:35" ht="30" customHeight="1">
      <c r="A165" s="5263" t="str">
        <f>+"3. Справка № 8 се попълва за  ВС Основна и ВС Доставяне на вода с непитейни качества. За ВС Доставяне на вода на друг ВиК оператор се посочват разпределените разходи за ремонт съгласно указания НРЦВКУ и принципите на ЕСРО за регулаторен период "&amp;E8&amp;"-"&amp;I8&amp;" в Справка № 12.  "</f>
        <v xml:space="preserve">3. Справка № 8 се попълва за  ВС Основна и ВС Доставяне на вода с непитейни качества. За ВС Доставяне на вода на друг ВиК оператор се посочват разпределените разходи за ремонт съгласно указания НРЦВКУ и принципите на ЕСРО за регулаторен период 2027 г.-2031 г. в Справка № 12.  </v>
      </c>
      <c r="B165" s="5263"/>
      <c r="C165" s="5263"/>
      <c r="D165" s="5263"/>
      <c r="E165" s="5263"/>
      <c r="F165" s="5263"/>
      <c r="G165" s="5263"/>
      <c r="H165" s="5263"/>
      <c r="I165" s="5263"/>
      <c r="J165" s="5263"/>
      <c r="K165" s="5263"/>
      <c r="L165" s="5263"/>
      <c r="M165" s="5263"/>
      <c r="N165" s="5263"/>
      <c r="O165" s="5263"/>
      <c r="P165" s="4084"/>
      <c r="Q165" s="2075"/>
    </row>
  </sheetData>
  <sheetProtection algorithmName="SHA-512" hashValue="QNSB2FcL3JMbAGkSIvyG3JOzETFdh5bFd/yiiuYVCWl0LfnMQNCOo9sSxtraYoO7rhs3L6sXBB3BjuVaoQ0MLw==" saltValue="928wXICyQVqSos2y4LSNYA==" spinCount="100000" sheet="1" formatCells="0" formatColumns="0" formatRows="0"/>
  <mergeCells count="31">
    <mergeCell ref="X7:AC7"/>
    <mergeCell ref="AD7:AI7"/>
    <mergeCell ref="A1:B1"/>
    <mergeCell ref="C1:D1"/>
    <mergeCell ref="A6:J6"/>
    <mergeCell ref="C126:V126"/>
    <mergeCell ref="D7:I7"/>
    <mergeCell ref="A7:A8"/>
    <mergeCell ref="B7:B8"/>
    <mergeCell ref="C7:C8"/>
    <mergeCell ref="P7:P8"/>
    <mergeCell ref="A39:V39"/>
    <mergeCell ref="A68:V68"/>
    <mergeCell ref="A94:V94"/>
    <mergeCell ref="A125:V125"/>
    <mergeCell ref="A156:V156"/>
    <mergeCell ref="T1:V1"/>
    <mergeCell ref="A162:D162"/>
    <mergeCell ref="A163:D163"/>
    <mergeCell ref="A165:O165"/>
    <mergeCell ref="A2:V2"/>
    <mergeCell ref="A3:V3"/>
    <mergeCell ref="A4:V4"/>
    <mergeCell ref="A5:V5"/>
    <mergeCell ref="N1:O1"/>
    <mergeCell ref="J7:O7"/>
    <mergeCell ref="Q7:V7"/>
    <mergeCell ref="C9:V9"/>
    <mergeCell ref="C40:V40"/>
    <mergeCell ref="C69:V69"/>
    <mergeCell ref="C95:V95"/>
  </mergeCells>
  <printOptions horizontalCentered="1"/>
  <pageMargins left="0" right="0" top="0.59055118110236227" bottom="0.19685039370078741" header="0.31496062992125984" footer="0.11811023622047245"/>
  <pageSetup paperSize="9" scale="60" orientation="landscape" r:id="rId1"/>
  <headerFooter alignWithMargins="0">
    <oddFooter>&amp;C&amp;A&amp;RСтр. &amp;P от &amp;N</oddFooter>
  </headerFooter>
  <rowBreaks count="3" manualBreakCount="3">
    <brk id="54" max="20" man="1"/>
    <brk id="94" max="20" man="1"/>
    <brk id="142" max="20"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tabColor rgb="FFBCF6C6"/>
  </sheetPr>
  <dimension ref="A1:CF170"/>
  <sheetViews>
    <sheetView showGridLines="0" zoomScaleNormal="100" zoomScaleSheetLayoutView="85" workbookViewId="0">
      <pane xSplit="5" ySplit="11" topLeftCell="H97" activePane="bottomRight" state="frozen"/>
      <selection pane="topRight" activeCell="F1" sqref="F1"/>
      <selection pane="bottomLeft" activeCell="A12" sqref="A12"/>
      <selection pane="bottomRight" activeCell="R101" sqref="R101"/>
    </sheetView>
  </sheetViews>
  <sheetFormatPr defaultColWidth="9.109375" defaultRowHeight="13.2"/>
  <cols>
    <col min="1" max="1" width="2.6640625" style="1268" customWidth="1"/>
    <col min="2" max="2" width="6.5546875" style="1268" customWidth="1"/>
    <col min="3" max="3" width="14" style="1268" customWidth="1"/>
    <col min="4" max="4" width="4.5546875" style="1269" customWidth="1"/>
    <col min="5" max="5" width="26.6640625" style="1270" customWidth="1"/>
    <col min="6" max="7" width="6" style="1310" customWidth="1"/>
    <col min="8" max="8" width="6.109375" style="1310" customWidth="1"/>
    <col min="9" max="13" width="6.109375" style="1311" customWidth="1"/>
    <col min="14" max="14" width="6.6640625" style="1268" customWidth="1"/>
    <col min="15" max="17" width="6.33203125" style="1271" customWidth="1"/>
    <col min="18" max="22" width="6.33203125" style="1268" customWidth="1"/>
    <col min="23" max="25" width="6.44140625" style="1271" customWidth="1"/>
    <col min="26" max="30" width="6.109375" style="1268" customWidth="1"/>
    <col min="31" max="33" width="7.33203125" style="1271" customWidth="1"/>
    <col min="34" max="38" width="7.33203125" style="1268" customWidth="1"/>
    <col min="39" max="39" width="11" style="1272" customWidth="1"/>
    <col min="40" max="40" width="82.44140625" style="1270" customWidth="1"/>
    <col min="41" max="41" width="5.44140625" style="1272" customWidth="1"/>
    <col min="42" max="43" width="7.109375" style="1272" customWidth="1"/>
    <col min="44" max="48" width="7.109375" style="1268" customWidth="1"/>
    <col min="49" max="49" width="7.109375" style="1269" customWidth="1"/>
    <col min="50" max="50" width="51.6640625" style="1273" customWidth="1"/>
    <col min="51" max="51" width="2.88671875" style="1269" customWidth="1"/>
    <col min="52" max="16384" width="9.109375" style="1269"/>
  </cols>
  <sheetData>
    <row r="1" spans="1:84" ht="31.2" customHeight="1" thickBot="1">
      <c r="A1" s="5285" t="str">
        <f>+'1. Обща информация'!B40</f>
        <v>Фиксиран курс на лева към 1 евро</v>
      </c>
      <c r="B1" s="5286"/>
      <c r="C1" s="5286"/>
      <c r="D1" s="5287"/>
      <c r="E1" s="4508">
        <f>+'1. Обща информация'!$C$40</f>
        <v>1.95583</v>
      </c>
      <c r="F1" s="1271"/>
      <c r="G1" s="1271"/>
      <c r="H1" s="1271"/>
      <c r="I1" s="1268"/>
      <c r="J1" s="1268"/>
      <c r="K1" s="1268"/>
      <c r="L1" s="1268"/>
      <c r="M1" s="1268"/>
      <c r="Q1" s="3737"/>
      <c r="R1" s="3737"/>
      <c r="T1" s="2080"/>
      <c r="U1" s="2080"/>
      <c r="V1" s="2080"/>
      <c r="AE1" s="2081"/>
      <c r="AF1" s="2081"/>
      <c r="AG1" s="2081"/>
      <c r="AH1" s="2081"/>
      <c r="AI1" s="2081"/>
      <c r="AJ1" s="2081"/>
      <c r="AK1" s="3737" t="s">
        <v>189</v>
      </c>
      <c r="AL1" s="2081"/>
      <c r="AN1" s="2082"/>
      <c r="AO1" s="3737"/>
    </row>
    <row r="2" spans="1:84" ht="17.399999999999999">
      <c r="A2" s="5289" t="s">
        <v>1374</v>
      </c>
      <c r="B2" s="5289"/>
      <c r="C2" s="5289"/>
      <c r="D2" s="5289"/>
      <c r="E2" s="5289"/>
      <c r="F2" s="5289"/>
      <c r="G2" s="5289"/>
      <c r="H2" s="5289"/>
      <c r="I2" s="5289"/>
      <c r="J2" s="5289"/>
      <c r="K2" s="5289"/>
      <c r="L2" s="5289"/>
      <c r="M2" s="5289"/>
      <c r="N2" s="5289"/>
      <c r="O2" s="5289"/>
      <c r="P2" s="5289"/>
      <c r="Q2" s="5289"/>
      <c r="R2" s="5289"/>
      <c r="S2" s="5289"/>
      <c r="T2" s="5289"/>
      <c r="U2" s="5289"/>
      <c r="V2" s="5289"/>
      <c r="W2" s="5289"/>
      <c r="X2" s="5289"/>
      <c r="Y2" s="5289"/>
      <c r="Z2" s="5289"/>
      <c r="AA2" s="5289"/>
      <c r="AB2" s="5289"/>
      <c r="AC2" s="5289"/>
      <c r="AD2" s="5289"/>
      <c r="AE2" s="5289"/>
      <c r="AF2" s="5289"/>
      <c r="AG2" s="5289"/>
      <c r="AH2" s="5289"/>
      <c r="AI2" s="5289"/>
      <c r="AJ2" s="5289"/>
      <c r="AK2" s="5289"/>
      <c r="AL2" s="5289"/>
      <c r="AM2" s="3736"/>
      <c r="AN2" s="2083"/>
      <c r="AO2" s="3737"/>
      <c r="AV2" s="3737"/>
    </row>
    <row r="3" spans="1:84" ht="17.399999999999999">
      <c r="A3" s="5289" t="s">
        <v>1009</v>
      </c>
      <c r="B3" s="5289"/>
      <c r="C3" s="5289"/>
      <c r="D3" s="5289"/>
      <c r="E3" s="5289"/>
      <c r="F3" s="5289"/>
      <c r="G3" s="5289"/>
      <c r="H3" s="5289"/>
      <c r="I3" s="5289"/>
      <c r="J3" s="5289"/>
      <c r="K3" s="5289"/>
      <c r="L3" s="5289"/>
      <c r="M3" s="5289"/>
      <c r="N3" s="5289"/>
      <c r="O3" s="5289"/>
      <c r="P3" s="5289"/>
      <c r="Q3" s="5289"/>
      <c r="R3" s="5289"/>
      <c r="S3" s="5289"/>
      <c r="T3" s="5289"/>
      <c r="U3" s="5289"/>
      <c r="V3" s="5289"/>
      <c r="W3" s="5289"/>
      <c r="X3" s="5289"/>
      <c r="Y3" s="5289"/>
      <c r="Z3" s="5289"/>
      <c r="AA3" s="5289"/>
      <c r="AB3" s="5289"/>
      <c r="AC3" s="5289"/>
      <c r="AD3" s="5289"/>
      <c r="AE3" s="5289"/>
      <c r="AF3" s="5289"/>
      <c r="AG3" s="5289"/>
      <c r="AH3" s="5289"/>
      <c r="AI3" s="5289"/>
      <c r="AJ3" s="5289"/>
      <c r="AK3" s="5289"/>
      <c r="AL3" s="5289"/>
      <c r="AM3" s="3736"/>
      <c r="AN3" s="2083"/>
      <c r="AO3" s="1268"/>
      <c r="AP3" s="1268"/>
      <c r="AQ3" s="1268"/>
      <c r="AX3" s="2084"/>
    </row>
    <row r="4" spans="1:84" ht="18">
      <c r="A4" s="5301" t="str">
        <f>'1. Обща информация'!A4:D4</f>
        <v>на "В И К" АД, гр. Ловеч</v>
      </c>
      <c r="B4" s="5301"/>
      <c r="C4" s="5301"/>
      <c r="D4" s="5301"/>
      <c r="E4" s="5301"/>
      <c r="F4" s="5301"/>
      <c r="G4" s="5301"/>
      <c r="H4" s="5301"/>
      <c r="I4" s="5301"/>
      <c r="J4" s="5301"/>
      <c r="K4" s="5301"/>
      <c r="L4" s="5301"/>
      <c r="M4" s="5301"/>
      <c r="N4" s="5301"/>
      <c r="O4" s="5301"/>
      <c r="P4" s="5301"/>
      <c r="Q4" s="5301"/>
      <c r="R4" s="5301"/>
      <c r="S4" s="5301"/>
      <c r="T4" s="5301"/>
      <c r="U4" s="5301"/>
      <c r="V4" s="5301"/>
      <c r="W4" s="5301"/>
      <c r="X4" s="5301"/>
      <c r="Y4" s="5301"/>
      <c r="Z4" s="5301"/>
      <c r="AA4" s="5301"/>
      <c r="AB4" s="5301"/>
      <c r="AC4" s="5301"/>
      <c r="AD4" s="5301"/>
      <c r="AE4" s="5301"/>
      <c r="AF4" s="5301"/>
      <c r="AG4" s="5301"/>
      <c r="AH4" s="5301"/>
      <c r="AI4" s="5301"/>
      <c r="AJ4" s="5301"/>
      <c r="AK4" s="5301"/>
      <c r="AL4" s="5301"/>
      <c r="AM4" s="3738"/>
      <c r="AN4" s="2085"/>
      <c r="AO4" s="2086"/>
      <c r="AP4" s="2086"/>
      <c r="AQ4" s="2086"/>
      <c r="AR4" s="2086"/>
      <c r="AS4" s="2086"/>
      <c r="AT4" s="2086"/>
      <c r="AU4" s="2086"/>
      <c r="AV4" s="2086"/>
      <c r="AW4" s="1274"/>
      <c r="AX4" s="2087"/>
      <c r="AY4" s="1274"/>
      <c r="AZ4" s="1274"/>
      <c r="BA4" s="1274"/>
      <c r="BB4" s="1274"/>
      <c r="BC4" s="1274"/>
      <c r="BD4" s="1274"/>
      <c r="BE4" s="1274"/>
      <c r="BF4" s="1274"/>
    </row>
    <row r="5" spans="1:84" ht="18">
      <c r="A5" s="5301" t="str">
        <f>'1. Обща информация'!A5:D5</f>
        <v>ЕИК по БУЛСТАТ: 110549443</v>
      </c>
      <c r="B5" s="5301"/>
      <c r="C5" s="5301"/>
      <c r="D5" s="5301"/>
      <c r="E5" s="5301"/>
      <c r="F5" s="5301"/>
      <c r="G5" s="5301"/>
      <c r="H5" s="5301"/>
      <c r="I5" s="5301"/>
      <c r="J5" s="5301"/>
      <c r="K5" s="5301"/>
      <c r="L5" s="5301"/>
      <c r="M5" s="5301"/>
      <c r="N5" s="5301"/>
      <c r="O5" s="5301"/>
      <c r="P5" s="5301"/>
      <c r="Q5" s="5301"/>
      <c r="R5" s="5301"/>
      <c r="S5" s="5301"/>
      <c r="T5" s="5301"/>
      <c r="U5" s="5301"/>
      <c r="V5" s="5301"/>
      <c r="W5" s="5301"/>
      <c r="X5" s="5301"/>
      <c r="Y5" s="5301"/>
      <c r="Z5" s="5301"/>
      <c r="AA5" s="5301"/>
      <c r="AB5" s="5301"/>
      <c r="AC5" s="5301"/>
      <c r="AD5" s="5301"/>
      <c r="AE5" s="5301"/>
      <c r="AF5" s="5301"/>
      <c r="AG5" s="5301"/>
      <c r="AH5" s="5301"/>
      <c r="AI5" s="5301"/>
      <c r="AJ5" s="5301"/>
      <c r="AK5" s="5301"/>
      <c r="AL5" s="5301"/>
      <c r="AM5" s="3738"/>
      <c r="AN5" s="2085"/>
      <c r="AO5" s="2086"/>
      <c r="AP5" s="2086"/>
      <c r="AQ5" s="2086"/>
      <c r="AR5" s="2086"/>
      <c r="AS5" s="2086"/>
      <c r="AT5" s="2086"/>
      <c r="AU5" s="2086"/>
      <c r="AV5" s="2086"/>
      <c r="AW5" s="1274"/>
      <c r="AX5" s="2087"/>
      <c r="AY5" s="1274"/>
      <c r="AZ5" s="1274"/>
      <c r="BA5" s="1274"/>
      <c r="BB5" s="1274"/>
      <c r="BC5" s="1274"/>
      <c r="BD5" s="1274"/>
      <c r="BE5" s="1274"/>
      <c r="BF5" s="1274"/>
    </row>
    <row r="6" spans="1:84" ht="13.8">
      <c r="F6" s="1271"/>
      <c r="G6" s="1271"/>
      <c r="H6" s="1271"/>
      <c r="I6" s="1268"/>
      <c r="J6" s="1268"/>
      <c r="K6" s="1268"/>
      <c r="L6" s="1268"/>
      <c r="M6" s="1268"/>
      <c r="Q6" s="3737"/>
      <c r="R6" s="3737"/>
      <c r="T6" s="2080"/>
      <c r="U6" s="2080"/>
      <c r="V6" s="2080"/>
      <c r="AE6" s="2081"/>
      <c r="AF6" s="2081"/>
      <c r="AG6" s="2081"/>
      <c r="AH6" s="2081"/>
      <c r="AI6" s="2081"/>
      <c r="AJ6" s="2081"/>
      <c r="AK6" s="2081"/>
      <c r="AL6" s="2081"/>
      <c r="AM6" s="5300"/>
      <c r="AN6" s="5300"/>
      <c r="AO6" s="1268"/>
      <c r="AP6" s="1268"/>
      <c r="AQ6" s="1268"/>
    </row>
    <row r="7" spans="1:84" ht="13.8" thickBot="1">
      <c r="A7" s="2088"/>
      <c r="B7" s="2088"/>
      <c r="C7" s="2088"/>
      <c r="D7" s="2088"/>
      <c r="E7" s="2088"/>
      <c r="F7" s="2088"/>
      <c r="G7" s="2088"/>
      <c r="H7" s="2088"/>
      <c r="I7" s="2088"/>
      <c r="J7" s="2088"/>
      <c r="K7" s="2088"/>
      <c r="L7" s="2088"/>
      <c r="M7" s="2088"/>
      <c r="N7" s="2088"/>
      <c r="O7" s="2088"/>
      <c r="P7" s="2088"/>
      <c r="Q7" s="2088"/>
      <c r="R7" s="2088"/>
      <c r="S7" s="2088"/>
      <c r="T7" s="2088"/>
      <c r="U7" s="2088"/>
      <c r="V7" s="2088"/>
      <c r="W7" s="2088"/>
      <c r="X7" s="2088"/>
      <c r="Y7" s="2088"/>
      <c r="Z7" s="2088"/>
      <c r="AA7" s="2088"/>
      <c r="AB7" s="2088"/>
      <c r="AC7" s="2088"/>
      <c r="AD7" s="2088"/>
      <c r="AE7" s="2089"/>
      <c r="AF7" s="2089"/>
      <c r="AG7" s="2089"/>
      <c r="AH7" s="2089"/>
      <c r="AI7" s="2089"/>
      <c r="AJ7" s="2089"/>
      <c r="AK7" s="2089"/>
      <c r="AL7" s="2089"/>
      <c r="AM7" s="2090"/>
      <c r="AN7" s="2088"/>
      <c r="AO7" s="1268"/>
      <c r="AP7" s="1268"/>
      <c r="AQ7" s="1268"/>
      <c r="AX7" s="2084"/>
    </row>
    <row r="8" spans="1:84" s="1275" customFormat="1" ht="14.4" customHeight="1" thickBot="1">
      <c r="A8" s="5295" t="s">
        <v>203</v>
      </c>
      <c r="B8" s="5293" t="s">
        <v>353</v>
      </c>
      <c r="C8" s="5293" t="s">
        <v>1498</v>
      </c>
      <c r="D8" s="5293" t="s">
        <v>1499</v>
      </c>
      <c r="E8" s="5293" t="s">
        <v>204</v>
      </c>
      <c r="F8" s="5310" t="s">
        <v>333</v>
      </c>
      <c r="G8" s="5311"/>
      <c r="H8" s="5311"/>
      <c r="I8" s="5311"/>
      <c r="J8" s="5311"/>
      <c r="K8" s="5311"/>
      <c r="L8" s="5311"/>
      <c r="M8" s="5312"/>
      <c r="N8" s="5293" t="str">
        <f>+I9&amp;" - "&amp; M9</f>
        <v>2027 г. - 2031 г.</v>
      </c>
      <c r="O8" s="5307" t="s">
        <v>1334</v>
      </c>
      <c r="P8" s="5308"/>
      <c r="Q8" s="5308"/>
      <c r="R8" s="5308"/>
      <c r="S8" s="5308"/>
      <c r="T8" s="5308"/>
      <c r="U8" s="5308"/>
      <c r="V8" s="5309"/>
      <c r="W8" s="5307" t="s">
        <v>1248</v>
      </c>
      <c r="X8" s="5308"/>
      <c r="Y8" s="5308"/>
      <c r="Z8" s="5308"/>
      <c r="AA8" s="5308"/>
      <c r="AB8" s="5308"/>
      <c r="AC8" s="5308"/>
      <c r="AD8" s="5309"/>
      <c r="AE8" s="5307" t="s">
        <v>1849</v>
      </c>
      <c r="AF8" s="5308"/>
      <c r="AG8" s="5308"/>
      <c r="AH8" s="5308"/>
      <c r="AI8" s="5308"/>
      <c r="AJ8" s="5308"/>
      <c r="AK8" s="5308"/>
      <c r="AL8" s="5309"/>
      <c r="AM8" s="5305" t="s">
        <v>1046</v>
      </c>
      <c r="AN8" s="5302" t="s">
        <v>1045</v>
      </c>
      <c r="AO8" s="5297" t="s">
        <v>675</v>
      </c>
      <c r="AP8" s="5298"/>
      <c r="AQ8" s="5298"/>
      <c r="AR8" s="5298"/>
      <c r="AS8" s="5298"/>
      <c r="AT8" s="5298"/>
      <c r="AU8" s="5298"/>
      <c r="AV8" s="5298"/>
      <c r="AW8" s="5299"/>
      <c r="AX8" s="5293" t="s">
        <v>352</v>
      </c>
      <c r="AY8" s="4488"/>
      <c r="AZ8" s="5284" t="s">
        <v>1885</v>
      </c>
      <c r="BA8" s="5284"/>
      <c r="BB8" s="5284"/>
      <c r="BC8" s="5284"/>
      <c r="BD8" s="5284"/>
      <c r="BE8" s="5284"/>
      <c r="BF8" s="5284"/>
      <c r="BG8" s="5284"/>
      <c r="BH8" s="5198" t="str">
        <f>+BC9&amp;" - "&amp; BG9</f>
        <v>2027 г. - 2031 г.</v>
      </c>
      <c r="BI8" s="5284" t="s">
        <v>1886</v>
      </c>
      <c r="BJ8" s="5284"/>
      <c r="BK8" s="5284"/>
      <c r="BL8" s="5284"/>
      <c r="BM8" s="5284"/>
      <c r="BN8" s="5284"/>
      <c r="BO8" s="5284"/>
      <c r="BP8" s="5284"/>
      <c r="BQ8" s="5284" t="s">
        <v>1887</v>
      </c>
      <c r="BR8" s="5284"/>
      <c r="BS8" s="5284"/>
      <c r="BT8" s="5284"/>
      <c r="BU8" s="5284"/>
      <c r="BV8" s="5284"/>
      <c r="BW8" s="5284"/>
      <c r="BX8" s="5284"/>
      <c r="BY8" s="5284" t="s">
        <v>1888</v>
      </c>
      <c r="BZ8" s="5284"/>
      <c r="CA8" s="5284"/>
      <c r="CB8" s="5284"/>
      <c r="CC8" s="5284"/>
      <c r="CD8" s="5284"/>
      <c r="CE8" s="5284"/>
      <c r="CF8" s="5284"/>
    </row>
    <row r="9" spans="1:84" ht="23.4" thickBot="1">
      <c r="A9" s="5296"/>
      <c r="B9" s="5294"/>
      <c r="C9" s="5294"/>
      <c r="D9" s="5294"/>
      <c r="E9" s="5294"/>
      <c r="F9" s="2091" t="str">
        <f>'Приложение '!$C12</f>
        <v>2024 г.</v>
      </c>
      <c r="G9" s="2091" t="str">
        <f>+'11. Амортиз. план'!E8</f>
        <v>2025 г.</v>
      </c>
      <c r="H9" s="2092" t="str">
        <f>'Приложение '!$C13</f>
        <v>2026 г.</v>
      </c>
      <c r="I9" s="2093" t="str">
        <f>'Приложение '!$C14</f>
        <v>2027 г.</v>
      </c>
      <c r="J9" s="2094" t="str">
        <f>'Приложение '!$C15</f>
        <v>2028 г.</v>
      </c>
      <c r="K9" s="2094" t="str">
        <f>'Приложение '!$C16</f>
        <v>2029 г.</v>
      </c>
      <c r="L9" s="2094" t="str">
        <f>'Приложение '!$C17</f>
        <v>2030 г.</v>
      </c>
      <c r="M9" s="2095" t="str">
        <f>'Приложение '!$C18</f>
        <v>2031 г.</v>
      </c>
      <c r="N9" s="5294"/>
      <c r="O9" s="2096" t="str">
        <f t="shared" ref="O9:V9" si="0">F9</f>
        <v>2024 г.</v>
      </c>
      <c r="P9" s="2096" t="str">
        <f t="shared" si="0"/>
        <v>2025 г.</v>
      </c>
      <c r="Q9" s="2097" t="str">
        <f t="shared" si="0"/>
        <v>2026 г.</v>
      </c>
      <c r="R9" s="2098" t="str">
        <f t="shared" si="0"/>
        <v>2027 г.</v>
      </c>
      <c r="S9" s="2099" t="str">
        <f t="shared" si="0"/>
        <v>2028 г.</v>
      </c>
      <c r="T9" s="2099" t="str">
        <f t="shared" si="0"/>
        <v>2029 г.</v>
      </c>
      <c r="U9" s="2099" t="str">
        <f t="shared" si="0"/>
        <v>2030 г.</v>
      </c>
      <c r="V9" s="2100" t="str">
        <f t="shared" si="0"/>
        <v>2031 г.</v>
      </c>
      <c r="W9" s="2101" t="str">
        <f t="shared" ref="W9:AD9" si="1">O9</f>
        <v>2024 г.</v>
      </c>
      <c r="X9" s="2101" t="str">
        <f t="shared" si="1"/>
        <v>2025 г.</v>
      </c>
      <c r="Y9" s="2097" t="str">
        <f t="shared" si="1"/>
        <v>2026 г.</v>
      </c>
      <c r="Z9" s="2098" t="str">
        <f t="shared" si="1"/>
        <v>2027 г.</v>
      </c>
      <c r="AA9" s="2099" t="str">
        <f t="shared" si="1"/>
        <v>2028 г.</v>
      </c>
      <c r="AB9" s="2099" t="str">
        <f t="shared" si="1"/>
        <v>2029 г.</v>
      </c>
      <c r="AC9" s="2099" t="str">
        <f t="shared" si="1"/>
        <v>2030 г.</v>
      </c>
      <c r="AD9" s="2100" t="str">
        <f t="shared" si="1"/>
        <v>2031 г.</v>
      </c>
      <c r="AE9" s="2101" t="str">
        <f t="shared" ref="AE9:AJ9" si="2">O9</f>
        <v>2024 г.</v>
      </c>
      <c r="AF9" s="2101" t="str">
        <f t="shared" si="2"/>
        <v>2025 г.</v>
      </c>
      <c r="AG9" s="2097" t="str">
        <f t="shared" si="2"/>
        <v>2026 г.</v>
      </c>
      <c r="AH9" s="2098" t="str">
        <f t="shared" si="2"/>
        <v>2027 г.</v>
      </c>
      <c r="AI9" s="2099" t="str">
        <f t="shared" si="2"/>
        <v>2028 г.</v>
      </c>
      <c r="AJ9" s="2099" t="str">
        <f t="shared" si="2"/>
        <v>2029 г.</v>
      </c>
      <c r="AK9" s="2099" t="str">
        <f t="shared" ref="AK9" si="3">U9</f>
        <v>2030 г.</v>
      </c>
      <c r="AL9" s="2100" t="str">
        <f t="shared" ref="AL9" si="4">AD9</f>
        <v>2031 г.</v>
      </c>
      <c r="AM9" s="5306"/>
      <c r="AN9" s="5303"/>
      <c r="AO9" s="2102" t="s">
        <v>746</v>
      </c>
      <c r="AP9" s="2103" t="str">
        <f t="shared" ref="AP9:AW9" si="5">F9</f>
        <v>2024 г.</v>
      </c>
      <c r="AQ9" s="4174" t="str">
        <f t="shared" si="5"/>
        <v>2025 г.</v>
      </c>
      <c r="AR9" s="4173" t="str">
        <f t="shared" si="5"/>
        <v>2026 г.</v>
      </c>
      <c r="AS9" s="2104" t="str">
        <f t="shared" si="5"/>
        <v>2027 г.</v>
      </c>
      <c r="AT9" s="2104" t="str">
        <f t="shared" si="5"/>
        <v>2028 г.</v>
      </c>
      <c r="AU9" s="2104" t="str">
        <f t="shared" si="5"/>
        <v>2029 г.</v>
      </c>
      <c r="AV9" s="2104" t="str">
        <f t="shared" si="5"/>
        <v>2030 г.</v>
      </c>
      <c r="AW9" s="2105" t="str">
        <f t="shared" si="5"/>
        <v>2031 г.</v>
      </c>
      <c r="AX9" s="5294"/>
      <c r="AY9" s="4488"/>
      <c r="AZ9" s="4507" t="str">
        <f>+F9</f>
        <v>2024 г.</v>
      </c>
      <c r="BA9" s="4507" t="str">
        <f t="shared" ref="BA9:BG9" si="6">+G9</f>
        <v>2025 г.</v>
      </c>
      <c r="BB9" s="4507" t="str">
        <f t="shared" si="6"/>
        <v>2026 г.</v>
      </c>
      <c r="BC9" s="4507" t="str">
        <f t="shared" si="6"/>
        <v>2027 г.</v>
      </c>
      <c r="BD9" s="4507" t="str">
        <f t="shared" si="6"/>
        <v>2028 г.</v>
      </c>
      <c r="BE9" s="4507" t="str">
        <f t="shared" si="6"/>
        <v>2029 г.</v>
      </c>
      <c r="BF9" s="4507" t="str">
        <f t="shared" si="6"/>
        <v>2030 г.</v>
      </c>
      <c r="BG9" s="4507" t="str">
        <f t="shared" si="6"/>
        <v>2031 г.</v>
      </c>
      <c r="BH9" s="5198"/>
      <c r="BI9" s="4507" t="str">
        <f t="shared" ref="BI9" si="7">AZ9</f>
        <v>2024 г.</v>
      </c>
      <c r="BJ9" s="4507" t="str">
        <f t="shared" ref="BJ9" si="8">BA9</f>
        <v>2025 г.</v>
      </c>
      <c r="BK9" s="4507" t="str">
        <f t="shared" ref="BK9" si="9">BB9</f>
        <v>2026 г.</v>
      </c>
      <c r="BL9" s="4507" t="str">
        <f t="shared" ref="BL9" si="10">BC9</f>
        <v>2027 г.</v>
      </c>
      <c r="BM9" s="4507" t="str">
        <f t="shared" ref="BM9" si="11">BD9</f>
        <v>2028 г.</v>
      </c>
      <c r="BN9" s="4507" t="str">
        <f t="shared" ref="BN9" si="12">BE9</f>
        <v>2029 г.</v>
      </c>
      <c r="BO9" s="4507" t="str">
        <f t="shared" ref="BO9" si="13">BF9</f>
        <v>2030 г.</v>
      </c>
      <c r="BP9" s="4507" t="str">
        <f t="shared" ref="BP9" si="14">BG9</f>
        <v>2031 г.</v>
      </c>
      <c r="BQ9" s="4507" t="str">
        <f t="shared" ref="BQ9" si="15">BI9</f>
        <v>2024 г.</v>
      </c>
      <c r="BR9" s="4507" t="str">
        <f t="shared" ref="BR9" si="16">BJ9</f>
        <v>2025 г.</v>
      </c>
      <c r="BS9" s="4507" t="str">
        <f t="shared" ref="BS9" si="17">BK9</f>
        <v>2026 г.</v>
      </c>
      <c r="BT9" s="4507" t="str">
        <f t="shared" ref="BT9" si="18">BL9</f>
        <v>2027 г.</v>
      </c>
      <c r="BU9" s="4507" t="str">
        <f t="shared" ref="BU9" si="19">BM9</f>
        <v>2028 г.</v>
      </c>
      <c r="BV9" s="4507" t="str">
        <f t="shared" ref="BV9" si="20">BN9</f>
        <v>2029 г.</v>
      </c>
      <c r="BW9" s="4507" t="str">
        <f t="shared" ref="BW9" si="21">BO9</f>
        <v>2030 г.</v>
      </c>
      <c r="BX9" s="4507" t="str">
        <f t="shared" ref="BX9" si="22">BP9</f>
        <v>2031 г.</v>
      </c>
      <c r="BY9" s="4507" t="str">
        <f t="shared" ref="BY9" si="23">BI9</f>
        <v>2024 г.</v>
      </c>
      <c r="BZ9" s="4507" t="str">
        <f t="shared" ref="BZ9" si="24">BJ9</f>
        <v>2025 г.</v>
      </c>
      <c r="CA9" s="4507" t="str">
        <f t="shared" ref="CA9" si="25">BK9</f>
        <v>2026 г.</v>
      </c>
      <c r="CB9" s="4507" t="str">
        <f t="shared" ref="CB9" si="26">BL9</f>
        <v>2027 г.</v>
      </c>
      <c r="CC9" s="4507" t="str">
        <f t="shared" ref="CC9" si="27">BM9</f>
        <v>2028 г.</v>
      </c>
      <c r="CD9" s="4507" t="str">
        <f t="shared" ref="CD9" si="28">BN9</f>
        <v>2029 г.</v>
      </c>
      <c r="CE9" s="4507" t="str">
        <f t="shared" ref="CE9" si="29">BO9</f>
        <v>2030 г.</v>
      </c>
      <c r="CF9" s="4507" t="str">
        <f t="shared" ref="CF9" si="30">BX9</f>
        <v>2031 г.</v>
      </c>
    </row>
    <row r="10" spans="1:84" ht="16.2" thickBot="1">
      <c r="A10" s="5290" t="s">
        <v>1113</v>
      </c>
      <c r="B10" s="5291"/>
      <c r="C10" s="5291"/>
      <c r="D10" s="5291"/>
      <c r="E10" s="5291"/>
      <c r="F10" s="5291"/>
      <c r="G10" s="5291"/>
      <c r="H10" s="5291"/>
      <c r="I10" s="5291"/>
      <c r="J10" s="5291"/>
      <c r="K10" s="5291"/>
      <c r="L10" s="5291"/>
      <c r="M10" s="5291"/>
      <c r="N10" s="5291"/>
      <c r="O10" s="5291"/>
      <c r="P10" s="5291"/>
      <c r="Q10" s="5291"/>
      <c r="R10" s="5291"/>
      <c r="S10" s="5291"/>
      <c r="T10" s="5291"/>
      <c r="U10" s="5291"/>
      <c r="V10" s="5291"/>
      <c r="W10" s="5291"/>
      <c r="X10" s="5291"/>
      <c r="Y10" s="5291"/>
      <c r="Z10" s="5291"/>
      <c r="AA10" s="5291"/>
      <c r="AB10" s="5291"/>
      <c r="AC10" s="5291"/>
      <c r="AD10" s="5291"/>
      <c r="AE10" s="5291"/>
      <c r="AF10" s="5291"/>
      <c r="AG10" s="5291"/>
      <c r="AH10" s="5291"/>
      <c r="AI10" s="5291"/>
      <c r="AJ10" s="5291"/>
      <c r="AK10" s="5291"/>
      <c r="AL10" s="5291"/>
      <c r="AM10" s="5291"/>
      <c r="AN10" s="5291"/>
      <c r="AO10" s="5291"/>
      <c r="AP10" s="5291"/>
      <c r="AQ10" s="5291"/>
      <c r="AR10" s="5291"/>
      <c r="AS10" s="5291"/>
      <c r="AT10" s="5291"/>
      <c r="AU10" s="5291"/>
      <c r="AV10" s="5291"/>
      <c r="AW10" s="5291"/>
      <c r="AX10" s="5292"/>
      <c r="AY10" s="4488"/>
    </row>
    <row r="11" spans="1:84" ht="23.4" thickBot="1">
      <c r="A11" s="2106">
        <v>1.1000000000000001</v>
      </c>
      <c r="B11" s="2106"/>
      <c r="C11" s="2106"/>
      <c r="D11" s="2107"/>
      <c r="E11" s="2108" t="s">
        <v>207</v>
      </c>
      <c r="F11" s="2109">
        <f>SUM(F12:F35)</f>
        <v>827.0104</v>
      </c>
      <c r="G11" s="4138">
        <f>SUM(G12:G35)</f>
        <v>1519.0706300000002</v>
      </c>
      <c r="H11" s="2110">
        <f t="shared" ref="H11:AL11" si="31">SUM(H12:H35)</f>
        <v>812.25</v>
      </c>
      <c r="I11" s="2111">
        <f t="shared" si="31"/>
        <v>613</v>
      </c>
      <c r="J11" s="2112">
        <f t="shared" si="31"/>
        <v>618</v>
      </c>
      <c r="K11" s="2112">
        <f t="shared" si="31"/>
        <v>649</v>
      </c>
      <c r="L11" s="2112">
        <f t="shared" si="31"/>
        <v>660</v>
      </c>
      <c r="M11" s="2113">
        <f t="shared" si="31"/>
        <v>648</v>
      </c>
      <c r="N11" s="2114">
        <f t="shared" si="31"/>
        <v>3188</v>
      </c>
      <c r="O11" s="2115">
        <f t="shared" ref="O11" si="32">SUM(O12:O35)</f>
        <v>827.0104</v>
      </c>
      <c r="P11" s="4154">
        <f t="shared" si="31"/>
        <v>1519.0706300000002</v>
      </c>
      <c r="Q11" s="2116">
        <f t="shared" si="31"/>
        <v>812.25</v>
      </c>
      <c r="R11" s="2117">
        <f t="shared" si="31"/>
        <v>613</v>
      </c>
      <c r="S11" s="2118">
        <f t="shared" si="31"/>
        <v>618</v>
      </c>
      <c r="T11" s="2118">
        <f t="shared" si="31"/>
        <v>649</v>
      </c>
      <c r="U11" s="2118">
        <f t="shared" si="31"/>
        <v>660</v>
      </c>
      <c r="V11" s="2119">
        <f t="shared" si="31"/>
        <v>648</v>
      </c>
      <c r="W11" s="2115">
        <f t="shared" ref="W11" si="33">SUM(W12:W35)</f>
        <v>0</v>
      </c>
      <c r="X11" s="4154">
        <f t="shared" si="31"/>
        <v>0</v>
      </c>
      <c r="Y11" s="2116">
        <f t="shared" si="31"/>
        <v>0</v>
      </c>
      <c r="Z11" s="2117">
        <f t="shared" si="31"/>
        <v>0</v>
      </c>
      <c r="AA11" s="2118">
        <f t="shared" si="31"/>
        <v>0</v>
      </c>
      <c r="AB11" s="2118">
        <f t="shared" si="31"/>
        <v>0</v>
      </c>
      <c r="AC11" s="2118">
        <f t="shared" si="31"/>
        <v>0</v>
      </c>
      <c r="AD11" s="2119">
        <f t="shared" si="31"/>
        <v>0</v>
      </c>
      <c r="AE11" s="2115">
        <f t="shared" ref="AE11" si="34">SUM(AE12:AE35)</f>
        <v>0</v>
      </c>
      <c r="AF11" s="4154">
        <f t="shared" si="31"/>
        <v>0</v>
      </c>
      <c r="AG11" s="2116">
        <f t="shared" si="31"/>
        <v>0</v>
      </c>
      <c r="AH11" s="2117">
        <f t="shared" si="31"/>
        <v>0</v>
      </c>
      <c r="AI11" s="2118">
        <f t="shared" si="31"/>
        <v>0</v>
      </c>
      <c r="AJ11" s="2118">
        <f t="shared" si="31"/>
        <v>0</v>
      </c>
      <c r="AK11" s="2118">
        <f t="shared" si="31"/>
        <v>0</v>
      </c>
      <c r="AL11" s="2120">
        <f t="shared" si="31"/>
        <v>0</v>
      </c>
      <c r="AM11" s="2121"/>
      <c r="AN11" s="2122"/>
      <c r="AO11" s="2123"/>
      <c r="AP11" s="2121"/>
      <c r="AQ11" s="2121"/>
      <c r="AR11" s="2124"/>
      <c r="AS11" s="2124"/>
      <c r="AT11" s="2124"/>
      <c r="AU11" s="2124"/>
      <c r="AV11" s="2124"/>
      <c r="AW11" s="2125"/>
      <c r="AX11" s="2126"/>
      <c r="AY11" s="4488"/>
      <c r="AZ11" s="4504">
        <f>IFERROR(F11/$E$1,0)</f>
        <v>422.84370318483712</v>
      </c>
      <c r="BA11" s="4504">
        <f t="shared" ref="BA11:CE11" si="35">IFERROR(G11/$E$1,0)</f>
        <v>776.68848008262489</v>
      </c>
      <c r="BB11" s="4504">
        <f t="shared" si="35"/>
        <v>415.29683050162845</v>
      </c>
      <c r="BC11" s="4504">
        <f t="shared" si="35"/>
        <v>313.42192317328193</v>
      </c>
      <c r="BD11" s="4504">
        <f t="shared" si="35"/>
        <v>315.97838257926304</v>
      </c>
      <c r="BE11" s="4504">
        <f t="shared" si="35"/>
        <v>331.82843089634582</v>
      </c>
      <c r="BF11" s="4504">
        <f t="shared" si="35"/>
        <v>337.4526415895042</v>
      </c>
      <c r="BG11" s="4504">
        <f t="shared" si="35"/>
        <v>331.31713901514956</v>
      </c>
      <c r="BH11" s="4504">
        <f t="shared" si="35"/>
        <v>1629.9985172535446</v>
      </c>
      <c r="BI11" s="4504">
        <f t="shared" si="35"/>
        <v>422.84370318483712</v>
      </c>
      <c r="BJ11" s="4504">
        <f t="shared" si="35"/>
        <v>776.68848008262489</v>
      </c>
      <c r="BK11" s="4504">
        <f t="shared" si="35"/>
        <v>415.29683050162845</v>
      </c>
      <c r="BL11" s="4504">
        <f t="shared" si="35"/>
        <v>313.42192317328193</v>
      </c>
      <c r="BM11" s="4504">
        <f t="shared" si="35"/>
        <v>315.97838257926304</v>
      </c>
      <c r="BN11" s="4504">
        <f t="shared" si="35"/>
        <v>331.82843089634582</v>
      </c>
      <c r="BO11" s="4504">
        <f t="shared" si="35"/>
        <v>337.4526415895042</v>
      </c>
      <c r="BP11" s="4504">
        <f t="shared" si="35"/>
        <v>331.31713901514956</v>
      </c>
      <c r="BQ11" s="4504">
        <f t="shared" si="35"/>
        <v>0</v>
      </c>
      <c r="BR11" s="4504">
        <f t="shared" si="35"/>
        <v>0</v>
      </c>
      <c r="BS11" s="4504">
        <f t="shared" si="35"/>
        <v>0</v>
      </c>
      <c r="BT11" s="4504">
        <f t="shared" si="35"/>
        <v>0</v>
      </c>
      <c r="BU11" s="4504">
        <f t="shared" si="35"/>
        <v>0</v>
      </c>
      <c r="BV11" s="4504">
        <f t="shared" si="35"/>
        <v>0</v>
      </c>
      <c r="BW11" s="4504">
        <f t="shared" si="35"/>
        <v>0</v>
      </c>
      <c r="BX11" s="4504">
        <f t="shared" si="35"/>
        <v>0</v>
      </c>
      <c r="BY11" s="4504">
        <f t="shared" si="35"/>
        <v>0</v>
      </c>
      <c r="BZ11" s="4504">
        <f t="shared" si="35"/>
        <v>0</v>
      </c>
      <c r="CA11" s="4504">
        <f t="shared" si="35"/>
        <v>0</v>
      </c>
      <c r="CB11" s="4504">
        <f t="shared" si="35"/>
        <v>0</v>
      </c>
      <c r="CC11" s="4504">
        <f t="shared" si="35"/>
        <v>0</v>
      </c>
      <c r="CD11" s="4504">
        <f t="shared" si="35"/>
        <v>0</v>
      </c>
      <c r="CE11" s="4504">
        <f t="shared" si="35"/>
        <v>0</v>
      </c>
      <c r="CF11" s="4504">
        <f>IFERROR(AL11/$E$1,0)</f>
        <v>0</v>
      </c>
    </row>
    <row r="12" spans="1:84">
      <c r="A12" s="2127"/>
      <c r="B12" s="2128">
        <v>2040201</v>
      </c>
      <c r="C12" s="2128" t="s">
        <v>1792</v>
      </c>
      <c r="D12" s="2129">
        <v>0.02</v>
      </c>
      <c r="E12" s="2130" t="s">
        <v>738</v>
      </c>
      <c r="F12" s="4142">
        <f t="shared" ref="F12:F35" si="36">O12+W12+AE12</f>
        <v>0</v>
      </c>
      <c r="G12" s="4139">
        <f t="shared" ref="G12:G35" si="37">P12+X12+AF12</f>
        <v>0</v>
      </c>
      <c r="H12" s="2131">
        <f t="shared" ref="H12:H35" si="38">Q12+Y12+AG12</f>
        <v>0</v>
      </c>
      <c r="I12" s="2132">
        <f t="shared" ref="I12:I35" si="39">R12+Z12+AH12</f>
        <v>0</v>
      </c>
      <c r="J12" s="2133">
        <f t="shared" ref="J12:J35" si="40">S12+AA12+AI12</f>
        <v>0</v>
      </c>
      <c r="K12" s="2133">
        <f t="shared" ref="K12:K35" si="41">T12+AB12+AJ12</f>
        <v>0</v>
      </c>
      <c r="L12" s="2133">
        <f t="shared" ref="L12:L35" si="42">U12+AC12+AK12</f>
        <v>0</v>
      </c>
      <c r="M12" s="2134">
        <f t="shared" ref="M12:M35" si="43">V12+AD12+AL12</f>
        <v>0</v>
      </c>
      <c r="N12" s="2135">
        <f>SUM(I12:M12)</f>
        <v>0</v>
      </c>
      <c r="O12" s="1276"/>
      <c r="P12" s="1278"/>
      <c r="Q12" s="1277"/>
      <c r="R12" s="1278"/>
      <c r="S12" s="1279"/>
      <c r="T12" s="1279"/>
      <c r="U12" s="1279"/>
      <c r="V12" s="1279"/>
      <c r="W12" s="1276"/>
      <c r="X12" s="1278"/>
      <c r="Y12" s="1277"/>
      <c r="Z12" s="1278"/>
      <c r="AA12" s="1279"/>
      <c r="AB12" s="1279"/>
      <c r="AC12" s="1279"/>
      <c r="AD12" s="1279"/>
      <c r="AE12" s="1276"/>
      <c r="AF12" s="1278"/>
      <c r="AG12" s="1277"/>
      <c r="AH12" s="1278"/>
      <c r="AI12" s="1279"/>
      <c r="AJ12" s="1279"/>
      <c r="AK12" s="1279"/>
      <c r="AL12" s="1280"/>
      <c r="AM12" s="1281"/>
      <c r="AN12" s="1282"/>
      <c r="AO12" s="2136" t="s">
        <v>676</v>
      </c>
      <c r="AP12" s="1278"/>
      <c r="AQ12" s="1278"/>
      <c r="AR12" s="1277"/>
      <c r="AS12" s="1278"/>
      <c r="AT12" s="1279"/>
      <c r="AU12" s="1279"/>
      <c r="AV12" s="1279"/>
      <c r="AW12" s="1277"/>
      <c r="AX12" s="2137" t="s">
        <v>354</v>
      </c>
      <c r="AY12" s="4488"/>
      <c r="AZ12" s="4504">
        <f t="shared" ref="AZ12:AZ75" si="44">IFERROR(F12/$E$1,0)</f>
        <v>0</v>
      </c>
      <c r="BA12" s="4504">
        <f t="shared" ref="BA12:BA75" si="45">IFERROR(G12/$E$1,0)</f>
        <v>0</v>
      </c>
      <c r="BB12" s="4504">
        <f t="shared" ref="BB12:BB75" si="46">IFERROR(H12/$E$1,0)</f>
        <v>0</v>
      </c>
      <c r="BC12" s="4504">
        <f t="shared" ref="BC12:BC75" si="47">IFERROR(I12/$E$1,0)</f>
        <v>0</v>
      </c>
      <c r="BD12" s="4504">
        <f t="shared" ref="BD12:BD75" si="48">IFERROR(J12/$E$1,0)</f>
        <v>0</v>
      </c>
      <c r="BE12" s="4504">
        <f t="shared" ref="BE12:BE75" si="49">IFERROR(K12/$E$1,0)</f>
        <v>0</v>
      </c>
      <c r="BF12" s="4504">
        <f t="shared" ref="BF12:BF75" si="50">IFERROR(L12/$E$1,0)</f>
        <v>0</v>
      </c>
      <c r="BG12" s="4504">
        <f t="shared" ref="BG12:BG75" si="51">IFERROR(M12/$E$1,0)</f>
        <v>0</v>
      </c>
      <c r="BH12" s="4504">
        <f t="shared" ref="BH12:BH75" si="52">IFERROR(N12/$E$1,0)</f>
        <v>0</v>
      </c>
      <c r="BI12" s="4504">
        <f t="shared" ref="BI12:BI75" si="53">IFERROR(O12/$E$1,0)</f>
        <v>0</v>
      </c>
      <c r="BJ12" s="4504">
        <f t="shared" ref="BJ12:BJ75" si="54">IFERROR(P12/$E$1,0)</f>
        <v>0</v>
      </c>
      <c r="BK12" s="4504">
        <f t="shared" ref="BK12:BK75" si="55">IFERROR(Q12/$E$1,0)</f>
        <v>0</v>
      </c>
      <c r="BL12" s="4504">
        <f t="shared" ref="BL12:BL75" si="56">IFERROR(R12/$E$1,0)</f>
        <v>0</v>
      </c>
      <c r="BM12" s="4504">
        <f t="shared" ref="BM12:BM75" si="57">IFERROR(S12/$E$1,0)</f>
        <v>0</v>
      </c>
      <c r="BN12" s="4504">
        <f t="shared" ref="BN12:BN75" si="58">IFERROR(T12/$E$1,0)</f>
        <v>0</v>
      </c>
      <c r="BO12" s="4504">
        <f t="shared" ref="BO12:BO75" si="59">IFERROR(U12/$E$1,0)</f>
        <v>0</v>
      </c>
      <c r="BP12" s="4504">
        <f t="shared" ref="BP12:BP75" si="60">IFERROR(V12/$E$1,0)</f>
        <v>0</v>
      </c>
      <c r="BQ12" s="4504">
        <f t="shared" ref="BQ12:BQ75" si="61">IFERROR(W12/$E$1,0)</f>
        <v>0</v>
      </c>
      <c r="BR12" s="4504">
        <f t="shared" ref="BR12:BR75" si="62">IFERROR(X12/$E$1,0)</f>
        <v>0</v>
      </c>
      <c r="BS12" s="4504">
        <f t="shared" ref="BS12:BS75" si="63">IFERROR(Y12/$E$1,0)</f>
        <v>0</v>
      </c>
      <c r="BT12" s="4504">
        <f t="shared" ref="BT12:BT75" si="64">IFERROR(Z12/$E$1,0)</f>
        <v>0</v>
      </c>
      <c r="BU12" s="4504">
        <f t="shared" ref="BU12:BU75" si="65">IFERROR(AA12/$E$1,0)</f>
        <v>0</v>
      </c>
      <c r="BV12" s="4504">
        <f t="shared" ref="BV12:BV75" si="66">IFERROR(AB12/$E$1,0)</f>
        <v>0</v>
      </c>
      <c r="BW12" s="4504">
        <f t="shared" ref="BW12:BW75" si="67">IFERROR(AC12/$E$1,0)</f>
        <v>0</v>
      </c>
      <c r="BX12" s="4504">
        <f t="shared" ref="BX12:BX75" si="68">IFERROR(AD12/$E$1,0)</f>
        <v>0</v>
      </c>
      <c r="BY12" s="4504">
        <f t="shared" ref="BY12:BY75" si="69">IFERROR(AE12/$E$1,0)</f>
        <v>0</v>
      </c>
      <c r="BZ12" s="4504">
        <f t="shared" ref="BZ12:BZ75" si="70">IFERROR(AF12/$E$1,0)</f>
        <v>0</v>
      </c>
      <c r="CA12" s="4504">
        <f t="shared" ref="CA12:CA75" si="71">IFERROR(AG12/$E$1,0)</f>
        <v>0</v>
      </c>
      <c r="CB12" s="4504">
        <f t="shared" ref="CB12:CB75" si="72">IFERROR(AH12/$E$1,0)</f>
        <v>0</v>
      </c>
      <c r="CC12" s="4504">
        <f t="shared" ref="CC12:CC75" si="73">IFERROR(AI12/$E$1,0)</f>
        <v>0</v>
      </c>
      <c r="CD12" s="4504">
        <f t="shared" ref="CD12:CD75" si="74">IFERROR(AJ12/$E$1,0)</f>
        <v>0</v>
      </c>
      <c r="CE12" s="4504">
        <f t="shared" ref="CE12:CE75" si="75">IFERROR(AK12/$E$1,0)</f>
        <v>0</v>
      </c>
      <c r="CF12" s="4504">
        <f t="shared" ref="CF12:CF75" si="76">IFERROR(AL12/$E$1,0)</f>
        <v>0</v>
      </c>
    </row>
    <row r="13" spans="1:84">
      <c r="A13" s="2138"/>
      <c r="B13" s="2139">
        <v>2040202</v>
      </c>
      <c r="C13" s="2139" t="s">
        <v>1793</v>
      </c>
      <c r="D13" s="2140">
        <v>0.02</v>
      </c>
      <c r="E13" s="2141" t="s">
        <v>741</v>
      </c>
      <c r="F13" s="2143">
        <f t="shared" si="36"/>
        <v>0</v>
      </c>
      <c r="G13" s="4140">
        <f t="shared" si="37"/>
        <v>0</v>
      </c>
      <c r="H13" s="2142">
        <f t="shared" si="38"/>
        <v>2</v>
      </c>
      <c r="I13" s="2143">
        <f t="shared" si="39"/>
        <v>3</v>
      </c>
      <c r="J13" s="2144">
        <f t="shared" si="40"/>
        <v>3</v>
      </c>
      <c r="K13" s="2144">
        <f t="shared" si="41"/>
        <v>3</v>
      </c>
      <c r="L13" s="2144">
        <f t="shared" si="42"/>
        <v>3</v>
      </c>
      <c r="M13" s="2145">
        <f t="shared" si="43"/>
        <v>3</v>
      </c>
      <c r="N13" s="2146">
        <f t="shared" ref="N13:N70" si="77">SUM(I13:M13)</f>
        <v>15</v>
      </c>
      <c r="O13" s="1283"/>
      <c r="P13" s="1285"/>
      <c r="Q13" s="1284">
        <v>2</v>
      </c>
      <c r="R13" s="1285">
        <v>3</v>
      </c>
      <c r="S13" s="1286">
        <v>3</v>
      </c>
      <c r="T13" s="1286">
        <v>3</v>
      </c>
      <c r="U13" s="1286">
        <v>3</v>
      </c>
      <c r="V13" s="1286">
        <v>3</v>
      </c>
      <c r="W13" s="1283"/>
      <c r="X13" s="1285"/>
      <c r="Y13" s="1284"/>
      <c r="Z13" s="1285"/>
      <c r="AA13" s="1286"/>
      <c r="AB13" s="1286"/>
      <c r="AC13" s="1286"/>
      <c r="AD13" s="1286"/>
      <c r="AE13" s="1283"/>
      <c r="AF13" s="1285"/>
      <c r="AG13" s="1284"/>
      <c r="AH13" s="1285"/>
      <c r="AI13" s="1286"/>
      <c r="AJ13" s="1286"/>
      <c r="AK13" s="1286"/>
      <c r="AL13" s="1287"/>
      <c r="AM13" s="1288"/>
      <c r="AN13" s="1289"/>
      <c r="AO13" s="2147" t="s">
        <v>676</v>
      </c>
      <c r="AP13" s="1285"/>
      <c r="AQ13" s="1285"/>
      <c r="AR13" s="1284">
        <v>1</v>
      </c>
      <c r="AS13" s="1285">
        <v>1</v>
      </c>
      <c r="AT13" s="1286">
        <v>1</v>
      </c>
      <c r="AU13" s="1286">
        <v>1</v>
      </c>
      <c r="AV13" s="1286">
        <v>1</v>
      </c>
      <c r="AW13" s="1284">
        <v>1</v>
      </c>
      <c r="AX13" s="2148" t="s">
        <v>354</v>
      </c>
      <c r="AY13" s="4488"/>
      <c r="AZ13" s="4504">
        <f t="shared" si="44"/>
        <v>0</v>
      </c>
      <c r="BA13" s="4504">
        <f t="shared" si="45"/>
        <v>0</v>
      </c>
      <c r="BB13" s="4504">
        <f t="shared" si="46"/>
        <v>1.022583762392437</v>
      </c>
      <c r="BC13" s="4504">
        <f t="shared" si="47"/>
        <v>1.5338756435886556</v>
      </c>
      <c r="BD13" s="4504">
        <f t="shared" si="48"/>
        <v>1.5338756435886556</v>
      </c>
      <c r="BE13" s="4504">
        <f t="shared" si="49"/>
        <v>1.5338756435886556</v>
      </c>
      <c r="BF13" s="4504">
        <f t="shared" si="50"/>
        <v>1.5338756435886556</v>
      </c>
      <c r="BG13" s="4504">
        <f t="shared" si="51"/>
        <v>1.5338756435886556</v>
      </c>
      <c r="BH13" s="4504">
        <f t="shared" si="52"/>
        <v>7.6693782179432777</v>
      </c>
      <c r="BI13" s="4504">
        <f t="shared" si="53"/>
        <v>0</v>
      </c>
      <c r="BJ13" s="4504">
        <f t="shared" si="54"/>
        <v>0</v>
      </c>
      <c r="BK13" s="4504">
        <f t="shared" si="55"/>
        <v>1.022583762392437</v>
      </c>
      <c r="BL13" s="4504">
        <f t="shared" si="56"/>
        <v>1.5338756435886556</v>
      </c>
      <c r="BM13" s="4504">
        <f t="shared" si="57"/>
        <v>1.5338756435886556</v>
      </c>
      <c r="BN13" s="4504">
        <f t="shared" si="58"/>
        <v>1.5338756435886556</v>
      </c>
      <c r="BO13" s="4504">
        <f t="shared" si="59"/>
        <v>1.5338756435886556</v>
      </c>
      <c r="BP13" s="4504">
        <f t="shared" si="60"/>
        <v>1.5338756435886556</v>
      </c>
      <c r="BQ13" s="4504">
        <f t="shared" si="61"/>
        <v>0</v>
      </c>
      <c r="BR13" s="4504">
        <f t="shared" si="62"/>
        <v>0</v>
      </c>
      <c r="BS13" s="4504">
        <f t="shared" si="63"/>
        <v>0</v>
      </c>
      <c r="BT13" s="4504">
        <f t="shared" si="64"/>
        <v>0</v>
      </c>
      <c r="BU13" s="4504">
        <f t="shared" si="65"/>
        <v>0</v>
      </c>
      <c r="BV13" s="4504">
        <f t="shared" si="66"/>
        <v>0</v>
      </c>
      <c r="BW13" s="4504">
        <f t="shared" si="67"/>
        <v>0</v>
      </c>
      <c r="BX13" s="4504">
        <f t="shared" si="68"/>
        <v>0</v>
      </c>
      <c r="BY13" s="4504">
        <f t="shared" si="69"/>
        <v>0</v>
      </c>
      <c r="BZ13" s="4504">
        <f t="shared" si="70"/>
        <v>0</v>
      </c>
      <c r="CA13" s="4504">
        <f t="shared" si="71"/>
        <v>0</v>
      </c>
      <c r="CB13" s="4504">
        <f t="shared" si="72"/>
        <v>0</v>
      </c>
      <c r="CC13" s="4504">
        <f t="shared" si="73"/>
        <v>0</v>
      </c>
      <c r="CD13" s="4504">
        <f t="shared" si="74"/>
        <v>0</v>
      </c>
      <c r="CE13" s="4504">
        <f t="shared" si="75"/>
        <v>0</v>
      </c>
      <c r="CF13" s="4504">
        <f t="shared" si="76"/>
        <v>0</v>
      </c>
    </row>
    <row r="14" spans="1:84">
      <c r="A14" s="2138"/>
      <c r="B14" s="2139">
        <v>2040204</v>
      </c>
      <c r="C14" s="2139" t="s">
        <v>1794</v>
      </c>
      <c r="D14" s="2140">
        <v>0.02</v>
      </c>
      <c r="E14" s="2141" t="s">
        <v>355</v>
      </c>
      <c r="F14" s="2143">
        <f t="shared" si="36"/>
        <v>0</v>
      </c>
      <c r="G14" s="4140">
        <f t="shared" si="37"/>
        <v>0</v>
      </c>
      <c r="H14" s="2142">
        <f t="shared" si="38"/>
        <v>2</v>
      </c>
      <c r="I14" s="2143">
        <f t="shared" si="39"/>
        <v>2</v>
      </c>
      <c r="J14" s="2144">
        <f t="shared" si="40"/>
        <v>2</v>
      </c>
      <c r="K14" s="2144">
        <f t="shared" si="41"/>
        <v>2</v>
      </c>
      <c r="L14" s="2144">
        <f t="shared" si="42"/>
        <v>2</v>
      </c>
      <c r="M14" s="2145">
        <f t="shared" si="43"/>
        <v>2</v>
      </c>
      <c r="N14" s="2146">
        <f>SUM(I14:M14)</f>
        <v>10</v>
      </c>
      <c r="O14" s="1283"/>
      <c r="P14" s="1285"/>
      <c r="Q14" s="1284">
        <v>2</v>
      </c>
      <c r="R14" s="1285">
        <v>2</v>
      </c>
      <c r="S14" s="1286">
        <v>2</v>
      </c>
      <c r="T14" s="1286">
        <v>2</v>
      </c>
      <c r="U14" s="1286">
        <v>2</v>
      </c>
      <c r="V14" s="1286">
        <v>2</v>
      </c>
      <c r="W14" s="1283"/>
      <c r="X14" s="1285"/>
      <c r="Y14" s="1284"/>
      <c r="Z14" s="1285"/>
      <c r="AA14" s="1286"/>
      <c r="AB14" s="1286"/>
      <c r="AC14" s="1286"/>
      <c r="AD14" s="1286"/>
      <c r="AE14" s="1283"/>
      <c r="AF14" s="1285"/>
      <c r="AG14" s="1284"/>
      <c r="AH14" s="1285"/>
      <c r="AI14" s="1286"/>
      <c r="AJ14" s="1286"/>
      <c r="AK14" s="1286"/>
      <c r="AL14" s="1287"/>
      <c r="AM14" s="1288"/>
      <c r="AN14" s="1289"/>
      <c r="AO14" s="2147" t="s">
        <v>676</v>
      </c>
      <c r="AP14" s="1285"/>
      <c r="AQ14" s="1285"/>
      <c r="AR14" s="1284">
        <v>2</v>
      </c>
      <c r="AS14" s="1285">
        <v>1</v>
      </c>
      <c r="AT14" s="1286">
        <v>1</v>
      </c>
      <c r="AU14" s="1286">
        <v>1</v>
      </c>
      <c r="AV14" s="1286">
        <v>1</v>
      </c>
      <c r="AW14" s="1284">
        <v>1</v>
      </c>
      <c r="AX14" s="2148" t="s">
        <v>354</v>
      </c>
      <c r="AY14" s="4488"/>
      <c r="AZ14" s="4504">
        <f t="shared" si="44"/>
        <v>0</v>
      </c>
      <c r="BA14" s="4504">
        <f t="shared" si="45"/>
        <v>0</v>
      </c>
      <c r="BB14" s="4504">
        <f t="shared" si="46"/>
        <v>1.022583762392437</v>
      </c>
      <c r="BC14" s="4504">
        <f t="shared" si="47"/>
        <v>1.022583762392437</v>
      </c>
      <c r="BD14" s="4504">
        <f t="shared" si="48"/>
        <v>1.022583762392437</v>
      </c>
      <c r="BE14" s="4504">
        <f t="shared" si="49"/>
        <v>1.022583762392437</v>
      </c>
      <c r="BF14" s="4504">
        <f t="shared" si="50"/>
        <v>1.022583762392437</v>
      </c>
      <c r="BG14" s="4504">
        <f t="shared" si="51"/>
        <v>1.022583762392437</v>
      </c>
      <c r="BH14" s="4504">
        <f t="shared" si="52"/>
        <v>5.1129188119621851</v>
      </c>
      <c r="BI14" s="4504">
        <f t="shared" si="53"/>
        <v>0</v>
      </c>
      <c r="BJ14" s="4504">
        <f t="shared" si="54"/>
        <v>0</v>
      </c>
      <c r="BK14" s="4504">
        <f t="shared" si="55"/>
        <v>1.022583762392437</v>
      </c>
      <c r="BL14" s="4504">
        <f t="shared" si="56"/>
        <v>1.022583762392437</v>
      </c>
      <c r="BM14" s="4504">
        <f t="shared" si="57"/>
        <v>1.022583762392437</v>
      </c>
      <c r="BN14" s="4504">
        <f t="shared" si="58"/>
        <v>1.022583762392437</v>
      </c>
      <c r="BO14" s="4504">
        <f t="shared" si="59"/>
        <v>1.022583762392437</v>
      </c>
      <c r="BP14" s="4504">
        <f t="shared" si="60"/>
        <v>1.022583762392437</v>
      </c>
      <c r="BQ14" s="4504">
        <f t="shared" si="61"/>
        <v>0</v>
      </c>
      <c r="BR14" s="4504">
        <f t="shared" si="62"/>
        <v>0</v>
      </c>
      <c r="BS14" s="4504">
        <f t="shared" si="63"/>
        <v>0</v>
      </c>
      <c r="BT14" s="4504">
        <f t="shared" si="64"/>
        <v>0</v>
      </c>
      <c r="BU14" s="4504">
        <f t="shared" si="65"/>
        <v>0</v>
      </c>
      <c r="BV14" s="4504">
        <f t="shared" si="66"/>
        <v>0</v>
      </c>
      <c r="BW14" s="4504">
        <f t="shared" si="67"/>
        <v>0</v>
      </c>
      <c r="BX14" s="4504">
        <f t="shared" si="68"/>
        <v>0</v>
      </c>
      <c r="BY14" s="4504">
        <f t="shared" si="69"/>
        <v>0</v>
      </c>
      <c r="BZ14" s="4504">
        <f t="shared" si="70"/>
        <v>0</v>
      </c>
      <c r="CA14" s="4504">
        <f t="shared" si="71"/>
        <v>0</v>
      </c>
      <c r="CB14" s="4504">
        <f t="shared" si="72"/>
        <v>0</v>
      </c>
      <c r="CC14" s="4504">
        <f t="shared" si="73"/>
        <v>0</v>
      </c>
      <c r="CD14" s="4504">
        <f t="shared" si="74"/>
        <v>0</v>
      </c>
      <c r="CE14" s="4504">
        <f t="shared" si="75"/>
        <v>0</v>
      </c>
      <c r="CF14" s="4504">
        <f t="shared" si="76"/>
        <v>0</v>
      </c>
    </row>
    <row r="15" spans="1:84">
      <c r="A15" s="2138"/>
      <c r="B15" s="2139">
        <v>20202</v>
      </c>
      <c r="C15" s="2139" t="s">
        <v>1795</v>
      </c>
      <c r="D15" s="2149">
        <v>0.03</v>
      </c>
      <c r="E15" s="2141" t="s">
        <v>356</v>
      </c>
      <c r="F15" s="2143">
        <f t="shared" si="36"/>
        <v>0</v>
      </c>
      <c r="G15" s="4140">
        <f t="shared" si="37"/>
        <v>0</v>
      </c>
      <c r="H15" s="2142">
        <f t="shared" si="38"/>
        <v>20</v>
      </c>
      <c r="I15" s="2143">
        <f t="shared" si="39"/>
        <v>8</v>
      </c>
      <c r="J15" s="2144">
        <f t="shared" si="40"/>
        <v>8</v>
      </c>
      <c r="K15" s="2144">
        <f t="shared" si="41"/>
        <v>8</v>
      </c>
      <c r="L15" s="2144">
        <f t="shared" si="42"/>
        <v>8</v>
      </c>
      <c r="M15" s="2145">
        <f t="shared" si="43"/>
        <v>8</v>
      </c>
      <c r="N15" s="2146">
        <f t="shared" si="77"/>
        <v>40</v>
      </c>
      <c r="O15" s="1283"/>
      <c r="P15" s="1285"/>
      <c r="Q15" s="1284">
        <v>20</v>
      </c>
      <c r="R15" s="1285">
        <v>8</v>
      </c>
      <c r="S15" s="1286">
        <v>8</v>
      </c>
      <c r="T15" s="1286">
        <v>8</v>
      </c>
      <c r="U15" s="1286">
        <v>8</v>
      </c>
      <c r="V15" s="1286">
        <v>8</v>
      </c>
      <c r="W15" s="1283"/>
      <c r="X15" s="1285"/>
      <c r="Y15" s="1284"/>
      <c r="Z15" s="1285"/>
      <c r="AA15" s="1286"/>
      <c r="AB15" s="1286"/>
      <c r="AC15" s="1286"/>
      <c r="AD15" s="1286"/>
      <c r="AE15" s="1283"/>
      <c r="AF15" s="1285"/>
      <c r="AG15" s="1284"/>
      <c r="AH15" s="1285"/>
      <c r="AI15" s="1286"/>
      <c r="AJ15" s="1286"/>
      <c r="AK15" s="1286"/>
      <c r="AL15" s="1287"/>
      <c r="AM15" s="1288"/>
      <c r="AN15" s="1289"/>
      <c r="AO15" s="2147" t="s">
        <v>676</v>
      </c>
      <c r="AP15" s="1285"/>
      <c r="AQ15" s="1285"/>
      <c r="AR15" s="1284">
        <v>10</v>
      </c>
      <c r="AS15" s="1285">
        <v>5</v>
      </c>
      <c r="AT15" s="1286">
        <v>5</v>
      </c>
      <c r="AU15" s="1286">
        <v>5</v>
      </c>
      <c r="AV15" s="1286">
        <v>5</v>
      </c>
      <c r="AW15" s="1284">
        <v>5</v>
      </c>
      <c r="AX15" s="2148" t="s">
        <v>354</v>
      </c>
      <c r="AY15" s="4488"/>
      <c r="AZ15" s="4504">
        <f t="shared" si="44"/>
        <v>0</v>
      </c>
      <c r="BA15" s="4504">
        <f t="shared" si="45"/>
        <v>0</v>
      </c>
      <c r="BB15" s="4504">
        <f t="shared" si="46"/>
        <v>10.22583762392437</v>
      </c>
      <c r="BC15" s="4504">
        <f t="shared" si="47"/>
        <v>4.0903350495697479</v>
      </c>
      <c r="BD15" s="4504">
        <f t="shared" si="48"/>
        <v>4.0903350495697479</v>
      </c>
      <c r="BE15" s="4504">
        <f t="shared" si="49"/>
        <v>4.0903350495697479</v>
      </c>
      <c r="BF15" s="4504">
        <f t="shared" si="50"/>
        <v>4.0903350495697479</v>
      </c>
      <c r="BG15" s="4504">
        <f t="shared" si="51"/>
        <v>4.0903350495697479</v>
      </c>
      <c r="BH15" s="4504">
        <f t="shared" si="52"/>
        <v>20.45167524784874</v>
      </c>
      <c r="BI15" s="4504">
        <f t="shared" si="53"/>
        <v>0</v>
      </c>
      <c r="BJ15" s="4504">
        <f t="shared" si="54"/>
        <v>0</v>
      </c>
      <c r="BK15" s="4504">
        <f t="shared" si="55"/>
        <v>10.22583762392437</v>
      </c>
      <c r="BL15" s="4504">
        <f t="shared" si="56"/>
        <v>4.0903350495697479</v>
      </c>
      <c r="BM15" s="4504">
        <f t="shared" si="57"/>
        <v>4.0903350495697479</v>
      </c>
      <c r="BN15" s="4504">
        <f t="shared" si="58"/>
        <v>4.0903350495697479</v>
      </c>
      <c r="BO15" s="4504">
        <f t="shared" si="59"/>
        <v>4.0903350495697479</v>
      </c>
      <c r="BP15" s="4504">
        <f t="shared" si="60"/>
        <v>4.0903350495697479</v>
      </c>
      <c r="BQ15" s="4504">
        <f t="shared" si="61"/>
        <v>0</v>
      </c>
      <c r="BR15" s="4504">
        <f t="shared" si="62"/>
        <v>0</v>
      </c>
      <c r="BS15" s="4504">
        <f t="shared" si="63"/>
        <v>0</v>
      </c>
      <c r="BT15" s="4504">
        <f t="shared" si="64"/>
        <v>0</v>
      </c>
      <c r="BU15" s="4504">
        <f t="shared" si="65"/>
        <v>0</v>
      </c>
      <c r="BV15" s="4504">
        <f t="shared" si="66"/>
        <v>0</v>
      </c>
      <c r="BW15" s="4504">
        <f t="shared" si="67"/>
        <v>0</v>
      </c>
      <c r="BX15" s="4504">
        <f t="shared" si="68"/>
        <v>0</v>
      </c>
      <c r="BY15" s="4504">
        <f t="shared" si="69"/>
        <v>0</v>
      </c>
      <c r="BZ15" s="4504">
        <f t="shared" si="70"/>
        <v>0</v>
      </c>
      <c r="CA15" s="4504">
        <f t="shared" si="71"/>
        <v>0</v>
      </c>
      <c r="CB15" s="4504">
        <f t="shared" si="72"/>
        <v>0</v>
      </c>
      <c r="CC15" s="4504">
        <f t="shared" si="73"/>
        <v>0</v>
      </c>
      <c r="CD15" s="4504">
        <f t="shared" si="74"/>
        <v>0</v>
      </c>
      <c r="CE15" s="4504">
        <f t="shared" si="75"/>
        <v>0</v>
      </c>
      <c r="CF15" s="4504">
        <f t="shared" si="76"/>
        <v>0</v>
      </c>
    </row>
    <row r="16" spans="1:84">
      <c r="A16" s="2138"/>
      <c r="B16" s="2139">
        <v>2040205</v>
      </c>
      <c r="C16" s="2139" t="s">
        <v>1796</v>
      </c>
      <c r="D16" s="2140">
        <v>0.02</v>
      </c>
      <c r="E16" s="2141" t="s">
        <v>357</v>
      </c>
      <c r="F16" s="2143">
        <f t="shared" si="36"/>
        <v>112.57212000000001</v>
      </c>
      <c r="G16" s="4140">
        <f t="shared" si="37"/>
        <v>128.91821000000002</v>
      </c>
      <c r="H16" s="2142">
        <f t="shared" si="38"/>
        <v>360</v>
      </c>
      <c r="I16" s="2143">
        <f t="shared" si="39"/>
        <v>167</v>
      </c>
      <c r="J16" s="2144">
        <f t="shared" si="40"/>
        <v>172</v>
      </c>
      <c r="K16" s="2144">
        <f t="shared" si="41"/>
        <v>177</v>
      </c>
      <c r="L16" s="2144">
        <f t="shared" si="42"/>
        <v>182</v>
      </c>
      <c r="M16" s="2145">
        <f t="shared" si="43"/>
        <v>187</v>
      </c>
      <c r="N16" s="2146">
        <f t="shared" si="77"/>
        <v>885</v>
      </c>
      <c r="O16" s="1283">
        <v>112.57212000000001</v>
      </c>
      <c r="P16" s="1285">
        <v>128.91821000000002</v>
      </c>
      <c r="Q16" s="1284">
        <v>360</v>
      </c>
      <c r="R16" s="1285">
        <v>167</v>
      </c>
      <c r="S16" s="1286">
        <v>172</v>
      </c>
      <c r="T16" s="1286">
        <v>177</v>
      </c>
      <c r="U16" s="1286">
        <v>182</v>
      </c>
      <c r="V16" s="1286">
        <v>187</v>
      </c>
      <c r="W16" s="1283"/>
      <c r="X16" s="1285"/>
      <c r="Y16" s="1284"/>
      <c r="Z16" s="1285"/>
      <c r="AA16" s="1286"/>
      <c r="AB16" s="1286"/>
      <c r="AC16" s="1286"/>
      <c r="AD16" s="1286"/>
      <c r="AE16" s="1283"/>
      <c r="AF16" s="1285"/>
      <c r="AG16" s="1284"/>
      <c r="AH16" s="1285"/>
      <c r="AI16" s="1286"/>
      <c r="AJ16" s="1286"/>
      <c r="AK16" s="1286"/>
      <c r="AL16" s="1287"/>
      <c r="AM16" s="1288"/>
      <c r="AN16" s="1290"/>
      <c r="AO16" s="2147" t="s">
        <v>678</v>
      </c>
      <c r="AP16" s="1285">
        <v>3183</v>
      </c>
      <c r="AQ16" s="1285">
        <v>3363</v>
      </c>
      <c r="AR16" s="1284">
        <v>12184</v>
      </c>
      <c r="AS16" s="1285">
        <v>3300</v>
      </c>
      <c r="AT16" s="1286">
        <v>3400</v>
      </c>
      <c r="AU16" s="1286">
        <v>3500</v>
      </c>
      <c r="AV16" s="1286">
        <v>3600</v>
      </c>
      <c r="AW16" s="1284">
        <v>3700</v>
      </c>
      <c r="AX16" s="2148" t="s">
        <v>358</v>
      </c>
      <c r="AY16" s="4488"/>
      <c r="AZ16" s="4504">
        <f t="shared" si="44"/>
        <v>57.557211005046462</v>
      </c>
      <c r="BA16" s="4504">
        <f t="shared" si="45"/>
        <v>65.914834111349151</v>
      </c>
      <c r="BB16" s="4504">
        <f t="shared" si="46"/>
        <v>184.06507723063865</v>
      </c>
      <c r="BC16" s="4504">
        <f t="shared" si="47"/>
        <v>85.385744159768493</v>
      </c>
      <c r="BD16" s="4504">
        <f t="shared" si="48"/>
        <v>87.94220356574958</v>
      </c>
      <c r="BE16" s="4504">
        <f t="shared" si="49"/>
        <v>90.498662971730667</v>
      </c>
      <c r="BF16" s="4504">
        <f t="shared" si="50"/>
        <v>93.055122377711768</v>
      </c>
      <c r="BG16" s="4504">
        <f t="shared" si="51"/>
        <v>95.611581783692856</v>
      </c>
      <c r="BH16" s="4504">
        <f t="shared" si="52"/>
        <v>452.49331485865338</v>
      </c>
      <c r="BI16" s="4504">
        <f t="shared" si="53"/>
        <v>57.557211005046462</v>
      </c>
      <c r="BJ16" s="4504">
        <f t="shared" si="54"/>
        <v>65.914834111349151</v>
      </c>
      <c r="BK16" s="4504">
        <f t="shared" si="55"/>
        <v>184.06507723063865</v>
      </c>
      <c r="BL16" s="4504">
        <f t="shared" si="56"/>
        <v>85.385744159768493</v>
      </c>
      <c r="BM16" s="4504">
        <f t="shared" si="57"/>
        <v>87.94220356574958</v>
      </c>
      <c r="BN16" s="4504">
        <f t="shared" si="58"/>
        <v>90.498662971730667</v>
      </c>
      <c r="BO16" s="4504">
        <f t="shared" si="59"/>
        <v>93.055122377711768</v>
      </c>
      <c r="BP16" s="4504">
        <f t="shared" si="60"/>
        <v>95.611581783692856</v>
      </c>
      <c r="BQ16" s="4504">
        <f t="shared" si="61"/>
        <v>0</v>
      </c>
      <c r="BR16" s="4504">
        <f t="shared" si="62"/>
        <v>0</v>
      </c>
      <c r="BS16" s="4504">
        <f t="shared" si="63"/>
        <v>0</v>
      </c>
      <c r="BT16" s="4504">
        <f t="shared" si="64"/>
        <v>0</v>
      </c>
      <c r="BU16" s="4504">
        <f t="shared" si="65"/>
        <v>0</v>
      </c>
      <c r="BV16" s="4504">
        <f t="shared" si="66"/>
        <v>0</v>
      </c>
      <c r="BW16" s="4504">
        <f t="shared" si="67"/>
        <v>0</v>
      </c>
      <c r="BX16" s="4504">
        <f t="shared" si="68"/>
        <v>0</v>
      </c>
      <c r="BY16" s="4504">
        <f t="shared" si="69"/>
        <v>0</v>
      </c>
      <c r="BZ16" s="4504">
        <f t="shared" si="70"/>
        <v>0</v>
      </c>
      <c r="CA16" s="4504">
        <f t="shared" si="71"/>
        <v>0</v>
      </c>
      <c r="CB16" s="4504">
        <f t="shared" si="72"/>
        <v>0</v>
      </c>
      <c r="CC16" s="4504">
        <f t="shared" si="73"/>
        <v>0</v>
      </c>
      <c r="CD16" s="4504">
        <f t="shared" si="74"/>
        <v>0</v>
      </c>
      <c r="CE16" s="4504">
        <f t="shared" si="75"/>
        <v>0</v>
      </c>
      <c r="CF16" s="4504">
        <f t="shared" si="76"/>
        <v>0</v>
      </c>
    </row>
    <row r="17" spans="1:84" ht="24">
      <c r="A17" s="2138"/>
      <c r="B17" s="2139">
        <v>2040207</v>
      </c>
      <c r="C17" s="2139" t="s">
        <v>1797</v>
      </c>
      <c r="D17" s="2140">
        <v>0.04</v>
      </c>
      <c r="E17" s="2141" t="s">
        <v>359</v>
      </c>
      <c r="F17" s="2143">
        <f t="shared" si="36"/>
        <v>0</v>
      </c>
      <c r="G17" s="4140">
        <f t="shared" si="37"/>
        <v>0</v>
      </c>
      <c r="H17" s="2142">
        <f t="shared" si="38"/>
        <v>0</v>
      </c>
      <c r="I17" s="2143">
        <f t="shared" si="39"/>
        <v>0</v>
      </c>
      <c r="J17" s="2144">
        <f t="shared" si="40"/>
        <v>0</v>
      </c>
      <c r="K17" s="2144">
        <f t="shared" si="41"/>
        <v>0</v>
      </c>
      <c r="L17" s="2144">
        <f t="shared" si="42"/>
        <v>0</v>
      </c>
      <c r="M17" s="2145">
        <f t="shared" si="43"/>
        <v>0</v>
      </c>
      <c r="N17" s="2146">
        <f t="shared" si="77"/>
        <v>0</v>
      </c>
      <c r="O17" s="1283"/>
      <c r="P17" s="1285"/>
      <c r="Q17" s="1284"/>
      <c r="R17" s="1285"/>
      <c r="S17" s="1286"/>
      <c r="T17" s="1286"/>
      <c r="U17" s="1286"/>
      <c r="V17" s="1286"/>
      <c r="W17" s="1283"/>
      <c r="X17" s="1285"/>
      <c r="Y17" s="1284"/>
      <c r="Z17" s="1285"/>
      <c r="AA17" s="1286"/>
      <c r="AB17" s="1286"/>
      <c r="AC17" s="1286"/>
      <c r="AD17" s="1286"/>
      <c r="AE17" s="1283"/>
      <c r="AF17" s="1285"/>
      <c r="AG17" s="1284"/>
      <c r="AH17" s="1285"/>
      <c r="AI17" s="1286"/>
      <c r="AJ17" s="1286"/>
      <c r="AK17" s="1286"/>
      <c r="AL17" s="1287"/>
      <c r="AM17" s="1288"/>
      <c r="AN17" s="1290"/>
      <c r="AO17" s="2147" t="s">
        <v>676</v>
      </c>
      <c r="AP17" s="1285"/>
      <c r="AQ17" s="1285"/>
      <c r="AR17" s="1284"/>
      <c r="AS17" s="1285"/>
      <c r="AT17" s="1286"/>
      <c r="AU17" s="1286"/>
      <c r="AV17" s="1286"/>
      <c r="AW17" s="1284"/>
      <c r="AX17" s="2148" t="s">
        <v>360</v>
      </c>
      <c r="AY17" s="4488"/>
      <c r="AZ17" s="4504">
        <f t="shared" si="44"/>
        <v>0</v>
      </c>
      <c r="BA17" s="4504">
        <f t="shared" si="45"/>
        <v>0</v>
      </c>
      <c r="BB17" s="4504">
        <f t="shared" si="46"/>
        <v>0</v>
      </c>
      <c r="BC17" s="4504">
        <f t="shared" si="47"/>
        <v>0</v>
      </c>
      <c r="BD17" s="4504">
        <f t="shared" si="48"/>
        <v>0</v>
      </c>
      <c r="BE17" s="4504">
        <f t="shared" si="49"/>
        <v>0</v>
      </c>
      <c r="BF17" s="4504">
        <f t="shared" si="50"/>
        <v>0</v>
      </c>
      <c r="BG17" s="4504">
        <f t="shared" si="51"/>
        <v>0</v>
      </c>
      <c r="BH17" s="4504">
        <f t="shared" si="52"/>
        <v>0</v>
      </c>
      <c r="BI17" s="4504">
        <f t="shared" si="53"/>
        <v>0</v>
      </c>
      <c r="BJ17" s="4504">
        <f t="shared" si="54"/>
        <v>0</v>
      </c>
      <c r="BK17" s="4504">
        <f t="shared" si="55"/>
        <v>0</v>
      </c>
      <c r="BL17" s="4504">
        <f t="shared" si="56"/>
        <v>0</v>
      </c>
      <c r="BM17" s="4504">
        <f t="shared" si="57"/>
        <v>0</v>
      </c>
      <c r="BN17" s="4504">
        <f t="shared" si="58"/>
        <v>0</v>
      </c>
      <c r="BO17" s="4504">
        <f t="shared" si="59"/>
        <v>0</v>
      </c>
      <c r="BP17" s="4504">
        <f t="shared" si="60"/>
        <v>0</v>
      </c>
      <c r="BQ17" s="4504">
        <f t="shared" si="61"/>
        <v>0</v>
      </c>
      <c r="BR17" s="4504">
        <f t="shared" si="62"/>
        <v>0</v>
      </c>
      <c r="BS17" s="4504">
        <f t="shared" si="63"/>
        <v>0</v>
      </c>
      <c r="BT17" s="4504">
        <f t="shared" si="64"/>
        <v>0</v>
      </c>
      <c r="BU17" s="4504">
        <f t="shared" si="65"/>
        <v>0</v>
      </c>
      <c r="BV17" s="4504">
        <f t="shared" si="66"/>
        <v>0</v>
      </c>
      <c r="BW17" s="4504">
        <f t="shared" si="67"/>
        <v>0</v>
      </c>
      <c r="BX17" s="4504">
        <f t="shared" si="68"/>
        <v>0</v>
      </c>
      <c r="BY17" s="4504">
        <f t="shared" si="69"/>
        <v>0</v>
      </c>
      <c r="BZ17" s="4504">
        <f t="shared" si="70"/>
        <v>0</v>
      </c>
      <c r="CA17" s="4504">
        <f t="shared" si="71"/>
        <v>0</v>
      </c>
      <c r="CB17" s="4504">
        <f t="shared" si="72"/>
        <v>0</v>
      </c>
      <c r="CC17" s="4504">
        <f t="shared" si="73"/>
        <v>0</v>
      </c>
      <c r="CD17" s="4504">
        <f t="shared" si="74"/>
        <v>0</v>
      </c>
      <c r="CE17" s="4504">
        <f t="shared" si="75"/>
        <v>0</v>
      </c>
      <c r="CF17" s="4504">
        <f t="shared" si="76"/>
        <v>0</v>
      </c>
    </row>
    <row r="18" spans="1:84">
      <c r="A18" s="2138"/>
      <c r="B18" s="2139">
        <v>2040207</v>
      </c>
      <c r="C18" s="2139" t="s">
        <v>1798</v>
      </c>
      <c r="D18" s="2140">
        <v>0.04</v>
      </c>
      <c r="E18" s="2150" t="s">
        <v>660</v>
      </c>
      <c r="F18" s="2143">
        <f t="shared" si="36"/>
        <v>4.7737100000000003</v>
      </c>
      <c r="G18" s="4140">
        <f t="shared" si="37"/>
        <v>1.89</v>
      </c>
      <c r="H18" s="2142">
        <f t="shared" si="38"/>
        <v>2</v>
      </c>
      <c r="I18" s="2143">
        <f t="shared" si="39"/>
        <v>2</v>
      </c>
      <c r="J18" s="2144">
        <f t="shared" si="40"/>
        <v>2</v>
      </c>
      <c r="K18" s="2144">
        <f t="shared" si="41"/>
        <v>2</v>
      </c>
      <c r="L18" s="2144">
        <f t="shared" si="42"/>
        <v>2</v>
      </c>
      <c r="M18" s="2145">
        <f t="shared" si="43"/>
        <v>2</v>
      </c>
      <c r="N18" s="2146">
        <f t="shared" si="77"/>
        <v>10</v>
      </c>
      <c r="O18" s="1283">
        <v>4.7737100000000003</v>
      </c>
      <c r="P18" s="1285">
        <v>1.89</v>
      </c>
      <c r="Q18" s="1284">
        <v>2</v>
      </c>
      <c r="R18" s="1285">
        <v>2</v>
      </c>
      <c r="S18" s="1286">
        <v>2</v>
      </c>
      <c r="T18" s="1286">
        <v>2</v>
      </c>
      <c r="U18" s="1286">
        <v>2</v>
      </c>
      <c r="V18" s="1286">
        <v>2</v>
      </c>
      <c r="W18" s="1283"/>
      <c r="X18" s="1285"/>
      <c r="Y18" s="1284"/>
      <c r="Z18" s="1285"/>
      <c r="AA18" s="1286"/>
      <c r="AB18" s="1286"/>
      <c r="AC18" s="1286"/>
      <c r="AD18" s="1286"/>
      <c r="AE18" s="1283"/>
      <c r="AF18" s="1285"/>
      <c r="AG18" s="1284"/>
      <c r="AH18" s="1285"/>
      <c r="AI18" s="1286"/>
      <c r="AJ18" s="1286"/>
      <c r="AK18" s="1286"/>
      <c r="AL18" s="1287"/>
      <c r="AM18" s="1288"/>
      <c r="AN18" s="1290"/>
      <c r="AO18" s="2147" t="s">
        <v>676</v>
      </c>
      <c r="AP18" s="1285">
        <v>3</v>
      </c>
      <c r="AQ18" s="1285">
        <v>1</v>
      </c>
      <c r="AR18" s="1284">
        <v>1</v>
      </c>
      <c r="AS18" s="1285">
        <v>2</v>
      </c>
      <c r="AT18" s="1286">
        <v>2</v>
      </c>
      <c r="AU18" s="1286">
        <v>2</v>
      </c>
      <c r="AV18" s="1286">
        <v>2</v>
      </c>
      <c r="AW18" s="1284">
        <v>2</v>
      </c>
      <c r="AX18" s="2148" t="s">
        <v>360</v>
      </c>
      <c r="AY18" s="4488"/>
      <c r="AZ18" s="4504">
        <f t="shared" si="44"/>
        <v>2.4407591661852002</v>
      </c>
      <c r="BA18" s="4504">
        <f t="shared" si="45"/>
        <v>0.96634165546085293</v>
      </c>
      <c r="BB18" s="4504">
        <f t="shared" si="46"/>
        <v>1.022583762392437</v>
      </c>
      <c r="BC18" s="4504">
        <f t="shared" si="47"/>
        <v>1.022583762392437</v>
      </c>
      <c r="BD18" s="4504">
        <f t="shared" si="48"/>
        <v>1.022583762392437</v>
      </c>
      <c r="BE18" s="4504">
        <f t="shared" si="49"/>
        <v>1.022583762392437</v>
      </c>
      <c r="BF18" s="4504">
        <f t="shared" si="50"/>
        <v>1.022583762392437</v>
      </c>
      <c r="BG18" s="4504">
        <f t="shared" si="51"/>
        <v>1.022583762392437</v>
      </c>
      <c r="BH18" s="4504">
        <f t="shared" si="52"/>
        <v>5.1129188119621851</v>
      </c>
      <c r="BI18" s="4504">
        <f t="shared" si="53"/>
        <v>2.4407591661852002</v>
      </c>
      <c r="BJ18" s="4504">
        <f t="shared" si="54"/>
        <v>0.96634165546085293</v>
      </c>
      <c r="BK18" s="4504">
        <f t="shared" si="55"/>
        <v>1.022583762392437</v>
      </c>
      <c r="BL18" s="4504">
        <f t="shared" si="56"/>
        <v>1.022583762392437</v>
      </c>
      <c r="BM18" s="4504">
        <f t="shared" si="57"/>
        <v>1.022583762392437</v>
      </c>
      <c r="BN18" s="4504">
        <f t="shared" si="58"/>
        <v>1.022583762392437</v>
      </c>
      <c r="BO18" s="4504">
        <f t="shared" si="59"/>
        <v>1.022583762392437</v>
      </c>
      <c r="BP18" s="4504">
        <f t="shared" si="60"/>
        <v>1.022583762392437</v>
      </c>
      <c r="BQ18" s="4504">
        <f t="shared" si="61"/>
        <v>0</v>
      </c>
      <c r="BR18" s="4504">
        <f t="shared" si="62"/>
        <v>0</v>
      </c>
      <c r="BS18" s="4504">
        <f t="shared" si="63"/>
        <v>0</v>
      </c>
      <c r="BT18" s="4504">
        <f t="shared" si="64"/>
        <v>0</v>
      </c>
      <c r="BU18" s="4504">
        <f t="shared" si="65"/>
        <v>0</v>
      </c>
      <c r="BV18" s="4504">
        <f t="shared" si="66"/>
        <v>0</v>
      </c>
      <c r="BW18" s="4504">
        <f t="shared" si="67"/>
        <v>0</v>
      </c>
      <c r="BX18" s="4504">
        <f t="shared" si="68"/>
        <v>0</v>
      </c>
      <c r="BY18" s="4504">
        <f t="shared" si="69"/>
        <v>0</v>
      </c>
      <c r="BZ18" s="4504">
        <f t="shared" si="70"/>
        <v>0</v>
      </c>
      <c r="CA18" s="4504">
        <f t="shared" si="71"/>
        <v>0</v>
      </c>
      <c r="CB18" s="4504">
        <f t="shared" si="72"/>
        <v>0</v>
      </c>
      <c r="CC18" s="4504">
        <f t="shared" si="73"/>
        <v>0</v>
      </c>
      <c r="CD18" s="4504">
        <f t="shared" si="74"/>
        <v>0</v>
      </c>
      <c r="CE18" s="4504">
        <f t="shared" si="75"/>
        <v>0</v>
      </c>
      <c r="CF18" s="4504">
        <f t="shared" si="76"/>
        <v>0</v>
      </c>
    </row>
    <row r="19" spans="1:84">
      <c r="A19" s="2138"/>
      <c r="B19" s="2139">
        <v>2040207</v>
      </c>
      <c r="C19" s="2139" t="s">
        <v>1799</v>
      </c>
      <c r="D19" s="2140">
        <v>0.04</v>
      </c>
      <c r="E19" s="2150" t="s">
        <v>661</v>
      </c>
      <c r="F19" s="2143">
        <f t="shared" si="36"/>
        <v>0</v>
      </c>
      <c r="G19" s="4140">
        <f t="shared" si="37"/>
        <v>0</v>
      </c>
      <c r="H19" s="2142">
        <f t="shared" si="38"/>
        <v>1.5</v>
      </c>
      <c r="I19" s="2143">
        <f t="shared" si="39"/>
        <v>2</v>
      </c>
      <c r="J19" s="2144">
        <f t="shared" si="40"/>
        <v>2</v>
      </c>
      <c r="K19" s="2144">
        <f t="shared" si="41"/>
        <v>2</v>
      </c>
      <c r="L19" s="2144">
        <f t="shared" si="42"/>
        <v>2</v>
      </c>
      <c r="M19" s="2145">
        <f t="shared" si="43"/>
        <v>2</v>
      </c>
      <c r="N19" s="2146">
        <f t="shared" si="77"/>
        <v>10</v>
      </c>
      <c r="O19" s="1283"/>
      <c r="P19" s="1285"/>
      <c r="Q19" s="1284">
        <v>1.5</v>
      </c>
      <c r="R19" s="1285">
        <v>2</v>
      </c>
      <c r="S19" s="1286">
        <v>2</v>
      </c>
      <c r="T19" s="1286">
        <v>2</v>
      </c>
      <c r="U19" s="1286">
        <v>2</v>
      </c>
      <c r="V19" s="1286">
        <v>2</v>
      </c>
      <c r="W19" s="1283"/>
      <c r="X19" s="1285"/>
      <c r="Y19" s="1284"/>
      <c r="Z19" s="1285"/>
      <c r="AA19" s="1286"/>
      <c r="AB19" s="1286"/>
      <c r="AC19" s="1286"/>
      <c r="AD19" s="1286"/>
      <c r="AE19" s="1283"/>
      <c r="AF19" s="1285"/>
      <c r="AG19" s="1284"/>
      <c r="AH19" s="1285"/>
      <c r="AI19" s="1286"/>
      <c r="AJ19" s="1286"/>
      <c r="AK19" s="1286"/>
      <c r="AL19" s="1287"/>
      <c r="AM19" s="1288"/>
      <c r="AN19" s="1290"/>
      <c r="AO19" s="2147" t="s">
        <v>676</v>
      </c>
      <c r="AP19" s="1285"/>
      <c r="AQ19" s="1285"/>
      <c r="AR19" s="1284">
        <v>1</v>
      </c>
      <c r="AS19" s="1285">
        <v>1</v>
      </c>
      <c r="AT19" s="1286">
        <v>1</v>
      </c>
      <c r="AU19" s="1286">
        <v>1</v>
      </c>
      <c r="AV19" s="1286">
        <v>1</v>
      </c>
      <c r="AW19" s="1284">
        <v>1</v>
      </c>
      <c r="AX19" s="2148" t="s">
        <v>360</v>
      </c>
      <c r="AY19" s="4488"/>
      <c r="AZ19" s="4504">
        <f t="shared" si="44"/>
        <v>0</v>
      </c>
      <c r="BA19" s="4504">
        <f t="shared" si="45"/>
        <v>0</v>
      </c>
      <c r="BB19" s="4504">
        <f t="shared" si="46"/>
        <v>0.76693782179432779</v>
      </c>
      <c r="BC19" s="4504">
        <f t="shared" si="47"/>
        <v>1.022583762392437</v>
      </c>
      <c r="BD19" s="4504">
        <f t="shared" si="48"/>
        <v>1.022583762392437</v>
      </c>
      <c r="BE19" s="4504">
        <f t="shared" si="49"/>
        <v>1.022583762392437</v>
      </c>
      <c r="BF19" s="4504">
        <f t="shared" si="50"/>
        <v>1.022583762392437</v>
      </c>
      <c r="BG19" s="4504">
        <f t="shared" si="51"/>
        <v>1.022583762392437</v>
      </c>
      <c r="BH19" s="4504">
        <f t="shared" si="52"/>
        <v>5.1129188119621851</v>
      </c>
      <c r="BI19" s="4504">
        <f t="shared" si="53"/>
        <v>0</v>
      </c>
      <c r="BJ19" s="4504">
        <f t="shared" si="54"/>
        <v>0</v>
      </c>
      <c r="BK19" s="4504">
        <f t="shared" si="55"/>
        <v>0.76693782179432779</v>
      </c>
      <c r="BL19" s="4504">
        <f t="shared" si="56"/>
        <v>1.022583762392437</v>
      </c>
      <c r="BM19" s="4504">
        <f t="shared" si="57"/>
        <v>1.022583762392437</v>
      </c>
      <c r="BN19" s="4504">
        <f t="shared" si="58"/>
        <v>1.022583762392437</v>
      </c>
      <c r="BO19" s="4504">
        <f t="shared" si="59"/>
        <v>1.022583762392437</v>
      </c>
      <c r="BP19" s="4504">
        <f t="shared" si="60"/>
        <v>1.022583762392437</v>
      </c>
      <c r="BQ19" s="4504">
        <f t="shared" si="61"/>
        <v>0</v>
      </c>
      <c r="BR19" s="4504">
        <f t="shared" si="62"/>
        <v>0</v>
      </c>
      <c r="BS19" s="4504">
        <f t="shared" si="63"/>
        <v>0</v>
      </c>
      <c r="BT19" s="4504">
        <f t="shared" si="64"/>
        <v>0</v>
      </c>
      <c r="BU19" s="4504">
        <f t="shared" si="65"/>
        <v>0</v>
      </c>
      <c r="BV19" s="4504">
        <f t="shared" si="66"/>
        <v>0</v>
      </c>
      <c r="BW19" s="4504">
        <f t="shared" si="67"/>
        <v>0</v>
      </c>
      <c r="BX19" s="4504">
        <f t="shared" si="68"/>
        <v>0</v>
      </c>
      <c r="BY19" s="4504">
        <f t="shared" si="69"/>
        <v>0</v>
      </c>
      <c r="BZ19" s="4504">
        <f t="shared" si="70"/>
        <v>0</v>
      </c>
      <c r="CA19" s="4504">
        <f t="shared" si="71"/>
        <v>0</v>
      </c>
      <c r="CB19" s="4504">
        <f t="shared" si="72"/>
        <v>0</v>
      </c>
      <c r="CC19" s="4504">
        <f t="shared" si="73"/>
        <v>0</v>
      </c>
      <c r="CD19" s="4504">
        <f t="shared" si="74"/>
        <v>0</v>
      </c>
      <c r="CE19" s="4504">
        <f t="shared" si="75"/>
        <v>0</v>
      </c>
      <c r="CF19" s="4504">
        <f t="shared" si="76"/>
        <v>0</v>
      </c>
    </row>
    <row r="20" spans="1:84">
      <c r="A20" s="2138"/>
      <c r="B20" s="2139">
        <v>2040207</v>
      </c>
      <c r="C20" s="2139" t="s">
        <v>1800</v>
      </c>
      <c r="D20" s="2140">
        <v>0.04</v>
      </c>
      <c r="E20" s="2150" t="s">
        <v>361</v>
      </c>
      <c r="F20" s="2143">
        <f t="shared" si="36"/>
        <v>0</v>
      </c>
      <c r="G20" s="4140">
        <f t="shared" si="37"/>
        <v>8.625</v>
      </c>
      <c r="H20" s="2142">
        <f t="shared" si="38"/>
        <v>2</v>
      </c>
      <c r="I20" s="2143">
        <f t="shared" si="39"/>
        <v>6</v>
      </c>
      <c r="J20" s="2144">
        <f t="shared" si="40"/>
        <v>6</v>
      </c>
      <c r="K20" s="2144">
        <f t="shared" si="41"/>
        <v>6</v>
      </c>
      <c r="L20" s="2144">
        <f t="shared" si="42"/>
        <v>6</v>
      </c>
      <c r="M20" s="2145">
        <f t="shared" si="43"/>
        <v>6</v>
      </c>
      <c r="N20" s="2146">
        <f t="shared" si="77"/>
        <v>30</v>
      </c>
      <c r="O20" s="1283"/>
      <c r="P20" s="1285">
        <v>8.625</v>
      </c>
      <c r="Q20" s="1284">
        <v>2</v>
      </c>
      <c r="R20" s="1285">
        <v>6</v>
      </c>
      <c r="S20" s="1286">
        <v>6</v>
      </c>
      <c r="T20" s="1286">
        <v>6</v>
      </c>
      <c r="U20" s="1286">
        <v>6</v>
      </c>
      <c r="V20" s="1286">
        <v>6</v>
      </c>
      <c r="W20" s="1283"/>
      <c r="X20" s="1285"/>
      <c r="Y20" s="1284"/>
      <c r="Z20" s="1285"/>
      <c r="AA20" s="1286"/>
      <c r="AB20" s="1286"/>
      <c r="AC20" s="1286"/>
      <c r="AD20" s="1286"/>
      <c r="AE20" s="1283"/>
      <c r="AF20" s="1285"/>
      <c r="AG20" s="1284"/>
      <c r="AH20" s="1285"/>
      <c r="AI20" s="1286"/>
      <c r="AJ20" s="1286"/>
      <c r="AK20" s="1286"/>
      <c r="AL20" s="1287"/>
      <c r="AM20" s="1288"/>
      <c r="AN20" s="1289"/>
      <c r="AO20" s="2147" t="s">
        <v>676</v>
      </c>
      <c r="AP20" s="1285"/>
      <c r="AQ20" s="1285">
        <v>1</v>
      </c>
      <c r="AR20" s="1284">
        <v>1</v>
      </c>
      <c r="AS20" s="1285">
        <v>2</v>
      </c>
      <c r="AT20" s="1286">
        <v>2</v>
      </c>
      <c r="AU20" s="1286">
        <v>2</v>
      </c>
      <c r="AV20" s="1286">
        <v>2</v>
      </c>
      <c r="AW20" s="1284">
        <v>2</v>
      </c>
      <c r="AX20" s="2148" t="s">
        <v>360</v>
      </c>
      <c r="AY20" s="4488"/>
      <c r="AZ20" s="4504">
        <f t="shared" si="44"/>
        <v>0</v>
      </c>
      <c r="BA20" s="4504">
        <f t="shared" si="45"/>
        <v>4.4098924753173847</v>
      </c>
      <c r="BB20" s="4504">
        <f t="shared" si="46"/>
        <v>1.022583762392437</v>
      </c>
      <c r="BC20" s="4504">
        <f t="shared" si="47"/>
        <v>3.0677512871773112</v>
      </c>
      <c r="BD20" s="4504">
        <f t="shared" si="48"/>
        <v>3.0677512871773112</v>
      </c>
      <c r="BE20" s="4504">
        <f t="shared" si="49"/>
        <v>3.0677512871773112</v>
      </c>
      <c r="BF20" s="4504">
        <f t="shared" si="50"/>
        <v>3.0677512871773112</v>
      </c>
      <c r="BG20" s="4504">
        <f t="shared" si="51"/>
        <v>3.0677512871773112</v>
      </c>
      <c r="BH20" s="4504">
        <f t="shared" si="52"/>
        <v>15.338756435886555</v>
      </c>
      <c r="BI20" s="4504">
        <f t="shared" si="53"/>
        <v>0</v>
      </c>
      <c r="BJ20" s="4504">
        <f t="shared" si="54"/>
        <v>4.4098924753173847</v>
      </c>
      <c r="BK20" s="4504">
        <f t="shared" si="55"/>
        <v>1.022583762392437</v>
      </c>
      <c r="BL20" s="4504">
        <f t="shared" si="56"/>
        <v>3.0677512871773112</v>
      </c>
      <c r="BM20" s="4504">
        <f t="shared" si="57"/>
        <v>3.0677512871773112</v>
      </c>
      <c r="BN20" s="4504">
        <f t="shared" si="58"/>
        <v>3.0677512871773112</v>
      </c>
      <c r="BO20" s="4504">
        <f t="shared" si="59"/>
        <v>3.0677512871773112</v>
      </c>
      <c r="BP20" s="4504">
        <f t="shared" si="60"/>
        <v>3.0677512871773112</v>
      </c>
      <c r="BQ20" s="4504">
        <f t="shared" si="61"/>
        <v>0</v>
      </c>
      <c r="BR20" s="4504">
        <f t="shared" si="62"/>
        <v>0</v>
      </c>
      <c r="BS20" s="4504">
        <f t="shared" si="63"/>
        <v>0</v>
      </c>
      <c r="BT20" s="4504">
        <f t="shared" si="64"/>
        <v>0</v>
      </c>
      <c r="BU20" s="4504">
        <f t="shared" si="65"/>
        <v>0</v>
      </c>
      <c r="BV20" s="4504">
        <f t="shared" si="66"/>
        <v>0</v>
      </c>
      <c r="BW20" s="4504">
        <f t="shared" si="67"/>
        <v>0</v>
      </c>
      <c r="BX20" s="4504">
        <f t="shared" si="68"/>
        <v>0</v>
      </c>
      <c r="BY20" s="4504">
        <f t="shared" si="69"/>
        <v>0</v>
      </c>
      <c r="BZ20" s="4504">
        <f t="shared" si="70"/>
        <v>0</v>
      </c>
      <c r="CA20" s="4504">
        <f t="shared" si="71"/>
        <v>0</v>
      </c>
      <c r="CB20" s="4504">
        <f t="shared" si="72"/>
        <v>0</v>
      </c>
      <c r="CC20" s="4504">
        <f t="shared" si="73"/>
        <v>0</v>
      </c>
      <c r="CD20" s="4504">
        <f t="shared" si="74"/>
        <v>0</v>
      </c>
      <c r="CE20" s="4504">
        <f t="shared" si="75"/>
        <v>0</v>
      </c>
      <c r="CF20" s="4504">
        <f t="shared" si="76"/>
        <v>0</v>
      </c>
    </row>
    <row r="21" spans="1:84">
      <c r="A21" s="2138"/>
      <c r="B21" s="2139">
        <v>2030401</v>
      </c>
      <c r="C21" s="2139" t="s">
        <v>1801</v>
      </c>
      <c r="D21" s="2151">
        <v>0.1</v>
      </c>
      <c r="E21" s="2150" t="s">
        <v>362</v>
      </c>
      <c r="F21" s="2143">
        <f t="shared" si="36"/>
        <v>78.928969999999993</v>
      </c>
      <c r="G21" s="4140">
        <f t="shared" si="37"/>
        <v>72.002349999999979</v>
      </c>
      <c r="H21" s="2142">
        <f t="shared" si="38"/>
        <v>200</v>
      </c>
      <c r="I21" s="2143">
        <f t="shared" si="39"/>
        <v>36</v>
      </c>
      <c r="J21" s="2144">
        <f t="shared" si="40"/>
        <v>36</v>
      </c>
      <c r="K21" s="2144">
        <f t="shared" si="41"/>
        <v>36</v>
      </c>
      <c r="L21" s="2144">
        <f t="shared" si="42"/>
        <v>36</v>
      </c>
      <c r="M21" s="2145">
        <f t="shared" si="43"/>
        <v>36</v>
      </c>
      <c r="N21" s="2146">
        <f t="shared" si="77"/>
        <v>180</v>
      </c>
      <c r="O21" s="1283">
        <v>78.928969999999993</v>
      </c>
      <c r="P21" s="1285">
        <v>72.002349999999979</v>
      </c>
      <c r="Q21" s="1284">
        <v>200</v>
      </c>
      <c r="R21" s="1285">
        <v>36</v>
      </c>
      <c r="S21" s="1286">
        <v>36</v>
      </c>
      <c r="T21" s="1286">
        <v>36</v>
      </c>
      <c r="U21" s="1286">
        <v>36</v>
      </c>
      <c r="V21" s="1286">
        <v>36</v>
      </c>
      <c r="W21" s="1283"/>
      <c r="X21" s="1285"/>
      <c r="Y21" s="1284"/>
      <c r="Z21" s="1285"/>
      <c r="AA21" s="1286"/>
      <c r="AB21" s="1286"/>
      <c r="AC21" s="1286"/>
      <c r="AD21" s="1286"/>
      <c r="AE21" s="1283"/>
      <c r="AF21" s="1285"/>
      <c r="AG21" s="1284"/>
      <c r="AH21" s="1285"/>
      <c r="AI21" s="1286"/>
      <c r="AJ21" s="1286"/>
      <c r="AK21" s="1286"/>
      <c r="AL21" s="1287"/>
      <c r="AM21" s="1288"/>
      <c r="AN21" s="1290"/>
      <c r="AO21" s="2147" t="s">
        <v>676</v>
      </c>
      <c r="AP21" s="1285">
        <v>28</v>
      </c>
      <c r="AQ21" s="1285">
        <v>32</v>
      </c>
      <c r="AR21" s="1284">
        <v>30</v>
      </c>
      <c r="AS21" s="1285">
        <v>30</v>
      </c>
      <c r="AT21" s="1286">
        <v>30</v>
      </c>
      <c r="AU21" s="1286">
        <v>30</v>
      </c>
      <c r="AV21" s="1286">
        <v>30</v>
      </c>
      <c r="AW21" s="1284">
        <v>30</v>
      </c>
      <c r="AX21" s="2148" t="s">
        <v>360</v>
      </c>
      <c r="AY21" s="4488"/>
      <c r="AZ21" s="4504">
        <f t="shared" si="44"/>
        <v>40.355741552179893</v>
      </c>
      <c r="BA21" s="4504">
        <f t="shared" si="45"/>
        <v>36.814216982048535</v>
      </c>
      <c r="BB21" s="4504">
        <f t="shared" si="46"/>
        <v>102.2583762392437</v>
      </c>
      <c r="BC21" s="4504">
        <f t="shared" si="47"/>
        <v>18.406507723063864</v>
      </c>
      <c r="BD21" s="4504">
        <f t="shared" si="48"/>
        <v>18.406507723063864</v>
      </c>
      <c r="BE21" s="4504">
        <f t="shared" si="49"/>
        <v>18.406507723063864</v>
      </c>
      <c r="BF21" s="4504">
        <f t="shared" si="50"/>
        <v>18.406507723063864</v>
      </c>
      <c r="BG21" s="4504">
        <f t="shared" si="51"/>
        <v>18.406507723063864</v>
      </c>
      <c r="BH21" s="4504">
        <f t="shared" si="52"/>
        <v>92.032538615319325</v>
      </c>
      <c r="BI21" s="4504">
        <f t="shared" si="53"/>
        <v>40.355741552179893</v>
      </c>
      <c r="BJ21" s="4504">
        <f t="shared" si="54"/>
        <v>36.814216982048535</v>
      </c>
      <c r="BK21" s="4504">
        <f t="shared" si="55"/>
        <v>102.2583762392437</v>
      </c>
      <c r="BL21" s="4504">
        <f t="shared" si="56"/>
        <v>18.406507723063864</v>
      </c>
      <c r="BM21" s="4504">
        <f t="shared" si="57"/>
        <v>18.406507723063864</v>
      </c>
      <c r="BN21" s="4504">
        <f t="shared" si="58"/>
        <v>18.406507723063864</v>
      </c>
      <c r="BO21" s="4504">
        <f t="shared" si="59"/>
        <v>18.406507723063864</v>
      </c>
      <c r="BP21" s="4504">
        <f t="shared" si="60"/>
        <v>18.406507723063864</v>
      </c>
      <c r="BQ21" s="4504">
        <f t="shared" si="61"/>
        <v>0</v>
      </c>
      <c r="BR21" s="4504">
        <f t="shared" si="62"/>
        <v>0</v>
      </c>
      <c r="BS21" s="4504">
        <f t="shared" si="63"/>
        <v>0</v>
      </c>
      <c r="BT21" s="4504">
        <f t="shared" si="64"/>
        <v>0</v>
      </c>
      <c r="BU21" s="4504">
        <f t="shared" si="65"/>
        <v>0</v>
      </c>
      <c r="BV21" s="4504">
        <f t="shared" si="66"/>
        <v>0</v>
      </c>
      <c r="BW21" s="4504">
        <f t="shared" si="67"/>
        <v>0</v>
      </c>
      <c r="BX21" s="4504">
        <f t="shared" si="68"/>
        <v>0</v>
      </c>
      <c r="BY21" s="4504">
        <f t="shared" si="69"/>
        <v>0</v>
      </c>
      <c r="BZ21" s="4504">
        <f t="shared" si="70"/>
        <v>0</v>
      </c>
      <c r="CA21" s="4504">
        <f t="shared" si="71"/>
        <v>0</v>
      </c>
      <c r="CB21" s="4504">
        <f t="shared" si="72"/>
        <v>0</v>
      </c>
      <c r="CC21" s="4504">
        <f t="shared" si="73"/>
        <v>0</v>
      </c>
      <c r="CD21" s="4504">
        <f t="shared" si="74"/>
        <v>0</v>
      </c>
      <c r="CE21" s="4504">
        <f t="shared" si="75"/>
        <v>0</v>
      </c>
      <c r="CF21" s="4504">
        <f t="shared" si="76"/>
        <v>0</v>
      </c>
    </row>
    <row r="22" spans="1:84" ht="24">
      <c r="A22" s="2138"/>
      <c r="B22" s="2139">
        <v>2040205</v>
      </c>
      <c r="C22" s="2139" t="s">
        <v>1802</v>
      </c>
      <c r="D22" s="2140">
        <v>0.02</v>
      </c>
      <c r="E22" s="2141" t="s">
        <v>363</v>
      </c>
      <c r="F22" s="2143">
        <f t="shared" si="36"/>
        <v>448.39928000000003</v>
      </c>
      <c r="G22" s="4140">
        <f t="shared" si="37"/>
        <v>516.34960000000001</v>
      </c>
      <c r="H22" s="2142">
        <f t="shared" si="38"/>
        <v>30</v>
      </c>
      <c r="I22" s="2143">
        <f t="shared" si="39"/>
        <v>306</v>
      </c>
      <c r="J22" s="2144">
        <f t="shared" si="40"/>
        <v>306</v>
      </c>
      <c r="K22" s="2144">
        <f t="shared" si="41"/>
        <v>311</v>
      </c>
      <c r="L22" s="2144">
        <f t="shared" si="42"/>
        <v>306</v>
      </c>
      <c r="M22" s="2145">
        <f t="shared" si="43"/>
        <v>300</v>
      </c>
      <c r="N22" s="2146">
        <f t="shared" si="77"/>
        <v>1529</v>
      </c>
      <c r="O22" s="1283">
        <v>448.39928000000003</v>
      </c>
      <c r="P22" s="1285">
        <v>516.34960000000001</v>
      </c>
      <c r="Q22" s="1284">
        <v>30</v>
      </c>
      <c r="R22" s="1285">
        <v>306</v>
      </c>
      <c r="S22" s="1286">
        <v>306</v>
      </c>
      <c r="T22" s="1286">
        <v>311</v>
      </c>
      <c r="U22" s="1286">
        <v>306</v>
      </c>
      <c r="V22" s="1286">
        <v>300</v>
      </c>
      <c r="W22" s="1283"/>
      <c r="X22" s="1285"/>
      <c r="Y22" s="1284"/>
      <c r="Z22" s="1285"/>
      <c r="AA22" s="1286"/>
      <c r="AB22" s="1286"/>
      <c r="AC22" s="1286"/>
      <c r="AD22" s="1286"/>
      <c r="AE22" s="1283"/>
      <c r="AF22" s="1285"/>
      <c r="AG22" s="1284"/>
      <c r="AH22" s="1285"/>
      <c r="AI22" s="1286"/>
      <c r="AJ22" s="1286"/>
      <c r="AK22" s="1286"/>
      <c r="AL22" s="1287"/>
      <c r="AM22" s="1288"/>
      <c r="AN22" s="1290"/>
      <c r="AO22" s="2147" t="s">
        <v>678</v>
      </c>
      <c r="AP22" s="1285">
        <v>4633</v>
      </c>
      <c r="AQ22" s="1285">
        <v>4308</v>
      </c>
      <c r="AR22" s="1284">
        <v>500</v>
      </c>
      <c r="AS22" s="1285">
        <v>5000</v>
      </c>
      <c r="AT22" s="1286">
        <v>6000</v>
      </c>
      <c r="AU22" s="1286">
        <v>7000</v>
      </c>
      <c r="AV22" s="1286">
        <v>8000</v>
      </c>
      <c r="AW22" s="1284">
        <v>9100</v>
      </c>
      <c r="AX22" s="2148" t="s">
        <v>364</v>
      </c>
      <c r="AY22" s="4488"/>
      <c r="AZ22" s="4504">
        <f t="shared" si="44"/>
        <v>229.26291139822993</v>
      </c>
      <c r="BA22" s="4504">
        <f t="shared" si="45"/>
        <v>264.00535833891496</v>
      </c>
      <c r="BB22" s="4504">
        <f t="shared" si="46"/>
        <v>15.338756435886555</v>
      </c>
      <c r="BC22" s="4504">
        <f t="shared" si="47"/>
        <v>156.45531564604286</v>
      </c>
      <c r="BD22" s="4504">
        <f t="shared" si="48"/>
        <v>156.45531564604286</v>
      </c>
      <c r="BE22" s="4504">
        <f t="shared" si="49"/>
        <v>159.01177505202395</v>
      </c>
      <c r="BF22" s="4504">
        <f t="shared" si="50"/>
        <v>156.45531564604286</v>
      </c>
      <c r="BG22" s="4504">
        <f t="shared" si="51"/>
        <v>153.38756435886555</v>
      </c>
      <c r="BH22" s="4504">
        <f t="shared" si="52"/>
        <v>781.76528634901808</v>
      </c>
      <c r="BI22" s="4504">
        <f t="shared" si="53"/>
        <v>229.26291139822993</v>
      </c>
      <c r="BJ22" s="4504">
        <f t="shared" si="54"/>
        <v>264.00535833891496</v>
      </c>
      <c r="BK22" s="4504">
        <f t="shared" si="55"/>
        <v>15.338756435886555</v>
      </c>
      <c r="BL22" s="4504">
        <f t="shared" si="56"/>
        <v>156.45531564604286</v>
      </c>
      <c r="BM22" s="4504">
        <f t="shared" si="57"/>
        <v>156.45531564604286</v>
      </c>
      <c r="BN22" s="4504">
        <f t="shared" si="58"/>
        <v>159.01177505202395</v>
      </c>
      <c r="BO22" s="4504">
        <f t="shared" si="59"/>
        <v>156.45531564604286</v>
      </c>
      <c r="BP22" s="4504">
        <f t="shared" si="60"/>
        <v>153.38756435886555</v>
      </c>
      <c r="BQ22" s="4504">
        <f t="shared" si="61"/>
        <v>0</v>
      </c>
      <c r="BR22" s="4504">
        <f t="shared" si="62"/>
        <v>0</v>
      </c>
      <c r="BS22" s="4504">
        <f t="shared" si="63"/>
        <v>0</v>
      </c>
      <c r="BT22" s="4504">
        <f t="shared" si="64"/>
        <v>0</v>
      </c>
      <c r="BU22" s="4504">
        <f t="shared" si="65"/>
        <v>0</v>
      </c>
      <c r="BV22" s="4504">
        <f t="shared" si="66"/>
        <v>0</v>
      </c>
      <c r="BW22" s="4504">
        <f t="shared" si="67"/>
        <v>0</v>
      </c>
      <c r="BX22" s="4504">
        <f t="shared" si="68"/>
        <v>0</v>
      </c>
      <c r="BY22" s="4504">
        <f t="shared" si="69"/>
        <v>0</v>
      </c>
      <c r="BZ22" s="4504">
        <f t="shared" si="70"/>
        <v>0</v>
      </c>
      <c r="CA22" s="4504">
        <f t="shared" si="71"/>
        <v>0</v>
      </c>
      <c r="CB22" s="4504">
        <f t="shared" si="72"/>
        <v>0</v>
      </c>
      <c r="CC22" s="4504">
        <f t="shared" si="73"/>
        <v>0</v>
      </c>
      <c r="CD22" s="4504">
        <f t="shared" si="74"/>
        <v>0</v>
      </c>
      <c r="CE22" s="4504">
        <f t="shared" si="75"/>
        <v>0</v>
      </c>
      <c r="CF22" s="4504">
        <f t="shared" si="76"/>
        <v>0</v>
      </c>
    </row>
    <row r="23" spans="1:84">
      <c r="A23" s="2138"/>
      <c r="B23" s="2139">
        <v>2040205</v>
      </c>
      <c r="C23" s="2139" t="s">
        <v>1803</v>
      </c>
      <c r="D23" s="2140">
        <v>0.02</v>
      </c>
      <c r="E23" s="2141" t="s">
        <v>365</v>
      </c>
      <c r="F23" s="2143">
        <f t="shared" si="36"/>
        <v>137.63603999999992</v>
      </c>
      <c r="G23" s="4140">
        <f t="shared" si="37"/>
        <v>67.44547</v>
      </c>
      <c r="H23" s="2142">
        <f t="shared" si="38"/>
        <v>24.75</v>
      </c>
      <c r="I23" s="2143">
        <f t="shared" si="39"/>
        <v>43</v>
      </c>
      <c r="J23" s="2144">
        <f t="shared" si="40"/>
        <v>46</v>
      </c>
      <c r="K23" s="2144">
        <f t="shared" si="41"/>
        <v>47</v>
      </c>
      <c r="L23" s="2144">
        <f t="shared" si="42"/>
        <v>49</v>
      </c>
      <c r="M23" s="2145">
        <f t="shared" si="43"/>
        <v>52</v>
      </c>
      <c r="N23" s="2146">
        <f t="shared" si="77"/>
        <v>237</v>
      </c>
      <c r="O23" s="1283">
        <v>137.63603999999992</v>
      </c>
      <c r="P23" s="1285">
        <v>67.44547</v>
      </c>
      <c r="Q23" s="1284">
        <v>24.75</v>
      </c>
      <c r="R23" s="1285">
        <v>43</v>
      </c>
      <c r="S23" s="1286">
        <v>46</v>
      </c>
      <c r="T23" s="1286">
        <v>47</v>
      </c>
      <c r="U23" s="1286">
        <v>49</v>
      </c>
      <c r="V23" s="1286">
        <v>52</v>
      </c>
      <c r="W23" s="1283"/>
      <c r="X23" s="1285"/>
      <c r="Y23" s="1284"/>
      <c r="Z23" s="1285"/>
      <c r="AA23" s="1286"/>
      <c r="AB23" s="1286"/>
      <c r="AC23" s="1286"/>
      <c r="AD23" s="1286"/>
      <c r="AE23" s="1283"/>
      <c r="AF23" s="1285"/>
      <c r="AG23" s="1284"/>
      <c r="AH23" s="1285"/>
      <c r="AI23" s="1286"/>
      <c r="AJ23" s="1286"/>
      <c r="AK23" s="1286"/>
      <c r="AL23" s="1287"/>
      <c r="AM23" s="1288"/>
      <c r="AN23" s="1290"/>
      <c r="AO23" s="2147" t="s">
        <v>676</v>
      </c>
      <c r="AP23" s="1285">
        <v>100</v>
      </c>
      <c r="AQ23" s="1285">
        <v>86</v>
      </c>
      <c r="AR23" s="1284">
        <v>55</v>
      </c>
      <c r="AS23" s="1285">
        <v>136</v>
      </c>
      <c r="AT23" s="1286">
        <v>141</v>
      </c>
      <c r="AU23" s="1286">
        <v>144</v>
      </c>
      <c r="AV23" s="1286">
        <v>147</v>
      </c>
      <c r="AW23" s="1284">
        <v>153</v>
      </c>
      <c r="AX23" s="2148" t="s">
        <v>366</v>
      </c>
      <c r="AY23" s="4488"/>
      <c r="AZ23" s="4504">
        <f t="shared" si="44"/>
        <v>70.372189811997941</v>
      </c>
      <c r="BA23" s="4504">
        <f t="shared" si="45"/>
        <v>34.484321234463117</v>
      </c>
      <c r="BB23" s="4504">
        <f t="shared" si="46"/>
        <v>12.654474059606407</v>
      </c>
      <c r="BC23" s="4504">
        <f t="shared" si="47"/>
        <v>21.985550891437395</v>
      </c>
      <c r="BD23" s="4504">
        <f t="shared" si="48"/>
        <v>23.519426535026049</v>
      </c>
      <c r="BE23" s="4504">
        <f t="shared" si="49"/>
        <v>24.030718416222268</v>
      </c>
      <c r="BF23" s="4504">
        <f t="shared" si="50"/>
        <v>25.053302178614707</v>
      </c>
      <c r="BG23" s="4504">
        <f t="shared" si="51"/>
        <v>26.587177822203362</v>
      </c>
      <c r="BH23" s="4504">
        <f t="shared" si="52"/>
        <v>121.17617584350378</v>
      </c>
      <c r="BI23" s="4504">
        <f t="shared" si="53"/>
        <v>70.372189811997941</v>
      </c>
      <c r="BJ23" s="4504">
        <f t="shared" si="54"/>
        <v>34.484321234463117</v>
      </c>
      <c r="BK23" s="4504">
        <f t="shared" si="55"/>
        <v>12.654474059606407</v>
      </c>
      <c r="BL23" s="4504">
        <f t="shared" si="56"/>
        <v>21.985550891437395</v>
      </c>
      <c r="BM23" s="4504">
        <f t="shared" si="57"/>
        <v>23.519426535026049</v>
      </c>
      <c r="BN23" s="4504">
        <f t="shared" si="58"/>
        <v>24.030718416222268</v>
      </c>
      <c r="BO23" s="4504">
        <f t="shared" si="59"/>
        <v>25.053302178614707</v>
      </c>
      <c r="BP23" s="4504">
        <f t="shared" si="60"/>
        <v>26.587177822203362</v>
      </c>
      <c r="BQ23" s="4504">
        <f t="shared" si="61"/>
        <v>0</v>
      </c>
      <c r="BR23" s="4504">
        <f t="shared" si="62"/>
        <v>0</v>
      </c>
      <c r="BS23" s="4504">
        <f t="shared" si="63"/>
        <v>0</v>
      </c>
      <c r="BT23" s="4504">
        <f t="shared" si="64"/>
        <v>0</v>
      </c>
      <c r="BU23" s="4504">
        <f t="shared" si="65"/>
        <v>0</v>
      </c>
      <c r="BV23" s="4504">
        <f t="shared" si="66"/>
        <v>0</v>
      </c>
      <c r="BW23" s="4504">
        <f t="shared" si="67"/>
        <v>0</v>
      </c>
      <c r="BX23" s="4504">
        <f t="shared" si="68"/>
        <v>0</v>
      </c>
      <c r="BY23" s="4504">
        <f t="shared" si="69"/>
        <v>0</v>
      </c>
      <c r="BZ23" s="4504">
        <f t="shared" si="70"/>
        <v>0</v>
      </c>
      <c r="CA23" s="4504">
        <f t="shared" si="71"/>
        <v>0</v>
      </c>
      <c r="CB23" s="4504">
        <f t="shared" si="72"/>
        <v>0</v>
      </c>
      <c r="CC23" s="4504">
        <f t="shared" si="73"/>
        <v>0</v>
      </c>
      <c r="CD23" s="4504">
        <f t="shared" si="74"/>
        <v>0</v>
      </c>
      <c r="CE23" s="4504">
        <f t="shared" si="75"/>
        <v>0</v>
      </c>
      <c r="CF23" s="4504">
        <f t="shared" si="76"/>
        <v>0</v>
      </c>
    </row>
    <row r="24" spans="1:84" ht="36">
      <c r="A24" s="2138"/>
      <c r="B24" s="2139">
        <v>2030502</v>
      </c>
      <c r="C24" s="2139" t="s">
        <v>1804</v>
      </c>
      <c r="D24" s="2140">
        <v>0.1</v>
      </c>
      <c r="E24" s="2141" t="s">
        <v>367</v>
      </c>
      <c r="F24" s="2143">
        <f t="shared" si="36"/>
        <v>6.1489399999999996</v>
      </c>
      <c r="G24" s="4140">
        <f t="shared" si="37"/>
        <v>21.294680000000003</v>
      </c>
      <c r="H24" s="2142">
        <f t="shared" si="38"/>
        <v>25</v>
      </c>
      <c r="I24" s="2143">
        <f t="shared" si="39"/>
        <v>3</v>
      </c>
      <c r="J24" s="2144">
        <f t="shared" si="40"/>
        <v>3</v>
      </c>
      <c r="K24" s="2144">
        <f t="shared" si="41"/>
        <v>3</v>
      </c>
      <c r="L24" s="2144">
        <f t="shared" si="42"/>
        <v>3</v>
      </c>
      <c r="M24" s="2145">
        <f t="shared" si="43"/>
        <v>3</v>
      </c>
      <c r="N24" s="2146">
        <f t="shared" si="77"/>
        <v>15</v>
      </c>
      <c r="O24" s="1283">
        <v>6.1489399999999996</v>
      </c>
      <c r="P24" s="1285">
        <v>21.294680000000003</v>
      </c>
      <c r="Q24" s="1284">
        <v>25</v>
      </c>
      <c r="R24" s="1285">
        <v>3</v>
      </c>
      <c r="S24" s="1286">
        <v>3</v>
      </c>
      <c r="T24" s="1286">
        <v>3</v>
      </c>
      <c r="U24" s="1286">
        <v>3</v>
      </c>
      <c r="V24" s="1286">
        <v>3</v>
      </c>
      <c r="W24" s="1283"/>
      <c r="X24" s="1285"/>
      <c r="Y24" s="1284"/>
      <c r="Z24" s="1285"/>
      <c r="AA24" s="1286"/>
      <c r="AB24" s="1286"/>
      <c r="AC24" s="1286"/>
      <c r="AD24" s="1286"/>
      <c r="AE24" s="1283"/>
      <c r="AF24" s="1285"/>
      <c r="AG24" s="1284"/>
      <c r="AH24" s="1285"/>
      <c r="AI24" s="1286"/>
      <c r="AJ24" s="1286"/>
      <c r="AK24" s="1286"/>
      <c r="AL24" s="1287"/>
      <c r="AM24" s="1288"/>
      <c r="AN24" s="1289"/>
      <c r="AO24" s="2147" t="s">
        <v>676</v>
      </c>
      <c r="AP24" s="1285">
        <v>8</v>
      </c>
      <c r="AQ24" s="1285">
        <v>17</v>
      </c>
      <c r="AR24" s="1284">
        <v>50</v>
      </c>
      <c r="AS24" s="1285">
        <v>6</v>
      </c>
      <c r="AT24" s="1286">
        <v>6</v>
      </c>
      <c r="AU24" s="1286">
        <v>6</v>
      </c>
      <c r="AV24" s="1286">
        <v>6</v>
      </c>
      <c r="AW24" s="1284">
        <v>6</v>
      </c>
      <c r="AX24" s="2152" t="s">
        <v>1030</v>
      </c>
      <c r="AY24" s="4488"/>
      <c r="AZ24" s="4504">
        <f t="shared" si="44"/>
        <v>3.1439030999626754</v>
      </c>
      <c r="BA24" s="4504">
        <f t="shared" si="45"/>
        <v>10.887796996671492</v>
      </c>
      <c r="BB24" s="4504">
        <f t="shared" si="46"/>
        <v>12.782297029905463</v>
      </c>
      <c r="BC24" s="4504">
        <f t="shared" si="47"/>
        <v>1.5338756435886556</v>
      </c>
      <c r="BD24" s="4504">
        <f t="shared" si="48"/>
        <v>1.5338756435886556</v>
      </c>
      <c r="BE24" s="4504">
        <f t="shared" si="49"/>
        <v>1.5338756435886556</v>
      </c>
      <c r="BF24" s="4504">
        <f t="shared" si="50"/>
        <v>1.5338756435886556</v>
      </c>
      <c r="BG24" s="4504">
        <f t="shared" si="51"/>
        <v>1.5338756435886556</v>
      </c>
      <c r="BH24" s="4504">
        <f t="shared" si="52"/>
        <v>7.6693782179432777</v>
      </c>
      <c r="BI24" s="4504">
        <f t="shared" si="53"/>
        <v>3.1439030999626754</v>
      </c>
      <c r="BJ24" s="4504">
        <f t="shared" si="54"/>
        <v>10.887796996671492</v>
      </c>
      <c r="BK24" s="4504">
        <f t="shared" si="55"/>
        <v>12.782297029905463</v>
      </c>
      <c r="BL24" s="4504">
        <f t="shared" si="56"/>
        <v>1.5338756435886556</v>
      </c>
      <c r="BM24" s="4504">
        <f t="shared" si="57"/>
        <v>1.5338756435886556</v>
      </c>
      <c r="BN24" s="4504">
        <f t="shared" si="58"/>
        <v>1.5338756435886556</v>
      </c>
      <c r="BO24" s="4504">
        <f t="shared" si="59"/>
        <v>1.5338756435886556</v>
      </c>
      <c r="BP24" s="4504">
        <f t="shared" si="60"/>
        <v>1.5338756435886556</v>
      </c>
      <c r="BQ24" s="4504">
        <f t="shared" si="61"/>
        <v>0</v>
      </c>
      <c r="BR24" s="4504">
        <f t="shared" si="62"/>
        <v>0</v>
      </c>
      <c r="BS24" s="4504">
        <f t="shared" si="63"/>
        <v>0</v>
      </c>
      <c r="BT24" s="4504">
        <f t="shared" si="64"/>
        <v>0</v>
      </c>
      <c r="BU24" s="4504">
        <f t="shared" si="65"/>
        <v>0</v>
      </c>
      <c r="BV24" s="4504">
        <f t="shared" si="66"/>
        <v>0</v>
      </c>
      <c r="BW24" s="4504">
        <f t="shared" si="67"/>
        <v>0</v>
      </c>
      <c r="BX24" s="4504">
        <f t="shared" si="68"/>
        <v>0</v>
      </c>
      <c r="BY24" s="4504">
        <f t="shared" si="69"/>
        <v>0</v>
      </c>
      <c r="BZ24" s="4504">
        <f t="shared" si="70"/>
        <v>0</v>
      </c>
      <c r="CA24" s="4504">
        <f t="shared" si="71"/>
        <v>0</v>
      </c>
      <c r="CB24" s="4504">
        <f t="shared" si="72"/>
        <v>0</v>
      </c>
      <c r="CC24" s="4504">
        <f t="shared" si="73"/>
        <v>0</v>
      </c>
      <c r="CD24" s="4504">
        <f t="shared" si="74"/>
        <v>0</v>
      </c>
      <c r="CE24" s="4504">
        <f t="shared" si="75"/>
        <v>0</v>
      </c>
      <c r="CF24" s="4504">
        <f t="shared" si="76"/>
        <v>0</v>
      </c>
    </row>
    <row r="25" spans="1:84" ht="24">
      <c r="A25" s="2138"/>
      <c r="B25" s="2139">
        <v>2030501</v>
      </c>
      <c r="C25" s="2139" t="s">
        <v>1805</v>
      </c>
      <c r="D25" s="2151">
        <v>0.1</v>
      </c>
      <c r="E25" s="2150" t="s">
        <v>652</v>
      </c>
      <c r="F25" s="2143">
        <f t="shared" si="36"/>
        <v>2.0087799999999998</v>
      </c>
      <c r="G25" s="4140">
        <f t="shared" si="37"/>
        <v>1.4465399999999999</v>
      </c>
      <c r="H25" s="2142">
        <f t="shared" si="38"/>
        <v>10</v>
      </c>
      <c r="I25" s="2143">
        <f t="shared" si="39"/>
        <v>6</v>
      </c>
      <c r="J25" s="2144">
        <f t="shared" si="40"/>
        <v>6</v>
      </c>
      <c r="K25" s="2144">
        <f t="shared" si="41"/>
        <v>6</v>
      </c>
      <c r="L25" s="2144">
        <f t="shared" si="42"/>
        <v>6</v>
      </c>
      <c r="M25" s="2145">
        <f t="shared" si="43"/>
        <v>6</v>
      </c>
      <c r="N25" s="2146">
        <f t="shared" si="77"/>
        <v>30</v>
      </c>
      <c r="O25" s="1283">
        <v>2.0087799999999998</v>
      </c>
      <c r="P25" s="1285">
        <v>1.4465399999999999</v>
      </c>
      <c r="Q25" s="1284">
        <v>10</v>
      </c>
      <c r="R25" s="1285">
        <v>6</v>
      </c>
      <c r="S25" s="1286">
        <v>6</v>
      </c>
      <c r="T25" s="1286">
        <v>6</v>
      </c>
      <c r="U25" s="1286">
        <v>6</v>
      </c>
      <c r="V25" s="1286">
        <v>6</v>
      </c>
      <c r="W25" s="1283"/>
      <c r="X25" s="1285"/>
      <c r="Y25" s="1284"/>
      <c r="Z25" s="1285"/>
      <c r="AA25" s="1286"/>
      <c r="AB25" s="1286"/>
      <c r="AC25" s="1286"/>
      <c r="AD25" s="1286"/>
      <c r="AE25" s="1283"/>
      <c r="AF25" s="1285"/>
      <c r="AG25" s="1284"/>
      <c r="AH25" s="1285"/>
      <c r="AI25" s="1286"/>
      <c r="AJ25" s="1286"/>
      <c r="AK25" s="1286"/>
      <c r="AL25" s="1287"/>
      <c r="AM25" s="1288"/>
      <c r="AN25" s="1289"/>
      <c r="AO25" s="2147" t="s">
        <v>676</v>
      </c>
      <c r="AP25" s="1285">
        <v>4</v>
      </c>
      <c r="AQ25" s="1285">
        <v>2</v>
      </c>
      <c r="AR25" s="1284">
        <v>5</v>
      </c>
      <c r="AS25" s="1285">
        <v>4</v>
      </c>
      <c r="AT25" s="1286">
        <v>4</v>
      </c>
      <c r="AU25" s="1286">
        <v>4</v>
      </c>
      <c r="AV25" s="1286">
        <v>4</v>
      </c>
      <c r="AW25" s="1284">
        <v>4</v>
      </c>
      <c r="AX25" s="2153" t="s">
        <v>709</v>
      </c>
      <c r="AY25" s="4488"/>
      <c r="AZ25" s="4504">
        <f t="shared" si="44"/>
        <v>1.0270729051093397</v>
      </c>
      <c r="BA25" s="4504">
        <f t="shared" si="45"/>
        <v>0.73960415782557787</v>
      </c>
      <c r="BB25" s="4504">
        <f t="shared" si="46"/>
        <v>5.1129188119621851</v>
      </c>
      <c r="BC25" s="4504">
        <f t="shared" si="47"/>
        <v>3.0677512871773112</v>
      </c>
      <c r="BD25" s="4504">
        <f t="shared" si="48"/>
        <v>3.0677512871773112</v>
      </c>
      <c r="BE25" s="4504">
        <f t="shared" si="49"/>
        <v>3.0677512871773112</v>
      </c>
      <c r="BF25" s="4504">
        <f t="shared" si="50"/>
        <v>3.0677512871773112</v>
      </c>
      <c r="BG25" s="4504">
        <f t="shared" si="51"/>
        <v>3.0677512871773112</v>
      </c>
      <c r="BH25" s="4504">
        <f t="shared" si="52"/>
        <v>15.338756435886555</v>
      </c>
      <c r="BI25" s="4504">
        <f t="shared" si="53"/>
        <v>1.0270729051093397</v>
      </c>
      <c r="BJ25" s="4504">
        <f t="shared" si="54"/>
        <v>0.73960415782557787</v>
      </c>
      <c r="BK25" s="4504">
        <f t="shared" si="55"/>
        <v>5.1129188119621851</v>
      </c>
      <c r="BL25" s="4504">
        <f t="shared" si="56"/>
        <v>3.0677512871773112</v>
      </c>
      <c r="BM25" s="4504">
        <f t="shared" si="57"/>
        <v>3.0677512871773112</v>
      </c>
      <c r="BN25" s="4504">
        <f t="shared" si="58"/>
        <v>3.0677512871773112</v>
      </c>
      <c r="BO25" s="4504">
        <f t="shared" si="59"/>
        <v>3.0677512871773112</v>
      </c>
      <c r="BP25" s="4504">
        <f t="shared" si="60"/>
        <v>3.0677512871773112</v>
      </c>
      <c r="BQ25" s="4504">
        <f t="shared" si="61"/>
        <v>0</v>
      </c>
      <c r="BR25" s="4504">
        <f t="shared" si="62"/>
        <v>0</v>
      </c>
      <c r="BS25" s="4504">
        <f t="shared" si="63"/>
        <v>0</v>
      </c>
      <c r="BT25" s="4504">
        <f t="shared" si="64"/>
        <v>0</v>
      </c>
      <c r="BU25" s="4504">
        <f t="shared" si="65"/>
        <v>0</v>
      </c>
      <c r="BV25" s="4504">
        <f t="shared" si="66"/>
        <v>0</v>
      </c>
      <c r="BW25" s="4504">
        <f t="shared" si="67"/>
        <v>0</v>
      </c>
      <c r="BX25" s="4504">
        <f t="shared" si="68"/>
        <v>0</v>
      </c>
      <c r="BY25" s="4504">
        <f t="shared" si="69"/>
        <v>0</v>
      </c>
      <c r="BZ25" s="4504">
        <f t="shared" si="70"/>
        <v>0</v>
      </c>
      <c r="CA25" s="4504">
        <f t="shared" si="71"/>
        <v>0</v>
      </c>
      <c r="CB25" s="4504">
        <f t="shared" si="72"/>
        <v>0</v>
      </c>
      <c r="CC25" s="4504">
        <f t="shared" si="73"/>
        <v>0</v>
      </c>
      <c r="CD25" s="4504">
        <f t="shared" si="74"/>
        <v>0</v>
      </c>
      <c r="CE25" s="4504">
        <f t="shared" si="75"/>
        <v>0</v>
      </c>
      <c r="CF25" s="4504">
        <f t="shared" si="76"/>
        <v>0</v>
      </c>
    </row>
    <row r="26" spans="1:84" ht="24">
      <c r="A26" s="2138"/>
      <c r="B26" s="2139">
        <v>2030501</v>
      </c>
      <c r="C26" s="2139" t="s">
        <v>1806</v>
      </c>
      <c r="D26" s="2151">
        <v>0.1</v>
      </c>
      <c r="E26" s="2141" t="s">
        <v>653</v>
      </c>
      <c r="F26" s="2143">
        <f t="shared" si="36"/>
        <v>11.102559999999999</v>
      </c>
      <c r="G26" s="4140">
        <f t="shared" si="37"/>
        <v>22.364249999999998</v>
      </c>
      <c r="H26" s="2142">
        <f t="shared" si="38"/>
        <v>26</v>
      </c>
      <c r="I26" s="2143">
        <f t="shared" si="39"/>
        <v>11</v>
      </c>
      <c r="J26" s="2144">
        <f t="shared" si="40"/>
        <v>8</v>
      </c>
      <c r="K26" s="2144">
        <f t="shared" si="41"/>
        <v>21</v>
      </c>
      <c r="L26" s="2144">
        <f t="shared" si="42"/>
        <v>27</v>
      </c>
      <c r="M26" s="2145">
        <f t="shared" si="43"/>
        <v>26</v>
      </c>
      <c r="N26" s="2146">
        <f t="shared" si="77"/>
        <v>93</v>
      </c>
      <c r="O26" s="1283">
        <v>11.102559999999999</v>
      </c>
      <c r="P26" s="1285">
        <v>22.364249999999998</v>
      </c>
      <c r="Q26" s="1284">
        <v>26</v>
      </c>
      <c r="R26" s="1285">
        <v>11</v>
      </c>
      <c r="S26" s="1286">
        <v>8</v>
      </c>
      <c r="T26" s="1286">
        <v>21</v>
      </c>
      <c r="U26" s="1286">
        <v>27</v>
      </c>
      <c r="V26" s="1286">
        <v>26</v>
      </c>
      <c r="W26" s="1283"/>
      <c r="X26" s="1285"/>
      <c r="Y26" s="1284"/>
      <c r="Z26" s="1285"/>
      <c r="AA26" s="1286"/>
      <c r="AB26" s="1286"/>
      <c r="AC26" s="1286"/>
      <c r="AD26" s="1286"/>
      <c r="AE26" s="1283"/>
      <c r="AF26" s="1285"/>
      <c r="AG26" s="1284"/>
      <c r="AH26" s="1285"/>
      <c r="AI26" s="1286"/>
      <c r="AJ26" s="1286"/>
      <c r="AK26" s="1286"/>
      <c r="AL26" s="1287"/>
      <c r="AM26" s="1288"/>
      <c r="AN26" s="1289"/>
      <c r="AO26" s="2147" t="s">
        <v>676</v>
      </c>
      <c r="AP26" s="1285">
        <v>9</v>
      </c>
      <c r="AQ26" s="1285">
        <v>9</v>
      </c>
      <c r="AR26" s="1284">
        <v>13</v>
      </c>
      <c r="AS26" s="1285">
        <v>8</v>
      </c>
      <c r="AT26" s="1286">
        <v>6</v>
      </c>
      <c r="AU26" s="1286">
        <v>15</v>
      </c>
      <c r="AV26" s="1286">
        <v>20</v>
      </c>
      <c r="AW26" s="1284">
        <v>19</v>
      </c>
      <c r="AX26" s="2153" t="s">
        <v>654</v>
      </c>
      <c r="AY26" s="4488"/>
      <c r="AZ26" s="4504">
        <f t="shared" si="44"/>
        <v>5.6766487884938872</v>
      </c>
      <c r="BA26" s="4504">
        <f t="shared" si="45"/>
        <v>11.434659454042528</v>
      </c>
      <c r="BB26" s="4504">
        <f t="shared" si="46"/>
        <v>13.293588911101681</v>
      </c>
      <c r="BC26" s="4504">
        <f t="shared" si="47"/>
        <v>5.6242106931584033</v>
      </c>
      <c r="BD26" s="4504">
        <f t="shared" si="48"/>
        <v>4.0903350495697479</v>
      </c>
      <c r="BE26" s="4504">
        <f t="shared" si="49"/>
        <v>10.737129505120588</v>
      </c>
      <c r="BF26" s="4504">
        <f t="shared" si="50"/>
        <v>13.804880792297899</v>
      </c>
      <c r="BG26" s="4504">
        <f t="shared" si="51"/>
        <v>13.293588911101681</v>
      </c>
      <c r="BH26" s="4504">
        <f t="shared" si="52"/>
        <v>47.550144951248321</v>
      </c>
      <c r="BI26" s="4504">
        <f t="shared" si="53"/>
        <v>5.6766487884938872</v>
      </c>
      <c r="BJ26" s="4504">
        <f t="shared" si="54"/>
        <v>11.434659454042528</v>
      </c>
      <c r="BK26" s="4504">
        <f t="shared" si="55"/>
        <v>13.293588911101681</v>
      </c>
      <c r="BL26" s="4504">
        <f t="shared" si="56"/>
        <v>5.6242106931584033</v>
      </c>
      <c r="BM26" s="4504">
        <f t="shared" si="57"/>
        <v>4.0903350495697479</v>
      </c>
      <c r="BN26" s="4504">
        <f t="shared" si="58"/>
        <v>10.737129505120588</v>
      </c>
      <c r="BO26" s="4504">
        <f t="shared" si="59"/>
        <v>13.804880792297899</v>
      </c>
      <c r="BP26" s="4504">
        <f t="shared" si="60"/>
        <v>13.293588911101681</v>
      </c>
      <c r="BQ26" s="4504">
        <f t="shared" si="61"/>
        <v>0</v>
      </c>
      <c r="BR26" s="4504">
        <f t="shared" si="62"/>
        <v>0</v>
      </c>
      <c r="BS26" s="4504">
        <f t="shared" si="63"/>
        <v>0</v>
      </c>
      <c r="BT26" s="4504">
        <f t="shared" si="64"/>
        <v>0</v>
      </c>
      <c r="BU26" s="4504">
        <f t="shared" si="65"/>
        <v>0</v>
      </c>
      <c r="BV26" s="4504">
        <f t="shared" si="66"/>
        <v>0</v>
      </c>
      <c r="BW26" s="4504">
        <f t="shared" si="67"/>
        <v>0</v>
      </c>
      <c r="BX26" s="4504">
        <f t="shared" si="68"/>
        <v>0</v>
      </c>
      <c r="BY26" s="4504">
        <f t="shared" si="69"/>
        <v>0</v>
      </c>
      <c r="BZ26" s="4504">
        <f t="shared" si="70"/>
        <v>0</v>
      </c>
      <c r="CA26" s="4504">
        <f t="shared" si="71"/>
        <v>0</v>
      </c>
      <c r="CB26" s="4504">
        <f t="shared" si="72"/>
        <v>0</v>
      </c>
      <c r="CC26" s="4504">
        <f t="shared" si="73"/>
        <v>0</v>
      </c>
      <c r="CD26" s="4504">
        <f t="shared" si="74"/>
        <v>0</v>
      </c>
      <c r="CE26" s="4504">
        <f t="shared" si="75"/>
        <v>0</v>
      </c>
      <c r="CF26" s="4504">
        <f t="shared" si="76"/>
        <v>0</v>
      </c>
    </row>
    <row r="27" spans="1:84">
      <c r="A27" s="2138"/>
      <c r="B27" s="2139">
        <v>2030502</v>
      </c>
      <c r="C27" s="2139" t="s">
        <v>1807</v>
      </c>
      <c r="D27" s="2151">
        <v>0.1</v>
      </c>
      <c r="E27" s="2150" t="s">
        <v>368</v>
      </c>
      <c r="F27" s="2143">
        <f t="shared" si="36"/>
        <v>0</v>
      </c>
      <c r="G27" s="4140">
        <f t="shared" si="37"/>
        <v>6.0184400000000009</v>
      </c>
      <c r="H27" s="2142">
        <f t="shared" si="38"/>
        <v>5</v>
      </c>
      <c r="I27" s="2143">
        <f t="shared" si="39"/>
        <v>10</v>
      </c>
      <c r="J27" s="2144">
        <f t="shared" si="40"/>
        <v>10</v>
      </c>
      <c r="K27" s="2144">
        <f t="shared" si="41"/>
        <v>17</v>
      </c>
      <c r="L27" s="2144">
        <f t="shared" si="42"/>
        <v>20</v>
      </c>
      <c r="M27" s="2145">
        <f t="shared" si="43"/>
        <v>7</v>
      </c>
      <c r="N27" s="2146">
        <f t="shared" si="77"/>
        <v>64</v>
      </c>
      <c r="O27" s="1283"/>
      <c r="P27" s="1285">
        <v>6.0184400000000009</v>
      </c>
      <c r="Q27" s="1284">
        <v>5</v>
      </c>
      <c r="R27" s="1285">
        <v>10</v>
      </c>
      <c r="S27" s="1286">
        <v>10</v>
      </c>
      <c r="T27" s="1286">
        <v>17</v>
      </c>
      <c r="U27" s="1286">
        <v>20</v>
      </c>
      <c r="V27" s="1286">
        <v>7</v>
      </c>
      <c r="W27" s="1283"/>
      <c r="X27" s="1285"/>
      <c r="Y27" s="1284"/>
      <c r="Z27" s="1285"/>
      <c r="AA27" s="1286"/>
      <c r="AB27" s="1286"/>
      <c r="AC27" s="1286"/>
      <c r="AD27" s="1286"/>
      <c r="AE27" s="1283"/>
      <c r="AF27" s="1285"/>
      <c r="AG27" s="1284"/>
      <c r="AH27" s="1285"/>
      <c r="AI27" s="1286"/>
      <c r="AJ27" s="1286"/>
      <c r="AK27" s="1286"/>
      <c r="AL27" s="1287"/>
      <c r="AM27" s="1288"/>
      <c r="AN27" s="1290"/>
      <c r="AO27" s="2147" t="s">
        <v>676</v>
      </c>
      <c r="AP27" s="1285"/>
      <c r="AQ27" s="1285">
        <v>2</v>
      </c>
      <c r="AR27" s="1284">
        <v>5</v>
      </c>
      <c r="AS27" s="1285">
        <v>3</v>
      </c>
      <c r="AT27" s="1286">
        <v>3</v>
      </c>
      <c r="AU27" s="1286">
        <v>5</v>
      </c>
      <c r="AV27" s="1286">
        <v>6</v>
      </c>
      <c r="AW27" s="1284">
        <v>2</v>
      </c>
      <c r="AX27" s="2153" t="s">
        <v>708</v>
      </c>
      <c r="AY27" s="4488"/>
      <c r="AZ27" s="4504">
        <f t="shared" si="44"/>
        <v>0</v>
      </c>
      <c r="BA27" s="4504">
        <f t="shared" si="45"/>
        <v>3.0771795094665699</v>
      </c>
      <c r="BB27" s="4504">
        <f t="shared" si="46"/>
        <v>2.5564594059810926</v>
      </c>
      <c r="BC27" s="4504">
        <f t="shared" si="47"/>
        <v>5.1129188119621851</v>
      </c>
      <c r="BD27" s="4504">
        <f t="shared" si="48"/>
        <v>5.1129188119621851</v>
      </c>
      <c r="BE27" s="4504">
        <f t="shared" si="49"/>
        <v>8.691961980335714</v>
      </c>
      <c r="BF27" s="4504">
        <f t="shared" si="50"/>
        <v>10.22583762392437</v>
      </c>
      <c r="BG27" s="4504">
        <f t="shared" si="51"/>
        <v>3.5790431683735293</v>
      </c>
      <c r="BH27" s="4504">
        <f t="shared" si="52"/>
        <v>32.722680396557983</v>
      </c>
      <c r="BI27" s="4504">
        <f t="shared" si="53"/>
        <v>0</v>
      </c>
      <c r="BJ27" s="4504">
        <f t="shared" si="54"/>
        <v>3.0771795094665699</v>
      </c>
      <c r="BK27" s="4504">
        <f t="shared" si="55"/>
        <v>2.5564594059810926</v>
      </c>
      <c r="BL27" s="4504">
        <f t="shared" si="56"/>
        <v>5.1129188119621851</v>
      </c>
      <c r="BM27" s="4504">
        <f t="shared" si="57"/>
        <v>5.1129188119621851</v>
      </c>
      <c r="BN27" s="4504">
        <f t="shared" si="58"/>
        <v>8.691961980335714</v>
      </c>
      <c r="BO27" s="4504">
        <f t="shared" si="59"/>
        <v>10.22583762392437</v>
      </c>
      <c r="BP27" s="4504">
        <f t="shared" si="60"/>
        <v>3.5790431683735293</v>
      </c>
      <c r="BQ27" s="4504">
        <f t="shared" si="61"/>
        <v>0</v>
      </c>
      <c r="BR27" s="4504">
        <f t="shared" si="62"/>
        <v>0</v>
      </c>
      <c r="BS27" s="4504">
        <f t="shared" si="63"/>
        <v>0</v>
      </c>
      <c r="BT27" s="4504">
        <f t="shared" si="64"/>
        <v>0</v>
      </c>
      <c r="BU27" s="4504">
        <f t="shared" si="65"/>
        <v>0</v>
      </c>
      <c r="BV27" s="4504">
        <f t="shared" si="66"/>
        <v>0</v>
      </c>
      <c r="BW27" s="4504">
        <f t="shared" si="67"/>
        <v>0</v>
      </c>
      <c r="BX27" s="4504">
        <f t="shared" si="68"/>
        <v>0</v>
      </c>
      <c r="BY27" s="4504">
        <f t="shared" si="69"/>
        <v>0</v>
      </c>
      <c r="BZ27" s="4504">
        <f t="shared" si="70"/>
        <v>0</v>
      </c>
      <c r="CA27" s="4504">
        <f t="shared" si="71"/>
        <v>0</v>
      </c>
      <c r="CB27" s="4504">
        <f t="shared" si="72"/>
        <v>0</v>
      </c>
      <c r="CC27" s="4504">
        <f t="shared" si="73"/>
        <v>0</v>
      </c>
      <c r="CD27" s="4504">
        <f t="shared" si="74"/>
        <v>0</v>
      </c>
      <c r="CE27" s="4504">
        <f t="shared" si="75"/>
        <v>0</v>
      </c>
      <c r="CF27" s="4504">
        <f t="shared" si="76"/>
        <v>0</v>
      </c>
    </row>
    <row r="28" spans="1:84" ht="24">
      <c r="A28" s="2138"/>
      <c r="B28" s="2139">
        <v>215</v>
      </c>
      <c r="C28" s="2139" t="s">
        <v>1808</v>
      </c>
      <c r="D28" s="2149">
        <v>0.2</v>
      </c>
      <c r="E28" s="2141" t="s">
        <v>369</v>
      </c>
      <c r="F28" s="2143">
        <f t="shared" si="36"/>
        <v>0</v>
      </c>
      <c r="G28" s="4140">
        <f t="shared" si="37"/>
        <v>48</v>
      </c>
      <c r="H28" s="2142">
        <f t="shared" si="38"/>
        <v>100</v>
      </c>
      <c r="I28" s="2143">
        <f t="shared" si="39"/>
        <v>0</v>
      </c>
      <c r="J28" s="2144">
        <f t="shared" si="40"/>
        <v>0</v>
      </c>
      <c r="K28" s="2144">
        <f t="shared" si="41"/>
        <v>0</v>
      </c>
      <c r="L28" s="2144">
        <f t="shared" si="42"/>
        <v>0</v>
      </c>
      <c r="M28" s="2145">
        <f t="shared" si="43"/>
        <v>0</v>
      </c>
      <c r="N28" s="2146">
        <f t="shared" si="77"/>
        <v>0</v>
      </c>
      <c r="O28" s="1283"/>
      <c r="P28" s="1285">
        <v>48</v>
      </c>
      <c r="Q28" s="1284">
        <v>100</v>
      </c>
      <c r="R28" s="1285"/>
      <c r="S28" s="1286"/>
      <c r="T28" s="1286"/>
      <c r="U28" s="1286"/>
      <c r="V28" s="1286"/>
      <c r="W28" s="1283"/>
      <c r="X28" s="1285"/>
      <c r="Y28" s="1284"/>
      <c r="Z28" s="1285"/>
      <c r="AA28" s="1286"/>
      <c r="AB28" s="1286"/>
      <c r="AC28" s="1286"/>
      <c r="AD28" s="1286"/>
      <c r="AE28" s="1283"/>
      <c r="AF28" s="1285"/>
      <c r="AG28" s="1284"/>
      <c r="AH28" s="1285"/>
      <c r="AI28" s="1286"/>
      <c r="AJ28" s="1286"/>
      <c r="AK28" s="1286"/>
      <c r="AL28" s="1287"/>
      <c r="AM28" s="1288"/>
      <c r="AN28" s="1290"/>
      <c r="AO28" s="2154" t="s">
        <v>313</v>
      </c>
      <c r="AP28" s="1285"/>
      <c r="AQ28" s="1285"/>
      <c r="AR28" s="1284"/>
      <c r="AS28" s="1285"/>
      <c r="AT28" s="1286"/>
      <c r="AU28" s="1286"/>
      <c r="AV28" s="1286"/>
      <c r="AW28" s="1284"/>
      <c r="AX28" s="2148" t="s">
        <v>370</v>
      </c>
      <c r="AY28" s="4488"/>
      <c r="AZ28" s="4504">
        <f t="shared" si="44"/>
        <v>0</v>
      </c>
      <c r="BA28" s="4504">
        <f t="shared" si="45"/>
        <v>24.542010297418489</v>
      </c>
      <c r="BB28" s="4504">
        <f t="shared" si="46"/>
        <v>51.129188119621851</v>
      </c>
      <c r="BC28" s="4504">
        <f t="shared" si="47"/>
        <v>0</v>
      </c>
      <c r="BD28" s="4504">
        <f t="shared" si="48"/>
        <v>0</v>
      </c>
      <c r="BE28" s="4504">
        <f t="shared" si="49"/>
        <v>0</v>
      </c>
      <c r="BF28" s="4504">
        <f t="shared" si="50"/>
        <v>0</v>
      </c>
      <c r="BG28" s="4504">
        <f t="shared" si="51"/>
        <v>0</v>
      </c>
      <c r="BH28" s="4504">
        <f t="shared" si="52"/>
        <v>0</v>
      </c>
      <c r="BI28" s="4504">
        <f t="shared" si="53"/>
        <v>0</v>
      </c>
      <c r="BJ28" s="4504">
        <f t="shared" si="54"/>
        <v>24.542010297418489</v>
      </c>
      <c r="BK28" s="4504">
        <f t="shared" si="55"/>
        <v>51.129188119621851</v>
      </c>
      <c r="BL28" s="4504">
        <f t="shared" si="56"/>
        <v>0</v>
      </c>
      <c r="BM28" s="4504">
        <f t="shared" si="57"/>
        <v>0</v>
      </c>
      <c r="BN28" s="4504">
        <f t="shared" si="58"/>
        <v>0</v>
      </c>
      <c r="BO28" s="4504">
        <f t="shared" si="59"/>
        <v>0</v>
      </c>
      <c r="BP28" s="4504">
        <f t="shared" si="60"/>
        <v>0</v>
      </c>
      <c r="BQ28" s="4504">
        <f t="shared" si="61"/>
        <v>0</v>
      </c>
      <c r="BR28" s="4504">
        <f t="shared" si="62"/>
        <v>0</v>
      </c>
      <c r="BS28" s="4504">
        <f t="shared" si="63"/>
        <v>0</v>
      </c>
      <c r="BT28" s="4504">
        <f t="shared" si="64"/>
        <v>0</v>
      </c>
      <c r="BU28" s="4504">
        <f t="shared" si="65"/>
        <v>0</v>
      </c>
      <c r="BV28" s="4504">
        <f t="shared" si="66"/>
        <v>0</v>
      </c>
      <c r="BW28" s="4504">
        <f t="shared" si="67"/>
        <v>0</v>
      </c>
      <c r="BX28" s="4504">
        <f t="shared" si="68"/>
        <v>0</v>
      </c>
      <c r="BY28" s="4504">
        <f t="shared" si="69"/>
        <v>0</v>
      </c>
      <c r="BZ28" s="4504">
        <f t="shared" si="70"/>
        <v>0</v>
      </c>
      <c r="CA28" s="4504">
        <f t="shared" si="71"/>
        <v>0</v>
      </c>
      <c r="CB28" s="4504">
        <f t="shared" si="72"/>
        <v>0</v>
      </c>
      <c r="CC28" s="4504">
        <f t="shared" si="73"/>
        <v>0</v>
      </c>
      <c r="CD28" s="4504">
        <f t="shared" si="74"/>
        <v>0</v>
      </c>
      <c r="CE28" s="4504">
        <f t="shared" si="75"/>
        <v>0</v>
      </c>
      <c r="CF28" s="4504">
        <f t="shared" si="76"/>
        <v>0</v>
      </c>
    </row>
    <row r="29" spans="1:84">
      <c r="A29" s="2138"/>
      <c r="B29" s="2139">
        <v>2030503</v>
      </c>
      <c r="C29" s="2139" t="s">
        <v>1809</v>
      </c>
      <c r="D29" s="2140">
        <v>0.1</v>
      </c>
      <c r="E29" s="2141" t="s">
        <v>664</v>
      </c>
      <c r="F29" s="2143">
        <f t="shared" si="36"/>
        <v>11.244129999999998</v>
      </c>
      <c r="G29" s="4140">
        <f t="shared" si="37"/>
        <v>9.2304500000000012</v>
      </c>
      <c r="H29" s="2142">
        <f t="shared" si="38"/>
        <v>0</v>
      </c>
      <c r="I29" s="2143">
        <f t="shared" si="39"/>
        <v>6</v>
      </c>
      <c r="J29" s="2144">
        <f t="shared" si="40"/>
        <v>6</v>
      </c>
      <c r="K29" s="2144">
        <f t="shared" si="41"/>
        <v>6</v>
      </c>
      <c r="L29" s="2144">
        <f t="shared" si="42"/>
        <v>6</v>
      </c>
      <c r="M29" s="2145">
        <f t="shared" si="43"/>
        <v>6</v>
      </c>
      <c r="N29" s="2146">
        <f t="shared" si="77"/>
        <v>30</v>
      </c>
      <c r="O29" s="1283">
        <v>11.244129999999998</v>
      </c>
      <c r="P29" s="1285">
        <v>9.2304500000000012</v>
      </c>
      <c r="Q29" s="1284"/>
      <c r="R29" s="1285">
        <v>6</v>
      </c>
      <c r="S29" s="1286">
        <v>6</v>
      </c>
      <c r="T29" s="1286">
        <v>6</v>
      </c>
      <c r="U29" s="1286">
        <v>6</v>
      </c>
      <c r="V29" s="1286">
        <v>6</v>
      </c>
      <c r="W29" s="1283"/>
      <c r="X29" s="1285"/>
      <c r="Y29" s="1284"/>
      <c r="Z29" s="1285"/>
      <c r="AA29" s="1286"/>
      <c r="AB29" s="1286"/>
      <c r="AC29" s="1286"/>
      <c r="AD29" s="1286"/>
      <c r="AE29" s="1283"/>
      <c r="AF29" s="1285"/>
      <c r="AG29" s="1284"/>
      <c r="AH29" s="1285"/>
      <c r="AI29" s="1286"/>
      <c r="AJ29" s="1286"/>
      <c r="AK29" s="1286"/>
      <c r="AL29" s="1287"/>
      <c r="AM29" s="1288"/>
      <c r="AN29" s="1289"/>
      <c r="AO29" s="2147" t="s">
        <v>676</v>
      </c>
      <c r="AP29" s="1285">
        <v>1</v>
      </c>
      <c r="AQ29" s="1285">
        <v>3</v>
      </c>
      <c r="AR29" s="1284"/>
      <c r="AS29" s="1285">
        <v>3</v>
      </c>
      <c r="AT29" s="1286">
        <v>3</v>
      </c>
      <c r="AU29" s="1286">
        <v>3</v>
      </c>
      <c r="AV29" s="1286">
        <v>3</v>
      </c>
      <c r="AW29" s="1284">
        <v>3</v>
      </c>
      <c r="AX29" s="2148" t="s">
        <v>371</v>
      </c>
      <c r="AY29" s="4488"/>
      <c r="AZ29" s="4504">
        <f t="shared" si="44"/>
        <v>5.7490323801148353</v>
      </c>
      <c r="BA29" s="4504">
        <f t="shared" si="45"/>
        <v>4.7194541447876359</v>
      </c>
      <c r="BB29" s="4504">
        <f t="shared" si="46"/>
        <v>0</v>
      </c>
      <c r="BC29" s="4504">
        <f t="shared" si="47"/>
        <v>3.0677512871773112</v>
      </c>
      <c r="BD29" s="4504">
        <f t="shared" si="48"/>
        <v>3.0677512871773112</v>
      </c>
      <c r="BE29" s="4504">
        <f t="shared" si="49"/>
        <v>3.0677512871773112</v>
      </c>
      <c r="BF29" s="4504">
        <f t="shared" si="50"/>
        <v>3.0677512871773112</v>
      </c>
      <c r="BG29" s="4504">
        <f t="shared" si="51"/>
        <v>3.0677512871773112</v>
      </c>
      <c r="BH29" s="4504">
        <f t="shared" si="52"/>
        <v>15.338756435886555</v>
      </c>
      <c r="BI29" s="4504">
        <f t="shared" si="53"/>
        <v>5.7490323801148353</v>
      </c>
      <c r="BJ29" s="4504">
        <f t="shared" si="54"/>
        <v>4.7194541447876359</v>
      </c>
      <c r="BK29" s="4504">
        <f t="shared" si="55"/>
        <v>0</v>
      </c>
      <c r="BL29" s="4504">
        <f t="shared" si="56"/>
        <v>3.0677512871773112</v>
      </c>
      <c r="BM29" s="4504">
        <f t="shared" si="57"/>
        <v>3.0677512871773112</v>
      </c>
      <c r="BN29" s="4504">
        <f t="shared" si="58"/>
        <v>3.0677512871773112</v>
      </c>
      <c r="BO29" s="4504">
        <f t="shared" si="59"/>
        <v>3.0677512871773112</v>
      </c>
      <c r="BP29" s="4504">
        <f t="shared" si="60"/>
        <v>3.0677512871773112</v>
      </c>
      <c r="BQ29" s="4504">
        <f t="shared" si="61"/>
        <v>0</v>
      </c>
      <c r="BR29" s="4504">
        <f t="shared" si="62"/>
        <v>0</v>
      </c>
      <c r="BS29" s="4504">
        <f t="shared" si="63"/>
        <v>0</v>
      </c>
      <c r="BT29" s="4504">
        <f t="shared" si="64"/>
        <v>0</v>
      </c>
      <c r="BU29" s="4504">
        <f t="shared" si="65"/>
        <v>0</v>
      </c>
      <c r="BV29" s="4504">
        <f t="shared" si="66"/>
        <v>0</v>
      </c>
      <c r="BW29" s="4504">
        <f t="shared" si="67"/>
        <v>0</v>
      </c>
      <c r="BX29" s="4504">
        <f t="shared" si="68"/>
        <v>0</v>
      </c>
      <c r="BY29" s="4504">
        <f t="shared" si="69"/>
        <v>0</v>
      </c>
      <c r="BZ29" s="4504">
        <f t="shared" si="70"/>
        <v>0</v>
      </c>
      <c r="CA29" s="4504">
        <f t="shared" si="71"/>
        <v>0</v>
      </c>
      <c r="CB29" s="4504">
        <f t="shared" si="72"/>
        <v>0</v>
      </c>
      <c r="CC29" s="4504">
        <f t="shared" si="73"/>
        <v>0</v>
      </c>
      <c r="CD29" s="4504">
        <f t="shared" si="74"/>
        <v>0</v>
      </c>
      <c r="CE29" s="4504">
        <f t="shared" si="75"/>
        <v>0</v>
      </c>
      <c r="CF29" s="4504">
        <f t="shared" si="76"/>
        <v>0</v>
      </c>
    </row>
    <row r="30" spans="1:84">
      <c r="A30" s="2155"/>
      <c r="B30" s="2139">
        <v>20302</v>
      </c>
      <c r="C30" s="2139" t="s">
        <v>1810</v>
      </c>
      <c r="D30" s="2140">
        <v>0.1</v>
      </c>
      <c r="E30" s="2141" t="s">
        <v>372</v>
      </c>
      <c r="F30" s="2143">
        <f t="shared" si="36"/>
        <v>0</v>
      </c>
      <c r="G30" s="4140">
        <f t="shared" si="37"/>
        <v>0</v>
      </c>
      <c r="H30" s="2142">
        <f t="shared" si="38"/>
        <v>0</v>
      </c>
      <c r="I30" s="2143">
        <f t="shared" si="39"/>
        <v>0</v>
      </c>
      <c r="J30" s="2144">
        <f t="shared" si="40"/>
        <v>0</v>
      </c>
      <c r="K30" s="2144">
        <f t="shared" si="41"/>
        <v>0</v>
      </c>
      <c r="L30" s="2144">
        <f t="shared" si="42"/>
        <v>0</v>
      </c>
      <c r="M30" s="2145">
        <f t="shared" si="43"/>
        <v>0</v>
      </c>
      <c r="N30" s="2146">
        <f t="shared" si="77"/>
        <v>0</v>
      </c>
      <c r="O30" s="1283"/>
      <c r="P30" s="1285"/>
      <c r="Q30" s="1284"/>
      <c r="R30" s="1285"/>
      <c r="S30" s="1286"/>
      <c r="T30" s="1286"/>
      <c r="U30" s="1286"/>
      <c r="V30" s="1286"/>
      <c r="W30" s="1283"/>
      <c r="X30" s="1285"/>
      <c r="Y30" s="1284"/>
      <c r="Z30" s="1285"/>
      <c r="AA30" s="1286"/>
      <c r="AB30" s="1286"/>
      <c r="AC30" s="1286"/>
      <c r="AD30" s="1286"/>
      <c r="AE30" s="1283"/>
      <c r="AF30" s="1285"/>
      <c r="AG30" s="1284"/>
      <c r="AH30" s="1285"/>
      <c r="AI30" s="1286"/>
      <c r="AJ30" s="1286"/>
      <c r="AK30" s="1286"/>
      <c r="AL30" s="1287"/>
      <c r="AM30" s="1288"/>
      <c r="AN30" s="1289"/>
      <c r="AO30" s="2147" t="s">
        <v>676</v>
      </c>
      <c r="AP30" s="1285"/>
      <c r="AQ30" s="1285"/>
      <c r="AR30" s="1284"/>
      <c r="AS30" s="1285"/>
      <c r="AT30" s="1286"/>
      <c r="AU30" s="1286"/>
      <c r="AV30" s="1286"/>
      <c r="AW30" s="1284"/>
      <c r="AX30" s="2148" t="s">
        <v>373</v>
      </c>
      <c r="AY30" s="4488"/>
      <c r="AZ30" s="4504">
        <f t="shared" si="44"/>
        <v>0</v>
      </c>
      <c r="BA30" s="4504">
        <f t="shared" si="45"/>
        <v>0</v>
      </c>
      <c r="BB30" s="4504">
        <f t="shared" si="46"/>
        <v>0</v>
      </c>
      <c r="BC30" s="4504">
        <f t="shared" si="47"/>
        <v>0</v>
      </c>
      <c r="BD30" s="4504">
        <f t="shared" si="48"/>
        <v>0</v>
      </c>
      <c r="BE30" s="4504">
        <f t="shared" si="49"/>
        <v>0</v>
      </c>
      <c r="BF30" s="4504">
        <f t="shared" si="50"/>
        <v>0</v>
      </c>
      <c r="BG30" s="4504">
        <f t="shared" si="51"/>
        <v>0</v>
      </c>
      <c r="BH30" s="4504">
        <f t="shared" si="52"/>
        <v>0</v>
      </c>
      <c r="BI30" s="4504">
        <f t="shared" si="53"/>
        <v>0</v>
      </c>
      <c r="BJ30" s="4504">
        <f t="shared" si="54"/>
        <v>0</v>
      </c>
      <c r="BK30" s="4504">
        <f t="shared" si="55"/>
        <v>0</v>
      </c>
      <c r="BL30" s="4504">
        <f t="shared" si="56"/>
        <v>0</v>
      </c>
      <c r="BM30" s="4504">
        <f t="shared" si="57"/>
        <v>0</v>
      </c>
      <c r="BN30" s="4504">
        <f t="shared" si="58"/>
        <v>0</v>
      </c>
      <c r="BO30" s="4504">
        <f t="shared" si="59"/>
        <v>0</v>
      </c>
      <c r="BP30" s="4504">
        <f t="shared" si="60"/>
        <v>0</v>
      </c>
      <c r="BQ30" s="4504">
        <f t="shared" si="61"/>
        <v>0</v>
      </c>
      <c r="BR30" s="4504">
        <f t="shared" si="62"/>
        <v>0</v>
      </c>
      <c r="BS30" s="4504">
        <f t="shared" si="63"/>
        <v>0</v>
      </c>
      <c r="BT30" s="4504">
        <f t="shared" si="64"/>
        <v>0</v>
      </c>
      <c r="BU30" s="4504">
        <f t="shared" si="65"/>
        <v>0</v>
      </c>
      <c r="BV30" s="4504">
        <f t="shared" si="66"/>
        <v>0</v>
      </c>
      <c r="BW30" s="4504">
        <f t="shared" si="67"/>
        <v>0</v>
      </c>
      <c r="BX30" s="4504">
        <f t="shared" si="68"/>
        <v>0</v>
      </c>
      <c r="BY30" s="4504">
        <f t="shared" si="69"/>
        <v>0</v>
      </c>
      <c r="BZ30" s="4504">
        <f t="shared" si="70"/>
        <v>0</v>
      </c>
      <c r="CA30" s="4504">
        <f t="shared" si="71"/>
        <v>0</v>
      </c>
      <c r="CB30" s="4504">
        <f t="shared" si="72"/>
        <v>0</v>
      </c>
      <c r="CC30" s="4504">
        <f t="shared" si="73"/>
        <v>0</v>
      </c>
      <c r="CD30" s="4504">
        <f t="shared" si="74"/>
        <v>0</v>
      </c>
      <c r="CE30" s="4504">
        <f t="shared" si="75"/>
        <v>0</v>
      </c>
      <c r="CF30" s="4504">
        <f t="shared" si="76"/>
        <v>0</v>
      </c>
    </row>
    <row r="31" spans="1:84" ht="24">
      <c r="A31" s="2155"/>
      <c r="B31" s="2139">
        <v>20502</v>
      </c>
      <c r="C31" s="2139" t="s">
        <v>1811</v>
      </c>
      <c r="D31" s="2140">
        <v>0.1</v>
      </c>
      <c r="E31" s="2141" t="s">
        <v>374</v>
      </c>
      <c r="F31" s="2143">
        <f t="shared" si="36"/>
        <v>0</v>
      </c>
      <c r="G31" s="4140">
        <f t="shared" si="37"/>
        <v>0</v>
      </c>
      <c r="H31" s="2142">
        <f t="shared" si="38"/>
        <v>0</v>
      </c>
      <c r="I31" s="2143">
        <f t="shared" si="39"/>
        <v>0</v>
      </c>
      <c r="J31" s="2144">
        <f t="shared" si="40"/>
        <v>0</v>
      </c>
      <c r="K31" s="2144">
        <f t="shared" si="41"/>
        <v>0</v>
      </c>
      <c r="L31" s="2144">
        <f t="shared" si="42"/>
        <v>0</v>
      </c>
      <c r="M31" s="2145">
        <f t="shared" si="43"/>
        <v>0</v>
      </c>
      <c r="N31" s="2146">
        <f t="shared" si="77"/>
        <v>0</v>
      </c>
      <c r="O31" s="1283"/>
      <c r="P31" s="1285"/>
      <c r="Q31" s="1284"/>
      <c r="R31" s="1285"/>
      <c r="S31" s="1286"/>
      <c r="T31" s="1286"/>
      <c r="U31" s="1286"/>
      <c r="V31" s="1286"/>
      <c r="W31" s="1283"/>
      <c r="X31" s="1285"/>
      <c r="Y31" s="1284"/>
      <c r="Z31" s="1285"/>
      <c r="AA31" s="1286"/>
      <c r="AB31" s="1286"/>
      <c r="AC31" s="1286"/>
      <c r="AD31" s="1286"/>
      <c r="AE31" s="1283"/>
      <c r="AF31" s="1285"/>
      <c r="AG31" s="1284"/>
      <c r="AH31" s="1285"/>
      <c r="AI31" s="1286"/>
      <c r="AJ31" s="1286"/>
      <c r="AK31" s="1286"/>
      <c r="AL31" s="1287"/>
      <c r="AM31" s="1288"/>
      <c r="AN31" s="1290"/>
      <c r="AO31" s="2147" t="s">
        <v>676</v>
      </c>
      <c r="AP31" s="1285"/>
      <c r="AQ31" s="1285"/>
      <c r="AR31" s="1284"/>
      <c r="AS31" s="1285"/>
      <c r="AT31" s="1286"/>
      <c r="AU31" s="1286"/>
      <c r="AV31" s="1286"/>
      <c r="AW31" s="1284"/>
      <c r="AX31" s="2148" t="s">
        <v>375</v>
      </c>
      <c r="AY31" s="4488"/>
      <c r="AZ31" s="4504">
        <f t="shared" si="44"/>
        <v>0</v>
      </c>
      <c r="BA31" s="4504">
        <f t="shared" si="45"/>
        <v>0</v>
      </c>
      <c r="BB31" s="4504">
        <f t="shared" si="46"/>
        <v>0</v>
      </c>
      <c r="BC31" s="4504">
        <f t="shared" si="47"/>
        <v>0</v>
      </c>
      <c r="BD31" s="4504">
        <f t="shared" si="48"/>
        <v>0</v>
      </c>
      <c r="BE31" s="4504">
        <f t="shared" si="49"/>
        <v>0</v>
      </c>
      <c r="BF31" s="4504">
        <f t="shared" si="50"/>
        <v>0</v>
      </c>
      <c r="BG31" s="4504">
        <f t="shared" si="51"/>
        <v>0</v>
      </c>
      <c r="BH31" s="4504">
        <f t="shared" si="52"/>
        <v>0</v>
      </c>
      <c r="BI31" s="4504">
        <f t="shared" si="53"/>
        <v>0</v>
      </c>
      <c r="BJ31" s="4504">
        <f t="shared" si="54"/>
        <v>0</v>
      </c>
      <c r="BK31" s="4504">
        <f t="shared" si="55"/>
        <v>0</v>
      </c>
      <c r="BL31" s="4504">
        <f t="shared" si="56"/>
        <v>0</v>
      </c>
      <c r="BM31" s="4504">
        <f t="shared" si="57"/>
        <v>0</v>
      </c>
      <c r="BN31" s="4504">
        <f t="shared" si="58"/>
        <v>0</v>
      </c>
      <c r="BO31" s="4504">
        <f t="shared" si="59"/>
        <v>0</v>
      </c>
      <c r="BP31" s="4504">
        <f t="shared" si="60"/>
        <v>0</v>
      </c>
      <c r="BQ31" s="4504">
        <f t="shared" si="61"/>
        <v>0</v>
      </c>
      <c r="BR31" s="4504">
        <f t="shared" si="62"/>
        <v>0</v>
      </c>
      <c r="BS31" s="4504">
        <f t="shared" si="63"/>
        <v>0</v>
      </c>
      <c r="BT31" s="4504">
        <f t="shared" si="64"/>
        <v>0</v>
      </c>
      <c r="BU31" s="4504">
        <f t="shared" si="65"/>
        <v>0</v>
      </c>
      <c r="BV31" s="4504">
        <f t="shared" si="66"/>
        <v>0</v>
      </c>
      <c r="BW31" s="4504">
        <f t="shared" si="67"/>
        <v>0</v>
      </c>
      <c r="BX31" s="4504">
        <f t="shared" si="68"/>
        <v>0</v>
      </c>
      <c r="BY31" s="4504">
        <f t="shared" si="69"/>
        <v>0</v>
      </c>
      <c r="BZ31" s="4504">
        <f t="shared" si="70"/>
        <v>0</v>
      </c>
      <c r="CA31" s="4504">
        <f t="shared" si="71"/>
        <v>0</v>
      </c>
      <c r="CB31" s="4504">
        <f t="shared" si="72"/>
        <v>0</v>
      </c>
      <c r="CC31" s="4504">
        <f t="shared" si="73"/>
        <v>0</v>
      </c>
      <c r="CD31" s="4504">
        <f t="shared" si="74"/>
        <v>0</v>
      </c>
      <c r="CE31" s="4504">
        <f t="shared" si="75"/>
        <v>0</v>
      </c>
      <c r="CF31" s="4504">
        <f t="shared" si="76"/>
        <v>0</v>
      </c>
    </row>
    <row r="32" spans="1:84" ht="24">
      <c r="A32" s="2155"/>
      <c r="B32" s="2139">
        <v>20501</v>
      </c>
      <c r="C32" s="2139" t="s">
        <v>1812</v>
      </c>
      <c r="D32" s="2140">
        <v>0.08</v>
      </c>
      <c r="E32" s="2141" t="s">
        <v>376</v>
      </c>
      <c r="F32" s="2143">
        <f t="shared" si="36"/>
        <v>0</v>
      </c>
      <c r="G32" s="4140">
        <f t="shared" si="37"/>
        <v>0</v>
      </c>
      <c r="H32" s="2142">
        <f t="shared" si="38"/>
        <v>0</v>
      </c>
      <c r="I32" s="2143">
        <f t="shared" si="39"/>
        <v>0</v>
      </c>
      <c r="J32" s="2144">
        <f t="shared" si="40"/>
        <v>0</v>
      </c>
      <c r="K32" s="2144">
        <f t="shared" si="41"/>
        <v>0</v>
      </c>
      <c r="L32" s="2144">
        <f t="shared" si="42"/>
        <v>0</v>
      </c>
      <c r="M32" s="2145">
        <f t="shared" si="43"/>
        <v>0</v>
      </c>
      <c r="N32" s="2146">
        <f t="shared" si="77"/>
        <v>0</v>
      </c>
      <c r="O32" s="1283"/>
      <c r="P32" s="1285"/>
      <c r="Q32" s="1284"/>
      <c r="R32" s="1285"/>
      <c r="S32" s="1286"/>
      <c r="T32" s="1286"/>
      <c r="U32" s="1286"/>
      <c r="V32" s="1286"/>
      <c r="W32" s="1283"/>
      <c r="X32" s="1285"/>
      <c r="Y32" s="1284"/>
      <c r="Z32" s="1285"/>
      <c r="AA32" s="1286"/>
      <c r="AB32" s="1286"/>
      <c r="AC32" s="1286"/>
      <c r="AD32" s="1286"/>
      <c r="AE32" s="1283"/>
      <c r="AF32" s="1285"/>
      <c r="AG32" s="1284"/>
      <c r="AH32" s="1285"/>
      <c r="AI32" s="1286"/>
      <c r="AJ32" s="1286"/>
      <c r="AK32" s="1286"/>
      <c r="AL32" s="1287"/>
      <c r="AM32" s="1288"/>
      <c r="AN32" s="1290"/>
      <c r="AO32" s="2147" t="s">
        <v>676</v>
      </c>
      <c r="AP32" s="1285"/>
      <c r="AQ32" s="1285"/>
      <c r="AR32" s="1284"/>
      <c r="AS32" s="1285"/>
      <c r="AT32" s="1286"/>
      <c r="AU32" s="1286"/>
      <c r="AV32" s="1286"/>
      <c r="AW32" s="1284"/>
      <c r="AX32" s="2148" t="s">
        <v>375</v>
      </c>
      <c r="AY32" s="4488"/>
      <c r="AZ32" s="4504">
        <f t="shared" si="44"/>
        <v>0</v>
      </c>
      <c r="BA32" s="4504">
        <f t="shared" si="45"/>
        <v>0</v>
      </c>
      <c r="BB32" s="4504">
        <f t="shared" si="46"/>
        <v>0</v>
      </c>
      <c r="BC32" s="4504">
        <f t="shared" si="47"/>
        <v>0</v>
      </c>
      <c r="BD32" s="4504">
        <f t="shared" si="48"/>
        <v>0</v>
      </c>
      <c r="BE32" s="4504">
        <f t="shared" si="49"/>
        <v>0</v>
      </c>
      <c r="BF32" s="4504">
        <f t="shared" si="50"/>
        <v>0</v>
      </c>
      <c r="BG32" s="4504">
        <f t="shared" si="51"/>
        <v>0</v>
      </c>
      <c r="BH32" s="4504">
        <f t="shared" si="52"/>
        <v>0</v>
      </c>
      <c r="BI32" s="4504">
        <f t="shared" si="53"/>
        <v>0</v>
      </c>
      <c r="BJ32" s="4504">
        <f t="shared" si="54"/>
        <v>0</v>
      </c>
      <c r="BK32" s="4504">
        <f t="shared" si="55"/>
        <v>0</v>
      </c>
      <c r="BL32" s="4504">
        <f t="shared" si="56"/>
        <v>0</v>
      </c>
      <c r="BM32" s="4504">
        <f t="shared" si="57"/>
        <v>0</v>
      </c>
      <c r="BN32" s="4504">
        <f t="shared" si="58"/>
        <v>0</v>
      </c>
      <c r="BO32" s="4504">
        <f t="shared" si="59"/>
        <v>0</v>
      </c>
      <c r="BP32" s="4504">
        <f t="shared" si="60"/>
        <v>0</v>
      </c>
      <c r="BQ32" s="4504">
        <f t="shared" si="61"/>
        <v>0</v>
      </c>
      <c r="BR32" s="4504">
        <f t="shared" si="62"/>
        <v>0</v>
      </c>
      <c r="BS32" s="4504">
        <f t="shared" si="63"/>
        <v>0</v>
      </c>
      <c r="BT32" s="4504">
        <f t="shared" si="64"/>
        <v>0</v>
      </c>
      <c r="BU32" s="4504">
        <f t="shared" si="65"/>
        <v>0</v>
      </c>
      <c r="BV32" s="4504">
        <f t="shared" si="66"/>
        <v>0</v>
      </c>
      <c r="BW32" s="4504">
        <f t="shared" si="67"/>
        <v>0</v>
      </c>
      <c r="BX32" s="4504">
        <f t="shared" si="68"/>
        <v>0</v>
      </c>
      <c r="BY32" s="4504">
        <f t="shared" si="69"/>
        <v>0</v>
      </c>
      <c r="BZ32" s="4504">
        <f t="shared" si="70"/>
        <v>0</v>
      </c>
      <c r="CA32" s="4504">
        <f t="shared" si="71"/>
        <v>0</v>
      </c>
      <c r="CB32" s="4504">
        <f t="shared" si="72"/>
        <v>0</v>
      </c>
      <c r="CC32" s="4504">
        <f t="shared" si="73"/>
        <v>0</v>
      </c>
      <c r="CD32" s="4504">
        <f t="shared" si="74"/>
        <v>0</v>
      </c>
      <c r="CE32" s="4504">
        <f t="shared" si="75"/>
        <v>0</v>
      </c>
      <c r="CF32" s="4504">
        <f t="shared" si="76"/>
        <v>0</v>
      </c>
    </row>
    <row r="33" spans="1:84">
      <c r="A33" s="2155"/>
      <c r="B33" s="2139">
        <v>20503</v>
      </c>
      <c r="C33" s="2139" t="s">
        <v>1813</v>
      </c>
      <c r="D33" s="2140">
        <v>0.1</v>
      </c>
      <c r="E33" s="2150" t="s">
        <v>674</v>
      </c>
      <c r="F33" s="2143">
        <f t="shared" si="36"/>
        <v>0</v>
      </c>
      <c r="G33" s="4140">
        <f t="shared" si="37"/>
        <v>0</v>
      </c>
      <c r="H33" s="2142">
        <f t="shared" si="38"/>
        <v>0</v>
      </c>
      <c r="I33" s="2143">
        <f t="shared" si="39"/>
        <v>0</v>
      </c>
      <c r="J33" s="2144">
        <f t="shared" si="40"/>
        <v>0</v>
      </c>
      <c r="K33" s="2144">
        <f t="shared" si="41"/>
        <v>0</v>
      </c>
      <c r="L33" s="2144">
        <f t="shared" si="42"/>
        <v>0</v>
      </c>
      <c r="M33" s="2145">
        <f t="shared" si="43"/>
        <v>0</v>
      </c>
      <c r="N33" s="2146">
        <f t="shared" si="77"/>
        <v>0</v>
      </c>
      <c r="O33" s="1283"/>
      <c r="P33" s="1285"/>
      <c r="Q33" s="1284"/>
      <c r="R33" s="1285"/>
      <c r="S33" s="1286"/>
      <c r="T33" s="1286"/>
      <c r="U33" s="1286"/>
      <c r="V33" s="1286"/>
      <c r="W33" s="1283"/>
      <c r="X33" s="1285"/>
      <c r="Y33" s="1284"/>
      <c r="Z33" s="1285"/>
      <c r="AA33" s="1286"/>
      <c r="AB33" s="1286"/>
      <c r="AC33" s="1286"/>
      <c r="AD33" s="1286"/>
      <c r="AE33" s="1283"/>
      <c r="AF33" s="1285"/>
      <c r="AG33" s="1284"/>
      <c r="AH33" s="1285"/>
      <c r="AI33" s="1286"/>
      <c r="AJ33" s="1286"/>
      <c r="AK33" s="1286"/>
      <c r="AL33" s="1287"/>
      <c r="AM33" s="1288"/>
      <c r="AN33" s="1289"/>
      <c r="AO33" s="2147" t="s">
        <v>676</v>
      </c>
      <c r="AP33" s="1285"/>
      <c r="AQ33" s="1285"/>
      <c r="AR33" s="1284"/>
      <c r="AS33" s="1285"/>
      <c r="AT33" s="1286"/>
      <c r="AU33" s="1286"/>
      <c r="AV33" s="1286"/>
      <c r="AW33" s="1284"/>
      <c r="AX33" s="2148" t="s">
        <v>375</v>
      </c>
      <c r="AY33" s="4488"/>
      <c r="AZ33" s="4504">
        <f t="shared" si="44"/>
        <v>0</v>
      </c>
      <c r="BA33" s="4504">
        <f t="shared" si="45"/>
        <v>0</v>
      </c>
      <c r="BB33" s="4504">
        <f t="shared" si="46"/>
        <v>0</v>
      </c>
      <c r="BC33" s="4504">
        <f t="shared" si="47"/>
        <v>0</v>
      </c>
      <c r="BD33" s="4504">
        <f t="shared" si="48"/>
        <v>0</v>
      </c>
      <c r="BE33" s="4504">
        <f t="shared" si="49"/>
        <v>0</v>
      </c>
      <c r="BF33" s="4504">
        <f t="shared" si="50"/>
        <v>0</v>
      </c>
      <c r="BG33" s="4504">
        <f t="shared" si="51"/>
        <v>0</v>
      </c>
      <c r="BH33" s="4504">
        <f t="shared" si="52"/>
        <v>0</v>
      </c>
      <c r="BI33" s="4504">
        <f t="shared" si="53"/>
        <v>0</v>
      </c>
      <c r="BJ33" s="4504">
        <f t="shared" si="54"/>
        <v>0</v>
      </c>
      <c r="BK33" s="4504">
        <f t="shared" si="55"/>
        <v>0</v>
      </c>
      <c r="BL33" s="4504">
        <f t="shared" si="56"/>
        <v>0</v>
      </c>
      <c r="BM33" s="4504">
        <f t="shared" si="57"/>
        <v>0</v>
      </c>
      <c r="BN33" s="4504">
        <f t="shared" si="58"/>
        <v>0</v>
      </c>
      <c r="BO33" s="4504">
        <f t="shared" si="59"/>
        <v>0</v>
      </c>
      <c r="BP33" s="4504">
        <f t="shared" si="60"/>
        <v>0</v>
      </c>
      <c r="BQ33" s="4504">
        <f t="shared" si="61"/>
        <v>0</v>
      </c>
      <c r="BR33" s="4504">
        <f t="shared" si="62"/>
        <v>0</v>
      </c>
      <c r="BS33" s="4504">
        <f t="shared" si="63"/>
        <v>0</v>
      </c>
      <c r="BT33" s="4504">
        <f t="shared" si="64"/>
        <v>0</v>
      </c>
      <c r="BU33" s="4504">
        <f t="shared" si="65"/>
        <v>0</v>
      </c>
      <c r="BV33" s="4504">
        <f t="shared" si="66"/>
        <v>0</v>
      </c>
      <c r="BW33" s="4504">
        <f t="shared" si="67"/>
        <v>0</v>
      </c>
      <c r="BX33" s="4504">
        <f t="shared" si="68"/>
        <v>0</v>
      </c>
      <c r="BY33" s="4504">
        <f t="shared" si="69"/>
        <v>0</v>
      </c>
      <c r="BZ33" s="4504">
        <f t="shared" si="70"/>
        <v>0</v>
      </c>
      <c r="CA33" s="4504">
        <f t="shared" si="71"/>
        <v>0</v>
      </c>
      <c r="CB33" s="4504">
        <f t="shared" si="72"/>
        <v>0</v>
      </c>
      <c r="CC33" s="4504">
        <f t="shared" si="73"/>
        <v>0</v>
      </c>
      <c r="CD33" s="4504">
        <f t="shared" si="74"/>
        <v>0</v>
      </c>
      <c r="CE33" s="4504">
        <f t="shared" si="75"/>
        <v>0</v>
      </c>
      <c r="CF33" s="4504">
        <f t="shared" si="76"/>
        <v>0</v>
      </c>
    </row>
    <row r="34" spans="1:84" ht="24">
      <c r="A34" s="2155"/>
      <c r="B34" s="2139">
        <v>20303</v>
      </c>
      <c r="C34" s="2139" t="s">
        <v>1814</v>
      </c>
      <c r="D34" s="2140">
        <v>0.1</v>
      </c>
      <c r="E34" s="2141" t="s">
        <v>377</v>
      </c>
      <c r="F34" s="2143">
        <f t="shared" si="36"/>
        <v>14.195869999999999</v>
      </c>
      <c r="G34" s="4140">
        <f t="shared" si="37"/>
        <v>615.48563999999999</v>
      </c>
      <c r="H34" s="2142">
        <f t="shared" si="38"/>
        <v>2</v>
      </c>
      <c r="I34" s="2143">
        <f t="shared" si="39"/>
        <v>2</v>
      </c>
      <c r="J34" s="2144">
        <f t="shared" si="40"/>
        <v>2</v>
      </c>
      <c r="K34" s="2144">
        <f t="shared" si="41"/>
        <v>2</v>
      </c>
      <c r="L34" s="2144">
        <f t="shared" si="42"/>
        <v>2</v>
      </c>
      <c r="M34" s="2145">
        <f t="shared" si="43"/>
        <v>2</v>
      </c>
      <c r="N34" s="2146">
        <f t="shared" si="77"/>
        <v>10</v>
      </c>
      <c r="O34" s="1283">
        <v>14.195869999999999</v>
      </c>
      <c r="P34" s="1285">
        <v>615.48563999999999</v>
      </c>
      <c r="Q34" s="1284">
        <v>2</v>
      </c>
      <c r="R34" s="1285">
        <v>2</v>
      </c>
      <c r="S34" s="1286">
        <v>2</v>
      </c>
      <c r="T34" s="1286">
        <v>2</v>
      </c>
      <c r="U34" s="1286">
        <v>2</v>
      </c>
      <c r="V34" s="1286">
        <v>2</v>
      </c>
      <c r="W34" s="1283"/>
      <c r="X34" s="1285"/>
      <c r="Y34" s="1284"/>
      <c r="Z34" s="1285"/>
      <c r="AA34" s="1286"/>
      <c r="AB34" s="1286"/>
      <c r="AC34" s="1286"/>
      <c r="AD34" s="1286"/>
      <c r="AE34" s="1283"/>
      <c r="AF34" s="1285"/>
      <c r="AG34" s="1284"/>
      <c r="AH34" s="1285"/>
      <c r="AI34" s="1286"/>
      <c r="AJ34" s="1286"/>
      <c r="AK34" s="1286"/>
      <c r="AL34" s="1287"/>
      <c r="AM34" s="1288"/>
      <c r="AN34" s="1289"/>
      <c r="AO34" s="2147" t="s">
        <v>676</v>
      </c>
      <c r="AP34" s="1285">
        <v>3</v>
      </c>
      <c r="AQ34" s="1285">
        <v>6</v>
      </c>
      <c r="AR34" s="1284">
        <v>1</v>
      </c>
      <c r="AS34" s="1285">
        <v>1</v>
      </c>
      <c r="AT34" s="1286">
        <v>1</v>
      </c>
      <c r="AU34" s="1286">
        <v>1</v>
      </c>
      <c r="AV34" s="1286">
        <v>1</v>
      </c>
      <c r="AW34" s="1284">
        <v>1</v>
      </c>
      <c r="AX34" s="2148" t="s">
        <v>375</v>
      </c>
      <c r="AY34" s="4488"/>
      <c r="AZ34" s="4504">
        <f t="shared" si="44"/>
        <v>7.2582330775169623</v>
      </c>
      <c r="BA34" s="4504">
        <f t="shared" si="45"/>
        <v>314.69281072485848</v>
      </c>
      <c r="BB34" s="4504">
        <f t="shared" si="46"/>
        <v>1.022583762392437</v>
      </c>
      <c r="BC34" s="4504">
        <f t="shared" si="47"/>
        <v>1.022583762392437</v>
      </c>
      <c r="BD34" s="4504">
        <f t="shared" si="48"/>
        <v>1.022583762392437</v>
      </c>
      <c r="BE34" s="4504">
        <f t="shared" si="49"/>
        <v>1.022583762392437</v>
      </c>
      <c r="BF34" s="4504">
        <f t="shared" si="50"/>
        <v>1.022583762392437</v>
      </c>
      <c r="BG34" s="4504">
        <f t="shared" si="51"/>
        <v>1.022583762392437</v>
      </c>
      <c r="BH34" s="4504">
        <f t="shared" si="52"/>
        <v>5.1129188119621851</v>
      </c>
      <c r="BI34" s="4504">
        <f t="shared" si="53"/>
        <v>7.2582330775169623</v>
      </c>
      <c r="BJ34" s="4504">
        <f t="shared" si="54"/>
        <v>314.69281072485848</v>
      </c>
      <c r="BK34" s="4504">
        <f t="shared" si="55"/>
        <v>1.022583762392437</v>
      </c>
      <c r="BL34" s="4504">
        <f t="shared" si="56"/>
        <v>1.022583762392437</v>
      </c>
      <c r="BM34" s="4504">
        <f t="shared" si="57"/>
        <v>1.022583762392437</v>
      </c>
      <c r="BN34" s="4504">
        <f t="shared" si="58"/>
        <v>1.022583762392437</v>
      </c>
      <c r="BO34" s="4504">
        <f t="shared" si="59"/>
        <v>1.022583762392437</v>
      </c>
      <c r="BP34" s="4504">
        <f t="shared" si="60"/>
        <v>1.022583762392437</v>
      </c>
      <c r="BQ34" s="4504">
        <f t="shared" si="61"/>
        <v>0</v>
      </c>
      <c r="BR34" s="4504">
        <f t="shared" si="62"/>
        <v>0</v>
      </c>
      <c r="BS34" s="4504">
        <f t="shared" si="63"/>
        <v>0</v>
      </c>
      <c r="BT34" s="4504">
        <f t="shared" si="64"/>
        <v>0</v>
      </c>
      <c r="BU34" s="4504">
        <f t="shared" si="65"/>
        <v>0</v>
      </c>
      <c r="BV34" s="4504">
        <f t="shared" si="66"/>
        <v>0</v>
      </c>
      <c r="BW34" s="4504">
        <f t="shared" si="67"/>
        <v>0</v>
      </c>
      <c r="BX34" s="4504">
        <f t="shared" si="68"/>
        <v>0</v>
      </c>
      <c r="BY34" s="4504">
        <f t="shared" si="69"/>
        <v>0</v>
      </c>
      <c r="BZ34" s="4504">
        <f t="shared" si="70"/>
        <v>0</v>
      </c>
      <c r="CA34" s="4504">
        <f t="shared" si="71"/>
        <v>0</v>
      </c>
      <c r="CB34" s="4504">
        <f t="shared" si="72"/>
        <v>0</v>
      </c>
      <c r="CC34" s="4504">
        <f t="shared" si="73"/>
        <v>0</v>
      </c>
      <c r="CD34" s="4504">
        <f t="shared" si="74"/>
        <v>0</v>
      </c>
      <c r="CE34" s="4504">
        <f t="shared" si="75"/>
        <v>0</v>
      </c>
      <c r="CF34" s="4504">
        <f t="shared" si="76"/>
        <v>0</v>
      </c>
    </row>
    <row r="35" spans="1:84" ht="24.6" thickBot="1">
      <c r="A35" s="3860"/>
      <c r="B35" s="3861">
        <v>20306</v>
      </c>
      <c r="C35" s="3861" t="s">
        <v>1815</v>
      </c>
      <c r="D35" s="3862">
        <v>0.1</v>
      </c>
      <c r="E35" s="3863" t="s">
        <v>712</v>
      </c>
      <c r="F35" s="3865">
        <f t="shared" si="36"/>
        <v>0</v>
      </c>
      <c r="G35" s="4141">
        <f t="shared" si="37"/>
        <v>0</v>
      </c>
      <c r="H35" s="3864">
        <f t="shared" si="38"/>
        <v>0</v>
      </c>
      <c r="I35" s="3865">
        <f t="shared" si="39"/>
        <v>0</v>
      </c>
      <c r="J35" s="3866">
        <f t="shared" si="40"/>
        <v>0</v>
      </c>
      <c r="K35" s="3866">
        <f t="shared" si="41"/>
        <v>0</v>
      </c>
      <c r="L35" s="3866">
        <f t="shared" si="42"/>
        <v>0</v>
      </c>
      <c r="M35" s="3867">
        <f t="shared" si="43"/>
        <v>0</v>
      </c>
      <c r="N35" s="2160">
        <f t="shared" si="77"/>
        <v>0</v>
      </c>
      <c r="O35" s="1306"/>
      <c r="P35" s="1308"/>
      <c r="Q35" s="1307"/>
      <c r="R35" s="1308"/>
      <c r="S35" s="3868"/>
      <c r="T35" s="3868"/>
      <c r="U35" s="3868"/>
      <c r="V35" s="3868"/>
      <c r="W35" s="1306"/>
      <c r="X35" s="1308"/>
      <c r="Y35" s="1307"/>
      <c r="Z35" s="1308"/>
      <c r="AA35" s="3868"/>
      <c r="AB35" s="3868"/>
      <c r="AC35" s="3868"/>
      <c r="AD35" s="3868"/>
      <c r="AE35" s="1306"/>
      <c r="AF35" s="1308"/>
      <c r="AG35" s="1307"/>
      <c r="AH35" s="1308"/>
      <c r="AI35" s="3868"/>
      <c r="AJ35" s="3868"/>
      <c r="AK35" s="3868"/>
      <c r="AL35" s="3869"/>
      <c r="AM35" s="1304"/>
      <c r="AN35" s="3870"/>
      <c r="AO35" s="2214" t="s">
        <v>676</v>
      </c>
      <c r="AP35" s="1308"/>
      <c r="AQ35" s="1308"/>
      <c r="AR35" s="1307"/>
      <c r="AS35" s="1308"/>
      <c r="AT35" s="3868"/>
      <c r="AU35" s="3868"/>
      <c r="AV35" s="3868"/>
      <c r="AW35" s="1307"/>
      <c r="AX35" s="3871" t="s">
        <v>666</v>
      </c>
      <c r="AY35" s="4488"/>
      <c r="AZ35" s="4504">
        <f t="shared" si="44"/>
        <v>0</v>
      </c>
      <c r="BA35" s="4504">
        <f t="shared" si="45"/>
        <v>0</v>
      </c>
      <c r="BB35" s="4504">
        <f t="shared" si="46"/>
        <v>0</v>
      </c>
      <c r="BC35" s="4504">
        <f t="shared" si="47"/>
        <v>0</v>
      </c>
      <c r="BD35" s="4504">
        <f t="shared" si="48"/>
        <v>0</v>
      </c>
      <c r="BE35" s="4504">
        <f t="shared" si="49"/>
        <v>0</v>
      </c>
      <c r="BF35" s="4504">
        <f t="shared" si="50"/>
        <v>0</v>
      </c>
      <c r="BG35" s="4504">
        <f t="shared" si="51"/>
        <v>0</v>
      </c>
      <c r="BH35" s="4504">
        <f t="shared" si="52"/>
        <v>0</v>
      </c>
      <c r="BI35" s="4504">
        <f t="shared" si="53"/>
        <v>0</v>
      </c>
      <c r="BJ35" s="4504">
        <f t="shared" si="54"/>
        <v>0</v>
      </c>
      <c r="BK35" s="4504">
        <f t="shared" si="55"/>
        <v>0</v>
      </c>
      <c r="BL35" s="4504">
        <f t="shared" si="56"/>
        <v>0</v>
      </c>
      <c r="BM35" s="4504">
        <f t="shared" si="57"/>
        <v>0</v>
      </c>
      <c r="BN35" s="4504">
        <f t="shared" si="58"/>
        <v>0</v>
      </c>
      <c r="BO35" s="4504">
        <f t="shared" si="59"/>
        <v>0</v>
      </c>
      <c r="BP35" s="4504">
        <f t="shared" si="60"/>
        <v>0</v>
      </c>
      <c r="BQ35" s="4504">
        <f t="shared" si="61"/>
        <v>0</v>
      </c>
      <c r="BR35" s="4504">
        <f t="shared" si="62"/>
        <v>0</v>
      </c>
      <c r="BS35" s="4504">
        <f t="shared" si="63"/>
        <v>0</v>
      </c>
      <c r="BT35" s="4504">
        <f t="shared" si="64"/>
        <v>0</v>
      </c>
      <c r="BU35" s="4504">
        <f t="shared" si="65"/>
        <v>0</v>
      </c>
      <c r="BV35" s="4504">
        <f t="shared" si="66"/>
        <v>0</v>
      </c>
      <c r="BW35" s="4504">
        <f t="shared" si="67"/>
        <v>0</v>
      </c>
      <c r="BX35" s="4504">
        <f t="shared" si="68"/>
        <v>0</v>
      </c>
      <c r="BY35" s="4504">
        <f t="shared" si="69"/>
        <v>0</v>
      </c>
      <c r="BZ35" s="4504">
        <f t="shared" si="70"/>
        <v>0</v>
      </c>
      <c r="CA35" s="4504">
        <f t="shared" si="71"/>
        <v>0</v>
      </c>
      <c r="CB35" s="4504">
        <f t="shared" si="72"/>
        <v>0</v>
      </c>
      <c r="CC35" s="4504">
        <f t="shared" si="73"/>
        <v>0</v>
      </c>
      <c r="CD35" s="4504">
        <f t="shared" si="74"/>
        <v>0</v>
      </c>
      <c r="CE35" s="4504">
        <f t="shared" si="75"/>
        <v>0</v>
      </c>
      <c r="CF35" s="4504">
        <f t="shared" si="76"/>
        <v>0</v>
      </c>
    </row>
    <row r="36" spans="1:84" ht="23.4" thickBot="1">
      <c r="A36" s="2106">
        <v>1.2</v>
      </c>
      <c r="B36" s="2106"/>
      <c r="C36" s="2106"/>
      <c r="D36" s="2107"/>
      <c r="E36" s="2108" t="s">
        <v>208</v>
      </c>
      <c r="F36" s="2109">
        <f t="shared" ref="F36" si="78">SUM(F37:F47)</f>
        <v>13.8749</v>
      </c>
      <c r="G36" s="4138">
        <f t="shared" ref="G36:AL36" si="79">SUM(G37:G47)</f>
        <v>11.136769999999999</v>
      </c>
      <c r="H36" s="2110">
        <f t="shared" si="79"/>
        <v>20</v>
      </c>
      <c r="I36" s="2111">
        <f t="shared" si="79"/>
        <v>8</v>
      </c>
      <c r="J36" s="2112">
        <f t="shared" si="79"/>
        <v>8</v>
      </c>
      <c r="K36" s="2112">
        <f t="shared" si="79"/>
        <v>8</v>
      </c>
      <c r="L36" s="2112">
        <f t="shared" si="79"/>
        <v>8</v>
      </c>
      <c r="M36" s="2163">
        <f t="shared" si="79"/>
        <v>8</v>
      </c>
      <c r="N36" s="2164">
        <f t="shared" si="79"/>
        <v>40</v>
      </c>
      <c r="O36" s="2115">
        <f t="shared" ref="O36" si="80">SUM(O37:O47)</f>
        <v>13.8749</v>
      </c>
      <c r="P36" s="4154">
        <f t="shared" si="79"/>
        <v>11.136769999999999</v>
      </c>
      <c r="Q36" s="2116">
        <f t="shared" si="79"/>
        <v>20</v>
      </c>
      <c r="R36" s="2117">
        <f t="shared" si="79"/>
        <v>8</v>
      </c>
      <c r="S36" s="2118">
        <f t="shared" si="79"/>
        <v>8</v>
      </c>
      <c r="T36" s="2118">
        <f t="shared" si="79"/>
        <v>8</v>
      </c>
      <c r="U36" s="2118">
        <f t="shared" si="79"/>
        <v>8</v>
      </c>
      <c r="V36" s="2119">
        <f t="shared" si="79"/>
        <v>8</v>
      </c>
      <c r="W36" s="2115">
        <f t="shared" ref="W36" si="81">SUM(W37:W47)</f>
        <v>0</v>
      </c>
      <c r="X36" s="4154">
        <f t="shared" si="79"/>
        <v>0</v>
      </c>
      <c r="Y36" s="2116">
        <f t="shared" si="79"/>
        <v>0</v>
      </c>
      <c r="Z36" s="2117">
        <f t="shared" si="79"/>
        <v>0</v>
      </c>
      <c r="AA36" s="2118">
        <f t="shared" si="79"/>
        <v>0</v>
      </c>
      <c r="AB36" s="2118">
        <f t="shared" si="79"/>
        <v>0</v>
      </c>
      <c r="AC36" s="2118">
        <f t="shared" si="79"/>
        <v>0</v>
      </c>
      <c r="AD36" s="2119">
        <f t="shared" si="79"/>
        <v>0</v>
      </c>
      <c r="AE36" s="2115">
        <f t="shared" ref="AE36" si="82">SUM(AE37:AE47)</f>
        <v>0</v>
      </c>
      <c r="AF36" s="4154">
        <f t="shared" si="79"/>
        <v>0</v>
      </c>
      <c r="AG36" s="2116">
        <f t="shared" si="79"/>
        <v>0</v>
      </c>
      <c r="AH36" s="2117">
        <f t="shared" si="79"/>
        <v>0</v>
      </c>
      <c r="AI36" s="2118">
        <f t="shared" si="79"/>
        <v>0</v>
      </c>
      <c r="AJ36" s="2118">
        <f t="shared" si="79"/>
        <v>0</v>
      </c>
      <c r="AK36" s="2118">
        <f t="shared" si="79"/>
        <v>0</v>
      </c>
      <c r="AL36" s="2120">
        <f t="shared" si="79"/>
        <v>0</v>
      </c>
      <c r="AM36" s="2165"/>
      <c r="AN36" s="2166"/>
      <c r="AO36" s="2165"/>
      <c r="AP36" s="2167"/>
      <c r="AQ36" s="2167"/>
      <c r="AR36" s="2167"/>
      <c r="AS36" s="2168"/>
      <c r="AT36" s="2168"/>
      <c r="AU36" s="2168"/>
      <c r="AV36" s="2168"/>
      <c r="AW36" s="2169"/>
      <c r="AX36" s="2170"/>
      <c r="AY36" s="4488"/>
      <c r="AZ36" s="4504">
        <f t="shared" si="44"/>
        <v>7.094123722409412</v>
      </c>
      <c r="BA36" s="4504">
        <f t="shared" si="45"/>
        <v>5.6941400837496099</v>
      </c>
      <c r="BB36" s="4504">
        <f t="shared" si="46"/>
        <v>10.22583762392437</v>
      </c>
      <c r="BC36" s="4504">
        <f t="shared" si="47"/>
        <v>4.0903350495697479</v>
      </c>
      <c r="BD36" s="4504">
        <f t="shared" si="48"/>
        <v>4.0903350495697479</v>
      </c>
      <c r="BE36" s="4504">
        <f t="shared" si="49"/>
        <v>4.0903350495697479</v>
      </c>
      <c r="BF36" s="4504">
        <f t="shared" si="50"/>
        <v>4.0903350495697479</v>
      </c>
      <c r="BG36" s="4504">
        <f t="shared" si="51"/>
        <v>4.0903350495697479</v>
      </c>
      <c r="BH36" s="4504">
        <f t="shared" si="52"/>
        <v>20.45167524784874</v>
      </c>
      <c r="BI36" s="4504">
        <f t="shared" si="53"/>
        <v>7.094123722409412</v>
      </c>
      <c r="BJ36" s="4504">
        <f t="shared" si="54"/>
        <v>5.6941400837496099</v>
      </c>
      <c r="BK36" s="4504">
        <f t="shared" si="55"/>
        <v>10.22583762392437</v>
      </c>
      <c r="BL36" s="4504">
        <f t="shared" si="56"/>
        <v>4.0903350495697479</v>
      </c>
      <c r="BM36" s="4504">
        <f t="shared" si="57"/>
        <v>4.0903350495697479</v>
      </c>
      <c r="BN36" s="4504">
        <f t="shared" si="58"/>
        <v>4.0903350495697479</v>
      </c>
      <c r="BO36" s="4504">
        <f t="shared" si="59"/>
        <v>4.0903350495697479</v>
      </c>
      <c r="BP36" s="4504">
        <f t="shared" si="60"/>
        <v>4.0903350495697479</v>
      </c>
      <c r="BQ36" s="4504">
        <f t="shared" si="61"/>
        <v>0</v>
      </c>
      <c r="BR36" s="4504">
        <f t="shared" si="62"/>
        <v>0</v>
      </c>
      <c r="BS36" s="4504">
        <f t="shared" si="63"/>
        <v>0</v>
      </c>
      <c r="BT36" s="4504">
        <f t="shared" si="64"/>
        <v>0</v>
      </c>
      <c r="BU36" s="4504">
        <f t="shared" si="65"/>
        <v>0</v>
      </c>
      <c r="BV36" s="4504">
        <f t="shared" si="66"/>
        <v>0</v>
      </c>
      <c r="BW36" s="4504">
        <f t="shared" si="67"/>
        <v>0</v>
      </c>
      <c r="BX36" s="4504">
        <f t="shared" si="68"/>
        <v>0</v>
      </c>
      <c r="BY36" s="4504">
        <f t="shared" si="69"/>
        <v>0</v>
      </c>
      <c r="BZ36" s="4504">
        <f t="shared" si="70"/>
        <v>0</v>
      </c>
      <c r="CA36" s="4504">
        <f t="shared" si="71"/>
        <v>0</v>
      </c>
      <c r="CB36" s="4504">
        <f t="shared" si="72"/>
        <v>0</v>
      </c>
      <c r="CC36" s="4504">
        <f t="shared" si="73"/>
        <v>0</v>
      </c>
      <c r="CD36" s="4504">
        <f t="shared" si="74"/>
        <v>0</v>
      </c>
      <c r="CE36" s="4504">
        <f t="shared" si="75"/>
        <v>0</v>
      </c>
      <c r="CF36" s="4504">
        <f t="shared" si="76"/>
        <v>0</v>
      </c>
    </row>
    <row r="37" spans="1:84">
      <c r="A37" s="2171"/>
      <c r="B37" s="2172">
        <v>2040207</v>
      </c>
      <c r="C37" s="2172" t="s">
        <v>1816</v>
      </c>
      <c r="D37" s="2129">
        <v>0.04</v>
      </c>
      <c r="E37" s="2173" t="s">
        <v>378</v>
      </c>
      <c r="F37" s="2143">
        <f t="shared" ref="F37:F47" si="83">O37+W37+AE37</f>
        <v>0</v>
      </c>
      <c r="G37" s="4140">
        <f t="shared" ref="G37:G47" si="84">P37+X37+AF37</f>
        <v>0</v>
      </c>
      <c r="H37" s="2142">
        <f t="shared" ref="H37:H47" si="85">Q37+Y37+AG37</f>
        <v>0</v>
      </c>
      <c r="I37" s="2143">
        <f t="shared" ref="I37:I47" si="86">R37+Z37+AH37</f>
        <v>0</v>
      </c>
      <c r="J37" s="2144">
        <f t="shared" ref="J37:J47" si="87">S37+AA37+AI37</f>
        <v>0</v>
      </c>
      <c r="K37" s="2144">
        <f t="shared" ref="K37:K47" si="88">T37+AB37+AJ37</f>
        <v>0</v>
      </c>
      <c r="L37" s="2144">
        <f t="shared" ref="L37:L47" si="89">U37+AC37+AK37</f>
        <v>0</v>
      </c>
      <c r="M37" s="2144">
        <f t="shared" ref="M37:M47" si="90">V37+AD37+AL37</f>
        <v>0</v>
      </c>
      <c r="N37" s="2174">
        <f t="shared" si="77"/>
        <v>0</v>
      </c>
      <c r="O37" s="1276"/>
      <c r="P37" s="1278"/>
      <c r="Q37" s="1277"/>
      <c r="R37" s="1278"/>
      <c r="S37" s="1279"/>
      <c r="T37" s="1279"/>
      <c r="U37" s="1279"/>
      <c r="V37" s="1279"/>
      <c r="W37" s="1276"/>
      <c r="X37" s="1278"/>
      <c r="Y37" s="1277"/>
      <c r="Z37" s="1278"/>
      <c r="AA37" s="1279"/>
      <c r="AB37" s="1279"/>
      <c r="AC37" s="1279"/>
      <c r="AD37" s="1279"/>
      <c r="AE37" s="1276"/>
      <c r="AF37" s="1278"/>
      <c r="AG37" s="1277"/>
      <c r="AH37" s="1278"/>
      <c r="AI37" s="1279"/>
      <c r="AJ37" s="1279"/>
      <c r="AK37" s="1279"/>
      <c r="AL37" s="1280"/>
      <c r="AM37" s="1281"/>
      <c r="AN37" s="1282"/>
      <c r="AO37" s="2136" t="s">
        <v>676</v>
      </c>
      <c r="AP37" s="1278"/>
      <c r="AQ37" s="1278"/>
      <c r="AR37" s="1277"/>
      <c r="AS37" s="1278"/>
      <c r="AT37" s="1279"/>
      <c r="AU37" s="1279"/>
      <c r="AV37" s="1279"/>
      <c r="AW37" s="1277"/>
      <c r="AX37" s="2175" t="s">
        <v>1026</v>
      </c>
      <c r="AY37" s="4488"/>
      <c r="AZ37" s="4504">
        <f t="shared" si="44"/>
        <v>0</v>
      </c>
      <c r="BA37" s="4504">
        <f t="shared" si="45"/>
        <v>0</v>
      </c>
      <c r="BB37" s="4504">
        <f t="shared" si="46"/>
        <v>0</v>
      </c>
      <c r="BC37" s="4504">
        <f t="shared" si="47"/>
        <v>0</v>
      </c>
      <c r="BD37" s="4504">
        <f t="shared" si="48"/>
        <v>0</v>
      </c>
      <c r="BE37" s="4504">
        <f t="shared" si="49"/>
        <v>0</v>
      </c>
      <c r="BF37" s="4504">
        <f t="shared" si="50"/>
        <v>0</v>
      </c>
      <c r="BG37" s="4504">
        <f t="shared" si="51"/>
        <v>0</v>
      </c>
      <c r="BH37" s="4504">
        <f t="shared" si="52"/>
        <v>0</v>
      </c>
      <c r="BI37" s="4504">
        <f t="shared" si="53"/>
        <v>0</v>
      </c>
      <c r="BJ37" s="4504">
        <f t="shared" si="54"/>
        <v>0</v>
      </c>
      <c r="BK37" s="4504">
        <f t="shared" si="55"/>
        <v>0</v>
      </c>
      <c r="BL37" s="4504">
        <f t="shared" si="56"/>
        <v>0</v>
      </c>
      <c r="BM37" s="4504">
        <f t="shared" si="57"/>
        <v>0</v>
      </c>
      <c r="BN37" s="4504">
        <f t="shared" si="58"/>
        <v>0</v>
      </c>
      <c r="BO37" s="4504">
        <f t="shared" si="59"/>
        <v>0</v>
      </c>
      <c r="BP37" s="4504">
        <f t="shared" si="60"/>
        <v>0</v>
      </c>
      <c r="BQ37" s="4504">
        <f t="shared" si="61"/>
        <v>0</v>
      </c>
      <c r="BR37" s="4504">
        <f t="shared" si="62"/>
        <v>0</v>
      </c>
      <c r="BS37" s="4504">
        <f t="shared" si="63"/>
        <v>0</v>
      </c>
      <c r="BT37" s="4504">
        <f t="shared" si="64"/>
        <v>0</v>
      </c>
      <c r="BU37" s="4504">
        <f t="shared" si="65"/>
        <v>0</v>
      </c>
      <c r="BV37" s="4504">
        <f t="shared" si="66"/>
        <v>0</v>
      </c>
      <c r="BW37" s="4504">
        <f t="shared" si="67"/>
        <v>0</v>
      </c>
      <c r="BX37" s="4504">
        <f t="shared" si="68"/>
        <v>0</v>
      </c>
      <c r="BY37" s="4504">
        <f t="shared" si="69"/>
        <v>0</v>
      </c>
      <c r="BZ37" s="4504">
        <f t="shared" si="70"/>
        <v>0</v>
      </c>
      <c r="CA37" s="4504">
        <f t="shared" si="71"/>
        <v>0</v>
      </c>
      <c r="CB37" s="4504">
        <f t="shared" si="72"/>
        <v>0</v>
      </c>
      <c r="CC37" s="4504">
        <f t="shared" si="73"/>
        <v>0</v>
      </c>
      <c r="CD37" s="4504">
        <f t="shared" si="74"/>
        <v>0</v>
      </c>
      <c r="CE37" s="4504">
        <f t="shared" si="75"/>
        <v>0</v>
      </c>
      <c r="CF37" s="4504">
        <f t="shared" si="76"/>
        <v>0</v>
      </c>
    </row>
    <row r="38" spans="1:84" ht="36">
      <c r="A38" s="2176"/>
      <c r="B38" s="2177">
        <v>2040206</v>
      </c>
      <c r="C38" s="2177" t="s">
        <v>1817</v>
      </c>
      <c r="D38" s="2151">
        <v>0.02</v>
      </c>
      <c r="E38" s="2178" t="s">
        <v>655</v>
      </c>
      <c r="F38" s="2143">
        <f t="shared" si="83"/>
        <v>0</v>
      </c>
      <c r="G38" s="4140">
        <f t="shared" si="84"/>
        <v>0</v>
      </c>
      <c r="H38" s="2142">
        <f t="shared" si="85"/>
        <v>0</v>
      </c>
      <c r="I38" s="2143">
        <f t="shared" si="86"/>
        <v>0</v>
      </c>
      <c r="J38" s="2144">
        <f t="shared" si="87"/>
        <v>0</v>
      </c>
      <c r="K38" s="2144">
        <f t="shared" si="88"/>
        <v>0</v>
      </c>
      <c r="L38" s="2144">
        <f t="shared" si="89"/>
        <v>0</v>
      </c>
      <c r="M38" s="2144">
        <f t="shared" si="90"/>
        <v>0</v>
      </c>
      <c r="N38" s="2179">
        <f t="shared" si="77"/>
        <v>0</v>
      </c>
      <c r="O38" s="1283"/>
      <c r="P38" s="1285"/>
      <c r="Q38" s="1284"/>
      <c r="R38" s="1285"/>
      <c r="S38" s="1286"/>
      <c r="T38" s="1286"/>
      <c r="U38" s="1286"/>
      <c r="V38" s="1286"/>
      <c r="W38" s="1283"/>
      <c r="X38" s="1285"/>
      <c r="Y38" s="1284"/>
      <c r="Z38" s="1285"/>
      <c r="AA38" s="1286"/>
      <c r="AB38" s="1286"/>
      <c r="AC38" s="1286"/>
      <c r="AD38" s="1286"/>
      <c r="AE38" s="1283"/>
      <c r="AF38" s="1285"/>
      <c r="AG38" s="1284"/>
      <c r="AH38" s="1285"/>
      <c r="AI38" s="1286"/>
      <c r="AJ38" s="1286"/>
      <c r="AK38" s="1286"/>
      <c r="AL38" s="1287"/>
      <c r="AM38" s="1288"/>
      <c r="AN38" s="1290"/>
      <c r="AO38" s="2147" t="s">
        <v>677</v>
      </c>
      <c r="AP38" s="1285"/>
      <c r="AQ38" s="1285"/>
      <c r="AR38" s="1284"/>
      <c r="AS38" s="1285"/>
      <c r="AT38" s="1286"/>
      <c r="AU38" s="1286"/>
      <c r="AV38" s="1286"/>
      <c r="AW38" s="1284"/>
      <c r="AX38" s="2153" t="s">
        <v>665</v>
      </c>
      <c r="AY38" s="4488"/>
      <c r="AZ38" s="4504">
        <f t="shared" si="44"/>
        <v>0</v>
      </c>
      <c r="BA38" s="4504">
        <f t="shared" si="45"/>
        <v>0</v>
      </c>
      <c r="BB38" s="4504">
        <f t="shared" si="46"/>
        <v>0</v>
      </c>
      <c r="BC38" s="4504">
        <f t="shared" si="47"/>
        <v>0</v>
      </c>
      <c r="BD38" s="4504">
        <f t="shared" si="48"/>
        <v>0</v>
      </c>
      <c r="BE38" s="4504">
        <f t="shared" si="49"/>
        <v>0</v>
      </c>
      <c r="BF38" s="4504">
        <f t="shared" si="50"/>
        <v>0</v>
      </c>
      <c r="BG38" s="4504">
        <f t="shared" si="51"/>
        <v>0</v>
      </c>
      <c r="BH38" s="4504">
        <f t="shared" si="52"/>
        <v>0</v>
      </c>
      <c r="BI38" s="4504">
        <f t="shared" si="53"/>
        <v>0</v>
      </c>
      <c r="BJ38" s="4504">
        <f t="shared" si="54"/>
        <v>0</v>
      </c>
      <c r="BK38" s="4504">
        <f t="shared" si="55"/>
        <v>0</v>
      </c>
      <c r="BL38" s="4504">
        <f t="shared" si="56"/>
        <v>0</v>
      </c>
      <c r="BM38" s="4504">
        <f t="shared" si="57"/>
        <v>0</v>
      </c>
      <c r="BN38" s="4504">
        <f t="shared" si="58"/>
        <v>0</v>
      </c>
      <c r="BO38" s="4504">
        <f t="shared" si="59"/>
        <v>0</v>
      </c>
      <c r="BP38" s="4504">
        <f t="shared" si="60"/>
        <v>0</v>
      </c>
      <c r="BQ38" s="4504">
        <f t="shared" si="61"/>
        <v>0</v>
      </c>
      <c r="BR38" s="4504">
        <f t="shared" si="62"/>
        <v>0</v>
      </c>
      <c r="BS38" s="4504">
        <f t="shared" si="63"/>
        <v>0</v>
      </c>
      <c r="BT38" s="4504">
        <f t="shared" si="64"/>
        <v>0</v>
      </c>
      <c r="BU38" s="4504">
        <f t="shared" si="65"/>
        <v>0</v>
      </c>
      <c r="BV38" s="4504">
        <f t="shared" si="66"/>
        <v>0</v>
      </c>
      <c r="BW38" s="4504">
        <f t="shared" si="67"/>
        <v>0</v>
      </c>
      <c r="BX38" s="4504">
        <f t="shared" si="68"/>
        <v>0</v>
      </c>
      <c r="BY38" s="4504">
        <f t="shared" si="69"/>
        <v>0</v>
      </c>
      <c r="BZ38" s="4504">
        <f t="shared" si="70"/>
        <v>0</v>
      </c>
      <c r="CA38" s="4504">
        <f t="shared" si="71"/>
        <v>0</v>
      </c>
      <c r="CB38" s="4504">
        <f t="shared" si="72"/>
        <v>0</v>
      </c>
      <c r="CC38" s="4504">
        <f t="shared" si="73"/>
        <v>0</v>
      </c>
      <c r="CD38" s="4504">
        <f t="shared" si="74"/>
        <v>0</v>
      </c>
      <c r="CE38" s="4504">
        <f t="shared" si="75"/>
        <v>0</v>
      </c>
      <c r="CF38" s="4504">
        <f t="shared" si="76"/>
        <v>0</v>
      </c>
    </row>
    <row r="39" spans="1:84" ht="24">
      <c r="A39" s="2176"/>
      <c r="B39" s="2177">
        <v>2040206</v>
      </c>
      <c r="C39" s="2177" t="s">
        <v>1818</v>
      </c>
      <c r="D39" s="2151">
        <v>0.02</v>
      </c>
      <c r="E39" s="2178" t="s">
        <v>379</v>
      </c>
      <c r="F39" s="2143">
        <f t="shared" si="83"/>
        <v>4.4039200000000003</v>
      </c>
      <c r="G39" s="4140">
        <f t="shared" si="84"/>
        <v>0</v>
      </c>
      <c r="H39" s="2142">
        <f t="shared" si="85"/>
        <v>17</v>
      </c>
      <c r="I39" s="2143">
        <f t="shared" si="86"/>
        <v>0</v>
      </c>
      <c r="J39" s="2144">
        <f t="shared" si="87"/>
        <v>0</v>
      </c>
      <c r="K39" s="2144">
        <f t="shared" si="88"/>
        <v>0</v>
      </c>
      <c r="L39" s="2144">
        <f t="shared" si="89"/>
        <v>0</v>
      </c>
      <c r="M39" s="2144">
        <f t="shared" si="90"/>
        <v>0</v>
      </c>
      <c r="N39" s="2179">
        <f t="shared" si="77"/>
        <v>0</v>
      </c>
      <c r="O39" s="1283">
        <v>4.4039200000000003</v>
      </c>
      <c r="P39" s="1285"/>
      <c r="Q39" s="1284">
        <v>17</v>
      </c>
      <c r="R39" s="1285"/>
      <c r="S39" s="1286"/>
      <c r="T39" s="1286"/>
      <c r="U39" s="1286"/>
      <c r="V39" s="1286"/>
      <c r="W39" s="1283"/>
      <c r="X39" s="1285"/>
      <c r="Y39" s="1284"/>
      <c r="Z39" s="1285"/>
      <c r="AA39" s="1286"/>
      <c r="AB39" s="1286"/>
      <c r="AC39" s="1286"/>
      <c r="AD39" s="1286"/>
      <c r="AE39" s="1283"/>
      <c r="AF39" s="1285"/>
      <c r="AG39" s="1284"/>
      <c r="AH39" s="1285"/>
      <c r="AI39" s="1286"/>
      <c r="AJ39" s="1286"/>
      <c r="AK39" s="1286"/>
      <c r="AL39" s="1287"/>
      <c r="AM39" s="1288"/>
      <c r="AN39" s="1290"/>
      <c r="AO39" s="2147" t="s">
        <v>677</v>
      </c>
      <c r="AP39" s="1285">
        <v>16</v>
      </c>
      <c r="AQ39" s="1285"/>
      <c r="AR39" s="1284">
        <v>115</v>
      </c>
      <c r="AS39" s="1285"/>
      <c r="AT39" s="1286"/>
      <c r="AU39" s="1286"/>
      <c r="AV39" s="1286"/>
      <c r="AW39" s="1284"/>
      <c r="AX39" s="2148" t="s">
        <v>380</v>
      </c>
      <c r="AY39" s="4488"/>
      <c r="AZ39" s="4504">
        <f t="shared" si="44"/>
        <v>2.2516885414376508</v>
      </c>
      <c r="BA39" s="4504">
        <f t="shared" si="45"/>
        <v>0</v>
      </c>
      <c r="BB39" s="4504">
        <f t="shared" si="46"/>
        <v>8.691961980335714</v>
      </c>
      <c r="BC39" s="4504">
        <f t="shared" si="47"/>
        <v>0</v>
      </c>
      <c r="BD39" s="4504">
        <f t="shared" si="48"/>
        <v>0</v>
      </c>
      <c r="BE39" s="4504">
        <f t="shared" si="49"/>
        <v>0</v>
      </c>
      <c r="BF39" s="4504">
        <f t="shared" si="50"/>
        <v>0</v>
      </c>
      <c r="BG39" s="4504">
        <f t="shared" si="51"/>
        <v>0</v>
      </c>
      <c r="BH39" s="4504">
        <f t="shared" si="52"/>
        <v>0</v>
      </c>
      <c r="BI39" s="4504">
        <f t="shared" si="53"/>
        <v>2.2516885414376508</v>
      </c>
      <c r="BJ39" s="4504">
        <f t="shared" si="54"/>
        <v>0</v>
      </c>
      <c r="BK39" s="4504">
        <f t="shared" si="55"/>
        <v>8.691961980335714</v>
      </c>
      <c r="BL39" s="4504">
        <f t="shared" si="56"/>
        <v>0</v>
      </c>
      <c r="BM39" s="4504">
        <f t="shared" si="57"/>
        <v>0</v>
      </c>
      <c r="BN39" s="4504">
        <f t="shared" si="58"/>
        <v>0</v>
      </c>
      <c r="BO39" s="4504">
        <f t="shared" si="59"/>
        <v>0</v>
      </c>
      <c r="BP39" s="4504">
        <f t="shared" si="60"/>
        <v>0</v>
      </c>
      <c r="BQ39" s="4504">
        <f t="shared" si="61"/>
        <v>0</v>
      </c>
      <c r="BR39" s="4504">
        <f t="shared" si="62"/>
        <v>0</v>
      </c>
      <c r="BS39" s="4504">
        <f t="shared" si="63"/>
        <v>0</v>
      </c>
      <c r="BT39" s="4504">
        <f t="shared" si="64"/>
        <v>0</v>
      </c>
      <c r="BU39" s="4504">
        <f t="shared" si="65"/>
        <v>0</v>
      </c>
      <c r="BV39" s="4504">
        <f t="shared" si="66"/>
        <v>0</v>
      </c>
      <c r="BW39" s="4504">
        <f t="shared" si="67"/>
        <v>0</v>
      </c>
      <c r="BX39" s="4504">
        <f t="shared" si="68"/>
        <v>0</v>
      </c>
      <c r="BY39" s="4504">
        <f t="shared" si="69"/>
        <v>0</v>
      </c>
      <c r="BZ39" s="4504">
        <f t="shared" si="70"/>
        <v>0</v>
      </c>
      <c r="CA39" s="4504">
        <f t="shared" si="71"/>
        <v>0</v>
      </c>
      <c r="CB39" s="4504">
        <f t="shared" si="72"/>
        <v>0</v>
      </c>
      <c r="CC39" s="4504">
        <f t="shared" si="73"/>
        <v>0</v>
      </c>
      <c r="CD39" s="4504">
        <f t="shared" si="74"/>
        <v>0</v>
      </c>
      <c r="CE39" s="4504">
        <f t="shared" si="75"/>
        <v>0</v>
      </c>
      <c r="CF39" s="4504">
        <f t="shared" si="76"/>
        <v>0</v>
      </c>
    </row>
    <row r="40" spans="1:84">
      <c r="A40" s="2176"/>
      <c r="B40" s="2177">
        <v>2040206</v>
      </c>
      <c r="C40" s="2177" t="s">
        <v>1819</v>
      </c>
      <c r="D40" s="2151">
        <v>0.02</v>
      </c>
      <c r="E40" s="2180" t="s">
        <v>381</v>
      </c>
      <c r="F40" s="2143">
        <f t="shared" si="83"/>
        <v>9.4709799999999991</v>
      </c>
      <c r="G40" s="4140">
        <f t="shared" si="84"/>
        <v>5.3590099999999996</v>
      </c>
      <c r="H40" s="2142">
        <f t="shared" si="85"/>
        <v>3</v>
      </c>
      <c r="I40" s="2143">
        <f t="shared" si="86"/>
        <v>5</v>
      </c>
      <c r="J40" s="2144">
        <f t="shared" si="87"/>
        <v>5</v>
      </c>
      <c r="K40" s="2144">
        <f t="shared" si="88"/>
        <v>5</v>
      </c>
      <c r="L40" s="2144">
        <f t="shared" si="89"/>
        <v>5</v>
      </c>
      <c r="M40" s="2144">
        <f t="shared" si="90"/>
        <v>5</v>
      </c>
      <c r="N40" s="2179">
        <f t="shared" si="77"/>
        <v>25</v>
      </c>
      <c r="O40" s="1283">
        <v>9.4709799999999991</v>
      </c>
      <c r="P40" s="1285">
        <v>5.3590099999999996</v>
      </c>
      <c r="Q40" s="1284">
        <v>3</v>
      </c>
      <c r="R40" s="1285">
        <v>5</v>
      </c>
      <c r="S40" s="1286">
        <v>5</v>
      </c>
      <c r="T40" s="1286">
        <v>5</v>
      </c>
      <c r="U40" s="1286">
        <v>5</v>
      </c>
      <c r="V40" s="1286">
        <v>5</v>
      </c>
      <c r="W40" s="1283"/>
      <c r="X40" s="1285"/>
      <c r="Y40" s="1284"/>
      <c r="Z40" s="1285"/>
      <c r="AA40" s="1286"/>
      <c r="AB40" s="1286"/>
      <c r="AC40" s="1286"/>
      <c r="AD40" s="1286"/>
      <c r="AE40" s="1283"/>
      <c r="AF40" s="1285"/>
      <c r="AG40" s="1284"/>
      <c r="AH40" s="1285"/>
      <c r="AI40" s="1286"/>
      <c r="AJ40" s="1286"/>
      <c r="AK40" s="1286"/>
      <c r="AL40" s="1287"/>
      <c r="AM40" s="1288"/>
      <c r="AN40" s="1289"/>
      <c r="AO40" s="2147" t="s">
        <v>676</v>
      </c>
      <c r="AP40" s="1285">
        <v>4</v>
      </c>
      <c r="AQ40" s="1285">
        <v>4</v>
      </c>
      <c r="AR40" s="1284">
        <v>3</v>
      </c>
      <c r="AS40" s="1285">
        <v>4</v>
      </c>
      <c r="AT40" s="1286">
        <v>4</v>
      </c>
      <c r="AU40" s="1286">
        <v>4</v>
      </c>
      <c r="AV40" s="1286">
        <v>4</v>
      </c>
      <c r="AW40" s="1284">
        <v>4</v>
      </c>
      <c r="AX40" s="2148" t="s">
        <v>366</v>
      </c>
      <c r="AY40" s="4488"/>
      <c r="AZ40" s="4504">
        <f t="shared" si="44"/>
        <v>4.8424351809717612</v>
      </c>
      <c r="BA40" s="4504">
        <f t="shared" si="45"/>
        <v>2.7400183042493467</v>
      </c>
      <c r="BB40" s="4504">
        <f t="shared" si="46"/>
        <v>1.5338756435886556</v>
      </c>
      <c r="BC40" s="4504">
        <f t="shared" si="47"/>
        <v>2.5564594059810926</v>
      </c>
      <c r="BD40" s="4504">
        <f t="shared" si="48"/>
        <v>2.5564594059810926</v>
      </c>
      <c r="BE40" s="4504">
        <f t="shared" si="49"/>
        <v>2.5564594059810926</v>
      </c>
      <c r="BF40" s="4504">
        <f t="shared" si="50"/>
        <v>2.5564594059810926</v>
      </c>
      <c r="BG40" s="4504">
        <f t="shared" si="51"/>
        <v>2.5564594059810926</v>
      </c>
      <c r="BH40" s="4504">
        <f t="shared" si="52"/>
        <v>12.782297029905463</v>
      </c>
      <c r="BI40" s="4504">
        <f t="shared" si="53"/>
        <v>4.8424351809717612</v>
      </c>
      <c r="BJ40" s="4504">
        <f t="shared" si="54"/>
        <v>2.7400183042493467</v>
      </c>
      <c r="BK40" s="4504">
        <f t="shared" si="55"/>
        <v>1.5338756435886556</v>
      </c>
      <c r="BL40" s="4504">
        <f t="shared" si="56"/>
        <v>2.5564594059810926</v>
      </c>
      <c r="BM40" s="4504">
        <f t="shared" si="57"/>
        <v>2.5564594059810926</v>
      </c>
      <c r="BN40" s="4504">
        <f t="shared" si="58"/>
        <v>2.5564594059810926</v>
      </c>
      <c r="BO40" s="4504">
        <f t="shared" si="59"/>
        <v>2.5564594059810926</v>
      </c>
      <c r="BP40" s="4504">
        <f t="shared" si="60"/>
        <v>2.5564594059810926</v>
      </c>
      <c r="BQ40" s="4504">
        <f t="shared" si="61"/>
        <v>0</v>
      </c>
      <c r="BR40" s="4504">
        <f t="shared" si="62"/>
        <v>0</v>
      </c>
      <c r="BS40" s="4504">
        <f t="shared" si="63"/>
        <v>0</v>
      </c>
      <c r="BT40" s="4504">
        <f t="shared" si="64"/>
        <v>0</v>
      </c>
      <c r="BU40" s="4504">
        <f t="shared" si="65"/>
        <v>0</v>
      </c>
      <c r="BV40" s="4504">
        <f t="shared" si="66"/>
        <v>0</v>
      </c>
      <c r="BW40" s="4504">
        <f t="shared" si="67"/>
        <v>0</v>
      </c>
      <c r="BX40" s="4504">
        <f t="shared" si="68"/>
        <v>0</v>
      </c>
      <c r="BY40" s="4504">
        <f t="shared" si="69"/>
        <v>0</v>
      </c>
      <c r="BZ40" s="4504">
        <f t="shared" si="70"/>
        <v>0</v>
      </c>
      <c r="CA40" s="4504">
        <f t="shared" si="71"/>
        <v>0</v>
      </c>
      <c r="CB40" s="4504">
        <f t="shared" si="72"/>
        <v>0</v>
      </c>
      <c r="CC40" s="4504">
        <f t="shared" si="73"/>
        <v>0</v>
      </c>
      <c r="CD40" s="4504">
        <f t="shared" si="74"/>
        <v>0</v>
      </c>
      <c r="CE40" s="4504">
        <f t="shared" si="75"/>
        <v>0</v>
      </c>
      <c r="CF40" s="4504">
        <f t="shared" si="76"/>
        <v>0</v>
      </c>
    </row>
    <row r="41" spans="1:84" ht="24">
      <c r="A41" s="2176"/>
      <c r="B41" s="2139">
        <v>2030503</v>
      </c>
      <c r="C41" s="2139" t="s">
        <v>1820</v>
      </c>
      <c r="D41" s="2140">
        <v>0.1</v>
      </c>
      <c r="E41" s="2180" t="s">
        <v>663</v>
      </c>
      <c r="F41" s="2143">
        <f t="shared" si="83"/>
        <v>0</v>
      </c>
      <c r="G41" s="4140">
        <f t="shared" si="84"/>
        <v>0</v>
      </c>
      <c r="H41" s="2142">
        <f t="shared" si="85"/>
        <v>0</v>
      </c>
      <c r="I41" s="2143">
        <f t="shared" si="86"/>
        <v>0</v>
      </c>
      <c r="J41" s="2144">
        <f t="shared" si="87"/>
        <v>0</v>
      </c>
      <c r="K41" s="2144">
        <f t="shared" si="88"/>
        <v>0</v>
      </c>
      <c r="L41" s="2144">
        <f t="shared" si="89"/>
        <v>0</v>
      </c>
      <c r="M41" s="2144">
        <f t="shared" si="90"/>
        <v>0</v>
      </c>
      <c r="N41" s="2179">
        <f t="shared" si="77"/>
        <v>0</v>
      </c>
      <c r="O41" s="1283"/>
      <c r="P41" s="1285"/>
      <c r="Q41" s="1284"/>
      <c r="R41" s="1285"/>
      <c r="S41" s="1286"/>
      <c r="T41" s="1286"/>
      <c r="U41" s="1286"/>
      <c r="V41" s="1286"/>
      <c r="W41" s="1283"/>
      <c r="X41" s="1285"/>
      <c r="Y41" s="1284"/>
      <c r="Z41" s="1285"/>
      <c r="AA41" s="1286"/>
      <c r="AB41" s="1286"/>
      <c r="AC41" s="1286"/>
      <c r="AD41" s="1286"/>
      <c r="AE41" s="1283"/>
      <c r="AF41" s="1285"/>
      <c r="AG41" s="1284"/>
      <c r="AH41" s="1285"/>
      <c r="AI41" s="1286"/>
      <c r="AJ41" s="1286"/>
      <c r="AK41" s="1286"/>
      <c r="AL41" s="1287"/>
      <c r="AM41" s="1288"/>
      <c r="AN41" s="1290"/>
      <c r="AO41" s="2147" t="s">
        <v>676</v>
      </c>
      <c r="AP41" s="1285"/>
      <c r="AQ41" s="1285"/>
      <c r="AR41" s="1284"/>
      <c r="AS41" s="1285"/>
      <c r="AT41" s="1286"/>
      <c r="AU41" s="1286"/>
      <c r="AV41" s="1286"/>
      <c r="AW41" s="1284"/>
      <c r="AX41" s="2148" t="s">
        <v>371</v>
      </c>
      <c r="AY41" s="4488"/>
      <c r="AZ41" s="4504">
        <f t="shared" si="44"/>
        <v>0</v>
      </c>
      <c r="BA41" s="4504">
        <f t="shared" si="45"/>
        <v>0</v>
      </c>
      <c r="BB41" s="4504">
        <f t="shared" si="46"/>
        <v>0</v>
      </c>
      <c r="BC41" s="4504">
        <f t="shared" si="47"/>
        <v>0</v>
      </c>
      <c r="BD41" s="4504">
        <f t="shared" si="48"/>
        <v>0</v>
      </c>
      <c r="BE41" s="4504">
        <f t="shared" si="49"/>
        <v>0</v>
      </c>
      <c r="BF41" s="4504">
        <f t="shared" si="50"/>
        <v>0</v>
      </c>
      <c r="BG41" s="4504">
        <f t="shared" si="51"/>
        <v>0</v>
      </c>
      <c r="BH41" s="4504">
        <f t="shared" si="52"/>
        <v>0</v>
      </c>
      <c r="BI41" s="4504">
        <f t="shared" si="53"/>
        <v>0</v>
      </c>
      <c r="BJ41" s="4504">
        <f t="shared" si="54"/>
        <v>0</v>
      </c>
      <c r="BK41" s="4504">
        <f t="shared" si="55"/>
        <v>0</v>
      </c>
      <c r="BL41" s="4504">
        <f t="shared" si="56"/>
        <v>0</v>
      </c>
      <c r="BM41" s="4504">
        <f t="shared" si="57"/>
        <v>0</v>
      </c>
      <c r="BN41" s="4504">
        <f t="shared" si="58"/>
        <v>0</v>
      </c>
      <c r="BO41" s="4504">
        <f t="shared" si="59"/>
        <v>0</v>
      </c>
      <c r="BP41" s="4504">
        <f t="shared" si="60"/>
        <v>0</v>
      </c>
      <c r="BQ41" s="4504">
        <f t="shared" si="61"/>
        <v>0</v>
      </c>
      <c r="BR41" s="4504">
        <f t="shared" si="62"/>
        <v>0</v>
      </c>
      <c r="BS41" s="4504">
        <f t="shared" si="63"/>
        <v>0</v>
      </c>
      <c r="BT41" s="4504">
        <f t="shared" si="64"/>
        <v>0</v>
      </c>
      <c r="BU41" s="4504">
        <f t="shared" si="65"/>
        <v>0</v>
      </c>
      <c r="BV41" s="4504">
        <f t="shared" si="66"/>
        <v>0</v>
      </c>
      <c r="BW41" s="4504">
        <f t="shared" si="67"/>
        <v>0</v>
      </c>
      <c r="BX41" s="4504">
        <f t="shared" si="68"/>
        <v>0</v>
      </c>
      <c r="BY41" s="4504">
        <f t="shared" si="69"/>
        <v>0</v>
      </c>
      <c r="BZ41" s="4504">
        <f t="shared" si="70"/>
        <v>0</v>
      </c>
      <c r="CA41" s="4504">
        <f t="shared" si="71"/>
        <v>0</v>
      </c>
      <c r="CB41" s="4504">
        <f t="shared" si="72"/>
        <v>0</v>
      </c>
      <c r="CC41" s="4504">
        <f t="shared" si="73"/>
        <v>0</v>
      </c>
      <c r="CD41" s="4504">
        <f t="shared" si="74"/>
        <v>0</v>
      </c>
      <c r="CE41" s="4504">
        <f t="shared" si="75"/>
        <v>0</v>
      </c>
      <c r="CF41" s="4504">
        <f t="shared" si="76"/>
        <v>0</v>
      </c>
    </row>
    <row r="42" spans="1:84" ht="24">
      <c r="A42" s="2176"/>
      <c r="B42" s="2139">
        <v>215</v>
      </c>
      <c r="C42" s="2139" t="s">
        <v>1821</v>
      </c>
      <c r="D42" s="2149">
        <v>0.2</v>
      </c>
      <c r="E42" s="2180" t="s">
        <v>382</v>
      </c>
      <c r="F42" s="2143">
        <f t="shared" si="83"/>
        <v>0</v>
      </c>
      <c r="G42" s="4140">
        <f t="shared" si="84"/>
        <v>0</v>
      </c>
      <c r="H42" s="2142">
        <f t="shared" si="85"/>
        <v>0</v>
      </c>
      <c r="I42" s="2143">
        <f t="shared" si="86"/>
        <v>0</v>
      </c>
      <c r="J42" s="2144">
        <f t="shared" si="87"/>
        <v>0</v>
      </c>
      <c r="K42" s="2144">
        <f t="shared" si="88"/>
        <v>0</v>
      </c>
      <c r="L42" s="2144">
        <f t="shared" si="89"/>
        <v>0</v>
      </c>
      <c r="M42" s="2144">
        <f t="shared" si="90"/>
        <v>0</v>
      </c>
      <c r="N42" s="2179">
        <f t="shared" si="77"/>
        <v>0</v>
      </c>
      <c r="O42" s="1283"/>
      <c r="P42" s="1285"/>
      <c r="Q42" s="1284"/>
      <c r="R42" s="1285"/>
      <c r="S42" s="1286"/>
      <c r="T42" s="1286"/>
      <c r="U42" s="1286"/>
      <c r="V42" s="1286"/>
      <c r="W42" s="1283"/>
      <c r="X42" s="1285"/>
      <c r="Y42" s="1284"/>
      <c r="Z42" s="1285"/>
      <c r="AA42" s="1286"/>
      <c r="AB42" s="1286"/>
      <c r="AC42" s="1286"/>
      <c r="AD42" s="1286"/>
      <c r="AE42" s="1283"/>
      <c r="AF42" s="1285"/>
      <c r="AG42" s="1284"/>
      <c r="AH42" s="1285"/>
      <c r="AI42" s="1286"/>
      <c r="AJ42" s="1286"/>
      <c r="AK42" s="1286"/>
      <c r="AL42" s="1287"/>
      <c r="AM42" s="1288"/>
      <c r="AN42" s="1290"/>
      <c r="AO42" s="2154" t="s">
        <v>313</v>
      </c>
      <c r="AP42" s="2181"/>
      <c r="AQ42" s="2181"/>
      <c r="AR42" s="2182"/>
      <c r="AS42" s="2183"/>
      <c r="AT42" s="2184"/>
      <c r="AU42" s="2184"/>
      <c r="AV42" s="2184"/>
      <c r="AW42" s="2185"/>
      <c r="AX42" s="2148" t="s">
        <v>370</v>
      </c>
      <c r="AY42" s="4488"/>
      <c r="AZ42" s="4504">
        <f t="shared" si="44"/>
        <v>0</v>
      </c>
      <c r="BA42" s="4504">
        <f t="shared" si="45"/>
        <v>0</v>
      </c>
      <c r="BB42" s="4504">
        <f t="shared" si="46"/>
        <v>0</v>
      </c>
      <c r="BC42" s="4504">
        <f t="shared" si="47"/>
        <v>0</v>
      </c>
      <c r="BD42" s="4504">
        <f t="shared" si="48"/>
        <v>0</v>
      </c>
      <c r="BE42" s="4504">
        <f t="shared" si="49"/>
        <v>0</v>
      </c>
      <c r="BF42" s="4504">
        <f t="shared" si="50"/>
        <v>0</v>
      </c>
      <c r="BG42" s="4504">
        <f t="shared" si="51"/>
        <v>0</v>
      </c>
      <c r="BH42" s="4504">
        <f t="shared" si="52"/>
        <v>0</v>
      </c>
      <c r="BI42" s="4504">
        <f t="shared" si="53"/>
        <v>0</v>
      </c>
      <c r="BJ42" s="4504">
        <f t="shared" si="54"/>
        <v>0</v>
      </c>
      <c r="BK42" s="4504">
        <f t="shared" si="55"/>
        <v>0</v>
      </c>
      <c r="BL42" s="4504">
        <f t="shared" si="56"/>
        <v>0</v>
      </c>
      <c r="BM42" s="4504">
        <f t="shared" si="57"/>
        <v>0</v>
      </c>
      <c r="BN42" s="4504">
        <f t="shared" si="58"/>
        <v>0</v>
      </c>
      <c r="BO42" s="4504">
        <f t="shared" si="59"/>
        <v>0</v>
      </c>
      <c r="BP42" s="4504">
        <f t="shared" si="60"/>
        <v>0</v>
      </c>
      <c r="BQ42" s="4504">
        <f t="shared" si="61"/>
        <v>0</v>
      </c>
      <c r="BR42" s="4504">
        <f t="shared" si="62"/>
        <v>0</v>
      </c>
      <c r="BS42" s="4504">
        <f t="shared" si="63"/>
        <v>0</v>
      </c>
      <c r="BT42" s="4504">
        <f t="shared" si="64"/>
        <v>0</v>
      </c>
      <c r="BU42" s="4504">
        <f t="shared" si="65"/>
        <v>0</v>
      </c>
      <c r="BV42" s="4504">
        <f t="shared" si="66"/>
        <v>0</v>
      </c>
      <c r="BW42" s="4504">
        <f t="shared" si="67"/>
        <v>0</v>
      </c>
      <c r="BX42" s="4504">
        <f t="shared" si="68"/>
        <v>0</v>
      </c>
      <c r="BY42" s="4504">
        <f t="shared" si="69"/>
        <v>0</v>
      </c>
      <c r="BZ42" s="4504">
        <f t="shared" si="70"/>
        <v>0</v>
      </c>
      <c r="CA42" s="4504">
        <f t="shared" si="71"/>
        <v>0</v>
      </c>
      <c r="CB42" s="4504">
        <f t="shared" si="72"/>
        <v>0</v>
      </c>
      <c r="CC42" s="4504">
        <f t="shared" si="73"/>
        <v>0</v>
      </c>
      <c r="CD42" s="4504">
        <f t="shared" si="74"/>
        <v>0</v>
      </c>
      <c r="CE42" s="4504">
        <f t="shared" si="75"/>
        <v>0</v>
      </c>
      <c r="CF42" s="4504">
        <f t="shared" si="76"/>
        <v>0</v>
      </c>
    </row>
    <row r="43" spans="1:84" ht="24">
      <c r="A43" s="2186"/>
      <c r="B43" s="2177">
        <v>20502</v>
      </c>
      <c r="C43" s="2177" t="s">
        <v>1822</v>
      </c>
      <c r="D43" s="2151">
        <v>0.1</v>
      </c>
      <c r="E43" s="2180" t="s">
        <v>383</v>
      </c>
      <c r="F43" s="2143">
        <f t="shared" si="83"/>
        <v>0</v>
      </c>
      <c r="G43" s="4140">
        <f t="shared" si="84"/>
        <v>0</v>
      </c>
      <c r="H43" s="2142">
        <f t="shared" si="85"/>
        <v>0</v>
      </c>
      <c r="I43" s="2143">
        <f t="shared" si="86"/>
        <v>0</v>
      </c>
      <c r="J43" s="2144">
        <f t="shared" si="87"/>
        <v>0</v>
      </c>
      <c r="K43" s="2144">
        <f t="shared" si="88"/>
        <v>0</v>
      </c>
      <c r="L43" s="2144">
        <f t="shared" si="89"/>
        <v>0</v>
      </c>
      <c r="M43" s="2144">
        <f t="shared" si="90"/>
        <v>0</v>
      </c>
      <c r="N43" s="2179">
        <f t="shared" si="77"/>
        <v>0</v>
      </c>
      <c r="O43" s="1283"/>
      <c r="P43" s="1285"/>
      <c r="Q43" s="1284"/>
      <c r="R43" s="1285"/>
      <c r="S43" s="1286"/>
      <c r="T43" s="1286"/>
      <c r="U43" s="1286"/>
      <c r="V43" s="1286"/>
      <c r="W43" s="1283"/>
      <c r="X43" s="1285"/>
      <c r="Y43" s="1284"/>
      <c r="Z43" s="1285"/>
      <c r="AA43" s="1286"/>
      <c r="AB43" s="1286"/>
      <c r="AC43" s="1286"/>
      <c r="AD43" s="1286"/>
      <c r="AE43" s="1283"/>
      <c r="AF43" s="1285"/>
      <c r="AG43" s="1284"/>
      <c r="AH43" s="1285"/>
      <c r="AI43" s="1286"/>
      <c r="AJ43" s="1286"/>
      <c r="AK43" s="1286"/>
      <c r="AL43" s="1287"/>
      <c r="AM43" s="1288"/>
      <c r="AN43" s="1290"/>
      <c r="AO43" s="2147" t="s">
        <v>676</v>
      </c>
      <c r="AP43" s="1285"/>
      <c r="AQ43" s="1285"/>
      <c r="AR43" s="1284"/>
      <c r="AS43" s="1285"/>
      <c r="AT43" s="1286"/>
      <c r="AU43" s="1286"/>
      <c r="AV43" s="1286"/>
      <c r="AW43" s="1284"/>
      <c r="AX43" s="2148" t="s">
        <v>375</v>
      </c>
      <c r="AY43" s="4488"/>
      <c r="AZ43" s="4504">
        <f t="shared" si="44"/>
        <v>0</v>
      </c>
      <c r="BA43" s="4504">
        <f t="shared" si="45"/>
        <v>0</v>
      </c>
      <c r="BB43" s="4504">
        <f t="shared" si="46"/>
        <v>0</v>
      </c>
      <c r="BC43" s="4504">
        <f t="shared" si="47"/>
        <v>0</v>
      </c>
      <c r="BD43" s="4504">
        <f t="shared" si="48"/>
        <v>0</v>
      </c>
      <c r="BE43" s="4504">
        <f t="shared" si="49"/>
        <v>0</v>
      </c>
      <c r="BF43" s="4504">
        <f t="shared" si="50"/>
        <v>0</v>
      </c>
      <c r="BG43" s="4504">
        <f t="shared" si="51"/>
        <v>0</v>
      </c>
      <c r="BH43" s="4504">
        <f t="shared" si="52"/>
        <v>0</v>
      </c>
      <c r="BI43" s="4504">
        <f t="shared" si="53"/>
        <v>0</v>
      </c>
      <c r="BJ43" s="4504">
        <f t="shared" si="54"/>
        <v>0</v>
      </c>
      <c r="BK43" s="4504">
        <f t="shared" si="55"/>
        <v>0</v>
      </c>
      <c r="BL43" s="4504">
        <f t="shared" si="56"/>
        <v>0</v>
      </c>
      <c r="BM43" s="4504">
        <f t="shared" si="57"/>
        <v>0</v>
      </c>
      <c r="BN43" s="4504">
        <f t="shared" si="58"/>
        <v>0</v>
      </c>
      <c r="BO43" s="4504">
        <f t="shared" si="59"/>
        <v>0</v>
      </c>
      <c r="BP43" s="4504">
        <f t="shared" si="60"/>
        <v>0</v>
      </c>
      <c r="BQ43" s="4504">
        <f t="shared" si="61"/>
        <v>0</v>
      </c>
      <c r="BR43" s="4504">
        <f t="shared" si="62"/>
        <v>0</v>
      </c>
      <c r="BS43" s="4504">
        <f t="shared" si="63"/>
        <v>0</v>
      </c>
      <c r="BT43" s="4504">
        <f t="shared" si="64"/>
        <v>0</v>
      </c>
      <c r="BU43" s="4504">
        <f t="shared" si="65"/>
        <v>0</v>
      </c>
      <c r="BV43" s="4504">
        <f t="shared" si="66"/>
        <v>0</v>
      </c>
      <c r="BW43" s="4504">
        <f t="shared" si="67"/>
        <v>0</v>
      </c>
      <c r="BX43" s="4504">
        <f t="shared" si="68"/>
        <v>0</v>
      </c>
      <c r="BY43" s="4504">
        <f t="shared" si="69"/>
        <v>0</v>
      </c>
      <c r="BZ43" s="4504">
        <f t="shared" si="70"/>
        <v>0</v>
      </c>
      <c r="CA43" s="4504">
        <f t="shared" si="71"/>
        <v>0</v>
      </c>
      <c r="CB43" s="4504">
        <f t="shared" si="72"/>
        <v>0</v>
      </c>
      <c r="CC43" s="4504">
        <f t="shared" si="73"/>
        <v>0</v>
      </c>
      <c r="CD43" s="4504">
        <f t="shared" si="74"/>
        <v>0</v>
      </c>
      <c r="CE43" s="4504">
        <f t="shared" si="75"/>
        <v>0</v>
      </c>
      <c r="CF43" s="4504">
        <f t="shared" si="76"/>
        <v>0</v>
      </c>
    </row>
    <row r="44" spans="1:84" ht="24">
      <c r="A44" s="2186"/>
      <c r="B44" s="2177">
        <v>20501</v>
      </c>
      <c r="C44" s="2177" t="s">
        <v>1823</v>
      </c>
      <c r="D44" s="2151">
        <v>0.08</v>
      </c>
      <c r="E44" s="2180" t="s">
        <v>384</v>
      </c>
      <c r="F44" s="2143">
        <f t="shared" si="83"/>
        <v>0</v>
      </c>
      <c r="G44" s="4140">
        <f t="shared" si="84"/>
        <v>0</v>
      </c>
      <c r="H44" s="2142">
        <f t="shared" si="85"/>
        <v>0</v>
      </c>
      <c r="I44" s="2143">
        <f t="shared" si="86"/>
        <v>0</v>
      </c>
      <c r="J44" s="2144">
        <f t="shared" si="87"/>
        <v>0</v>
      </c>
      <c r="K44" s="2144">
        <f t="shared" si="88"/>
        <v>0</v>
      </c>
      <c r="L44" s="2144">
        <f t="shared" si="89"/>
        <v>0</v>
      </c>
      <c r="M44" s="2144">
        <f t="shared" si="90"/>
        <v>0</v>
      </c>
      <c r="N44" s="2179">
        <f t="shared" si="77"/>
        <v>0</v>
      </c>
      <c r="O44" s="1283"/>
      <c r="P44" s="1285"/>
      <c r="Q44" s="1284"/>
      <c r="R44" s="1285"/>
      <c r="S44" s="1286"/>
      <c r="T44" s="1286"/>
      <c r="U44" s="1286"/>
      <c r="V44" s="1286"/>
      <c r="W44" s="1283"/>
      <c r="X44" s="1285"/>
      <c r="Y44" s="1284"/>
      <c r="Z44" s="1285"/>
      <c r="AA44" s="1286"/>
      <c r="AB44" s="1286"/>
      <c r="AC44" s="1286"/>
      <c r="AD44" s="1286"/>
      <c r="AE44" s="1283"/>
      <c r="AF44" s="1285"/>
      <c r="AG44" s="1284"/>
      <c r="AH44" s="1285"/>
      <c r="AI44" s="1286"/>
      <c r="AJ44" s="1286"/>
      <c r="AK44" s="1286"/>
      <c r="AL44" s="1287"/>
      <c r="AM44" s="1288"/>
      <c r="AN44" s="1290"/>
      <c r="AO44" s="2147" t="s">
        <v>676</v>
      </c>
      <c r="AP44" s="1285"/>
      <c r="AQ44" s="1285"/>
      <c r="AR44" s="1284"/>
      <c r="AS44" s="1285"/>
      <c r="AT44" s="1286"/>
      <c r="AU44" s="1286"/>
      <c r="AV44" s="1286"/>
      <c r="AW44" s="1284"/>
      <c r="AX44" s="2148" t="s">
        <v>375</v>
      </c>
      <c r="AY44" s="4488"/>
      <c r="AZ44" s="4504">
        <f t="shared" si="44"/>
        <v>0</v>
      </c>
      <c r="BA44" s="4504">
        <f t="shared" si="45"/>
        <v>0</v>
      </c>
      <c r="BB44" s="4504">
        <f t="shared" si="46"/>
        <v>0</v>
      </c>
      <c r="BC44" s="4504">
        <f t="shared" si="47"/>
        <v>0</v>
      </c>
      <c r="BD44" s="4504">
        <f t="shared" si="48"/>
        <v>0</v>
      </c>
      <c r="BE44" s="4504">
        <f t="shared" si="49"/>
        <v>0</v>
      </c>
      <c r="BF44" s="4504">
        <f t="shared" si="50"/>
        <v>0</v>
      </c>
      <c r="BG44" s="4504">
        <f t="shared" si="51"/>
        <v>0</v>
      </c>
      <c r="BH44" s="4504">
        <f t="shared" si="52"/>
        <v>0</v>
      </c>
      <c r="BI44" s="4504">
        <f t="shared" si="53"/>
        <v>0</v>
      </c>
      <c r="BJ44" s="4504">
        <f t="shared" si="54"/>
        <v>0</v>
      </c>
      <c r="BK44" s="4504">
        <f t="shared" si="55"/>
        <v>0</v>
      </c>
      <c r="BL44" s="4504">
        <f t="shared" si="56"/>
        <v>0</v>
      </c>
      <c r="BM44" s="4504">
        <f t="shared" si="57"/>
        <v>0</v>
      </c>
      <c r="BN44" s="4504">
        <f t="shared" si="58"/>
        <v>0</v>
      </c>
      <c r="BO44" s="4504">
        <f t="shared" si="59"/>
        <v>0</v>
      </c>
      <c r="BP44" s="4504">
        <f t="shared" si="60"/>
        <v>0</v>
      </c>
      <c r="BQ44" s="4504">
        <f t="shared" si="61"/>
        <v>0</v>
      </c>
      <c r="BR44" s="4504">
        <f t="shared" si="62"/>
        <v>0</v>
      </c>
      <c r="BS44" s="4504">
        <f t="shared" si="63"/>
        <v>0</v>
      </c>
      <c r="BT44" s="4504">
        <f t="shared" si="64"/>
        <v>0</v>
      </c>
      <c r="BU44" s="4504">
        <f t="shared" si="65"/>
        <v>0</v>
      </c>
      <c r="BV44" s="4504">
        <f t="shared" si="66"/>
        <v>0</v>
      </c>
      <c r="BW44" s="4504">
        <f t="shared" si="67"/>
        <v>0</v>
      </c>
      <c r="BX44" s="4504">
        <f t="shared" si="68"/>
        <v>0</v>
      </c>
      <c r="BY44" s="4504">
        <f t="shared" si="69"/>
        <v>0</v>
      </c>
      <c r="BZ44" s="4504">
        <f t="shared" si="70"/>
        <v>0</v>
      </c>
      <c r="CA44" s="4504">
        <f t="shared" si="71"/>
        <v>0</v>
      </c>
      <c r="CB44" s="4504">
        <f t="shared" si="72"/>
        <v>0</v>
      </c>
      <c r="CC44" s="4504">
        <f t="shared" si="73"/>
        <v>0</v>
      </c>
      <c r="CD44" s="4504">
        <f t="shared" si="74"/>
        <v>0</v>
      </c>
      <c r="CE44" s="4504">
        <f t="shared" si="75"/>
        <v>0</v>
      </c>
      <c r="CF44" s="4504">
        <f t="shared" si="76"/>
        <v>0</v>
      </c>
    </row>
    <row r="45" spans="1:84">
      <c r="A45" s="2186"/>
      <c r="B45" s="2177">
        <v>20503</v>
      </c>
      <c r="C45" s="2177" t="s">
        <v>1749</v>
      </c>
      <c r="D45" s="2151">
        <v>0.1</v>
      </c>
      <c r="E45" s="2180" t="s">
        <v>672</v>
      </c>
      <c r="F45" s="2143">
        <f t="shared" si="83"/>
        <v>0</v>
      </c>
      <c r="G45" s="4140">
        <f t="shared" si="84"/>
        <v>5.7777599999999998</v>
      </c>
      <c r="H45" s="2142">
        <f t="shared" si="85"/>
        <v>0</v>
      </c>
      <c r="I45" s="2143">
        <f t="shared" si="86"/>
        <v>3</v>
      </c>
      <c r="J45" s="2144">
        <f t="shared" si="87"/>
        <v>3</v>
      </c>
      <c r="K45" s="2144">
        <f t="shared" si="88"/>
        <v>3</v>
      </c>
      <c r="L45" s="2144">
        <f t="shared" si="89"/>
        <v>3</v>
      </c>
      <c r="M45" s="2144">
        <f t="shared" si="90"/>
        <v>3</v>
      </c>
      <c r="N45" s="2179">
        <f t="shared" si="77"/>
        <v>15</v>
      </c>
      <c r="O45" s="1283"/>
      <c r="P45" s="1285">
        <v>5.7777599999999998</v>
      </c>
      <c r="Q45" s="1284"/>
      <c r="R45" s="1285">
        <v>3</v>
      </c>
      <c r="S45" s="1286">
        <v>3</v>
      </c>
      <c r="T45" s="1286">
        <v>3</v>
      </c>
      <c r="U45" s="1286">
        <v>3</v>
      </c>
      <c r="V45" s="1286">
        <v>3</v>
      </c>
      <c r="W45" s="1283"/>
      <c r="X45" s="1285"/>
      <c r="Y45" s="1284"/>
      <c r="Z45" s="1285"/>
      <c r="AA45" s="1286"/>
      <c r="AB45" s="1286"/>
      <c r="AC45" s="1286"/>
      <c r="AD45" s="1286"/>
      <c r="AE45" s="1283"/>
      <c r="AF45" s="1285"/>
      <c r="AG45" s="1284"/>
      <c r="AH45" s="1285"/>
      <c r="AI45" s="1286"/>
      <c r="AJ45" s="1286"/>
      <c r="AK45" s="1286"/>
      <c r="AL45" s="1287"/>
      <c r="AM45" s="1288"/>
      <c r="AN45" s="1290"/>
      <c r="AO45" s="2147" t="s">
        <v>676</v>
      </c>
      <c r="AP45" s="1285"/>
      <c r="AQ45" s="1285">
        <v>1</v>
      </c>
      <c r="AR45" s="1284"/>
      <c r="AS45" s="1285">
        <v>1</v>
      </c>
      <c r="AT45" s="1286">
        <v>1</v>
      </c>
      <c r="AU45" s="1286">
        <v>1</v>
      </c>
      <c r="AV45" s="1286">
        <v>1</v>
      </c>
      <c r="AW45" s="1284">
        <v>1</v>
      </c>
      <c r="AX45" s="2148" t="s">
        <v>375</v>
      </c>
      <c r="AY45" s="4488"/>
      <c r="AZ45" s="4504">
        <f t="shared" si="44"/>
        <v>0</v>
      </c>
      <c r="BA45" s="4504">
        <f t="shared" si="45"/>
        <v>2.9541217795002632</v>
      </c>
      <c r="BB45" s="4504">
        <f t="shared" si="46"/>
        <v>0</v>
      </c>
      <c r="BC45" s="4504">
        <f t="shared" si="47"/>
        <v>1.5338756435886556</v>
      </c>
      <c r="BD45" s="4504">
        <f t="shared" si="48"/>
        <v>1.5338756435886556</v>
      </c>
      <c r="BE45" s="4504">
        <f t="shared" si="49"/>
        <v>1.5338756435886556</v>
      </c>
      <c r="BF45" s="4504">
        <f t="shared" si="50"/>
        <v>1.5338756435886556</v>
      </c>
      <c r="BG45" s="4504">
        <f t="shared" si="51"/>
        <v>1.5338756435886556</v>
      </c>
      <c r="BH45" s="4504">
        <f t="shared" si="52"/>
        <v>7.6693782179432777</v>
      </c>
      <c r="BI45" s="4504">
        <f t="shared" si="53"/>
        <v>0</v>
      </c>
      <c r="BJ45" s="4504">
        <f t="shared" si="54"/>
        <v>2.9541217795002632</v>
      </c>
      <c r="BK45" s="4504">
        <f t="shared" si="55"/>
        <v>0</v>
      </c>
      <c r="BL45" s="4504">
        <f t="shared" si="56"/>
        <v>1.5338756435886556</v>
      </c>
      <c r="BM45" s="4504">
        <f t="shared" si="57"/>
        <v>1.5338756435886556</v>
      </c>
      <c r="BN45" s="4504">
        <f t="shared" si="58"/>
        <v>1.5338756435886556</v>
      </c>
      <c r="BO45" s="4504">
        <f t="shared" si="59"/>
        <v>1.5338756435886556</v>
      </c>
      <c r="BP45" s="4504">
        <f t="shared" si="60"/>
        <v>1.5338756435886556</v>
      </c>
      <c r="BQ45" s="4504">
        <f t="shared" si="61"/>
        <v>0</v>
      </c>
      <c r="BR45" s="4504">
        <f t="shared" si="62"/>
        <v>0</v>
      </c>
      <c r="BS45" s="4504">
        <f t="shared" si="63"/>
        <v>0</v>
      </c>
      <c r="BT45" s="4504">
        <f t="shared" si="64"/>
        <v>0</v>
      </c>
      <c r="BU45" s="4504">
        <f t="shared" si="65"/>
        <v>0</v>
      </c>
      <c r="BV45" s="4504">
        <f t="shared" si="66"/>
        <v>0</v>
      </c>
      <c r="BW45" s="4504">
        <f t="shared" si="67"/>
        <v>0</v>
      </c>
      <c r="BX45" s="4504">
        <f t="shared" si="68"/>
        <v>0</v>
      </c>
      <c r="BY45" s="4504">
        <f t="shared" si="69"/>
        <v>0</v>
      </c>
      <c r="BZ45" s="4504">
        <f t="shared" si="70"/>
        <v>0</v>
      </c>
      <c r="CA45" s="4504">
        <f t="shared" si="71"/>
        <v>0</v>
      </c>
      <c r="CB45" s="4504">
        <f t="shared" si="72"/>
        <v>0</v>
      </c>
      <c r="CC45" s="4504">
        <f t="shared" si="73"/>
        <v>0</v>
      </c>
      <c r="CD45" s="4504">
        <f t="shared" si="74"/>
        <v>0</v>
      </c>
      <c r="CE45" s="4504">
        <f t="shared" si="75"/>
        <v>0</v>
      </c>
      <c r="CF45" s="4504">
        <f t="shared" si="76"/>
        <v>0</v>
      </c>
    </row>
    <row r="46" spans="1:84" ht="24">
      <c r="A46" s="2186"/>
      <c r="B46" s="2177">
        <v>20303</v>
      </c>
      <c r="C46" s="2177" t="s">
        <v>1824</v>
      </c>
      <c r="D46" s="2140">
        <v>0.1</v>
      </c>
      <c r="E46" s="2178" t="s">
        <v>656</v>
      </c>
      <c r="F46" s="2143">
        <f t="shared" si="83"/>
        <v>0</v>
      </c>
      <c r="G46" s="4140">
        <f t="shared" si="84"/>
        <v>0</v>
      </c>
      <c r="H46" s="2142">
        <f t="shared" si="85"/>
        <v>0</v>
      </c>
      <c r="I46" s="2143">
        <f t="shared" si="86"/>
        <v>0</v>
      </c>
      <c r="J46" s="2144">
        <f t="shared" si="87"/>
        <v>0</v>
      </c>
      <c r="K46" s="2144">
        <f t="shared" si="88"/>
        <v>0</v>
      </c>
      <c r="L46" s="2144">
        <f t="shared" si="89"/>
        <v>0</v>
      </c>
      <c r="M46" s="2144">
        <f t="shared" si="90"/>
        <v>0</v>
      </c>
      <c r="N46" s="2179">
        <f t="shared" si="77"/>
        <v>0</v>
      </c>
      <c r="O46" s="1283"/>
      <c r="P46" s="1285"/>
      <c r="Q46" s="1284"/>
      <c r="R46" s="1285"/>
      <c r="S46" s="1286"/>
      <c r="T46" s="1286"/>
      <c r="U46" s="1286"/>
      <c r="V46" s="1286"/>
      <c r="W46" s="1283"/>
      <c r="X46" s="1285"/>
      <c r="Y46" s="1284"/>
      <c r="Z46" s="1285"/>
      <c r="AA46" s="1286"/>
      <c r="AB46" s="1286"/>
      <c r="AC46" s="1286"/>
      <c r="AD46" s="1286"/>
      <c r="AE46" s="1283"/>
      <c r="AF46" s="1285"/>
      <c r="AG46" s="1284"/>
      <c r="AH46" s="1285"/>
      <c r="AI46" s="1286"/>
      <c r="AJ46" s="1286"/>
      <c r="AK46" s="1286"/>
      <c r="AL46" s="1287"/>
      <c r="AM46" s="1288"/>
      <c r="AN46" s="1290"/>
      <c r="AO46" s="2147" t="s">
        <v>676</v>
      </c>
      <c r="AP46" s="1285"/>
      <c r="AQ46" s="1285"/>
      <c r="AR46" s="1284"/>
      <c r="AS46" s="1285"/>
      <c r="AT46" s="1286"/>
      <c r="AU46" s="1286"/>
      <c r="AV46" s="1286"/>
      <c r="AW46" s="1284"/>
      <c r="AX46" s="2153" t="s">
        <v>1025</v>
      </c>
      <c r="AY46" s="4488"/>
      <c r="AZ46" s="4504">
        <f t="shared" si="44"/>
        <v>0</v>
      </c>
      <c r="BA46" s="4504">
        <f t="shared" si="45"/>
        <v>0</v>
      </c>
      <c r="BB46" s="4504">
        <f t="shared" si="46"/>
        <v>0</v>
      </c>
      <c r="BC46" s="4504">
        <f t="shared" si="47"/>
        <v>0</v>
      </c>
      <c r="BD46" s="4504">
        <f t="shared" si="48"/>
        <v>0</v>
      </c>
      <c r="BE46" s="4504">
        <f t="shared" si="49"/>
        <v>0</v>
      </c>
      <c r="BF46" s="4504">
        <f t="shared" si="50"/>
        <v>0</v>
      </c>
      <c r="BG46" s="4504">
        <f t="shared" si="51"/>
        <v>0</v>
      </c>
      <c r="BH46" s="4504">
        <f t="shared" si="52"/>
        <v>0</v>
      </c>
      <c r="BI46" s="4504">
        <f t="shared" si="53"/>
        <v>0</v>
      </c>
      <c r="BJ46" s="4504">
        <f t="shared" si="54"/>
        <v>0</v>
      </c>
      <c r="BK46" s="4504">
        <f t="shared" si="55"/>
        <v>0</v>
      </c>
      <c r="BL46" s="4504">
        <f t="shared" si="56"/>
        <v>0</v>
      </c>
      <c r="BM46" s="4504">
        <f t="shared" si="57"/>
        <v>0</v>
      </c>
      <c r="BN46" s="4504">
        <f t="shared" si="58"/>
        <v>0</v>
      </c>
      <c r="BO46" s="4504">
        <f t="shared" si="59"/>
        <v>0</v>
      </c>
      <c r="BP46" s="4504">
        <f t="shared" si="60"/>
        <v>0</v>
      </c>
      <c r="BQ46" s="4504">
        <f t="shared" si="61"/>
        <v>0</v>
      </c>
      <c r="BR46" s="4504">
        <f t="shared" si="62"/>
        <v>0</v>
      </c>
      <c r="BS46" s="4504">
        <f t="shared" si="63"/>
        <v>0</v>
      </c>
      <c r="BT46" s="4504">
        <f t="shared" si="64"/>
        <v>0</v>
      </c>
      <c r="BU46" s="4504">
        <f t="shared" si="65"/>
        <v>0</v>
      </c>
      <c r="BV46" s="4504">
        <f t="shared" si="66"/>
        <v>0</v>
      </c>
      <c r="BW46" s="4504">
        <f t="shared" si="67"/>
        <v>0</v>
      </c>
      <c r="BX46" s="4504">
        <f t="shared" si="68"/>
        <v>0</v>
      </c>
      <c r="BY46" s="4504">
        <f t="shared" si="69"/>
        <v>0</v>
      </c>
      <c r="BZ46" s="4504">
        <f t="shared" si="70"/>
        <v>0</v>
      </c>
      <c r="CA46" s="4504">
        <f t="shared" si="71"/>
        <v>0</v>
      </c>
      <c r="CB46" s="4504">
        <f t="shared" si="72"/>
        <v>0</v>
      </c>
      <c r="CC46" s="4504">
        <f t="shared" si="73"/>
        <v>0</v>
      </c>
      <c r="CD46" s="4504">
        <f t="shared" si="74"/>
        <v>0</v>
      </c>
      <c r="CE46" s="4504">
        <f t="shared" si="75"/>
        <v>0</v>
      </c>
      <c r="CF46" s="4504">
        <f t="shared" si="76"/>
        <v>0</v>
      </c>
    </row>
    <row r="47" spans="1:84" ht="24.6" thickBot="1">
      <c r="A47" s="3872"/>
      <c r="B47" s="3873">
        <v>20306</v>
      </c>
      <c r="C47" s="3873" t="s">
        <v>1825</v>
      </c>
      <c r="D47" s="3862">
        <v>0.1</v>
      </c>
      <c r="E47" s="3874" t="s">
        <v>711</v>
      </c>
      <c r="F47" s="3865">
        <f t="shared" si="83"/>
        <v>0</v>
      </c>
      <c r="G47" s="4141">
        <f t="shared" si="84"/>
        <v>0</v>
      </c>
      <c r="H47" s="3864">
        <f t="shared" si="85"/>
        <v>0</v>
      </c>
      <c r="I47" s="3865">
        <f t="shared" si="86"/>
        <v>0</v>
      </c>
      <c r="J47" s="3866">
        <f t="shared" si="87"/>
        <v>0</v>
      </c>
      <c r="K47" s="3866">
        <f t="shared" si="88"/>
        <v>0</v>
      </c>
      <c r="L47" s="3866">
        <f t="shared" si="89"/>
        <v>0</v>
      </c>
      <c r="M47" s="3866">
        <f t="shared" si="90"/>
        <v>0</v>
      </c>
      <c r="N47" s="2356">
        <f t="shared" si="77"/>
        <v>0</v>
      </c>
      <c r="O47" s="1306"/>
      <c r="P47" s="1308"/>
      <c r="Q47" s="1307"/>
      <c r="R47" s="1308"/>
      <c r="S47" s="3868"/>
      <c r="T47" s="3868"/>
      <c r="U47" s="3868"/>
      <c r="V47" s="3868"/>
      <c r="W47" s="1306"/>
      <c r="X47" s="1308"/>
      <c r="Y47" s="1307"/>
      <c r="Z47" s="1308"/>
      <c r="AA47" s="3868"/>
      <c r="AB47" s="3868"/>
      <c r="AC47" s="3868"/>
      <c r="AD47" s="3868"/>
      <c r="AE47" s="1306"/>
      <c r="AF47" s="1308"/>
      <c r="AG47" s="1307"/>
      <c r="AH47" s="1308"/>
      <c r="AI47" s="3868"/>
      <c r="AJ47" s="3868"/>
      <c r="AK47" s="3868"/>
      <c r="AL47" s="3869"/>
      <c r="AM47" s="1304"/>
      <c r="AN47" s="1305"/>
      <c r="AO47" s="2214" t="s">
        <v>676</v>
      </c>
      <c r="AP47" s="1308"/>
      <c r="AQ47" s="1308"/>
      <c r="AR47" s="1307"/>
      <c r="AS47" s="1308"/>
      <c r="AT47" s="3868"/>
      <c r="AU47" s="3868"/>
      <c r="AV47" s="3868"/>
      <c r="AW47" s="1307"/>
      <c r="AX47" s="3871" t="s">
        <v>1024</v>
      </c>
      <c r="AY47" s="4488"/>
      <c r="AZ47" s="4504">
        <f t="shared" si="44"/>
        <v>0</v>
      </c>
      <c r="BA47" s="4504">
        <f t="shared" si="45"/>
        <v>0</v>
      </c>
      <c r="BB47" s="4504">
        <f t="shared" si="46"/>
        <v>0</v>
      </c>
      <c r="BC47" s="4504">
        <f t="shared" si="47"/>
        <v>0</v>
      </c>
      <c r="BD47" s="4504">
        <f t="shared" si="48"/>
        <v>0</v>
      </c>
      <c r="BE47" s="4504">
        <f t="shared" si="49"/>
        <v>0</v>
      </c>
      <c r="BF47" s="4504">
        <f t="shared" si="50"/>
        <v>0</v>
      </c>
      <c r="BG47" s="4504">
        <f t="shared" si="51"/>
        <v>0</v>
      </c>
      <c r="BH47" s="4504">
        <f t="shared" si="52"/>
        <v>0</v>
      </c>
      <c r="BI47" s="4504">
        <f t="shared" si="53"/>
        <v>0</v>
      </c>
      <c r="BJ47" s="4504">
        <f t="shared" si="54"/>
        <v>0</v>
      </c>
      <c r="BK47" s="4504">
        <f t="shared" si="55"/>
        <v>0</v>
      </c>
      <c r="BL47" s="4504">
        <f t="shared" si="56"/>
        <v>0</v>
      </c>
      <c r="BM47" s="4504">
        <f t="shared" si="57"/>
        <v>0</v>
      </c>
      <c r="BN47" s="4504">
        <f t="shared" si="58"/>
        <v>0</v>
      </c>
      <c r="BO47" s="4504">
        <f t="shared" si="59"/>
        <v>0</v>
      </c>
      <c r="BP47" s="4504">
        <f t="shared" si="60"/>
        <v>0</v>
      </c>
      <c r="BQ47" s="4504">
        <f t="shared" si="61"/>
        <v>0</v>
      </c>
      <c r="BR47" s="4504">
        <f t="shared" si="62"/>
        <v>0</v>
      </c>
      <c r="BS47" s="4504">
        <f t="shared" si="63"/>
        <v>0</v>
      </c>
      <c r="BT47" s="4504">
        <f t="shared" si="64"/>
        <v>0</v>
      </c>
      <c r="BU47" s="4504">
        <f t="shared" si="65"/>
        <v>0</v>
      </c>
      <c r="BV47" s="4504">
        <f t="shared" si="66"/>
        <v>0</v>
      </c>
      <c r="BW47" s="4504">
        <f t="shared" si="67"/>
        <v>0</v>
      </c>
      <c r="BX47" s="4504">
        <f t="shared" si="68"/>
        <v>0</v>
      </c>
      <c r="BY47" s="4504">
        <f t="shared" si="69"/>
        <v>0</v>
      </c>
      <c r="BZ47" s="4504">
        <f t="shared" si="70"/>
        <v>0</v>
      </c>
      <c r="CA47" s="4504">
        <f t="shared" si="71"/>
        <v>0</v>
      </c>
      <c r="CB47" s="4504">
        <f t="shared" si="72"/>
        <v>0</v>
      </c>
      <c r="CC47" s="4504">
        <f t="shared" si="73"/>
        <v>0</v>
      </c>
      <c r="CD47" s="4504">
        <f t="shared" si="74"/>
        <v>0</v>
      </c>
      <c r="CE47" s="4504">
        <f t="shared" si="75"/>
        <v>0</v>
      </c>
      <c r="CF47" s="4504">
        <f t="shared" si="76"/>
        <v>0</v>
      </c>
    </row>
    <row r="48" spans="1:84" ht="23.4" thickBot="1">
      <c r="A48" s="2106">
        <v>1.3</v>
      </c>
      <c r="B48" s="2106"/>
      <c r="C48" s="2106"/>
      <c r="D48" s="2107"/>
      <c r="E48" s="2108" t="s">
        <v>209</v>
      </c>
      <c r="F48" s="2109">
        <f t="shared" ref="F48" si="91">SUM(F49:F56)</f>
        <v>77.990140000000011</v>
      </c>
      <c r="G48" s="4138">
        <f t="shared" ref="G48:AL48" si="92">SUM(G49:G56)</f>
        <v>47.54992</v>
      </c>
      <c r="H48" s="2110">
        <f t="shared" si="92"/>
        <v>12</v>
      </c>
      <c r="I48" s="2111">
        <f t="shared" si="92"/>
        <v>32</v>
      </c>
      <c r="J48" s="2112">
        <f t="shared" si="92"/>
        <v>32</v>
      </c>
      <c r="K48" s="2112">
        <f t="shared" si="92"/>
        <v>32</v>
      </c>
      <c r="L48" s="2112">
        <f t="shared" si="92"/>
        <v>32</v>
      </c>
      <c r="M48" s="2163">
        <f t="shared" si="92"/>
        <v>32</v>
      </c>
      <c r="N48" s="2164">
        <f t="shared" si="92"/>
        <v>160</v>
      </c>
      <c r="O48" s="2115">
        <f t="shared" ref="O48" si="93">SUM(O49:O56)</f>
        <v>77.990140000000011</v>
      </c>
      <c r="P48" s="4154">
        <f t="shared" si="92"/>
        <v>47.54992</v>
      </c>
      <c r="Q48" s="2116">
        <f t="shared" si="92"/>
        <v>12</v>
      </c>
      <c r="R48" s="2117">
        <f t="shared" si="92"/>
        <v>32</v>
      </c>
      <c r="S48" s="2118">
        <f t="shared" si="92"/>
        <v>32</v>
      </c>
      <c r="T48" s="2118">
        <f t="shared" si="92"/>
        <v>32</v>
      </c>
      <c r="U48" s="2118">
        <f t="shared" si="92"/>
        <v>32</v>
      </c>
      <c r="V48" s="2119">
        <f t="shared" si="92"/>
        <v>32</v>
      </c>
      <c r="W48" s="2115">
        <f t="shared" ref="W48" si="94">SUM(W49:W56)</f>
        <v>0</v>
      </c>
      <c r="X48" s="4154">
        <f t="shared" si="92"/>
        <v>0</v>
      </c>
      <c r="Y48" s="2116">
        <f t="shared" si="92"/>
        <v>0</v>
      </c>
      <c r="Z48" s="2117">
        <f t="shared" si="92"/>
        <v>0</v>
      </c>
      <c r="AA48" s="2118">
        <f t="shared" si="92"/>
        <v>0</v>
      </c>
      <c r="AB48" s="2118">
        <f t="shared" si="92"/>
        <v>0</v>
      </c>
      <c r="AC48" s="2118">
        <f t="shared" si="92"/>
        <v>0</v>
      </c>
      <c r="AD48" s="2119">
        <f t="shared" si="92"/>
        <v>0</v>
      </c>
      <c r="AE48" s="2115">
        <f t="shared" ref="AE48" si="95">SUM(AE49:AE56)</f>
        <v>0</v>
      </c>
      <c r="AF48" s="4154">
        <f t="shared" si="92"/>
        <v>0</v>
      </c>
      <c r="AG48" s="2116">
        <f t="shared" si="92"/>
        <v>0</v>
      </c>
      <c r="AH48" s="2117">
        <f t="shared" si="92"/>
        <v>0</v>
      </c>
      <c r="AI48" s="2118">
        <f t="shared" si="92"/>
        <v>0</v>
      </c>
      <c r="AJ48" s="2118">
        <f t="shared" si="92"/>
        <v>0</v>
      </c>
      <c r="AK48" s="2118">
        <f t="shared" si="92"/>
        <v>0</v>
      </c>
      <c r="AL48" s="2120">
        <f t="shared" si="92"/>
        <v>0</v>
      </c>
      <c r="AM48" s="2165"/>
      <c r="AN48" s="2166"/>
      <c r="AO48" s="2165"/>
      <c r="AP48" s="2167"/>
      <c r="AQ48" s="2167"/>
      <c r="AR48" s="2167"/>
      <c r="AS48" s="2168"/>
      <c r="AT48" s="2168"/>
      <c r="AU48" s="2168"/>
      <c r="AV48" s="2168"/>
      <c r="AW48" s="2169"/>
      <c r="AX48" s="2170"/>
      <c r="AY48" s="4488"/>
      <c r="AZ48" s="4504">
        <f t="shared" si="44"/>
        <v>39.875725395356454</v>
      </c>
      <c r="BA48" s="4504">
        <f t="shared" si="45"/>
        <v>24.311888047529695</v>
      </c>
      <c r="BB48" s="4504">
        <f t="shared" si="46"/>
        <v>6.1355025743546223</v>
      </c>
      <c r="BC48" s="4504">
        <f t="shared" si="47"/>
        <v>16.361340198278992</v>
      </c>
      <c r="BD48" s="4504">
        <f t="shared" si="48"/>
        <v>16.361340198278992</v>
      </c>
      <c r="BE48" s="4504">
        <f t="shared" si="49"/>
        <v>16.361340198278992</v>
      </c>
      <c r="BF48" s="4504">
        <f t="shared" si="50"/>
        <v>16.361340198278992</v>
      </c>
      <c r="BG48" s="4504">
        <f t="shared" si="51"/>
        <v>16.361340198278992</v>
      </c>
      <c r="BH48" s="4504">
        <f t="shared" si="52"/>
        <v>81.806700991394962</v>
      </c>
      <c r="BI48" s="4504">
        <f t="shared" si="53"/>
        <v>39.875725395356454</v>
      </c>
      <c r="BJ48" s="4504">
        <f t="shared" si="54"/>
        <v>24.311888047529695</v>
      </c>
      <c r="BK48" s="4504">
        <f t="shared" si="55"/>
        <v>6.1355025743546223</v>
      </c>
      <c r="BL48" s="4504">
        <f t="shared" si="56"/>
        <v>16.361340198278992</v>
      </c>
      <c r="BM48" s="4504">
        <f t="shared" si="57"/>
        <v>16.361340198278992</v>
      </c>
      <c r="BN48" s="4504">
        <f t="shared" si="58"/>
        <v>16.361340198278992</v>
      </c>
      <c r="BO48" s="4504">
        <f t="shared" si="59"/>
        <v>16.361340198278992</v>
      </c>
      <c r="BP48" s="4504">
        <f t="shared" si="60"/>
        <v>16.361340198278992</v>
      </c>
      <c r="BQ48" s="4504">
        <f t="shared" si="61"/>
        <v>0</v>
      </c>
      <c r="BR48" s="4504">
        <f t="shared" si="62"/>
        <v>0</v>
      </c>
      <c r="BS48" s="4504">
        <f t="shared" si="63"/>
        <v>0</v>
      </c>
      <c r="BT48" s="4504">
        <f t="shared" si="64"/>
        <v>0</v>
      </c>
      <c r="BU48" s="4504">
        <f t="shared" si="65"/>
        <v>0</v>
      </c>
      <c r="BV48" s="4504">
        <f t="shared" si="66"/>
        <v>0</v>
      </c>
      <c r="BW48" s="4504">
        <f t="shared" si="67"/>
        <v>0</v>
      </c>
      <c r="BX48" s="4504">
        <f t="shared" si="68"/>
        <v>0</v>
      </c>
      <c r="BY48" s="4504">
        <f t="shared" si="69"/>
        <v>0</v>
      </c>
      <c r="BZ48" s="4504">
        <f t="shared" si="70"/>
        <v>0</v>
      </c>
      <c r="CA48" s="4504">
        <f t="shared" si="71"/>
        <v>0</v>
      </c>
      <c r="CB48" s="4504">
        <f t="shared" si="72"/>
        <v>0</v>
      </c>
      <c r="CC48" s="4504">
        <f t="shared" si="73"/>
        <v>0</v>
      </c>
      <c r="CD48" s="4504">
        <f t="shared" si="74"/>
        <v>0</v>
      </c>
      <c r="CE48" s="4504">
        <f t="shared" si="75"/>
        <v>0</v>
      </c>
      <c r="CF48" s="4504">
        <f t="shared" si="76"/>
        <v>0</v>
      </c>
    </row>
    <row r="49" spans="1:84" ht="24">
      <c r="A49" s="2127"/>
      <c r="B49" s="2172">
        <v>2040207</v>
      </c>
      <c r="C49" s="2172" t="s">
        <v>1826</v>
      </c>
      <c r="D49" s="2129">
        <v>0.04</v>
      </c>
      <c r="E49" s="2191" t="s">
        <v>385</v>
      </c>
      <c r="F49" s="2192">
        <f t="shared" ref="F49:M56" si="96">O49+W49+AE49</f>
        <v>55.693680000000008</v>
      </c>
      <c r="G49" s="2194">
        <f t="shared" si="96"/>
        <v>47.54992</v>
      </c>
      <c r="H49" s="2193">
        <f t="shared" si="96"/>
        <v>12</v>
      </c>
      <c r="I49" s="2194">
        <f t="shared" si="96"/>
        <v>30</v>
      </c>
      <c r="J49" s="2195">
        <f t="shared" si="96"/>
        <v>30</v>
      </c>
      <c r="K49" s="2195">
        <f t="shared" si="96"/>
        <v>30</v>
      </c>
      <c r="L49" s="2195">
        <f t="shared" si="96"/>
        <v>30</v>
      </c>
      <c r="M49" s="2195">
        <f t="shared" si="96"/>
        <v>30</v>
      </c>
      <c r="N49" s="2174">
        <f t="shared" si="77"/>
        <v>150</v>
      </c>
      <c r="O49" s="1276">
        <v>55.693680000000008</v>
      </c>
      <c r="P49" s="1278">
        <v>47.54992</v>
      </c>
      <c r="Q49" s="1277">
        <v>12</v>
      </c>
      <c r="R49" s="1278">
        <v>30</v>
      </c>
      <c r="S49" s="1279">
        <v>30</v>
      </c>
      <c r="T49" s="1279">
        <v>30</v>
      </c>
      <c r="U49" s="1279">
        <v>30</v>
      </c>
      <c r="V49" s="1279">
        <v>30</v>
      </c>
      <c r="W49" s="1276"/>
      <c r="X49" s="1278"/>
      <c r="Y49" s="1277"/>
      <c r="Z49" s="1278"/>
      <c r="AA49" s="1279"/>
      <c r="AB49" s="1279"/>
      <c r="AC49" s="1279"/>
      <c r="AD49" s="1279"/>
      <c r="AE49" s="1276"/>
      <c r="AF49" s="1278"/>
      <c r="AG49" s="1277"/>
      <c r="AH49" s="1278"/>
      <c r="AI49" s="1279"/>
      <c r="AJ49" s="1279"/>
      <c r="AK49" s="1279"/>
      <c r="AL49" s="1280"/>
      <c r="AM49" s="1281"/>
      <c r="AN49" s="1298"/>
      <c r="AO49" s="2136" t="s">
        <v>676</v>
      </c>
      <c r="AP49" s="1278">
        <v>15</v>
      </c>
      <c r="AQ49" s="1278">
        <v>13</v>
      </c>
      <c r="AR49" s="1277">
        <v>4</v>
      </c>
      <c r="AS49" s="1278">
        <v>15</v>
      </c>
      <c r="AT49" s="1279">
        <v>15</v>
      </c>
      <c r="AU49" s="1279">
        <v>15</v>
      </c>
      <c r="AV49" s="1279">
        <v>15</v>
      </c>
      <c r="AW49" s="1277">
        <v>15</v>
      </c>
      <c r="AX49" s="2175" t="s">
        <v>1027</v>
      </c>
      <c r="AY49" s="4488"/>
      <c r="AZ49" s="4504">
        <f t="shared" si="44"/>
        <v>28.475726417940216</v>
      </c>
      <c r="BA49" s="4504">
        <f t="shared" si="45"/>
        <v>24.311888047529695</v>
      </c>
      <c r="BB49" s="4504">
        <f t="shared" si="46"/>
        <v>6.1355025743546223</v>
      </c>
      <c r="BC49" s="4504">
        <f t="shared" si="47"/>
        <v>15.338756435886555</v>
      </c>
      <c r="BD49" s="4504">
        <f t="shared" si="48"/>
        <v>15.338756435886555</v>
      </c>
      <c r="BE49" s="4504">
        <f t="shared" si="49"/>
        <v>15.338756435886555</v>
      </c>
      <c r="BF49" s="4504">
        <f t="shared" si="50"/>
        <v>15.338756435886555</v>
      </c>
      <c r="BG49" s="4504">
        <f t="shared" si="51"/>
        <v>15.338756435886555</v>
      </c>
      <c r="BH49" s="4504">
        <f t="shared" si="52"/>
        <v>76.693782179432773</v>
      </c>
      <c r="BI49" s="4504">
        <f t="shared" si="53"/>
        <v>28.475726417940216</v>
      </c>
      <c r="BJ49" s="4504">
        <f t="shared" si="54"/>
        <v>24.311888047529695</v>
      </c>
      <c r="BK49" s="4504">
        <f t="shared" si="55"/>
        <v>6.1355025743546223</v>
      </c>
      <c r="BL49" s="4504">
        <f t="shared" si="56"/>
        <v>15.338756435886555</v>
      </c>
      <c r="BM49" s="4504">
        <f t="shared" si="57"/>
        <v>15.338756435886555</v>
      </c>
      <c r="BN49" s="4504">
        <f t="shared" si="58"/>
        <v>15.338756435886555</v>
      </c>
      <c r="BO49" s="4504">
        <f t="shared" si="59"/>
        <v>15.338756435886555</v>
      </c>
      <c r="BP49" s="4504">
        <f t="shared" si="60"/>
        <v>15.338756435886555</v>
      </c>
      <c r="BQ49" s="4504">
        <f t="shared" si="61"/>
        <v>0</v>
      </c>
      <c r="BR49" s="4504">
        <f t="shared" si="62"/>
        <v>0</v>
      </c>
      <c r="BS49" s="4504">
        <f t="shared" si="63"/>
        <v>0</v>
      </c>
      <c r="BT49" s="4504">
        <f t="shared" si="64"/>
        <v>0</v>
      </c>
      <c r="BU49" s="4504">
        <f t="shared" si="65"/>
        <v>0</v>
      </c>
      <c r="BV49" s="4504">
        <f t="shared" si="66"/>
        <v>0</v>
      </c>
      <c r="BW49" s="4504">
        <f t="shared" si="67"/>
        <v>0</v>
      </c>
      <c r="BX49" s="4504">
        <f t="shared" si="68"/>
        <v>0</v>
      </c>
      <c r="BY49" s="4504">
        <f t="shared" si="69"/>
        <v>0</v>
      </c>
      <c r="BZ49" s="4504">
        <f t="shared" si="70"/>
        <v>0</v>
      </c>
      <c r="CA49" s="4504">
        <f t="shared" si="71"/>
        <v>0</v>
      </c>
      <c r="CB49" s="4504">
        <f t="shared" si="72"/>
        <v>0</v>
      </c>
      <c r="CC49" s="4504">
        <f t="shared" si="73"/>
        <v>0</v>
      </c>
      <c r="CD49" s="4504">
        <f t="shared" si="74"/>
        <v>0</v>
      </c>
      <c r="CE49" s="4504">
        <f t="shared" si="75"/>
        <v>0</v>
      </c>
      <c r="CF49" s="4504">
        <f t="shared" si="76"/>
        <v>0</v>
      </c>
    </row>
    <row r="50" spans="1:84">
      <c r="A50" s="2155"/>
      <c r="B50" s="2177">
        <v>20302</v>
      </c>
      <c r="C50" s="2177" t="s">
        <v>1827</v>
      </c>
      <c r="D50" s="2140">
        <v>0.1</v>
      </c>
      <c r="E50" s="2180" t="s">
        <v>386</v>
      </c>
      <c r="F50" s="2196">
        <f t="shared" si="96"/>
        <v>0</v>
      </c>
      <c r="G50" s="2198">
        <f t="shared" si="96"/>
        <v>0</v>
      </c>
      <c r="H50" s="2197">
        <f t="shared" si="96"/>
        <v>0</v>
      </c>
      <c r="I50" s="2198">
        <f t="shared" si="96"/>
        <v>0</v>
      </c>
      <c r="J50" s="2199">
        <f t="shared" si="96"/>
        <v>0</v>
      </c>
      <c r="K50" s="2199">
        <f t="shared" si="96"/>
        <v>0</v>
      </c>
      <c r="L50" s="2199">
        <f t="shared" si="96"/>
        <v>0</v>
      </c>
      <c r="M50" s="2199">
        <f t="shared" si="96"/>
        <v>0</v>
      </c>
      <c r="N50" s="2179">
        <f t="shared" si="77"/>
        <v>0</v>
      </c>
      <c r="O50" s="1283"/>
      <c r="P50" s="1285"/>
      <c r="Q50" s="1284"/>
      <c r="R50" s="1285"/>
      <c r="S50" s="1286"/>
      <c r="T50" s="1286"/>
      <c r="U50" s="1286"/>
      <c r="V50" s="1286"/>
      <c r="W50" s="1283"/>
      <c r="X50" s="1285"/>
      <c r="Y50" s="1284"/>
      <c r="Z50" s="1285"/>
      <c r="AA50" s="1286"/>
      <c r="AB50" s="1286"/>
      <c r="AC50" s="1286"/>
      <c r="AD50" s="1286"/>
      <c r="AE50" s="1283"/>
      <c r="AF50" s="1285"/>
      <c r="AG50" s="1284"/>
      <c r="AH50" s="1285"/>
      <c r="AI50" s="1286"/>
      <c r="AJ50" s="1286"/>
      <c r="AK50" s="1286"/>
      <c r="AL50" s="1287"/>
      <c r="AM50" s="1288"/>
      <c r="AN50" s="1289"/>
      <c r="AO50" s="2147" t="s">
        <v>676</v>
      </c>
      <c r="AP50" s="1285"/>
      <c r="AQ50" s="1285"/>
      <c r="AR50" s="1284"/>
      <c r="AS50" s="1285"/>
      <c r="AT50" s="1286"/>
      <c r="AU50" s="1286"/>
      <c r="AV50" s="1286"/>
      <c r="AW50" s="1284"/>
      <c r="AX50" s="2153" t="s">
        <v>373</v>
      </c>
      <c r="AY50" s="4488"/>
      <c r="AZ50" s="4504">
        <f t="shared" si="44"/>
        <v>0</v>
      </c>
      <c r="BA50" s="4504">
        <f t="shared" si="45"/>
        <v>0</v>
      </c>
      <c r="BB50" s="4504">
        <f t="shared" si="46"/>
        <v>0</v>
      </c>
      <c r="BC50" s="4504">
        <f t="shared" si="47"/>
        <v>0</v>
      </c>
      <c r="BD50" s="4504">
        <f t="shared" si="48"/>
        <v>0</v>
      </c>
      <c r="BE50" s="4504">
        <f t="shared" si="49"/>
        <v>0</v>
      </c>
      <c r="BF50" s="4504">
        <f t="shared" si="50"/>
        <v>0</v>
      </c>
      <c r="BG50" s="4504">
        <f t="shared" si="51"/>
        <v>0</v>
      </c>
      <c r="BH50" s="4504">
        <f t="shared" si="52"/>
        <v>0</v>
      </c>
      <c r="BI50" s="4504">
        <f t="shared" si="53"/>
        <v>0</v>
      </c>
      <c r="BJ50" s="4504">
        <f t="shared" si="54"/>
        <v>0</v>
      </c>
      <c r="BK50" s="4504">
        <f t="shared" si="55"/>
        <v>0</v>
      </c>
      <c r="BL50" s="4504">
        <f t="shared" si="56"/>
        <v>0</v>
      </c>
      <c r="BM50" s="4504">
        <f t="shared" si="57"/>
        <v>0</v>
      </c>
      <c r="BN50" s="4504">
        <f t="shared" si="58"/>
        <v>0</v>
      </c>
      <c r="BO50" s="4504">
        <f t="shared" si="59"/>
        <v>0</v>
      </c>
      <c r="BP50" s="4504">
        <f t="shared" si="60"/>
        <v>0</v>
      </c>
      <c r="BQ50" s="4504">
        <f t="shared" si="61"/>
        <v>0</v>
      </c>
      <c r="BR50" s="4504">
        <f t="shared" si="62"/>
        <v>0</v>
      </c>
      <c r="BS50" s="4504">
        <f t="shared" si="63"/>
        <v>0</v>
      </c>
      <c r="BT50" s="4504">
        <f t="shared" si="64"/>
        <v>0</v>
      </c>
      <c r="BU50" s="4504">
        <f t="shared" si="65"/>
        <v>0</v>
      </c>
      <c r="BV50" s="4504">
        <f t="shared" si="66"/>
        <v>0</v>
      </c>
      <c r="BW50" s="4504">
        <f t="shared" si="67"/>
        <v>0</v>
      </c>
      <c r="BX50" s="4504">
        <f t="shared" si="68"/>
        <v>0</v>
      </c>
      <c r="BY50" s="4504">
        <f t="shared" si="69"/>
        <v>0</v>
      </c>
      <c r="BZ50" s="4504">
        <f t="shared" si="70"/>
        <v>0</v>
      </c>
      <c r="CA50" s="4504">
        <f t="shared" si="71"/>
        <v>0</v>
      </c>
      <c r="CB50" s="4504">
        <f t="shared" si="72"/>
        <v>0</v>
      </c>
      <c r="CC50" s="4504">
        <f t="shared" si="73"/>
        <v>0</v>
      </c>
      <c r="CD50" s="4504">
        <f t="shared" si="74"/>
        <v>0</v>
      </c>
      <c r="CE50" s="4504">
        <f t="shared" si="75"/>
        <v>0</v>
      </c>
      <c r="CF50" s="4504">
        <f t="shared" si="76"/>
        <v>0</v>
      </c>
    </row>
    <row r="51" spans="1:84" ht="24">
      <c r="A51" s="2138"/>
      <c r="B51" s="2139">
        <v>2030503</v>
      </c>
      <c r="C51" s="2139" t="s">
        <v>1828</v>
      </c>
      <c r="D51" s="2140">
        <v>0.1</v>
      </c>
      <c r="E51" s="2180" t="s">
        <v>667</v>
      </c>
      <c r="F51" s="2196">
        <f t="shared" si="96"/>
        <v>22.29646</v>
      </c>
      <c r="G51" s="2198">
        <f t="shared" si="96"/>
        <v>0</v>
      </c>
      <c r="H51" s="2197">
        <f t="shared" si="96"/>
        <v>0</v>
      </c>
      <c r="I51" s="2198">
        <f t="shared" si="96"/>
        <v>0</v>
      </c>
      <c r="J51" s="2199">
        <f t="shared" si="96"/>
        <v>0</v>
      </c>
      <c r="K51" s="2199">
        <f t="shared" si="96"/>
        <v>0</v>
      </c>
      <c r="L51" s="2199">
        <f t="shared" si="96"/>
        <v>0</v>
      </c>
      <c r="M51" s="2199">
        <f t="shared" si="96"/>
        <v>0</v>
      </c>
      <c r="N51" s="2179">
        <f t="shared" si="77"/>
        <v>0</v>
      </c>
      <c r="O51" s="1283">
        <v>22.29646</v>
      </c>
      <c r="P51" s="1285"/>
      <c r="Q51" s="1284"/>
      <c r="R51" s="1285"/>
      <c r="S51" s="1286"/>
      <c r="T51" s="1286"/>
      <c r="U51" s="1286"/>
      <c r="V51" s="1286"/>
      <c r="W51" s="1283"/>
      <c r="X51" s="1285"/>
      <c r="Y51" s="1284"/>
      <c r="Z51" s="1285"/>
      <c r="AA51" s="1286"/>
      <c r="AB51" s="1286"/>
      <c r="AC51" s="1286"/>
      <c r="AD51" s="1286"/>
      <c r="AE51" s="1283"/>
      <c r="AF51" s="1285"/>
      <c r="AG51" s="1284"/>
      <c r="AH51" s="1285"/>
      <c r="AI51" s="1286"/>
      <c r="AJ51" s="1286"/>
      <c r="AK51" s="1286"/>
      <c r="AL51" s="1287"/>
      <c r="AM51" s="1288"/>
      <c r="AN51" s="1289"/>
      <c r="AO51" s="2147" t="s">
        <v>676</v>
      </c>
      <c r="AP51" s="1285">
        <v>1</v>
      </c>
      <c r="AQ51" s="1285"/>
      <c r="AR51" s="1284"/>
      <c r="AS51" s="1285"/>
      <c r="AT51" s="1286"/>
      <c r="AU51" s="1286"/>
      <c r="AV51" s="1286"/>
      <c r="AW51" s="1284"/>
      <c r="AX51" s="2153" t="s">
        <v>371</v>
      </c>
      <c r="AY51" s="4488"/>
      <c r="AZ51" s="4504">
        <f t="shared" si="44"/>
        <v>11.399998977416237</v>
      </c>
      <c r="BA51" s="4504">
        <f t="shared" si="45"/>
        <v>0</v>
      </c>
      <c r="BB51" s="4504">
        <f t="shared" si="46"/>
        <v>0</v>
      </c>
      <c r="BC51" s="4504">
        <f t="shared" si="47"/>
        <v>0</v>
      </c>
      <c r="BD51" s="4504">
        <f t="shared" si="48"/>
        <v>0</v>
      </c>
      <c r="BE51" s="4504">
        <f t="shared" si="49"/>
        <v>0</v>
      </c>
      <c r="BF51" s="4504">
        <f t="shared" si="50"/>
        <v>0</v>
      </c>
      <c r="BG51" s="4504">
        <f t="shared" si="51"/>
        <v>0</v>
      </c>
      <c r="BH51" s="4504">
        <f t="shared" si="52"/>
        <v>0</v>
      </c>
      <c r="BI51" s="4504">
        <f t="shared" si="53"/>
        <v>11.399998977416237</v>
      </c>
      <c r="BJ51" s="4504">
        <f t="shared" si="54"/>
        <v>0</v>
      </c>
      <c r="BK51" s="4504">
        <f t="shared" si="55"/>
        <v>0</v>
      </c>
      <c r="BL51" s="4504">
        <f t="shared" si="56"/>
        <v>0</v>
      </c>
      <c r="BM51" s="4504">
        <f t="shared" si="57"/>
        <v>0</v>
      </c>
      <c r="BN51" s="4504">
        <f t="shared" si="58"/>
        <v>0</v>
      </c>
      <c r="BO51" s="4504">
        <f t="shared" si="59"/>
        <v>0</v>
      </c>
      <c r="BP51" s="4504">
        <f t="shared" si="60"/>
        <v>0</v>
      </c>
      <c r="BQ51" s="4504">
        <f t="shared" si="61"/>
        <v>0</v>
      </c>
      <c r="BR51" s="4504">
        <f t="shared" si="62"/>
        <v>0</v>
      </c>
      <c r="BS51" s="4504">
        <f t="shared" si="63"/>
        <v>0</v>
      </c>
      <c r="BT51" s="4504">
        <f t="shared" si="64"/>
        <v>0</v>
      </c>
      <c r="BU51" s="4504">
        <f t="shared" si="65"/>
        <v>0</v>
      </c>
      <c r="BV51" s="4504">
        <f t="shared" si="66"/>
        <v>0</v>
      </c>
      <c r="BW51" s="4504">
        <f t="shared" si="67"/>
        <v>0</v>
      </c>
      <c r="BX51" s="4504">
        <f t="shared" si="68"/>
        <v>0</v>
      </c>
      <c r="BY51" s="4504">
        <f t="shared" si="69"/>
        <v>0</v>
      </c>
      <c r="BZ51" s="4504">
        <f t="shared" si="70"/>
        <v>0</v>
      </c>
      <c r="CA51" s="4504">
        <f t="shared" si="71"/>
        <v>0</v>
      </c>
      <c r="CB51" s="4504">
        <f t="shared" si="72"/>
        <v>0</v>
      </c>
      <c r="CC51" s="4504">
        <f t="shared" si="73"/>
        <v>0</v>
      </c>
      <c r="CD51" s="4504">
        <f t="shared" si="74"/>
        <v>0</v>
      </c>
      <c r="CE51" s="4504">
        <f t="shared" si="75"/>
        <v>0</v>
      </c>
      <c r="CF51" s="4504">
        <f t="shared" si="76"/>
        <v>0</v>
      </c>
    </row>
    <row r="52" spans="1:84">
      <c r="A52" s="2155"/>
      <c r="B52" s="2177">
        <v>20502</v>
      </c>
      <c r="C52" s="2177" t="s">
        <v>1829</v>
      </c>
      <c r="D52" s="2140">
        <v>0.1</v>
      </c>
      <c r="E52" s="2180" t="s">
        <v>387</v>
      </c>
      <c r="F52" s="2196">
        <f t="shared" si="96"/>
        <v>0</v>
      </c>
      <c r="G52" s="2198">
        <f t="shared" si="96"/>
        <v>0</v>
      </c>
      <c r="H52" s="2197">
        <f t="shared" si="96"/>
        <v>0</v>
      </c>
      <c r="I52" s="2198">
        <f t="shared" si="96"/>
        <v>0</v>
      </c>
      <c r="J52" s="2199">
        <f t="shared" si="96"/>
        <v>0</v>
      </c>
      <c r="K52" s="2199">
        <f t="shared" si="96"/>
        <v>0</v>
      </c>
      <c r="L52" s="2199">
        <f t="shared" si="96"/>
        <v>0</v>
      </c>
      <c r="M52" s="2199">
        <f t="shared" si="96"/>
        <v>0</v>
      </c>
      <c r="N52" s="2179">
        <f t="shared" si="77"/>
        <v>0</v>
      </c>
      <c r="O52" s="1283"/>
      <c r="P52" s="1285"/>
      <c r="Q52" s="1284"/>
      <c r="R52" s="1285"/>
      <c r="S52" s="1286"/>
      <c r="T52" s="1286"/>
      <c r="U52" s="1286"/>
      <c r="V52" s="1286"/>
      <c r="W52" s="1283"/>
      <c r="X52" s="1285"/>
      <c r="Y52" s="1284"/>
      <c r="Z52" s="1285"/>
      <c r="AA52" s="1286"/>
      <c r="AB52" s="1286"/>
      <c r="AC52" s="1286"/>
      <c r="AD52" s="1286"/>
      <c r="AE52" s="1283"/>
      <c r="AF52" s="1285"/>
      <c r="AG52" s="1284"/>
      <c r="AH52" s="1285"/>
      <c r="AI52" s="1286"/>
      <c r="AJ52" s="1286"/>
      <c r="AK52" s="1286"/>
      <c r="AL52" s="1287"/>
      <c r="AM52" s="1288"/>
      <c r="AN52" s="1290"/>
      <c r="AO52" s="2147" t="s">
        <v>676</v>
      </c>
      <c r="AP52" s="1285"/>
      <c r="AQ52" s="1285"/>
      <c r="AR52" s="1284"/>
      <c r="AS52" s="1285"/>
      <c r="AT52" s="1286"/>
      <c r="AU52" s="1286"/>
      <c r="AV52" s="1286"/>
      <c r="AW52" s="1284"/>
      <c r="AX52" s="2153" t="s">
        <v>375</v>
      </c>
      <c r="AY52" s="4488"/>
      <c r="AZ52" s="4504">
        <f t="shared" si="44"/>
        <v>0</v>
      </c>
      <c r="BA52" s="4504">
        <f t="shared" si="45"/>
        <v>0</v>
      </c>
      <c r="BB52" s="4504">
        <f t="shared" si="46"/>
        <v>0</v>
      </c>
      <c r="BC52" s="4504">
        <f t="shared" si="47"/>
        <v>0</v>
      </c>
      <c r="BD52" s="4504">
        <f t="shared" si="48"/>
        <v>0</v>
      </c>
      <c r="BE52" s="4504">
        <f t="shared" si="49"/>
        <v>0</v>
      </c>
      <c r="BF52" s="4504">
        <f t="shared" si="50"/>
        <v>0</v>
      </c>
      <c r="BG52" s="4504">
        <f t="shared" si="51"/>
        <v>0</v>
      </c>
      <c r="BH52" s="4504">
        <f t="shared" si="52"/>
        <v>0</v>
      </c>
      <c r="BI52" s="4504">
        <f t="shared" si="53"/>
        <v>0</v>
      </c>
      <c r="BJ52" s="4504">
        <f t="shared" si="54"/>
        <v>0</v>
      </c>
      <c r="BK52" s="4504">
        <f t="shared" si="55"/>
        <v>0</v>
      </c>
      <c r="BL52" s="4504">
        <f t="shared" si="56"/>
        <v>0</v>
      </c>
      <c r="BM52" s="4504">
        <f t="shared" si="57"/>
        <v>0</v>
      </c>
      <c r="BN52" s="4504">
        <f t="shared" si="58"/>
        <v>0</v>
      </c>
      <c r="BO52" s="4504">
        <f t="shared" si="59"/>
        <v>0</v>
      </c>
      <c r="BP52" s="4504">
        <f t="shared" si="60"/>
        <v>0</v>
      </c>
      <c r="BQ52" s="4504">
        <f t="shared" si="61"/>
        <v>0</v>
      </c>
      <c r="BR52" s="4504">
        <f t="shared" si="62"/>
        <v>0</v>
      </c>
      <c r="BS52" s="4504">
        <f t="shared" si="63"/>
        <v>0</v>
      </c>
      <c r="BT52" s="4504">
        <f t="shared" si="64"/>
        <v>0</v>
      </c>
      <c r="BU52" s="4504">
        <f t="shared" si="65"/>
        <v>0</v>
      </c>
      <c r="BV52" s="4504">
        <f t="shared" si="66"/>
        <v>0</v>
      </c>
      <c r="BW52" s="4504">
        <f t="shared" si="67"/>
        <v>0</v>
      </c>
      <c r="BX52" s="4504">
        <f t="shared" si="68"/>
        <v>0</v>
      </c>
      <c r="BY52" s="4504">
        <f t="shared" si="69"/>
        <v>0</v>
      </c>
      <c r="BZ52" s="4504">
        <f t="shared" si="70"/>
        <v>0</v>
      </c>
      <c r="CA52" s="4504">
        <f t="shared" si="71"/>
        <v>0</v>
      </c>
      <c r="CB52" s="4504">
        <f t="shared" si="72"/>
        <v>0</v>
      </c>
      <c r="CC52" s="4504">
        <f t="shared" si="73"/>
        <v>0</v>
      </c>
      <c r="CD52" s="4504">
        <f t="shared" si="74"/>
        <v>0</v>
      </c>
      <c r="CE52" s="4504">
        <f t="shared" si="75"/>
        <v>0</v>
      </c>
      <c r="CF52" s="4504">
        <f t="shared" si="76"/>
        <v>0</v>
      </c>
    </row>
    <row r="53" spans="1:84" ht="24">
      <c r="A53" s="2155"/>
      <c r="B53" s="2177">
        <v>20501</v>
      </c>
      <c r="C53" s="2177" t="s">
        <v>1830</v>
      </c>
      <c r="D53" s="2140">
        <v>0.08</v>
      </c>
      <c r="E53" s="2178" t="s">
        <v>388</v>
      </c>
      <c r="F53" s="2196">
        <f t="shared" si="96"/>
        <v>0</v>
      </c>
      <c r="G53" s="2198">
        <f t="shared" si="96"/>
        <v>0</v>
      </c>
      <c r="H53" s="2197">
        <f t="shared" si="96"/>
        <v>0</v>
      </c>
      <c r="I53" s="2198">
        <f t="shared" si="96"/>
        <v>0</v>
      </c>
      <c r="J53" s="2199">
        <f t="shared" si="96"/>
        <v>0</v>
      </c>
      <c r="K53" s="2199">
        <f t="shared" si="96"/>
        <v>0</v>
      </c>
      <c r="L53" s="2199">
        <f t="shared" si="96"/>
        <v>0</v>
      </c>
      <c r="M53" s="2199">
        <f t="shared" si="96"/>
        <v>0</v>
      </c>
      <c r="N53" s="2179">
        <f t="shared" si="77"/>
        <v>0</v>
      </c>
      <c r="O53" s="1283"/>
      <c r="P53" s="1285"/>
      <c r="Q53" s="1284"/>
      <c r="R53" s="1285"/>
      <c r="S53" s="1286"/>
      <c r="T53" s="1286"/>
      <c r="U53" s="1286"/>
      <c r="V53" s="1286"/>
      <c r="W53" s="1283"/>
      <c r="X53" s="1285"/>
      <c r="Y53" s="1284"/>
      <c r="Z53" s="1285"/>
      <c r="AA53" s="1286"/>
      <c r="AB53" s="1286"/>
      <c r="AC53" s="1286"/>
      <c r="AD53" s="1286"/>
      <c r="AE53" s="1283"/>
      <c r="AF53" s="1285"/>
      <c r="AG53" s="1284"/>
      <c r="AH53" s="1285"/>
      <c r="AI53" s="1286"/>
      <c r="AJ53" s="1286"/>
      <c r="AK53" s="1286"/>
      <c r="AL53" s="1287"/>
      <c r="AM53" s="1288"/>
      <c r="AN53" s="1290"/>
      <c r="AO53" s="2147" t="s">
        <v>676</v>
      </c>
      <c r="AP53" s="1285"/>
      <c r="AQ53" s="1285"/>
      <c r="AR53" s="1284"/>
      <c r="AS53" s="1285"/>
      <c r="AT53" s="1286"/>
      <c r="AU53" s="1286"/>
      <c r="AV53" s="1286"/>
      <c r="AW53" s="1284"/>
      <c r="AX53" s="2148" t="s">
        <v>375</v>
      </c>
      <c r="AY53" s="4488"/>
      <c r="AZ53" s="4504">
        <f t="shared" si="44"/>
        <v>0</v>
      </c>
      <c r="BA53" s="4504">
        <f t="shared" si="45"/>
        <v>0</v>
      </c>
      <c r="BB53" s="4504">
        <f t="shared" si="46"/>
        <v>0</v>
      </c>
      <c r="BC53" s="4504">
        <f t="shared" si="47"/>
        <v>0</v>
      </c>
      <c r="BD53" s="4504">
        <f t="shared" si="48"/>
        <v>0</v>
      </c>
      <c r="BE53" s="4504">
        <f t="shared" si="49"/>
        <v>0</v>
      </c>
      <c r="BF53" s="4504">
        <f t="shared" si="50"/>
        <v>0</v>
      </c>
      <c r="BG53" s="4504">
        <f t="shared" si="51"/>
        <v>0</v>
      </c>
      <c r="BH53" s="4504">
        <f t="shared" si="52"/>
        <v>0</v>
      </c>
      <c r="BI53" s="4504">
        <f t="shared" si="53"/>
        <v>0</v>
      </c>
      <c r="BJ53" s="4504">
        <f t="shared" si="54"/>
        <v>0</v>
      </c>
      <c r="BK53" s="4504">
        <f t="shared" si="55"/>
        <v>0</v>
      </c>
      <c r="BL53" s="4504">
        <f t="shared" si="56"/>
        <v>0</v>
      </c>
      <c r="BM53" s="4504">
        <f t="shared" si="57"/>
        <v>0</v>
      </c>
      <c r="BN53" s="4504">
        <f t="shared" si="58"/>
        <v>0</v>
      </c>
      <c r="BO53" s="4504">
        <f t="shared" si="59"/>
        <v>0</v>
      </c>
      <c r="BP53" s="4504">
        <f t="shared" si="60"/>
        <v>0</v>
      </c>
      <c r="BQ53" s="4504">
        <f t="shared" si="61"/>
        <v>0</v>
      </c>
      <c r="BR53" s="4504">
        <f t="shared" si="62"/>
        <v>0</v>
      </c>
      <c r="BS53" s="4504">
        <f t="shared" si="63"/>
        <v>0</v>
      </c>
      <c r="BT53" s="4504">
        <f t="shared" si="64"/>
        <v>0</v>
      </c>
      <c r="BU53" s="4504">
        <f t="shared" si="65"/>
        <v>0</v>
      </c>
      <c r="BV53" s="4504">
        <f t="shared" si="66"/>
        <v>0</v>
      </c>
      <c r="BW53" s="4504">
        <f t="shared" si="67"/>
        <v>0</v>
      </c>
      <c r="BX53" s="4504">
        <f t="shared" si="68"/>
        <v>0</v>
      </c>
      <c r="BY53" s="4504">
        <f t="shared" si="69"/>
        <v>0</v>
      </c>
      <c r="BZ53" s="4504">
        <f t="shared" si="70"/>
        <v>0</v>
      </c>
      <c r="CA53" s="4504">
        <f t="shared" si="71"/>
        <v>0</v>
      </c>
      <c r="CB53" s="4504">
        <f t="shared" si="72"/>
        <v>0</v>
      </c>
      <c r="CC53" s="4504">
        <f t="shared" si="73"/>
        <v>0</v>
      </c>
      <c r="CD53" s="4504">
        <f t="shared" si="74"/>
        <v>0</v>
      </c>
      <c r="CE53" s="4504">
        <f t="shared" si="75"/>
        <v>0</v>
      </c>
      <c r="CF53" s="4504">
        <f t="shared" si="76"/>
        <v>0</v>
      </c>
    </row>
    <row r="54" spans="1:84">
      <c r="A54" s="2155"/>
      <c r="B54" s="2177">
        <v>20503</v>
      </c>
      <c r="C54" s="2177" t="s">
        <v>1831</v>
      </c>
      <c r="D54" s="2140">
        <v>0.1</v>
      </c>
      <c r="E54" s="2178" t="s">
        <v>673</v>
      </c>
      <c r="F54" s="2196">
        <f t="shared" si="96"/>
        <v>0</v>
      </c>
      <c r="G54" s="2198">
        <f t="shared" si="96"/>
        <v>0</v>
      </c>
      <c r="H54" s="2197">
        <f t="shared" si="96"/>
        <v>0</v>
      </c>
      <c r="I54" s="2198">
        <f t="shared" si="96"/>
        <v>2</v>
      </c>
      <c r="J54" s="2199">
        <f t="shared" si="96"/>
        <v>2</v>
      </c>
      <c r="K54" s="2199">
        <f t="shared" si="96"/>
        <v>2</v>
      </c>
      <c r="L54" s="2199">
        <f t="shared" si="96"/>
        <v>2</v>
      </c>
      <c r="M54" s="2199">
        <f t="shared" si="96"/>
        <v>2</v>
      </c>
      <c r="N54" s="2179">
        <f t="shared" si="77"/>
        <v>10</v>
      </c>
      <c r="O54" s="1283"/>
      <c r="P54" s="1285"/>
      <c r="Q54" s="1284"/>
      <c r="R54" s="1285">
        <v>2</v>
      </c>
      <c r="S54" s="1286">
        <v>2</v>
      </c>
      <c r="T54" s="1286">
        <v>2</v>
      </c>
      <c r="U54" s="1286">
        <v>2</v>
      </c>
      <c r="V54" s="1286">
        <v>2</v>
      </c>
      <c r="W54" s="1283"/>
      <c r="X54" s="1285"/>
      <c r="Y54" s="1284"/>
      <c r="Z54" s="1285"/>
      <c r="AA54" s="1286"/>
      <c r="AB54" s="1286"/>
      <c r="AC54" s="1286"/>
      <c r="AD54" s="1286"/>
      <c r="AE54" s="1283"/>
      <c r="AF54" s="1285"/>
      <c r="AG54" s="1284"/>
      <c r="AH54" s="1285"/>
      <c r="AI54" s="1286"/>
      <c r="AJ54" s="1286"/>
      <c r="AK54" s="1286"/>
      <c r="AL54" s="1287"/>
      <c r="AM54" s="1288"/>
      <c r="AN54" s="1290"/>
      <c r="AO54" s="2147" t="s">
        <v>676</v>
      </c>
      <c r="AP54" s="1285"/>
      <c r="AQ54" s="1285"/>
      <c r="AR54" s="1284"/>
      <c r="AS54" s="1285">
        <v>1</v>
      </c>
      <c r="AT54" s="1286">
        <v>1</v>
      </c>
      <c r="AU54" s="1286">
        <v>1</v>
      </c>
      <c r="AV54" s="1286">
        <v>1</v>
      </c>
      <c r="AW54" s="1284">
        <v>1</v>
      </c>
      <c r="AX54" s="2148" t="s">
        <v>375</v>
      </c>
      <c r="AY54" s="4488"/>
      <c r="AZ54" s="4504">
        <f t="shared" si="44"/>
        <v>0</v>
      </c>
      <c r="BA54" s="4504">
        <f t="shared" si="45"/>
        <v>0</v>
      </c>
      <c r="BB54" s="4504">
        <f t="shared" si="46"/>
        <v>0</v>
      </c>
      <c r="BC54" s="4504">
        <f t="shared" si="47"/>
        <v>1.022583762392437</v>
      </c>
      <c r="BD54" s="4504">
        <f t="shared" si="48"/>
        <v>1.022583762392437</v>
      </c>
      <c r="BE54" s="4504">
        <f t="shared" si="49"/>
        <v>1.022583762392437</v>
      </c>
      <c r="BF54" s="4504">
        <f t="shared" si="50"/>
        <v>1.022583762392437</v>
      </c>
      <c r="BG54" s="4504">
        <f t="shared" si="51"/>
        <v>1.022583762392437</v>
      </c>
      <c r="BH54" s="4504">
        <f t="shared" si="52"/>
        <v>5.1129188119621851</v>
      </c>
      <c r="BI54" s="4504">
        <f t="shared" si="53"/>
        <v>0</v>
      </c>
      <c r="BJ54" s="4504">
        <f t="shared" si="54"/>
        <v>0</v>
      </c>
      <c r="BK54" s="4504">
        <f t="shared" si="55"/>
        <v>0</v>
      </c>
      <c r="BL54" s="4504">
        <f t="shared" si="56"/>
        <v>1.022583762392437</v>
      </c>
      <c r="BM54" s="4504">
        <f t="shared" si="57"/>
        <v>1.022583762392437</v>
      </c>
      <c r="BN54" s="4504">
        <f t="shared" si="58"/>
        <v>1.022583762392437</v>
      </c>
      <c r="BO54" s="4504">
        <f t="shared" si="59"/>
        <v>1.022583762392437</v>
      </c>
      <c r="BP54" s="4504">
        <f t="shared" si="60"/>
        <v>1.022583762392437</v>
      </c>
      <c r="BQ54" s="4504">
        <f t="shared" si="61"/>
        <v>0</v>
      </c>
      <c r="BR54" s="4504">
        <f t="shared" si="62"/>
        <v>0</v>
      </c>
      <c r="BS54" s="4504">
        <f t="shared" si="63"/>
        <v>0</v>
      </c>
      <c r="BT54" s="4504">
        <f t="shared" si="64"/>
        <v>0</v>
      </c>
      <c r="BU54" s="4504">
        <f t="shared" si="65"/>
        <v>0</v>
      </c>
      <c r="BV54" s="4504">
        <f t="shared" si="66"/>
        <v>0</v>
      </c>
      <c r="BW54" s="4504">
        <f t="shared" si="67"/>
        <v>0</v>
      </c>
      <c r="BX54" s="4504">
        <f t="shared" si="68"/>
        <v>0</v>
      </c>
      <c r="BY54" s="4504">
        <f t="shared" si="69"/>
        <v>0</v>
      </c>
      <c r="BZ54" s="4504">
        <f t="shared" si="70"/>
        <v>0</v>
      </c>
      <c r="CA54" s="4504">
        <f t="shared" si="71"/>
        <v>0</v>
      </c>
      <c r="CB54" s="4504">
        <f t="shared" si="72"/>
        <v>0</v>
      </c>
      <c r="CC54" s="4504">
        <f t="shared" si="73"/>
        <v>0</v>
      </c>
      <c r="CD54" s="4504">
        <f t="shared" si="74"/>
        <v>0</v>
      </c>
      <c r="CE54" s="4504">
        <f t="shared" si="75"/>
        <v>0</v>
      </c>
      <c r="CF54" s="4504">
        <f t="shared" si="76"/>
        <v>0</v>
      </c>
    </row>
    <row r="55" spans="1:84" ht="24">
      <c r="A55" s="2155"/>
      <c r="B55" s="2177">
        <v>20303</v>
      </c>
      <c r="C55" s="2177" t="s">
        <v>1832</v>
      </c>
      <c r="D55" s="2140">
        <v>0.1</v>
      </c>
      <c r="E55" s="2178" t="s">
        <v>389</v>
      </c>
      <c r="F55" s="2196">
        <f t="shared" si="96"/>
        <v>0</v>
      </c>
      <c r="G55" s="2198">
        <f t="shared" si="96"/>
        <v>0</v>
      </c>
      <c r="H55" s="2197">
        <f t="shared" si="96"/>
        <v>0</v>
      </c>
      <c r="I55" s="2198">
        <f t="shared" si="96"/>
        <v>0</v>
      </c>
      <c r="J55" s="2199">
        <f t="shared" si="96"/>
        <v>0</v>
      </c>
      <c r="K55" s="2199">
        <f t="shared" si="96"/>
        <v>0</v>
      </c>
      <c r="L55" s="2199">
        <f t="shared" si="96"/>
        <v>0</v>
      </c>
      <c r="M55" s="2199">
        <f t="shared" si="96"/>
        <v>0</v>
      </c>
      <c r="N55" s="2179">
        <f t="shared" si="77"/>
        <v>0</v>
      </c>
      <c r="O55" s="1283"/>
      <c r="P55" s="1285"/>
      <c r="Q55" s="1284"/>
      <c r="R55" s="1285"/>
      <c r="S55" s="1286"/>
      <c r="T55" s="1286"/>
      <c r="U55" s="1286"/>
      <c r="V55" s="1286"/>
      <c r="W55" s="1283"/>
      <c r="X55" s="1285"/>
      <c r="Y55" s="1284"/>
      <c r="Z55" s="1285"/>
      <c r="AA55" s="1286"/>
      <c r="AB55" s="1286"/>
      <c r="AC55" s="1286"/>
      <c r="AD55" s="1286"/>
      <c r="AE55" s="1283"/>
      <c r="AF55" s="1285"/>
      <c r="AG55" s="1284"/>
      <c r="AH55" s="1285"/>
      <c r="AI55" s="1286"/>
      <c r="AJ55" s="1286"/>
      <c r="AK55" s="1286"/>
      <c r="AL55" s="1287"/>
      <c r="AM55" s="1288"/>
      <c r="AN55" s="1290"/>
      <c r="AO55" s="2147" t="s">
        <v>676</v>
      </c>
      <c r="AP55" s="1285"/>
      <c r="AQ55" s="1285"/>
      <c r="AR55" s="1284"/>
      <c r="AS55" s="1285"/>
      <c r="AT55" s="1286"/>
      <c r="AU55" s="1286"/>
      <c r="AV55" s="1286"/>
      <c r="AW55" s="1284"/>
      <c r="AX55" s="2148" t="s">
        <v>375</v>
      </c>
      <c r="AY55" s="4488"/>
      <c r="AZ55" s="4504">
        <f t="shared" si="44"/>
        <v>0</v>
      </c>
      <c r="BA55" s="4504">
        <f t="shared" si="45"/>
        <v>0</v>
      </c>
      <c r="BB55" s="4504">
        <f t="shared" si="46"/>
        <v>0</v>
      </c>
      <c r="BC55" s="4504">
        <f t="shared" si="47"/>
        <v>0</v>
      </c>
      <c r="BD55" s="4504">
        <f t="shared" si="48"/>
        <v>0</v>
      </c>
      <c r="BE55" s="4504">
        <f t="shared" si="49"/>
        <v>0</v>
      </c>
      <c r="BF55" s="4504">
        <f t="shared" si="50"/>
        <v>0</v>
      </c>
      <c r="BG55" s="4504">
        <f t="shared" si="51"/>
        <v>0</v>
      </c>
      <c r="BH55" s="4504">
        <f t="shared" si="52"/>
        <v>0</v>
      </c>
      <c r="BI55" s="4504">
        <f t="shared" si="53"/>
        <v>0</v>
      </c>
      <c r="BJ55" s="4504">
        <f t="shared" si="54"/>
        <v>0</v>
      </c>
      <c r="BK55" s="4504">
        <f t="shared" si="55"/>
        <v>0</v>
      </c>
      <c r="BL55" s="4504">
        <f t="shared" si="56"/>
        <v>0</v>
      </c>
      <c r="BM55" s="4504">
        <f t="shared" si="57"/>
        <v>0</v>
      </c>
      <c r="BN55" s="4504">
        <f t="shared" si="58"/>
        <v>0</v>
      </c>
      <c r="BO55" s="4504">
        <f t="shared" si="59"/>
        <v>0</v>
      </c>
      <c r="BP55" s="4504">
        <f t="shared" si="60"/>
        <v>0</v>
      </c>
      <c r="BQ55" s="4504">
        <f t="shared" si="61"/>
        <v>0</v>
      </c>
      <c r="BR55" s="4504">
        <f t="shared" si="62"/>
        <v>0</v>
      </c>
      <c r="BS55" s="4504">
        <f t="shared" si="63"/>
        <v>0</v>
      </c>
      <c r="BT55" s="4504">
        <f t="shared" si="64"/>
        <v>0</v>
      </c>
      <c r="BU55" s="4504">
        <f t="shared" si="65"/>
        <v>0</v>
      </c>
      <c r="BV55" s="4504">
        <f t="shared" si="66"/>
        <v>0</v>
      </c>
      <c r="BW55" s="4504">
        <f t="shared" si="67"/>
        <v>0</v>
      </c>
      <c r="BX55" s="4504">
        <f t="shared" si="68"/>
        <v>0</v>
      </c>
      <c r="BY55" s="4504">
        <f t="shared" si="69"/>
        <v>0</v>
      </c>
      <c r="BZ55" s="4504">
        <f t="shared" si="70"/>
        <v>0</v>
      </c>
      <c r="CA55" s="4504">
        <f t="shared" si="71"/>
        <v>0</v>
      </c>
      <c r="CB55" s="4504">
        <f t="shared" si="72"/>
        <v>0</v>
      </c>
      <c r="CC55" s="4504">
        <f t="shared" si="73"/>
        <v>0</v>
      </c>
      <c r="CD55" s="4504">
        <f t="shared" si="74"/>
        <v>0</v>
      </c>
      <c r="CE55" s="4504">
        <f t="shared" si="75"/>
        <v>0</v>
      </c>
      <c r="CF55" s="4504">
        <f t="shared" si="76"/>
        <v>0</v>
      </c>
    </row>
    <row r="56" spans="1:84" ht="24.6" thickBot="1">
      <c r="A56" s="2156"/>
      <c r="B56" s="2188">
        <v>20306</v>
      </c>
      <c r="C56" s="2188" t="s">
        <v>1833</v>
      </c>
      <c r="D56" s="2158">
        <v>0.1</v>
      </c>
      <c r="E56" s="2189" t="s">
        <v>710</v>
      </c>
      <c r="F56" s="2200">
        <f t="shared" si="96"/>
        <v>0</v>
      </c>
      <c r="G56" s="2202">
        <f t="shared" si="96"/>
        <v>0</v>
      </c>
      <c r="H56" s="2201">
        <f t="shared" si="96"/>
        <v>0</v>
      </c>
      <c r="I56" s="2202">
        <f t="shared" si="96"/>
        <v>0</v>
      </c>
      <c r="J56" s="2203">
        <f t="shared" si="96"/>
        <v>0</v>
      </c>
      <c r="K56" s="2203">
        <f t="shared" si="96"/>
        <v>0</v>
      </c>
      <c r="L56" s="2203">
        <f t="shared" si="96"/>
        <v>0</v>
      </c>
      <c r="M56" s="2203">
        <f t="shared" si="96"/>
        <v>0</v>
      </c>
      <c r="N56" s="2190">
        <f t="shared" si="77"/>
        <v>0</v>
      </c>
      <c r="O56" s="1291"/>
      <c r="P56" s="1293"/>
      <c r="Q56" s="1292"/>
      <c r="R56" s="1293"/>
      <c r="S56" s="1294"/>
      <c r="T56" s="1294"/>
      <c r="U56" s="1294"/>
      <c r="V56" s="1294"/>
      <c r="W56" s="1291"/>
      <c r="X56" s="1293"/>
      <c r="Y56" s="1292"/>
      <c r="Z56" s="1293"/>
      <c r="AA56" s="1294"/>
      <c r="AB56" s="1294"/>
      <c r="AC56" s="1294"/>
      <c r="AD56" s="1294"/>
      <c r="AE56" s="1291"/>
      <c r="AF56" s="1293"/>
      <c r="AG56" s="1292"/>
      <c r="AH56" s="1293"/>
      <c r="AI56" s="1294"/>
      <c r="AJ56" s="1294"/>
      <c r="AK56" s="1294"/>
      <c r="AL56" s="1295"/>
      <c r="AM56" s="1296"/>
      <c r="AN56" s="1297"/>
      <c r="AO56" s="2161" t="s">
        <v>676</v>
      </c>
      <c r="AP56" s="1293"/>
      <c r="AQ56" s="1293"/>
      <c r="AR56" s="1292"/>
      <c r="AS56" s="1293"/>
      <c r="AT56" s="1294"/>
      <c r="AU56" s="1294"/>
      <c r="AV56" s="1294"/>
      <c r="AW56" s="1292"/>
      <c r="AX56" s="2162" t="s">
        <v>375</v>
      </c>
      <c r="AY56" s="4488"/>
      <c r="AZ56" s="4504">
        <f t="shared" si="44"/>
        <v>0</v>
      </c>
      <c r="BA56" s="4504">
        <f t="shared" si="45"/>
        <v>0</v>
      </c>
      <c r="BB56" s="4504">
        <f t="shared" si="46"/>
        <v>0</v>
      </c>
      <c r="BC56" s="4504">
        <f t="shared" si="47"/>
        <v>0</v>
      </c>
      <c r="BD56" s="4504">
        <f t="shared" si="48"/>
        <v>0</v>
      </c>
      <c r="BE56" s="4504">
        <f t="shared" si="49"/>
        <v>0</v>
      </c>
      <c r="BF56" s="4504">
        <f t="shared" si="50"/>
        <v>0</v>
      </c>
      <c r="BG56" s="4504">
        <f t="shared" si="51"/>
        <v>0</v>
      </c>
      <c r="BH56" s="4504">
        <f t="shared" si="52"/>
        <v>0</v>
      </c>
      <c r="BI56" s="4504">
        <f t="shared" si="53"/>
        <v>0</v>
      </c>
      <c r="BJ56" s="4504">
        <f t="shared" si="54"/>
        <v>0</v>
      </c>
      <c r="BK56" s="4504">
        <f t="shared" si="55"/>
        <v>0</v>
      </c>
      <c r="BL56" s="4504">
        <f t="shared" si="56"/>
        <v>0</v>
      </c>
      <c r="BM56" s="4504">
        <f t="shared" si="57"/>
        <v>0</v>
      </c>
      <c r="BN56" s="4504">
        <f t="shared" si="58"/>
        <v>0</v>
      </c>
      <c r="BO56" s="4504">
        <f t="shared" si="59"/>
        <v>0</v>
      </c>
      <c r="BP56" s="4504">
        <f t="shared" si="60"/>
        <v>0</v>
      </c>
      <c r="BQ56" s="4504">
        <f t="shared" si="61"/>
        <v>0</v>
      </c>
      <c r="BR56" s="4504">
        <f t="shared" si="62"/>
        <v>0</v>
      </c>
      <c r="BS56" s="4504">
        <f t="shared" si="63"/>
        <v>0</v>
      </c>
      <c r="BT56" s="4504">
        <f t="shared" si="64"/>
        <v>0</v>
      </c>
      <c r="BU56" s="4504">
        <f t="shared" si="65"/>
        <v>0</v>
      </c>
      <c r="BV56" s="4504">
        <f t="shared" si="66"/>
        <v>0</v>
      </c>
      <c r="BW56" s="4504">
        <f t="shared" si="67"/>
        <v>0</v>
      </c>
      <c r="BX56" s="4504">
        <f t="shared" si="68"/>
        <v>0</v>
      </c>
      <c r="BY56" s="4504">
        <f t="shared" si="69"/>
        <v>0</v>
      </c>
      <c r="BZ56" s="4504">
        <f t="shared" si="70"/>
        <v>0</v>
      </c>
      <c r="CA56" s="4504">
        <f t="shared" si="71"/>
        <v>0</v>
      </c>
      <c r="CB56" s="4504">
        <f t="shared" si="72"/>
        <v>0</v>
      </c>
      <c r="CC56" s="4504">
        <f t="shared" si="73"/>
        <v>0</v>
      </c>
      <c r="CD56" s="4504">
        <f t="shared" si="74"/>
        <v>0</v>
      </c>
      <c r="CE56" s="4504">
        <f t="shared" si="75"/>
        <v>0</v>
      </c>
      <c r="CF56" s="4504">
        <f t="shared" si="76"/>
        <v>0</v>
      </c>
    </row>
    <row r="57" spans="1:84" ht="13.8" thickBot="1">
      <c r="A57" s="2106">
        <v>1.4</v>
      </c>
      <c r="B57" s="2106"/>
      <c r="C57" s="2106"/>
      <c r="D57" s="2107"/>
      <c r="E57" s="2108" t="s">
        <v>1211</v>
      </c>
      <c r="F57" s="2109">
        <f t="shared" ref="F57" si="97">SUM(F58:F59)</f>
        <v>79.455889999999997</v>
      </c>
      <c r="G57" s="4138">
        <f t="shared" ref="G57:AL57" si="98">SUM(G58:G59)</f>
        <v>126.70950999999997</v>
      </c>
      <c r="H57" s="2110">
        <f t="shared" si="98"/>
        <v>28</v>
      </c>
      <c r="I57" s="2111">
        <f t="shared" si="98"/>
        <v>130</v>
      </c>
      <c r="J57" s="2112">
        <f t="shared" si="98"/>
        <v>130</v>
      </c>
      <c r="K57" s="2112">
        <f t="shared" si="98"/>
        <v>130</v>
      </c>
      <c r="L57" s="2112">
        <f t="shared" si="98"/>
        <v>130</v>
      </c>
      <c r="M57" s="2163">
        <f t="shared" si="98"/>
        <v>130</v>
      </c>
      <c r="N57" s="2164">
        <f t="shared" si="98"/>
        <v>650</v>
      </c>
      <c r="O57" s="2115">
        <f t="shared" ref="O57" si="99">SUM(O58:O59)</f>
        <v>79.455889999999997</v>
      </c>
      <c r="P57" s="4154">
        <f t="shared" si="98"/>
        <v>126.70950999999997</v>
      </c>
      <c r="Q57" s="2116">
        <f t="shared" si="98"/>
        <v>28</v>
      </c>
      <c r="R57" s="2117">
        <f t="shared" si="98"/>
        <v>130</v>
      </c>
      <c r="S57" s="2118">
        <f t="shared" si="98"/>
        <v>130</v>
      </c>
      <c r="T57" s="2118">
        <f t="shared" si="98"/>
        <v>130</v>
      </c>
      <c r="U57" s="2118">
        <f t="shared" si="98"/>
        <v>130</v>
      </c>
      <c r="V57" s="2119">
        <f t="shared" si="98"/>
        <v>130</v>
      </c>
      <c r="W57" s="2115">
        <f t="shared" ref="W57" si="100">SUM(W58:W59)</f>
        <v>0</v>
      </c>
      <c r="X57" s="4154">
        <f t="shared" si="98"/>
        <v>0</v>
      </c>
      <c r="Y57" s="2116">
        <f t="shared" si="98"/>
        <v>0</v>
      </c>
      <c r="Z57" s="2117">
        <f t="shared" si="98"/>
        <v>0</v>
      </c>
      <c r="AA57" s="2118">
        <f t="shared" si="98"/>
        <v>0</v>
      </c>
      <c r="AB57" s="2118">
        <f t="shared" si="98"/>
        <v>0</v>
      </c>
      <c r="AC57" s="2118">
        <f t="shared" si="98"/>
        <v>0</v>
      </c>
      <c r="AD57" s="2119">
        <f t="shared" si="98"/>
        <v>0</v>
      </c>
      <c r="AE57" s="2115">
        <f t="shared" ref="AE57" si="101">SUM(AE58:AE59)</f>
        <v>0</v>
      </c>
      <c r="AF57" s="4154">
        <f t="shared" si="98"/>
        <v>0</v>
      </c>
      <c r="AG57" s="2116">
        <f t="shared" si="98"/>
        <v>0</v>
      </c>
      <c r="AH57" s="2117">
        <f t="shared" si="98"/>
        <v>0</v>
      </c>
      <c r="AI57" s="2118">
        <f t="shared" si="98"/>
        <v>0</v>
      </c>
      <c r="AJ57" s="2118">
        <f t="shared" si="98"/>
        <v>0</v>
      </c>
      <c r="AK57" s="2118">
        <f t="shared" si="98"/>
        <v>0</v>
      </c>
      <c r="AL57" s="2120">
        <f t="shared" si="98"/>
        <v>0</v>
      </c>
      <c r="AM57" s="2165"/>
      <c r="AN57" s="2166"/>
      <c r="AO57" s="2165"/>
      <c r="AP57" s="2167"/>
      <c r="AQ57" s="2167"/>
      <c r="AR57" s="2167"/>
      <c r="AS57" s="2168"/>
      <c r="AT57" s="2168"/>
      <c r="AU57" s="2168"/>
      <c r="AV57" s="2168"/>
      <c r="AW57" s="2169"/>
      <c r="AX57" s="2170"/>
      <c r="AY57" s="4488"/>
      <c r="AZ57" s="4504">
        <f t="shared" si="44"/>
        <v>40.625151470219805</v>
      </c>
      <c r="BA57" s="4504">
        <f t="shared" si="45"/>
        <v>64.785543733351048</v>
      </c>
      <c r="BB57" s="4504">
        <f t="shared" si="46"/>
        <v>14.316172673494117</v>
      </c>
      <c r="BC57" s="4504">
        <f t="shared" si="47"/>
        <v>66.46794455550841</v>
      </c>
      <c r="BD57" s="4504">
        <f t="shared" si="48"/>
        <v>66.46794455550841</v>
      </c>
      <c r="BE57" s="4504">
        <f t="shared" si="49"/>
        <v>66.46794455550841</v>
      </c>
      <c r="BF57" s="4504">
        <f t="shared" si="50"/>
        <v>66.46794455550841</v>
      </c>
      <c r="BG57" s="4504">
        <f t="shared" si="51"/>
        <v>66.46794455550841</v>
      </c>
      <c r="BH57" s="4504">
        <f t="shared" si="52"/>
        <v>332.33972277754202</v>
      </c>
      <c r="BI57" s="4504">
        <f t="shared" si="53"/>
        <v>40.625151470219805</v>
      </c>
      <c r="BJ57" s="4504">
        <f t="shared" si="54"/>
        <v>64.785543733351048</v>
      </c>
      <c r="BK57" s="4504">
        <f t="shared" si="55"/>
        <v>14.316172673494117</v>
      </c>
      <c r="BL57" s="4504">
        <f t="shared" si="56"/>
        <v>66.46794455550841</v>
      </c>
      <c r="BM57" s="4504">
        <f t="shared" si="57"/>
        <v>66.46794455550841</v>
      </c>
      <c r="BN57" s="4504">
        <f t="shared" si="58"/>
        <v>66.46794455550841</v>
      </c>
      <c r="BO57" s="4504">
        <f t="shared" si="59"/>
        <v>66.46794455550841</v>
      </c>
      <c r="BP57" s="4504">
        <f t="shared" si="60"/>
        <v>66.46794455550841</v>
      </c>
      <c r="BQ57" s="4504">
        <f t="shared" si="61"/>
        <v>0</v>
      </c>
      <c r="BR57" s="4504">
        <f t="shared" si="62"/>
        <v>0</v>
      </c>
      <c r="BS57" s="4504">
        <f t="shared" si="63"/>
        <v>0</v>
      </c>
      <c r="BT57" s="4504">
        <f t="shared" si="64"/>
        <v>0</v>
      </c>
      <c r="BU57" s="4504">
        <f t="shared" si="65"/>
        <v>0</v>
      </c>
      <c r="BV57" s="4504">
        <f t="shared" si="66"/>
        <v>0</v>
      </c>
      <c r="BW57" s="4504">
        <f t="shared" si="67"/>
        <v>0</v>
      </c>
      <c r="BX57" s="4504">
        <f t="shared" si="68"/>
        <v>0</v>
      </c>
      <c r="BY57" s="4504">
        <f t="shared" si="69"/>
        <v>0</v>
      </c>
      <c r="BZ57" s="4504">
        <f t="shared" si="70"/>
        <v>0</v>
      </c>
      <c r="CA57" s="4504">
        <f t="shared" si="71"/>
        <v>0</v>
      </c>
      <c r="CB57" s="4504">
        <f t="shared" si="72"/>
        <v>0</v>
      </c>
      <c r="CC57" s="4504">
        <f t="shared" si="73"/>
        <v>0</v>
      </c>
      <c r="CD57" s="4504">
        <f t="shared" si="74"/>
        <v>0</v>
      </c>
      <c r="CE57" s="4504">
        <f t="shared" si="75"/>
        <v>0</v>
      </c>
      <c r="CF57" s="4504">
        <f t="shared" si="76"/>
        <v>0</v>
      </c>
    </row>
    <row r="58" spans="1:84" ht="24">
      <c r="A58" s="2171"/>
      <c r="B58" s="2172">
        <v>2030501</v>
      </c>
      <c r="C58" s="2172" t="s">
        <v>1834</v>
      </c>
      <c r="D58" s="2204">
        <v>0.1</v>
      </c>
      <c r="E58" s="2191" t="s">
        <v>390</v>
      </c>
      <c r="F58" s="2143">
        <f t="shared" ref="F58:M59" si="102">O58+W58+AE58</f>
        <v>79.455889999999997</v>
      </c>
      <c r="G58" s="4140">
        <f t="shared" si="102"/>
        <v>118.28838999999996</v>
      </c>
      <c r="H58" s="2142">
        <f t="shared" si="102"/>
        <v>28</v>
      </c>
      <c r="I58" s="2143">
        <f t="shared" si="102"/>
        <v>91</v>
      </c>
      <c r="J58" s="2144">
        <f t="shared" si="102"/>
        <v>91</v>
      </c>
      <c r="K58" s="2144">
        <f t="shared" si="102"/>
        <v>91</v>
      </c>
      <c r="L58" s="2144">
        <f t="shared" si="102"/>
        <v>91</v>
      </c>
      <c r="M58" s="2144">
        <f t="shared" si="102"/>
        <v>91</v>
      </c>
      <c r="N58" s="2174">
        <f t="shared" si="77"/>
        <v>455</v>
      </c>
      <c r="O58" s="1276">
        <v>79.455889999999997</v>
      </c>
      <c r="P58" s="1278">
        <v>118.28838999999996</v>
      </c>
      <c r="Q58" s="1277">
        <v>28</v>
      </c>
      <c r="R58" s="1278">
        <v>91</v>
      </c>
      <c r="S58" s="1279">
        <v>91</v>
      </c>
      <c r="T58" s="1279">
        <v>91</v>
      </c>
      <c r="U58" s="1279">
        <v>91</v>
      </c>
      <c r="V58" s="1279">
        <v>91</v>
      </c>
      <c r="W58" s="1276"/>
      <c r="X58" s="1278"/>
      <c r="Y58" s="1277"/>
      <c r="Z58" s="1278"/>
      <c r="AA58" s="1279"/>
      <c r="AB58" s="1279"/>
      <c r="AC58" s="1279"/>
      <c r="AD58" s="1279"/>
      <c r="AE58" s="1276"/>
      <c r="AF58" s="1278"/>
      <c r="AG58" s="1277"/>
      <c r="AH58" s="1278"/>
      <c r="AI58" s="1279"/>
      <c r="AJ58" s="1279"/>
      <c r="AK58" s="1279"/>
      <c r="AL58" s="1280"/>
      <c r="AM58" s="1281"/>
      <c r="AN58" s="1282"/>
      <c r="AO58" s="2136" t="s">
        <v>676</v>
      </c>
      <c r="AP58" s="1278">
        <v>1439</v>
      </c>
      <c r="AQ58" s="1278">
        <v>2241</v>
      </c>
      <c r="AR58" s="1299">
        <v>1000</v>
      </c>
      <c r="AS58" s="1278">
        <v>2000</v>
      </c>
      <c r="AT58" s="1279">
        <v>2000</v>
      </c>
      <c r="AU58" s="1279">
        <v>2000</v>
      </c>
      <c r="AV58" s="1279">
        <v>2000</v>
      </c>
      <c r="AW58" s="1277">
        <v>2000</v>
      </c>
      <c r="AX58" s="2205" t="s">
        <v>657</v>
      </c>
      <c r="AY58" s="4488"/>
      <c r="AZ58" s="4504">
        <f t="shared" si="44"/>
        <v>40.625151470219805</v>
      </c>
      <c r="BA58" s="4504">
        <f t="shared" si="45"/>
        <v>60.479893446771939</v>
      </c>
      <c r="BB58" s="4504">
        <f t="shared" si="46"/>
        <v>14.316172673494117</v>
      </c>
      <c r="BC58" s="4504">
        <f t="shared" si="47"/>
        <v>46.527561188855884</v>
      </c>
      <c r="BD58" s="4504">
        <f t="shared" si="48"/>
        <v>46.527561188855884</v>
      </c>
      <c r="BE58" s="4504">
        <f t="shared" si="49"/>
        <v>46.527561188855884</v>
      </c>
      <c r="BF58" s="4504">
        <f t="shared" si="50"/>
        <v>46.527561188855884</v>
      </c>
      <c r="BG58" s="4504">
        <f t="shared" si="51"/>
        <v>46.527561188855884</v>
      </c>
      <c r="BH58" s="4504">
        <f t="shared" si="52"/>
        <v>232.63780594427942</v>
      </c>
      <c r="BI58" s="4504">
        <f t="shared" si="53"/>
        <v>40.625151470219805</v>
      </c>
      <c r="BJ58" s="4504">
        <f t="shared" si="54"/>
        <v>60.479893446771939</v>
      </c>
      <c r="BK58" s="4504">
        <f t="shared" si="55"/>
        <v>14.316172673494117</v>
      </c>
      <c r="BL58" s="4504">
        <f t="shared" si="56"/>
        <v>46.527561188855884</v>
      </c>
      <c r="BM58" s="4504">
        <f t="shared" si="57"/>
        <v>46.527561188855884</v>
      </c>
      <c r="BN58" s="4504">
        <f t="shared" si="58"/>
        <v>46.527561188855884</v>
      </c>
      <c r="BO58" s="4504">
        <f t="shared" si="59"/>
        <v>46.527561188855884</v>
      </c>
      <c r="BP58" s="4504">
        <f t="shared" si="60"/>
        <v>46.527561188855884</v>
      </c>
      <c r="BQ58" s="4504">
        <f t="shared" si="61"/>
        <v>0</v>
      </c>
      <c r="BR58" s="4504">
        <f t="shared" si="62"/>
        <v>0</v>
      </c>
      <c r="BS58" s="4504">
        <f t="shared" si="63"/>
        <v>0</v>
      </c>
      <c r="BT58" s="4504">
        <f t="shared" si="64"/>
        <v>0</v>
      </c>
      <c r="BU58" s="4504">
        <f t="shared" si="65"/>
        <v>0</v>
      </c>
      <c r="BV58" s="4504">
        <f t="shared" si="66"/>
        <v>0</v>
      </c>
      <c r="BW58" s="4504">
        <f t="shared" si="67"/>
        <v>0</v>
      </c>
      <c r="BX58" s="4504">
        <f t="shared" si="68"/>
        <v>0</v>
      </c>
      <c r="BY58" s="4504">
        <f t="shared" si="69"/>
        <v>0</v>
      </c>
      <c r="BZ58" s="4504">
        <f t="shared" si="70"/>
        <v>0</v>
      </c>
      <c r="CA58" s="4504">
        <f t="shared" si="71"/>
        <v>0</v>
      </c>
      <c r="CB58" s="4504">
        <f t="shared" si="72"/>
        <v>0</v>
      </c>
      <c r="CC58" s="4504">
        <f t="shared" si="73"/>
        <v>0</v>
      </c>
      <c r="CD58" s="4504">
        <f t="shared" si="74"/>
        <v>0</v>
      </c>
      <c r="CE58" s="4504">
        <f t="shared" si="75"/>
        <v>0</v>
      </c>
      <c r="CF58" s="4504">
        <f t="shared" si="76"/>
        <v>0</v>
      </c>
    </row>
    <row r="59" spans="1:84" ht="24.6" thickBot="1">
      <c r="A59" s="2206"/>
      <c r="B59" s="2188">
        <v>2030501</v>
      </c>
      <c r="C59" s="2188" t="s">
        <v>1835</v>
      </c>
      <c r="D59" s="2207">
        <v>0.1</v>
      </c>
      <c r="E59" s="2208" t="s">
        <v>391</v>
      </c>
      <c r="F59" s="2143">
        <f t="shared" si="102"/>
        <v>0</v>
      </c>
      <c r="G59" s="4140">
        <f t="shared" si="102"/>
        <v>8.4211200000000002</v>
      </c>
      <c r="H59" s="2142">
        <f t="shared" si="102"/>
        <v>0</v>
      </c>
      <c r="I59" s="2143">
        <f t="shared" si="102"/>
        <v>39</v>
      </c>
      <c r="J59" s="2144">
        <f t="shared" si="102"/>
        <v>39</v>
      </c>
      <c r="K59" s="2144">
        <f t="shared" si="102"/>
        <v>39</v>
      </c>
      <c r="L59" s="2144">
        <f t="shared" si="102"/>
        <v>39</v>
      </c>
      <c r="M59" s="2144">
        <f t="shared" si="102"/>
        <v>39</v>
      </c>
      <c r="N59" s="2190">
        <f t="shared" si="77"/>
        <v>195</v>
      </c>
      <c r="O59" s="1291"/>
      <c r="P59" s="1293">
        <v>8.4211200000000002</v>
      </c>
      <c r="Q59" s="1292"/>
      <c r="R59" s="1293">
        <v>39</v>
      </c>
      <c r="S59" s="1294">
        <v>39</v>
      </c>
      <c r="T59" s="1294">
        <v>39</v>
      </c>
      <c r="U59" s="1294">
        <v>39</v>
      </c>
      <c r="V59" s="1294">
        <v>39</v>
      </c>
      <c r="W59" s="1291"/>
      <c r="X59" s="1293"/>
      <c r="Y59" s="1292"/>
      <c r="Z59" s="1293"/>
      <c r="AA59" s="1294"/>
      <c r="AB59" s="1294"/>
      <c r="AC59" s="1294"/>
      <c r="AD59" s="1294"/>
      <c r="AE59" s="1291"/>
      <c r="AF59" s="1293"/>
      <c r="AG59" s="1292"/>
      <c r="AH59" s="1293"/>
      <c r="AI59" s="1294"/>
      <c r="AJ59" s="1294"/>
      <c r="AK59" s="1294"/>
      <c r="AL59" s="1295"/>
      <c r="AM59" s="1296"/>
      <c r="AN59" s="1300"/>
      <c r="AO59" s="2161" t="s">
        <v>676</v>
      </c>
      <c r="AP59" s="1293"/>
      <c r="AQ59" s="1293">
        <v>75</v>
      </c>
      <c r="AR59" s="1301"/>
      <c r="AS59" s="1293">
        <v>350</v>
      </c>
      <c r="AT59" s="1294">
        <v>350</v>
      </c>
      <c r="AU59" s="1294">
        <v>350</v>
      </c>
      <c r="AV59" s="1294">
        <v>350</v>
      </c>
      <c r="AW59" s="1292">
        <v>350</v>
      </c>
      <c r="AX59" s="2162" t="s">
        <v>658</v>
      </c>
      <c r="AY59" s="4488"/>
      <c r="AZ59" s="4504">
        <f t="shared" si="44"/>
        <v>0</v>
      </c>
      <c r="BA59" s="4504">
        <f t="shared" si="45"/>
        <v>4.3056502865791</v>
      </c>
      <c r="BB59" s="4504">
        <f t="shared" si="46"/>
        <v>0</v>
      </c>
      <c r="BC59" s="4504">
        <f t="shared" si="47"/>
        <v>19.940383366652522</v>
      </c>
      <c r="BD59" s="4504">
        <f t="shared" si="48"/>
        <v>19.940383366652522</v>
      </c>
      <c r="BE59" s="4504">
        <f t="shared" si="49"/>
        <v>19.940383366652522</v>
      </c>
      <c r="BF59" s="4504">
        <f t="shared" si="50"/>
        <v>19.940383366652522</v>
      </c>
      <c r="BG59" s="4504">
        <f t="shared" si="51"/>
        <v>19.940383366652522</v>
      </c>
      <c r="BH59" s="4504">
        <f t="shared" si="52"/>
        <v>99.701916833262601</v>
      </c>
      <c r="BI59" s="4504">
        <f t="shared" si="53"/>
        <v>0</v>
      </c>
      <c r="BJ59" s="4504">
        <f t="shared" si="54"/>
        <v>4.3056502865791</v>
      </c>
      <c r="BK59" s="4504">
        <f t="shared" si="55"/>
        <v>0</v>
      </c>
      <c r="BL59" s="4504">
        <f t="shared" si="56"/>
        <v>19.940383366652522</v>
      </c>
      <c r="BM59" s="4504">
        <f t="shared" si="57"/>
        <v>19.940383366652522</v>
      </c>
      <c r="BN59" s="4504">
        <f t="shared" si="58"/>
        <v>19.940383366652522</v>
      </c>
      <c r="BO59" s="4504">
        <f t="shared" si="59"/>
        <v>19.940383366652522</v>
      </c>
      <c r="BP59" s="4504">
        <f t="shared" si="60"/>
        <v>19.940383366652522</v>
      </c>
      <c r="BQ59" s="4504">
        <f t="shared" si="61"/>
        <v>0</v>
      </c>
      <c r="BR59" s="4504">
        <f t="shared" si="62"/>
        <v>0</v>
      </c>
      <c r="BS59" s="4504">
        <f t="shared" si="63"/>
        <v>0</v>
      </c>
      <c r="BT59" s="4504">
        <f t="shared" si="64"/>
        <v>0</v>
      </c>
      <c r="BU59" s="4504">
        <f t="shared" si="65"/>
        <v>0</v>
      </c>
      <c r="BV59" s="4504">
        <f t="shared" si="66"/>
        <v>0</v>
      </c>
      <c r="BW59" s="4504">
        <f t="shared" si="67"/>
        <v>0</v>
      </c>
      <c r="BX59" s="4504">
        <f t="shared" si="68"/>
        <v>0</v>
      </c>
      <c r="BY59" s="4504">
        <f t="shared" si="69"/>
        <v>0</v>
      </c>
      <c r="BZ59" s="4504">
        <f t="shared" si="70"/>
        <v>0</v>
      </c>
      <c r="CA59" s="4504">
        <f t="shared" si="71"/>
        <v>0</v>
      </c>
      <c r="CB59" s="4504">
        <f t="shared" si="72"/>
        <v>0</v>
      </c>
      <c r="CC59" s="4504">
        <f t="shared" si="73"/>
        <v>0</v>
      </c>
      <c r="CD59" s="4504">
        <f t="shared" si="74"/>
        <v>0</v>
      </c>
      <c r="CE59" s="4504">
        <f t="shared" si="75"/>
        <v>0</v>
      </c>
      <c r="CF59" s="4504">
        <f t="shared" si="76"/>
        <v>0</v>
      </c>
    </row>
    <row r="60" spans="1:84" ht="23.4" thickBot="1">
      <c r="A60" s="2106">
        <v>1.5</v>
      </c>
      <c r="B60" s="2106"/>
      <c r="C60" s="2106"/>
      <c r="D60" s="2107"/>
      <c r="E60" s="2108" t="s">
        <v>1212</v>
      </c>
      <c r="F60" s="2109">
        <f t="shared" ref="F60" si="103">SUM(F61:F71)</f>
        <v>43.072870000000002</v>
      </c>
      <c r="G60" s="4138">
        <f t="shared" ref="G60:AL60" si="104">SUM(G61:G71)</f>
        <v>347.96546699999999</v>
      </c>
      <c r="H60" s="2110">
        <f t="shared" si="104"/>
        <v>97</v>
      </c>
      <c r="I60" s="2111">
        <f t="shared" si="104"/>
        <v>27</v>
      </c>
      <c r="J60" s="2112">
        <f t="shared" si="104"/>
        <v>21</v>
      </c>
      <c r="K60" s="2112">
        <f t="shared" si="104"/>
        <v>40</v>
      </c>
      <c r="L60" s="2112">
        <f t="shared" si="104"/>
        <v>34</v>
      </c>
      <c r="M60" s="2163">
        <f t="shared" si="104"/>
        <v>21</v>
      </c>
      <c r="N60" s="2164">
        <f t="shared" si="104"/>
        <v>143</v>
      </c>
      <c r="O60" s="2115">
        <f t="shared" ref="O60" si="105">SUM(O61:O71)</f>
        <v>43.072870000000002</v>
      </c>
      <c r="P60" s="4154">
        <f t="shared" si="104"/>
        <v>347.96546699999999</v>
      </c>
      <c r="Q60" s="2116">
        <f t="shared" si="104"/>
        <v>97</v>
      </c>
      <c r="R60" s="2117">
        <f t="shared" si="104"/>
        <v>27</v>
      </c>
      <c r="S60" s="2118">
        <f t="shared" si="104"/>
        <v>21</v>
      </c>
      <c r="T60" s="2118">
        <f t="shared" si="104"/>
        <v>40</v>
      </c>
      <c r="U60" s="2118">
        <f t="shared" si="104"/>
        <v>34</v>
      </c>
      <c r="V60" s="2119">
        <f t="shared" si="104"/>
        <v>21</v>
      </c>
      <c r="W60" s="2115">
        <f t="shared" ref="W60" si="106">SUM(W61:W71)</f>
        <v>0</v>
      </c>
      <c r="X60" s="4154">
        <f t="shared" si="104"/>
        <v>0</v>
      </c>
      <c r="Y60" s="2116">
        <f t="shared" si="104"/>
        <v>0</v>
      </c>
      <c r="Z60" s="2117">
        <f t="shared" si="104"/>
        <v>0</v>
      </c>
      <c r="AA60" s="2118">
        <f t="shared" si="104"/>
        <v>0</v>
      </c>
      <c r="AB60" s="2118">
        <f t="shared" si="104"/>
        <v>0</v>
      </c>
      <c r="AC60" s="2118">
        <f t="shared" si="104"/>
        <v>0</v>
      </c>
      <c r="AD60" s="2119">
        <f t="shared" si="104"/>
        <v>0</v>
      </c>
      <c r="AE60" s="2115">
        <f t="shared" ref="AE60" si="107">SUM(AE61:AE71)</f>
        <v>0</v>
      </c>
      <c r="AF60" s="4154">
        <f t="shared" si="104"/>
        <v>0</v>
      </c>
      <c r="AG60" s="2116">
        <f t="shared" si="104"/>
        <v>0</v>
      </c>
      <c r="AH60" s="2117">
        <f t="shared" si="104"/>
        <v>0</v>
      </c>
      <c r="AI60" s="2118">
        <f t="shared" si="104"/>
        <v>0</v>
      </c>
      <c r="AJ60" s="2118">
        <f t="shared" si="104"/>
        <v>0</v>
      </c>
      <c r="AK60" s="2118">
        <f t="shared" si="104"/>
        <v>0</v>
      </c>
      <c r="AL60" s="2120">
        <f t="shared" si="104"/>
        <v>0</v>
      </c>
      <c r="AM60" s="2165"/>
      <c r="AN60" s="2166"/>
      <c r="AO60" s="2165"/>
      <c r="AP60" s="2167"/>
      <c r="AQ60" s="2167"/>
      <c r="AR60" s="2167"/>
      <c r="AS60" s="2168"/>
      <c r="AT60" s="2168"/>
      <c r="AU60" s="2168"/>
      <c r="AV60" s="2168"/>
      <c r="AW60" s="2169"/>
      <c r="AX60" s="2170"/>
      <c r="AY60" s="4488"/>
      <c r="AZ60" s="4504">
        <f t="shared" si="44"/>
        <v>22.022808730820163</v>
      </c>
      <c r="BA60" s="4504">
        <f t="shared" si="45"/>
        <v>177.91191821375068</v>
      </c>
      <c r="BB60" s="4504">
        <f t="shared" si="46"/>
        <v>49.595312476033193</v>
      </c>
      <c r="BC60" s="4504">
        <f t="shared" si="47"/>
        <v>13.804880792297899</v>
      </c>
      <c r="BD60" s="4504">
        <f t="shared" si="48"/>
        <v>10.737129505120588</v>
      </c>
      <c r="BE60" s="4504">
        <f t="shared" si="49"/>
        <v>20.45167524784874</v>
      </c>
      <c r="BF60" s="4504">
        <f t="shared" si="50"/>
        <v>17.383923960671428</v>
      </c>
      <c r="BG60" s="4504">
        <f t="shared" si="51"/>
        <v>10.737129505120588</v>
      </c>
      <c r="BH60" s="4504">
        <f t="shared" si="52"/>
        <v>73.114739011059243</v>
      </c>
      <c r="BI60" s="4504">
        <f t="shared" si="53"/>
        <v>22.022808730820163</v>
      </c>
      <c r="BJ60" s="4504">
        <f t="shared" si="54"/>
        <v>177.91191821375068</v>
      </c>
      <c r="BK60" s="4504">
        <f t="shared" si="55"/>
        <v>49.595312476033193</v>
      </c>
      <c r="BL60" s="4504">
        <f t="shared" si="56"/>
        <v>13.804880792297899</v>
      </c>
      <c r="BM60" s="4504">
        <f t="shared" si="57"/>
        <v>10.737129505120588</v>
      </c>
      <c r="BN60" s="4504">
        <f t="shared" si="58"/>
        <v>20.45167524784874</v>
      </c>
      <c r="BO60" s="4504">
        <f t="shared" si="59"/>
        <v>17.383923960671428</v>
      </c>
      <c r="BP60" s="4504">
        <f t="shared" si="60"/>
        <v>10.737129505120588</v>
      </c>
      <c r="BQ60" s="4504">
        <f t="shared" si="61"/>
        <v>0</v>
      </c>
      <c r="BR60" s="4504">
        <f t="shared" si="62"/>
        <v>0</v>
      </c>
      <c r="BS60" s="4504">
        <f t="shared" si="63"/>
        <v>0</v>
      </c>
      <c r="BT60" s="4504">
        <f t="shared" si="64"/>
        <v>0</v>
      </c>
      <c r="BU60" s="4504">
        <f t="shared" si="65"/>
        <v>0</v>
      </c>
      <c r="BV60" s="4504">
        <f t="shared" si="66"/>
        <v>0</v>
      </c>
      <c r="BW60" s="4504">
        <f t="shared" si="67"/>
        <v>0</v>
      </c>
      <c r="BX60" s="4504">
        <f t="shared" si="68"/>
        <v>0</v>
      </c>
      <c r="BY60" s="4504">
        <f t="shared" si="69"/>
        <v>0</v>
      </c>
      <c r="BZ60" s="4504">
        <f t="shared" si="70"/>
        <v>0</v>
      </c>
      <c r="CA60" s="4504">
        <f t="shared" si="71"/>
        <v>0</v>
      </c>
      <c r="CB60" s="4504">
        <f t="shared" si="72"/>
        <v>0</v>
      </c>
      <c r="CC60" s="4504">
        <f t="shared" si="73"/>
        <v>0</v>
      </c>
      <c r="CD60" s="4504">
        <f t="shared" si="74"/>
        <v>0</v>
      </c>
      <c r="CE60" s="4504">
        <f t="shared" si="75"/>
        <v>0</v>
      </c>
      <c r="CF60" s="4504">
        <f t="shared" si="76"/>
        <v>0</v>
      </c>
    </row>
    <row r="61" spans="1:84" ht="24">
      <c r="A61" s="2209"/>
      <c r="B61" s="2172">
        <v>20201</v>
      </c>
      <c r="C61" s="2172" t="s">
        <v>1836</v>
      </c>
      <c r="D61" s="2210">
        <v>0.03</v>
      </c>
      <c r="E61" s="2173" t="s">
        <v>392</v>
      </c>
      <c r="F61" s="2143">
        <f t="shared" ref="F61:F71" si="108">O61+W61+AE61</f>
        <v>0.60550999999999999</v>
      </c>
      <c r="G61" s="4140">
        <f t="shared" ref="G61:G71" si="109">P61+X61+AF61</f>
        <v>4.4800900000000006</v>
      </c>
      <c r="H61" s="2142">
        <f t="shared" ref="H61:H71" si="110">Q61+Y61+AG61</f>
        <v>5</v>
      </c>
      <c r="I61" s="2143">
        <f t="shared" ref="I61:I71" si="111">R61+Z61+AH61</f>
        <v>4</v>
      </c>
      <c r="J61" s="2144">
        <f t="shared" ref="J61:J71" si="112">S61+AA61+AI61</f>
        <v>4</v>
      </c>
      <c r="K61" s="2144">
        <f t="shared" ref="K61:K71" si="113">T61+AB61+AJ61</f>
        <v>4</v>
      </c>
      <c r="L61" s="2144">
        <f t="shared" ref="L61:L71" si="114">U61+AC61+AK61</f>
        <v>4</v>
      </c>
      <c r="M61" s="2144">
        <f t="shared" ref="M61:M71" si="115">V61+AD61+AL61</f>
        <v>4</v>
      </c>
      <c r="N61" s="2174">
        <f t="shared" si="77"/>
        <v>20</v>
      </c>
      <c r="O61" s="1276">
        <v>0.60550999999999999</v>
      </c>
      <c r="P61" s="1278">
        <v>4.4800900000000006</v>
      </c>
      <c r="Q61" s="1277">
        <v>5</v>
      </c>
      <c r="R61" s="1278">
        <v>4</v>
      </c>
      <c r="S61" s="1279">
        <v>4</v>
      </c>
      <c r="T61" s="1279">
        <v>4</v>
      </c>
      <c r="U61" s="1279">
        <v>4</v>
      </c>
      <c r="V61" s="1279">
        <v>4</v>
      </c>
      <c r="W61" s="1276"/>
      <c r="X61" s="1278"/>
      <c r="Y61" s="1277"/>
      <c r="Z61" s="1278"/>
      <c r="AA61" s="1279"/>
      <c r="AB61" s="1279"/>
      <c r="AC61" s="1279"/>
      <c r="AD61" s="1279"/>
      <c r="AE61" s="1276"/>
      <c r="AF61" s="1278"/>
      <c r="AG61" s="1277"/>
      <c r="AH61" s="1278"/>
      <c r="AI61" s="1279"/>
      <c r="AJ61" s="1279"/>
      <c r="AK61" s="1279"/>
      <c r="AL61" s="1280"/>
      <c r="AM61" s="1281"/>
      <c r="AN61" s="1282"/>
      <c r="AO61" s="2136" t="s">
        <v>676</v>
      </c>
      <c r="AP61" s="1278">
        <v>1</v>
      </c>
      <c r="AQ61" s="1278">
        <v>2</v>
      </c>
      <c r="AR61" s="1277">
        <v>1</v>
      </c>
      <c r="AS61" s="1278">
        <v>1</v>
      </c>
      <c r="AT61" s="1279">
        <v>1</v>
      </c>
      <c r="AU61" s="1279">
        <v>1</v>
      </c>
      <c r="AV61" s="1279">
        <v>1</v>
      </c>
      <c r="AW61" s="1277">
        <v>1</v>
      </c>
      <c r="AX61" s="2137" t="s">
        <v>393</v>
      </c>
      <c r="AY61" s="4488"/>
      <c r="AZ61" s="4504">
        <f t="shared" si="44"/>
        <v>0.30959234698312227</v>
      </c>
      <c r="BA61" s="4504">
        <f t="shared" si="45"/>
        <v>2.2906336440283668</v>
      </c>
      <c r="BB61" s="4504">
        <f t="shared" si="46"/>
        <v>2.5564594059810926</v>
      </c>
      <c r="BC61" s="4504">
        <f t="shared" si="47"/>
        <v>2.045167524784874</v>
      </c>
      <c r="BD61" s="4504">
        <f t="shared" si="48"/>
        <v>2.045167524784874</v>
      </c>
      <c r="BE61" s="4504">
        <f t="shared" si="49"/>
        <v>2.045167524784874</v>
      </c>
      <c r="BF61" s="4504">
        <f t="shared" si="50"/>
        <v>2.045167524784874</v>
      </c>
      <c r="BG61" s="4504">
        <f t="shared" si="51"/>
        <v>2.045167524784874</v>
      </c>
      <c r="BH61" s="4504">
        <f t="shared" si="52"/>
        <v>10.22583762392437</v>
      </c>
      <c r="BI61" s="4504">
        <f t="shared" si="53"/>
        <v>0.30959234698312227</v>
      </c>
      <c r="BJ61" s="4504">
        <f t="shared" si="54"/>
        <v>2.2906336440283668</v>
      </c>
      <c r="BK61" s="4504">
        <f t="shared" si="55"/>
        <v>2.5564594059810926</v>
      </c>
      <c r="BL61" s="4504">
        <f t="shared" si="56"/>
        <v>2.045167524784874</v>
      </c>
      <c r="BM61" s="4504">
        <f t="shared" si="57"/>
        <v>2.045167524784874</v>
      </c>
      <c r="BN61" s="4504">
        <f t="shared" si="58"/>
        <v>2.045167524784874</v>
      </c>
      <c r="BO61" s="4504">
        <f t="shared" si="59"/>
        <v>2.045167524784874</v>
      </c>
      <c r="BP61" s="4504">
        <f t="shared" si="60"/>
        <v>2.045167524784874</v>
      </c>
      <c r="BQ61" s="4504">
        <f t="shared" si="61"/>
        <v>0</v>
      </c>
      <c r="BR61" s="4504">
        <f t="shared" si="62"/>
        <v>0</v>
      </c>
      <c r="BS61" s="4504">
        <f t="shared" si="63"/>
        <v>0</v>
      </c>
      <c r="BT61" s="4504">
        <f t="shared" si="64"/>
        <v>0</v>
      </c>
      <c r="BU61" s="4504">
        <f t="shared" si="65"/>
        <v>0</v>
      </c>
      <c r="BV61" s="4504">
        <f t="shared" si="66"/>
        <v>0</v>
      </c>
      <c r="BW61" s="4504">
        <f t="shared" si="67"/>
        <v>0</v>
      </c>
      <c r="BX61" s="4504">
        <f t="shared" si="68"/>
        <v>0</v>
      </c>
      <c r="BY61" s="4504">
        <f t="shared" si="69"/>
        <v>0</v>
      </c>
      <c r="BZ61" s="4504">
        <f t="shared" si="70"/>
        <v>0</v>
      </c>
      <c r="CA61" s="4504">
        <f t="shared" si="71"/>
        <v>0</v>
      </c>
      <c r="CB61" s="4504">
        <f t="shared" si="72"/>
        <v>0</v>
      </c>
      <c r="CC61" s="4504">
        <f t="shared" si="73"/>
        <v>0</v>
      </c>
      <c r="CD61" s="4504">
        <f t="shared" si="74"/>
        <v>0</v>
      </c>
      <c r="CE61" s="4504">
        <f t="shared" si="75"/>
        <v>0</v>
      </c>
      <c r="CF61" s="4504">
        <f t="shared" si="76"/>
        <v>0</v>
      </c>
    </row>
    <row r="62" spans="1:84" ht="24">
      <c r="A62" s="2186"/>
      <c r="B62" s="2177">
        <v>20601</v>
      </c>
      <c r="C62" s="2177" t="s">
        <v>1837</v>
      </c>
      <c r="D62" s="2149">
        <v>0.1</v>
      </c>
      <c r="E62" s="2178" t="s">
        <v>394</v>
      </c>
      <c r="F62" s="2143">
        <f t="shared" si="108"/>
        <v>24.129809999999999</v>
      </c>
      <c r="G62" s="4140">
        <f t="shared" si="109"/>
        <v>44.888980000000004</v>
      </c>
      <c r="H62" s="2142">
        <f t="shared" si="110"/>
        <v>4</v>
      </c>
      <c r="I62" s="2143">
        <f t="shared" si="111"/>
        <v>2</v>
      </c>
      <c r="J62" s="2144">
        <f t="shared" si="112"/>
        <v>2</v>
      </c>
      <c r="K62" s="2144">
        <f t="shared" si="113"/>
        <v>2</v>
      </c>
      <c r="L62" s="2144">
        <f t="shared" si="114"/>
        <v>2</v>
      </c>
      <c r="M62" s="2144">
        <f t="shared" si="115"/>
        <v>2</v>
      </c>
      <c r="N62" s="2179">
        <f t="shared" si="77"/>
        <v>10</v>
      </c>
      <c r="O62" s="1283">
        <v>24.129809999999999</v>
      </c>
      <c r="P62" s="1285">
        <v>44.888980000000004</v>
      </c>
      <c r="Q62" s="1284">
        <v>4</v>
      </c>
      <c r="R62" s="1285">
        <v>2</v>
      </c>
      <c r="S62" s="1286">
        <v>2</v>
      </c>
      <c r="T62" s="1286">
        <v>2</v>
      </c>
      <c r="U62" s="1286">
        <v>2</v>
      </c>
      <c r="V62" s="1286">
        <v>2</v>
      </c>
      <c r="W62" s="1283"/>
      <c r="X62" s="1285"/>
      <c r="Y62" s="1284"/>
      <c r="Z62" s="1285"/>
      <c r="AA62" s="1286"/>
      <c r="AB62" s="1286"/>
      <c r="AC62" s="1286"/>
      <c r="AD62" s="1286"/>
      <c r="AE62" s="1283"/>
      <c r="AF62" s="1285"/>
      <c r="AG62" s="1284"/>
      <c r="AH62" s="1285"/>
      <c r="AI62" s="1286"/>
      <c r="AJ62" s="1286"/>
      <c r="AK62" s="1286"/>
      <c r="AL62" s="1287"/>
      <c r="AM62" s="1288"/>
      <c r="AN62" s="1290"/>
      <c r="AO62" s="2147" t="s">
        <v>676</v>
      </c>
      <c r="AP62" s="1285">
        <v>7</v>
      </c>
      <c r="AQ62" s="1285">
        <v>18</v>
      </c>
      <c r="AR62" s="1284">
        <v>5</v>
      </c>
      <c r="AS62" s="1285">
        <v>5</v>
      </c>
      <c r="AT62" s="1286">
        <v>5</v>
      </c>
      <c r="AU62" s="1286">
        <v>5</v>
      </c>
      <c r="AV62" s="1286">
        <v>5</v>
      </c>
      <c r="AW62" s="1284">
        <v>5</v>
      </c>
      <c r="AX62" s="2148" t="s">
        <v>395</v>
      </c>
      <c r="AY62" s="4488"/>
      <c r="AZ62" s="4504">
        <f t="shared" si="44"/>
        <v>12.337375947807324</v>
      </c>
      <c r="BA62" s="4504">
        <f t="shared" si="45"/>
        <v>22.95137102917943</v>
      </c>
      <c r="BB62" s="4504">
        <f t="shared" si="46"/>
        <v>2.045167524784874</v>
      </c>
      <c r="BC62" s="4504">
        <f t="shared" si="47"/>
        <v>1.022583762392437</v>
      </c>
      <c r="BD62" s="4504">
        <f t="shared" si="48"/>
        <v>1.022583762392437</v>
      </c>
      <c r="BE62" s="4504">
        <f t="shared" si="49"/>
        <v>1.022583762392437</v>
      </c>
      <c r="BF62" s="4504">
        <f t="shared" si="50"/>
        <v>1.022583762392437</v>
      </c>
      <c r="BG62" s="4504">
        <f t="shared" si="51"/>
        <v>1.022583762392437</v>
      </c>
      <c r="BH62" s="4504">
        <f t="shared" si="52"/>
        <v>5.1129188119621851</v>
      </c>
      <c r="BI62" s="4504">
        <f t="shared" si="53"/>
        <v>12.337375947807324</v>
      </c>
      <c r="BJ62" s="4504">
        <f t="shared" si="54"/>
        <v>22.95137102917943</v>
      </c>
      <c r="BK62" s="4504">
        <f t="shared" si="55"/>
        <v>2.045167524784874</v>
      </c>
      <c r="BL62" s="4504">
        <f t="shared" si="56"/>
        <v>1.022583762392437</v>
      </c>
      <c r="BM62" s="4504">
        <f t="shared" si="57"/>
        <v>1.022583762392437</v>
      </c>
      <c r="BN62" s="4504">
        <f t="shared" si="58"/>
        <v>1.022583762392437</v>
      </c>
      <c r="BO62" s="4504">
        <f t="shared" si="59"/>
        <v>1.022583762392437</v>
      </c>
      <c r="BP62" s="4504">
        <f t="shared" si="60"/>
        <v>1.022583762392437</v>
      </c>
      <c r="BQ62" s="4504">
        <f t="shared" si="61"/>
        <v>0</v>
      </c>
      <c r="BR62" s="4504">
        <f t="shared" si="62"/>
        <v>0</v>
      </c>
      <c r="BS62" s="4504">
        <f t="shared" si="63"/>
        <v>0</v>
      </c>
      <c r="BT62" s="4504">
        <f t="shared" si="64"/>
        <v>0</v>
      </c>
      <c r="BU62" s="4504">
        <f t="shared" si="65"/>
        <v>0</v>
      </c>
      <c r="BV62" s="4504">
        <f t="shared" si="66"/>
        <v>0</v>
      </c>
      <c r="BW62" s="4504">
        <f t="shared" si="67"/>
        <v>0</v>
      </c>
      <c r="BX62" s="4504">
        <f t="shared" si="68"/>
        <v>0</v>
      </c>
      <c r="BY62" s="4504">
        <f t="shared" si="69"/>
        <v>0</v>
      </c>
      <c r="BZ62" s="4504">
        <f t="shared" si="70"/>
        <v>0</v>
      </c>
      <c r="CA62" s="4504">
        <f t="shared" si="71"/>
        <v>0</v>
      </c>
      <c r="CB62" s="4504">
        <f t="shared" si="72"/>
        <v>0</v>
      </c>
      <c r="CC62" s="4504">
        <f t="shared" si="73"/>
        <v>0</v>
      </c>
      <c r="CD62" s="4504">
        <f t="shared" si="74"/>
        <v>0</v>
      </c>
      <c r="CE62" s="4504">
        <f t="shared" si="75"/>
        <v>0</v>
      </c>
      <c r="CF62" s="4504">
        <f t="shared" si="76"/>
        <v>0</v>
      </c>
    </row>
    <row r="63" spans="1:84">
      <c r="A63" s="2186"/>
      <c r="B63" s="2177">
        <v>20502</v>
      </c>
      <c r="C63" s="2177" t="s">
        <v>1838</v>
      </c>
      <c r="D63" s="2149">
        <v>0.1</v>
      </c>
      <c r="E63" s="2180" t="s">
        <v>669</v>
      </c>
      <c r="F63" s="2143">
        <f t="shared" si="108"/>
        <v>0</v>
      </c>
      <c r="G63" s="4140">
        <f t="shared" si="109"/>
        <v>212.04666</v>
      </c>
      <c r="H63" s="2142">
        <f t="shared" si="110"/>
        <v>2</v>
      </c>
      <c r="I63" s="2143">
        <f t="shared" si="111"/>
        <v>0</v>
      </c>
      <c r="J63" s="2144">
        <f t="shared" si="112"/>
        <v>0</v>
      </c>
      <c r="K63" s="2144">
        <f t="shared" si="113"/>
        <v>0</v>
      </c>
      <c r="L63" s="2144">
        <f t="shared" si="114"/>
        <v>0</v>
      </c>
      <c r="M63" s="2144">
        <f t="shared" si="115"/>
        <v>0</v>
      </c>
      <c r="N63" s="2179">
        <f t="shared" si="77"/>
        <v>0</v>
      </c>
      <c r="O63" s="1283"/>
      <c r="P63" s="1285">
        <v>212.04666</v>
      </c>
      <c r="Q63" s="1284">
        <v>2</v>
      </c>
      <c r="R63" s="1285"/>
      <c r="S63" s="1286"/>
      <c r="T63" s="1286"/>
      <c r="U63" s="1286"/>
      <c r="V63" s="1286"/>
      <c r="W63" s="1283"/>
      <c r="X63" s="1285"/>
      <c r="Y63" s="1284"/>
      <c r="Z63" s="1285"/>
      <c r="AA63" s="1286"/>
      <c r="AB63" s="1286"/>
      <c r="AC63" s="1286"/>
      <c r="AD63" s="1286"/>
      <c r="AE63" s="1283"/>
      <c r="AF63" s="1285"/>
      <c r="AG63" s="1284"/>
      <c r="AH63" s="1285"/>
      <c r="AI63" s="1286"/>
      <c r="AJ63" s="1286"/>
      <c r="AK63" s="1286"/>
      <c r="AL63" s="1287"/>
      <c r="AM63" s="1288"/>
      <c r="AN63" s="1290"/>
      <c r="AO63" s="2147" t="s">
        <v>676</v>
      </c>
      <c r="AP63" s="1302"/>
      <c r="AQ63" s="1286">
        <v>4</v>
      </c>
      <c r="AR63" s="1284">
        <v>1</v>
      </c>
      <c r="AS63" s="1285"/>
      <c r="AT63" s="1286"/>
      <c r="AU63" s="1286"/>
      <c r="AV63" s="1286"/>
      <c r="AW63" s="1284"/>
      <c r="AX63" s="2148" t="s">
        <v>375</v>
      </c>
      <c r="AY63" s="4488"/>
      <c r="AZ63" s="4504">
        <f t="shared" si="44"/>
        <v>0</v>
      </c>
      <c r="BA63" s="4504">
        <f t="shared" si="45"/>
        <v>108.41773569277494</v>
      </c>
      <c r="BB63" s="4504">
        <f t="shared" si="46"/>
        <v>1.022583762392437</v>
      </c>
      <c r="BC63" s="4504">
        <f t="shared" si="47"/>
        <v>0</v>
      </c>
      <c r="BD63" s="4504">
        <f t="shared" si="48"/>
        <v>0</v>
      </c>
      <c r="BE63" s="4504">
        <f t="shared" si="49"/>
        <v>0</v>
      </c>
      <c r="BF63" s="4504">
        <f t="shared" si="50"/>
        <v>0</v>
      </c>
      <c r="BG63" s="4504">
        <f t="shared" si="51"/>
        <v>0</v>
      </c>
      <c r="BH63" s="4504">
        <f t="shared" si="52"/>
        <v>0</v>
      </c>
      <c r="BI63" s="4504">
        <f t="shared" si="53"/>
        <v>0</v>
      </c>
      <c r="BJ63" s="4504">
        <f t="shared" si="54"/>
        <v>108.41773569277494</v>
      </c>
      <c r="BK63" s="4504">
        <f t="shared" si="55"/>
        <v>1.022583762392437</v>
      </c>
      <c r="BL63" s="4504">
        <f t="shared" si="56"/>
        <v>0</v>
      </c>
      <c r="BM63" s="4504">
        <f t="shared" si="57"/>
        <v>0</v>
      </c>
      <c r="BN63" s="4504">
        <f t="shared" si="58"/>
        <v>0</v>
      </c>
      <c r="BO63" s="4504">
        <f t="shared" si="59"/>
        <v>0</v>
      </c>
      <c r="BP63" s="4504">
        <f t="shared" si="60"/>
        <v>0</v>
      </c>
      <c r="BQ63" s="4504">
        <f t="shared" si="61"/>
        <v>0</v>
      </c>
      <c r="BR63" s="4504">
        <f t="shared" si="62"/>
        <v>0</v>
      </c>
      <c r="BS63" s="4504">
        <f t="shared" si="63"/>
        <v>0</v>
      </c>
      <c r="BT63" s="4504">
        <f t="shared" si="64"/>
        <v>0</v>
      </c>
      <c r="BU63" s="4504">
        <f t="shared" si="65"/>
        <v>0</v>
      </c>
      <c r="BV63" s="4504">
        <f t="shared" si="66"/>
        <v>0</v>
      </c>
      <c r="BW63" s="4504">
        <f t="shared" si="67"/>
        <v>0</v>
      </c>
      <c r="BX63" s="4504">
        <f t="shared" si="68"/>
        <v>0</v>
      </c>
      <c r="BY63" s="4504">
        <f t="shared" si="69"/>
        <v>0</v>
      </c>
      <c r="BZ63" s="4504">
        <f t="shared" si="70"/>
        <v>0</v>
      </c>
      <c r="CA63" s="4504">
        <f t="shared" si="71"/>
        <v>0</v>
      </c>
      <c r="CB63" s="4504">
        <f t="shared" si="72"/>
        <v>0</v>
      </c>
      <c r="CC63" s="4504">
        <f t="shared" si="73"/>
        <v>0</v>
      </c>
      <c r="CD63" s="4504">
        <f t="shared" si="74"/>
        <v>0</v>
      </c>
      <c r="CE63" s="4504">
        <f t="shared" si="75"/>
        <v>0</v>
      </c>
      <c r="CF63" s="4504">
        <f t="shared" si="76"/>
        <v>0</v>
      </c>
    </row>
    <row r="64" spans="1:84">
      <c r="A64" s="2186"/>
      <c r="B64" s="2211">
        <v>20501</v>
      </c>
      <c r="C64" s="2211" t="s">
        <v>1839</v>
      </c>
      <c r="D64" s="2212">
        <v>0.08</v>
      </c>
      <c r="E64" s="2213" t="s">
        <v>1214</v>
      </c>
      <c r="F64" s="2143">
        <f t="shared" si="108"/>
        <v>0</v>
      </c>
      <c r="G64" s="4140">
        <f t="shared" si="109"/>
        <v>0</v>
      </c>
      <c r="H64" s="2142">
        <f t="shared" si="110"/>
        <v>0</v>
      </c>
      <c r="I64" s="2143">
        <f t="shared" si="111"/>
        <v>0</v>
      </c>
      <c r="J64" s="2144">
        <f t="shared" si="112"/>
        <v>0</v>
      </c>
      <c r="K64" s="2144">
        <f t="shared" si="113"/>
        <v>0</v>
      </c>
      <c r="L64" s="2144">
        <f t="shared" si="114"/>
        <v>0</v>
      </c>
      <c r="M64" s="2144">
        <f t="shared" si="115"/>
        <v>0</v>
      </c>
      <c r="N64" s="2179">
        <f t="shared" si="77"/>
        <v>0</v>
      </c>
      <c r="O64" s="1283"/>
      <c r="P64" s="1285"/>
      <c r="Q64" s="1284"/>
      <c r="R64" s="1285"/>
      <c r="S64" s="1286"/>
      <c r="T64" s="1286"/>
      <c r="U64" s="1286"/>
      <c r="V64" s="1286"/>
      <c r="W64" s="1283"/>
      <c r="X64" s="1285"/>
      <c r="Y64" s="1284"/>
      <c r="Z64" s="1285"/>
      <c r="AA64" s="1286"/>
      <c r="AB64" s="1286"/>
      <c r="AC64" s="1286"/>
      <c r="AD64" s="1286"/>
      <c r="AE64" s="1283"/>
      <c r="AF64" s="1285"/>
      <c r="AG64" s="1284"/>
      <c r="AH64" s="1285"/>
      <c r="AI64" s="1286"/>
      <c r="AJ64" s="1286"/>
      <c r="AK64" s="1286"/>
      <c r="AL64" s="1287"/>
      <c r="AM64" s="1288"/>
      <c r="AN64" s="1290"/>
      <c r="AO64" s="2147"/>
      <c r="AP64" s="1302"/>
      <c r="AQ64" s="1286"/>
      <c r="AR64" s="1303"/>
      <c r="AS64" s="1285"/>
      <c r="AT64" s="1286"/>
      <c r="AU64" s="1286"/>
      <c r="AV64" s="1286"/>
      <c r="AW64" s="1284"/>
      <c r="AX64" s="2148"/>
      <c r="AY64" s="4488"/>
      <c r="AZ64" s="4504">
        <f t="shared" si="44"/>
        <v>0</v>
      </c>
      <c r="BA64" s="4504">
        <f t="shared" si="45"/>
        <v>0</v>
      </c>
      <c r="BB64" s="4504">
        <f t="shared" si="46"/>
        <v>0</v>
      </c>
      <c r="BC64" s="4504">
        <f t="shared" si="47"/>
        <v>0</v>
      </c>
      <c r="BD64" s="4504">
        <f t="shared" si="48"/>
        <v>0</v>
      </c>
      <c r="BE64" s="4504">
        <f t="shared" si="49"/>
        <v>0</v>
      </c>
      <c r="BF64" s="4504">
        <f t="shared" si="50"/>
        <v>0</v>
      </c>
      <c r="BG64" s="4504">
        <f t="shared" si="51"/>
        <v>0</v>
      </c>
      <c r="BH64" s="4504">
        <f t="shared" si="52"/>
        <v>0</v>
      </c>
      <c r="BI64" s="4504">
        <f t="shared" si="53"/>
        <v>0</v>
      </c>
      <c r="BJ64" s="4504">
        <f t="shared" si="54"/>
        <v>0</v>
      </c>
      <c r="BK64" s="4504">
        <f t="shared" si="55"/>
        <v>0</v>
      </c>
      <c r="BL64" s="4504">
        <f t="shared" si="56"/>
        <v>0</v>
      </c>
      <c r="BM64" s="4504">
        <f t="shared" si="57"/>
        <v>0</v>
      </c>
      <c r="BN64" s="4504">
        <f t="shared" si="58"/>
        <v>0</v>
      </c>
      <c r="BO64" s="4504">
        <f t="shared" si="59"/>
        <v>0</v>
      </c>
      <c r="BP64" s="4504">
        <f t="shared" si="60"/>
        <v>0</v>
      </c>
      <c r="BQ64" s="4504">
        <f t="shared" si="61"/>
        <v>0</v>
      </c>
      <c r="BR64" s="4504">
        <f t="shared" si="62"/>
        <v>0</v>
      </c>
      <c r="BS64" s="4504">
        <f t="shared" si="63"/>
        <v>0</v>
      </c>
      <c r="BT64" s="4504">
        <f t="shared" si="64"/>
        <v>0</v>
      </c>
      <c r="BU64" s="4504">
        <f t="shared" si="65"/>
        <v>0</v>
      </c>
      <c r="BV64" s="4504">
        <f t="shared" si="66"/>
        <v>0</v>
      </c>
      <c r="BW64" s="4504">
        <f t="shared" si="67"/>
        <v>0</v>
      </c>
      <c r="BX64" s="4504">
        <f t="shared" si="68"/>
        <v>0</v>
      </c>
      <c r="BY64" s="4504">
        <f t="shared" si="69"/>
        <v>0</v>
      </c>
      <c r="BZ64" s="4504">
        <f t="shared" si="70"/>
        <v>0</v>
      </c>
      <c r="CA64" s="4504">
        <f t="shared" si="71"/>
        <v>0</v>
      </c>
      <c r="CB64" s="4504">
        <f t="shared" si="72"/>
        <v>0</v>
      </c>
      <c r="CC64" s="4504">
        <f t="shared" si="73"/>
        <v>0</v>
      </c>
      <c r="CD64" s="4504">
        <f t="shared" si="74"/>
        <v>0</v>
      </c>
      <c r="CE64" s="4504">
        <f t="shared" si="75"/>
        <v>0</v>
      </c>
      <c r="CF64" s="4504">
        <f t="shared" si="76"/>
        <v>0</v>
      </c>
    </row>
    <row r="65" spans="1:84">
      <c r="A65" s="2186"/>
      <c r="B65" s="2211">
        <v>20503</v>
      </c>
      <c r="C65" s="2211" t="s">
        <v>1840</v>
      </c>
      <c r="D65" s="2149">
        <v>0.1</v>
      </c>
      <c r="E65" s="2180" t="s">
        <v>668</v>
      </c>
      <c r="F65" s="2143">
        <f t="shared" si="108"/>
        <v>0</v>
      </c>
      <c r="G65" s="4140">
        <f t="shared" si="109"/>
        <v>66.299736999999993</v>
      </c>
      <c r="H65" s="2142">
        <f t="shared" si="110"/>
        <v>2</v>
      </c>
      <c r="I65" s="2143">
        <f t="shared" si="111"/>
        <v>0</v>
      </c>
      <c r="J65" s="2144">
        <f t="shared" si="112"/>
        <v>0</v>
      </c>
      <c r="K65" s="2144">
        <f t="shared" si="113"/>
        <v>0</v>
      </c>
      <c r="L65" s="2144">
        <f t="shared" si="114"/>
        <v>0</v>
      </c>
      <c r="M65" s="2144">
        <f t="shared" si="115"/>
        <v>0</v>
      </c>
      <c r="N65" s="2179">
        <f t="shared" si="77"/>
        <v>0</v>
      </c>
      <c r="O65" s="1283"/>
      <c r="P65" s="1285">
        <v>66.299736999999993</v>
      </c>
      <c r="Q65" s="1284">
        <v>2</v>
      </c>
      <c r="R65" s="1285"/>
      <c r="S65" s="1286"/>
      <c r="T65" s="1286"/>
      <c r="U65" s="1286"/>
      <c r="V65" s="1286"/>
      <c r="W65" s="1283"/>
      <c r="X65" s="1285"/>
      <c r="Y65" s="1284"/>
      <c r="Z65" s="1285"/>
      <c r="AA65" s="1286"/>
      <c r="AB65" s="1286"/>
      <c r="AC65" s="1286"/>
      <c r="AD65" s="1286"/>
      <c r="AE65" s="1283"/>
      <c r="AF65" s="1285"/>
      <c r="AG65" s="1284"/>
      <c r="AH65" s="1285"/>
      <c r="AI65" s="1286"/>
      <c r="AJ65" s="1286"/>
      <c r="AK65" s="1286"/>
      <c r="AL65" s="1287"/>
      <c r="AM65" s="1288"/>
      <c r="AN65" s="1290"/>
      <c r="AO65" s="2147" t="s">
        <v>676</v>
      </c>
      <c r="AP65" s="1302"/>
      <c r="AQ65" s="1286">
        <v>2</v>
      </c>
      <c r="AR65" s="1284">
        <v>2</v>
      </c>
      <c r="AS65" s="1285"/>
      <c r="AT65" s="1286"/>
      <c r="AU65" s="1286"/>
      <c r="AV65" s="1286"/>
      <c r="AW65" s="1284"/>
      <c r="AX65" s="2153" t="s">
        <v>375</v>
      </c>
      <c r="AY65" s="4488"/>
      <c r="AZ65" s="4504">
        <f t="shared" si="44"/>
        <v>0</v>
      </c>
      <c r="BA65" s="4504">
        <f t="shared" si="45"/>
        <v>33.898517253544526</v>
      </c>
      <c r="BB65" s="4504">
        <f t="shared" si="46"/>
        <v>1.022583762392437</v>
      </c>
      <c r="BC65" s="4504">
        <f t="shared" si="47"/>
        <v>0</v>
      </c>
      <c r="BD65" s="4504">
        <f t="shared" si="48"/>
        <v>0</v>
      </c>
      <c r="BE65" s="4504">
        <f t="shared" si="49"/>
        <v>0</v>
      </c>
      <c r="BF65" s="4504">
        <f t="shared" si="50"/>
        <v>0</v>
      </c>
      <c r="BG65" s="4504">
        <f t="shared" si="51"/>
        <v>0</v>
      </c>
      <c r="BH65" s="4504">
        <f t="shared" si="52"/>
        <v>0</v>
      </c>
      <c r="BI65" s="4504">
        <f t="shared" si="53"/>
        <v>0</v>
      </c>
      <c r="BJ65" s="4504">
        <f t="shared" si="54"/>
        <v>33.898517253544526</v>
      </c>
      <c r="BK65" s="4504">
        <f t="shared" si="55"/>
        <v>1.022583762392437</v>
      </c>
      <c r="BL65" s="4504">
        <f t="shared" si="56"/>
        <v>0</v>
      </c>
      <c r="BM65" s="4504">
        <f t="shared" si="57"/>
        <v>0</v>
      </c>
      <c r="BN65" s="4504">
        <f t="shared" si="58"/>
        <v>0</v>
      </c>
      <c r="BO65" s="4504">
        <f t="shared" si="59"/>
        <v>0</v>
      </c>
      <c r="BP65" s="4504">
        <f t="shared" si="60"/>
        <v>0</v>
      </c>
      <c r="BQ65" s="4504">
        <f t="shared" si="61"/>
        <v>0</v>
      </c>
      <c r="BR65" s="4504">
        <f t="shared" si="62"/>
        <v>0</v>
      </c>
      <c r="BS65" s="4504">
        <f t="shared" si="63"/>
        <v>0</v>
      </c>
      <c r="BT65" s="4504">
        <f t="shared" si="64"/>
        <v>0</v>
      </c>
      <c r="BU65" s="4504">
        <f t="shared" si="65"/>
        <v>0</v>
      </c>
      <c r="BV65" s="4504">
        <f t="shared" si="66"/>
        <v>0</v>
      </c>
      <c r="BW65" s="4504">
        <f t="shared" si="67"/>
        <v>0</v>
      </c>
      <c r="BX65" s="4504">
        <f t="shared" si="68"/>
        <v>0</v>
      </c>
      <c r="BY65" s="4504">
        <f t="shared" si="69"/>
        <v>0</v>
      </c>
      <c r="BZ65" s="4504">
        <f t="shared" si="70"/>
        <v>0</v>
      </c>
      <c r="CA65" s="4504">
        <f t="shared" si="71"/>
        <v>0</v>
      </c>
      <c r="CB65" s="4504">
        <f t="shared" si="72"/>
        <v>0</v>
      </c>
      <c r="CC65" s="4504">
        <f t="shared" si="73"/>
        <v>0</v>
      </c>
      <c r="CD65" s="4504">
        <f t="shared" si="74"/>
        <v>0</v>
      </c>
      <c r="CE65" s="4504">
        <f t="shared" si="75"/>
        <v>0</v>
      </c>
      <c r="CF65" s="4504">
        <f t="shared" si="76"/>
        <v>0</v>
      </c>
    </row>
    <row r="66" spans="1:84" ht="24">
      <c r="A66" s="2186"/>
      <c r="B66" s="2211">
        <v>20303</v>
      </c>
      <c r="C66" s="2211" t="s">
        <v>1841</v>
      </c>
      <c r="D66" s="2212">
        <v>0.1</v>
      </c>
      <c r="E66" s="2178" t="s">
        <v>406</v>
      </c>
      <c r="F66" s="2143">
        <f t="shared" si="108"/>
        <v>0</v>
      </c>
      <c r="G66" s="4140">
        <f t="shared" si="109"/>
        <v>0</v>
      </c>
      <c r="H66" s="2142">
        <f t="shared" si="110"/>
        <v>4</v>
      </c>
      <c r="I66" s="2143">
        <f t="shared" si="111"/>
        <v>0</v>
      </c>
      <c r="J66" s="2144">
        <f t="shared" si="112"/>
        <v>0</v>
      </c>
      <c r="K66" s="2144">
        <f t="shared" si="113"/>
        <v>0</v>
      </c>
      <c r="L66" s="2144">
        <f t="shared" si="114"/>
        <v>0</v>
      </c>
      <c r="M66" s="2144">
        <f t="shared" si="115"/>
        <v>0</v>
      </c>
      <c r="N66" s="2179">
        <f t="shared" si="77"/>
        <v>0</v>
      </c>
      <c r="O66" s="1283"/>
      <c r="P66" s="1285"/>
      <c r="Q66" s="1284">
        <v>4</v>
      </c>
      <c r="R66" s="1285"/>
      <c r="S66" s="1286"/>
      <c r="T66" s="1286"/>
      <c r="U66" s="1286"/>
      <c r="V66" s="1286"/>
      <c r="W66" s="1283"/>
      <c r="X66" s="1285"/>
      <c r="Y66" s="1284"/>
      <c r="Z66" s="1285"/>
      <c r="AA66" s="1286"/>
      <c r="AB66" s="1286"/>
      <c r="AC66" s="1286"/>
      <c r="AD66" s="1286"/>
      <c r="AE66" s="1283"/>
      <c r="AF66" s="1285"/>
      <c r="AG66" s="1284"/>
      <c r="AH66" s="1285"/>
      <c r="AI66" s="1286"/>
      <c r="AJ66" s="1286"/>
      <c r="AK66" s="1286"/>
      <c r="AL66" s="1287"/>
      <c r="AM66" s="1288"/>
      <c r="AN66" s="1290"/>
      <c r="AO66" s="2147"/>
      <c r="AP66" s="1302"/>
      <c r="AQ66" s="1286"/>
      <c r="AR66" s="1303">
        <v>3</v>
      </c>
      <c r="AS66" s="1285"/>
      <c r="AT66" s="1286"/>
      <c r="AU66" s="1286"/>
      <c r="AV66" s="1286"/>
      <c r="AW66" s="1284"/>
      <c r="AX66" s="2153"/>
      <c r="AY66" s="4488"/>
      <c r="AZ66" s="4504">
        <f t="shared" si="44"/>
        <v>0</v>
      </c>
      <c r="BA66" s="4504">
        <f t="shared" si="45"/>
        <v>0</v>
      </c>
      <c r="BB66" s="4504">
        <f t="shared" si="46"/>
        <v>2.045167524784874</v>
      </c>
      <c r="BC66" s="4504">
        <f t="shared" si="47"/>
        <v>0</v>
      </c>
      <c r="BD66" s="4504">
        <f t="shared" si="48"/>
        <v>0</v>
      </c>
      <c r="BE66" s="4504">
        <f t="shared" si="49"/>
        <v>0</v>
      </c>
      <c r="BF66" s="4504">
        <f t="shared" si="50"/>
        <v>0</v>
      </c>
      <c r="BG66" s="4504">
        <f t="shared" si="51"/>
        <v>0</v>
      </c>
      <c r="BH66" s="4504">
        <f t="shared" si="52"/>
        <v>0</v>
      </c>
      <c r="BI66" s="4504">
        <f t="shared" si="53"/>
        <v>0</v>
      </c>
      <c r="BJ66" s="4504">
        <f t="shared" si="54"/>
        <v>0</v>
      </c>
      <c r="BK66" s="4504">
        <f t="shared" si="55"/>
        <v>2.045167524784874</v>
      </c>
      <c r="BL66" s="4504">
        <f t="shared" si="56"/>
        <v>0</v>
      </c>
      <c r="BM66" s="4504">
        <f t="shared" si="57"/>
        <v>0</v>
      </c>
      <c r="BN66" s="4504">
        <f t="shared" si="58"/>
        <v>0</v>
      </c>
      <c r="BO66" s="4504">
        <f t="shared" si="59"/>
        <v>0</v>
      </c>
      <c r="BP66" s="4504">
        <f t="shared" si="60"/>
        <v>0</v>
      </c>
      <c r="BQ66" s="4504">
        <f t="shared" si="61"/>
        <v>0</v>
      </c>
      <c r="BR66" s="4504">
        <f t="shared" si="62"/>
        <v>0</v>
      </c>
      <c r="BS66" s="4504">
        <f t="shared" si="63"/>
        <v>0</v>
      </c>
      <c r="BT66" s="4504">
        <f t="shared" si="64"/>
        <v>0</v>
      </c>
      <c r="BU66" s="4504">
        <f t="shared" si="65"/>
        <v>0</v>
      </c>
      <c r="BV66" s="4504">
        <f t="shared" si="66"/>
        <v>0</v>
      </c>
      <c r="BW66" s="4504">
        <f t="shared" si="67"/>
        <v>0</v>
      </c>
      <c r="BX66" s="4504">
        <f t="shared" si="68"/>
        <v>0</v>
      </c>
      <c r="BY66" s="4504">
        <f t="shared" si="69"/>
        <v>0</v>
      </c>
      <c r="BZ66" s="4504">
        <f t="shared" si="70"/>
        <v>0</v>
      </c>
      <c r="CA66" s="4504">
        <f t="shared" si="71"/>
        <v>0</v>
      </c>
      <c r="CB66" s="4504">
        <f t="shared" si="72"/>
        <v>0</v>
      </c>
      <c r="CC66" s="4504">
        <f t="shared" si="73"/>
        <v>0</v>
      </c>
      <c r="CD66" s="4504">
        <f t="shared" si="74"/>
        <v>0</v>
      </c>
      <c r="CE66" s="4504">
        <f t="shared" si="75"/>
        <v>0</v>
      </c>
      <c r="CF66" s="4504">
        <f t="shared" si="76"/>
        <v>0</v>
      </c>
    </row>
    <row r="67" spans="1:84">
      <c r="A67" s="2186"/>
      <c r="B67" s="2211">
        <v>20306</v>
      </c>
      <c r="C67" s="2211" t="s">
        <v>1842</v>
      </c>
      <c r="D67" s="2212">
        <v>0.1</v>
      </c>
      <c r="E67" s="2213" t="s">
        <v>1032</v>
      </c>
      <c r="F67" s="2143">
        <f t="shared" si="108"/>
        <v>0</v>
      </c>
      <c r="G67" s="4140">
        <f t="shared" si="109"/>
        <v>0</v>
      </c>
      <c r="H67" s="2142">
        <f t="shared" si="110"/>
        <v>73</v>
      </c>
      <c r="I67" s="2143">
        <f t="shared" si="111"/>
        <v>0</v>
      </c>
      <c r="J67" s="2144">
        <f t="shared" si="112"/>
        <v>0</v>
      </c>
      <c r="K67" s="2144">
        <f t="shared" si="113"/>
        <v>0</v>
      </c>
      <c r="L67" s="2144">
        <f t="shared" si="114"/>
        <v>0</v>
      </c>
      <c r="M67" s="2144">
        <f t="shared" si="115"/>
        <v>0</v>
      </c>
      <c r="N67" s="2179">
        <f t="shared" si="77"/>
        <v>0</v>
      </c>
      <c r="O67" s="1283"/>
      <c r="P67" s="1285"/>
      <c r="Q67" s="1284">
        <v>73</v>
      </c>
      <c r="R67" s="1285"/>
      <c r="S67" s="1286"/>
      <c r="T67" s="1286"/>
      <c r="U67" s="1286"/>
      <c r="V67" s="1286"/>
      <c r="W67" s="1283"/>
      <c r="X67" s="1285"/>
      <c r="Y67" s="1284"/>
      <c r="Z67" s="1285"/>
      <c r="AA67" s="1286"/>
      <c r="AB67" s="1286"/>
      <c r="AC67" s="1286"/>
      <c r="AD67" s="1286"/>
      <c r="AE67" s="1283"/>
      <c r="AF67" s="1285"/>
      <c r="AG67" s="1284"/>
      <c r="AH67" s="1285"/>
      <c r="AI67" s="1286"/>
      <c r="AJ67" s="1286"/>
      <c r="AK67" s="1286"/>
      <c r="AL67" s="1287"/>
      <c r="AM67" s="1288"/>
      <c r="AN67" s="1290"/>
      <c r="AO67" s="2147"/>
      <c r="AP67" s="1302"/>
      <c r="AQ67" s="1286"/>
      <c r="AR67" s="1303"/>
      <c r="AS67" s="1285"/>
      <c r="AT67" s="1286"/>
      <c r="AU67" s="1286"/>
      <c r="AV67" s="1286"/>
      <c r="AW67" s="1284"/>
      <c r="AX67" s="2153"/>
      <c r="AY67" s="4488"/>
      <c r="AZ67" s="4504">
        <f t="shared" si="44"/>
        <v>0</v>
      </c>
      <c r="BA67" s="4504">
        <f t="shared" si="45"/>
        <v>0</v>
      </c>
      <c r="BB67" s="4504">
        <f t="shared" si="46"/>
        <v>37.32430732732395</v>
      </c>
      <c r="BC67" s="4504">
        <f t="shared" si="47"/>
        <v>0</v>
      </c>
      <c r="BD67" s="4504">
        <f t="shared" si="48"/>
        <v>0</v>
      </c>
      <c r="BE67" s="4504">
        <f t="shared" si="49"/>
        <v>0</v>
      </c>
      <c r="BF67" s="4504">
        <f t="shared" si="50"/>
        <v>0</v>
      </c>
      <c r="BG67" s="4504">
        <f t="shared" si="51"/>
        <v>0</v>
      </c>
      <c r="BH67" s="4504">
        <f t="shared" si="52"/>
        <v>0</v>
      </c>
      <c r="BI67" s="4504">
        <f t="shared" si="53"/>
        <v>0</v>
      </c>
      <c r="BJ67" s="4504">
        <f t="shared" si="54"/>
        <v>0</v>
      </c>
      <c r="BK67" s="4504">
        <f t="shared" si="55"/>
        <v>37.32430732732395</v>
      </c>
      <c r="BL67" s="4504">
        <f t="shared" si="56"/>
        <v>0</v>
      </c>
      <c r="BM67" s="4504">
        <f t="shared" si="57"/>
        <v>0</v>
      </c>
      <c r="BN67" s="4504">
        <f t="shared" si="58"/>
        <v>0</v>
      </c>
      <c r="BO67" s="4504">
        <f t="shared" si="59"/>
        <v>0</v>
      </c>
      <c r="BP67" s="4504">
        <f t="shared" si="60"/>
        <v>0</v>
      </c>
      <c r="BQ67" s="4504">
        <f t="shared" si="61"/>
        <v>0</v>
      </c>
      <c r="BR67" s="4504">
        <f t="shared" si="62"/>
        <v>0</v>
      </c>
      <c r="BS67" s="4504">
        <f t="shared" si="63"/>
        <v>0</v>
      </c>
      <c r="BT67" s="4504">
        <f t="shared" si="64"/>
        <v>0</v>
      </c>
      <c r="BU67" s="4504">
        <f t="shared" si="65"/>
        <v>0</v>
      </c>
      <c r="BV67" s="4504">
        <f t="shared" si="66"/>
        <v>0</v>
      </c>
      <c r="BW67" s="4504">
        <f t="shared" si="67"/>
        <v>0</v>
      </c>
      <c r="BX67" s="4504">
        <f t="shared" si="68"/>
        <v>0</v>
      </c>
      <c r="BY67" s="4504">
        <f t="shared" si="69"/>
        <v>0</v>
      </c>
      <c r="BZ67" s="4504">
        <f t="shared" si="70"/>
        <v>0</v>
      </c>
      <c r="CA67" s="4504">
        <f t="shared" si="71"/>
        <v>0</v>
      </c>
      <c r="CB67" s="4504">
        <f t="shared" si="72"/>
        <v>0</v>
      </c>
      <c r="CC67" s="4504">
        <f t="shared" si="73"/>
        <v>0</v>
      </c>
      <c r="CD67" s="4504">
        <f t="shared" si="74"/>
        <v>0</v>
      </c>
      <c r="CE67" s="4504">
        <f t="shared" si="75"/>
        <v>0</v>
      </c>
      <c r="CF67" s="4504">
        <f t="shared" si="76"/>
        <v>0</v>
      </c>
    </row>
    <row r="68" spans="1:84" ht="24">
      <c r="A68" s="2186"/>
      <c r="B68" s="2177">
        <v>212</v>
      </c>
      <c r="C68" s="2177" t="s">
        <v>1843</v>
      </c>
      <c r="D68" s="2149">
        <v>0.2</v>
      </c>
      <c r="E68" s="2180" t="s">
        <v>984</v>
      </c>
      <c r="F68" s="2143">
        <f t="shared" si="108"/>
        <v>16.755049999999997</v>
      </c>
      <c r="G68" s="4140">
        <f t="shared" si="109"/>
        <v>20.25</v>
      </c>
      <c r="H68" s="2142">
        <f t="shared" si="110"/>
        <v>0</v>
      </c>
      <c r="I68" s="2143">
        <f t="shared" si="111"/>
        <v>19</v>
      </c>
      <c r="J68" s="2144">
        <f t="shared" si="112"/>
        <v>13</v>
      </c>
      <c r="K68" s="2144">
        <f t="shared" si="113"/>
        <v>32</v>
      </c>
      <c r="L68" s="2144">
        <f t="shared" si="114"/>
        <v>26</v>
      </c>
      <c r="M68" s="2144">
        <f t="shared" si="115"/>
        <v>13</v>
      </c>
      <c r="N68" s="2179">
        <f t="shared" si="77"/>
        <v>103</v>
      </c>
      <c r="O68" s="1283">
        <v>16.755049999999997</v>
      </c>
      <c r="P68" s="1285">
        <v>20.25</v>
      </c>
      <c r="Q68" s="1284"/>
      <c r="R68" s="1285">
        <v>19</v>
      </c>
      <c r="S68" s="1286">
        <v>13</v>
      </c>
      <c r="T68" s="1286">
        <v>32</v>
      </c>
      <c r="U68" s="1286">
        <v>26</v>
      </c>
      <c r="V68" s="1286">
        <v>13</v>
      </c>
      <c r="W68" s="1283"/>
      <c r="X68" s="1285"/>
      <c r="Y68" s="1284"/>
      <c r="Z68" s="1285"/>
      <c r="AA68" s="1286"/>
      <c r="AB68" s="1286"/>
      <c r="AC68" s="1286"/>
      <c r="AD68" s="1286"/>
      <c r="AE68" s="1283"/>
      <c r="AF68" s="1285"/>
      <c r="AG68" s="1284"/>
      <c r="AH68" s="1285"/>
      <c r="AI68" s="1286"/>
      <c r="AJ68" s="1286"/>
      <c r="AK68" s="1286"/>
      <c r="AL68" s="1287"/>
      <c r="AM68" s="1288"/>
      <c r="AN68" s="1289"/>
      <c r="AO68" s="2147" t="s">
        <v>676</v>
      </c>
      <c r="AP68" s="1302">
        <v>12</v>
      </c>
      <c r="AQ68" s="1286">
        <v>18</v>
      </c>
      <c r="AR68" s="1284"/>
      <c r="AS68" s="1285">
        <v>15</v>
      </c>
      <c r="AT68" s="1286">
        <v>10</v>
      </c>
      <c r="AU68" s="1286">
        <v>25</v>
      </c>
      <c r="AV68" s="1286">
        <v>20</v>
      </c>
      <c r="AW68" s="1284">
        <v>10</v>
      </c>
      <c r="AX68" s="2153" t="s">
        <v>396</v>
      </c>
      <c r="AY68" s="4488"/>
      <c r="AZ68" s="4504">
        <f t="shared" si="44"/>
        <v>8.5667210340366999</v>
      </c>
      <c r="BA68" s="4504">
        <f t="shared" si="45"/>
        <v>10.353660594223424</v>
      </c>
      <c r="BB68" s="4504">
        <f t="shared" si="46"/>
        <v>0</v>
      </c>
      <c r="BC68" s="4504">
        <f t="shared" si="47"/>
        <v>9.7145457427281521</v>
      </c>
      <c r="BD68" s="4504">
        <f t="shared" si="48"/>
        <v>6.6467944555508405</v>
      </c>
      <c r="BE68" s="4504">
        <f t="shared" si="49"/>
        <v>16.361340198278992</v>
      </c>
      <c r="BF68" s="4504">
        <f t="shared" si="50"/>
        <v>13.293588911101681</v>
      </c>
      <c r="BG68" s="4504">
        <f t="shared" si="51"/>
        <v>6.6467944555508405</v>
      </c>
      <c r="BH68" s="4504">
        <f t="shared" si="52"/>
        <v>52.663063763210502</v>
      </c>
      <c r="BI68" s="4504">
        <f t="shared" si="53"/>
        <v>8.5667210340366999</v>
      </c>
      <c r="BJ68" s="4504">
        <f t="shared" si="54"/>
        <v>10.353660594223424</v>
      </c>
      <c r="BK68" s="4504">
        <f t="shared" si="55"/>
        <v>0</v>
      </c>
      <c r="BL68" s="4504">
        <f t="shared" si="56"/>
        <v>9.7145457427281521</v>
      </c>
      <c r="BM68" s="4504">
        <f t="shared" si="57"/>
        <v>6.6467944555508405</v>
      </c>
      <c r="BN68" s="4504">
        <f t="shared" si="58"/>
        <v>16.361340198278992</v>
      </c>
      <c r="BO68" s="4504">
        <f t="shared" si="59"/>
        <v>13.293588911101681</v>
      </c>
      <c r="BP68" s="4504">
        <f t="shared" si="60"/>
        <v>6.6467944555508405</v>
      </c>
      <c r="BQ68" s="4504">
        <f t="shared" si="61"/>
        <v>0</v>
      </c>
      <c r="BR68" s="4504">
        <f t="shared" si="62"/>
        <v>0</v>
      </c>
      <c r="BS68" s="4504">
        <f t="shared" si="63"/>
        <v>0</v>
      </c>
      <c r="BT68" s="4504">
        <f t="shared" si="64"/>
        <v>0</v>
      </c>
      <c r="BU68" s="4504">
        <f t="shared" si="65"/>
        <v>0</v>
      </c>
      <c r="BV68" s="4504">
        <f t="shared" si="66"/>
        <v>0</v>
      </c>
      <c r="BW68" s="4504">
        <f t="shared" si="67"/>
        <v>0</v>
      </c>
      <c r="BX68" s="4504">
        <f t="shared" si="68"/>
        <v>0</v>
      </c>
      <c r="BY68" s="4504">
        <f t="shared" si="69"/>
        <v>0</v>
      </c>
      <c r="BZ68" s="4504">
        <f t="shared" si="70"/>
        <v>0</v>
      </c>
      <c r="CA68" s="4504">
        <f t="shared" si="71"/>
        <v>0</v>
      </c>
      <c r="CB68" s="4504">
        <f t="shared" si="72"/>
        <v>0</v>
      </c>
      <c r="CC68" s="4504">
        <f t="shared" si="73"/>
        <v>0</v>
      </c>
      <c r="CD68" s="4504">
        <f t="shared" si="74"/>
        <v>0</v>
      </c>
      <c r="CE68" s="4504">
        <f t="shared" si="75"/>
        <v>0</v>
      </c>
      <c r="CF68" s="4504">
        <f t="shared" si="76"/>
        <v>0</v>
      </c>
    </row>
    <row r="69" spans="1:84" ht="24.6" thickBot="1">
      <c r="A69" s="2176"/>
      <c r="B69" s="2177">
        <v>215</v>
      </c>
      <c r="C69" s="2177" t="s">
        <v>1844</v>
      </c>
      <c r="D69" s="2149">
        <v>0.2</v>
      </c>
      <c r="E69" s="2180" t="s">
        <v>985</v>
      </c>
      <c r="F69" s="2143">
        <f t="shared" si="108"/>
        <v>0</v>
      </c>
      <c r="G69" s="4140">
        <f t="shared" si="109"/>
        <v>0</v>
      </c>
      <c r="H69" s="2142">
        <f t="shared" si="110"/>
        <v>0</v>
      </c>
      <c r="I69" s="2143">
        <f t="shared" si="111"/>
        <v>0</v>
      </c>
      <c r="J69" s="2144">
        <f t="shared" si="112"/>
        <v>0</v>
      </c>
      <c r="K69" s="2144">
        <f t="shared" si="113"/>
        <v>0</v>
      </c>
      <c r="L69" s="2144">
        <f t="shared" si="114"/>
        <v>0</v>
      </c>
      <c r="M69" s="2144">
        <f t="shared" si="115"/>
        <v>0</v>
      </c>
      <c r="N69" s="2179">
        <f t="shared" si="77"/>
        <v>0</v>
      </c>
      <c r="O69" s="1283"/>
      <c r="P69" s="1285"/>
      <c r="Q69" s="1284"/>
      <c r="R69" s="1285"/>
      <c r="S69" s="1286"/>
      <c r="T69" s="1286"/>
      <c r="U69" s="1286"/>
      <c r="V69" s="1286"/>
      <c r="W69" s="1283"/>
      <c r="X69" s="1285"/>
      <c r="Y69" s="1284"/>
      <c r="Z69" s="1285"/>
      <c r="AA69" s="1286"/>
      <c r="AB69" s="1286"/>
      <c r="AC69" s="1286"/>
      <c r="AD69" s="1286"/>
      <c r="AE69" s="1283"/>
      <c r="AF69" s="1285"/>
      <c r="AG69" s="1284"/>
      <c r="AH69" s="1285"/>
      <c r="AI69" s="1286"/>
      <c r="AJ69" s="1286"/>
      <c r="AK69" s="1286"/>
      <c r="AL69" s="1287"/>
      <c r="AM69" s="1288"/>
      <c r="AN69" s="1289"/>
      <c r="AO69" s="2214" t="s">
        <v>676</v>
      </c>
      <c r="AP69" s="1285"/>
      <c r="AQ69" s="1285"/>
      <c r="AR69" s="1284"/>
      <c r="AS69" s="1285"/>
      <c r="AT69" s="1286"/>
      <c r="AU69" s="1286"/>
      <c r="AV69" s="1286"/>
      <c r="AW69" s="1284"/>
      <c r="AX69" s="2153" t="s">
        <v>670</v>
      </c>
      <c r="AY69" s="4488"/>
      <c r="AZ69" s="4504">
        <f t="shared" si="44"/>
        <v>0</v>
      </c>
      <c r="BA69" s="4504">
        <f t="shared" si="45"/>
        <v>0</v>
      </c>
      <c r="BB69" s="4504">
        <f t="shared" si="46"/>
        <v>0</v>
      </c>
      <c r="BC69" s="4504">
        <f t="shared" si="47"/>
        <v>0</v>
      </c>
      <c r="BD69" s="4504">
        <f t="shared" si="48"/>
        <v>0</v>
      </c>
      <c r="BE69" s="4504">
        <f t="shared" si="49"/>
        <v>0</v>
      </c>
      <c r="BF69" s="4504">
        <f t="shared" si="50"/>
        <v>0</v>
      </c>
      <c r="BG69" s="4504">
        <f t="shared" si="51"/>
        <v>0</v>
      </c>
      <c r="BH69" s="4504">
        <f t="shared" si="52"/>
        <v>0</v>
      </c>
      <c r="BI69" s="4504">
        <f t="shared" si="53"/>
        <v>0</v>
      </c>
      <c r="BJ69" s="4504">
        <f t="shared" si="54"/>
        <v>0</v>
      </c>
      <c r="BK69" s="4504">
        <f t="shared" si="55"/>
        <v>0</v>
      </c>
      <c r="BL69" s="4504">
        <f t="shared" si="56"/>
        <v>0</v>
      </c>
      <c r="BM69" s="4504">
        <f t="shared" si="57"/>
        <v>0</v>
      </c>
      <c r="BN69" s="4504">
        <f t="shared" si="58"/>
        <v>0</v>
      </c>
      <c r="BO69" s="4504">
        <f t="shared" si="59"/>
        <v>0</v>
      </c>
      <c r="BP69" s="4504">
        <f t="shared" si="60"/>
        <v>0</v>
      </c>
      <c r="BQ69" s="4504">
        <f t="shared" si="61"/>
        <v>0</v>
      </c>
      <c r="BR69" s="4504">
        <f t="shared" si="62"/>
        <v>0</v>
      </c>
      <c r="BS69" s="4504">
        <f t="shared" si="63"/>
        <v>0</v>
      </c>
      <c r="BT69" s="4504">
        <f t="shared" si="64"/>
        <v>0</v>
      </c>
      <c r="BU69" s="4504">
        <f t="shared" si="65"/>
        <v>0</v>
      </c>
      <c r="BV69" s="4504">
        <f t="shared" si="66"/>
        <v>0</v>
      </c>
      <c r="BW69" s="4504">
        <f t="shared" si="67"/>
        <v>0</v>
      </c>
      <c r="BX69" s="4504">
        <f t="shared" si="68"/>
        <v>0</v>
      </c>
      <c r="BY69" s="4504">
        <f t="shared" si="69"/>
        <v>0</v>
      </c>
      <c r="BZ69" s="4504">
        <f t="shared" si="70"/>
        <v>0</v>
      </c>
      <c r="CA69" s="4504">
        <f t="shared" si="71"/>
        <v>0</v>
      </c>
      <c r="CB69" s="4504">
        <f t="shared" si="72"/>
        <v>0</v>
      </c>
      <c r="CC69" s="4504">
        <f t="shared" si="73"/>
        <v>0</v>
      </c>
      <c r="CD69" s="4504">
        <f t="shared" si="74"/>
        <v>0</v>
      </c>
      <c r="CE69" s="4504">
        <f t="shared" si="75"/>
        <v>0</v>
      </c>
      <c r="CF69" s="4504">
        <f t="shared" si="76"/>
        <v>0</v>
      </c>
    </row>
    <row r="70" spans="1:84" ht="24">
      <c r="A70" s="2176"/>
      <c r="B70" s="2177">
        <v>215</v>
      </c>
      <c r="C70" s="2177" t="s">
        <v>1845</v>
      </c>
      <c r="D70" s="2149">
        <v>0.2</v>
      </c>
      <c r="E70" s="2180" t="s">
        <v>659</v>
      </c>
      <c r="F70" s="2143">
        <f t="shared" si="108"/>
        <v>0</v>
      </c>
      <c r="G70" s="4140">
        <f t="shared" si="109"/>
        <v>0</v>
      </c>
      <c r="H70" s="2142">
        <f t="shared" si="110"/>
        <v>0</v>
      </c>
      <c r="I70" s="2143">
        <f t="shared" si="111"/>
        <v>0</v>
      </c>
      <c r="J70" s="2144">
        <f t="shared" si="112"/>
        <v>0</v>
      </c>
      <c r="K70" s="2144">
        <f t="shared" si="113"/>
        <v>0</v>
      </c>
      <c r="L70" s="2144">
        <f t="shared" si="114"/>
        <v>0</v>
      </c>
      <c r="M70" s="2144">
        <f t="shared" si="115"/>
        <v>0</v>
      </c>
      <c r="N70" s="2179">
        <f t="shared" si="77"/>
        <v>0</v>
      </c>
      <c r="O70" s="1283"/>
      <c r="P70" s="1285"/>
      <c r="Q70" s="1284"/>
      <c r="R70" s="1285"/>
      <c r="S70" s="1286"/>
      <c r="T70" s="1286"/>
      <c r="U70" s="1286"/>
      <c r="V70" s="1286"/>
      <c r="W70" s="1283"/>
      <c r="X70" s="1285"/>
      <c r="Y70" s="1284"/>
      <c r="Z70" s="1285"/>
      <c r="AA70" s="1286"/>
      <c r="AB70" s="1286"/>
      <c r="AC70" s="1286"/>
      <c r="AD70" s="1286"/>
      <c r="AE70" s="1283"/>
      <c r="AF70" s="1285"/>
      <c r="AG70" s="1284"/>
      <c r="AH70" s="1285"/>
      <c r="AI70" s="1286"/>
      <c r="AJ70" s="1286"/>
      <c r="AK70" s="1286"/>
      <c r="AL70" s="1287"/>
      <c r="AM70" s="1288"/>
      <c r="AN70" s="1289"/>
      <c r="AO70" s="2215" t="s">
        <v>313</v>
      </c>
      <c r="AP70" s="2183"/>
      <c r="AQ70" s="2183"/>
      <c r="AR70" s="2182"/>
      <c r="AS70" s="2183"/>
      <c r="AT70" s="2184"/>
      <c r="AU70" s="2184"/>
      <c r="AV70" s="2184"/>
      <c r="AW70" s="2185"/>
      <c r="AX70" s="2153" t="s">
        <v>671</v>
      </c>
      <c r="AY70" s="4488"/>
      <c r="AZ70" s="4504">
        <f t="shared" si="44"/>
        <v>0</v>
      </c>
      <c r="BA70" s="4504">
        <f t="shared" si="45"/>
        <v>0</v>
      </c>
      <c r="BB70" s="4504">
        <f t="shared" si="46"/>
        <v>0</v>
      </c>
      <c r="BC70" s="4504">
        <f t="shared" si="47"/>
        <v>0</v>
      </c>
      <c r="BD70" s="4504">
        <f t="shared" si="48"/>
        <v>0</v>
      </c>
      <c r="BE70" s="4504">
        <f t="shared" si="49"/>
        <v>0</v>
      </c>
      <c r="BF70" s="4504">
        <f t="shared" si="50"/>
        <v>0</v>
      </c>
      <c r="BG70" s="4504">
        <f t="shared" si="51"/>
        <v>0</v>
      </c>
      <c r="BH70" s="4504">
        <f t="shared" si="52"/>
        <v>0</v>
      </c>
      <c r="BI70" s="4504">
        <f t="shared" si="53"/>
        <v>0</v>
      </c>
      <c r="BJ70" s="4504">
        <f t="shared" si="54"/>
        <v>0</v>
      </c>
      <c r="BK70" s="4504">
        <f t="shared" si="55"/>
        <v>0</v>
      </c>
      <c r="BL70" s="4504">
        <f t="shared" si="56"/>
        <v>0</v>
      </c>
      <c r="BM70" s="4504">
        <f t="shared" si="57"/>
        <v>0</v>
      </c>
      <c r="BN70" s="4504">
        <f t="shared" si="58"/>
        <v>0</v>
      </c>
      <c r="BO70" s="4504">
        <f t="shared" si="59"/>
        <v>0</v>
      </c>
      <c r="BP70" s="4504">
        <f t="shared" si="60"/>
        <v>0</v>
      </c>
      <c r="BQ70" s="4504">
        <f t="shared" si="61"/>
        <v>0</v>
      </c>
      <c r="BR70" s="4504">
        <f t="shared" si="62"/>
        <v>0</v>
      </c>
      <c r="BS70" s="4504">
        <f t="shared" si="63"/>
        <v>0</v>
      </c>
      <c r="BT70" s="4504">
        <f t="shared" si="64"/>
        <v>0</v>
      </c>
      <c r="BU70" s="4504">
        <f t="shared" si="65"/>
        <v>0</v>
      </c>
      <c r="BV70" s="4504">
        <f t="shared" si="66"/>
        <v>0</v>
      </c>
      <c r="BW70" s="4504">
        <f t="shared" si="67"/>
        <v>0</v>
      </c>
      <c r="BX70" s="4504">
        <f t="shared" si="68"/>
        <v>0</v>
      </c>
      <c r="BY70" s="4504">
        <f t="shared" si="69"/>
        <v>0</v>
      </c>
      <c r="BZ70" s="4504">
        <f t="shared" si="70"/>
        <v>0</v>
      </c>
      <c r="CA70" s="4504">
        <f t="shared" si="71"/>
        <v>0</v>
      </c>
      <c r="CB70" s="4504">
        <f t="shared" si="72"/>
        <v>0</v>
      </c>
      <c r="CC70" s="4504">
        <f t="shared" si="73"/>
        <v>0</v>
      </c>
      <c r="CD70" s="4504">
        <f t="shared" si="74"/>
        <v>0</v>
      </c>
      <c r="CE70" s="4504">
        <f t="shared" si="75"/>
        <v>0</v>
      </c>
      <c r="CF70" s="4504">
        <f t="shared" si="76"/>
        <v>0</v>
      </c>
    </row>
    <row r="71" spans="1:84" ht="13.8" thickBot="1">
      <c r="A71" s="2187"/>
      <c r="B71" s="2188">
        <v>208</v>
      </c>
      <c r="C71" s="2188" t="s">
        <v>1846</v>
      </c>
      <c r="D71" s="2158">
        <v>0.2</v>
      </c>
      <c r="E71" s="2189" t="s">
        <v>397</v>
      </c>
      <c r="F71" s="3865">
        <f t="shared" si="108"/>
        <v>1.5825</v>
      </c>
      <c r="G71" s="4140">
        <f t="shared" si="109"/>
        <v>0</v>
      </c>
      <c r="H71" s="2142">
        <f t="shared" si="110"/>
        <v>7</v>
      </c>
      <c r="I71" s="2143">
        <f t="shared" si="111"/>
        <v>2</v>
      </c>
      <c r="J71" s="2144">
        <f t="shared" si="112"/>
        <v>2</v>
      </c>
      <c r="K71" s="2144">
        <f t="shared" si="113"/>
        <v>2</v>
      </c>
      <c r="L71" s="2144">
        <f t="shared" si="114"/>
        <v>2</v>
      </c>
      <c r="M71" s="2144">
        <f t="shared" si="115"/>
        <v>2</v>
      </c>
      <c r="N71" s="2190">
        <f>SUM(I71:M71)</f>
        <v>10</v>
      </c>
      <c r="O71" s="1306">
        <v>1.5825</v>
      </c>
      <c r="P71" s="1293"/>
      <c r="Q71" s="1292">
        <v>7</v>
      </c>
      <c r="R71" s="1293">
        <v>2</v>
      </c>
      <c r="S71" s="1294">
        <v>2</v>
      </c>
      <c r="T71" s="1294">
        <v>2</v>
      </c>
      <c r="U71" s="1294">
        <v>2</v>
      </c>
      <c r="V71" s="1294">
        <v>2</v>
      </c>
      <c r="W71" s="1306"/>
      <c r="X71" s="1293"/>
      <c r="Y71" s="1292"/>
      <c r="Z71" s="1293"/>
      <c r="AA71" s="1294"/>
      <c r="AB71" s="1294"/>
      <c r="AC71" s="1294"/>
      <c r="AD71" s="1294"/>
      <c r="AE71" s="1306"/>
      <c r="AF71" s="1293"/>
      <c r="AG71" s="1292"/>
      <c r="AH71" s="1293"/>
      <c r="AI71" s="1294"/>
      <c r="AJ71" s="1294"/>
      <c r="AK71" s="1294"/>
      <c r="AL71" s="1295"/>
      <c r="AM71" s="1304"/>
      <c r="AN71" s="1305"/>
      <c r="AO71" s="2214" t="s">
        <v>676</v>
      </c>
      <c r="AP71" s="1306">
        <v>1</v>
      </c>
      <c r="AQ71" s="1306"/>
      <c r="AR71" s="1307">
        <v>7</v>
      </c>
      <c r="AS71" s="1308">
        <v>1</v>
      </c>
      <c r="AT71" s="1308">
        <v>1</v>
      </c>
      <c r="AU71" s="1308">
        <v>1</v>
      </c>
      <c r="AV71" s="1308">
        <v>1</v>
      </c>
      <c r="AW71" s="1308">
        <v>1</v>
      </c>
      <c r="AX71" s="2216" t="s">
        <v>395</v>
      </c>
      <c r="AY71" s="4488"/>
      <c r="AZ71" s="4504">
        <f t="shared" si="44"/>
        <v>0.8091194019930158</v>
      </c>
      <c r="BA71" s="4504">
        <f t="shared" si="45"/>
        <v>0</v>
      </c>
      <c r="BB71" s="4504">
        <f t="shared" si="46"/>
        <v>3.5790431683735293</v>
      </c>
      <c r="BC71" s="4504">
        <f t="shared" si="47"/>
        <v>1.022583762392437</v>
      </c>
      <c r="BD71" s="4504">
        <f t="shared" si="48"/>
        <v>1.022583762392437</v>
      </c>
      <c r="BE71" s="4504">
        <f t="shared" si="49"/>
        <v>1.022583762392437</v>
      </c>
      <c r="BF71" s="4504">
        <f t="shared" si="50"/>
        <v>1.022583762392437</v>
      </c>
      <c r="BG71" s="4504">
        <f t="shared" si="51"/>
        <v>1.022583762392437</v>
      </c>
      <c r="BH71" s="4504">
        <f t="shared" si="52"/>
        <v>5.1129188119621851</v>
      </c>
      <c r="BI71" s="4504">
        <f t="shared" si="53"/>
        <v>0.8091194019930158</v>
      </c>
      <c r="BJ71" s="4504">
        <f t="shared" si="54"/>
        <v>0</v>
      </c>
      <c r="BK71" s="4504">
        <f t="shared" si="55"/>
        <v>3.5790431683735293</v>
      </c>
      <c r="BL71" s="4504">
        <f t="shared" si="56"/>
        <v>1.022583762392437</v>
      </c>
      <c r="BM71" s="4504">
        <f t="shared" si="57"/>
        <v>1.022583762392437</v>
      </c>
      <c r="BN71" s="4504">
        <f t="shared" si="58"/>
        <v>1.022583762392437</v>
      </c>
      <c r="BO71" s="4504">
        <f t="shared" si="59"/>
        <v>1.022583762392437</v>
      </c>
      <c r="BP71" s="4504">
        <f t="shared" si="60"/>
        <v>1.022583762392437</v>
      </c>
      <c r="BQ71" s="4504">
        <f t="shared" si="61"/>
        <v>0</v>
      </c>
      <c r="BR71" s="4504">
        <f t="shared" si="62"/>
        <v>0</v>
      </c>
      <c r="BS71" s="4504">
        <f t="shared" si="63"/>
        <v>0</v>
      </c>
      <c r="BT71" s="4504">
        <f t="shared" si="64"/>
        <v>0</v>
      </c>
      <c r="BU71" s="4504">
        <f t="shared" si="65"/>
        <v>0</v>
      </c>
      <c r="BV71" s="4504">
        <f t="shared" si="66"/>
        <v>0</v>
      </c>
      <c r="BW71" s="4504">
        <f t="shared" si="67"/>
        <v>0</v>
      </c>
      <c r="BX71" s="4504">
        <f t="shared" si="68"/>
        <v>0</v>
      </c>
      <c r="BY71" s="4504">
        <f t="shared" si="69"/>
        <v>0</v>
      </c>
      <c r="BZ71" s="4504">
        <f t="shared" si="70"/>
        <v>0</v>
      </c>
      <c r="CA71" s="4504">
        <f t="shared" si="71"/>
        <v>0</v>
      </c>
      <c r="CB71" s="4504">
        <f t="shared" si="72"/>
        <v>0</v>
      </c>
      <c r="CC71" s="4504">
        <f t="shared" si="73"/>
        <v>0</v>
      </c>
      <c r="CD71" s="4504">
        <f t="shared" si="74"/>
        <v>0</v>
      </c>
      <c r="CE71" s="4504">
        <f t="shared" si="75"/>
        <v>0</v>
      </c>
      <c r="CF71" s="4504">
        <f t="shared" si="76"/>
        <v>0</v>
      </c>
    </row>
    <row r="72" spans="1:84" ht="16.2" thickBot="1">
      <c r="A72" s="5290" t="s">
        <v>1213</v>
      </c>
      <c r="B72" s="5291"/>
      <c r="C72" s="5291"/>
      <c r="D72" s="5291"/>
      <c r="E72" s="5291"/>
      <c r="F72" s="5291"/>
      <c r="G72" s="5291"/>
      <c r="H72" s="5291"/>
      <c r="I72" s="5291"/>
      <c r="J72" s="5291"/>
      <c r="K72" s="5291"/>
      <c r="L72" s="5291"/>
      <c r="M72" s="5291"/>
      <c r="N72" s="5291"/>
      <c r="O72" s="5291"/>
      <c r="P72" s="5291"/>
      <c r="Q72" s="5291"/>
      <c r="R72" s="5291"/>
      <c r="S72" s="5291"/>
      <c r="T72" s="5291"/>
      <c r="U72" s="5291"/>
      <c r="V72" s="5291"/>
      <c r="W72" s="5291"/>
      <c r="X72" s="5291"/>
      <c r="Y72" s="5291"/>
      <c r="Z72" s="5291"/>
      <c r="AA72" s="5291"/>
      <c r="AB72" s="5291"/>
      <c r="AC72" s="5291"/>
      <c r="AD72" s="5291"/>
      <c r="AE72" s="5291"/>
      <c r="AF72" s="5291"/>
      <c r="AG72" s="5291"/>
      <c r="AH72" s="5291"/>
      <c r="AI72" s="5291"/>
      <c r="AJ72" s="5291"/>
      <c r="AK72" s="5291"/>
      <c r="AL72" s="5291"/>
      <c r="AM72" s="5291"/>
      <c r="AN72" s="5291"/>
      <c r="AO72" s="5291"/>
      <c r="AP72" s="5291"/>
      <c r="AQ72" s="5291"/>
      <c r="AR72" s="5291"/>
      <c r="AS72" s="5291"/>
      <c r="AT72" s="5291"/>
      <c r="AU72" s="5291"/>
      <c r="AV72" s="5291"/>
      <c r="AW72" s="5291"/>
      <c r="AX72" s="5292"/>
      <c r="AY72" s="4488"/>
      <c r="AZ72" s="4504">
        <f t="shared" si="44"/>
        <v>0</v>
      </c>
      <c r="BA72" s="4504">
        <f t="shared" si="45"/>
        <v>0</v>
      </c>
      <c r="BB72" s="4504">
        <f t="shared" si="46"/>
        <v>0</v>
      </c>
      <c r="BC72" s="4504">
        <f t="shared" si="47"/>
        <v>0</v>
      </c>
      <c r="BD72" s="4504">
        <f t="shared" si="48"/>
        <v>0</v>
      </c>
      <c r="BE72" s="4504">
        <f t="shared" si="49"/>
        <v>0</v>
      </c>
      <c r="BF72" s="4504">
        <f t="shared" si="50"/>
        <v>0</v>
      </c>
      <c r="BG72" s="4504">
        <f t="shared" si="51"/>
        <v>0</v>
      </c>
      <c r="BH72" s="4504">
        <f t="shared" si="52"/>
        <v>0</v>
      </c>
      <c r="BI72" s="4504">
        <f t="shared" si="53"/>
        <v>0</v>
      </c>
      <c r="BJ72" s="4504">
        <f t="shared" si="54"/>
        <v>0</v>
      </c>
      <c r="BK72" s="4504">
        <f t="shared" si="55"/>
        <v>0</v>
      </c>
      <c r="BL72" s="4504">
        <f t="shared" si="56"/>
        <v>0</v>
      </c>
      <c r="BM72" s="4504">
        <f t="shared" si="57"/>
        <v>0</v>
      </c>
      <c r="BN72" s="4504">
        <f t="shared" si="58"/>
        <v>0</v>
      </c>
      <c r="BO72" s="4504">
        <f t="shared" si="59"/>
        <v>0</v>
      </c>
      <c r="BP72" s="4504">
        <f t="shared" si="60"/>
        <v>0</v>
      </c>
      <c r="BQ72" s="4504">
        <f t="shared" si="61"/>
        <v>0</v>
      </c>
      <c r="BR72" s="4504">
        <f t="shared" si="62"/>
        <v>0</v>
      </c>
      <c r="BS72" s="4504">
        <f t="shared" si="63"/>
        <v>0</v>
      </c>
      <c r="BT72" s="4504">
        <f t="shared" si="64"/>
        <v>0</v>
      </c>
      <c r="BU72" s="4504">
        <f t="shared" si="65"/>
        <v>0</v>
      </c>
      <c r="BV72" s="4504">
        <f t="shared" si="66"/>
        <v>0</v>
      </c>
      <c r="BW72" s="4504">
        <f t="shared" si="67"/>
        <v>0</v>
      </c>
      <c r="BX72" s="4504">
        <f t="shared" si="68"/>
        <v>0</v>
      </c>
      <c r="BY72" s="4504">
        <f t="shared" si="69"/>
        <v>0</v>
      </c>
      <c r="BZ72" s="4504">
        <f t="shared" si="70"/>
        <v>0</v>
      </c>
      <c r="CA72" s="4504">
        <f t="shared" si="71"/>
        <v>0</v>
      </c>
      <c r="CB72" s="4504">
        <f t="shared" si="72"/>
        <v>0</v>
      </c>
      <c r="CC72" s="4504">
        <f t="shared" si="73"/>
        <v>0</v>
      </c>
      <c r="CD72" s="4504">
        <f t="shared" si="74"/>
        <v>0</v>
      </c>
      <c r="CE72" s="4504">
        <f t="shared" si="75"/>
        <v>0</v>
      </c>
      <c r="CF72" s="4504">
        <f t="shared" si="76"/>
        <v>0</v>
      </c>
    </row>
    <row r="73" spans="1:84" ht="23.4" thickBot="1">
      <c r="A73" s="2106">
        <v>1.6</v>
      </c>
      <c r="B73" s="2106"/>
      <c r="C73" s="2106"/>
      <c r="D73" s="2107"/>
      <c r="E73" s="2108" t="s">
        <v>1029</v>
      </c>
      <c r="F73" s="2217">
        <f>SUM(F74:F97)</f>
        <v>0</v>
      </c>
      <c r="G73" s="4143">
        <f>SUM(G74:G97)</f>
        <v>0</v>
      </c>
      <c r="H73" s="2218">
        <f t="shared" ref="H73:AL73" si="116">SUM(H74:H97)</f>
        <v>0</v>
      </c>
      <c r="I73" s="2219">
        <f t="shared" si="116"/>
        <v>0</v>
      </c>
      <c r="J73" s="2220">
        <f t="shared" si="116"/>
        <v>0</v>
      </c>
      <c r="K73" s="2220">
        <f t="shared" si="116"/>
        <v>0</v>
      </c>
      <c r="L73" s="2220">
        <f t="shared" si="116"/>
        <v>0</v>
      </c>
      <c r="M73" s="2221">
        <f t="shared" si="116"/>
        <v>0</v>
      </c>
      <c r="N73" s="2114">
        <f t="shared" si="116"/>
        <v>0</v>
      </c>
      <c r="O73" s="2115">
        <f t="shared" ref="O73" si="117">SUM(O74:O97)</f>
        <v>0</v>
      </c>
      <c r="P73" s="4154">
        <f t="shared" si="116"/>
        <v>0</v>
      </c>
      <c r="Q73" s="2116">
        <f t="shared" si="116"/>
        <v>0</v>
      </c>
      <c r="R73" s="2117">
        <f t="shared" si="116"/>
        <v>0</v>
      </c>
      <c r="S73" s="2118">
        <f t="shared" si="116"/>
        <v>0</v>
      </c>
      <c r="T73" s="2118">
        <f t="shared" si="116"/>
        <v>0</v>
      </c>
      <c r="U73" s="2118">
        <f t="shared" si="116"/>
        <v>0</v>
      </c>
      <c r="V73" s="2119">
        <f t="shared" si="116"/>
        <v>0</v>
      </c>
      <c r="W73" s="2115">
        <f t="shared" ref="W73" si="118">SUM(W74:W97)</f>
        <v>0</v>
      </c>
      <c r="X73" s="4154">
        <f t="shared" si="116"/>
        <v>0</v>
      </c>
      <c r="Y73" s="2116">
        <f t="shared" si="116"/>
        <v>0</v>
      </c>
      <c r="Z73" s="2117">
        <f t="shared" si="116"/>
        <v>0</v>
      </c>
      <c r="AA73" s="2118">
        <f t="shared" si="116"/>
        <v>0</v>
      </c>
      <c r="AB73" s="2118">
        <f t="shared" si="116"/>
        <v>0</v>
      </c>
      <c r="AC73" s="2118">
        <f t="shared" si="116"/>
        <v>0</v>
      </c>
      <c r="AD73" s="2119">
        <f t="shared" si="116"/>
        <v>0</v>
      </c>
      <c r="AE73" s="2115">
        <f t="shared" ref="AE73" si="119">SUM(AE74:AE97)</f>
        <v>0</v>
      </c>
      <c r="AF73" s="4154">
        <f t="shared" si="116"/>
        <v>0</v>
      </c>
      <c r="AG73" s="2116">
        <f t="shared" si="116"/>
        <v>0</v>
      </c>
      <c r="AH73" s="2117">
        <f t="shared" si="116"/>
        <v>0</v>
      </c>
      <c r="AI73" s="2118">
        <f t="shared" si="116"/>
        <v>0</v>
      </c>
      <c r="AJ73" s="2118">
        <f t="shared" si="116"/>
        <v>0</v>
      </c>
      <c r="AK73" s="2118">
        <f t="shared" si="116"/>
        <v>0</v>
      </c>
      <c r="AL73" s="2120">
        <f t="shared" si="116"/>
        <v>0</v>
      </c>
      <c r="AM73" s="2121"/>
      <c r="AN73" s="2122"/>
      <c r="AO73" s="2123"/>
      <c r="AP73" s="2222"/>
      <c r="AQ73" s="2222"/>
      <c r="AR73" s="2223"/>
      <c r="AS73" s="2124"/>
      <c r="AT73" s="2124"/>
      <c r="AU73" s="2124"/>
      <c r="AV73" s="2124"/>
      <c r="AW73" s="2125"/>
      <c r="AX73" s="2126"/>
      <c r="AY73" s="4488"/>
      <c r="AZ73" s="4504">
        <f t="shared" si="44"/>
        <v>0</v>
      </c>
      <c r="BA73" s="4504">
        <f t="shared" si="45"/>
        <v>0</v>
      </c>
      <c r="BB73" s="4504">
        <f t="shared" si="46"/>
        <v>0</v>
      </c>
      <c r="BC73" s="4504">
        <f t="shared" si="47"/>
        <v>0</v>
      </c>
      <c r="BD73" s="4504">
        <f t="shared" si="48"/>
        <v>0</v>
      </c>
      <c r="BE73" s="4504">
        <f t="shared" si="49"/>
        <v>0</v>
      </c>
      <c r="BF73" s="4504">
        <f t="shared" si="50"/>
        <v>0</v>
      </c>
      <c r="BG73" s="4504">
        <f t="shared" si="51"/>
        <v>0</v>
      </c>
      <c r="BH73" s="4504">
        <f t="shared" si="52"/>
        <v>0</v>
      </c>
      <c r="BI73" s="4504">
        <f t="shared" si="53"/>
        <v>0</v>
      </c>
      <c r="BJ73" s="4504">
        <f t="shared" si="54"/>
        <v>0</v>
      </c>
      <c r="BK73" s="4504">
        <f t="shared" si="55"/>
        <v>0</v>
      </c>
      <c r="BL73" s="4504">
        <f t="shared" si="56"/>
        <v>0</v>
      </c>
      <c r="BM73" s="4504">
        <f t="shared" si="57"/>
        <v>0</v>
      </c>
      <c r="BN73" s="4504">
        <f t="shared" si="58"/>
        <v>0</v>
      </c>
      <c r="BO73" s="4504">
        <f t="shared" si="59"/>
        <v>0</v>
      </c>
      <c r="BP73" s="4504">
        <f t="shared" si="60"/>
        <v>0</v>
      </c>
      <c r="BQ73" s="4504">
        <f t="shared" si="61"/>
        <v>0</v>
      </c>
      <c r="BR73" s="4504">
        <f t="shared" si="62"/>
        <v>0</v>
      </c>
      <c r="BS73" s="4504">
        <f t="shared" si="63"/>
        <v>0</v>
      </c>
      <c r="BT73" s="4504">
        <f t="shared" si="64"/>
        <v>0</v>
      </c>
      <c r="BU73" s="4504">
        <f t="shared" si="65"/>
        <v>0</v>
      </c>
      <c r="BV73" s="4504">
        <f t="shared" si="66"/>
        <v>0</v>
      </c>
      <c r="BW73" s="4504">
        <f t="shared" si="67"/>
        <v>0</v>
      </c>
      <c r="BX73" s="4504">
        <f t="shared" si="68"/>
        <v>0</v>
      </c>
      <c r="BY73" s="4504">
        <f t="shared" si="69"/>
        <v>0</v>
      </c>
      <c r="BZ73" s="4504">
        <f t="shared" si="70"/>
        <v>0</v>
      </c>
      <c r="CA73" s="4504">
        <f t="shared" si="71"/>
        <v>0</v>
      </c>
      <c r="CB73" s="4504">
        <f t="shared" si="72"/>
        <v>0</v>
      </c>
      <c r="CC73" s="4504">
        <f t="shared" si="73"/>
        <v>0</v>
      </c>
      <c r="CD73" s="4504">
        <f t="shared" si="74"/>
        <v>0</v>
      </c>
      <c r="CE73" s="4504">
        <f t="shared" si="75"/>
        <v>0</v>
      </c>
      <c r="CF73" s="4504">
        <f t="shared" si="76"/>
        <v>0</v>
      </c>
    </row>
    <row r="74" spans="1:84">
      <c r="A74" s="2127"/>
      <c r="B74" s="2128">
        <v>2040201</v>
      </c>
      <c r="C74" s="2128">
        <v>2070101</v>
      </c>
      <c r="D74" s="2129">
        <v>0.02</v>
      </c>
      <c r="E74" s="2130" t="s">
        <v>738</v>
      </c>
      <c r="F74" s="4142">
        <f t="shared" ref="F74:F97" si="120">O74+W74+AE74</f>
        <v>0</v>
      </c>
      <c r="G74" s="4139">
        <f t="shared" ref="G74:G97" si="121">P74+X74+AF74</f>
        <v>0</v>
      </c>
      <c r="H74" s="2131">
        <f t="shared" ref="H74:H97" si="122">Q74+Y74+AG74</f>
        <v>0</v>
      </c>
      <c r="I74" s="2132">
        <f t="shared" ref="I74:I97" si="123">R74+Z74+AH74</f>
        <v>0</v>
      </c>
      <c r="J74" s="2133">
        <f t="shared" ref="J74:J97" si="124">S74+AA74+AI74</f>
        <v>0</v>
      </c>
      <c r="K74" s="2133">
        <f t="shared" ref="K74:K97" si="125">T74+AB74+AJ74</f>
        <v>0</v>
      </c>
      <c r="L74" s="2133">
        <f t="shared" ref="L74:L97" si="126">U74+AC74+AK74</f>
        <v>0</v>
      </c>
      <c r="M74" s="2134">
        <f t="shared" ref="M74:M97" si="127">V74+AD74+AL74</f>
        <v>0</v>
      </c>
      <c r="N74" s="2135">
        <f>SUM(I74:M74)</f>
        <v>0</v>
      </c>
      <c r="O74" s="1276"/>
      <c r="P74" s="1278"/>
      <c r="Q74" s="1277"/>
      <c r="R74" s="1278"/>
      <c r="S74" s="1279"/>
      <c r="T74" s="1279"/>
      <c r="U74" s="1279"/>
      <c r="V74" s="1279"/>
      <c r="W74" s="1276"/>
      <c r="X74" s="1278"/>
      <c r="Y74" s="1277"/>
      <c r="Z74" s="1278"/>
      <c r="AA74" s="1279"/>
      <c r="AB74" s="1279"/>
      <c r="AC74" s="1279"/>
      <c r="AD74" s="1279"/>
      <c r="AE74" s="1276"/>
      <c r="AF74" s="1278"/>
      <c r="AG74" s="1277"/>
      <c r="AH74" s="1278"/>
      <c r="AI74" s="1279"/>
      <c r="AJ74" s="1279"/>
      <c r="AK74" s="1279"/>
      <c r="AL74" s="1280"/>
      <c r="AM74" s="1281"/>
      <c r="AN74" s="1282"/>
      <c r="AO74" s="2136" t="s">
        <v>676</v>
      </c>
      <c r="AP74" s="1278"/>
      <c r="AQ74" s="1278"/>
      <c r="AR74" s="1277"/>
      <c r="AS74" s="1278"/>
      <c r="AT74" s="1279"/>
      <c r="AU74" s="1279"/>
      <c r="AV74" s="1279"/>
      <c r="AW74" s="1277"/>
      <c r="AX74" s="2137" t="s">
        <v>354</v>
      </c>
      <c r="AY74" s="4488"/>
      <c r="AZ74" s="4504">
        <f t="shared" si="44"/>
        <v>0</v>
      </c>
      <c r="BA74" s="4504">
        <f t="shared" si="45"/>
        <v>0</v>
      </c>
      <c r="BB74" s="4504">
        <f t="shared" si="46"/>
        <v>0</v>
      </c>
      <c r="BC74" s="4504">
        <f t="shared" si="47"/>
        <v>0</v>
      </c>
      <c r="BD74" s="4504">
        <f t="shared" si="48"/>
        <v>0</v>
      </c>
      <c r="BE74" s="4504">
        <f t="shared" si="49"/>
        <v>0</v>
      </c>
      <c r="BF74" s="4504">
        <f t="shared" si="50"/>
        <v>0</v>
      </c>
      <c r="BG74" s="4504">
        <f t="shared" si="51"/>
        <v>0</v>
      </c>
      <c r="BH74" s="4504">
        <f t="shared" si="52"/>
        <v>0</v>
      </c>
      <c r="BI74" s="4504">
        <f t="shared" si="53"/>
        <v>0</v>
      </c>
      <c r="BJ74" s="4504">
        <f t="shared" si="54"/>
        <v>0</v>
      </c>
      <c r="BK74" s="4504">
        <f t="shared" si="55"/>
        <v>0</v>
      </c>
      <c r="BL74" s="4504">
        <f t="shared" si="56"/>
        <v>0</v>
      </c>
      <c r="BM74" s="4504">
        <f t="shared" si="57"/>
        <v>0</v>
      </c>
      <c r="BN74" s="4504">
        <f t="shared" si="58"/>
        <v>0</v>
      </c>
      <c r="BO74" s="4504">
        <f t="shared" si="59"/>
        <v>0</v>
      </c>
      <c r="BP74" s="4504">
        <f t="shared" si="60"/>
        <v>0</v>
      </c>
      <c r="BQ74" s="4504">
        <f t="shared" si="61"/>
        <v>0</v>
      </c>
      <c r="BR74" s="4504">
        <f t="shared" si="62"/>
        <v>0</v>
      </c>
      <c r="BS74" s="4504">
        <f t="shared" si="63"/>
        <v>0</v>
      </c>
      <c r="BT74" s="4504">
        <f t="shared" si="64"/>
        <v>0</v>
      </c>
      <c r="BU74" s="4504">
        <f t="shared" si="65"/>
        <v>0</v>
      </c>
      <c r="BV74" s="4504">
        <f t="shared" si="66"/>
        <v>0</v>
      </c>
      <c r="BW74" s="4504">
        <f t="shared" si="67"/>
        <v>0</v>
      </c>
      <c r="BX74" s="4504">
        <f t="shared" si="68"/>
        <v>0</v>
      </c>
      <c r="BY74" s="4504">
        <f t="shared" si="69"/>
        <v>0</v>
      </c>
      <c r="BZ74" s="4504">
        <f t="shared" si="70"/>
        <v>0</v>
      </c>
      <c r="CA74" s="4504">
        <f t="shared" si="71"/>
        <v>0</v>
      </c>
      <c r="CB74" s="4504">
        <f t="shared" si="72"/>
        <v>0</v>
      </c>
      <c r="CC74" s="4504">
        <f t="shared" si="73"/>
        <v>0</v>
      </c>
      <c r="CD74" s="4504">
        <f t="shared" si="74"/>
        <v>0</v>
      </c>
      <c r="CE74" s="4504">
        <f t="shared" si="75"/>
        <v>0</v>
      </c>
      <c r="CF74" s="4504">
        <f t="shared" si="76"/>
        <v>0</v>
      </c>
    </row>
    <row r="75" spans="1:84">
      <c r="A75" s="2138"/>
      <c r="B75" s="2139">
        <v>2040202</v>
      </c>
      <c r="C75" s="2139">
        <v>2070102</v>
      </c>
      <c r="D75" s="2140">
        <v>0.02</v>
      </c>
      <c r="E75" s="2141" t="s">
        <v>741</v>
      </c>
      <c r="F75" s="2143">
        <f t="shared" si="120"/>
        <v>0</v>
      </c>
      <c r="G75" s="4140">
        <f t="shared" si="121"/>
        <v>0</v>
      </c>
      <c r="H75" s="2142">
        <f t="shared" si="122"/>
        <v>0</v>
      </c>
      <c r="I75" s="2143">
        <f t="shared" si="123"/>
        <v>0</v>
      </c>
      <c r="J75" s="2144">
        <f t="shared" si="124"/>
        <v>0</v>
      </c>
      <c r="K75" s="2144">
        <f t="shared" si="125"/>
        <v>0</v>
      </c>
      <c r="L75" s="2144">
        <f t="shared" si="126"/>
        <v>0</v>
      </c>
      <c r="M75" s="2145">
        <f t="shared" si="127"/>
        <v>0</v>
      </c>
      <c r="N75" s="2146">
        <f>SUM(I75:M75)</f>
        <v>0</v>
      </c>
      <c r="O75" s="1283"/>
      <c r="P75" s="1285"/>
      <c r="Q75" s="1284"/>
      <c r="R75" s="1285"/>
      <c r="S75" s="1286"/>
      <c r="T75" s="1286"/>
      <c r="U75" s="1286"/>
      <c r="V75" s="1286"/>
      <c r="W75" s="1283"/>
      <c r="X75" s="1285"/>
      <c r="Y75" s="1284"/>
      <c r="Z75" s="1285"/>
      <c r="AA75" s="1286"/>
      <c r="AB75" s="1286"/>
      <c r="AC75" s="1286"/>
      <c r="AD75" s="1286"/>
      <c r="AE75" s="1283"/>
      <c r="AF75" s="1285"/>
      <c r="AG75" s="1284"/>
      <c r="AH75" s="1285"/>
      <c r="AI75" s="1286"/>
      <c r="AJ75" s="1286"/>
      <c r="AK75" s="1286"/>
      <c r="AL75" s="1287"/>
      <c r="AM75" s="1288"/>
      <c r="AN75" s="1289"/>
      <c r="AO75" s="2147" t="s">
        <v>676</v>
      </c>
      <c r="AP75" s="1285"/>
      <c r="AQ75" s="1285"/>
      <c r="AR75" s="1284"/>
      <c r="AS75" s="1285"/>
      <c r="AT75" s="1286"/>
      <c r="AU75" s="1286"/>
      <c r="AV75" s="1286"/>
      <c r="AW75" s="1284"/>
      <c r="AX75" s="2148" t="s">
        <v>354</v>
      </c>
      <c r="AY75" s="4488"/>
      <c r="AZ75" s="4504">
        <f t="shared" si="44"/>
        <v>0</v>
      </c>
      <c r="BA75" s="4504">
        <f t="shared" si="45"/>
        <v>0</v>
      </c>
      <c r="BB75" s="4504">
        <f t="shared" si="46"/>
        <v>0</v>
      </c>
      <c r="BC75" s="4504">
        <f t="shared" si="47"/>
        <v>0</v>
      </c>
      <c r="BD75" s="4504">
        <f t="shared" si="48"/>
        <v>0</v>
      </c>
      <c r="BE75" s="4504">
        <f t="shared" si="49"/>
        <v>0</v>
      </c>
      <c r="BF75" s="4504">
        <f t="shared" si="50"/>
        <v>0</v>
      </c>
      <c r="BG75" s="4504">
        <f t="shared" si="51"/>
        <v>0</v>
      </c>
      <c r="BH75" s="4504">
        <f t="shared" si="52"/>
        <v>0</v>
      </c>
      <c r="BI75" s="4504">
        <f t="shared" si="53"/>
        <v>0</v>
      </c>
      <c r="BJ75" s="4504">
        <f t="shared" si="54"/>
        <v>0</v>
      </c>
      <c r="BK75" s="4504">
        <f t="shared" si="55"/>
        <v>0</v>
      </c>
      <c r="BL75" s="4504">
        <f t="shared" si="56"/>
        <v>0</v>
      </c>
      <c r="BM75" s="4504">
        <f t="shared" si="57"/>
        <v>0</v>
      </c>
      <c r="BN75" s="4504">
        <f t="shared" si="58"/>
        <v>0</v>
      </c>
      <c r="BO75" s="4504">
        <f t="shared" si="59"/>
        <v>0</v>
      </c>
      <c r="BP75" s="4504">
        <f t="shared" si="60"/>
        <v>0</v>
      </c>
      <c r="BQ75" s="4504">
        <f t="shared" si="61"/>
        <v>0</v>
      </c>
      <c r="BR75" s="4504">
        <f t="shared" si="62"/>
        <v>0</v>
      </c>
      <c r="BS75" s="4504">
        <f t="shared" si="63"/>
        <v>0</v>
      </c>
      <c r="BT75" s="4504">
        <f t="shared" si="64"/>
        <v>0</v>
      </c>
      <c r="BU75" s="4504">
        <f t="shared" si="65"/>
        <v>0</v>
      </c>
      <c r="BV75" s="4504">
        <f t="shared" si="66"/>
        <v>0</v>
      </c>
      <c r="BW75" s="4504">
        <f t="shared" si="67"/>
        <v>0</v>
      </c>
      <c r="BX75" s="4504">
        <f t="shared" si="68"/>
        <v>0</v>
      </c>
      <c r="BY75" s="4504">
        <f t="shared" si="69"/>
        <v>0</v>
      </c>
      <c r="BZ75" s="4504">
        <f t="shared" si="70"/>
        <v>0</v>
      </c>
      <c r="CA75" s="4504">
        <f t="shared" si="71"/>
        <v>0</v>
      </c>
      <c r="CB75" s="4504">
        <f t="shared" si="72"/>
        <v>0</v>
      </c>
      <c r="CC75" s="4504">
        <f t="shared" si="73"/>
        <v>0</v>
      </c>
      <c r="CD75" s="4504">
        <f t="shared" si="74"/>
        <v>0</v>
      </c>
      <c r="CE75" s="4504">
        <f t="shared" si="75"/>
        <v>0</v>
      </c>
      <c r="CF75" s="4504">
        <f t="shared" si="76"/>
        <v>0</v>
      </c>
    </row>
    <row r="76" spans="1:84">
      <c r="A76" s="2138"/>
      <c r="B76" s="2139">
        <v>2040204</v>
      </c>
      <c r="C76" s="2128">
        <v>2070103</v>
      </c>
      <c r="D76" s="2140">
        <v>0.02</v>
      </c>
      <c r="E76" s="2141" t="s">
        <v>355</v>
      </c>
      <c r="F76" s="2143">
        <f t="shared" si="120"/>
        <v>0</v>
      </c>
      <c r="G76" s="4140">
        <f t="shared" si="121"/>
        <v>0</v>
      </c>
      <c r="H76" s="2142">
        <f t="shared" si="122"/>
        <v>0</v>
      </c>
      <c r="I76" s="2143">
        <f t="shared" si="123"/>
        <v>0</v>
      </c>
      <c r="J76" s="2144">
        <f t="shared" si="124"/>
        <v>0</v>
      </c>
      <c r="K76" s="2144">
        <f t="shared" si="125"/>
        <v>0</v>
      </c>
      <c r="L76" s="2144">
        <f t="shared" si="126"/>
        <v>0</v>
      </c>
      <c r="M76" s="2145">
        <f t="shared" si="127"/>
        <v>0</v>
      </c>
      <c r="N76" s="2146">
        <f t="shared" ref="N76:N97" si="128">SUM(I76:M76)</f>
        <v>0</v>
      </c>
      <c r="O76" s="1283"/>
      <c r="P76" s="1285"/>
      <c r="Q76" s="1284"/>
      <c r="R76" s="1285"/>
      <c r="S76" s="1286"/>
      <c r="T76" s="1286"/>
      <c r="U76" s="1286"/>
      <c r="V76" s="1286"/>
      <c r="W76" s="1283"/>
      <c r="X76" s="1285"/>
      <c r="Y76" s="1284"/>
      <c r="Z76" s="1285"/>
      <c r="AA76" s="1286"/>
      <c r="AB76" s="1286"/>
      <c r="AC76" s="1286"/>
      <c r="AD76" s="1286"/>
      <c r="AE76" s="1283"/>
      <c r="AF76" s="1285"/>
      <c r="AG76" s="1284"/>
      <c r="AH76" s="1285"/>
      <c r="AI76" s="1286"/>
      <c r="AJ76" s="1286"/>
      <c r="AK76" s="1286"/>
      <c r="AL76" s="1287"/>
      <c r="AM76" s="1288"/>
      <c r="AN76" s="1289"/>
      <c r="AO76" s="2147" t="s">
        <v>676</v>
      </c>
      <c r="AP76" s="1285"/>
      <c r="AQ76" s="1285"/>
      <c r="AR76" s="1284"/>
      <c r="AS76" s="1285"/>
      <c r="AT76" s="1286"/>
      <c r="AU76" s="1286"/>
      <c r="AV76" s="1286"/>
      <c r="AW76" s="1284"/>
      <c r="AX76" s="2148" t="s">
        <v>354</v>
      </c>
      <c r="AY76" s="4488"/>
      <c r="AZ76" s="4504">
        <f t="shared" ref="AZ76:AZ126" si="129">IFERROR(F76/$E$1,0)</f>
        <v>0</v>
      </c>
      <c r="BA76" s="4504">
        <f t="shared" ref="BA76:BA126" si="130">IFERROR(G76/$E$1,0)</f>
        <v>0</v>
      </c>
      <c r="BB76" s="4504">
        <f t="shared" ref="BB76:BB126" si="131">IFERROR(H76/$E$1,0)</f>
        <v>0</v>
      </c>
      <c r="BC76" s="4504">
        <f t="shared" ref="BC76:BC126" si="132">IFERROR(I76/$E$1,0)</f>
        <v>0</v>
      </c>
      <c r="BD76" s="4504">
        <f t="shared" ref="BD76:BD126" si="133">IFERROR(J76/$E$1,0)</f>
        <v>0</v>
      </c>
      <c r="BE76" s="4504">
        <f t="shared" ref="BE76:BE126" si="134">IFERROR(K76/$E$1,0)</f>
        <v>0</v>
      </c>
      <c r="BF76" s="4504">
        <f t="shared" ref="BF76:BF126" si="135">IFERROR(L76/$E$1,0)</f>
        <v>0</v>
      </c>
      <c r="BG76" s="4504">
        <f t="shared" ref="BG76:BG126" si="136">IFERROR(M76/$E$1,0)</f>
        <v>0</v>
      </c>
      <c r="BH76" s="4504">
        <f t="shared" ref="BH76:BH126" si="137">IFERROR(N76/$E$1,0)</f>
        <v>0</v>
      </c>
      <c r="BI76" s="4504">
        <f t="shared" ref="BI76:BI126" si="138">IFERROR(O76/$E$1,0)</f>
        <v>0</v>
      </c>
      <c r="BJ76" s="4504">
        <f t="shared" ref="BJ76:BJ126" si="139">IFERROR(P76/$E$1,0)</f>
        <v>0</v>
      </c>
      <c r="BK76" s="4504">
        <f t="shared" ref="BK76:BK126" si="140">IFERROR(Q76/$E$1,0)</f>
        <v>0</v>
      </c>
      <c r="BL76" s="4504">
        <f t="shared" ref="BL76:BL126" si="141">IFERROR(R76/$E$1,0)</f>
        <v>0</v>
      </c>
      <c r="BM76" s="4504">
        <f t="shared" ref="BM76:BM126" si="142">IFERROR(S76/$E$1,0)</f>
        <v>0</v>
      </c>
      <c r="BN76" s="4504">
        <f t="shared" ref="BN76:BN126" si="143">IFERROR(T76/$E$1,0)</f>
        <v>0</v>
      </c>
      <c r="BO76" s="4504">
        <f t="shared" ref="BO76:BO126" si="144">IFERROR(U76/$E$1,0)</f>
        <v>0</v>
      </c>
      <c r="BP76" s="4504">
        <f t="shared" ref="BP76:BP126" si="145">IFERROR(V76/$E$1,0)</f>
        <v>0</v>
      </c>
      <c r="BQ76" s="4504">
        <f t="shared" ref="BQ76:BQ126" si="146">IFERROR(W76/$E$1,0)</f>
        <v>0</v>
      </c>
      <c r="BR76" s="4504">
        <f t="shared" ref="BR76:BR126" si="147">IFERROR(X76/$E$1,0)</f>
        <v>0</v>
      </c>
      <c r="BS76" s="4504">
        <f t="shared" ref="BS76:BS126" si="148">IFERROR(Y76/$E$1,0)</f>
        <v>0</v>
      </c>
      <c r="BT76" s="4504">
        <f t="shared" ref="BT76:BT126" si="149">IFERROR(Z76/$E$1,0)</f>
        <v>0</v>
      </c>
      <c r="BU76" s="4504">
        <f t="shared" ref="BU76:BU126" si="150">IFERROR(AA76/$E$1,0)</f>
        <v>0</v>
      </c>
      <c r="BV76" s="4504">
        <f t="shared" ref="BV76:BV126" si="151">IFERROR(AB76/$E$1,0)</f>
        <v>0</v>
      </c>
      <c r="BW76" s="4504">
        <f t="shared" ref="BW76:BW126" si="152">IFERROR(AC76/$E$1,0)</f>
        <v>0</v>
      </c>
      <c r="BX76" s="4504">
        <f t="shared" ref="BX76:BX126" si="153">IFERROR(AD76/$E$1,0)</f>
        <v>0</v>
      </c>
      <c r="BY76" s="4504">
        <f t="shared" ref="BY76:BY126" si="154">IFERROR(AE76/$E$1,0)</f>
        <v>0</v>
      </c>
      <c r="BZ76" s="4504">
        <f t="shared" ref="BZ76:BZ126" si="155">IFERROR(AF76/$E$1,0)</f>
        <v>0</v>
      </c>
      <c r="CA76" s="4504">
        <f t="shared" ref="CA76:CA126" si="156">IFERROR(AG76/$E$1,0)</f>
        <v>0</v>
      </c>
      <c r="CB76" s="4504">
        <f t="shared" ref="CB76:CB126" si="157">IFERROR(AH76/$E$1,0)</f>
        <v>0</v>
      </c>
      <c r="CC76" s="4504">
        <f t="shared" ref="CC76:CC126" si="158">IFERROR(AI76/$E$1,0)</f>
        <v>0</v>
      </c>
      <c r="CD76" s="4504">
        <f t="shared" ref="CD76:CD126" si="159">IFERROR(AJ76/$E$1,0)</f>
        <v>0</v>
      </c>
      <c r="CE76" s="4504">
        <f t="shared" ref="CE76:CE126" si="160">IFERROR(AK76/$E$1,0)</f>
        <v>0</v>
      </c>
      <c r="CF76" s="4504">
        <f t="shared" ref="CF76:CF126" si="161">IFERROR(AL76/$E$1,0)</f>
        <v>0</v>
      </c>
    </row>
    <row r="77" spans="1:84">
      <c r="A77" s="2138"/>
      <c r="B77" s="2139">
        <v>20202</v>
      </c>
      <c r="C77" s="2139">
        <v>2070104</v>
      </c>
      <c r="D77" s="2149">
        <v>0.03</v>
      </c>
      <c r="E77" s="2141" t="s">
        <v>356</v>
      </c>
      <c r="F77" s="2143">
        <f t="shared" si="120"/>
        <v>0</v>
      </c>
      <c r="G77" s="4140">
        <f t="shared" si="121"/>
        <v>0</v>
      </c>
      <c r="H77" s="2142">
        <f t="shared" si="122"/>
        <v>0</v>
      </c>
      <c r="I77" s="2143">
        <f t="shared" si="123"/>
        <v>0</v>
      </c>
      <c r="J77" s="2144">
        <f t="shared" si="124"/>
        <v>0</v>
      </c>
      <c r="K77" s="2144">
        <f t="shared" si="125"/>
        <v>0</v>
      </c>
      <c r="L77" s="2144">
        <f t="shared" si="126"/>
        <v>0</v>
      </c>
      <c r="M77" s="2145">
        <f t="shared" si="127"/>
        <v>0</v>
      </c>
      <c r="N77" s="2146">
        <f t="shared" si="128"/>
        <v>0</v>
      </c>
      <c r="O77" s="1283"/>
      <c r="P77" s="1285"/>
      <c r="Q77" s="1284"/>
      <c r="R77" s="1285"/>
      <c r="S77" s="1286"/>
      <c r="T77" s="1286"/>
      <c r="U77" s="1286"/>
      <c r="V77" s="1286"/>
      <c r="W77" s="1283"/>
      <c r="X77" s="1285"/>
      <c r="Y77" s="1284"/>
      <c r="Z77" s="1285"/>
      <c r="AA77" s="1286"/>
      <c r="AB77" s="1286"/>
      <c r="AC77" s="1286"/>
      <c r="AD77" s="1286"/>
      <c r="AE77" s="1283"/>
      <c r="AF77" s="1285"/>
      <c r="AG77" s="1284"/>
      <c r="AH77" s="1285"/>
      <c r="AI77" s="1286"/>
      <c r="AJ77" s="1286"/>
      <c r="AK77" s="1286"/>
      <c r="AL77" s="1287"/>
      <c r="AM77" s="1288"/>
      <c r="AN77" s="1289"/>
      <c r="AO77" s="2147" t="s">
        <v>676</v>
      </c>
      <c r="AP77" s="1285"/>
      <c r="AQ77" s="1285"/>
      <c r="AR77" s="1284"/>
      <c r="AS77" s="1285"/>
      <c r="AT77" s="1286"/>
      <c r="AU77" s="1286"/>
      <c r="AV77" s="1286"/>
      <c r="AW77" s="1284"/>
      <c r="AX77" s="2148" t="s">
        <v>354</v>
      </c>
      <c r="AY77" s="4488"/>
      <c r="AZ77" s="4504">
        <f t="shared" si="129"/>
        <v>0</v>
      </c>
      <c r="BA77" s="4504">
        <f t="shared" si="130"/>
        <v>0</v>
      </c>
      <c r="BB77" s="4504">
        <f t="shared" si="131"/>
        <v>0</v>
      </c>
      <c r="BC77" s="4504">
        <f t="shared" si="132"/>
        <v>0</v>
      </c>
      <c r="BD77" s="4504">
        <f t="shared" si="133"/>
        <v>0</v>
      </c>
      <c r="BE77" s="4504">
        <f t="shared" si="134"/>
        <v>0</v>
      </c>
      <c r="BF77" s="4504">
        <f t="shared" si="135"/>
        <v>0</v>
      </c>
      <c r="BG77" s="4504">
        <f t="shared" si="136"/>
        <v>0</v>
      </c>
      <c r="BH77" s="4504">
        <f t="shared" si="137"/>
        <v>0</v>
      </c>
      <c r="BI77" s="4504">
        <f t="shared" si="138"/>
        <v>0</v>
      </c>
      <c r="BJ77" s="4504">
        <f t="shared" si="139"/>
        <v>0</v>
      </c>
      <c r="BK77" s="4504">
        <f t="shared" si="140"/>
        <v>0</v>
      </c>
      <c r="BL77" s="4504">
        <f t="shared" si="141"/>
        <v>0</v>
      </c>
      <c r="BM77" s="4504">
        <f t="shared" si="142"/>
        <v>0</v>
      </c>
      <c r="BN77" s="4504">
        <f t="shared" si="143"/>
        <v>0</v>
      </c>
      <c r="BO77" s="4504">
        <f t="shared" si="144"/>
        <v>0</v>
      </c>
      <c r="BP77" s="4504">
        <f t="shared" si="145"/>
        <v>0</v>
      </c>
      <c r="BQ77" s="4504">
        <f t="shared" si="146"/>
        <v>0</v>
      </c>
      <c r="BR77" s="4504">
        <f t="shared" si="147"/>
        <v>0</v>
      </c>
      <c r="BS77" s="4504">
        <f t="shared" si="148"/>
        <v>0</v>
      </c>
      <c r="BT77" s="4504">
        <f t="shared" si="149"/>
        <v>0</v>
      </c>
      <c r="BU77" s="4504">
        <f t="shared" si="150"/>
        <v>0</v>
      </c>
      <c r="BV77" s="4504">
        <f t="shared" si="151"/>
        <v>0</v>
      </c>
      <c r="BW77" s="4504">
        <f t="shared" si="152"/>
        <v>0</v>
      </c>
      <c r="BX77" s="4504">
        <f t="shared" si="153"/>
        <v>0</v>
      </c>
      <c r="BY77" s="4504">
        <f t="shared" si="154"/>
        <v>0</v>
      </c>
      <c r="BZ77" s="4504">
        <f t="shared" si="155"/>
        <v>0</v>
      </c>
      <c r="CA77" s="4504">
        <f t="shared" si="156"/>
        <v>0</v>
      </c>
      <c r="CB77" s="4504">
        <f t="shared" si="157"/>
        <v>0</v>
      </c>
      <c r="CC77" s="4504">
        <f t="shared" si="158"/>
        <v>0</v>
      </c>
      <c r="CD77" s="4504">
        <f t="shared" si="159"/>
        <v>0</v>
      </c>
      <c r="CE77" s="4504">
        <f t="shared" si="160"/>
        <v>0</v>
      </c>
      <c r="CF77" s="4504">
        <f t="shared" si="161"/>
        <v>0</v>
      </c>
    </row>
    <row r="78" spans="1:84">
      <c r="A78" s="2138"/>
      <c r="B78" s="2139">
        <v>2040205</v>
      </c>
      <c r="C78" s="2128">
        <v>2070105</v>
      </c>
      <c r="D78" s="2140">
        <v>0.02</v>
      </c>
      <c r="E78" s="2141" t="s">
        <v>357</v>
      </c>
      <c r="F78" s="2143">
        <f t="shared" si="120"/>
        <v>0</v>
      </c>
      <c r="G78" s="4140">
        <f t="shared" si="121"/>
        <v>0</v>
      </c>
      <c r="H78" s="2142">
        <f t="shared" si="122"/>
        <v>0</v>
      </c>
      <c r="I78" s="2143">
        <f t="shared" si="123"/>
        <v>0</v>
      </c>
      <c r="J78" s="2144">
        <f t="shared" si="124"/>
        <v>0</v>
      </c>
      <c r="K78" s="2144">
        <f t="shared" si="125"/>
        <v>0</v>
      </c>
      <c r="L78" s="2144">
        <f t="shared" si="126"/>
        <v>0</v>
      </c>
      <c r="M78" s="2145">
        <f t="shared" si="127"/>
        <v>0</v>
      </c>
      <c r="N78" s="2146">
        <f t="shared" si="128"/>
        <v>0</v>
      </c>
      <c r="O78" s="1283"/>
      <c r="P78" s="1285"/>
      <c r="Q78" s="1284"/>
      <c r="R78" s="1285"/>
      <c r="S78" s="1286"/>
      <c r="T78" s="1286"/>
      <c r="U78" s="1286"/>
      <c r="V78" s="1286"/>
      <c r="W78" s="1283"/>
      <c r="X78" s="1285"/>
      <c r="Y78" s="1284"/>
      <c r="Z78" s="1285"/>
      <c r="AA78" s="1286"/>
      <c r="AB78" s="1286"/>
      <c r="AC78" s="1286"/>
      <c r="AD78" s="1286"/>
      <c r="AE78" s="1283"/>
      <c r="AF78" s="1285"/>
      <c r="AG78" s="1284"/>
      <c r="AH78" s="1285"/>
      <c r="AI78" s="1286"/>
      <c r="AJ78" s="1286"/>
      <c r="AK78" s="1286"/>
      <c r="AL78" s="1287"/>
      <c r="AM78" s="1288"/>
      <c r="AN78" s="1290"/>
      <c r="AO78" s="2147" t="s">
        <v>678</v>
      </c>
      <c r="AP78" s="1285"/>
      <c r="AQ78" s="1285"/>
      <c r="AR78" s="1284"/>
      <c r="AS78" s="1285"/>
      <c r="AT78" s="1286"/>
      <c r="AU78" s="1286"/>
      <c r="AV78" s="1286"/>
      <c r="AW78" s="1284"/>
      <c r="AX78" s="2148" t="s">
        <v>358</v>
      </c>
      <c r="AY78" s="4488"/>
      <c r="AZ78" s="4504">
        <f t="shared" si="129"/>
        <v>0</v>
      </c>
      <c r="BA78" s="4504">
        <f t="shared" si="130"/>
        <v>0</v>
      </c>
      <c r="BB78" s="4504">
        <f t="shared" si="131"/>
        <v>0</v>
      </c>
      <c r="BC78" s="4504">
        <f t="shared" si="132"/>
        <v>0</v>
      </c>
      <c r="BD78" s="4504">
        <f t="shared" si="133"/>
        <v>0</v>
      </c>
      <c r="BE78" s="4504">
        <f t="shared" si="134"/>
        <v>0</v>
      </c>
      <c r="BF78" s="4504">
        <f t="shared" si="135"/>
        <v>0</v>
      </c>
      <c r="BG78" s="4504">
        <f t="shared" si="136"/>
        <v>0</v>
      </c>
      <c r="BH78" s="4504">
        <f t="shared" si="137"/>
        <v>0</v>
      </c>
      <c r="BI78" s="4504">
        <f t="shared" si="138"/>
        <v>0</v>
      </c>
      <c r="BJ78" s="4504">
        <f t="shared" si="139"/>
        <v>0</v>
      </c>
      <c r="BK78" s="4504">
        <f t="shared" si="140"/>
        <v>0</v>
      </c>
      <c r="BL78" s="4504">
        <f t="shared" si="141"/>
        <v>0</v>
      </c>
      <c r="BM78" s="4504">
        <f t="shared" si="142"/>
        <v>0</v>
      </c>
      <c r="BN78" s="4504">
        <f t="shared" si="143"/>
        <v>0</v>
      </c>
      <c r="BO78" s="4504">
        <f t="shared" si="144"/>
        <v>0</v>
      </c>
      <c r="BP78" s="4504">
        <f t="shared" si="145"/>
        <v>0</v>
      </c>
      <c r="BQ78" s="4504">
        <f t="shared" si="146"/>
        <v>0</v>
      </c>
      <c r="BR78" s="4504">
        <f t="shared" si="147"/>
        <v>0</v>
      </c>
      <c r="BS78" s="4504">
        <f t="shared" si="148"/>
        <v>0</v>
      </c>
      <c r="BT78" s="4504">
        <f t="shared" si="149"/>
        <v>0</v>
      </c>
      <c r="BU78" s="4504">
        <f t="shared" si="150"/>
        <v>0</v>
      </c>
      <c r="BV78" s="4504">
        <f t="shared" si="151"/>
        <v>0</v>
      </c>
      <c r="BW78" s="4504">
        <f t="shared" si="152"/>
        <v>0</v>
      </c>
      <c r="BX78" s="4504">
        <f t="shared" si="153"/>
        <v>0</v>
      </c>
      <c r="BY78" s="4504">
        <f t="shared" si="154"/>
        <v>0</v>
      </c>
      <c r="BZ78" s="4504">
        <f t="shared" si="155"/>
        <v>0</v>
      </c>
      <c r="CA78" s="4504">
        <f t="shared" si="156"/>
        <v>0</v>
      </c>
      <c r="CB78" s="4504">
        <f t="shared" si="157"/>
        <v>0</v>
      </c>
      <c r="CC78" s="4504">
        <f t="shared" si="158"/>
        <v>0</v>
      </c>
      <c r="CD78" s="4504">
        <f t="shared" si="159"/>
        <v>0</v>
      </c>
      <c r="CE78" s="4504">
        <f t="shared" si="160"/>
        <v>0</v>
      </c>
      <c r="CF78" s="4504">
        <f t="shared" si="161"/>
        <v>0</v>
      </c>
    </row>
    <row r="79" spans="1:84" ht="24">
      <c r="A79" s="2138"/>
      <c r="B79" s="2139">
        <v>2040207</v>
      </c>
      <c r="C79" s="2139">
        <v>2070106</v>
      </c>
      <c r="D79" s="2140">
        <v>0.04</v>
      </c>
      <c r="E79" s="2141" t="s">
        <v>359</v>
      </c>
      <c r="F79" s="2143">
        <f t="shared" si="120"/>
        <v>0</v>
      </c>
      <c r="G79" s="4140">
        <f t="shared" si="121"/>
        <v>0</v>
      </c>
      <c r="H79" s="2142">
        <f t="shared" si="122"/>
        <v>0</v>
      </c>
      <c r="I79" s="2143">
        <f t="shared" si="123"/>
        <v>0</v>
      </c>
      <c r="J79" s="2144">
        <f t="shared" si="124"/>
        <v>0</v>
      </c>
      <c r="K79" s="2144">
        <f t="shared" si="125"/>
        <v>0</v>
      </c>
      <c r="L79" s="2144">
        <f t="shared" si="126"/>
        <v>0</v>
      </c>
      <c r="M79" s="2145">
        <f t="shared" si="127"/>
        <v>0</v>
      </c>
      <c r="N79" s="2146">
        <f t="shared" si="128"/>
        <v>0</v>
      </c>
      <c r="O79" s="1283"/>
      <c r="P79" s="1285"/>
      <c r="Q79" s="1284"/>
      <c r="R79" s="1285"/>
      <c r="S79" s="1286"/>
      <c r="T79" s="1286"/>
      <c r="U79" s="1286"/>
      <c r="V79" s="1286"/>
      <c r="W79" s="1283"/>
      <c r="X79" s="1285"/>
      <c r="Y79" s="1284"/>
      <c r="Z79" s="1285"/>
      <c r="AA79" s="1286"/>
      <c r="AB79" s="1286"/>
      <c r="AC79" s="1286"/>
      <c r="AD79" s="1286"/>
      <c r="AE79" s="1283"/>
      <c r="AF79" s="1285"/>
      <c r="AG79" s="1284"/>
      <c r="AH79" s="1285"/>
      <c r="AI79" s="1286"/>
      <c r="AJ79" s="1286"/>
      <c r="AK79" s="1286"/>
      <c r="AL79" s="1287"/>
      <c r="AM79" s="1288"/>
      <c r="AN79" s="1290"/>
      <c r="AO79" s="2147" t="s">
        <v>676</v>
      </c>
      <c r="AP79" s="1285"/>
      <c r="AQ79" s="1285"/>
      <c r="AR79" s="1284"/>
      <c r="AS79" s="1285"/>
      <c r="AT79" s="1286"/>
      <c r="AU79" s="1286"/>
      <c r="AV79" s="1286"/>
      <c r="AW79" s="1284"/>
      <c r="AX79" s="2148" t="s">
        <v>360</v>
      </c>
      <c r="AY79" s="4488"/>
      <c r="AZ79" s="4504">
        <f t="shared" si="129"/>
        <v>0</v>
      </c>
      <c r="BA79" s="4504">
        <f t="shared" si="130"/>
        <v>0</v>
      </c>
      <c r="BB79" s="4504">
        <f t="shared" si="131"/>
        <v>0</v>
      </c>
      <c r="BC79" s="4504">
        <f t="shared" si="132"/>
        <v>0</v>
      </c>
      <c r="BD79" s="4504">
        <f t="shared" si="133"/>
        <v>0</v>
      </c>
      <c r="BE79" s="4504">
        <f t="shared" si="134"/>
        <v>0</v>
      </c>
      <c r="BF79" s="4504">
        <f t="shared" si="135"/>
        <v>0</v>
      </c>
      <c r="BG79" s="4504">
        <f t="shared" si="136"/>
        <v>0</v>
      </c>
      <c r="BH79" s="4504">
        <f t="shared" si="137"/>
        <v>0</v>
      </c>
      <c r="BI79" s="4504">
        <f t="shared" si="138"/>
        <v>0</v>
      </c>
      <c r="BJ79" s="4504">
        <f t="shared" si="139"/>
        <v>0</v>
      </c>
      <c r="BK79" s="4504">
        <f t="shared" si="140"/>
        <v>0</v>
      </c>
      <c r="BL79" s="4504">
        <f t="shared" si="141"/>
        <v>0</v>
      </c>
      <c r="BM79" s="4504">
        <f t="shared" si="142"/>
        <v>0</v>
      </c>
      <c r="BN79" s="4504">
        <f t="shared" si="143"/>
        <v>0</v>
      </c>
      <c r="BO79" s="4504">
        <f t="shared" si="144"/>
        <v>0</v>
      </c>
      <c r="BP79" s="4504">
        <f t="shared" si="145"/>
        <v>0</v>
      </c>
      <c r="BQ79" s="4504">
        <f t="shared" si="146"/>
        <v>0</v>
      </c>
      <c r="BR79" s="4504">
        <f t="shared" si="147"/>
        <v>0</v>
      </c>
      <c r="BS79" s="4504">
        <f t="shared" si="148"/>
        <v>0</v>
      </c>
      <c r="BT79" s="4504">
        <f t="shared" si="149"/>
        <v>0</v>
      </c>
      <c r="BU79" s="4504">
        <f t="shared" si="150"/>
        <v>0</v>
      </c>
      <c r="BV79" s="4504">
        <f t="shared" si="151"/>
        <v>0</v>
      </c>
      <c r="BW79" s="4504">
        <f t="shared" si="152"/>
        <v>0</v>
      </c>
      <c r="BX79" s="4504">
        <f t="shared" si="153"/>
        <v>0</v>
      </c>
      <c r="BY79" s="4504">
        <f t="shared" si="154"/>
        <v>0</v>
      </c>
      <c r="BZ79" s="4504">
        <f t="shared" si="155"/>
        <v>0</v>
      </c>
      <c r="CA79" s="4504">
        <f t="shared" si="156"/>
        <v>0</v>
      </c>
      <c r="CB79" s="4504">
        <f t="shared" si="157"/>
        <v>0</v>
      </c>
      <c r="CC79" s="4504">
        <f t="shared" si="158"/>
        <v>0</v>
      </c>
      <c r="CD79" s="4504">
        <f t="shared" si="159"/>
        <v>0</v>
      </c>
      <c r="CE79" s="4504">
        <f t="shared" si="160"/>
        <v>0</v>
      </c>
      <c r="CF79" s="4504">
        <f t="shared" si="161"/>
        <v>0</v>
      </c>
    </row>
    <row r="80" spans="1:84">
      <c r="A80" s="2138"/>
      <c r="B80" s="2139">
        <v>2040207</v>
      </c>
      <c r="C80" s="2128">
        <v>2070107</v>
      </c>
      <c r="D80" s="2140">
        <v>0.04</v>
      </c>
      <c r="E80" s="2150" t="s">
        <v>660</v>
      </c>
      <c r="F80" s="2143">
        <f t="shared" si="120"/>
        <v>0</v>
      </c>
      <c r="G80" s="4140">
        <f t="shared" si="121"/>
        <v>0</v>
      </c>
      <c r="H80" s="2142">
        <f t="shared" si="122"/>
        <v>0</v>
      </c>
      <c r="I80" s="2143">
        <f t="shared" si="123"/>
        <v>0</v>
      </c>
      <c r="J80" s="2144">
        <f t="shared" si="124"/>
        <v>0</v>
      </c>
      <c r="K80" s="2144">
        <f t="shared" si="125"/>
        <v>0</v>
      </c>
      <c r="L80" s="2144">
        <f t="shared" si="126"/>
        <v>0</v>
      </c>
      <c r="M80" s="2145">
        <f t="shared" si="127"/>
        <v>0</v>
      </c>
      <c r="N80" s="2146">
        <f t="shared" si="128"/>
        <v>0</v>
      </c>
      <c r="O80" s="1283"/>
      <c r="P80" s="1285"/>
      <c r="Q80" s="1284"/>
      <c r="R80" s="1285"/>
      <c r="S80" s="1286"/>
      <c r="T80" s="1286"/>
      <c r="U80" s="1286"/>
      <c r="V80" s="1286"/>
      <c r="W80" s="1283"/>
      <c r="X80" s="1285"/>
      <c r="Y80" s="1284"/>
      <c r="Z80" s="1285"/>
      <c r="AA80" s="1286"/>
      <c r="AB80" s="1286"/>
      <c r="AC80" s="1286"/>
      <c r="AD80" s="1286"/>
      <c r="AE80" s="1283"/>
      <c r="AF80" s="1285"/>
      <c r="AG80" s="1284"/>
      <c r="AH80" s="1285"/>
      <c r="AI80" s="1286"/>
      <c r="AJ80" s="1286"/>
      <c r="AK80" s="1286"/>
      <c r="AL80" s="1287"/>
      <c r="AM80" s="1288"/>
      <c r="AN80" s="1290"/>
      <c r="AO80" s="2147" t="s">
        <v>676</v>
      </c>
      <c r="AP80" s="1285"/>
      <c r="AQ80" s="1285"/>
      <c r="AR80" s="1284"/>
      <c r="AS80" s="1285"/>
      <c r="AT80" s="1286"/>
      <c r="AU80" s="1286"/>
      <c r="AV80" s="1286"/>
      <c r="AW80" s="1284"/>
      <c r="AX80" s="2148" t="s">
        <v>360</v>
      </c>
      <c r="AY80" s="4488"/>
      <c r="AZ80" s="4504">
        <f t="shared" si="129"/>
        <v>0</v>
      </c>
      <c r="BA80" s="4504">
        <f t="shared" si="130"/>
        <v>0</v>
      </c>
      <c r="BB80" s="4504">
        <f t="shared" si="131"/>
        <v>0</v>
      </c>
      <c r="BC80" s="4504">
        <f t="shared" si="132"/>
        <v>0</v>
      </c>
      <c r="BD80" s="4504">
        <f t="shared" si="133"/>
        <v>0</v>
      </c>
      <c r="BE80" s="4504">
        <f t="shared" si="134"/>
        <v>0</v>
      </c>
      <c r="BF80" s="4504">
        <f t="shared" si="135"/>
        <v>0</v>
      </c>
      <c r="BG80" s="4504">
        <f t="shared" si="136"/>
        <v>0</v>
      </c>
      <c r="BH80" s="4504">
        <f t="shared" si="137"/>
        <v>0</v>
      </c>
      <c r="BI80" s="4504">
        <f t="shared" si="138"/>
        <v>0</v>
      </c>
      <c r="BJ80" s="4504">
        <f t="shared" si="139"/>
        <v>0</v>
      </c>
      <c r="BK80" s="4504">
        <f t="shared" si="140"/>
        <v>0</v>
      </c>
      <c r="BL80" s="4504">
        <f t="shared" si="141"/>
        <v>0</v>
      </c>
      <c r="BM80" s="4504">
        <f t="shared" si="142"/>
        <v>0</v>
      </c>
      <c r="BN80" s="4504">
        <f t="shared" si="143"/>
        <v>0</v>
      </c>
      <c r="BO80" s="4504">
        <f t="shared" si="144"/>
        <v>0</v>
      </c>
      <c r="BP80" s="4504">
        <f t="shared" si="145"/>
        <v>0</v>
      </c>
      <c r="BQ80" s="4504">
        <f t="shared" si="146"/>
        <v>0</v>
      </c>
      <c r="BR80" s="4504">
        <f t="shared" si="147"/>
        <v>0</v>
      </c>
      <c r="BS80" s="4504">
        <f t="shared" si="148"/>
        <v>0</v>
      </c>
      <c r="BT80" s="4504">
        <f t="shared" si="149"/>
        <v>0</v>
      </c>
      <c r="BU80" s="4504">
        <f t="shared" si="150"/>
        <v>0</v>
      </c>
      <c r="BV80" s="4504">
        <f t="shared" si="151"/>
        <v>0</v>
      </c>
      <c r="BW80" s="4504">
        <f t="shared" si="152"/>
        <v>0</v>
      </c>
      <c r="BX80" s="4504">
        <f t="shared" si="153"/>
        <v>0</v>
      </c>
      <c r="BY80" s="4504">
        <f t="shared" si="154"/>
        <v>0</v>
      </c>
      <c r="BZ80" s="4504">
        <f t="shared" si="155"/>
        <v>0</v>
      </c>
      <c r="CA80" s="4504">
        <f t="shared" si="156"/>
        <v>0</v>
      </c>
      <c r="CB80" s="4504">
        <f t="shared" si="157"/>
        <v>0</v>
      </c>
      <c r="CC80" s="4504">
        <f t="shared" si="158"/>
        <v>0</v>
      </c>
      <c r="CD80" s="4504">
        <f t="shared" si="159"/>
        <v>0</v>
      </c>
      <c r="CE80" s="4504">
        <f t="shared" si="160"/>
        <v>0</v>
      </c>
      <c r="CF80" s="4504">
        <f t="shared" si="161"/>
        <v>0</v>
      </c>
    </row>
    <row r="81" spans="1:84">
      <c r="A81" s="2138"/>
      <c r="B81" s="2139">
        <v>2040207</v>
      </c>
      <c r="C81" s="2139">
        <v>2070108</v>
      </c>
      <c r="D81" s="2140">
        <v>0.04</v>
      </c>
      <c r="E81" s="2150" t="s">
        <v>661</v>
      </c>
      <c r="F81" s="2143">
        <f t="shared" si="120"/>
        <v>0</v>
      </c>
      <c r="G81" s="4140">
        <f t="shared" si="121"/>
        <v>0</v>
      </c>
      <c r="H81" s="2142">
        <f t="shared" si="122"/>
        <v>0</v>
      </c>
      <c r="I81" s="2143">
        <f t="shared" si="123"/>
        <v>0</v>
      </c>
      <c r="J81" s="2144">
        <f t="shared" si="124"/>
        <v>0</v>
      </c>
      <c r="K81" s="2144">
        <f t="shared" si="125"/>
        <v>0</v>
      </c>
      <c r="L81" s="2144">
        <f t="shared" si="126"/>
        <v>0</v>
      </c>
      <c r="M81" s="2145">
        <f t="shared" si="127"/>
        <v>0</v>
      </c>
      <c r="N81" s="2146">
        <f t="shared" si="128"/>
        <v>0</v>
      </c>
      <c r="O81" s="1283"/>
      <c r="P81" s="1285"/>
      <c r="Q81" s="1284"/>
      <c r="R81" s="1285"/>
      <c r="S81" s="1286"/>
      <c r="T81" s="1286"/>
      <c r="U81" s="1286"/>
      <c r="V81" s="1286"/>
      <c r="W81" s="1283"/>
      <c r="X81" s="1285"/>
      <c r="Y81" s="1284"/>
      <c r="Z81" s="1285"/>
      <c r="AA81" s="1286"/>
      <c r="AB81" s="1286"/>
      <c r="AC81" s="1286"/>
      <c r="AD81" s="1286"/>
      <c r="AE81" s="1283"/>
      <c r="AF81" s="1285"/>
      <c r="AG81" s="1284"/>
      <c r="AH81" s="1285"/>
      <c r="AI81" s="1286"/>
      <c r="AJ81" s="1286"/>
      <c r="AK81" s="1286"/>
      <c r="AL81" s="1287"/>
      <c r="AM81" s="1288"/>
      <c r="AN81" s="1290"/>
      <c r="AO81" s="2147" t="s">
        <v>676</v>
      </c>
      <c r="AP81" s="1285"/>
      <c r="AQ81" s="1285"/>
      <c r="AR81" s="1284"/>
      <c r="AS81" s="1285"/>
      <c r="AT81" s="1286"/>
      <c r="AU81" s="1286"/>
      <c r="AV81" s="1286"/>
      <c r="AW81" s="1284"/>
      <c r="AX81" s="2148" t="s">
        <v>360</v>
      </c>
      <c r="AY81" s="4488"/>
      <c r="AZ81" s="4504">
        <f t="shared" si="129"/>
        <v>0</v>
      </c>
      <c r="BA81" s="4504">
        <f t="shared" si="130"/>
        <v>0</v>
      </c>
      <c r="BB81" s="4504">
        <f t="shared" si="131"/>
        <v>0</v>
      </c>
      <c r="BC81" s="4504">
        <f t="shared" si="132"/>
        <v>0</v>
      </c>
      <c r="BD81" s="4504">
        <f t="shared" si="133"/>
        <v>0</v>
      </c>
      <c r="BE81" s="4504">
        <f t="shared" si="134"/>
        <v>0</v>
      </c>
      <c r="BF81" s="4504">
        <f t="shared" si="135"/>
        <v>0</v>
      </c>
      <c r="BG81" s="4504">
        <f t="shared" si="136"/>
        <v>0</v>
      </c>
      <c r="BH81" s="4504">
        <f t="shared" si="137"/>
        <v>0</v>
      </c>
      <c r="BI81" s="4504">
        <f t="shared" si="138"/>
        <v>0</v>
      </c>
      <c r="BJ81" s="4504">
        <f t="shared" si="139"/>
        <v>0</v>
      </c>
      <c r="BK81" s="4504">
        <f t="shared" si="140"/>
        <v>0</v>
      </c>
      <c r="BL81" s="4504">
        <f t="shared" si="141"/>
        <v>0</v>
      </c>
      <c r="BM81" s="4504">
        <f t="shared" si="142"/>
        <v>0</v>
      </c>
      <c r="BN81" s="4504">
        <f t="shared" si="143"/>
        <v>0</v>
      </c>
      <c r="BO81" s="4504">
        <f t="shared" si="144"/>
        <v>0</v>
      </c>
      <c r="BP81" s="4504">
        <f t="shared" si="145"/>
        <v>0</v>
      </c>
      <c r="BQ81" s="4504">
        <f t="shared" si="146"/>
        <v>0</v>
      </c>
      <c r="BR81" s="4504">
        <f t="shared" si="147"/>
        <v>0</v>
      </c>
      <c r="BS81" s="4504">
        <f t="shared" si="148"/>
        <v>0</v>
      </c>
      <c r="BT81" s="4504">
        <f t="shared" si="149"/>
        <v>0</v>
      </c>
      <c r="BU81" s="4504">
        <f t="shared" si="150"/>
        <v>0</v>
      </c>
      <c r="BV81" s="4504">
        <f t="shared" si="151"/>
        <v>0</v>
      </c>
      <c r="BW81" s="4504">
        <f t="shared" si="152"/>
        <v>0</v>
      </c>
      <c r="BX81" s="4504">
        <f t="shared" si="153"/>
        <v>0</v>
      </c>
      <c r="BY81" s="4504">
        <f t="shared" si="154"/>
        <v>0</v>
      </c>
      <c r="BZ81" s="4504">
        <f t="shared" si="155"/>
        <v>0</v>
      </c>
      <c r="CA81" s="4504">
        <f t="shared" si="156"/>
        <v>0</v>
      </c>
      <c r="CB81" s="4504">
        <f t="shared" si="157"/>
        <v>0</v>
      </c>
      <c r="CC81" s="4504">
        <f t="shared" si="158"/>
        <v>0</v>
      </c>
      <c r="CD81" s="4504">
        <f t="shared" si="159"/>
        <v>0</v>
      </c>
      <c r="CE81" s="4504">
        <f t="shared" si="160"/>
        <v>0</v>
      </c>
      <c r="CF81" s="4504">
        <f t="shared" si="161"/>
        <v>0</v>
      </c>
    </row>
    <row r="82" spans="1:84">
      <c r="A82" s="2138"/>
      <c r="B82" s="2139">
        <v>2040207</v>
      </c>
      <c r="C82" s="2128">
        <v>2070109</v>
      </c>
      <c r="D82" s="2140">
        <v>0.04</v>
      </c>
      <c r="E82" s="2150" t="s">
        <v>361</v>
      </c>
      <c r="F82" s="2143">
        <f t="shared" si="120"/>
        <v>0</v>
      </c>
      <c r="G82" s="4140">
        <f t="shared" si="121"/>
        <v>0</v>
      </c>
      <c r="H82" s="2142">
        <f t="shared" si="122"/>
        <v>0</v>
      </c>
      <c r="I82" s="2143">
        <f t="shared" si="123"/>
        <v>0</v>
      </c>
      <c r="J82" s="2144">
        <f t="shared" si="124"/>
        <v>0</v>
      </c>
      <c r="K82" s="2144">
        <f t="shared" si="125"/>
        <v>0</v>
      </c>
      <c r="L82" s="2144">
        <f t="shared" si="126"/>
        <v>0</v>
      </c>
      <c r="M82" s="2145">
        <f t="shared" si="127"/>
        <v>0</v>
      </c>
      <c r="N82" s="2146">
        <f t="shared" si="128"/>
        <v>0</v>
      </c>
      <c r="O82" s="1283"/>
      <c r="P82" s="1285"/>
      <c r="Q82" s="1284"/>
      <c r="R82" s="1285"/>
      <c r="S82" s="1286"/>
      <c r="T82" s="1286"/>
      <c r="U82" s="1286"/>
      <c r="V82" s="1286"/>
      <c r="W82" s="1283"/>
      <c r="X82" s="1285"/>
      <c r="Y82" s="1284"/>
      <c r="Z82" s="1285"/>
      <c r="AA82" s="1286"/>
      <c r="AB82" s="1286"/>
      <c r="AC82" s="1286"/>
      <c r="AD82" s="1286"/>
      <c r="AE82" s="1283"/>
      <c r="AF82" s="1285"/>
      <c r="AG82" s="1284"/>
      <c r="AH82" s="1285"/>
      <c r="AI82" s="1286"/>
      <c r="AJ82" s="1286"/>
      <c r="AK82" s="1286"/>
      <c r="AL82" s="1287"/>
      <c r="AM82" s="1288"/>
      <c r="AN82" s="1289"/>
      <c r="AO82" s="2147" t="s">
        <v>676</v>
      </c>
      <c r="AP82" s="1285"/>
      <c r="AQ82" s="1285"/>
      <c r="AR82" s="1284"/>
      <c r="AS82" s="1285"/>
      <c r="AT82" s="1286"/>
      <c r="AU82" s="1286"/>
      <c r="AV82" s="1286"/>
      <c r="AW82" s="1284"/>
      <c r="AX82" s="2148" t="s">
        <v>360</v>
      </c>
      <c r="AY82" s="4488"/>
      <c r="AZ82" s="4504">
        <f t="shared" si="129"/>
        <v>0</v>
      </c>
      <c r="BA82" s="4504">
        <f t="shared" si="130"/>
        <v>0</v>
      </c>
      <c r="BB82" s="4504">
        <f t="shared" si="131"/>
        <v>0</v>
      </c>
      <c r="BC82" s="4504">
        <f t="shared" si="132"/>
        <v>0</v>
      </c>
      <c r="BD82" s="4504">
        <f t="shared" si="133"/>
        <v>0</v>
      </c>
      <c r="BE82" s="4504">
        <f t="shared" si="134"/>
        <v>0</v>
      </c>
      <c r="BF82" s="4504">
        <f t="shared" si="135"/>
        <v>0</v>
      </c>
      <c r="BG82" s="4504">
        <f t="shared" si="136"/>
        <v>0</v>
      </c>
      <c r="BH82" s="4504">
        <f t="shared" si="137"/>
        <v>0</v>
      </c>
      <c r="BI82" s="4504">
        <f t="shared" si="138"/>
        <v>0</v>
      </c>
      <c r="BJ82" s="4504">
        <f t="shared" si="139"/>
        <v>0</v>
      </c>
      <c r="BK82" s="4504">
        <f t="shared" si="140"/>
        <v>0</v>
      </c>
      <c r="BL82" s="4504">
        <f t="shared" si="141"/>
        <v>0</v>
      </c>
      <c r="BM82" s="4504">
        <f t="shared" si="142"/>
        <v>0</v>
      </c>
      <c r="BN82" s="4504">
        <f t="shared" si="143"/>
        <v>0</v>
      </c>
      <c r="BO82" s="4504">
        <f t="shared" si="144"/>
        <v>0</v>
      </c>
      <c r="BP82" s="4504">
        <f t="shared" si="145"/>
        <v>0</v>
      </c>
      <c r="BQ82" s="4504">
        <f t="shared" si="146"/>
        <v>0</v>
      </c>
      <c r="BR82" s="4504">
        <f t="shared" si="147"/>
        <v>0</v>
      </c>
      <c r="BS82" s="4504">
        <f t="shared" si="148"/>
        <v>0</v>
      </c>
      <c r="BT82" s="4504">
        <f t="shared" si="149"/>
        <v>0</v>
      </c>
      <c r="BU82" s="4504">
        <f t="shared" si="150"/>
        <v>0</v>
      </c>
      <c r="BV82" s="4504">
        <f t="shared" si="151"/>
        <v>0</v>
      </c>
      <c r="BW82" s="4504">
        <f t="shared" si="152"/>
        <v>0</v>
      </c>
      <c r="BX82" s="4504">
        <f t="shared" si="153"/>
        <v>0</v>
      </c>
      <c r="BY82" s="4504">
        <f t="shared" si="154"/>
        <v>0</v>
      </c>
      <c r="BZ82" s="4504">
        <f t="shared" si="155"/>
        <v>0</v>
      </c>
      <c r="CA82" s="4504">
        <f t="shared" si="156"/>
        <v>0</v>
      </c>
      <c r="CB82" s="4504">
        <f t="shared" si="157"/>
        <v>0</v>
      </c>
      <c r="CC82" s="4504">
        <f t="shared" si="158"/>
        <v>0</v>
      </c>
      <c r="CD82" s="4504">
        <f t="shared" si="159"/>
        <v>0</v>
      </c>
      <c r="CE82" s="4504">
        <f t="shared" si="160"/>
        <v>0</v>
      </c>
      <c r="CF82" s="4504">
        <f t="shared" si="161"/>
        <v>0</v>
      </c>
    </row>
    <row r="83" spans="1:84">
      <c r="A83" s="2138"/>
      <c r="B83" s="2139">
        <v>2030401</v>
      </c>
      <c r="C83" s="2139">
        <v>2070110</v>
      </c>
      <c r="D83" s="2151">
        <v>0.1</v>
      </c>
      <c r="E83" s="2150" t="s">
        <v>362</v>
      </c>
      <c r="F83" s="2143">
        <f t="shared" si="120"/>
        <v>0</v>
      </c>
      <c r="G83" s="4140">
        <f t="shared" si="121"/>
        <v>0</v>
      </c>
      <c r="H83" s="2142">
        <f t="shared" si="122"/>
        <v>0</v>
      </c>
      <c r="I83" s="2143">
        <f t="shared" si="123"/>
        <v>0</v>
      </c>
      <c r="J83" s="2144">
        <f t="shared" si="124"/>
        <v>0</v>
      </c>
      <c r="K83" s="2144">
        <f t="shared" si="125"/>
        <v>0</v>
      </c>
      <c r="L83" s="2144">
        <f t="shared" si="126"/>
        <v>0</v>
      </c>
      <c r="M83" s="2145">
        <f t="shared" si="127"/>
        <v>0</v>
      </c>
      <c r="N83" s="2146">
        <f t="shared" si="128"/>
        <v>0</v>
      </c>
      <c r="O83" s="1283"/>
      <c r="P83" s="1285"/>
      <c r="Q83" s="1284"/>
      <c r="R83" s="1285"/>
      <c r="S83" s="1286"/>
      <c r="T83" s="1286"/>
      <c r="U83" s="1286"/>
      <c r="V83" s="1286"/>
      <c r="W83" s="1283"/>
      <c r="X83" s="1285"/>
      <c r="Y83" s="1284"/>
      <c r="Z83" s="1285"/>
      <c r="AA83" s="1286"/>
      <c r="AB83" s="1286"/>
      <c r="AC83" s="1286"/>
      <c r="AD83" s="1286"/>
      <c r="AE83" s="1283"/>
      <c r="AF83" s="1285"/>
      <c r="AG83" s="1284"/>
      <c r="AH83" s="1285"/>
      <c r="AI83" s="1286"/>
      <c r="AJ83" s="1286"/>
      <c r="AK83" s="1286"/>
      <c r="AL83" s="1287"/>
      <c r="AM83" s="1288"/>
      <c r="AN83" s="1290"/>
      <c r="AO83" s="2147" t="s">
        <v>676</v>
      </c>
      <c r="AP83" s="1285"/>
      <c r="AQ83" s="1285"/>
      <c r="AR83" s="1284"/>
      <c r="AS83" s="1285"/>
      <c r="AT83" s="1286"/>
      <c r="AU83" s="1286"/>
      <c r="AV83" s="1286"/>
      <c r="AW83" s="1284"/>
      <c r="AX83" s="2148" t="s">
        <v>360</v>
      </c>
      <c r="AY83" s="4488"/>
      <c r="AZ83" s="4504">
        <f t="shared" si="129"/>
        <v>0</v>
      </c>
      <c r="BA83" s="4504">
        <f t="shared" si="130"/>
        <v>0</v>
      </c>
      <c r="BB83" s="4504">
        <f t="shared" si="131"/>
        <v>0</v>
      </c>
      <c r="BC83" s="4504">
        <f t="shared" si="132"/>
        <v>0</v>
      </c>
      <c r="BD83" s="4504">
        <f t="shared" si="133"/>
        <v>0</v>
      </c>
      <c r="BE83" s="4504">
        <f t="shared" si="134"/>
        <v>0</v>
      </c>
      <c r="BF83" s="4504">
        <f t="shared" si="135"/>
        <v>0</v>
      </c>
      <c r="BG83" s="4504">
        <f t="shared" si="136"/>
        <v>0</v>
      </c>
      <c r="BH83" s="4504">
        <f t="shared" si="137"/>
        <v>0</v>
      </c>
      <c r="BI83" s="4504">
        <f t="shared" si="138"/>
        <v>0</v>
      </c>
      <c r="BJ83" s="4504">
        <f t="shared" si="139"/>
        <v>0</v>
      </c>
      <c r="BK83" s="4504">
        <f t="shared" si="140"/>
        <v>0</v>
      </c>
      <c r="BL83" s="4504">
        <f t="shared" si="141"/>
        <v>0</v>
      </c>
      <c r="BM83" s="4504">
        <f t="shared" si="142"/>
        <v>0</v>
      </c>
      <c r="BN83" s="4504">
        <f t="shared" si="143"/>
        <v>0</v>
      </c>
      <c r="BO83" s="4504">
        <f t="shared" si="144"/>
        <v>0</v>
      </c>
      <c r="BP83" s="4504">
        <f t="shared" si="145"/>
        <v>0</v>
      </c>
      <c r="BQ83" s="4504">
        <f t="shared" si="146"/>
        <v>0</v>
      </c>
      <c r="BR83" s="4504">
        <f t="shared" si="147"/>
        <v>0</v>
      </c>
      <c r="BS83" s="4504">
        <f t="shared" si="148"/>
        <v>0</v>
      </c>
      <c r="BT83" s="4504">
        <f t="shared" si="149"/>
        <v>0</v>
      </c>
      <c r="BU83" s="4504">
        <f t="shared" si="150"/>
        <v>0</v>
      </c>
      <c r="BV83" s="4504">
        <f t="shared" si="151"/>
        <v>0</v>
      </c>
      <c r="BW83" s="4504">
        <f t="shared" si="152"/>
        <v>0</v>
      </c>
      <c r="BX83" s="4504">
        <f t="shared" si="153"/>
        <v>0</v>
      </c>
      <c r="BY83" s="4504">
        <f t="shared" si="154"/>
        <v>0</v>
      </c>
      <c r="BZ83" s="4504">
        <f t="shared" si="155"/>
        <v>0</v>
      </c>
      <c r="CA83" s="4504">
        <f t="shared" si="156"/>
        <v>0</v>
      </c>
      <c r="CB83" s="4504">
        <f t="shared" si="157"/>
        <v>0</v>
      </c>
      <c r="CC83" s="4504">
        <f t="shared" si="158"/>
        <v>0</v>
      </c>
      <c r="CD83" s="4504">
        <f t="shared" si="159"/>
        <v>0</v>
      </c>
      <c r="CE83" s="4504">
        <f t="shared" si="160"/>
        <v>0</v>
      </c>
      <c r="CF83" s="4504">
        <f t="shared" si="161"/>
        <v>0</v>
      </c>
    </row>
    <row r="84" spans="1:84" ht="24">
      <c r="A84" s="2138"/>
      <c r="B84" s="2139">
        <v>2040205</v>
      </c>
      <c r="C84" s="2128">
        <v>2070111</v>
      </c>
      <c r="D84" s="2140">
        <v>0.02</v>
      </c>
      <c r="E84" s="2141" t="s">
        <v>363</v>
      </c>
      <c r="F84" s="2143">
        <f t="shared" si="120"/>
        <v>0</v>
      </c>
      <c r="G84" s="4140">
        <f t="shared" si="121"/>
        <v>0</v>
      </c>
      <c r="H84" s="2142">
        <f t="shared" si="122"/>
        <v>0</v>
      </c>
      <c r="I84" s="2143">
        <f t="shared" si="123"/>
        <v>0</v>
      </c>
      <c r="J84" s="2144">
        <f t="shared" si="124"/>
        <v>0</v>
      </c>
      <c r="K84" s="2144">
        <f t="shared" si="125"/>
        <v>0</v>
      </c>
      <c r="L84" s="2144">
        <f t="shared" si="126"/>
        <v>0</v>
      </c>
      <c r="M84" s="2145">
        <f t="shared" si="127"/>
        <v>0</v>
      </c>
      <c r="N84" s="2146">
        <f t="shared" si="128"/>
        <v>0</v>
      </c>
      <c r="O84" s="1283"/>
      <c r="P84" s="1285"/>
      <c r="Q84" s="1284"/>
      <c r="R84" s="1285"/>
      <c r="S84" s="1286"/>
      <c r="T84" s="1286"/>
      <c r="U84" s="1286"/>
      <c r="V84" s="1286"/>
      <c r="W84" s="1283"/>
      <c r="X84" s="1285"/>
      <c r="Y84" s="1284"/>
      <c r="Z84" s="1285"/>
      <c r="AA84" s="1286"/>
      <c r="AB84" s="1286"/>
      <c r="AC84" s="1286"/>
      <c r="AD84" s="1286"/>
      <c r="AE84" s="1283"/>
      <c r="AF84" s="1285"/>
      <c r="AG84" s="1284"/>
      <c r="AH84" s="1285"/>
      <c r="AI84" s="1286"/>
      <c r="AJ84" s="1286"/>
      <c r="AK84" s="1286"/>
      <c r="AL84" s="1287"/>
      <c r="AM84" s="1288"/>
      <c r="AN84" s="1290"/>
      <c r="AO84" s="2147" t="s">
        <v>678</v>
      </c>
      <c r="AP84" s="1285"/>
      <c r="AQ84" s="1285"/>
      <c r="AR84" s="1284"/>
      <c r="AS84" s="1285"/>
      <c r="AT84" s="1286"/>
      <c r="AU84" s="1286"/>
      <c r="AV84" s="1286"/>
      <c r="AW84" s="1284"/>
      <c r="AX84" s="2148" t="s">
        <v>364</v>
      </c>
      <c r="AY84" s="4488"/>
      <c r="AZ84" s="4504">
        <f t="shared" si="129"/>
        <v>0</v>
      </c>
      <c r="BA84" s="4504">
        <f t="shared" si="130"/>
        <v>0</v>
      </c>
      <c r="BB84" s="4504">
        <f t="shared" si="131"/>
        <v>0</v>
      </c>
      <c r="BC84" s="4504">
        <f t="shared" si="132"/>
        <v>0</v>
      </c>
      <c r="BD84" s="4504">
        <f t="shared" si="133"/>
        <v>0</v>
      </c>
      <c r="BE84" s="4504">
        <f t="shared" si="134"/>
        <v>0</v>
      </c>
      <c r="BF84" s="4504">
        <f t="shared" si="135"/>
        <v>0</v>
      </c>
      <c r="BG84" s="4504">
        <f t="shared" si="136"/>
        <v>0</v>
      </c>
      <c r="BH84" s="4504">
        <f t="shared" si="137"/>
        <v>0</v>
      </c>
      <c r="BI84" s="4504">
        <f t="shared" si="138"/>
        <v>0</v>
      </c>
      <c r="BJ84" s="4504">
        <f t="shared" si="139"/>
        <v>0</v>
      </c>
      <c r="BK84" s="4504">
        <f t="shared" si="140"/>
        <v>0</v>
      </c>
      <c r="BL84" s="4504">
        <f t="shared" si="141"/>
        <v>0</v>
      </c>
      <c r="BM84" s="4504">
        <f t="shared" si="142"/>
        <v>0</v>
      </c>
      <c r="BN84" s="4504">
        <f t="shared" si="143"/>
        <v>0</v>
      </c>
      <c r="BO84" s="4504">
        <f t="shared" si="144"/>
        <v>0</v>
      </c>
      <c r="BP84" s="4504">
        <f t="shared" si="145"/>
        <v>0</v>
      </c>
      <c r="BQ84" s="4504">
        <f t="shared" si="146"/>
        <v>0</v>
      </c>
      <c r="BR84" s="4504">
        <f t="shared" si="147"/>
        <v>0</v>
      </c>
      <c r="BS84" s="4504">
        <f t="shared" si="148"/>
        <v>0</v>
      </c>
      <c r="BT84" s="4504">
        <f t="shared" si="149"/>
        <v>0</v>
      </c>
      <c r="BU84" s="4504">
        <f t="shared" si="150"/>
        <v>0</v>
      </c>
      <c r="BV84" s="4504">
        <f t="shared" si="151"/>
        <v>0</v>
      </c>
      <c r="BW84" s="4504">
        <f t="shared" si="152"/>
        <v>0</v>
      </c>
      <c r="BX84" s="4504">
        <f t="shared" si="153"/>
        <v>0</v>
      </c>
      <c r="BY84" s="4504">
        <f t="shared" si="154"/>
        <v>0</v>
      </c>
      <c r="BZ84" s="4504">
        <f t="shared" si="155"/>
        <v>0</v>
      </c>
      <c r="CA84" s="4504">
        <f t="shared" si="156"/>
        <v>0</v>
      </c>
      <c r="CB84" s="4504">
        <f t="shared" si="157"/>
        <v>0</v>
      </c>
      <c r="CC84" s="4504">
        <f t="shared" si="158"/>
        <v>0</v>
      </c>
      <c r="CD84" s="4504">
        <f t="shared" si="159"/>
        <v>0</v>
      </c>
      <c r="CE84" s="4504">
        <f t="shared" si="160"/>
        <v>0</v>
      </c>
      <c r="CF84" s="4504">
        <f t="shared" si="161"/>
        <v>0</v>
      </c>
    </row>
    <row r="85" spans="1:84">
      <c r="A85" s="2138"/>
      <c r="B85" s="2139">
        <v>2040205</v>
      </c>
      <c r="C85" s="2139">
        <v>2070112</v>
      </c>
      <c r="D85" s="2140">
        <v>0.02</v>
      </c>
      <c r="E85" s="2141" t="s">
        <v>365</v>
      </c>
      <c r="F85" s="2143">
        <f t="shared" si="120"/>
        <v>0</v>
      </c>
      <c r="G85" s="4140">
        <f t="shared" si="121"/>
        <v>0</v>
      </c>
      <c r="H85" s="2142">
        <f t="shared" si="122"/>
        <v>0</v>
      </c>
      <c r="I85" s="2143">
        <f t="shared" si="123"/>
        <v>0</v>
      </c>
      <c r="J85" s="2144">
        <f t="shared" si="124"/>
        <v>0</v>
      </c>
      <c r="K85" s="2144">
        <f t="shared" si="125"/>
        <v>0</v>
      </c>
      <c r="L85" s="2144">
        <f t="shared" si="126"/>
        <v>0</v>
      </c>
      <c r="M85" s="2145">
        <f t="shared" si="127"/>
        <v>0</v>
      </c>
      <c r="N85" s="2146">
        <f t="shared" si="128"/>
        <v>0</v>
      </c>
      <c r="O85" s="1283"/>
      <c r="P85" s="1285"/>
      <c r="Q85" s="1284"/>
      <c r="R85" s="1285"/>
      <c r="S85" s="1286"/>
      <c r="T85" s="1286"/>
      <c r="U85" s="1286"/>
      <c r="V85" s="1286"/>
      <c r="W85" s="1283"/>
      <c r="X85" s="1285"/>
      <c r="Y85" s="1284"/>
      <c r="Z85" s="1285"/>
      <c r="AA85" s="1286"/>
      <c r="AB85" s="1286"/>
      <c r="AC85" s="1286"/>
      <c r="AD85" s="1286"/>
      <c r="AE85" s="1283"/>
      <c r="AF85" s="1285"/>
      <c r="AG85" s="1284"/>
      <c r="AH85" s="1285"/>
      <c r="AI85" s="1286"/>
      <c r="AJ85" s="1286"/>
      <c r="AK85" s="1286"/>
      <c r="AL85" s="1287"/>
      <c r="AM85" s="1288"/>
      <c r="AN85" s="1290"/>
      <c r="AO85" s="2147" t="s">
        <v>676</v>
      </c>
      <c r="AP85" s="1285"/>
      <c r="AQ85" s="1285"/>
      <c r="AR85" s="1284"/>
      <c r="AS85" s="1285"/>
      <c r="AT85" s="1286"/>
      <c r="AU85" s="1286"/>
      <c r="AV85" s="1286"/>
      <c r="AW85" s="1284"/>
      <c r="AX85" s="2148" t="s">
        <v>366</v>
      </c>
      <c r="AY85" s="4488"/>
      <c r="AZ85" s="4504">
        <f t="shared" si="129"/>
        <v>0</v>
      </c>
      <c r="BA85" s="4504">
        <f t="shared" si="130"/>
        <v>0</v>
      </c>
      <c r="BB85" s="4504">
        <f t="shared" si="131"/>
        <v>0</v>
      </c>
      <c r="BC85" s="4504">
        <f t="shared" si="132"/>
        <v>0</v>
      </c>
      <c r="BD85" s="4504">
        <f t="shared" si="133"/>
        <v>0</v>
      </c>
      <c r="BE85" s="4504">
        <f t="shared" si="134"/>
        <v>0</v>
      </c>
      <c r="BF85" s="4504">
        <f t="shared" si="135"/>
        <v>0</v>
      </c>
      <c r="BG85" s="4504">
        <f t="shared" si="136"/>
        <v>0</v>
      </c>
      <c r="BH85" s="4504">
        <f t="shared" si="137"/>
        <v>0</v>
      </c>
      <c r="BI85" s="4504">
        <f t="shared" si="138"/>
        <v>0</v>
      </c>
      <c r="BJ85" s="4504">
        <f t="shared" si="139"/>
        <v>0</v>
      </c>
      <c r="BK85" s="4504">
        <f t="shared" si="140"/>
        <v>0</v>
      </c>
      <c r="BL85" s="4504">
        <f t="shared" si="141"/>
        <v>0</v>
      </c>
      <c r="BM85" s="4504">
        <f t="shared" si="142"/>
        <v>0</v>
      </c>
      <c r="BN85" s="4504">
        <f t="shared" si="143"/>
        <v>0</v>
      </c>
      <c r="BO85" s="4504">
        <f t="shared" si="144"/>
        <v>0</v>
      </c>
      <c r="BP85" s="4504">
        <f t="shared" si="145"/>
        <v>0</v>
      </c>
      <c r="BQ85" s="4504">
        <f t="shared" si="146"/>
        <v>0</v>
      </c>
      <c r="BR85" s="4504">
        <f t="shared" si="147"/>
        <v>0</v>
      </c>
      <c r="BS85" s="4504">
        <f t="shared" si="148"/>
        <v>0</v>
      </c>
      <c r="BT85" s="4504">
        <f t="shared" si="149"/>
        <v>0</v>
      </c>
      <c r="BU85" s="4504">
        <f t="shared" si="150"/>
        <v>0</v>
      </c>
      <c r="BV85" s="4504">
        <f t="shared" si="151"/>
        <v>0</v>
      </c>
      <c r="BW85" s="4504">
        <f t="shared" si="152"/>
        <v>0</v>
      </c>
      <c r="BX85" s="4504">
        <f t="shared" si="153"/>
        <v>0</v>
      </c>
      <c r="BY85" s="4504">
        <f t="shared" si="154"/>
        <v>0</v>
      </c>
      <c r="BZ85" s="4504">
        <f t="shared" si="155"/>
        <v>0</v>
      </c>
      <c r="CA85" s="4504">
        <f t="shared" si="156"/>
        <v>0</v>
      </c>
      <c r="CB85" s="4504">
        <f t="shared" si="157"/>
        <v>0</v>
      </c>
      <c r="CC85" s="4504">
        <f t="shared" si="158"/>
        <v>0</v>
      </c>
      <c r="CD85" s="4504">
        <f t="shared" si="159"/>
        <v>0</v>
      </c>
      <c r="CE85" s="4504">
        <f t="shared" si="160"/>
        <v>0</v>
      </c>
      <c r="CF85" s="4504">
        <f t="shared" si="161"/>
        <v>0</v>
      </c>
    </row>
    <row r="86" spans="1:84" ht="36">
      <c r="A86" s="2138"/>
      <c r="B86" s="2139">
        <v>2030502</v>
      </c>
      <c r="C86" s="2128">
        <v>2070113</v>
      </c>
      <c r="D86" s="2140">
        <v>0.1</v>
      </c>
      <c r="E86" s="2141" t="s">
        <v>367</v>
      </c>
      <c r="F86" s="2143">
        <f t="shared" si="120"/>
        <v>0</v>
      </c>
      <c r="G86" s="4140">
        <f t="shared" si="121"/>
        <v>0</v>
      </c>
      <c r="H86" s="2142">
        <f t="shared" si="122"/>
        <v>0</v>
      </c>
      <c r="I86" s="2143">
        <f t="shared" si="123"/>
        <v>0</v>
      </c>
      <c r="J86" s="2144">
        <f t="shared" si="124"/>
        <v>0</v>
      </c>
      <c r="K86" s="2144">
        <f t="shared" si="125"/>
        <v>0</v>
      </c>
      <c r="L86" s="2144">
        <f t="shared" si="126"/>
        <v>0</v>
      </c>
      <c r="M86" s="2145">
        <f t="shared" si="127"/>
        <v>0</v>
      </c>
      <c r="N86" s="2146">
        <f t="shared" si="128"/>
        <v>0</v>
      </c>
      <c r="O86" s="1283"/>
      <c r="P86" s="1285"/>
      <c r="Q86" s="1284"/>
      <c r="R86" s="1285"/>
      <c r="S86" s="1286"/>
      <c r="T86" s="1286"/>
      <c r="U86" s="1286"/>
      <c r="V86" s="1286"/>
      <c r="W86" s="1283"/>
      <c r="X86" s="1285"/>
      <c r="Y86" s="1284"/>
      <c r="Z86" s="1285"/>
      <c r="AA86" s="1286"/>
      <c r="AB86" s="1286"/>
      <c r="AC86" s="1286"/>
      <c r="AD86" s="1286"/>
      <c r="AE86" s="1283"/>
      <c r="AF86" s="1285"/>
      <c r="AG86" s="1284"/>
      <c r="AH86" s="1285"/>
      <c r="AI86" s="1286"/>
      <c r="AJ86" s="1286"/>
      <c r="AK86" s="1286"/>
      <c r="AL86" s="1287"/>
      <c r="AM86" s="1288"/>
      <c r="AN86" s="1289"/>
      <c r="AO86" s="2147" t="s">
        <v>676</v>
      </c>
      <c r="AP86" s="1285"/>
      <c r="AQ86" s="1285"/>
      <c r="AR86" s="1284"/>
      <c r="AS86" s="1285"/>
      <c r="AT86" s="1286"/>
      <c r="AU86" s="1286"/>
      <c r="AV86" s="1286"/>
      <c r="AW86" s="1284"/>
      <c r="AX86" s="2152" t="s">
        <v>1030</v>
      </c>
      <c r="AY86" s="4488"/>
      <c r="AZ86" s="4504">
        <f t="shared" si="129"/>
        <v>0</v>
      </c>
      <c r="BA86" s="4504">
        <f t="shared" si="130"/>
        <v>0</v>
      </c>
      <c r="BB86" s="4504">
        <f t="shared" si="131"/>
        <v>0</v>
      </c>
      <c r="BC86" s="4504">
        <f t="shared" si="132"/>
        <v>0</v>
      </c>
      <c r="BD86" s="4504">
        <f t="shared" si="133"/>
        <v>0</v>
      </c>
      <c r="BE86" s="4504">
        <f t="shared" si="134"/>
        <v>0</v>
      </c>
      <c r="BF86" s="4504">
        <f t="shared" si="135"/>
        <v>0</v>
      </c>
      <c r="BG86" s="4504">
        <f t="shared" si="136"/>
        <v>0</v>
      </c>
      <c r="BH86" s="4504">
        <f t="shared" si="137"/>
        <v>0</v>
      </c>
      <c r="BI86" s="4504">
        <f t="shared" si="138"/>
        <v>0</v>
      </c>
      <c r="BJ86" s="4504">
        <f t="shared" si="139"/>
        <v>0</v>
      </c>
      <c r="BK86" s="4504">
        <f t="shared" si="140"/>
        <v>0</v>
      </c>
      <c r="BL86" s="4504">
        <f t="shared" si="141"/>
        <v>0</v>
      </c>
      <c r="BM86" s="4504">
        <f t="shared" si="142"/>
        <v>0</v>
      </c>
      <c r="BN86" s="4504">
        <f t="shared" si="143"/>
        <v>0</v>
      </c>
      <c r="BO86" s="4504">
        <f t="shared" si="144"/>
        <v>0</v>
      </c>
      <c r="BP86" s="4504">
        <f t="shared" si="145"/>
        <v>0</v>
      </c>
      <c r="BQ86" s="4504">
        <f t="shared" si="146"/>
        <v>0</v>
      </c>
      <c r="BR86" s="4504">
        <f t="shared" si="147"/>
        <v>0</v>
      </c>
      <c r="BS86" s="4504">
        <f t="shared" si="148"/>
        <v>0</v>
      </c>
      <c r="BT86" s="4504">
        <f t="shared" si="149"/>
        <v>0</v>
      </c>
      <c r="BU86" s="4504">
        <f t="shared" si="150"/>
        <v>0</v>
      </c>
      <c r="BV86" s="4504">
        <f t="shared" si="151"/>
        <v>0</v>
      </c>
      <c r="BW86" s="4504">
        <f t="shared" si="152"/>
        <v>0</v>
      </c>
      <c r="BX86" s="4504">
        <f t="shared" si="153"/>
        <v>0</v>
      </c>
      <c r="BY86" s="4504">
        <f t="shared" si="154"/>
        <v>0</v>
      </c>
      <c r="BZ86" s="4504">
        <f t="shared" si="155"/>
        <v>0</v>
      </c>
      <c r="CA86" s="4504">
        <f t="shared" si="156"/>
        <v>0</v>
      </c>
      <c r="CB86" s="4504">
        <f t="shared" si="157"/>
        <v>0</v>
      </c>
      <c r="CC86" s="4504">
        <f t="shared" si="158"/>
        <v>0</v>
      </c>
      <c r="CD86" s="4504">
        <f t="shared" si="159"/>
        <v>0</v>
      </c>
      <c r="CE86" s="4504">
        <f t="shared" si="160"/>
        <v>0</v>
      </c>
      <c r="CF86" s="4504">
        <f t="shared" si="161"/>
        <v>0</v>
      </c>
    </row>
    <row r="87" spans="1:84" ht="24">
      <c r="A87" s="2138"/>
      <c r="B87" s="2139">
        <v>2030501</v>
      </c>
      <c r="C87" s="2139">
        <v>2070114</v>
      </c>
      <c r="D87" s="2151">
        <v>0.1</v>
      </c>
      <c r="E87" s="2150" t="s">
        <v>652</v>
      </c>
      <c r="F87" s="2143">
        <f t="shared" si="120"/>
        <v>0</v>
      </c>
      <c r="G87" s="4140">
        <f t="shared" si="121"/>
        <v>0</v>
      </c>
      <c r="H87" s="2142">
        <f t="shared" si="122"/>
        <v>0</v>
      </c>
      <c r="I87" s="2143">
        <f t="shared" si="123"/>
        <v>0</v>
      </c>
      <c r="J87" s="2144">
        <f t="shared" si="124"/>
        <v>0</v>
      </c>
      <c r="K87" s="2144">
        <f t="shared" si="125"/>
        <v>0</v>
      </c>
      <c r="L87" s="2144">
        <f t="shared" si="126"/>
        <v>0</v>
      </c>
      <c r="M87" s="2145">
        <f t="shared" si="127"/>
        <v>0</v>
      </c>
      <c r="N87" s="2146">
        <f t="shared" si="128"/>
        <v>0</v>
      </c>
      <c r="O87" s="1283"/>
      <c r="P87" s="1285"/>
      <c r="Q87" s="1284"/>
      <c r="R87" s="1285"/>
      <c r="S87" s="1286"/>
      <c r="T87" s="1286"/>
      <c r="U87" s="1286"/>
      <c r="V87" s="1286"/>
      <c r="W87" s="1283"/>
      <c r="X87" s="1285"/>
      <c r="Y87" s="1284"/>
      <c r="Z87" s="1285"/>
      <c r="AA87" s="1286"/>
      <c r="AB87" s="1286"/>
      <c r="AC87" s="1286"/>
      <c r="AD87" s="1286"/>
      <c r="AE87" s="1283"/>
      <c r="AF87" s="1285"/>
      <c r="AG87" s="1284"/>
      <c r="AH87" s="1285"/>
      <c r="AI87" s="1286"/>
      <c r="AJ87" s="1286"/>
      <c r="AK87" s="1286"/>
      <c r="AL87" s="1287"/>
      <c r="AM87" s="1288"/>
      <c r="AN87" s="1289"/>
      <c r="AO87" s="2147" t="s">
        <v>676</v>
      </c>
      <c r="AP87" s="1285"/>
      <c r="AQ87" s="1285"/>
      <c r="AR87" s="1284"/>
      <c r="AS87" s="1285"/>
      <c r="AT87" s="1286"/>
      <c r="AU87" s="1286"/>
      <c r="AV87" s="1286"/>
      <c r="AW87" s="1284"/>
      <c r="AX87" s="2153" t="s">
        <v>709</v>
      </c>
      <c r="AY87" s="4488"/>
      <c r="AZ87" s="4504">
        <f t="shared" si="129"/>
        <v>0</v>
      </c>
      <c r="BA87" s="4504">
        <f t="shared" si="130"/>
        <v>0</v>
      </c>
      <c r="BB87" s="4504">
        <f t="shared" si="131"/>
        <v>0</v>
      </c>
      <c r="BC87" s="4504">
        <f t="shared" si="132"/>
        <v>0</v>
      </c>
      <c r="BD87" s="4504">
        <f t="shared" si="133"/>
        <v>0</v>
      </c>
      <c r="BE87" s="4504">
        <f t="shared" si="134"/>
        <v>0</v>
      </c>
      <c r="BF87" s="4504">
        <f t="shared" si="135"/>
        <v>0</v>
      </c>
      <c r="BG87" s="4504">
        <f t="shared" si="136"/>
        <v>0</v>
      </c>
      <c r="BH87" s="4504">
        <f t="shared" si="137"/>
        <v>0</v>
      </c>
      <c r="BI87" s="4504">
        <f t="shared" si="138"/>
        <v>0</v>
      </c>
      <c r="BJ87" s="4504">
        <f t="shared" si="139"/>
        <v>0</v>
      </c>
      <c r="BK87" s="4504">
        <f t="shared" si="140"/>
        <v>0</v>
      </c>
      <c r="BL87" s="4504">
        <f t="shared" si="141"/>
        <v>0</v>
      </c>
      <c r="BM87" s="4504">
        <f t="shared" si="142"/>
        <v>0</v>
      </c>
      <c r="BN87" s="4504">
        <f t="shared" si="143"/>
        <v>0</v>
      </c>
      <c r="BO87" s="4504">
        <f t="shared" si="144"/>
        <v>0</v>
      </c>
      <c r="BP87" s="4504">
        <f t="shared" si="145"/>
        <v>0</v>
      </c>
      <c r="BQ87" s="4504">
        <f t="shared" si="146"/>
        <v>0</v>
      </c>
      <c r="BR87" s="4504">
        <f t="shared" si="147"/>
        <v>0</v>
      </c>
      <c r="BS87" s="4504">
        <f t="shared" si="148"/>
        <v>0</v>
      </c>
      <c r="BT87" s="4504">
        <f t="shared" si="149"/>
        <v>0</v>
      </c>
      <c r="BU87" s="4504">
        <f t="shared" si="150"/>
        <v>0</v>
      </c>
      <c r="BV87" s="4504">
        <f t="shared" si="151"/>
        <v>0</v>
      </c>
      <c r="BW87" s="4504">
        <f t="shared" si="152"/>
        <v>0</v>
      </c>
      <c r="BX87" s="4504">
        <f t="shared" si="153"/>
        <v>0</v>
      </c>
      <c r="BY87" s="4504">
        <f t="shared" si="154"/>
        <v>0</v>
      </c>
      <c r="BZ87" s="4504">
        <f t="shared" si="155"/>
        <v>0</v>
      </c>
      <c r="CA87" s="4504">
        <f t="shared" si="156"/>
        <v>0</v>
      </c>
      <c r="CB87" s="4504">
        <f t="shared" si="157"/>
        <v>0</v>
      </c>
      <c r="CC87" s="4504">
        <f t="shared" si="158"/>
        <v>0</v>
      </c>
      <c r="CD87" s="4504">
        <f t="shared" si="159"/>
        <v>0</v>
      </c>
      <c r="CE87" s="4504">
        <f t="shared" si="160"/>
        <v>0</v>
      </c>
      <c r="CF87" s="4504">
        <f t="shared" si="161"/>
        <v>0</v>
      </c>
    </row>
    <row r="88" spans="1:84" ht="24">
      <c r="A88" s="2138"/>
      <c r="B88" s="2139">
        <v>2030501</v>
      </c>
      <c r="C88" s="2128">
        <v>2070115</v>
      </c>
      <c r="D88" s="2151">
        <v>0.1</v>
      </c>
      <c r="E88" s="2141" t="s">
        <v>653</v>
      </c>
      <c r="F88" s="2143">
        <f t="shared" si="120"/>
        <v>0</v>
      </c>
      <c r="G88" s="4140">
        <f t="shared" si="121"/>
        <v>0</v>
      </c>
      <c r="H88" s="2142">
        <f t="shared" si="122"/>
        <v>0</v>
      </c>
      <c r="I88" s="2143">
        <f t="shared" si="123"/>
        <v>0</v>
      </c>
      <c r="J88" s="2144">
        <f t="shared" si="124"/>
        <v>0</v>
      </c>
      <c r="K88" s="2144">
        <f t="shared" si="125"/>
        <v>0</v>
      </c>
      <c r="L88" s="2144">
        <f t="shared" si="126"/>
        <v>0</v>
      </c>
      <c r="M88" s="2145">
        <f t="shared" si="127"/>
        <v>0</v>
      </c>
      <c r="N88" s="2146">
        <f t="shared" si="128"/>
        <v>0</v>
      </c>
      <c r="O88" s="1283"/>
      <c r="P88" s="1285"/>
      <c r="Q88" s="1284"/>
      <c r="R88" s="1285"/>
      <c r="S88" s="1286"/>
      <c r="T88" s="1286"/>
      <c r="U88" s="1286"/>
      <c r="V88" s="1286"/>
      <c r="W88" s="1283"/>
      <c r="X88" s="1285"/>
      <c r="Y88" s="1284"/>
      <c r="Z88" s="1285"/>
      <c r="AA88" s="1286"/>
      <c r="AB88" s="1286"/>
      <c r="AC88" s="1286"/>
      <c r="AD88" s="1286"/>
      <c r="AE88" s="1283"/>
      <c r="AF88" s="1285"/>
      <c r="AG88" s="1284"/>
      <c r="AH88" s="1285"/>
      <c r="AI88" s="1286"/>
      <c r="AJ88" s="1286"/>
      <c r="AK88" s="1286"/>
      <c r="AL88" s="1287"/>
      <c r="AM88" s="1288"/>
      <c r="AN88" s="1289"/>
      <c r="AO88" s="2147" t="s">
        <v>676</v>
      </c>
      <c r="AP88" s="1285"/>
      <c r="AQ88" s="1285"/>
      <c r="AR88" s="1284"/>
      <c r="AS88" s="1285"/>
      <c r="AT88" s="1286"/>
      <c r="AU88" s="1286"/>
      <c r="AV88" s="1286"/>
      <c r="AW88" s="1284"/>
      <c r="AX88" s="2153" t="s">
        <v>654</v>
      </c>
      <c r="AY88" s="4488"/>
      <c r="AZ88" s="4504">
        <f t="shared" si="129"/>
        <v>0</v>
      </c>
      <c r="BA88" s="4504">
        <f t="shared" si="130"/>
        <v>0</v>
      </c>
      <c r="BB88" s="4504">
        <f t="shared" si="131"/>
        <v>0</v>
      </c>
      <c r="BC88" s="4504">
        <f t="shared" si="132"/>
        <v>0</v>
      </c>
      <c r="BD88" s="4504">
        <f t="shared" si="133"/>
        <v>0</v>
      </c>
      <c r="BE88" s="4504">
        <f t="shared" si="134"/>
        <v>0</v>
      </c>
      <c r="BF88" s="4504">
        <f t="shared" si="135"/>
        <v>0</v>
      </c>
      <c r="BG88" s="4504">
        <f t="shared" si="136"/>
        <v>0</v>
      </c>
      <c r="BH88" s="4504">
        <f t="shared" si="137"/>
        <v>0</v>
      </c>
      <c r="BI88" s="4504">
        <f t="shared" si="138"/>
        <v>0</v>
      </c>
      <c r="BJ88" s="4504">
        <f t="shared" si="139"/>
        <v>0</v>
      </c>
      <c r="BK88" s="4504">
        <f t="shared" si="140"/>
        <v>0</v>
      </c>
      <c r="BL88" s="4504">
        <f t="shared" si="141"/>
        <v>0</v>
      </c>
      <c r="BM88" s="4504">
        <f t="shared" si="142"/>
        <v>0</v>
      </c>
      <c r="BN88" s="4504">
        <f t="shared" si="143"/>
        <v>0</v>
      </c>
      <c r="BO88" s="4504">
        <f t="shared" si="144"/>
        <v>0</v>
      </c>
      <c r="BP88" s="4504">
        <f t="shared" si="145"/>
        <v>0</v>
      </c>
      <c r="BQ88" s="4504">
        <f t="shared" si="146"/>
        <v>0</v>
      </c>
      <c r="BR88" s="4504">
        <f t="shared" si="147"/>
        <v>0</v>
      </c>
      <c r="BS88" s="4504">
        <f t="shared" si="148"/>
        <v>0</v>
      </c>
      <c r="BT88" s="4504">
        <f t="shared" si="149"/>
        <v>0</v>
      </c>
      <c r="BU88" s="4504">
        <f t="shared" si="150"/>
        <v>0</v>
      </c>
      <c r="BV88" s="4504">
        <f t="shared" si="151"/>
        <v>0</v>
      </c>
      <c r="BW88" s="4504">
        <f t="shared" si="152"/>
        <v>0</v>
      </c>
      <c r="BX88" s="4504">
        <f t="shared" si="153"/>
        <v>0</v>
      </c>
      <c r="BY88" s="4504">
        <f t="shared" si="154"/>
        <v>0</v>
      </c>
      <c r="BZ88" s="4504">
        <f t="shared" si="155"/>
        <v>0</v>
      </c>
      <c r="CA88" s="4504">
        <f t="shared" si="156"/>
        <v>0</v>
      </c>
      <c r="CB88" s="4504">
        <f t="shared" si="157"/>
        <v>0</v>
      </c>
      <c r="CC88" s="4504">
        <f t="shared" si="158"/>
        <v>0</v>
      </c>
      <c r="CD88" s="4504">
        <f t="shared" si="159"/>
        <v>0</v>
      </c>
      <c r="CE88" s="4504">
        <f t="shared" si="160"/>
        <v>0</v>
      </c>
      <c r="CF88" s="4504">
        <f t="shared" si="161"/>
        <v>0</v>
      </c>
    </row>
    <row r="89" spans="1:84">
      <c r="A89" s="2138"/>
      <c r="B89" s="2139">
        <v>2030502</v>
      </c>
      <c r="C89" s="2139">
        <v>2070116</v>
      </c>
      <c r="D89" s="2151">
        <v>0.1</v>
      </c>
      <c r="E89" s="2150" t="s">
        <v>368</v>
      </c>
      <c r="F89" s="2143">
        <f t="shared" si="120"/>
        <v>0</v>
      </c>
      <c r="G89" s="4140">
        <f t="shared" si="121"/>
        <v>0</v>
      </c>
      <c r="H89" s="2142">
        <f t="shared" si="122"/>
        <v>0</v>
      </c>
      <c r="I89" s="2143">
        <f t="shared" si="123"/>
        <v>0</v>
      </c>
      <c r="J89" s="2144">
        <f t="shared" si="124"/>
        <v>0</v>
      </c>
      <c r="K89" s="2144">
        <f t="shared" si="125"/>
        <v>0</v>
      </c>
      <c r="L89" s="2144">
        <f t="shared" si="126"/>
        <v>0</v>
      </c>
      <c r="M89" s="2145">
        <f t="shared" si="127"/>
        <v>0</v>
      </c>
      <c r="N89" s="2146">
        <f t="shared" si="128"/>
        <v>0</v>
      </c>
      <c r="O89" s="1283"/>
      <c r="P89" s="1285"/>
      <c r="Q89" s="1284"/>
      <c r="R89" s="1285"/>
      <c r="S89" s="1286"/>
      <c r="T89" s="1286"/>
      <c r="U89" s="1286"/>
      <c r="V89" s="1286"/>
      <c r="W89" s="1283"/>
      <c r="X89" s="1285"/>
      <c r="Y89" s="1284"/>
      <c r="Z89" s="1285"/>
      <c r="AA89" s="1286"/>
      <c r="AB89" s="1286"/>
      <c r="AC89" s="1286"/>
      <c r="AD89" s="1286"/>
      <c r="AE89" s="1283"/>
      <c r="AF89" s="1285"/>
      <c r="AG89" s="1284"/>
      <c r="AH89" s="1285"/>
      <c r="AI89" s="1286"/>
      <c r="AJ89" s="1286"/>
      <c r="AK89" s="1286"/>
      <c r="AL89" s="1287"/>
      <c r="AM89" s="1288"/>
      <c r="AN89" s="1290"/>
      <c r="AO89" s="2147" t="s">
        <v>676</v>
      </c>
      <c r="AP89" s="1285"/>
      <c r="AQ89" s="1285"/>
      <c r="AR89" s="1284"/>
      <c r="AS89" s="1285"/>
      <c r="AT89" s="1286"/>
      <c r="AU89" s="1286"/>
      <c r="AV89" s="1286"/>
      <c r="AW89" s="1284"/>
      <c r="AX89" s="2153" t="s">
        <v>708</v>
      </c>
      <c r="AY89" s="4488"/>
      <c r="AZ89" s="4504">
        <f t="shared" si="129"/>
        <v>0</v>
      </c>
      <c r="BA89" s="4504">
        <f t="shared" si="130"/>
        <v>0</v>
      </c>
      <c r="BB89" s="4504">
        <f t="shared" si="131"/>
        <v>0</v>
      </c>
      <c r="BC89" s="4504">
        <f t="shared" si="132"/>
        <v>0</v>
      </c>
      <c r="BD89" s="4504">
        <f t="shared" si="133"/>
        <v>0</v>
      </c>
      <c r="BE89" s="4504">
        <f t="shared" si="134"/>
        <v>0</v>
      </c>
      <c r="BF89" s="4504">
        <f t="shared" si="135"/>
        <v>0</v>
      </c>
      <c r="BG89" s="4504">
        <f t="shared" si="136"/>
        <v>0</v>
      </c>
      <c r="BH89" s="4504">
        <f t="shared" si="137"/>
        <v>0</v>
      </c>
      <c r="BI89" s="4504">
        <f t="shared" si="138"/>
        <v>0</v>
      </c>
      <c r="BJ89" s="4504">
        <f t="shared" si="139"/>
        <v>0</v>
      </c>
      <c r="BK89" s="4504">
        <f t="shared" si="140"/>
        <v>0</v>
      </c>
      <c r="BL89" s="4504">
        <f t="shared" si="141"/>
        <v>0</v>
      </c>
      <c r="BM89" s="4504">
        <f t="shared" si="142"/>
        <v>0</v>
      </c>
      <c r="BN89" s="4504">
        <f t="shared" si="143"/>
        <v>0</v>
      </c>
      <c r="BO89" s="4504">
        <f t="shared" si="144"/>
        <v>0</v>
      </c>
      <c r="BP89" s="4504">
        <f t="shared" si="145"/>
        <v>0</v>
      </c>
      <c r="BQ89" s="4504">
        <f t="shared" si="146"/>
        <v>0</v>
      </c>
      <c r="BR89" s="4504">
        <f t="shared" si="147"/>
        <v>0</v>
      </c>
      <c r="BS89" s="4504">
        <f t="shared" si="148"/>
        <v>0</v>
      </c>
      <c r="BT89" s="4504">
        <f t="shared" si="149"/>
        <v>0</v>
      </c>
      <c r="BU89" s="4504">
        <f t="shared" si="150"/>
        <v>0</v>
      </c>
      <c r="BV89" s="4504">
        <f t="shared" si="151"/>
        <v>0</v>
      </c>
      <c r="BW89" s="4504">
        <f t="shared" si="152"/>
        <v>0</v>
      </c>
      <c r="BX89" s="4504">
        <f t="shared" si="153"/>
        <v>0</v>
      </c>
      <c r="BY89" s="4504">
        <f t="shared" si="154"/>
        <v>0</v>
      </c>
      <c r="BZ89" s="4504">
        <f t="shared" si="155"/>
        <v>0</v>
      </c>
      <c r="CA89" s="4504">
        <f t="shared" si="156"/>
        <v>0</v>
      </c>
      <c r="CB89" s="4504">
        <f t="shared" si="157"/>
        <v>0</v>
      </c>
      <c r="CC89" s="4504">
        <f t="shared" si="158"/>
        <v>0</v>
      </c>
      <c r="CD89" s="4504">
        <f t="shared" si="159"/>
        <v>0</v>
      </c>
      <c r="CE89" s="4504">
        <f t="shared" si="160"/>
        <v>0</v>
      </c>
      <c r="CF89" s="4504">
        <f t="shared" si="161"/>
        <v>0</v>
      </c>
    </row>
    <row r="90" spans="1:84" ht="24">
      <c r="A90" s="2138"/>
      <c r="B90" s="2139">
        <v>215</v>
      </c>
      <c r="C90" s="2128">
        <v>2070117</v>
      </c>
      <c r="D90" s="2149">
        <v>0.2</v>
      </c>
      <c r="E90" s="2141" t="s">
        <v>369</v>
      </c>
      <c r="F90" s="2143">
        <f t="shared" si="120"/>
        <v>0</v>
      </c>
      <c r="G90" s="4140">
        <f t="shared" si="121"/>
        <v>0</v>
      </c>
      <c r="H90" s="2142">
        <f t="shared" si="122"/>
        <v>0</v>
      </c>
      <c r="I90" s="2143">
        <f t="shared" si="123"/>
        <v>0</v>
      </c>
      <c r="J90" s="2144">
        <f t="shared" si="124"/>
        <v>0</v>
      </c>
      <c r="K90" s="2144">
        <f t="shared" si="125"/>
        <v>0</v>
      </c>
      <c r="L90" s="2144">
        <f t="shared" si="126"/>
        <v>0</v>
      </c>
      <c r="M90" s="2145">
        <f t="shared" si="127"/>
        <v>0</v>
      </c>
      <c r="N90" s="2146">
        <f t="shared" si="128"/>
        <v>0</v>
      </c>
      <c r="O90" s="1283"/>
      <c r="P90" s="1285"/>
      <c r="Q90" s="1284"/>
      <c r="R90" s="1285"/>
      <c r="S90" s="1286"/>
      <c r="T90" s="1286"/>
      <c r="U90" s="1286"/>
      <c r="V90" s="1286"/>
      <c r="W90" s="1283"/>
      <c r="X90" s="1285"/>
      <c r="Y90" s="1284"/>
      <c r="Z90" s="1285"/>
      <c r="AA90" s="1286"/>
      <c r="AB90" s="1286"/>
      <c r="AC90" s="1286"/>
      <c r="AD90" s="1286"/>
      <c r="AE90" s="1283"/>
      <c r="AF90" s="1285"/>
      <c r="AG90" s="1284"/>
      <c r="AH90" s="1285"/>
      <c r="AI90" s="1286"/>
      <c r="AJ90" s="1286"/>
      <c r="AK90" s="1286"/>
      <c r="AL90" s="1287"/>
      <c r="AM90" s="1288"/>
      <c r="AN90" s="1290"/>
      <c r="AO90" s="2154" t="s">
        <v>313</v>
      </c>
      <c r="AP90" s="1285"/>
      <c r="AQ90" s="1285"/>
      <c r="AR90" s="1284"/>
      <c r="AS90" s="1285"/>
      <c r="AT90" s="1286"/>
      <c r="AU90" s="1286"/>
      <c r="AV90" s="1286"/>
      <c r="AW90" s="1284"/>
      <c r="AX90" s="2148" t="s">
        <v>370</v>
      </c>
      <c r="AY90" s="4488"/>
      <c r="AZ90" s="4504">
        <f t="shared" si="129"/>
        <v>0</v>
      </c>
      <c r="BA90" s="4504">
        <f t="shared" si="130"/>
        <v>0</v>
      </c>
      <c r="BB90" s="4504">
        <f t="shared" si="131"/>
        <v>0</v>
      </c>
      <c r="BC90" s="4504">
        <f t="shared" si="132"/>
        <v>0</v>
      </c>
      <c r="BD90" s="4504">
        <f t="shared" si="133"/>
        <v>0</v>
      </c>
      <c r="BE90" s="4504">
        <f t="shared" si="134"/>
        <v>0</v>
      </c>
      <c r="BF90" s="4504">
        <f t="shared" si="135"/>
        <v>0</v>
      </c>
      <c r="BG90" s="4504">
        <f t="shared" si="136"/>
        <v>0</v>
      </c>
      <c r="BH90" s="4504">
        <f t="shared" si="137"/>
        <v>0</v>
      </c>
      <c r="BI90" s="4504">
        <f t="shared" si="138"/>
        <v>0</v>
      </c>
      <c r="BJ90" s="4504">
        <f t="shared" si="139"/>
        <v>0</v>
      </c>
      <c r="BK90" s="4504">
        <f t="shared" si="140"/>
        <v>0</v>
      </c>
      <c r="BL90" s="4504">
        <f t="shared" si="141"/>
        <v>0</v>
      </c>
      <c r="BM90" s="4504">
        <f t="shared" si="142"/>
        <v>0</v>
      </c>
      <c r="BN90" s="4504">
        <f t="shared" si="143"/>
        <v>0</v>
      </c>
      <c r="BO90" s="4504">
        <f t="shared" si="144"/>
        <v>0</v>
      </c>
      <c r="BP90" s="4504">
        <f t="shared" si="145"/>
        <v>0</v>
      </c>
      <c r="BQ90" s="4504">
        <f t="shared" si="146"/>
        <v>0</v>
      </c>
      <c r="BR90" s="4504">
        <f t="shared" si="147"/>
        <v>0</v>
      </c>
      <c r="BS90" s="4504">
        <f t="shared" si="148"/>
        <v>0</v>
      </c>
      <c r="BT90" s="4504">
        <f t="shared" si="149"/>
        <v>0</v>
      </c>
      <c r="BU90" s="4504">
        <f t="shared" si="150"/>
        <v>0</v>
      </c>
      <c r="BV90" s="4504">
        <f t="shared" si="151"/>
        <v>0</v>
      </c>
      <c r="BW90" s="4504">
        <f t="shared" si="152"/>
        <v>0</v>
      </c>
      <c r="BX90" s="4504">
        <f t="shared" si="153"/>
        <v>0</v>
      </c>
      <c r="BY90" s="4504">
        <f t="shared" si="154"/>
        <v>0</v>
      </c>
      <c r="BZ90" s="4504">
        <f t="shared" si="155"/>
        <v>0</v>
      </c>
      <c r="CA90" s="4504">
        <f t="shared" si="156"/>
        <v>0</v>
      </c>
      <c r="CB90" s="4504">
        <f t="shared" si="157"/>
        <v>0</v>
      </c>
      <c r="CC90" s="4504">
        <f t="shared" si="158"/>
        <v>0</v>
      </c>
      <c r="CD90" s="4504">
        <f t="shared" si="159"/>
        <v>0</v>
      </c>
      <c r="CE90" s="4504">
        <f t="shared" si="160"/>
        <v>0</v>
      </c>
      <c r="CF90" s="4504">
        <f t="shared" si="161"/>
        <v>0</v>
      </c>
    </row>
    <row r="91" spans="1:84">
      <c r="A91" s="2138"/>
      <c r="B91" s="2139">
        <v>2030503</v>
      </c>
      <c r="C91" s="2139">
        <v>2070118</v>
      </c>
      <c r="D91" s="2140">
        <v>0.1</v>
      </c>
      <c r="E91" s="2141" t="s">
        <v>664</v>
      </c>
      <c r="F91" s="2143">
        <f t="shared" si="120"/>
        <v>0</v>
      </c>
      <c r="G91" s="4140">
        <f t="shared" si="121"/>
        <v>0</v>
      </c>
      <c r="H91" s="2142">
        <f t="shared" si="122"/>
        <v>0</v>
      </c>
      <c r="I91" s="2143">
        <f t="shared" si="123"/>
        <v>0</v>
      </c>
      <c r="J91" s="2144">
        <f t="shared" si="124"/>
        <v>0</v>
      </c>
      <c r="K91" s="2144">
        <f t="shared" si="125"/>
        <v>0</v>
      </c>
      <c r="L91" s="2144">
        <f t="shared" si="126"/>
        <v>0</v>
      </c>
      <c r="M91" s="2145">
        <f t="shared" si="127"/>
        <v>0</v>
      </c>
      <c r="N91" s="2146">
        <f t="shared" si="128"/>
        <v>0</v>
      </c>
      <c r="O91" s="1283"/>
      <c r="P91" s="1285"/>
      <c r="Q91" s="1284"/>
      <c r="R91" s="1285"/>
      <c r="S91" s="1286"/>
      <c r="T91" s="1286"/>
      <c r="U91" s="1286"/>
      <c r="V91" s="1286"/>
      <c r="W91" s="1283"/>
      <c r="X91" s="1285"/>
      <c r="Y91" s="1284"/>
      <c r="Z91" s="1285"/>
      <c r="AA91" s="1286"/>
      <c r="AB91" s="1286"/>
      <c r="AC91" s="1286"/>
      <c r="AD91" s="1286"/>
      <c r="AE91" s="1283"/>
      <c r="AF91" s="1285"/>
      <c r="AG91" s="1284"/>
      <c r="AH91" s="1285"/>
      <c r="AI91" s="1286"/>
      <c r="AJ91" s="1286"/>
      <c r="AK91" s="1286"/>
      <c r="AL91" s="1287"/>
      <c r="AM91" s="1288"/>
      <c r="AN91" s="1289"/>
      <c r="AO91" s="2147" t="s">
        <v>676</v>
      </c>
      <c r="AP91" s="1285"/>
      <c r="AQ91" s="1285"/>
      <c r="AR91" s="1284"/>
      <c r="AS91" s="1285"/>
      <c r="AT91" s="1286"/>
      <c r="AU91" s="1286"/>
      <c r="AV91" s="1286"/>
      <c r="AW91" s="1284"/>
      <c r="AX91" s="2148" t="s">
        <v>371</v>
      </c>
      <c r="AY91" s="4488"/>
      <c r="AZ91" s="4504">
        <f t="shared" si="129"/>
        <v>0</v>
      </c>
      <c r="BA91" s="4504">
        <f t="shared" si="130"/>
        <v>0</v>
      </c>
      <c r="BB91" s="4504">
        <f t="shared" si="131"/>
        <v>0</v>
      </c>
      <c r="BC91" s="4504">
        <f t="shared" si="132"/>
        <v>0</v>
      </c>
      <c r="BD91" s="4504">
        <f t="shared" si="133"/>
        <v>0</v>
      </c>
      <c r="BE91" s="4504">
        <f t="shared" si="134"/>
        <v>0</v>
      </c>
      <c r="BF91" s="4504">
        <f t="shared" si="135"/>
        <v>0</v>
      </c>
      <c r="BG91" s="4504">
        <f t="shared" si="136"/>
        <v>0</v>
      </c>
      <c r="BH91" s="4504">
        <f t="shared" si="137"/>
        <v>0</v>
      </c>
      <c r="BI91" s="4504">
        <f t="shared" si="138"/>
        <v>0</v>
      </c>
      <c r="BJ91" s="4504">
        <f t="shared" si="139"/>
        <v>0</v>
      </c>
      <c r="BK91" s="4504">
        <f t="shared" si="140"/>
        <v>0</v>
      </c>
      <c r="BL91" s="4504">
        <f t="shared" si="141"/>
        <v>0</v>
      </c>
      <c r="BM91" s="4504">
        <f t="shared" si="142"/>
        <v>0</v>
      </c>
      <c r="BN91" s="4504">
        <f t="shared" si="143"/>
        <v>0</v>
      </c>
      <c r="BO91" s="4504">
        <f t="shared" si="144"/>
        <v>0</v>
      </c>
      <c r="BP91" s="4504">
        <f t="shared" si="145"/>
        <v>0</v>
      </c>
      <c r="BQ91" s="4504">
        <f t="shared" si="146"/>
        <v>0</v>
      </c>
      <c r="BR91" s="4504">
        <f t="shared" si="147"/>
        <v>0</v>
      </c>
      <c r="BS91" s="4504">
        <f t="shared" si="148"/>
        <v>0</v>
      </c>
      <c r="BT91" s="4504">
        <f t="shared" si="149"/>
        <v>0</v>
      </c>
      <c r="BU91" s="4504">
        <f t="shared" si="150"/>
        <v>0</v>
      </c>
      <c r="BV91" s="4504">
        <f t="shared" si="151"/>
        <v>0</v>
      </c>
      <c r="BW91" s="4504">
        <f t="shared" si="152"/>
        <v>0</v>
      </c>
      <c r="BX91" s="4504">
        <f t="shared" si="153"/>
        <v>0</v>
      </c>
      <c r="BY91" s="4504">
        <f t="shared" si="154"/>
        <v>0</v>
      </c>
      <c r="BZ91" s="4504">
        <f t="shared" si="155"/>
        <v>0</v>
      </c>
      <c r="CA91" s="4504">
        <f t="shared" si="156"/>
        <v>0</v>
      </c>
      <c r="CB91" s="4504">
        <f t="shared" si="157"/>
        <v>0</v>
      </c>
      <c r="CC91" s="4504">
        <f t="shared" si="158"/>
        <v>0</v>
      </c>
      <c r="CD91" s="4504">
        <f t="shared" si="159"/>
        <v>0</v>
      </c>
      <c r="CE91" s="4504">
        <f t="shared" si="160"/>
        <v>0</v>
      </c>
      <c r="CF91" s="4504">
        <f t="shared" si="161"/>
        <v>0</v>
      </c>
    </row>
    <row r="92" spans="1:84">
      <c r="A92" s="2155"/>
      <c r="B92" s="2139">
        <v>20302</v>
      </c>
      <c r="C92" s="2128">
        <v>2070119</v>
      </c>
      <c r="D92" s="2140">
        <v>0.1</v>
      </c>
      <c r="E92" s="2141" t="s">
        <v>372</v>
      </c>
      <c r="F92" s="2143">
        <f t="shared" si="120"/>
        <v>0</v>
      </c>
      <c r="G92" s="4140">
        <f t="shared" si="121"/>
        <v>0</v>
      </c>
      <c r="H92" s="2142">
        <f t="shared" si="122"/>
        <v>0</v>
      </c>
      <c r="I92" s="2143">
        <f t="shared" si="123"/>
        <v>0</v>
      </c>
      <c r="J92" s="2144">
        <f t="shared" si="124"/>
        <v>0</v>
      </c>
      <c r="K92" s="2144">
        <f t="shared" si="125"/>
        <v>0</v>
      </c>
      <c r="L92" s="2144">
        <f t="shared" si="126"/>
        <v>0</v>
      </c>
      <c r="M92" s="2145">
        <f t="shared" si="127"/>
        <v>0</v>
      </c>
      <c r="N92" s="2146">
        <f t="shared" si="128"/>
        <v>0</v>
      </c>
      <c r="O92" s="1283"/>
      <c r="P92" s="1285"/>
      <c r="Q92" s="1284"/>
      <c r="R92" s="1285"/>
      <c r="S92" s="1286"/>
      <c r="T92" s="1286"/>
      <c r="U92" s="1286"/>
      <c r="V92" s="1286"/>
      <c r="W92" s="1283"/>
      <c r="X92" s="1285"/>
      <c r="Y92" s="1284"/>
      <c r="Z92" s="1285"/>
      <c r="AA92" s="1286"/>
      <c r="AB92" s="1286"/>
      <c r="AC92" s="1286"/>
      <c r="AD92" s="1286"/>
      <c r="AE92" s="1283"/>
      <c r="AF92" s="1285"/>
      <c r="AG92" s="1284"/>
      <c r="AH92" s="1285"/>
      <c r="AI92" s="1286"/>
      <c r="AJ92" s="1286"/>
      <c r="AK92" s="1286"/>
      <c r="AL92" s="1287"/>
      <c r="AM92" s="1288"/>
      <c r="AN92" s="1289"/>
      <c r="AO92" s="2147" t="s">
        <v>676</v>
      </c>
      <c r="AP92" s="1285"/>
      <c r="AQ92" s="1285"/>
      <c r="AR92" s="1284"/>
      <c r="AS92" s="1285"/>
      <c r="AT92" s="1286"/>
      <c r="AU92" s="1286"/>
      <c r="AV92" s="1286"/>
      <c r="AW92" s="1284"/>
      <c r="AX92" s="2148" t="s">
        <v>373</v>
      </c>
      <c r="AY92" s="4488"/>
      <c r="AZ92" s="4504">
        <f t="shared" si="129"/>
        <v>0</v>
      </c>
      <c r="BA92" s="4504">
        <f t="shared" si="130"/>
        <v>0</v>
      </c>
      <c r="BB92" s="4504">
        <f t="shared" si="131"/>
        <v>0</v>
      </c>
      <c r="BC92" s="4504">
        <f t="shared" si="132"/>
        <v>0</v>
      </c>
      <c r="BD92" s="4504">
        <f t="shared" si="133"/>
        <v>0</v>
      </c>
      <c r="BE92" s="4504">
        <f t="shared" si="134"/>
        <v>0</v>
      </c>
      <c r="BF92" s="4504">
        <f t="shared" si="135"/>
        <v>0</v>
      </c>
      <c r="BG92" s="4504">
        <f t="shared" si="136"/>
        <v>0</v>
      </c>
      <c r="BH92" s="4504">
        <f t="shared" si="137"/>
        <v>0</v>
      </c>
      <c r="BI92" s="4504">
        <f t="shared" si="138"/>
        <v>0</v>
      </c>
      <c r="BJ92" s="4504">
        <f t="shared" si="139"/>
        <v>0</v>
      </c>
      <c r="BK92" s="4504">
        <f t="shared" si="140"/>
        <v>0</v>
      </c>
      <c r="BL92" s="4504">
        <f t="shared" si="141"/>
        <v>0</v>
      </c>
      <c r="BM92" s="4504">
        <f t="shared" si="142"/>
        <v>0</v>
      </c>
      <c r="BN92" s="4504">
        <f t="shared" si="143"/>
        <v>0</v>
      </c>
      <c r="BO92" s="4504">
        <f t="shared" si="144"/>
        <v>0</v>
      </c>
      <c r="BP92" s="4504">
        <f t="shared" si="145"/>
        <v>0</v>
      </c>
      <c r="BQ92" s="4504">
        <f t="shared" si="146"/>
        <v>0</v>
      </c>
      <c r="BR92" s="4504">
        <f t="shared" si="147"/>
        <v>0</v>
      </c>
      <c r="BS92" s="4504">
        <f t="shared" si="148"/>
        <v>0</v>
      </c>
      <c r="BT92" s="4504">
        <f t="shared" si="149"/>
        <v>0</v>
      </c>
      <c r="BU92" s="4504">
        <f t="shared" si="150"/>
        <v>0</v>
      </c>
      <c r="BV92" s="4504">
        <f t="shared" si="151"/>
        <v>0</v>
      </c>
      <c r="BW92" s="4504">
        <f t="shared" si="152"/>
        <v>0</v>
      </c>
      <c r="BX92" s="4504">
        <f t="shared" si="153"/>
        <v>0</v>
      </c>
      <c r="BY92" s="4504">
        <f t="shared" si="154"/>
        <v>0</v>
      </c>
      <c r="BZ92" s="4504">
        <f t="shared" si="155"/>
        <v>0</v>
      </c>
      <c r="CA92" s="4504">
        <f t="shared" si="156"/>
        <v>0</v>
      </c>
      <c r="CB92" s="4504">
        <f t="shared" si="157"/>
        <v>0</v>
      </c>
      <c r="CC92" s="4504">
        <f t="shared" si="158"/>
        <v>0</v>
      </c>
      <c r="CD92" s="4504">
        <f t="shared" si="159"/>
        <v>0</v>
      </c>
      <c r="CE92" s="4504">
        <f t="shared" si="160"/>
        <v>0</v>
      </c>
      <c r="CF92" s="4504">
        <f t="shared" si="161"/>
        <v>0</v>
      </c>
    </row>
    <row r="93" spans="1:84" ht="24">
      <c r="A93" s="2155"/>
      <c r="B93" s="2139">
        <v>20502</v>
      </c>
      <c r="C93" s="2139">
        <v>2070120</v>
      </c>
      <c r="D93" s="2140">
        <v>0.1</v>
      </c>
      <c r="E93" s="2141" t="s">
        <v>374</v>
      </c>
      <c r="F93" s="2143">
        <f t="shared" si="120"/>
        <v>0</v>
      </c>
      <c r="G93" s="4140">
        <f t="shared" si="121"/>
        <v>0</v>
      </c>
      <c r="H93" s="2142">
        <f t="shared" si="122"/>
        <v>0</v>
      </c>
      <c r="I93" s="2143">
        <f t="shared" si="123"/>
        <v>0</v>
      </c>
      <c r="J93" s="2144">
        <f t="shared" si="124"/>
        <v>0</v>
      </c>
      <c r="K93" s="2144">
        <f t="shared" si="125"/>
        <v>0</v>
      </c>
      <c r="L93" s="2144">
        <f t="shared" si="126"/>
        <v>0</v>
      </c>
      <c r="M93" s="2145">
        <f t="shared" si="127"/>
        <v>0</v>
      </c>
      <c r="N93" s="2146">
        <f t="shared" si="128"/>
        <v>0</v>
      </c>
      <c r="O93" s="1283"/>
      <c r="P93" s="1285"/>
      <c r="Q93" s="1284"/>
      <c r="R93" s="1285"/>
      <c r="S93" s="1286"/>
      <c r="T93" s="1286"/>
      <c r="U93" s="1286"/>
      <c r="V93" s="1286"/>
      <c r="W93" s="1283"/>
      <c r="X93" s="1285"/>
      <c r="Y93" s="1284"/>
      <c r="Z93" s="1285"/>
      <c r="AA93" s="1286"/>
      <c r="AB93" s="1286"/>
      <c r="AC93" s="1286"/>
      <c r="AD93" s="1286"/>
      <c r="AE93" s="1283"/>
      <c r="AF93" s="1285"/>
      <c r="AG93" s="1284"/>
      <c r="AH93" s="1285"/>
      <c r="AI93" s="1286"/>
      <c r="AJ93" s="1286"/>
      <c r="AK93" s="1286"/>
      <c r="AL93" s="1287"/>
      <c r="AM93" s="1288"/>
      <c r="AN93" s="1290"/>
      <c r="AO93" s="2147" t="s">
        <v>676</v>
      </c>
      <c r="AP93" s="1285"/>
      <c r="AQ93" s="1285"/>
      <c r="AR93" s="1284"/>
      <c r="AS93" s="1285"/>
      <c r="AT93" s="1286"/>
      <c r="AU93" s="1286"/>
      <c r="AV93" s="1286"/>
      <c r="AW93" s="1284"/>
      <c r="AX93" s="2148" t="s">
        <v>375</v>
      </c>
      <c r="AY93" s="4488"/>
      <c r="AZ93" s="4504">
        <f t="shared" si="129"/>
        <v>0</v>
      </c>
      <c r="BA93" s="4504">
        <f t="shared" si="130"/>
        <v>0</v>
      </c>
      <c r="BB93" s="4504">
        <f t="shared" si="131"/>
        <v>0</v>
      </c>
      <c r="BC93" s="4504">
        <f t="shared" si="132"/>
        <v>0</v>
      </c>
      <c r="BD93" s="4504">
        <f t="shared" si="133"/>
        <v>0</v>
      </c>
      <c r="BE93" s="4504">
        <f t="shared" si="134"/>
        <v>0</v>
      </c>
      <c r="BF93" s="4504">
        <f t="shared" si="135"/>
        <v>0</v>
      </c>
      <c r="BG93" s="4504">
        <f t="shared" si="136"/>
        <v>0</v>
      </c>
      <c r="BH93" s="4504">
        <f t="shared" si="137"/>
        <v>0</v>
      </c>
      <c r="BI93" s="4504">
        <f t="shared" si="138"/>
        <v>0</v>
      </c>
      <c r="BJ93" s="4504">
        <f t="shared" si="139"/>
        <v>0</v>
      </c>
      <c r="BK93" s="4504">
        <f t="shared" si="140"/>
        <v>0</v>
      </c>
      <c r="BL93" s="4504">
        <f t="shared" si="141"/>
        <v>0</v>
      </c>
      <c r="BM93" s="4504">
        <f t="shared" si="142"/>
        <v>0</v>
      </c>
      <c r="BN93" s="4504">
        <f t="shared" si="143"/>
        <v>0</v>
      </c>
      <c r="BO93" s="4504">
        <f t="shared" si="144"/>
        <v>0</v>
      </c>
      <c r="BP93" s="4504">
        <f t="shared" si="145"/>
        <v>0</v>
      </c>
      <c r="BQ93" s="4504">
        <f t="shared" si="146"/>
        <v>0</v>
      </c>
      <c r="BR93" s="4504">
        <f t="shared" si="147"/>
        <v>0</v>
      </c>
      <c r="BS93" s="4504">
        <f t="shared" si="148"/>
        <v>0</v>
      </c>
      <c r="BT93" s="4504">
        <f t="shared" si="149"/>
        <v>0</v>
      </c>
      <c r="BU93" s="4504">
        <f t="shared" si="150"/>
        <v>0</v>
      </c>
      <c r="BV93" s="4504">
        <f t="shared" si="151"/>
        <v>0</v>
      </c>
      <c r="BW93" s="4504">
        <f t="shared" si="152"/>
        <v>0</v>
      </c>
      <c r="BX93" s="4504">
        <f t="shared" si="153"/>
        <v>0</v>
      </c>
      <c r="BY93" s="4504">
        <f t="shared" si="154"/>
        <v>0</v>
      </c>
      <c r="BZ93" s="4504">
        <f t="shared" si="155"/>
        <v>0</v>
      </c>
      <c r="CA93" s="4504">
        <f t="shared" si="156"/>
        <v>0</v>
      </c>
      <c r="CB93" s="4504">
        <f t="shared" si="157"/>
        <v>0</v>
      </c>
      <c r="CC93" s="4504">
        <f t="shared" si="158"/>
        <v>0</v>
      </c>
      <c r="CD93" s="4504">
        <f t="shared" si="159"/>
        <v>0</v>
      </c>
      <c r="CE93" s="4504">
        <f t="shared" si="160"/>
        <v>0</v>
      </c>
      <c r="CF93" s="4504">
        <f t="shared" si="161"/>
        <v>0</v>
      </c>
    </row>
    <row r="94" spans="1:84" ht="24">
      <c r="A94" s="2155"/>
      <c r="B94" s="2139">
        <v>20501</v>
      </c>
      <c r="C94" s="2128">
        <v>2070121</v>
      </c>
      <c r="D94" s="2140">
        <v>0.08</v>
      </c>
      <c r="E94" s="2141" t="s">
        <v>376</v>
      </c>
      <c r="F94" s="2143">
        <f t="shared" si="120"/>
        <v>0</v>
      </c>
      <c r="G94" s="4140">
        <f t="shared" si="121"/>
        <v>0</v>
      </c>
      <c r="H94" s="2142">
        <f t="shared" si="122"/>
        <v>0</v>
      </c>
      <c r="I94" s="2143">
        <f t="shared" si="123"/>
        <v>0</v>
      </c>
      <c r="J94" s="2144">
        <f t="shared" si="124"/>
        <v>0</v>
      </c>
      <c r="K94" s="2144">
        <f t="shared" si="125"/>
        <v>0</v>
      </c>
      <c r="L94" s="2144">
        <f t="shared" si="126"/>
        <v>0</v>
      </c>
      <c r="M94" s="2145">
        <f t="shared" si="127"/>
        <v>0</v>
      </c>
      <c r="N94" s="2146">
        <f t="shared" si="128"/>
        <v>0</v>
      </c>
      <c r="O94" s="1283"/>
      <c r="P94" s="1285"/>
      <c r="Q94" s="1284"/>
      <c r="R94" s="1285"/>
      <c r="S94" s="1286"/>
      <c r="T94" s="1286"/>
      <c r="U94" s="1286"/>
      <c r="V94" s="1286"/>
      <c r="W94" s="1283"/>
      <c r="X94" s="1285"/>
      <c r="Y94" s="1284"/>
      <c r="Z94" s="1285"/>
      <c r="AA94" s="1286"/>
      <c r="AB94" s="1286"/>
      <c r="AC94" s="1286"/>
      <c r="AD94" s="1286"/>
      <c r="AE94" s="1283"/>
      <c r="AF94" s="1285"/>
      <c r="AG94" s="1284"/>
      <c r="AH94" s="1285"/>
      <c r="AI94" s="1286"/>
      <c r="AJ94" s="1286"/>
      <c r="AK94" s="1286"/>
      <c r="AL94" s="1287"/>
      <c r="AM94" s="1288"/>
      <c r="AN94" s="1290"/>
      <c r="AO94" s="2147" t="s">
        <v>676</v>
      </c>
      <c r="AP94" s="1285"/>
      <c r="AQ94" s="1285"/>
      <c r="AR94" s="1284"/>
      <c r="AS94" s="1285"/>
      <c r="AT94" s="1286"/>
      <c r="AU94" s="1286"/>
      <c r="AV94" s="1286"/>
      <c r="AW94" s="1284"/>
      <c r="AX94" s="2148" t="s">
        <v>375</v>
      </c>
      <c r="AY94" s="4488"/>
      <c r="AZ94" s="4504">
        <f t="shared" si="129"/>
        <v>0</v>
      </c>
      <c r="BA94" s="4504">
        <f t="shared" si="130"/>
        <v>0</v>
      </c>
      <c r="BB94" s="4504">
        <f t="shared" si="131"/>
        <v>0</v>
      </c>
      <c r="BC94" s="4504">
        <f t="shared" si="132"/>
        <v>0</v>
      </c>
      <c r="BD94" s="4504">
        <f t="shared" si="133"/>
        <v>0</v>
      </c>
      <c r="BE94" s="4504">
        <f t="shared" si="134"/>
        <v>0</v>
      </c>
      <c r="BF94" s="4504">
        <f t="shared" si="135"/>
        <v>0</v>
      </c>
      <c r="BG94" s="4504">
        <f t="shared" si="136"/>
        <v>0</v>
      </c>
      <c r="BH94" s="4504">
        <f t="shared" si="137"/>
        <v>0</v>
      </c>
      <c r="BI94" s="4504">
        <f t="shared" si="138"/>
        <v>0</v>
      </c>
      <c r="BJ94" s="4504">
        <f t="shared" si="139"/>
        <v>0</v>
      </c>
      <c r="BK94" s="4504">
        <f t="shared" si="140"/>
        <v>0</v>
      </c>
      <c r="BL94" s="4504">
        <f t="shared" si="141"/>
        <v>0</v>
      </c>
      <c r="BM94" s="4504">
        <f t="shared" si="142"/>
        <v>0</v>
      </c>
      <c r="BN94" s="4504">
        <f t="shared" si="143"/>
        <v>0</v>
      </c>
      <c r="BO94" s="4504">
        <f t="shared" si="144"/>
        <v>0</v>
      </c>
      <c r="BP94" s="4504">
        <f t="shared" si="145"/>
        <v>0</v>
      </c>
      <c r="BQ94" s="4504">
        <f t="shared" si="146"/>
        <v>0</v>
      </c>
      <c r="BR94" s="4504">
        <f t="shared" si="147"/>
        <v>0</v>
      </c>
      <c r="BS94" s="4504">
        <f t="shared" si="148"/>
        <v>0</v>
      </c>
      <c r="BT94" s="4504">
        <f t="shared" si="149"/>
        <v>0</v>
      </c>
      <c r="BU94" s="4504">
        <f t="shared" si="150"/>
        <v>0</v>
      </c>
      <c r="BV94" s="4504">
        <f t="shared" si="151"/>
        <v>0</v>
      </c>
      <c r="BW94" s="4504">
        <f t="shared" si="152"/>
        <v>0</v>
      </c>
      <c r="BX94" s="4504">
        <f t="shared" si="153"/>
        <v>0</v>
      </c>
      <c r="BY94" s="4504">
        <f t="shared" si="154"/>
        <v>0</v>
      </c>
      <c r="BZ94" s="4504">
        <f t="shared" si="155"/>
        <v>0</v>
      </c>
      <c r="CA94" s="4504">
        <f t="shared" si="156"/>
        <v>0</v>
      </c>
      <c r="CB94" s="4504">
        <f t="shared" si="157"/>
        <v>0</v>
      </c>
      <c r="CC94" s="4504">
        <f t="shared" si="158"/>
        <v>0</v>
      </c>
      <c r="CD94" s="4504">
        <f t="shared" si="159"/>
        <v>0</v>
      </c>
      <c r="CE94" s="4504">
        <f t="shared" si="160"/>
        <v>0</v>
      </c>
      <c r="CF94" s="4504">
        <f t="shared" si="161"/>
        <v>0</v>
      </c>
    </row>
    <row r="95" spans="1:84">
      <c r="A95" s="2155"/>
      <c r="B95" s="2139">
        <v>20503</v>
      </c>
      <c r="C95" s="2139">
        <v>2070122</v>
      </c>
      <c r="D95" s="2140">
        <v>0.1</v>
      </c>
      <c r="E95" s="2150" t="s">
        <v>674</v>
      </c>
      <c r="F95" s="2143">
        <f t="shared" si="120"/>
        <v>0</v>
      </c>
      <c r="G95" s="4140">
        <f t="shared" si="121"/>
        <v>0</v>
      </c>
      <c r="H95" s="2142">
        <f t="shared" si="122"/>
        <v>0</v>
      </c>
      <c r="I95" s="2143">
        <f t="shared" si="123"/>
        <v>0</v>
      </c>
      <c r="J95" s="2144">
        <f t="shared" si="124"/>
        <v>0</v>
      </c>
      <c r="K95" s="2144">
        <f t="shared" si="125"/>
        <v>0</v>
      </c>
      <c r="L95" s="2144">
        <f t="shared" si="126"/>
        <v>0</v>
      </c>
      <c r="M95" s="2145">
        <f t="shared" si="127"/>
        <v>0</v>
      </c>
      <c r="N95" s="2146">
        <f t="shared" si="128"/>
        <v>0</v>
      </c>
      <c r="O95" s="1283"/>
      <c r="P95" s="1285"/>
      <c r="Q95" s="1284"/>
      <c r="R95" s="1285"/>
      <c r="S95" s="1286"/>
      <c r="T95" s="1286"/>
      <c r="U95" s="1286"/>
      <c r="V95" s="1286"/>
      <c r="W95" s="1283"/>
      <c r="X95" s="1285"/>
      <c r="Y95" s="1284"/>
      <c r="Z95" s="1285"/>
      <c r="AA95" s="1286"/>
      <c r="AB95" s="1286"/>
      <c r="AC95" s="1286"/>
      <c r="AD95" s="1286"/>
      <c r="AE95" s="1283"/>
      <c r="AF95" s="1285"/>
      <c r="AG95" s="1284"/>
      <c r="AH95" s="1285"/>
      <c r="AI95" s="1286"/>
      <c r="AJ95" s="1286"/>
      <c r="AK95" s="1286"/>
      <c r="AL95" s="1287"/>
      <c r="AM95" s="1288"/>
      <c r="AN95" s="1289"/>
      <c r="AO95" s="2147" t="s">
        <v>676</v>
      </c>
      <c r="AP95" s="1285"/>
      <c r="AQ95" s="1285"/>
      <c r="AR95" s="1284"/>
      <c r="AS95" s="1285"/>
      <c r="AT95" s="1286"/>
      <c r="AU95" s="1286"/>
      <c r="AV95" s="1286"/>
      <c r="AW95" s="1284"/>
      <c r="AX95" s="2148" t="s">
        <v>375</v>
      </c>
      <c r="AY95" s="4488"/>
      <c r="AZ95" s="4504">
        <f t="shared" si="129"/>
        <v>0</v>
      </c>
      <c r="BA95" s="4504">
        <f t="shared" si="130"/>
        <v>0</v>
      </c>
      <c r="BB95" s="4504">
        <f t="shared" si="131"/>
        <v>0</v>
      </c>
      <c r="BC95" s="4504">
        <f t="shared" si="132"/>
        <v>0</v>
      </c>
      <c r="BD95" s="4504">
        <f t="shared" si="133"/>
        <v>0</v>
      </c>
      <c r="BE95" s="4504">
        <f t="shared" si="134"/>
        <v>0</v>
      </c>
      <c r="BF95" s="4504">
        <f t="shared" si="135"/>
        <v>0</v>
      </c>
      <c r="BG95" s="4504">
        <f t="shared" si="136"/>
        <v>0</v>
      </c>
      <c r="BH95" s="4504">
        <f t="shared" si="137"/>
        <v>0</v>
      </c>
      <c r="BI95" s="4504">
        <f t="shared" si="138"/>
        <v>0</v>
      </c>
      <c r="BJ95" s="4504">
        <f t="shared" si="139"/>
        <v>0</v>
      </c>
      <c r="BK95" s="4504">
        <f t="shared" si="140"/>
        <v>0</v>
      </c>
      <c r="BL95" s="4504">
        <f t="shared" si="141"/>
        <v>0</v>
      </c>
      <c r="BM95" s="4504">
        <f t="shared" si="142"/>
        <v>0</v>
      </c>
      <c r="BN95" s="4504">
        <f t="shared" si="143"/>
        <v>0</v>
      </c>
      <c r="BO95" s="4504">
        <f t="shared" si="144"/>
        <v>0</v>
      </c>
      <c r="BP95" s="4504">
        <f t="shared" si="145"/>
        <v>0</v>
      </c>
      <c r="BQ95" s="4504">
        <f t="shared" si="146"/>
        <v>0</v>
      </c>
      <c r="BR95" s="4504">
        <f t="shared" si="147"/>
        <v>0</v>
      </c>
      <c r="BS95" s="4504">
        <f t="shared" si="148"/>
        <v>0</v>
      </c>
      <c r="BT95" s="4504">
        <f t="shared" si="149"/>
        <v>0</v>
      </c>
      <c r="BU95" s="4504">
        <f t="shared" si="150"/>
        <v>0</v>
      </c>
      <c r="BV95" s="4504">
        <f t="shared" si="151"/>
        <v>0</v>
      </c>
      <c r="BW95" s="4504">
        <f t="shared" si="152"/>
        <v>0</v>
      </c>
      <c r="BX95" s="4504">
        <f t="shared" si="153"/>
        <v>0</v>
      </c>
      <c r="BY95" s="4504">
        <f t="shared" si="154"/>
        <v>0</v>
      </c>
      <c r="BZ95" s="4504">
        <f t="shared" si="155"/>
        <v>0</v>
      </c>
      <c r="CA95" s="4504">
        <f t="shared" si="156"/>
        <v>0</v>
      </c>
      <c r="CB95" s="4504">
        <f t="shared" si="157"/>
        <v>0</v>
      </c>
      <c r="CC95" s="4504">
        <f t="shared" si="158"/>
        <v>0</v>
      </c>
      <c r="CD95" s="4504">
        <f t="shared" si="159"/>
        <v>0</v>
      </c>
      <c r="CE95" s="4504">
        <f t="shared" si="160"/>
        <v>0</v>
      </c>
      <c r="CF95" s="4504">
        <f t="shared" si="161"/>
        <v>0</v>
      </c>
    </row>
    <row r="96" spans="1:84" ht="24">
      <c r="A96" s="2155"/>
      <c r="B96" s="2139">
        <v>20303</v>
      </c>
      <c r="C96" s="2128">
        <v>2070123</v>
      </c>
      <c r="D96" s="2140">
        <v>0.1</v>
      </c>
      <c r="E96" s="2141" t="s">
        <v>377</v>
      </c>
      <c r="F96" s="2143">
        <f t="shared" si="120"/>
        <v>0</v>
      </c>
      <c r="G96" s="4140">
        <f t="shared" si="121"/>
        <v>0</v>
      </c>
      <c r="H96" s="2142">
        <f t="shared" si="122"/>
        <v>0</v>
      </c>
      <c r="I96" s="2143">
        <f t="shared" si="123"/>
        <v>0</v>
      </c>
      <c r="J96" s="2144">
        <f t="shared" si="124"/>
        <v>0</v>
      </c>
      <c r="K96" s="2144">
        <f t="shared" si="125"/>
        <v>0</v>
      </c>
      <c r="L96" s="2144">
        <f t="shared" si="126"/>
        <v>0</v>
      </c>
      <c r="M96" s="2145">
        <f t="shared" si="127"/>
        <v>0</v>
      </c>
      <c r="N96" s="2146">
        <f t="shared" si="128"/>
        <v>0</v>
      </c>
      <c r="O96" s="1283"/>
      <c r="P96" s="1285"/>
      <c r="Q96" s="1284"/>
      <c r="R96" s="1285"/>
      <c r="S96" s="1286"/>
      <c r="T96" s="1286"/>
      <c r="U96" s="1286"/>
      <c r="V96" s="1286"/>
      <c r="W96" s="1283"/>
      <c r="X96" s="1285"/>
      <c r="Y96" s="1284"/>
      <c r="Z96" s="1285"/>
      <c r="AA96" s="1286"/>
      <c r="AB96" s="1286"/>
      <c r="AC96" s="1286"/>
      <c r="AD96" s="1286"/>
      <c r="AE96" s="1283"/>
      <c r="AF96" s="1285"/>
      <c r="AG96" s="1284"/>
      <c r="AH96" s="1285"/>
      <c r="AI96" s="1286"/>
      <c r="AJ96" s="1286"/>
      <c r="AK96" s="1286"/>
      <c r="AL96" s="1287"/>
      <c r="AM96" s="1288"/>
      <c r="AN96" s="1289"/>
      <c r="AO96" s="2147" t="s">
        <v>676</v>
      </c>
      <c r="AP96" s="1285"/>
      <c r="AQ96" s="1285"/>
      <c r="AR96" s="1284"/>
      <c r="AS96" s="1285"/>
      <c r="AT96" s="1286"/>
      <c r="AU96" s="1286"/>
      <c r="AV96" s="1286"/>
      <c r="AW96" s="1284"/>
      <c r="AX96" s="2148" t="s">
        <v>375</v>
      </c>
      <c r="AY96" s="4488"/>
      <c r="AZ96" s="4504">
        <f t="shared" si="129"/>
        <v>0</v>
      </c>
      <c r="BA96" s="4504">
        <f t="shared" si="130"/>
        <v>0</v>
      </c>
      <c r="BB96" s="4504">
        <f t="shared" si="131"/>
        <v>0</v>
      </c>
      <c r="BC96" s="4504">
        <f t="shared" si="132"/>
        <v>0</v>
      </c>
      <c r="BD96" s="4504">
        <f t="shared" si="133"/>
        <v>0</v>
      </c>
      <c r="BE96" s="4504">
        <f t="shared" si="134"/>
        <v>0</v>
      </c>
      <c r="BF96" s="4504">
        <f t="shared" si="135"/>
        <v>0</v>
      </c>
      <c r="BG96" s="4504">
        <f t="shared" si="136"/>
        <v>0</v>
      </c>
      <c r="BH96" s="4504">
        <f t="shared" si="137"/>
        <v>0</v>
      </c>
      <c r="BI96" s="4504">
        <f t="shared" si="138"/>
        <v>0</v>
      </c>
      <c r="BJ96" s="4504">
        <f t="shared" si="139"/>
        <v>0</v>
      </c>
      <c r="BK96" s="4504">
        <f t="shared" si="140"/>
        <v>0</v>
      </c>
      <c r="BL96" s="4504">
        <f t="shared" si="141"/>
        <v>0</v>
      </c>
      <c r="BM96" s="4504">
        <f t="shared" si="142"/>
        <v>0</v>
      </c>
      <c r="BN96" s="4504">
        <f t="shared" si="143"/>
        <v>0</v>
      </c>
      <c r="BO96" s="4504">
        <f t="shared" si="144"/>
        <v>0</v>
      </c>
      <c r="BP96" s="4504">
        <f t="shared" si="145"/>
        <v>0</v>
      </c>
      <c r="BQ96" s="4504">
        <f t="shared" si="146"/>
        <v>0</v>
      </c>
      <c r="BR96" s="4504">
        <f t="shared" si="147"/>
        <v>0</v>
      </c>
      <c r="BS96" s="4504">
        <f t="shared" si="148"/>
        <v>0</v>
      </c>
      <c r="BT96" s="4504">
        <f t="shared" si="149"/>
        <v>0</v>
      </c>
      <c r="BU96" s="4504">
        <f t="shared" si="150"/>
        <v>0</v>
      </c>
      <c r="BV96" s="4504">
        <f t="shared" si="151"/>
        <v>0</v>
      </c>
      <c r="BW96" s="4504">
        <f t="shared" si="152"/>
        <v>0</v>
      </c>
      <c r="BX96" s="4504">
        <f t="shared" si="153"/>
        <v>0</v>
      </c>
      <c r="BY96" s="4504">
        <f t="shared" si="154"/>
        <v>0</v>
      </c>
      <c r="BZ96" s="4504">
        <f t="shared" si="155"/>
        <v>0</v>
      </c>
      <c r="CA96" s="4504">
        <f t="shared" si="156"/>
        <v>0</v>
      </c>
      <c r="CB96" s="4504">
        <f t="shared" si="157"/>
        <v>0</v>
      </c>
      <c r="CC96" s="4504">
        <f t="shared" si="158"/>
        <v>0</v>
      </c>
      <c r="CD96" s="4504">
        <f t="shared" si="159"/>
        <v>0</v>
      </c>
      <c r="CE96" s="4504">
        <f t="shared" si="160"/>
        <v>0</v>
      </c>
      <c r="CF96" s="4504">
        <f t="shared" si="161"/>
        <v>0</v>
      </c>
    </row>
    <row r="97" spans="1:84" ht="24.6" thickBot="1">
      <c r="A97" s="3860"/>
      <c r="B97" s="3861">
        <v>20306</v>
      </c>
      <c r="C97" s="3861">
        <v>2070124</v>
      </c>
      <c r="D97" s="3862">
        <v>0.1</v>
      </c>
      <c r="E97" s="3863" t="s">
        <v>712</v>
      </c>
      <c r="F97" s="3865">
        <f t="shared" si="120"/>
        <v>0</v>
      </c>
      <c r="G97" s="4141">
        <f t="shared" si="121"/>
        <v>0</v>
      </c>
      <c r="H97" s="3864">
        <f t="shared" si="122"/>
        <v>0</v>
      </c>
      <c r="I97" s="3865">
        <f t="shared" si="123"/>
        <v>0</v>
      </c>
      <c r="J97" s="3866">
        <f t="shared" si="124"/>
        <v>0</v>
      </c>
      <c r="K97" s="3866">
        <f t="shared" si="125"/>
        <v>0</v>
      </c>
      <c r="L97" s="3866">
        <f t="shared" si="126"/>
        <v>0</v>
      </c>
      <c r="M97" s="3867">
        <f t="shared" si="127"/>
        <v>0</v>
      </c>
      <c r="N97" s="2160">
        <f t="shared" si="128"/>
        <v>0</v>
      </c>
      <c r="O97" s="1306"/>
      <c r="P97" s="1308"/>
      <c r="Q97" s="1307"/>
      <c r="R97" s="1308"/>
      <c r="S97" s="3868"/>
      <c r="T97" s="3868"/>
      <c r="U97" s="3868"/>
      <c r="V97" s="3868"/>
      <c r="W97" s="1306"/>
      <c r="X97" s="1308"/>
      <c r="Y97" s="1307"/>
      <c r="Z97" s="1308"/>
      <c r="AA97" s="3868"/>
      <c r="AB97" s="3868"/>
      <c r="AC97" s="3868"/>
      <c r="AD97" s="3868"/>
      <c r="AE97" s="1306"/>
      <c r="AF97" s="1308"/>
      <c r="AG97" s="1307"/>
      <c r="AH97" s="1308"/>
      <c r="AI97" s="3868"/>
      <c r="AJ97" s="3868"/>
      <c r="AK97" s="3868"/>
      <c r="AL97" s="3869"/>
      <c r="AM97" s="1304"/>
      <c r="AN97" s="3870"/>
      <c r="AO97" s="2214" t="s">
        <v>676</v>
      </c>
      <c r="AP97" s="1308"/>
      <c r="AQ97" s="1308"/>
      <c r="AR97" s="1307"/>
      <c r="AS97" s="1308"/>
      <c r="AT97" s="3868"/>
      <c r="AU97" s="3868"/>
      <c r="AV97" s="3868"/>
      <c r="AW97" s="1307"/>
      <c r="AX97" s="3871" t="s">
        <v>666</v>
      </c>
      <c r="AY97" s="4488"/>
      <c r="AZ97" s="4504">
        <f t="shared" si="129"/>
        <v>0</v>
      </c>
      <c r="BA97" s="4504">
        <f t="shared" si="130"/>
        <v>0</v>
      </c>
      <c r="BB97" s="4504">
        <f t="shared" si="131"/>
        <v>0</v>
      </c>
      <c r="BC97" s="4504">
        <f t="shared" si="132"/>
        <v>0</v>
      </c>
      <c r="BD97" s="4504">
        <f t="shared" si="133"/>
        <v>0</v>
      </c>
      <c r="BE97" s="4504">
        <f t="shared" si="134"/>
        <v>0</v>
      </c>
      <c r="BF97" s="4504">
        <f t="shared" si="135"/>
        <v>0</v>
      </c>
      <c r="BG97" s="4504">
        <f t="shared" si="136"/>
        <v>0</v>
      </c>
      <c r="BH97" s="4504">
        <f t="shared" si="137"/>
        <v>0</v>
      </c>
      <c r="BI97" s="4504">
        <f t="shared" si="138"/>
        <v>0</v>
      </c>
      <c r="BJ97" s="4504">
        <f t="shared" si="139"/>
        <v>0</v>
      </c>
      <c r="BK97" s="4504">
        <f t="shared" si="140"/>
        <v>0</v>
      </c>
      <c r="BL97" s="4504">
        <f t="shared" si="141"/>
        <v>0</v>
      </c>
      <c r="BM97" s="4504">
        <f t="shared" si="142"/>
        <v>0</v>
      </c>
      <c r="BN97" s="4504">
        <f t="shared" si="143"/>
        <v>0</v>
      </c>
      <c r="BO97" s="4504">
        <f t="shared" si="144"/>
        <v>0</v>
      </c>
      <c r="BP97" s="4504">
        <f t="shared" si="145"/>
        <v>0</v>
      </c>
      <c r="BQ97" s="4504">
        <f t="shared" si="146"/>
        <v>0</v>
      </c>
      <c r="BR97" s="4504">
        <f t="shared" si="147"/>
        <v>0</v>
      </c>
      <c r="BS97" s="4504">
        <f t="shared" si="148"/>
        <v>0</v>
      </c>
      <c r="BT97" s="4504">
        <f t="shared" si="149"/>
        <v>0</v>
      </c>
      <c r="BU97" s="4504">
        <f t="shared" si="150"/>
        <v>0</v>
      </c>
      <c r="BV97" s="4504">
        <f t="shared" si="151"/>
        <v>0</v>
      </c>
      <c r="BW97" s="4504">
        <f t="shared" si="152"/>
        <v>0</v>
      </c>
      <c r="BX97" s="4504">
        <f t="shared" si="153"/>
        <v>0</v>
      </c>
      <c r="BY97" s="4504">
        <f t="shared" si="154"/>
        <v>0</v>
      </c>
      <c r="BZ97" s="4504">
        <f t="shared" si="155"/>
        <v>0</v>
      </c>
      <c r="CA97" s="4504">
        <f t="shared" si="156"/>
        <v>0</v>
      </c>
      <c r="CB97" s="4504">
        <f t="shared" si="157"/>
        <v>0</v>
      </c>
      <c r="CC97" s="4504">
        <f t="shared" si="158"/>
        <v>0</v>
      </c>
      <c r="CD97" s="4504">
        <f t="shared" si="159"/>
        <v>0</v>
      </c>
      <c r="CE97" s="4504">
        <f t="shared" si="160"/>
        <v>0</v>
      </c>
      <c r="CF97" s="4504">
        <f t="shared" si="161"/>
        <v>0</v>
      </c>
    </row>
    <row r="98" spans="1:84" ht="16.2" thickBot="1">
      <c r="A98" s="5290" t="s">
        <v>1500</v>
      </c>
      <c r="B98" s="5291"/>
      <c r="C98" s="5291"/>
      <c r="D98" s="5291"/>
      <c r="E98" s="5291"/>
      <c r="F98" s="5291"/>
      <c r="G98" s="5291"/>
      <c r="H98" s="5291"/>
      <c r="I98" s="5291"/>
      <c r="J98" s="5291"/>
      <c r="K98" s="5291"/>
      <c r="L98" s="5291"/>
      <c r="M98" s="5291"/>
      <c r="N98" s="5291"/>
      <c r="O98" s="5291"/>
      <c r="P98" s="5291"/>
      <c r="Q98" s="5291"/>
      <c r="R98" s="5291"/>
      <c r="S98" s="5291"/>
      <c r="T98" s="5291"/>
      <c r="U98" s="5291"/>
      <c r="V98" s="5291"/>
      <c r="W98" s="5291"/>
      <c r="X98" s="5291"/>
      <c r="Y98" s="5291"/>
      <c r="Z98" s="5291"/>
      <c r="AA98" s="5291"/>
      <c r="AB98" s="5291"/>
      <c r="AC98" s="5291"/>
      <c r="AD98" s="5291"/>
      <c r="AE98" s="5291"/>
      <c r="AF98" s="5291"/>
      <c r="AG98" s="5291"/>
      <c r="AH98" s="5291"/>
      <c r="AI98" s="5291"/>
      <c r="AJ98" s="5291"/>
      <c r="AK98" s="5291"/>
      <c r="AL98" s="5291"/>
      <c r="AM98" s="5291"/>
      <c r="AN98" s="5291"/>
      <c r="AO98" s="5291"/>
      <c r="AP98" s="5291"/>
      <c r="AQ98" s="5291"/>
      <c r="AR98" s="5291"/>
      <c r="AS98" s="5291"/>
      <c r="AT98" s="5291"/>
      <c r="AU98" s="5291"/>
      <c r="AV98" s="5291"/>
      <c r="AW98" s="5291"/>
      <c r="AX98" s="5292"/>
      <c r="AY98" s="4488"/>
      <c r="AZ98" s="4504">
        <f t="shared" si="129"/>
        <v>0</v>
      </c>
      <c r="BA98" s="4504">
        <f t="shared" si="130"/>
        <v>0</v>
      </c>
      <c r="BB98" s="4504">
        <f t="shared" si="131"/>
        <v>0</v>
      </c>
      <c r="BC98" s="4504">
        <f t="shared" si="132"/>
        <v>0</v>
      </c>
      <c r="BD98" s="4504">
        <f t="shared" si="133"/>
        <v>0</v>
      </c>
      <c r="BE98" s="4504">
        <f t="shared" si="134"/>
        <v>0</v>
      </c>
      <c r="BF98" s="4504">
        <f t="shared" si="135"/>
        <v>0</v>
      </c>
      <c r="BG98" s="4504">
        <f t="shared" si="136"/>
        <v>0</v>
      </c>
      <c r="BH98" s="4504">
        <f t="shared" si="137"/>
        <v>0</v>
      </c>
      <c r="BI98" s="4504">
        <f t="shared" si="138"/>
        <v>0</v>
      </c>
      <c r="BJ98" s="4504">
        <f t="shared" si="139"/>
        <v>0</v>
      </c>
      <c r="BK98" s="4504">
        <f t="shared" si="140"/>
        <v>0</v>
      </c>
      <c r="BL98" s="4504">
        <f t="shared" si="141"/>
        <v>0</v>
      </c>
      <c r="BM98" s="4504">
        <f t="shared" si="142"/>
        <v>0</v>
      </c>
      <c r="BN98" s="4504">
        <f t="shared" si="143"/>
        <v>0</v>
      </c>
      <c r="BO98" s="4504">
        <f t="shared" si="144"/>
        <v>0</v>
      </c>
      <c r="BP98" s="4504">
        <f t="shared" si="145"/>
        <v>0</v>
      </c>
      <c r="BQ98" s="4504">
        <f t="shared" si="146"/>
        <v>0</v>
      </c>
      <c r="BR98" s="4504">
        <f t="shared" si="147"/>
        <v>0</v>
      </c>
      <c r="BS98" s="4504">
        <f t="shared" si="148"/>
        <v>0</v>
      </c>
      <c r="BT98" s="4504">
        <f t="shared" si="149"/>
        <v>0</v>
      </c>
      <c r="BU98" s="4504">
        <f t="shared" si="150"/>
        <v>0</v>
      </c>
      <c r="BV98" s="4504">
        <f t="shared" si="151"/>
        <v>0</v>
      </c>
      <c r="BW98" s="4504">
        <f t="shared" si="152"/>
        <v>0</v>
      </c>
      <c r="BX98" s="4504">
        <f t="shared" si="153"/>
        <v>0</v>
      </c>
      <c r="BY98" s="4504">
        <f t="shared" si="154"/>
        <v>0</v>
      </c>
      <c r="BZ98" s="4504">
        <f t="shared" si="155"/>
        <v>0</v>
      </c>
      <c r="CA98" s="4504">
        <f t="shared" si="156"/>
        <v>0</v>
      </c>
      <c r="CB98" s="4504">
        <f t="shared" si="157"/>
        <v>0</v>
      </c>
      <c r="CC98" s="4504">
        <f t="shared" si="158"/>
        <v>0</v>
      </c>
      <c r="CD98" s="4504">
        <f t="shared" si="159"/>
        <v>0</v>
      </c>
      <c r="CE98" s="4504">
        <f t="shared" si="160"/>
        <v>0</v>
      </c>
      <c r="CF98" s="4504">
        <f t="shared" si="161"/>
        <v>0</v>
      </c>
    </row>
    <row r="99" spans="1:84" ht="23.4" thickBot="1">
      <c r="A99" s="2106">
        <v>1.7</v>
      </c>
      <c r="B99" s="2106"/>
      <c r="C99" s="2106"/>
      <c r="D99" s="2107"/>
      <c r="E99" s="2108" t="s">
        <v>1092</v>
      </c>
      <c r="F99" s="2109">
        <f>SUM(F100:F123)</f>
        <v>25.438790000000004</v>
      </c>
      <c r="G99" s="4138">
        <f>SUM(G100:G123)</f>
        <v>244.80986000000001</v>
      </c>
      <c r="H99" s="2110">
        <f t="shared" ref="H99:AL99" si="162">SUM(H100:H123)</f>
        <v>30</v>
      </c>
      <c r="I99" s="2111">
        <f t="shared" si="162"/>
        <v>296</v>
      </c>
      <c r="J99" s="2112">
        <f t="shared" si="162"/>
        <v>141</v>
      </c>
      <c r="K99" s="2112">
        <f t="shared" si="162"/>
        <v>136</v>
      </c>
      <c r="L99" s="2112">
        <f t="shared" si="162"/>
        <v>161</v>
      </c>
      <c r="M99" s="2113">
        <f t="shared" si="162"/>
        <v>161</v>
      </c>
      <c r="N99" s="2114">
        <f t="shared" si="162"/>
        <v>895</v>
      </c>
      <c r="O99" s="2115">
        <f t="shared" ref="O99" si="163">SUM(O100:O123)</f>
        <v>25.438790000000004</v>
      </c>
      <c r="P99" s="4154">
        <f t="shared" si="162"/>
        <v>244.80986000000001</v>
      </c>
      <c r="Q99" s="2116">
        <f t="shared" si="162"/>
        <v>30</v>
      </c>
      <c r="R99" s="2117">
        <f t="shared" si="162"/>
        <v>296</v>
      </c>
      <c r="S99" s="2118">
        <f t="shared" si="162"/>
        <v>141</v>
      </c>
      <c r="T99" s="2118">
        <f t="shared" si="162"/>
        <v>136</v>
      </c>
      <c r="U99" s="2118">
        <f t="shared" si="162"/>
        <v>161</v>
      </c>
      <c r="V99" s="2119">
        <f t="shared" si="162"/>
        <v>161</v>
      </c>
      <c r="W99" s="2115">
        <f t="shared" ref="W99" si="164">SUM(W100:W123)</f>
        <v>0</v>
      </c>
      <c r="X99" s="4154">
        <f t="shared" si="162"/>
        <v>0</v>
      </c>
      <c r="Y99" s="2116">
        <f t="shared" si="162"/>
        <v>0</v>
      </c>
      <c r="Z99" s="2117">
        <f t="shared" si="162"/>
        <v>0</v>
      </c>
      <c r="AA99" s="2118">
        <f t="shared" si="162"/>
        <v>0</v>
      </c>
      <c r="AB99" s="2118">
        <f t="shared" si="162"/>
        <v>0</v>
      </c>
      <c r="AC99" s="2118">
        <f t="shared" si="162"/>
        <v>0</v>
      </c>
      <c r="AD99" s="2119">
        <f t="shared" si="162"/>
        <v>0</v>
      </c>
      <c r="AE99" s="2115">
        <f t="shared" ref="AE99" si="165">SUM(AE100:AE123)</f>
        <v>0</v>
      </c>
      <c r="AF99" s="4154">
        <f t="shared" si="162"/>
        <v>0</v>
      </c>
      <c r="AG99" s="2116">
        <f t="shared" si="162"/>
        <v>0</v>
      </c>
      <c r="AH99" s="2117">
        <f>SUM(AH100:AH123)</f>
        <v>0</v>
      </c>
      <c r="AI99" s="2118">
        <f t="shared" si="162"/>
        <v>0</v>
      </c>
      <c r="AJ99" s="2118">
        <f t="shared" si="162"/>
        <v>0</v>
      </c>
      <c r="AK99" s="2118">
        <f t="shared" si="162"/>
        <v>0</v>
      </c>
      <c r="AL99" s="2120">
        <f t="shared" si="162"/>
        <v>0</v>
      </c>
      <c r="AM99" s="2121"/>
      <c r="AN99" s="2122"/>
      <c r="AO99" s="2123"/>
      <c r="AP99" s="2222"/>
      <c r="AQ99" s="2222"/>
      <c r="AR99" s="2223"/>
      <c r="AS99" s="2124"/>
      <c r="AT99" s="2124"/>
      <c r="AU99" s="2124"/>
      <c r="AV99" s="2124"/>
      <c r="AW99" s="2125"/>
      <c r="AX99" s="2126"/>
      <c r="AY99" s="4488"/>
      <c r="AZ99" s="4504">
        <f t="shared" si="129"/>
        <v>13.006646794455554</v>
      </c>
      <c r="BA99" s="4504">
        <f t="shared" si="130"/>
        <v>125.16929385478289</v>
      </c>
      <c r="BB99" s="4504">
        <f t="shared" si="131"/>
        <v>15.338756435886555</v>
      </c>
      <c r="BC99" s="4504">
        <f t="shared" si="132"/>
        <v>151.34239683408069</v>
      </c>
      <c r="BD99" s="4504">
        <f t="shared" si="133"/>
        <v>72.092155248666813</v>
      </c>
      <c r="BE99" s="4504">
        <f t="shared" si="134"/>
        <v>69.535695842685712</v>
      </c>
      <c r="BF99" s="4504">
        <f t="shared" si="135"/>
        <v>82.317992872591176</v>
      </c>
      <c r="BG99" s="4504">
        <f t="shared" si="136"/>
        <v>82.317992872591176</v>
      </c>
      <c r="BH99" s="4504">
        <f t="shared" si="137"/>
        <v>457.60623367061555</v>
      </c>
      <c r="BI99" s="4504">
        <f t="shared" si="138"/>
        <v>13.006646794455554</v>
      </c>
      <c r="BJ99" s="4504">
        <f t="shared" si="139"/>
        <v>125.16929385478289</v>
      </c>
      <c r="BK99" s="4504">
        <f t="shared" si="140"/>
        <v>15.338756435886555</v>
      </c>
      <c r="BL99" s="4504">
        <f t="shared" si="141"/>
        <v>151.34239683408069</v>
      </c>
      <c r="BM99" s="4504">
        <f t="shared" si="142"/>
        <v>72.092155248666813</v>
      </c>
      <c r="BN99" s="4504">
        <f t="shared" si="143"/>
        <v>69.535695842685712</v>
      </c>
      <c r="BO99" s="4504">
        <f t="shared" si="144"/>
        <v>82.317992872591176</v>
      </c>
      <c r="BP99" s="4504">
        <f t="shared" si="145"/>
        <v>82.317992872591176</v>
      </c>
      <c r="BQ99" s="4504">
        <f t="shared" si="146"/>
        <v>0</v>
      </c>
      <c r="BR99" s="4504">
        <f t="shared" si="147"/>
        <v>0</v>
      </c>
      <c r="BS99" s="4504">
        <f t="shared" si="148"/>
        <v>0</v>
      </c>
      <c r="BT99" s="4504">
        <f t="shared" si="149"/>
        <v>0</v>
      </c>
      <c r="BU99" s="4504">
        <f t="shared" si="150"/>
        <v>0</v>
      </c>
      <c r="BV99" s="4504">
        <f t="shared" si="151"/>
        <v>0</v>
      </c>
      <c r="BW99" s="4504">
        <f t="shared" si="152"/>
        <v>0</v>
      </c>
      <c r="BX99" s="4504">
        <f t="shared" si="153"/>
        <v>0</v>
      </c>
      <c r="BY99" s="4504">
        <f t="shared" si="154"/>
        <v>0</v>
      </c>
      <c r="BZ99" s="4504">
        <f t="shared" si="155"/>
        <v>0</v>
      </c>
      <c r="CA99" s="4504">
        <f t="shared" si="156"/>
        <v>0</v>
      </c>
      <c r="CB99" s="4504">
        <f t="shared" si="157"/>
        <v>0</v>
      </c>
      <c r="CC99" s="4504">
        <f t="shared" si="158"/>
        <v>0</v>
      </c>
      <c r="CD99" s="4504">
        <f t="shared" si="159"/>
        <v>0</v>
      </c>
      <c r="CE99" s="4504">
        <f t="shared" si="160"/>
        <v>0</v>
      </c>
      <c r="CF99" s="4504">
        <f t="shared" si="161"/>
        <v>0</v>
      </c>
    </row>
    <row r="100" spans="1:84">
      <c r="A100" s="2127"/>
      <c r="B100" s="2128">
        <v>2040201</v>
      </c>
      <c r="C100" s="2128">
        <v>2070101</v>
      </c>
      <c r="D100" s="2129">
        <v>0.02</v>
      </c>
      <c r="E100" s="2130" t="s">
        <v>738</v>
      </c>
      <c r="F100" s="4142">
        <f t="shared" ref="F100:F123" si="166">O100+W100+AE100</f>
        <v>0</v>
      </c>
      <c r="G100" s="4139">
        <f t="shared" ref="G100:G123" si="167">P100+X100+AF100</f>
        <v>0</v>
      </c>
      <c r="H100" s="2131">
        <f t="shared" ref="H100:H123" si="168">Q100+Y100+AG100</f>
        <v>0</v>
      </c>
      <c r="I100" s="2132">
        <f t="shared" ref="I100:I123" si="169">R100+Z100+AH100</f>
        <v>0</v>
      </c>
      <c r="J100" s="2133">
        <f t="shared" ref="J100:J123" si="170">S100+AA100+AI100</f>
        <v>0</v>
      </c>
      <c r="K100" s="2133">
        <f t="shared" ref="K100:K123" si="171">T100+AB100+AJ100</f>
        <v>0</v>
      </c>
      <c r="L100" s="2133">
        <f t="shared" ref="L100:L123" si="172">U100+AC100+AK100</f>
        <v>0</v>
      </c>
      <c r="M100" s="2134">
        <f t="shared" ref="M100:M123" si="173">V100+AD100+AL100</f>
        <v>0</v>
      </c>
      <c r="N100" s="2135">
        <f>SUM(I100:M100)</f>
        <v>0</v>
      </c>
      <c r="O100" s="1276"/>
      <c r="P100" s="1278"/>
      <c r="Q100" s="1277"/>
      <c r="R100" s="1278"/>
      <c r="S100" s="1279"/>
      <c r="T100" s="1279"/>
      <c r="U100" s="1279"/>
      <c r="V100" s="1279"/>
      <c r="W100" s="1276"/>
      <c r="X100" s="1278"/>
      <c r="Y100" s="1277"/>
      <c r="Z100" s="1278"/>
      <c r="AA100" s="1279"/>
      <c r="AB100" s="1279"/>
      <c r="AC100" s="1279"/>
      <c r="AD100" s="1279"/>
      <c r="AE100" s="1276"/>
      <c r="AF100" s="1278"/>
      <c r="AG100" s="1277"/>
      <c r="AH100" s="1278"/>
      <c r="AI100" s="1279"/>
      <c r="AJ100" s="1279"/>
      <c r="AK100" s="1279"/>
      <c r="AL100" s="1280"/>
      <c r="AM100" s="1281"/>
      <c r="AN100" s="1282"/>
      <c r="AO100" s="2136" t="s">
        <v>676</v>
      </c>
      <c r="AP100" s="1278"/>
      <c r="AQ100" s="1278"/>
      <c r="AR100" s="1277"/>
      <c r="AS100" s="1278"/>
      <c r="AT100" s="1279"/>
      <c r="AU100" s="1279"/>
      <c r="AV100" s="1279"/>
      <c r="AW100" s="1277"/>
      <c r="AX100" s="2137" t="s">
        <v>354</v>
      </c>
      <c r="AY100" s="4488"/>
      <c r="AZ100" s="4504">
        <f t="shared" si="129"/>
        <v>0</v>
      </c>
      <c r="BA100" s="4504">
        <f t="shared" si="130"/>
        <v>0</v>
      </c>
      <c r="BB100" s="4504">
        <f t="shared" si="131"/>
        <v>0</v>
      </c>
      <c r="BC100" s="4504">
        <f t="shared" si="132"/>
        <v>0</v>
      </c>
      <c r="BD100" s="4504">
        <f t="shared" si="133"/>
        <v>0</v>
      </c>
      <c r="BE100" s="4504">
        <f t="shared" si="134"/>
        <v>0</v>
      </c>
      <c r="BF100" s="4504">
        <f t="shared" si="135"/>
        <v>0</v>
      </c>
      <c r="BG100" s="4504">
        <f t="shared" si="136"/>
        <v>0</v>
      </c>
      <c r="BH100" s="4504">
        <f t="shared" si="137"/>
        <v>0</v>
      </c>
      <c r="BI100" s="4504">
        <f t="shared" si="138"/>
        <v>0</v>
      </c>
      <c r="BJ100" s="4504">
        <f t="shared" si="139"/>
        <v>0</v>
      </c>
      <c r="BK100" s="4504">
        <f t="shared" si="140"/>
        <v>0</v>
      </c>
      <c r="BL100" s="4504">
        <f t="shared" si="141"/>
        <v>0</v>
      </c>
      <c r="BM100" s="4504">
        <f t="shared" si="142"/>
        <v>0</v>
      </c>
      <c r="BN100" s="4504">
        <f t="shared" si="143"/>
        <v>0</v>
      </c>
      <c r="BO100" s="4504">
        <f t="shared" si="144"/>
        <v>0</v>
      </c>
      <c r="BP100" s="4504">
        <f t="shared" si="145"/>
        <v>0</v>
      </c>
      <c r="BQ100" s="4504">
        <f t="shared" si="146"/>
        <v>0</v>
      </c>
      <c r="BR100" s="4504">
        <f t="shared" si="147"/>
        <v>0</v>
      </c>
      <c r="BS100" s="4504">
        <f t="shared" si="148"/>
        <v>0</v>
      </c>
      <c r="BT100" s="4504">
        <f t="shared" si="149"/>
        <v>0</v>
      </c>
      <c r="BU100" s="4504">
        <f t="shared" si="150"/>
        <v>0</v>
      </c>
      <c r="BV100" s="4504">
        <f t="shared" si="151"/>
        <v>0</v>
      </c>
      <c r="BW100" s="4504">
        <f t="shared" si="152"/>
        <v>0</v>
      </c>
      <c r="BX100" s="4504">
        <f t="shared" si="153"/>
        <v>0</v>
      </c>
      <c r="BY100" s="4504">
        <f t="shared" si="154"/>
        <v>0</v>
      </c>
      <c r="BZ100" s="4504">
        <f t="shared" si="155"/>
        <v>0</v>
      </c>
      <c r="CA100" s="4504">
        <f t="shared" si="156"/>
        <v>0</v>
      </c>
      <c r="CB100" s="4504">
        <f t="shared" si="157"/>
        <v>0</v>
      </c>
      <c r="CC100" s="4504">
        <f t="shared" si="158"/>
        <v>0</v>
      </c>
      <c r="CD100" s="4504">
        <f t="shared" si="159"/>
        <v>0</v>
      </c>
      <c r="CE100" s="4504">
        <f t="shared" si="160"/>
        <v>0</v>
      </c>
      <c r="CF100" s="4504">
        <f t="shared" si="161"/>
        <v>0</v>
      </c>
    </row>
    <row r="101" spans="1:84">
      <c r="A101" s="2138"/>
      <c r="B101" s="2139">
        <v>2040202</v>
      </c>
      <c r="C101" s="2139">
        <v>2070102</v>
      </c>
      <c r="D101" s="2140">
        <v>0.02</v>
      </c>
      <c r="E101" s="2141" t="s">
        <v>741</v>
      </c>
      <c r="F101" s="2143">
        <f t="shared" si="166"/>
        <v>0</v>
      </c>
      <c r="G101" s="4140">
        <f t="shared" si="167"/>
        <v>0</v>
      </c>
      <c r="H101" s="2142">
        <f t="shared" si="168"/>
        <v>0</v>
      </c>
      <c r="I101" s="2143">
        <f t="shared" si="169"/>
        <v>75</v>
      </c>
      <c r="J101" s="2144">
        <f t="shared" si="170"/>
        <v>20</v>
      </c>
      <c r="K101" s="2144">
        <f t="shared" si="171"/>
        <v>15</v>
      </c>
      <c r="L101" s="2144">
        <f t="shared" si="172"/>
        <v>0</v>
      </c>
      <c r="M101" s="2145">
        <f t="shared" si="173"/>
        <v>0</v>
      </c>
      <c r="N101" s="2146">
        <f t="shared" ref="N101:N122" si="174">SUM(I101:M101)</f>
        <v>110</v>
      </c>
      <c r="O101" s="1283"/>
      <c r="P101" s="1285"/>
      <c r="Q101" s="1284"/>
      <c r="R101" s="1285">
        <v>75</v>
      </c>
      <c r="S101" s="1286">
        <v>20</v>
      </c>
      <c r="T101" s="1286">
        <v>15</v>
      </c>
      <c r="U101" s="1286"/>
      <c r="V101" s="1286"/>
      <c r="W101" s="1283"/>
      <c r="X101" s="1285"/>
      <c r="Y101" s="1284"/>
      <c r="Z101" s="1285"/>
      <c r="AA101" s="1286"/>
      <c r="AB101" s="1286"/>
      <c r="AC101" s="1286"/>
      <c r="AD101" s="1286"/>
      <c r="AE101" s="1283"/>
      <c r="AF101" s="1285"/>
      <c r="AG101" s="1284"/>
      <c r="AH101" s="1285"/>
      <c r="AI101" s="1286"/>
      <c r="AJ101" s="1286"/>
      <c r="AK101" s="1286"/>
      <c r="AL101" s="1287"/>
      <c r="AM101" s="1288"/>
      <c r="AN101" s="1289"/>
      <c r="AO101" s="2147" t="s">
        <v>676</v>
      </c>
      <c r="AP101" s="1285"/>
      <c r="AQ101" s="1285"/>
      <c r="AR101" s="1284"/>
      <c r="AS101" s="1285"/>
      <c r="AT101" s="1286"/>
      <c r="AU101" s="1286"/>
      <c r="AV101" s="1286"/>
      <c r="AW101" s="1284"/>
      <c r="AX101" s="2148" t="s">
        <v>354</v>
      </c>
      <c r="AY101" s="4488"/>
      <c r="AZ101" s="4504">
        <f t="shared" si="129"/>
        <v>0</v>
      </c>
      <c r="BA101" s="4504">
        <f t="shared" si="130"/>
        <v>0</v>
      </c>
      <c r="BB101" s="4504">
        <f t="shared" si="131"/>
        <v>0</v>
      </c>
      <c r="BC101" s="4504">
        <f t="shared" si="132"/>
        <v>38.346891089716387</v>
      </c>
      <c r="BD101" s="4504">
        <f t="shared" si="133"/>
        <v>10.22583762392437</v>
      </c>
      <c r="BE101" s="4504">
        <f t="shared" si="134"/>
        <v>7.6693782179432777</v>
      </c>
      <c r="BF101" s="4504">
        <f t="shared" si="135"/>
        <v>0</v>
      </c>
      <c r="BG101" s="4504">
        <f t="shared" si="136"/>
        <v>0</v>
      </c>
      <c r="BH101" s="4504">
        <f t="shared" si="137"/>
        <v>56.242106931584033</v>
      </c>
      <c r="BI101" s="4504">
        <f t="shared" si="138"/>
        <v>0</v>
      </c>
      <c r="BJ101" s="4504">
        <f t="shared" si="139"/>
        <v>0</v>
      </c>
      <c r="BK101" s="4504">
        <f t="shared" si="140"/>
        <v>0</v>
      </c>
      <c r="BL101" s="4504">
        <f t="shared" si="141"/>
        <v>38.346891089716387</v>
      </c>
      <c r="BM101" s="4504">
        <f t="shared" si="142"/>
        <v>10.22583762392437</v>
      </c>
      <c r="BN101" s="4504">
        <f t="shared" si="143"/>
        <v>7.6693782179432777</v>
      </c>
      <c r="BO101" s="4504">
        <f t="shared" si="144"/>
        <v>0</v>
      </c>
      <c r="BP101" s="4504">
        <f t="shared" si="145"/>
        <v>0</v>
      </c>
      <c r="BQ101" s="4504">
        <f t="shared" si="146"/>
        <v>0</v>
      </c>
      <c r="BR101" s="4504">
        <f t="shared" si="147"/>
        <v>0</v>
      </c>
      <c r="BS101" s="4504">
        <f t="shared" si="148"/>
        <v>0</v>
      </c>
      <c r="BT101" s="4504">
        <f t="shared" si="149"/>
        <v>0</v>
      </c>
      <c r="BU101" s="4504">
        <f t="shared" si="150"/>
        <v>0</v>
      </c>
      <c r="BV101" s="4504">
        <f t="shared" si="151"/>
        <v>0</v>
      </c>
      <c r="BW101" s="4504">
        <f t="shared" si="152"/>
        <v>0</v>
      </c>
      <c r="BX101" s="4504">
        <f t="shared" si="153"/>
        <v>0</v>
      </c>
      <c r="BY101" s="4504">
        <f t="shared" si="154"/>
        <v>0</v>
      </c>
      <c r="BZ101" s="4504">
        <f t="shared" si="155"/>
        <v>0</v>
      </c>
      <c r="CA101" s="4504">
        <f t="shared" si="156"/>
        <v>0</v>
      </c>
      <c r="CB101" s="4504">
        <f t="shared" si="157"/>
        <v>0</v>
      </c>
      <c r="CC101" s="4504">
        <f t="shared" si="158"/>
        <v>0</v>
      </c>
      <c r="CD101" s="4504">
        <f t="shared" si="159"/>
        <v>0</v>
      </c>
      <c r="CE101" s="4504">
        <f t="shared" si="160"/>
        <v>0</v>
      </c>
      <c r="CF101" s="4504">
        <f t="shared" si="161"/>
        <v>0</v>
      </c>
    </row>
    <row r="102" spans="1:84">
      <c r="A102" s="2138"/>
      <c r="B102" s="2139">
        <v>2040204</v>
      </c>
      <c r="C102" s="2128">
        <v>2070103</v>
      </c>
      <c r="D102" s="2140">
        <v>0.02</v>
      </c>
      <c r="E102" s="2141" t="s">
        <v>355</v>
      </c>
      <c r="F102" s="2143">
        <f t="shared" si="166"/>
        <v>0</v>
      </c>
      <c r="G102" s="4140">
        <f t="shared" si="167"/>
        <v>0</v>
      </c>
      <c r="H102" s="2142">
        <f t="shared" si="168"/>
        <v>0</v>
      </c>
      <c r="I102" s="2143">
        <f t="shared" si="169"/>
        <v>35</v>
      </c>
      <c r="J102" s="2144">
        <f t="shared" si="170"/>
        <v>0</v>
      </c>
      <c r="K102" s="2144">
        <f t="shared" si="171"/>
        <v>0</v>
      </c>
      <c r="L102" s="2144">
        <f t="shared" si="172"/>
        <v>40</v>
      </c>
      <c r="M102" s="2145">
        <f t="shared" si="173"/>
        <v>40</v>
      </c>
      <c r="N102" s="2146">
        <f t="shared" si="174"/>
        <v>115</v>
      </c>
      <c r="O102" s="1283"/>
      <c r="P102" s="1285"/>
      <c r="Q102" s="1284"/>
      <c r="R102" s="1285">
        <v>35</v>
      </c>
      <c r="S102" s="1286"/>
      <c r="T102" s="1286"/>
      <c r="U102" s="1286">
        <v>40</v>
      </c>
      <c r="V102" s="1286">
        <v>40</v>
      </c>
      <c r="W102" s="1283"/>
      <c r="X102" s="1285"/>
      <c r="Y102" s="1284"/>
      <c r="Z102" s="1285"/>
      <c r="AA102" s="1286"/>
      <c r="AB102" s="1286"/>
      <c r="AC102" s="1286"/>
      <c r="AD102" s="1286"/>
      <c r="AE102" s="1283"/>
      <c r="AF102" s="1285"/>
      <c r="AG102" s="1284"/>
      <c r="AH102" s="1285"/>
      <c r="AI102" s="1286"/>
      <c r="AJ102" s="1286"/>
      <c r="AK102" s="1286"/>
      <c r="AL102" s="1287"/>
      <c r="AM102" s="1288"/>
      <c r="AN102" s="1289"/>
      <c r="AO102" s="2147" t="s">
        <v>676</v>
      </c>
      <c r="AP102" s="1285"/>
      <c r="AQ102" s="1285"/>
      <c r="AR102" s="1284"/>
      <c r="AS102" s="1285"/>
      <c r="AT102" s="1286"/>
      <c r="AU102" s="1286"/>
      <c r="AV102" s="1286"/>
      <c r="AW102" s="1284"/>
      <c r="AX102" s="2148" t="s">
        <v>354</v>
      </c>
      <c r="AY102" s="4488"/>
      <c r="AZ102" s="4504">
        <f t="shared" si="129"/>
        <v>0</v>
      </c>
      <c r="BA102" s="4504">
        <f t="shared" si="130"/>
        <v>0</v>
      </c>
      <c r="BB102" s="4504">
        <f t="shared" si="131"/>
        <v>0</v>
      </c>
      <c r="BC102" s="4504">
        <f t="shared" si="132"/>
        <v>17.895215841867646</v>
      </c>
      <c r="BD102" s="4504">
        <f t="shared" si="133"/>
        <v>0</v>
      </c>
      <c r="BE102" s="4504">
        <f t="shared" si="134"/>
        <v>0</v>
      </c>
      <c r="BF102" s="4504">
        <f t="shared" si="135"/>
        <v>20.45167524784874</v>
      </c>
      <c r="BG102" s="4504">
        <f t="shared" si="136"/>
        <v>20.45167524784874</v>
      </c>
      <c r="BH102" s="4504">
        <f t="shared" si="137"/>
        <v>58.798566337565127</v>
      </c>
      <c r="BI102" s="4504">
        <f t="shared" si="138"/>
        <v>0</v>
      </c>
      <c r="BJ102" s="4504">
        <f t="shared" si="139"/>
        <v>0</v>
      </c>
      <c r="BK102" s="4504">
        <f t="shared" si="140"/>
        <v>0</v>
      </c>
      <c r="BL102" s="4504">
        <f t="shared" si="141"/>
        <v>17.895215841867646</v>
      </c>
      <c r="BM102" s="4504">
        <f t="shared" si="142"/>
        <v>0</v>
      </c>
      <c r="BN102" s="4504">
        <f t="shared" si="143"/>
        <v>0</v>
      </c>
      <c r="BO102" s="4504">
        <f t="shared" si="144"/>
        <v>20.45167524784874</v>
      </c>
      <c r="BP102" s="4504">
        <f t="shared" si="145"/>
        <v>20.45167524784874</v>
      </c>
      <c r="BQ102" s="4504">
        <f t="shared" si="146"/>
        <v>0</v>
      </c>
      <c r="BR102" s="4504">
        <f t="shared" si="147"/>
        <v>0</v>
      </c>
      <c r="BS102" s="4504">
        <f t="shared" si="148"/>
        <v>0</v>
      </c>
      <c r="BT102" s="4504">
        <f t="shared" si="149"/>
        <v>0</v>
      </c>
      <c r="BU102" s="4504">
        <f t="shared" si="150"/>
        <v>0</v>
      </c>
      <c r="BV102" s="4504">
        <f t="shared" si="151"/>
        <v>0</v>
      </c>
      <c r="BW102" s="4504">
        <f t="shared" si="152"/>
        <v>0</v>
      </c>
      <c r="BX102" s="4504">
        <f t="shared" si="153"/>
        <v>0</v>
      </c>
      <c r="BY102" s="4504">
        <f t="shared" si="154"/>
        <v>0</v>
      </c>
      <c r="BZ102" s="4504">
        <f t="shared" si="155"/>
        <v>0</v>
      </c>
      <c r="CA102" s="4504">
        <f t="shared" si="156"/>
        <v>0</v>
      </c>
      <c r="CB102" s="4504">
        <f t="shared" si="157"/>
        <v>0</v>
      </c>
      <c r="CC102" s="4504">
        <f t="shared" si="158"/>
        <v>0</v>
      </c>
      <c r="CD102" s="4504">
        <f t="shared" si="159"/>
        <v>0</v>
      </c>
      <c r="CE102" s="4504">
        <f t="shared" si="160"/>
        <v>0</v>
      </c>
      <c r="CF102" s="4504">
        <f t="shared" si="161"/>
        <v>0</v>
      </c>
    </row>
    <row r="103" spans="1:84">
      <c r="A103" s="2138"/>
      <c r="B103" s="2139">
        <v>20202</v>
      </c>
      <c r="C103" s="2139">
        <v>2070104</v>
      </c>
      <c r="D103" s="2149">
        <v>0.03</v>
      </c>
      <c r="E103" s="2141" t="s">
        <v>356</v>
      </c>
      <c r="F103" s="2143">
        <f t="shared" si="166"/>
        <v>0</v>
      </c>
      <c r="G103" s="4140">
        <f t="shared" si="167"/>
        <v>0</v>
      </c>
      <c r="H103" s="2142">
        <f t="shared" si="168"/>
        <v>0</v>
      </c>
      <c r="I103" s="2143">
        <f t="shared" si="169"/>
        <v>0</v>
      </c>
      <c r="J103" s="2144">
        <f t="shared" si="170"/>
        <v>0</v>
      </c>
      <c r="K103" s="2144">
        <f t="shared" si="171"/>
        <v>0</v>
      </c>
      <c r="L103" s="2144">
        <f t="shared" si="172"/>
        <v>0</v>
      </c>
      <c r="M103" s="2145">
        <f t="shared" si="173"/>
        <v>0</v>
      </c>
      <c r="N103" s="2146">
        <f t="shared" si="174"/>
        <v>0</v>
      </c>
      <c r="O103" s="1283"/>
      <c r="P103" s="1285"/>
      <c r="Q103" s="1284"/>
      <c r="R103" s="1285"/>
      <c r="S103" s="1286"/>
      <c r="T103" s="1286"/>
      <c r="U103" s="1286"/>
      <c r="V103" s="1286"/>
      <c r="W103" s="1283"/>
      <c r="X103" s="1285"/>
      <c r="Y103" s="1284"/>
      <c r="Z103" s="1285"/>
      <c r="AA103" s="1286"/>
      <c r="AB103" s="1286"/>
      <c r="AC103" s="1286"/>
      <c r="AD103" s="1286"/>
      <c r="AE103" s="1283"/>
      <c r="AF103" s="1285"/>
      <c r="AG103" s="1284"/>
      <c r="AH103" s="1285"/>
      <c r="AI103" s="1286"/>
      <c r="AJ103" s="1286"/>
      <c r="AK103" s="1286"/>
      <c r="AL103" s="1287"/>
      <c r="AM103" s="1288"/>
      <c r="AN103" s="1289"/>
      <c r="AO103" s="2147" t="s">
        <v>676</v>
      </c>
      <c r="AP103" s="1285"/>
      <c r="AQ103" s="1285"/>
      <c r="AR103" s="1284"/>
      <c r="AS103" s="1285"/>
      <c r="AT103" s="1286"/>
      <c r="AU103" s="1286"/>
      <c r="AV103" s="1286"/>
      <c r="AW103" s="1284"/>
      <c r="AX103" s="2148" t="s">
        <v>354</v>
      </c>
      <c r="AY103" s="4488"/>
      <c r="AZ103" s="4504">
        <f t="shared" si="129"/>
        <v>0</v>
      </c>
      <c r="BA103" s="4504">
        <f t="shared" si="130"/>
        <v>0</v>
      </c>
      <c r="BB103" s="4504">
        <f t="shared" si="131"/>
        <v>0</v>
      </c>
      <c r="BC103" s="4504">
        <f t="shared" si="132"/>
        <v>0</v>
      </c>
      <c r="BD103" s="4504">
        <f t="shared" si="133"/>
        <v>0</v>
      </c>
      <c r="BE103" s="4504">
        <f t="shared" si="134"/>
        <v>0</v>
      </c>
      <c r="BF103" s="4504">
        <f t="shared" si="135"/>
        <v>0</v>
      </c>
      <c r="BG103" s="4504">
        <f t="shared" si="136"/>
        <v>0</v>
      </c>
      <c r="BH103" s="4504">
        <f t="shared" si="137"/>
        <v>0</v>
      </c>
      <c r="BI103" s="4504">
        <f t="shared" si="138"/>
        <v>0</v>
      </c>
      <c r="BJ103" s="4504">
        <f t="shared" si="139"/>
        <v>0</v>
      </c>
      <c r="BK103" s="4504">
        <f t="shared" si="140"/>
        <v>0</v>
      </c>
      <c r="BL103" s="4504">
        <f t="shared" si="141"/>
        <v>0</v>
      </c>
      <c r="BM103" s="4504">
        <f t="shared" si="142"/>
        <v>0</v>
      </c>
      <c r="BN103" s="4504">
        <f t="shared" si="143"/>
        <v>0</v>
      </c>
      <c r="BO103" s="4504">
        <f t="shared" si="144"/>
        <v>0</v>
      </c>
      <c r="BP103" s="4504">
        <f t="shared" si="145"/>
        <v>0</v>
      </c>
      <c r="BQ103" s="4504">
        <f t="shared" si="146"/>
        <v>0</v>
      </c>
      <c r="BR103" s="4504">
        <f t="shared" si="147"/>
        <v>0</v>
      </c>
      <c r="BS103" s="4504">
        <f t="shared" si="148"/>
        <v>0</v>
      </c>
      <c r="BT103" s="4504">
        <f t="shared" si="149"/>
        <v>0</v>
      </c>
      <c r="BU103" s="4504">
        <f t="shared" si="150"/>
        <v>0</v>
      </c>
      <c r="BV103" s="4504">
        <f t="shared" si="151"/>
        <v>0</v>
      </c>
      <c r="BW103" s="4504">
        <f t="shared" si="152"/>
        <v>0</v>
      </c>
      <c r="BX103" s="4504">
        <f t="shared" si="153"/>
        <v>0</v>
      </c>
      <c r="BY103" s="4504">
        <f t="shared" si="154"/>
        <v>0</v>
      </c>
      <c r="BZ103" s="4504">
        <f t="shared" si="155"/>
        <v>0</v>
      </c>
      <c r="CA103" s="4504">
        <f t="shared" si="156"/>
        <v>0</v>
      </c>
      <c r="CB103" s="4504">
        <f t="shared" si="157"/>
        <v>0</v>
      </c>
      <c r="CC103" s="4504">
        <f t="shared" si="158"/>
        <v>0</v>
      </c>
      <c r="CD103" s="4504">
        <f t="shared" si="159"/>
        <v>0</v>
      </c>
      <c r="CE103" s="4504">
        <f t="shared" si="160"/>
        <v>0</v>
      </c>
      <c r="CF103" s="4504">
        <f t="shared" si="161"/>
        <v>0</v>
      </c>
    </row>
    <row r="104" spans="1:84">
      <c r="A104" s="2138"/>
      <c r="B104" s="2139">
        <v>2040205</v>
      </c>
      <c r="C104" s="2128">
        <v>2070105</v>
      </c>
      <c r="D104" s="2140">
        <v>0.02</v>
      </c>
      <c r="E104" s="2141" t="s">
        <v>357</v>
      </c>
      <c r="F104" s="2143">
        <f t="shared" si="166"/>
        <v>0</v>
      </c>
      <c r="G104" s="4140">
        <f t="shared" si="167"/>
        <v>0.5</v>
      </c>
      <c r="H104" s="2142">
        <f t="shared" si="168"/>
        <v>0</v>
      </c>
      <c r="I104" s="2143">
        <f t="shared" si="169"/>
        <v>80</v>
      </c>
      <c r="J104" s="2144">
        <f t="shared" si="170"/>
        <v>75</v>
      </c>
      <c r="K104" s="2144">
        <f t="shared" si="171"/>
        <v>75</v>
      </c>
      <c r="L104" s="2144">
        <f t="shared" si="172"/>
        <v>75</v>
      </c>
      <c r="M104" s="2145">
        <f t="shared" si="173"/>
        <v>75</v>
      </c>
      <c r="N104" s="2146">
        <f t="shared" si="174"/>
        <v>380</v>
      </c>
      <c r="O104" s="1283"/>
      <c r="P104" s="1285">
        <v>0.5</v>
      </c>
      <c r="Q104" s="1284"/>
      <c r="R104" s="1285">
        <v>80</v>
      </c>
      <c r="S104" s="1286">
        <v>75</v>
      </c>
      <c r="T104" s="1286">
        <v>75</v>
      </c>
      <c r="U104" s="1286">
        <v>75</v>
      </c>
      <c r="V104" s="1286">
        <v>75</v>
      </c>
      <c r="W104" s="1283"/>
      <c r="X104" s="1285"/>
      <c r="Y104" s="1284"/>
      <c r="Z104" s="1285"/>
      <c r="AA104" s="1286"/>
      <c r="AB104" s="1286"/>
      <c r="AC104" s="1286"/>
      <c r="AD104" s="1286"/>
      <c r="AE104" s="1283"/>
      <c r="AF104" s="1285"/>
      <c r="AG104" s="1284"/>
      <c r="AH104" s="1285"/>
      <c r="AI104" s="1286"/>
      <c r="AJ104" s="1286"/>
      <c r="AK104" s="1286"/>
      <c r="AL104" s="1287"/>
      <c r="AM104" s="1288"/>
      <c r="AN104" s="1290"/>
      <c r="AO104" s="2147" t="s">
        <v>678</v>
      </c>
      <c r="AP104" s="1285"/>
      <c r="AQ104" s="1285"/>
      <c r="AR104" s="1284"/>
      <c r="AS104" s="1285"/>
      <c r="AT104" s="1286"/>
      <c r="AU104" s="1286"/>
      <c r="AV104" s="1286"/>
      <c r="AW104" s="1284"/>
      <c r="AX104" s="2148" t="s">
        <v>358</v>
      </c>
      <c r="AY104" s="4488"/>
      <c r="AZ104" s="4504">
        <f t="shared" si="129"/>
        <v>0</v>
      </c>
      <c r="BA104" s="4504">
        <f t="shared" si="130"/>
        <v>0.25564594059810924</v>
      </c>
      <c r="BB104" s="4504">
        <f t="shared" si="131"/>
        <v>0</v>
      </c>
      <c r="BC104" s="4504">
        <f t="shared" si="132"/>
        <v>40.903350495697481</v>
      </c>
      <c r="BD104" s="4504">
        <f t="shared" si="133"/>
        <v>38.346891089716387</v>
      </c>
      <c r="BE104" s="4504">
        <f t="shared" si="134"/>
        <v>38.346891089716387</v>
      </c>
      <c r="BF104" s="4504">
        <f t="shared" si="135"/>
        <v>38.346891089716387</v>
      </c>
      <c r="BG104" s="4504">
        <f t="shared" si="136"/>
        <v>38.346891089716387</v>
      </c>
      <c r="BH104" s="4504">
        <f t="shared" si="137"/>
        <v>194.29091485456303</v>
      </c>
      <c r="BI104" s="4504">
        <f t="shared" si="138"/>
        <v>0</v>
      </c>
      <c r="BJ104" s="4504">
        <f t="shared" si="139"/>
        <v>0.25564594059810924</v>
      </c>
      <c r="BK104" s="4504">
        <f t="shared" si="140"/>
        <v>0</v>
      </c>
      <c r="BL104" s="4504">
        <f t="shared" si="141"/>
        <v>40.903350495697481</v>
      </c>
      <c r="BM104" s="4504">
        <f t="shared" si="142"/>
        <v>38.346891089716387</v>
      </c>
      <c r="BN104" s="4504">
        <f t="shared" si="143"/>
        <v>38.346891089716387</v>
      </c>
      <c r="BO104" s="4504">
        <f t="shared" si="144"/>
        <v>38.346891089716387</v>
      </c>
      <c r="BP104" s="4504">
        <f t="shared" si="145"/>
        <v>38.346891089716387</v>
      </c>
      <c r="BQ104" s="4504">
        <f t="shared" si="146"/>
        <v>0</v>
      </c>
      <c r="BR104" s="4504">
        <f t="shared" si="147"/>
        <v>0</v>
      </c>
      <c r="BS104" s="4504">
        <f t="shared" si="148"/>
        <v>0</v>
      </c>
      <c r="BT104" s="4504">
        <f t="shared" si="149"/>
        <v>0</v>
      </c>
      <c r="BU104" s="4504">
        <f t="shared" si="150"/>
        <v>0</v>
      </c>
      <c r="BV104" s="4504">
        <f t="shared" si="151"/>
        <v>0</v>
      </c>
      <c r="BW104" s="4504">
        <f t="shared" si="152"/>
        <v>0</v>
      </c>
      <c r="BX104" s="4504">
        <f t="shared" si="153"/>
        <v>0</v>
      </c>
      <c r="BY104" s="4504">
        <f t="shared" si="154"/>
        <v>0</v>
      </c>
      <c r="BZ104" s="4504">
        <f t="shared" si="155"/>
        <v>0</v>
      </c>
      <c r="CA104" s="4504">
        <f t="shared" si="156"/>
        <v>0</v>
      </c>
      <c r="CB104" s="4504">
        <f t="shared" si="157"/>
        <v>0</v>
      </c>
      <c r="CC104" s="4504">
        <f t="shared" si="158"/>
        <v>0</v>
      </c>
      <c r="CD104" s="4504">
        <f t="shared" si="159"/>
        <v>0</v>
      </c>
      <c r="CE104" s="4504">
        <f t="shared" si="160"/>
        <v>0</v>
      </c>
      <c r="CF104" s="4504">
        <f t="shared" si="161"/>
        <v>0</v>
      </c>
    </row>
    <row r="105" spans="1:84" ht="24">
      <c r="A105" s="2138"/>
      <c r="B105" s="2139">
        <v>2040207</v>
      </c>
      <c r="C105" s="2139">
        <v>2070106</v>
      </c>
      <c r="D105" s="2140">
        <v>0.04</v>
      </c>
      <c r="E105" s="2141" t="s">
        <v>359</v>
      </c>
      <c r="F105" s="2143">
        <f t="shared" si="166"/>
        <v>0</v>
      </c>
      <c r="G105" s="4140">
        <f t="shared" si="167"/>
        <v>0</v>
      </c>
      <c r="H105" s="2142">
        <f t="shared" si="168"/>
        <v>0</v>
      </c>
      <c r="I105" s="2143">
        <f t="shared" si="169"/>
        <v>0</v>
      </c>
      <c r="J105" s="2144">
        <f t="shared" si="170"/>
        <v>0</v>
      </c>
      <c r="K105" s="2144">
        <f t="shared" si="171"/>
        <v>0</v>
      </c>
      <c r="L105" s="2144">
        <f t="shared" si="172"/>
        <v>0</v>
      </c>
      <c r="M105" s="2145">
        <f t="shared" si="173"/>
        <v>0</v>
      </c>
      <c r="N105" s="2146">
        <f t="shared" si="174"/>
        <v>0</v>
      </c>
      <c r="O105" s="1283"/>
      <c r="P105" s="1285"/>
      <c r="Q105" s="1284"/>
      <c r="R105" s="1285"/>
      <c r="S105" s="1286"/>
      <c r="T105" s="1286"/>
      <c r="U105" s="1286"/>
      <c r="V105" s="1286"/>
      <c r="W105" s="1283"/>
      <c r="X105" s="1285"/>
      <c r="Y105" s="1284"/>
      <c r="Z105" s="1285"/>
      <c r="AA105" s="1286"/>
      <c r="AB105" s="1286"/>
      <c r="AC105" s="1286"/>
      <c r="AD105" s="1286"/>
      <c r="AE105" s="1283"/>
      <c r="AF105" s="1285"/>
      <c r="AG105" s="1284"/>
      <c r="AH105" s="1285"/>
      <c r="AI105" s="1286"/>
      <c r="AJ105" s="1286"/>
      <c r="AK105" s="1286"/>
      <c r="AL105" s="1287"/>
      <c r="AM105" s="1288"/>
      <c r="AN105" s="1290"/>
      <c r="AO105" s="2147" t="s">
        <v>676</v>
      </c>
      <c r="AP105" s="1285"/>
      <c r="AQ105" s="1285"/>
      <c r="AR105" s="1284"/>
      <c r="AS105" s="1285"/>
      <c r="AT105" s="1286"/>
      <c r="AU105" s="1286"/>
      <c r="AV105" s="1286"/>
      <c r="AW105" s="1284"/>
      <c r="AX105" s="2148" t="s">
        <v>360</v>
      </c>
      <c r="AY105" s="4488"/>
      <c r="AZ105" s="4504">
        <f t="shared" si="129"/>
        <v>0</v>
      </c>
      <c r="BA105" s="4504">
        <f t="shared" si="130"/>
        <v>0</v>
      </c>
      <c r="BB105" s="4504">
        <f t="shared" si="131"/>
        <v>0</v>
      </c>
      <c r="BC105" s="4504">
        <f t="shared" si="132"/>
        <v>0</v>
      </c>
      <c r="BD105" s="4504">
        <f t="shared" si="133"/>
        <v>0</v>
      </c>
      <c r="BE105" s="4504">
        <f t="shared" si="134"/>
        <v>0</v>
      </c>
      <c r="BF105" s="4504">
        <f t="shared" si="135"/>
        <v>0</v>
      </c>
      <c r="BG105" s="4504">
        <f t="shared" si="136"/>
        <v>0</v>
      </c>
      <c r="BH105" s="4504">
        <f t="shared" si="137"/>
        <v>0</v>
      </c>
      <c r="BI105" s="4504">
        <f t="shared" si="138"/>
        <v>0</v>
      </c>
      <c r="BJ105" s="4504">
        <f t="shared" si="139"/>
        <v>0</v>
      </c>
      <c r="BK105" s="4504">
        <f t="shared" si="140"/>
        <v>0</v>
      </c>
      <c r="BL105" s="4504">
        <f t="shared" si="141"/>
        <v>0</v>
      </c>
      <c r="BM105" s="4504">
        <f t="shared" si="142"/>
        <v>0</v>
      </c>
      <c r="BN105" s="4504">
        <f t="shared" si="143"/>
        <v>0</v>
      </c>
      <c r="BO105" s="4504">
        <f t="shared" si="144"/>
        <v>0</v>
      </c>
      <c r="BP105" s="4504">
        <f t="shared" si="145"/>
        <v>0</v>
      </c>
      <c r="BQ105" s="4504">
        <f t="shared" si="146"/>
        <v>0</v>
      </c>
      <c r="BR105" s="4504">
        <f t="shared" si="147"/>
        <v>0</v>
      </c>
      <c r="BS105" s="4504">
        <f t="shared" si="148"/>
        <v>0</v>
      </c>
      <c r="BT105" s="4504">
        <f t="shared" si="149"/>
        <v>0</v>
      </c>
      <c r="BU105" s="4504">
        <f t="shared" si="150"/>
        <v>0</v>
      </c>
      <c r="BV105" s="4504">
        <f t="shared" si="151"/>
        <v>0</v>
      </c>
      <c r="BW105" s="4504">
        <f t="shared" si="152"/>
        <v>0</v>
      </c>
      <c r="BX105" s="4504">
        <f t="shared" si="153"/>
        <v>0</v>
      </c>
      <c r="BY105" s="4504">
        <f t="shared" si="154"/>
        <v>0</v>
      </c>
      <c r="BZ105" s="4504">
        <f t="shared" si="155"/>
        <v>0</v>
      </c>
      <c r="CA105" s="4504">
        <f t="shared" si="156"/>
        <v>0</v>
      </c>
      <c r="CB105" s="4504">
        <f t="shared" si="157"/>
        <v>0</v>
      </c>
      <c r="CC105" s="4504">
        <f t="shared" si="158"/>
        <v>0</v>
      </c>
      <c r="CD105" s="4504">
        <f t="shared" si="159"/>
        <v>0</v>
      </c>
      <c r="CE105" s="4504">
        <f t="shared" si="160"/>
        <v>0</v>
      </c>
      <c r="CF105" s="4504">
        <f t="shared" si="161"/>
        <v>0</v>
      </c>
    </row>
    <row r="106" spans="1:84">
      <c r="A106" s="2138"/>
      <c r="B106" s="2139">
        <v>2040207</v>
      </c>
      <c r="C106" s="2128">
        <v>2070107</v>
      </c>
      <c r="D106" s="2140">
        <v>0.04</v>
      </c>
      <c r="E106" s="2150" t="s">
        <v>660</v>
      </c>
      <c r="F106" s="2143">
        <f t="shared" si="166"/>
        <v>0</v>
      </c>
      <c r="G106" s="4140">
        <f t="shared" si="167"/>
        <v>0</v>
      </c>
      <c r="H106" s="2142">
        <f t="shared" si="168"/>
        <v>0</v>
      </c>
      <c r="I106" s="2143">
        <f t="shared" si="169"/>
        <v>0</v>
      </c>
      <c r="J106" s="2144">
        <f t="shared" si="170"/>
        <v>0</v>
      </c>
      <c r="K106" s="2144">
        <f t="shared" si="171"/>
        <v>0</v>
      </c>
      <c r="L106" s="2144">
        <f t="shared" si="172"/>
        <v>0</v>
      </c>
      <c r="M106" s="2145">
        <f t="shared" si="173"/>
        <v>0</v>
      </c>
      <c r="N106" s="2146">
        <f t="shared" si="174"/>
        <v>0</v>
      </c>
      <c r="O106" s="1283"/>
      <c r="P106" s="1285"/>
      <c r="Q106" s="1284"/>
      <c r="R106" s="1285"/>
      <c r="S106" s="1286"/>
      <c r="T106" s="1286"/>
      <c r="U106" s="1286"/>
      <c r="V106" s="1286"/>
      <c r="W106" s="1283"/>
      <c r="X106" s="1285"/>
      <c r="Y106" s="1284"/>
      <c r="Z106" s="1285"/>
      <c r="AA106" s="1286"/>
      <c r="AB106" s="1286"/>
      <c r="AC106" s="1286"/>
      <c r="AD106" s="1286"/>
      <c r="AE106" s="1283"/>
      <c r="AF106" s="1285"/>
      <c r="AG106" s="1284"/>
      <c r="AH106" s="1285"/>
      <c r="AI106" s="1286"/>
      <c r="AJ106" s="1286"/>
      <c r="AK106" s="1286"/>
      <c r="AL106" s="1287"/>
      <c r="AM106" s="1288"/>
      <c r="AN106" s="1290"/>
      <c r="AO106" s="2147" t="s">
        <v>676</v>
      </c>
      <c r="AP106" s="1285"/>
      <c r="AQ106" s="1285"/>
      <c r="AR106" s="1284"/>
      <c r="AS106" s="1285"/>
      <c r="AT106" s="1286"/>
      <c r="AU106" s="1286"/>
      <c r="AV106" s="1286"/>
      <c r="AW106" s="1284"/>
      <c r="AX106" s="2148" t="s">
        <v>360</v>
      </c>
      <c r="AY106" s="4488"/>
      <c r="AZ106" s="4504">
        <f t="shared" si="129"/>
        <v>0</v>
      </c>
      <c r="BA106" s="4504">
        <f t="shared" si="130"/>
        <v>0</v>
      </c>
      <c r="BB106" s="4504">
        <f t="shared" si="131"/>
        <v>0</v>
      </c>
      <c r="BC106" s="4504">
        <f t="shared" si="132"/>
        <v>0</v>
      </c>
      <c r="BD106" s="4504">
        <f t="shared" si="133"/>
        <v>0</v>
      </c>
      <c r="BE106" s="4504">
        <f t="shared" si="134"/>
        <v>0</v>
      </c>
      <c r="BF106" s="4504">
        <f t="shared" si="135"/>
        <v>0</v>
      </c>
      <c r="BG106" s="4504">
        <f t="shared" si="136"/>
        <v>0</v>
      </c>
      <c r="BH106" s="4504">
        <f t="shared" si="137"/>
        <v>0</v>
      </c>
      <c r="BI106" s="4504">
        <f t="shared" si="138"/>
        <v>0</v>
      </c>
      <c r="BJ106" s="4504">
        <f t="shared" si="139"/>
        <v>0</v>
      </c>
      <c r="BK106" s="4504">
        <f t="shared" si="140"/>
        <v>0</v>
      </c>
      <c r="BL106" s="4504">
        <f t="shared" si="141"/>
        <v>0</v>
      </c>
      <c r="BM106" s="4504">
        <f t="shared" si="142"/>
        <v>0</v>
      </c>
      <c r="BN106" s="4504">
        <f t="shared" si="143"/>
        <v>0</v>
      </c>
      <c r="BO106" s="4504">
        <f t="shared" si="144"/>
        <v>0</v>
      </c>
      <c r="BP106" s="4504">
        <f t="shared" si="145"/>
        <v>0</v>
      </c>
      <c r="BQ106" s="4504">
        <f t="shared" si="146"/>
        <v>0</v>
      </c>
      <c r="BR106" s="4504">
        <f t="shared" si="147"/>
        <v>0</v>
      </c>
      <c r="BS106" s="4504">
        <f t="shared" si="148"/>
        <v>0</v>
      </c>
      <c r="BT106" s="4504">
        <f t="shared" si="149"/>
        <v>0</v>
      </c>
      <c r="BU106" s="4504">
        <f t="shared" si="150"/>
        <v>0</v>
      </c>
      <c r="BV106" s="4504">
        <f t="shared" si="151"/>
        <v>0</v>
      </c>
      <c r="BW106" s="4504">
        <f t="shared" si="152"/>
        <v>0</v>
      </c>
      <c r="BX106" s="4504">
        <f t="shared" si="153"/>
        <v>0</v>
      </c>
      <c r="BY106" s="4504">
        <f t="shared" si="154"/>
        <v>0</v>
      </c>
      <c r="BZ106" s="4504">
        <f t="shared" si="155"/>
        <v>0</v>
      </c>
      <c r="CA106" s="4504">
        <f t="shared" si="156"/>
        <v>0</v>
      </c>
      <c r="CB106" s="4504">
        <f t="shared" si="157"/>
        <v>0</v>
      </c>
      <c r="CC106" s="4504">
        <f t="shared" si="158"/>
        <v>0</v>
      </c>
      <c r="CD106" s="4504">
        <f t="shared" si="159"/>
        <v>0</v>
      </c>
      <c r="CE106" s="4504">
        <f t="shared" si="160"/>
        <v>0</v>
      </c>
      <c r="CF106" s="4504">
        <f t="shared" si="161"/>
        <v>0</v>
      </c>
    </row>
    <row r="107" spans="1:84">
      <c r="A107" s="2138"/>
      <c r="B107" s="2139">
        <v>2040207</v>
      </c>
      <c r="C107" s="2139">
        <v>2070108</v>
      </c>
      <c r="D107" s="2140">
        <v>0.04</v>
      </c>
      <c r="E107" s="2150" t="s">
        <v>661</v>
      </c>
      <c r="F107" s="2143">
        <f t="shared" si="166"/>
        <v>0</v>
      </c>
      <c r="G107" s="4140">
        <f t="shared" si="167"/>
        <v>0</v>
      </c>
      <c r="H107" s="2142">
        <f t="shared" si="168"/>
        <v>1</v>
      </c>
      <c r="I107" s="2143">
        <f t="shared" si="169"/>
        <v>0</v>
      </c>
      <c r="J107" s="2144">
        <f t="shared" si="170"/>
        <v>0</v>
      </c>
      <c r="K107" s="2144">
        <f t="shared" si="171"/>
        <v>0</v>
      </c>
      <c r="L107" s="2144">
        <f t="shared" si="172"/>
        <v>0</v>
      </c>
      <c r="M107" s="2145">
        <f t="shared" si="173"/>
        <v>0</v>
      </c>
      <c r="N107" s="2146">
        <f t="shared" si="174"/>
        <v>0</v>
      </c>
      <c r="O107" s="1283"/>
      <c r="P107" s="1285"/>
      <c r="Q107" s="1284">
        <v>1</v>
      </c>
      <c r="R107" s="1285"/>
      <c r="S107" s="1286"/>
      <c r="T107" s="1286"/>
      <c r="U107" s="1286"/>
      <c r="V107" s="1286"/>
      <c r="W107" s="1283"/>
      <c r="X107" s="1285"/>
      <c r="Y107" s="1284"/>
      <c r="Z107" s="1285"/>
      <c r="AA107" s="1286"/>
      <c r="AB107" s="1286"/>
      <c r="AC107" s="1286"/>
      <c r="AD107" s="1286"/>
      <c r="AE107" s="1283"/>
      <c r="AF107" s="1285"/>
      <c r="AG107" s="1284"/>
      <c r="AH107" s="1285"/>
      <c r="AI107" s="1286"/>
      <c r="AJ107" s="1286"/>
      <c r="AK107" s="1286"/>
      <c r="AL107" s="1287"/>
      <c r="AM107" s="1288"/>
      <c r="AN107" s="1290"/>
      <c r="AO107" s="2147" t="s">
        <v>676</v>
      </c>
      <c r="AP107" s="1285"/>
      <c r="AQ107" s="1285"/>
      <c r="AR107" s="1284">
        <v>1</v>
      </c>
      <c r="AS107" s="1285"/>
      <c r="AT107" s="1286"/>
      <c r="AU107" s="1286"/>
      <c r="AV107" s="1286"/>
      <c r="AW107" s="1284"/>
      <c r="AX107" s="2148" t="s">
        <v>360</v>
      </c>
      <c r="AY107" s="4488"/>
      <c r="AZ107" s="4504">
        <f t="shared" si="129"/>
        <v>0</v>
      </c>
      <c r="BA107" s="4504">
        <f t="shared" si="130"/>
        <v>0</v>
      </c>
      <c r="BB107" s="4504">
        <f t="shared" si="131"/>
        <v>0.51129188119621849</v>
      </c>
      <c r="BC107" s="4504">
        <f t="shared" si="132"/>
        <v>0</v>
      </c>
      <c r="BD107" s="4504">
        <f t="shared" si="133"/>
        <v>0</v>
      </c>
      <c r="BE107" s="4504">
        <f t="shared" si="134"/>
        <v>0</v>
      </c>
      <c r="BF107" s="4504">
        <f t="shared" si="135"/>
        <v>0</v>
      </c>
      <c r="BG107" s="4504">
        <f t="shared" si="136"/>
        <v>0</v>
      </c>
      <c r="BH107" s="4504">
        <f t="shared" si="137"/>
        <v>0</v>
      </c>
      <c r="BI107" s="4504">
        <f t="shared" si="138"/>
        <v>0</v>
      </c>
      <c r="BJ107" s="4504">
        <f t="shared" si="139"/>
        <v>0</v>
      </c>
      <c r="BK107" s="4504">
        <f t="shared" si="140"/>
        <v>0.51129188119621849</v>
      </c>
      <c r="BL107" s="4504">
        <f t="shared" si="141"/>
        <v>0</v>
      </c>
      <c r="BM107" s="4504">
        <f t="shared" si="142"/>
        <v>0</v>
      </c>
      <c r="BN107" s="4504">
        <f t="shared" si="143"/>
        <v>0</v>
      </c>
      <c r="BO107" s="4504">
        <f t="shared" si="144"/>
        <v>0</v>
      </c>
      <c r="BP107" s="4504">
        <f t="shared" si="145"/>
        <v>0</v>
      </c>
      <c r="BQ107" s="4504">
        <f t="shared" si="146"/>
        <v>0</v>
      </c>
      <c r="BR107" s="4504">
        <f t="shared" si="147"/>
        <v>0</v>
      </c>
      <c r="BS107" s="4504">
        <f t="shared" si="148"/>
        <v>0</v>
      </c>
      <c r="BT107" s="4504">
        <f t="shared" si="149"/>
        <v>0</v>
      </c>
      <c r="BU107" s="4504">
        <f t="shared" si="150"/>
        <v>0</v>
      </c>
      <c r="BV107" s="4504">
        <f t="shared" si="151"/>
        <v>0</v>
      </c>
      <c r="BW107" s="4504">
        <f t="shared" si="152"/>
        <v>0</v>
      </c>
      <c r="BX107" s="4504">
        <f t="shared" si="153"/>
        <v>0</v>
      </c>
      <c r="BY107" s="4504">
        <f t="shared" si="154"/>
        <v>0</v>
      </c>
      <c r="BZ107" s="4504">
        <f t="shared" si="155"/>
        <v>0</v>
      </c>
      <c r="CA107" s="4504">
        <f t="shared" si="156"/>
        <v>0</v>
      </c>
      <c r="CB107" s="4504">
        <f t="shared" si="157"/>
        <v>0</v>
      </c>
      <c r="CC107" s="4504">
        <f t="shared" si="158"/>
        <v>0</v>
      </c>
      <c r="CD107" s="4504">
        <f t="shared" si="159"/>
        <v>0</v>
      </c>
      <c r="CE107" s="4504">
        <f t="shared" si="160"/>
        <v>0</v>
      </c>
      <c r="CF107" s="4504">
        <f t="shared" si="161"/>
        <v>0</v>
      </c>
    </row>
    <row r="108" spans="1:84">
      <c r="A108" s="2138"/>
      <c r="B108" s="2139">
        <v>2040207</v>
      </c>
      <c r="C108" s="2128">
        <v>2070109</v>
      </c>
      <c r="D108" s="2140">
        <v>0.04</v>
      </c>
      <c r="E108" s="2150" t="s">
        <v>361</v>
      </c>
      <c r="F108" s="2143">
        <f t="shared" si="166"/>
        <v>2.3049599999999999</v>
      </c>
      <c r="G108" s="4140">
        <f t="shared" si="167"/>
        <v>4</v>
      </c>
      <c r="H108" s="2142">
        <f t="shared" si="168"/>
        <v>2</v>
      </c>
      <c r="I108" s="2143">
        <f t="shared" si="169"/>
        <v>30</v>
      </c>
      <c r="J108" s="2144">
        <f t="shared" si="170"/>
        <v>0</v>
      </c>
      <c r="K108" s="2144">
        <f t="shared" si="171"/>
        <v>0</v>
      </c>
      <c r="L108" s="2144">
        <f t="shared" si="172"/>
        <v>0</v>
      </c>
      <c r="M108" s="2145">
        <f t="shared" si="173"/>
        <v>0</v>
      </c>
      <c r="N108" s="2146">
        <f t="shared" si="174"/>
        <v>30</v>
      </c>
      <c r="O108" s="1283">
        <v>2.3049599999999999</v>
      </c>
      <c r="P108" s="1285">
        <v>4</v>
      </c>
      <c r="Q108" s="1284">
        <v>2</v>
      </c>
      <c r="R108" s="1285">
        <v>30</v>
      </c>
      <c r="S108" s="1286"/>
      <c r="T108" s="1286"/>
      <c r="U108" s="1286"/>
      <c r="V108" s="1286"/>
      <c r="W108" s="1283"/>
      <c r="X108" s="1285"/>
      <c r="Y108" s="1284"/>
      <c r="Z108" s="1285"/>
      <c r="AA108" s="1286"/>
      <c r="AB108" s="1286"/>
      <c r="AC108" s="1286"/>
      <c r="AD108" s="1286"/>
      <c r="AE108" s="1283"/>
      <c r="AF108" s="1285"/>
      <c r="AG108" s="1284"/>
      <c r="AH108" s="1285"/>
      <c r="AI108" s="1286"/>
      <c r="AJ108" s="1286"/>
      <c r="AK108" s="1286"/>
      <c r="AL108" s="1287"/>
      <c r="AM108" s="1288"/>
      <c r="AN108" s="1289"/>
      <c r="AO108" s="2147" t="s">
        <v>676</v>
      </c>
      <c r="AP108" s="1285">
        <v>1</v>
      </c>
      <c r="AQ108" s="1285">
        <v>1</v>
      </c>
      <c r="AR108" s="1284">
        <v>1</v>
      </c>
      <c r="AS108" s="1285"/>
      <c r="AT108" s="1286"/>
      <c r="AU108" s="1286"/>
      <c r="AV108" s="1286"/>
      <c r="AW108" s="1284"/>
      <c r="AX108" s="2148" t="s">
        <v>360</v>
      </c>
      <c r="AY108" s="4488"/>
      <c r="AZ108" s="4504">
        <f t="shared" si="129"/>
        <v>1.1785073344820358</v>
      </c>
      <c r="BA108" s="4504">
        <f t="shared" si="130"/>
        <v>2.045167524784874</v>
      </c>
      <c r="BB108" s="4504">
        <f t="shared" si="131"/>
        <v>1.022583762392437</v>
      </c>
      <c r="BC108" s="4504">
        <f t="shared" si="132"/>
        <v>15.338756435886555</v>
      </c>
      <c r="BD108" s="4504">
        <f t="shared" si="133"/>
        <v>0</v>
      </c>
      <c r="BE108" s="4504">
        <f t="shared" si="134"/>
        <v>0</v>
      </c>
      <c r="BF108" s="4504">
        <f t="shared" si="135"/>
        <v>0</v>
      </c>
      <c r="BG108" s="4504">
        <f t="shared" si="136"/>
        <v>0</v>
      </c>
      <c r="BH108" s="4504">
        <f t="shared" si="137"/>
        <v>15.338756435886555</v>
      </c>
      <c r="BI108" s="4504">
        <f t="shared" si="138"/>
        <v>1.1785073344820358</v>
      </c>
      <c r="BJ108" s="4504">
        <f t="shared" si="139"/>
        <v>2.045167524784874</v>
      </c>
      <c r="BK108" s="4504">
        <f t="shared" si="140"/>
        <v>1.022583762392437</v>
      </c>
      <c r="BL108" s="4504">
        <f t="shared" si="141"/>
        <v>15.338756435886555</v>
      </c>
      <c r="BM108" s="4504">
        <f t="shared" si="142"/>
        <v>0</v>
      </c>
      <c r="BN108" s="4504">
        <f t="shared" si="143"/>
        <v>0</v>
      </c>
      <c r="BO108" s="4504">
        <f t="shared" si="144"/>
        <v>0</v>
      </c>
      <c r="BP108" s="4504">
        <f t="shared" si="145"/>
        <v>0</v>
      </c>
      <c r="BQ108" s="4504">
        <f t="shared" si="146"/>
        <v>0</v>
      </c>
      <c r="BR108" s="4504">
        <f t="shared" si="147"/>
        <v>0</v>
      </c>
      <c r="BS108" s="4504">
        <f t="shared" si="148"/>
        <v>0</v>
      </c>
      <c r="BT108" s="4504">
        <f t="shared" si="149"/>
        <v>0</v>
      </c>
      <c r="BU108" s="4504">
        <f t="shared" si="150"/>
        <v>0</v>
      </c>
      <c r="BV108" s="4504">
        <f t="shared" si="151"/>
        <v>0</v>
      </c>
      <c r="BW108" s="4504">
        <f t="shared" si="152"/>
        <v>0</v>
      </c>
      <c r="BX108" s="4504">
        <f t="shared" si="153"/>
        <v>0</v>
      </c>
      <c r="BY108" s="4504">
        <f t="shared" si="154"/>
        <v>0</v>
      </c>
      <c r="BZ108" s="4504">
        <f t="shared" si="155"/>
        <v>0</v>
      </c>
      <c r="CA108" s="4504">
        <f t="shared" si="156"/>
        <v>0</v>
      </c>
      <c r="CB108" s="4504">
        <f t="shared" si="157"/>
        <v>0</v>
      </c>
      <c r="CC108" s="4504">
        <f t="shared" si="158"/>
        <v>0</v>
      </c>
      <c r="CD108" s="4504">
        <f t="shared" si="159"/>
        <v>0</v>
      </c>
      <c r="CE108" s="4504">
        <f t="shared" si="160"/>
        <v>0</v>
      </c>
      <c r="CF108" s="4504">
        <f t="shared" si="161"/>
        <v>0</v>
      </c>
    </row>
    <row r="109" spans="1:84">
      <c r="A109" s="2138"/>
      <c r="B109" s="2139">
        <v>2030401</v>
      </c>
      <c r="C109" s="2139">
        <v>2070110</v>
      </c>
      <c r="D109" s="2151">
        <v>0.1</v>
      </c>
      <c r="E109" s="2150" t="s">
        <v>362</v>
      </c>
      <c r="F109" s="2143">
        <f t="shared" si="166"/>
        <v>11.146300000000002</v>
      </c>
      <c r="G109" s="4140">
        <f t="shared" si="167"/>
        <v>0</v>
      </c>
      <c r="H109" s="2142">
        <f t="shared" si="168"/>
        <v>15</v>
      </c>
      <c r="I109" s="2143">
        <f t="shared" si="169"/>
        <v>60</v>
      </c>
      <c r="J109" s="2144">
        <f t="shared" si="170"/>
        <v>30</v>
      </c>
      <c r="K109" s="2144">
        <f t="shared" si="171"/>
        <v>30</v>
      </c>
      <c r="L109" s="2144">
        <f t="shared" si="172"/>
        <v>30</v>
      </c>
      <c r="M109" s="2145">
        <f t="shared" si="173"/>
        <v>30</v>
      </c>
      <c r="N109" s="2146">
        <f t="shared" si="174"/>
        <v>180</v>
      </c>
      <c r="O109" s="1283">
        <v>11.146300000000002</v>
      </c>
      <c r="P109" s="1285"/>
      <c r="Q109" s="1284">
        <v>15</v>
      </c>
      <c r="R109" s="1285">
        <v>60</v>
      </c>
      <c r="S109" s="1286">
        <v>30</v>
      </c>
      <c r="T109" s="1286">
        <v>30</v>
      </c>
      <c r="U109" s="1286">
        <v>30</v>
      </c>
      <c r="V109" s="1286">
        <v>30</v>
      </c>
      <c r="W109" s="1283"/>
      <c r="X109" s="1285"/>
      <c r="Y109" s="1284"/>
      <c r="Z109" s="1285"/>
      <c r="AA109" s="1286"/>
      <c r="AB109" s="1286"/>
      <c r="AC109" s="1286"/>
      <c r="AD109" s="1286"/>
      <c r="AE109" s="1283"/>
      <c r="AF109" s="1285"/>
      <c r="AG109" s="1284"/>
      <c r="AH109" s="1285"/>
      <c r="AI109" s="1286"/>
      <c r="AJ109" s="1286"/>
      <c r="AK109" s="1286"/>
      <c r="AL109" s="1287"/>
      <c r="AM109" s="1288"/>
      <c r="AN109" s="1290"/>
      <c r="AO109" s="2147" t="s">
        <v>676</v>
      </c>
      <c r="AP109" s="1285">
        <v>3</v>
      </c>
      <c r="AQ109" s="1285"/>
      <c r="AR109" s="1284">
        <v>3</v>
      </c>
      <c r="AS109" s="1285">
        <v>1</v>
      </c>
      <c r="AT109" s="1286">
        <v>1</v>
      </c>
      <c r="AU109" s="1286">
        <v>1</v>
      </c>
      <c r="AV109" s="1286">
        <v>1</v>
      </c>
      <c r="AW109" s="1284">
        <v>1</v>
      </c>
      <c r="AX109" s="2148" t="s">
        <v>360</v>
      </c>
      <c r="AY109" s="4488"/>
      <c r="AZ109" s="4504">
        <f t="shared" si="129"/>
        <v>5.6990126953774114</v>
      </c>
      <c r="BA109" s="4504">
        <f t="shared" si="130"/>
        <v>0</v>
      </c>
      <c r="BB109" s="4504">
        <f t="shared" si="131"/>
        <v>7.6693782179432777</v>
      </c>
      <c r="BC109" s="4504">
        <f t="shared" si="132"/>
        <v>30.677512871773111</v>
      </c>
      <c r="BD109" s="4504">
        <f t="shared" si="133"/>
        <v>15.338756435886555</v>
      </c>
      <c r="BE109" s="4504">
        <f t="shared" si="134"/>
        <v>15.338756435886555</v>
      </c>
      <c r="BF109" s="4504">
        <f t="shared" si="135"/>
        <v>15.338756435886555</v>
      </c>
      <c r="BG109" s="4504">
        <f t="shared" si="136"/>
        <v>15.338756435886555</v>
      </c>
      <c r="BH109" s="4504">
        <f t="shared" si="137"/>
        <v>92.032538615319325</v>
      </c>
      <c r="BI109" s="4504">
        <f t="shared" si="138"/>
        <v>5.6990126953774114</v>
      </c>
      <c r="BJ109" s="4504">
        <f t="shared" si="139"/>
        <v>0</v>
      </c>
      <c r="BK109" s="4504">
        <f t="shared" si="140"/>
        <v>7.6693782179432777</v>
      </c>
      <c r="BL109" s="4504">
        <f t="shared" si="141"/>
        <v>30.677512871773111</v>
      </c>
      <c r="BM109" s="4504">
        <f t="shared" si="142"/>
        <v>15.338756435886555</v>
      </c>
      <c r="BN109" s="4504">
        <f t="shared" si="143"/>
        <v>15.338756435886555</v>
      </c>
      <c r="BO109" s="4504">
        <f t="shared" si="144"/>
        <v>15.338756435886555</v>
      </c>
      <c r="BP109" s="4504">
        <f t="shared" si="145"/>
        <v>15.338756435886555</v>
      </c>
      <c r="BQ109" s="4504">
        <f t="shared" si="146"/>
        <v>0</v>
      </c>
      <c r="BR109" s="4504">
        <f t="shared" si="147"/>
        <v>0</v>
      </c>
      <c r="BS109" s="4504">
        <f t="shared" si="148"/>
        <v>0</v>
      </c>
      <c r="BT109" s="4504">
        <f t="shared" si="149"/>
        <v>0</v>
      </c>
      <c r="BU109" s="4504">
        <f t="shared" si="150"/>
        <v>0</v>
      </c>
      <c r="BV109" s="4504">
        <f t="shared" si="151"/>
        <v>0</v>
      </c>
      <c r="BW109" s="4504">
        <f t="shared" si="152"/>
        <v>0</v>
      </c>
      <c r="BX109" s="4504">
        <f t="shared" si="153"/>
        <v>0</v>
      </c>
      <c r="BY109" s="4504">
        <f t="shared" si="154"/>
        <v>0</v>
      </c>
      <c r="BZ109" s="4504">
        <f t="shared" si="155"/>
        <v>0</v>
      </c>
      <c r="CA109" s="4504">
        <f t="shared" si="156"/>
        <v>0</v>
      </c>
      <c r="CB109" s="4504">
        <f t="shared" si="157"/>
        <v>0</v>
      </c>
      <c r="CC109" s="4504">
        <f t="shared" si="158"/>
        <v>0</v>
      </c>
      <c r="CD109" s="4504">
        <f t="shared" si="159"/>
        <v>0</v>
      </c>
      <c r="CE109" s="4504">
        <f t="shared" si="160"/>
        <v>0</v>
      </c>
      <c r="CF109" s="4504">
        <f t="shared" si="161"/>
        <v>0</v>
      </c>
    </row>
    <row r="110" spans="1:84" ht="24">
      <c r="A110" s="2138"/>
      <c r="B110" s="2139">
        <v>2040205</v>
      </c>
      <c r="C110" s="2128">
        <v>2070111</v>
      </c>
      <c r="D110" s="2140">
        <v>0.02</v>
      </c>
      <c r="E110" s="2141" t="s">
        <v>363</v>
      </c>
      <c r="F110" s="2143">
        <f t="shared" si="166"/>
        <v>0</v>
      </c>
      <c r="G110" s="4140">
        <f t="shared" si="167"/>
        <v>0</v>
      </c>
      <c r="H110" s="2142">
        <f t="shared" si="168"/>
        <v>0</v>
      </c>
      <c r="I110" s="2143">
        <f t="shared" si="169"/>
        <v>0</v>
      </c>
      <c r="J110" s="2144">
        <f t="shared" si="170"/>
        <v>0</v>
      </c>
      <c r="K110" s="2144">
        <f t="shared" si="171"/>
        <v>0</v>
      </c>
      <c r="L110" s="2144">
        <f t="shared" si="172"/>
        <v>0</v>
      </c>
      <c r="M110" s="2145">
        <f t="shared" si="173"/>
        <v>0</v>
      </c>
      <c r="N110" s="2146">
        <f t="shared" si="174"/>
        <v>0</v>
      </c>
      <c r="O110" s="1283"/>
      <c r="P110" s="1285"/>
      <c r="Q110" s="1284"/>
      <c r="R110" s="1285"/>
      <c r="S110" s="1286"/>
      <c r="T110" s="1286"/>
      <c r="U110" s="1286"/>
      <c r="V110" s="1286"/>
      <c r="W110" s="1283"/>
      <c r="X110" s="1285"/>
      <c r="Y110" s="1284"/>
      <c r="Z110" s="1285"/>
      <c r="AA110" s="1286"/>
      <c r="AB110" s="1286"/>
      <c r="AC110" s="1286"/>
      <c r="AD110" s="1286"/>
      <c r="AE110" s="1283"/>
      <c r="AF110" s="1285"/>
      <c r="AG110" s="1284"/>
      <c r="AH110" s="1285"/>
      <c r="AI110" s="1286"/>
      <c r="AJ110" s="1286"/>
      <c r="AK110" s="1286"/>
      <c r="AL110" s="1287"/>
      <c r="AM110" s="1288"/>
      <c r="AN110" s="1290"/>
      <c r="AO110" s="2147" t="s">
        <v>678</v>
      </c>
      <c r="AP110" s="1285"/>
      <c r="AQ110" s="1285"/>
      <c r="AR110" s="1284"/>
      <c r="AS110" s="1285"/>
      <c r="AT110" s="1286"/>
      <c r="AU110" s="1286"/>
      <c r="AV110" s="1286"/>
      <c r="AW110" s="1284"/>
      <c r="AX110" s="2148" t="s">
        <v>364</v>
      </c>
      <c r="AY110" s="4488"/>
      <c r="AZ110" s="4504">
        <f t="shared" si="129"/>
        <v>0</v>
      </c>
      <c r="BA110" s="4504">
        <f t="shared" si="130"/>
        <v>0</v>
      </c>
      <c r="BB110" s="4504">
        <f t="shared" si="131"/>
        <v>0</v>
      </c>
      <c r="BC110" s="4504">
        <f t="shared" si="132"/>
        <v>0</v>
      </c>
      <c r="BD110" s="4504">
        <f t="shared" si="133"/>
        <v>0</v>
      </c>
      <c r="BE110" s="4504">
        <f t="shared" si="134"/>
        <v>0</v>
      </c>
      <c r="BF110" s="4504">
        <f t="shared" si="135"/>
        <v>0</v>
      </c>
      <c r="BG110" s="4504">
        <f t="shared" si="136"/>
        <v>0</v>
      </c>
      <c r="BH110" s="4504">
        <f t="shared" si="137"/>
        <v>0</v>
      </c>
      <c r="BI110" s="4504">
        <f t="shared" si="138"/>
        <v>0</v>
      </c>
      <c r="BJ110" s="4504">
        <f t="shared" si="139"/>
        <v>0</v>
      </c>
      <c r="BK110" s="4504">
        <f t="shared" si="140"/>
        <v>0</v>
      </c>
      <c r="BL110" s="4504">
        <f t="shared" si="141"/>
        <v>0</v>
      </c>
      <c r="BM110" s="4504">
        <f t="shared" si="142"/>
        <v>0</v>
      </c>
      <c r="BN110" s="4504">
        <f t="shared" si="143"/>
        <v>0</v>
      </c>
      <c r="BO110" s="4504">
        <f t="shared" si="144"/>
        <v>0</v>
      </c>
      <c r="BP110" s="4504">
        <f t="shared" si="145"/>
        <v>0</v>
      </c>
      <c r="BQ110" s="4504">
        <f t="shared" si="146"/>
        <v>0</v>
      </c>
      <c r="BR110" s="4504">
        <f t="shared" si="147"/>
        <v>0</v>
      </c>
      <c r="BS110" s="4504">
        <f t="shared" si="148"/>
        <v>0</v>
      </c>
      <c r="BT110" s="4504">
        <f t="shared" si="149"/>
        <v>0</v>
      </c>
      <c r="BU110" s="4504">
        <f t="shared" si="150"/>
        <v>0</v>
      </c>
      <c r="BV110" s="4504">
        <f t="shared" si="151"/>
        <v>0</v>
      </c>
      <c r="BW110" s="4504">
        <f t="shared" si="152"/>
        <v>0</v>
      </c>
      <c r="BX110" s="4504">
        <f t="shared" si="153"/>
        <v>0</v>
      </c>
      <c r="BY110" s="4504">
        <f t="shared" si="154"/>
        <v>0</v>
      </c>
      <c r="BZ110" s="4504">
        <f t="shared" si="155"/>
        <v>0</v>
      </c>
      <c r="CA110" s="4504">
        <f t="shared" si="156"/>
        <v>0</v>
      </c>
      <c r="CB110" s="4504">
        <f t="shared" si="157"/>
        <v>0</v>
      </c>
      <c r="CC110" s="4504">
        <f t="shared" si="158"/>
        <v>0</v>
      </c>
      <c r="CD110" s="4504">
        <f t="shared" si="159"/>
        <v>0</v>
      </c>
      <c r="CE110" s="4504">
        <f t="shared" si="160"/>
        <v>0</v>
      </c>
      <c r="CF110" s="4504">
        <f t="shared" si="161"/>
        <v>0</v>
      </c>
    </row>
    <row r="111" spans="1:84">
      <c r="A111" s="2138"/>
      <c r="B111" s="2139">
        <v>2040205</v>
      </c>
      <c r="C111" s="2139">
        <v>2070112</v>
      </c>
      <c r="D111" s="2140">
        <v>0.02</v>
      </c>
      <c r="E111" s="2141" t="s">
        <v>365</v>
      </c>
      <c r="F111" s="2143">
        <f t="shared" si="166"/>
        <v>0</v>
      </c>
      <c r="G111" s="4140">
        <f t="shared" si="167"/>
        <v>0</v>
      </c>
      <c r="H111" s="2142">
        <f t="shared" si="168"/>
        <v>0</v>
      </c>
      <c r="I111" s="2143">
        <f t="shared" si="169"/>
        <v>0</v>
      </c>
      <c r="J111" s="2144">
        <f t="shared" si="170"/>
        <v>0</v>
      </c>
      <c r="K111" s="2144">
        <f t="shared" si="171"/>
        <v>0</v>
      </c>
      <c r="L111" s="2144">
        <f t="shared" si="172"/>
        <v>0</v>
      </c>
      <c r="M111" s="2145">
        <f t="shared" si="173"/>
        <v>0</v>
      </c>
      <c r="N111" s="2146">
        <f t="shared" si="174"/>
        <v>0</v>
      </c>
      <c r="O111" s="1283"/>
      <c r="P111" s="1285"/>
      <c r="Q111" s="1284"/>
      <c r="R111" s="1285"/>
      <c r="S111" s="1286"/>
      <c r="T111" s="1286"/>
      <c r="U111" s="1286"/>
      <c r="V111" s="1286"/>
      <c r="W111" s="1283"/>
      <c r="X111" s="1285"/>
      <c r="Y111" s="1284"/>
      <c r="Z111" s="1285"/>
      <c r="AA111" s="1286"/>
      <c r="AB111" s="1286"/>
      <c r="AC111" s="1286"/>
      <c r="AD111" s="1286"/>
      <c r="AE111" s="1283"/>
      <c r="AF111" s="1285"/>
      <c r="AG111" s="1284"/>
      <c r="AH111" s="1285"/>
      <c r="AI111" s="1286"/>
      <c r="AJ111" s="1286"/>
      <c r="AK111" s="1286"/>
      <c r="AL111" s="1287"/>
      <c r="AM111" s="1288"/>
      <c r="AN111" s="1290"/>
      <c r="AO111" s="2147" t="s">
        <v>676</v>
      </c>
      <c r="AP111" s="1285"/>
      <c r="AQ111" s="1285"/>
      <c r="AR111" s="1284"/>
      <c r="AS111" s="1285"/>
      <c r="AT111" s="1286"/>
      <c r="AU111" s="1286"/>
      <c r="AV111" s="1286"/>
      <c r="AW111" s="1284"/>
      <c r="AX111" s="2148" t="s">
        <v>366</v>
      </c>
      <c r="AY111" s="4488"/>
      <c r="AZ111" s="4504">
        <f t="shared" si="129"/>
        <v>0</v>
      </c>
      <c r="BA111" s="4504">
        <f t="shared" si="130"/>
        <v>0</v>
      </c>
      <c r="BB111" s="4504">
        <f t="shared" si="131"/>
        <v>0</v>
      </c>
      <c r="BC111" s="4504">
        <f t="shared" si="132"/>
        <v>0</v>
      </c>
      <c r="BD111" s="4504">
        <f t="shared" si="133"/>
        <v>0</v>
      </c>
      <c r="BE111" s="4504">
        <f t="shared" si="134"/>
        <v>0</v>
      </c>
      <c r="BF111" s="4504">
        <f t="shared" si="135"/>
        <v>0</v>
      </c>
      <c r="BG111" s="4504">
        <f t="shared" si="136"/>
        <v>0</v>
      </c>
      <c r="BH111" s="4504">
        <f t="shared" si="137"/>
        <v>0</v>
      </c>
      <c r="BI111" s="4504">
        <f t="shared" si="138"/>
        <v>0</v>
      </c>
      <c r="BJ111" s="4504">
        <f t="shared" si="139"/>
        <v>0</v>
      </c>
      <c r="BK111" s="4504">
        <f t="shared" si="140"/>
        <v>0</v>
      </c>
      <c r="BL111" s="4504">
        <f t="shared" si="141"/>
        <v>0</v>
      </c>
      <c r="BM111" s="4504">
        <f t="shared" si="142"/>
        <v>0</v>
      </c>
      <c r="BN111" s="4504">
        <f t="shared" si="143"/>
        <v>0</v>
      </c>
      <c r="BO111" s="4504">
        <f t="shared" si="144"/>
        <v>0</v>
      </c>
      <c r="BP111" s="4504">
        <f t="shared" si="145"/>
        <v>0</v>
      </c>
      <c r="BQ111" s="4504">
        <f t="shared" si="146"/>
        <v>0</v>
      </c>
      <c r="BR111" s="4504">
        <f t="shared" si="147"/>
        <v>0</v>
      </c>
      <c r="BS111" s="4504">
        <f t="shared" si="148"/>
        <v>0</v>
      </c>
      <c r="BT111" s="4504">
        <f t="shared" si="149"/>
        <v>0</v>
      </c>
      <c r="BU111" s="4504">
        <f t="shared" si="150"/>
        <v>0</v>
      </c>
      <c r="BV111" s="4504">
        <f t="shared" si="151"/>
        <v>0</v>
      </c>
      <c r="BW111" s="4504">
        <f t="shared" si="152"/>
        <v>0</v>
      </c>
      <c r="BX111" s="4504">
        <f t="shared" si="153"/>
        <v>0</v>
      </c>
      <c r="BY111" s="4504">
        <f t="shared" si="154"/>
        <v>0</v>
      </c>
      <c r="BZ111" s="4504">
        <f t="shared" si="155"/>
        <v>0</v>
      </c>
      <c r="CA111" s="4504">
        <f t="shared" si="156"/>
        <v>0</v>
      </c>
      <c r="CB111" s="4504">
        <f t="shared" si="157"/>
        <v>0</v>
      </c>
      <c r="CC111" s="4504">
        <f t="shared" si="158"/>
        <v>0</v>
      </c>
      <c r="CD111" s="4504">
        <f t="shared" si="159"/>
        <v>0</v>
      </c>
      <c r="CE111" s="4504">
        <f t="shared" si="160"/>
        <v>0</v>
      </c>
      <c r="CF111" s="4504">
        <f t="shared" si="161"/>
        <v>0</v>
      </c>
    </row>
    <row r="112" spans="1:84" ht="36">
      <c r="A112" s="2138"/>
      <c r="B112" s="2139">
        <v>2030502</v>
      </c>
      <c r="C112" s="2128">
        <v>2070113</v>
      </c>
      <c r="D112" s="2140">
        <v>0.1</v>
      </c>
      <c r="E112" s="2141" t="s">
        <v>367</v>
      </c>
      <c r="F112" s="2143">
        <f t="shared" si="166"/>
        <v>0</v>
      </c>
      <c r="G112" s="4140">
        <f t="shared" si="167"/>
        <v>0</v>
      </c>
      <c r="H112" s="2142">
        <f t="shared" si="168"/>
        <v>2</v>
      </c>
      <c r="I112" s="2143">
        <f t="shared" si="169"/>
        <v>0</v>
      </c>
      <c r="J112" s="2144">
        <f t="shared" si="170"/>
        <v>0</v>
      </c>
      <c r="K112" s="2144">
        <f t="shared" si="171"/>
        <v>0</v>
      </c>
      <c r="L112" s="2144">
        <f t="shared" si="172"/>
        <v>0</v>
      </c>
      <c r="M112" s="2145">
        <f t="shared" si="173"/>
        <v>0</v>
      </c>
      <c r="N112" s="2146">
        <f t="shared" si="174"/>
        <v>0</v>
      </c>
      <c r="O112" s="1283"/>
      <c r="P112" s="1285"/>
      <c r="Q112" s="1284">
        <v>2</v>
      </c>
      <c r="R112" s="1285"/>
      <c r="S112" s="1286"/>
      <c r="T112" s="1286"/>
      <c r="U112" s="1286"/>
      <c r="V112" s="1286"/>
      <c r="W112" s="1283"/>
      <c r="X112" s="1285"/>
      <c r="Y112" s="1284"/>
      <c r="Z112" s="1285"/>
      <c r="AA112" s="1286"/>
      <c r="AB112" s="1286"/>
      <c r="AC112" s="1286"/>
      <c r="AD112" s="1286"/>
      <c r="AE112" s="1283"/>
      <c r="AF112" s="1285"/>
      <c r="AG112" s="1284"/>
      <c r="AH112" s="1285"/>
      <c r="AI112" s="1286"/>
      <c r="AJ112" s="1286"/>
      <c r="AK112" s="1286"/>
      <c r="AL112" s="1287"/>
      <c r="AM112" s="1288"/>
      <c r="AN112" s="1289"/>
      <c r="AO112" s="2147" t="s">
        <v>676</v>
      </c>
      <c r="AP112" s="1285"/>
      <c r="AQ112" s="1285"/>
      <c r="AR112" s="1284">
        <v>4</v>
      </c>
      <c r="AS112" s="1285"/>
      <c r="AT112" s="1286"/>
      <c r="AU112" s="1286"/>
      <c r="AV112" s="1286"/>
      <c r="AW112" s="1284"/>
      <c r="AX112" s="2152" t="s">
        <v>1030</v>
      </c>
      <c r="AY112" s="4488"/>
      <c r="AZ112" s="4504">
        <f t="shared" si="129"/>
        <v>0</v>
      </c>
      <c r="BA112" s="4504">
        <f t="shared" si="130"/>
        <v>0</v>
      </c>
      <c r="BB112" s="4504">
        <f t="shared" si="131"/>
        <v>1.022583762392437</v>
      </c>
      <c r="BC112" s="4504">
        <f t="shared" si="132"/>
        <v>0</v>
      </c>
      <c r="BD112" s="4504">
        <f t="shared" si="133"/>
        <v>0</v>
      </c>
      <c r="BE112" s="4504">
        <f t="shared" si="134"/>
        <v>0</v>
      </c>
      <c r="BF112" s="4504">
        <f t="shared" si="135"/>
        <v>0</v>
      </c>
      <c r="BG112" s="4504">
        <f t="shared" si="136"/>
        <v>0</v>
      </c>
      <c r="BH112" s="4504">
        <f t="shared" si="137"/>
        <v>0</v>
      </c>
      <c r="BI112" s="4504">
        <f t="shared" si="138"/>
        <v>0</v>
      </c>
      <c r="BJ112" s="4504">
        <f t="shared" si="139"/>
        <v>0</v>
      </c>
      <c r="BK112" s="4504">
        <f t="shared" si="140"/>
        <v>1.022583762392437</v>
      </c>
      <c r="BL112" s="4504">
        <f t="shared" si="141"/>
        <v>0</v>
      </c>
      <c r="BM112" s="4504">
        <f t="shared" si="142"/>
        <v>0</v>
      </c>
      <c r="BN112" s="4504">
        <f t="shared" si="143"/>
        <v>0</v>
      </c>
      <c r="BO112" s="4504">
        <f t="shared" si="144"/>
        <v>0</v>
      </c>
      <c r="BP112" s="4504">
        <f t="shared" si="145"/>
        <v>0</v>
      </c>
      <c r="BQ112" s="4504">
        <f t="shared" si="146"/>
        <v>0</v>
      </c>
      <c r="BR112" s="4504">
        <f t="shared" si="147"/>
        <v>0</v>
      </c>
      <c r="BS112" s="4504">
        <f t="shared" si="148"/>
        <v>0</v>
      </c>
      <c r="BT112" s="4504">
        <f t="shared" si="149"/>
        <v>0</v>
      </c>
      <c r="BU112" s="4504">
        <f t="shared" si="150"/>
        <v>0</v>
      </c>
      <c r="BV112" s="4504">
        <f t="shared" si="151"/>
        <v>0</v>
      </c>
      <c r="BW112" s="4504">
        <f t="shared" si="152"/>
        <v>0</v>
      </c>
      <c r="BX112" s="4504">
        <f t="shared" si="153"/>
        <v>0</v>
      </c>
      <c r="BY112" s="4504">
        <f t="shared" si="154"/>
        <v>0</v>
      </c>
      <c r="BZ112" s="4504">
        <f t="shared" si="155"/>
        <v>0</v>
      </c>
      <c r="CA112" s="4504">
        <f t="shared" si="156"/>
        <v>0</v>
      </c>
      <c r="CB112" s="4504">
        <f t="shared" si="157"/>
        <v>0</v>
      </c>
      <c r="CC112" s="4504">
        <f t="shared" si="158"/>
        <v>0</v>
      </c>
      <c r="CD112" s="4504">
        <f t="shared" si="159"/>
        <v>0</v>
      </c>
      <c r="CE112" s="4504">
        <f t="shared" si="160"/>
        <v>0</v>
      </c>
      <c r="CF112" s="4504">
        <f t="shared" si="161"/>
        <v>0</v>
      </c>
    </row>
    <row r="113" spans="1:84" ht="24">
      <c r="A113" s="2138"/>
      <c r="B113" s="2139">
        <v>2030501</v>
      </c>
      <c r="C113" s="2139">
        <v>2070114</v>
      </c>
      <c r="D113" s="2151">
        <v>0.1</v>
      </c>
      <c r="E113" s="2150" t="s">
        <v>652</v>
      </c>
      <c r="F113" s="2143">
        <f t="shared" si="166"/>
        <v>7.9134599999999997</v>
      </c>
      <c r="G113" s="4140">
        <f t="shared" si="167"/>
        <v>6.83934</v>
      </c>
      <c r="H113" s="2142">
        <f t="shared" si="168"/>
        <v>0</v>
      </c>
      <c r="I113" s="2143">
        <f t="shared" si="169"/>
        <v>3</v>
      </c>
      <c r="J113" s="2144">
        <f t="shared" si="170"/>
        <v>3</v>
      </c>
      <c r="K113" s="2144">
        <f t="shared" si="171"/>
        <v>3</v>
      </c>
      <c r="L113" s="2144">
        <f t="shared" si="172"/>
        <v>3</v>
      </c>
      <c r="M113" s="2145">
        <f t="shared" si="173"/>
        <v>3</v>
      </c>
      <c r="N113" s="2146">
        <f t="shared" si="174"/>
        <v>15</v>
      </c>
      <c r="O113" s="1283">
        <v>7.9134599999999997</v>
      </c>
      <c r="P113" s="1285">
        <v>6.83934</v>
      </c>
      <c r="Q113" s="1284"/>
      <c r="R113" s="1285">
        <v>3</v>
      </c>
      <c r="S113" s="1286">
        <v>3</v>
      </c>
      <c r="T113" s="1286">
        <v>3</v>
      </c>
      <c r="U113" s="1286">
        <v>3</v>
      </c>
      <c r="V113" s="1286">
        <v>3</v>
      </c>
      <c r="W113" s="1283"/>
      <c r="X113" s="1285"/>
      <c r="Y113" s="1284"/>
      <c r="Z113" s="1285"/>
      <c r="AA113" s="1286"/>
      <c r="AB113" s="1286"/>
      <c r="AC113" s="1286"/>
      <c r="AD113" s="1286"/>
      <c r="AE113" s="1283"/>
      <c r="AF113" s="1285"/>
      <c r="AG113" s="1284"/>
      <c r="AH113" s="1285"/>
      <c r="AI113" s="1286"/>
      <c r="AJ113" s="1286"/>
      <c r="AK113" s="1286"/>
      <c r="AL113" s="1287"/>
      <c r="AM113" s="1288"/>
      <c r="AN113" s="1289"/>
      <c r="AO113" s="2147" t="s">
        <v>676</v>
      </c>
      <c r="AP113" s="1285">
        <v>2</v>
      </c>
      <c r="AQ113" s="1285">
        <v>2</v>
      </c>
      <c r="AR113" s="1284"/>
      <c r="AS113" s="1285">
        <v>2</v>
      </c>
      <c r="AT113" s="1286">
        <v>2</v>
      </c>
      <c r="AU113" s="1286">
        <v>2</v>
      </c>
      <c r="AV113" s="1286">
        <v>2</v>
      </c>
      <c r="AW113" s="1284">
        <v>2</v>
      </c>
      <c r="AX113" s="2153" t="s">
        <v>709</v>
      </c>
      <c r="AY113" s="4488"/>
      <c r="AZ113" s="4504">
        <f t="shared" si="129"/>
        <v>4.0460878501710269</v>
      </c>
      <c r="BA113" s="4504">
        <f t="shared" si="130"/>
        <v>3.4968990147405452</v>
      </c>
      <c r="BB113" s="4504">
        <f t="shared" si="131"/>
        <v>0</v>
      </c>
      <c r="BC113" s="4504">
        <f t="shared" si="132"/>
        <v>1.5338756435886556</v>
      </c>
      <c r="BD113" s="4504">
        <f t="shared" si="133"/>
        <v>1.5338756435886556</v>
      </c>
      <c r="BE113" s="4504">
        <f t="shared" si="134"/>
        <v>1.5338756435886556</v>
      </c>
      <c r="BF113" s="4504">
        <f t="shared" si="135"/>
        <v>1.5338756435886556</v>
      </c>
      <c r="BG113" s="4504">
        <f t="shared" si="136"/>
        <v>1.5338756435886556</v>
      </c>
      <c r="BH113" s="4504">
        <f t="shared" si="137"/>
        <v>7.6693782179432777</v>
      </c>
      <c r="BI113" s="4504">
        <f t="shared" si="138"/>
        <v>4.0460878501710269</v>
      </c>
      <c r="BJ113" s="4504">
        <f t="shared" si="139"/>
        <v>3.4968990147405452</v>
      </c>
      <c r="BK113" s="4504">
        <f t="shared" si="140"/>
        <v>0</v>
      </c>
      <c r="BL113" s="4504">
        <f t="shared" si="141"/>
        <v>1.5338756435886556</v>
      </c>
      <c r="BM113" s="4504">
        <f t="shared" si="142"/>
        <v>1.5338756435886556</v>
      </c>
      <c r="BN113" s="4504">
        <f t="shared" si="143"/>
        <v>1.5338756435886556</v>
      </c>
      <c r="BO113" s="4504">
        <f t="shared" si="144"/>
        <v>1.5338756435886556</v>
      </c>
      <c r="BP113" s="4504">
        <f t="shared" si="145"/>
        <v>1.5338756435886556</v>
      </c>
      <c r="BQ113" s="4504">
        <f t="shared" si="146"/>
        <v>0</v>
      </c>
      <c r="BR113" s="4504">
        <f t="shared" si="147"/>
        <v>0</v>
      </c>
      <c r="BS113" s="4504">
        <f t="shared" si="148"/>
        <v>0</v>
      </c>
      <c r="BT113" s="4504">
        <f t="shared" si="149"/>
        <v>0</v>
      </c>
      <c r="BU113" s="4504">
        <f t="shared" si="150"/>
        <v>0</v>
      </c>
      <c r="BV113" s="4504">
        <f t="shared" si="151"/>
        <v>0</v>
      </c>
      <c r="BW113" s="4504">
        <f t="shared" si="152"/>
        <v>0</v>
      </c>
      <c r="BX113" s="4504">
        <f t="shared" si="153"/>
        <v>0</v>
      </c>
      <c r="BY113" s="4504">
        <f t="shared" si="154"/>
        <v>0</v>
      </c>
      <c r="BZ113" s="4504">
        <f t="shared" si="155"/>
        <v>0</v>
      </c>
      <c r="CA113" s="4504">
        <f t="shared" si="156"/>
        <v>0</v>
      </c>
      <c r="CB113" s="4504">
        <f t="shared" si="157"/>
        <v>0</v>
      </c>
      <c r="CC113" s="4504">
        <f t="shared" si="158"/>
        <v>0</v>
      </c>
      <c r="CD113" s="4504">
        <f t="shared" si="159"/>
        <v>0</v>
      </c>
      <c r="CE113" s="4504">
        <f t="shared" si="160"/>
        <v>0</v>
      </c>
      <c r="CF113" s="4504">
        <f t="shared" si="161"/>
        <v>0</v>
      </c>
    </row>
    <row r="114" spans="1:84" ht="24">
      <c r="A114" s="2138"/>
      <c r="B114" s="2139">
        <v>2030501</v>
      </c>
      <c r="C114" s="2128">
        <v>2070115</v>
      </c>
      <c r="D114" s="2151">
        <v>0.1</v>
      </c>
      <c r="E114" s="2141" t="s">
        <v>653</v>
      </c>
      <c r="F114" s="2143">
        <f t="shared" si="166"/>
        <v>0.95607000000000009</v>
      </c>
      <c r="G114" s="4140">
        <f t="shared" si="167"/>
        <v>4.3981700000000004</v>
      </c>
      <c r="H114" s="2142">
        <f t="shared" si="168"/>
        <v>0</v>
      </c>
      <c r="I114" s="2143">
        <f t="shared" si="169"/>
        <v>4</v>
      </c>
      <c r="J114" s="2144">
        <f t="shared" si="170"/>
        <v>4</v>
      </c>
      <c r="K114" s="2144">
        <f t="shared" si="171"/>
        <v>4</v>
      </c>
      <c r="L114" s="2144">
        <f t="shared" si="172"/>
        <v>4</v>
      </c>
      <c r="M114" s="2145">
        <f t="shared" si="173"/>
        <v>4</v>
      </c>
      <c r="N114" s="2146">
        <f t="shared" si="174"/>
        <v>20</v>
      </c>
      <c r="O114" s="1283">
        <v>0.95607000000000009</v>
      </c>
      <c r="P114" s="1285">
        <v>4.3981700000000004</v>
      </c>
      <c r="Q114" s="1284"/>
      <c r="R114" s="1285">
        <v>4</v>
      </c>
      <c r="S114" s="1286">
        <v>4</v>
      </c>
      <c r="T114" s="1286">
        <v>4</v>
      </c>
      <c r="U114" s="1286">
        <v>4</v>
      </c>
      <c r="V114" s="1286">
        <v>4</v>
      </c>
      <c r="W114" s="1283"/>
      <c r="X114" s="1285"/>
      <c r="Y114" s="1284"/>
      <c r="Z114" s="1285"/>
      <c r="AA114" s="1286"/>
      <c r="AB114" s="1286"/>
      <c r="AC114" s="1286"/>
      <c r="AD114" s="1286"/>
      <c r="AE114" s="1283"/>
      <c r="AF114" s="1285"/>
      <c r="AG114" s="1284"/>
      <c r="AH114" s="1285"/>
      <c r="AI114" s="1286"/>
      <c r="AJ114" s="1286"/>
      <c r="AK114" s="1286"/>
      <c r="AL114" s="1287"/>
      <c r="AM114" s="1288"/>
      <c r="AN114" s="1289"/>
      <c r="AO114" s="2147" t="s">
        <v>676</v>
      </c>
      <c r="AP114" s="1285">
        <v>1</v>
      </c>
      <c r="AQ114" s="1285">
        <v>2</v>
      </c>
      <c r="AR114" s="1284"/>
      <c r="AS114" s="1285">
        <v>1</v>
      </c>
      <c r="AT114" s="1286">
        <v>1</v>
      </c>
      <c r="AU114" s="1286">
        <v>1</v>
      </c>
      <c r="AV114" s="1286">
        <v>1</v>
      </c>
      <c r="AW114" s="1284">
        <v>1</v>
      </c>
      <c r="AX114" s="2153" t="s">
        <v>654</v>
      </c>
      <c r="AY114" s="4488"/>
      <c r="AZ114" s="4504">
        <f t="shared" si="129"/>
        <v>0.48883082885526868</v>
      </c>
      <c r="BA114" s="4504">
        <f t="shared" si="130"/>
        <v>2.2487486131207723</v>
      </c>
      <c r="BB114" s="4504">
        <f t="shared" si="131"/>
        <v>0</v>
      </c>
      <c r="BC114" s="4504">
        <f t="shared" si="132"/>
        <v>2.045167524784874</v>
      </c>
      <c r="BD114" s="4504">
        <f t="shared" si="133"/>
        <v>2.045167524784874</v>
      </c>
      <c r="BE114" s="4504">
        <f t="shared" si="134"/>
        <v>2.045167524784874</v>
      </c>
      <c r="BF114" s="4504">
        <f t="shared" si="135"/>
        <v>2.045167524784874</v>
      </c>
      <c r="BG114" s="4504">
        <f t="shared" si="136"/>
        <v>2.045167524784874</v>
      </c>
      <c r="BH114" s="4504">
        <f t="shared" si="137"/>
        <v>10.22583762392437</v>
      </c>
      <c r="BI114" s="4504">
        <f t="shared" si="138"/>
        <v>0.48883082885526868</v>
      </c>
      <c r="BJ114" s="4504">
        <f t="shared" si="139"/>
        <v>2.2487486131207723</v>
      </c>
      <c r="BK114" s="4504">
        <f t="shared" si="140"/>
        <v>0</v>
      </c>
      <c r="BL114" s="4504">
        <f t="shared" si="141"/>
        <v>2.045167524784874</v>
      </c>
      <c r="BM114" s="4504">
        <f t="shared" si="142"/>
        <v>2.045167524784874</v>
      </c>
      <c r="BN114" s="4504">
        <f t="shared" si="143"/>
        <v>2.045167524784874</v>
      </c>
      <c r="BO114" s="4504">
        <f t="shared" si="144"/>
        <v>2.045167524784874</v>
      </c>
      <c r="BP114" s="4504">
        <f t="shared" si="145"/>
        <v>2.045167524784874</v>
      </c>
      <c r="BQ114" s="4504">
        <f t="shared" si="146"/>
        <v>0</v>
      </c>
      <c r="BR114" s="4504">
        <f t="shared" si="147"/>
        <v>0</v>
      </c>
      <c r="BS114" s="4504">
        <f t="shared" si="148"/>
        <v>0</v>
      </c>
      <c r="BT114" s="4504">
        <f t="shared" si="149"/>
        <v>0</v>
      </c>
      <c r="BU114" s="4504">
        <f t="shared" si="150"/>
        <v>0</v>
      </c>
      <c r="BV114" s="4504">
        <f t="shared" si="151"/>
        <v>0</v>
      </c>
      <c r="BW114" s="4504">
        <f t="shared" si="152"/>
        <v>0</v>
      </c>
      <c r="BX114" s="4504">
        <f t="shared" si="153"/>
        <v>0</v>
      </c>
      <c r="BY114" s="4504">
        <f t="shared" si="154"/>
        <v>0</v>
      </c>
      <c r="BZ114" s="4504">
        <f t="shared" si="155"/>
        <v>0</v>
      </c>
      <c r="CA114" s="4504">
        <f t="shared" si="156"/>
        <v>0</v>
      </c>
      <c r="CB114" s="4504">
        <f t="shared" si="157"/>
        <v>0</v>
      </c>
      <c r="CC114" s="4504">
        <f t="shared" si="158"/>
        <v>0</v>
      </c>
      <c r="CD114" s="4504">
        <f t="shared" si="159"/>
        <v>0</v>
      </c>
      <c r="CE114" s="4504">
        <f t="shared" si="160"/>
        <v>0</v>
      </c>
      <c r="CF114" s="4504">
        <f t="shared" si="161"/>
        <v>0</v>
      </c>
    </row>
    <row r="115" spans="1:84">
      <c r="A115" s="2138"/>
      <c r="B115" s="2139">
        <v>2030502</v>
      </c>
      <c r="C115" s="2139">
        <v>2070116</v>
      </c>
      <c r="D115" s="2151">
        <v>0.1</v>
      </c>
      <c r="E115" s="2150" t="s">
        <v>368</v>
      </c>
      <c r="F115" s="2143">
        <f t="shared" si="166"/>
        <v>1.518</v>
      </c>
      <c r="G115" s="4140">
        <f t="shared" si="167"/>
        <v>6.0510399999999995</v>
      </c>
      <c r="H115" s="2142">
        <f t="shared" si="168"/>
        <v>0</v>
      </c>
      <c r="I115" s="2143">
        <f t="shared" si="169"/>
        <v>3</v>
      </c>
      <c r="J115" s="2144">
        <f t="shared" si="170"/>
        <v>3</v>
      </c>
      <c r="K115" s="2144">
        <f t="shared" si="171"/>
        <v>3</v>
      </c>
      <c r="L115" s="2144">
        <f t="shared" si="172"/>
        <v>3</v>
      </c>
      <c r="M115" s="2145">
        <f t="shared" si="173"/>
        <v>3</v>
      </c>
      <c r="N115" s="2146">
        <f t="shared" si="174"/>
        <v>15</v>
      </c>
      <c r="O115" s="1283">
        <v>1.518</v>
      </c>
      <c r="P115" s="1285">
        <v>6.0510399999999995</v>
      </c>
      <c r="Q115" s="1284"/>
      <c r="R115" s="1285">
        <v>3</v>
      </c>
      <c r="S115" s="1286">
        <v>3</v>
      </c>
      <c r="T115" s="1286">
        <v>3</v>
      </c>
      <c r="U115" s="1286">
        <v>3</v>
      </c>
      <c r="V115" s="1286">
        <v>3</v>
      </c>
      <c r="W115" s="1283"/>
      <c r="X115" s="1285"/>
      <c r="Y115" s="1284"/>
      <c r="Z115" s="1285"/>
      <c r="AA115" s="1286"/>
      <c r="AB115" s="1286"/>
      <c r="AC115" s="1286"/>
      <c r="AD115" s="1286"/>
      <c r="AE115" s="1283"/>
      <c r="AF115" s="1285"/>
      <c r="AG115" s="1284"/>
      <c r="AH115" s="1285"/>
      <c r="AI115" s="1286"/>
      <c r="AJ115" s="1286"/>
      <c r="AK115" s="1286"/>
      <c r="AL115" s="1287"/>
      <c r="AM115" s="1288"/>
      <c r="AN115" s="1290"/>
      <c r="AO115" s="2147" t="s">
        <v>676</v>
      </c>
      <c r="AP115" s="1285">
        <v>2</v>
      </c>
      <c r="AQ115" s="1285">
        <v>2</v>
      </c>
      <c r="AR115" s="1284"/>
      <c r="AS115" s="1285">
        <v>1</v>
      </c>
      <c r="AT115" s="1286">
        <v>1</v>
      </c>
      <c r="AU115" s="1286">
        <v>1</v>
      </c>
      <c r="AV115" s="1286">
        <v>1</v>
      </c>
      <c r="AW115" s="1284">
        <v>1</v>
      </c>
      <c r="AX115" s="2153" t="s">
        <v>708</v>
      </c>
      <c r="AY115" s="4488"/>
      <c r="AZ115" s="4504">
        <f t="shared" si="129"/>
        <v>0.77614107565585966</v>
      </c>
      <c r="BA115" s="4504">
        <f t="shared" si="130"/>
        <v>3.0938476247935656</v>
      </c>
      <c r="BB115" s="4504">
        <f t="shared" si="131"/>
        <v>0</v>
      </c>
      <c r="BC115" s="4504">
        <f t="shared" si="132"/>
        <v>1.5338756435886556</v>
      </c>
      <c r="BD115" s="4504">
        <f t="shared" si="133"/>
        <v>1.5338756435886556</v>
      </c>
      <c r="BE115" s="4504">
        <f t="shared" si="134"/>
        <v>1.5338756435886556</v>
      </c>
      <c r="BF115" s="4504">
        <f t="shared" si="135"/>
        <v>1.5338756435886556</v>
      </c>
      <c r="BG115" s="4504">
        <f t="shared" si="136"/>
        <v>1.5338756435886556</v>
      </c>
      <c r="BH115" s="4504">
        <f t="shared" si="137"/>
        <v>7.6693782179432777</v>
      </c>
      <c r="BI115" s="4504">
        <f t="shared" si="138"/>
        <v>0.77614107565585966</v>
      </c>
      <c r="BJ115" s="4504">
        <f t="shared" si="139"/>
        <v>3.0938476247935656</v>
      </c>
      <c r="BK115" s="4504">
        <f t="shared" si="140"/>
        <v>0</v>
      </c>
      <c r="BL115" s="4504">
        <f t="shared" si="141"/>
        <v>1.5338756435886556</v>
      </c>
      <c r="BM115" s="4504">
        <f t="shared" si="142"/>
        <v>1.5338756435886556</v>
      </c>
      <c r="BN115" s="4504">
        <f t="shared" si="143"/>
        <v>1.5338756435886556</v>
      </c>
      <c r="BO115" s="4504">
        <f t="shared" si="144"/>
        <v>1.5338756435886556</v>
      </c>
      <c r="BP115" s="4504">
        <f t="shared" si="145"/>
        <v>1.5338756435886556</v>
      </c>
      <c r="BQ115" s="4504">
        <f t="shared" si="146"/>
        <v>0</v>
      </c>
      <c r="BR115" s="4504">
        <f t="shared" si="147"/>
        <v>0</v>
      </c>
      <c r="BS115" s="4504">
        <f t="shared" si="148"/>
        <v>0</v>
      </c>
      <c r="BT115" s="4504">
        <f t="shared" si="149"/>
        <v>0</v>
      </c>
      <c r="BU115" s="4504">
        <f t="shared" si="150"/>
        <v>0</v>
      </c>
      <c r="BV115" s="4504">
        <f t="shared" si="151"/>
        <v>0</v>
      </c>
      <c r="BW115" s="4504">
        <f t="shared" si="152"/>
        <v>0</v>
      </c>
      <c r="BX115" s="4504">
        <f t="shared" si="153"/>
        <v>0</v>
      </c>
      <c r="BY115" s="4504">
        <f t="shared" si="154"/>
        <v>0</v>
      </c>
      <c r="BZ115" s="4504">
        <f t="shared" si="155"/>
        <v>0</v>
      </c>
      <c r="CA115" s="4504">
        <f t="shared" si="156"/>
        <v>0</v>
      </c>
      <c r="CB115" s="4504">
        <f t="shared" si="157"/>
        <v>0</v>
      </c>
      <c r="CC115" s="4504">
        <f t="shared" si="158"/>
        <v>0</v>
      </c>
      <c r="CD115" s="4504">
        <f t="shared" si="159"/>
        <v>0</v>
      </c>
      <c r="CE115" s="4504">
        <f t="shared" si="160"/>
        <v>0</v>
      </c>
      <c r="CF115" s="4504">
        <f t="shared" si="161"/>
        <v>0</v>
      </c>
    </row>
    <row r="116" spans="1:84" ht="24">
      <c r="A116" s="2138"/>
      <c r="B116" s="2139">
        <v>215</v>
      </c>
      <c r="C116" s="2128">
        <v>2070117</v>
      </c>
      <c r="D116" s="2149">
        <v>0.2</v>
      </c>
      <c r="E116" s="2141" t="s">
        <v>369</v>
      </c>
      <c r="F116" s="2143">
        <f t="shared" si="166"/>
        <v>0.5</v>
      </c>
      <c r="G116" s="4140">
        <f t="shared" si="167"/>
        <v>0</v>
      </c>
      <c r="H116" s="2142">
        <f t="shared" si="168"/>
        <v>0</v>
      </c>
      <c r="I116" s="2143">
        <f t="shared" si="169"/>
        <v>0</v>
      </c>
      <c r="J116" s="2144">
        <f t="shared" si="170"/>
        <v>0</v>
      </c>
      <c r="K116" s="2144">
        <f t="shared" si="171"/>
        <v>0</v>
      </c>
      <c r="L116" s="2144">
        <f t="shared" si="172"/>
        <v>0</v>
      </c>
      <c r="M116" s="2145">
        <f t="shared" si="173"/>
        <v>0</v>
      </c>
      <c r="N116" s="2146">
        <f t="shared" si="174"/>
        <v>0</v>
      </c>
      <c r="O116" s="1283">
        <v>0.5</v>
      </c>
      <c r="P116" s="1285"/>
      <c r="Q116" s="1284"/>
      <c r="R116" s="1285"/>
      <c r="S116" s="1286"/>
      <c r="T116" s="1286"/>
      <c r="U116" s="1286"/>
      <c r="V116" s="1286"/>
      <c r="W116" s="1283"/>
      <c r="X116" s="1285"/>
      <c r="Y116" s="1284"/>
      <c r="Z116" s="1285"/>
      <c r="AA116" s="1286"/>
      <c r="AB116" s="1286"/>
      <c r="AC116" s="1286"/>
      <c r="AD116" s="1286"/>
      <c r="AE116" s="1283"/>
      <c r="AF116" s="1285"/>
      <c r="AG116" s="1284"/>
      <c r="AH116" s="1285"/>
      <c r="AI116" s="1286"/>
      <c r="AJ116" s="1286"/>
      <c r="AK116" s="1286"/>
      <c r="AL116" s="1287"/>
      <c r="AM116" s="1288"/>
      <c r="AN116" s="1290"/>
      <c r="AO116" s="2154" t="s">
        <v>313</v>
      </c>
      <c r="AP116" s="1285"/>
      <c r="AQ116" s="1285"/>
      <c r="AR116" s="1284"/>
      <c r="AS116" s="1285"/>
      <c r="AT116" s="1286"/>
      <c r="AU116" s="1286"/>
      <c r="AV116" s="1286"/>
      <c r="AW116" s="1284"/>
      <c r="AX116" s="2148" t="s">
        <v>370</v>
      </c>
      <c r="AY116" s="4488"/>
      <c r="AZ116" s="4504">
        <f t="shared" si="129"/>
        <v>0.25564594059810924</v>
      </c>
      <c r="BA116" s="4504">
        <f t="shared" si="130"/>
        <v>0</v>
      </c>
      <c r="BB116" s="4504">
        <f t="shared" si="131"/>
        <v>0</v>
      </c>
      <c r="BC116" s="4504">
        <f t="shared" si="132"/>
        <v>0</v>
      </c>
      <c r="BD116" s="4504">
        <f t="shared" si="133"/>
        <v>0</v>
      </c>
      <c r="BE116" s="4504">
        <f t="shared" si="134"/>
        <v>0</v>
      </c>
      <c r="BF116" s="4504">
        <f t="shared" si="135"/>
        <v>0</v>
      </c>
      <c r="BG116" s="4504">
        <f t="shared" si="136"/>
        <v>0</v>
      </c>
      <c r="BH116" s="4504">
        <f t="shared" si="137"/>
        <v>0</v>
      </c>
      <c r="BI116" s="4504">
        <f t="shared" si="138"/>
        <v>0.25564594059810924</v>
      </c>
      <c r="BJ116" s="4504">
        <f t="shared" si="139"/>
        <v>0</v>
      </c>
      <c r="BK116" s="4504">
        <f t="shared" si="140"/>
        <v>0</v>
      </c>
      <c r="BL116" s="4504">
        <f t="shared" si="141"/>
        <v>0</v>
      </c>
      <c r="BM116" s="4504">
        <f t="shared" si="142"/>
        <v>0</v>
      </c>
      <c r="BN116" s="4504">
        <f t="shared" si="143"/>
        <v>0</v>
      </c>
      <c r="BO116" s="4504">
        <f t="shared" si="144"/>
        <v>0</v>
      </c>
      <c r="BP116" s="4504">
        <f t="shared" si="145"/>
        <v>0</v>
      </c>
      <c r="BQ116" s="4504">
        <f t="shared" si="146"/>
        <v>0</v>
      </c>
      <c r="BR116" s="4504">
        <f t="shared" si="147"/>
        <v>0</v>
      </c>
      <c r="BS116" s="4504">
        <f t="shared" si="148"/>
        <v>0</v>
      </c>
      <c r="BT116" s="4504">
        <f t="shared" si="149"/>
        <v>0</v>
      </c>
      <c r="BU116" s="4504">
        <f t="shared" si="150"/>
        <v>0</v>
      </c>
      <c r="BV116" s="4504">
        <f t="shared" si="151"/>
        <v>0</v>
      </c>
      <c r="BW116" s="4504">
        <f t="shared" si="152"/>
        <v>0</v>
      </c>
      <c r="BX116" s="4504">
        <f t="shared" si="153"/>
        <v>0</v>
      </c>
      <c r="BY116" s="4504">
        <f t="shared" si="154"/>
        <v>0</v>
      </c>
      <c r="BZ116" s="4504">
        <f t="shared" si="155"/>
        <v>0</v>
      </c>
      <c r="CA116" s="4504">
        <f t="shared" si="156"/>
        <v>0</v>
      </c>
      <c r="CB116" s="4504">
        <f t="shared" si="157"/>
        <v>0</v>
      </c>
      <c r="CC116" s="4504">
        <f t="shared" si="158"/>
        <v>0</v>
      </c>
      <c r="CD116" s="4504">
        <f t="shared" si="159"/>
        <v>0</v>
      </c>
      <c r="CE116" s="4504">
        <f t="shared" si="160"/>
        <v>0</v>
      </c>
      <c r="CF116" s="4504">
        <f t="shared" si="161"/>
        <v>0</v>
      </c>
    </row>
    <row r="117" spans="1:84">
      <c r="A117" s="2138"/>
      <c r="B117" s="2139">
        <v>2030503</v>
      </c>
      <c r="C117" s="2139">
        <v>2070118</v>
      </c>
      <c r="D117" s="2140">
        <v>0.1</v>
      </c>
      <c r="E117" s="2141" t="s">
        <v>664</v>
      </c>
      <c r="F117" s="2143">
        <f t="shared" si="166"/>
        <v>0</v>
      </c>
      <c r="G117" s="4140">
        <f t="shared" si="167"/>
        <v>0</v>
      </c>
      <c r="H117" s="2142">
        <f t="shared" si="168"/>
        <v>0</v>
      </c>
      <c r="I117" s="2143">
        <f t="shared" si="169"/>
        <v>0</v>
      </c>
      <c r="J117" s="2144">
        <f t="shared" si="170"/>
        <v>0</v>
      </c>
      <c r="K117" s="2144">
        <f t="shared" si="171"/>
        <v>0</v>
      </c>
      <c r="L117" s="2144">
        <f t="shared" si="172"/>
        <v>0</v>
      </c>
      <c r="M117" s="2145">
        <f t="shared" si="173"/>
        <v>0</v>
      </c>
      <c r="N117" s="2146">
        <f t="shared" si="174"/>
        <v>0</v>
      </c>
      <c r="O117" s="1283"/>
      <c r="P117" s="1285"/>
      <c r="Q117" s="1284"/>
      <c r="R117" s="1285"/>
      <c r="S117" s="1286"/>
      <c r="T117" s="1286"/>
      <c r="U117" s="1286"/>
      <c r="V117" s="1286"/>
      <c r="W117" s="1283"/>
      <c r="X117" s="1285"/>
      <c r="Y117" s="1284"/>
      <c r="Z117" s="1285"/>
      <c r="AA117" s="1286"/>
      <c r="AB117" s="1286"/>
      <c r="AC117" s="1286"/>
      <c r="AD117" s="1286"/>
      <c r="AE117" s="1283"/>
      <c r="AF117" s="1285"/>
      <c r="AG117" s="1284"/>
      <c r="AH117" s="1285"/>
      <c r="AI117" s="1286"/>
      <c r="AJ117" s="1286"/>
      <c r="AK117" s="1286"/>
      <c r="AL117" s="1287"/>
      <c r="AM117" s="1288"/>
      <c r="AN117" s="1289"/>
      <c r="AO117" s="2147" t="s">
        <v>676</v>
      </c>
      <c r="AP117" s="1285"/>
      <c r="AQ117" s="1285"/>
      <c r="AR117" s="1284"/>
      <c r="AS117" s="1285"/>
      <c r="AT117" s="1286"/>
      <c r="AU117" s="1286"/>
      <c r="AV117" s="1286"/>
      <c r="AW117" s="1284"/>
      <c r="AX117" s="2148" t="s">
        <v>371</v>
      </c>
      <c r="AY117" s="4488"/>
      <c r="AZ117" s="4504">
        <f t="shared" si="129"/>
        <v>0</v>
      </c>
      <c r="BA117" s="4504">
        <f t="shared" si="130"/>
        <v>0</v>
      </c>
      <c r="BB117" s="4504">
        <f t="shared" si="131"/>
        <v>0</v>
      </c>
      <c r="BC117" s="4504">
        <f t="shared" si="132"/>
        <v>0</v>
      </c>
      <c r="BD117" s="4504">
        <f t="shared" si="133"/>
        <v>0</v>
      </c>
      <c r="BE117" s="4504">
        <f t="shared" si="134"/>
        <v>0</v>
      </c>
      <c r="BF117" s="4504">
        <f t="shared" si="135"/>
        <v>0</v>
      </c>
      <c r="BG117" s="4504">
        <f t="shared" si="136"/>
        <v>0</v>
      </c>
      <c r="BH117" s="4504">
        <f t="shared" si="137"/>
        <v>0</v>
      </c>
      <c r="BI117" s="4504">
        <f t="shared" si="138"/>
        <v>0</v>
      </c>
      <c r="BJ117" s="4504">
        <f t="shared" si="139"/>
        <v>0</v>
      </c>
      <c r="BK117" s="4504">
        <f t="shared" si="140"/>
        <v>0</v>
      </c>
      <c r="BL117" s="4504">
        <f t="shared" si="141"/>
        <v>0</v>
      </c>
      <c r="BM117" s="4504">
        <f t="shared" si="142"/>
        <v>0</v>
      </c>
      <c r="BN117" s="4504">
        <f t="shared" si="143"/>
        <v>0</v>
      </c>
      <c r="BO117" s="4504">
        <f t="shared" si="144"/>
        <v>0</v>
      </c>
      <c r="BP117" s="4504">
        <f t="shared" si="145"/>
        <v>0</v>
      </c>
      <c r="BQ117" s="4504">
        <f t="shared" si="146"/>
        <v>0</v>
      </c>
      <c r="BR117" s="4504">
        <f t="shared" si="147"/>
        <v>0</v>
      </c>
      <c r="BS117" s="4504">
        <f t="shared" si="148"/>
        <v>0</v>
      </c>
      <c r="BT117" s="4504">
        <f t="shared" si="149"/>
        <v>0</v>
      </c>
      <c r="BU117" s="4504">
        <f t="shared" si="150"/>
        <v>0</v>
      </c>
      <c r="BV117" s="4504">
        <f t="shared" si="151"/>
        <v>0</v>
      </c>
      <c r="BW117" s="4504">
        <f t="shared" si="152"/>
        <v>0</v>
      </c>
      <c r="BX117" s="4504">
        <f t="shared" si="153"/>
        <v>0</v>
      </c>
      <c r="BY117" s="4504">
        <f t="shared" si="154"/>
        <v>0</v>
      </c>
      <c r="BZ117" s="4504">
        <f t="shared" si="155"/>
        <v>0</v>
      </c>
      <c r="CA117" s="4504">
        <f t="shared" si="156"/>
        <v>0</v>
      </c>
      <c r="CB117" s="4504">
        <f t="shared" si="157"/>
        <v>0</v>
      </c>
      <c r="CC117" s="4504">
        <f t="shared" si="158"/>
        <v>0</v>
      </c>
      <c r="CD117" s="4504">
        <f t="shared" si="159"/>
        <v>0</v>
      </c>
      <c r="CE117" s="4504">
        <f t="shared" si="160"/>
        <v>0</v>
      </c>
      <c r="CF117" s="4504">
        <f t="shared" si="161"/>
        <v>0</v>
      </c>
    </row>
    <row r="118" spans="1:84">
      <c r="A118" s="2155"/>
      <c r="B118" s="2139">
        <v>20302</v>
      </c>
      <c r="C118" s="2128">
        <v>2070119</v>
      </c>
      <c r="D118" s="2140">
        <v>0.1</v>
      </c>
      <c r="E118" s="2141" t="s">
        <v>372</v>
      </c>
      <c r="F118" s="2143">
        <f t="shared" si="166"/>
        <v>0</v>
      </c>
      <c r="G118" s="4140">
        <f t="shared" si="167"/>
        <v>0</v>
      </c>
      <c r="H118" s="2142">
        <f t="shared" si="168"/>
        <v>0</v>
      </c>
      <c r="I118" s="2143">
        <f t="shared" si="169"/>
        <v>0</v>
      </c>
      <c r="J118" s="2144">
        <f t="shared" si="170"/>
        <v>0</v>
      </c>
      <c r="K118" s="2144">
        <f t="shared" si="171"/>
        <v>0</v>
      </c>
      <c r="L118" s="2144">
        <f t="shared" si="172"/>
        <v>0</v>
      </c>
      <c r="M118" s="2145">
        <f t="shared" si="173"/>
        <v>0</v>
      </c>
      <c r="N118" s="2146">
        <f t="shared" si="174"/>
        <v>0</v>
      </c>
      <c r="O118" s="1283"/>
      <c r="P118" s="1285"/>
      <c r="Q118" s="1284"/>
      <c r="R118" s="1285"/>
      <c r="S118" s="1286"/>
      <c r="T118" s="1286"/>
      <c r="U118" s="1286"/>
      <c r="V118" s="1286"/>
      <c r="W118" s="1283"/>
      <c r="X118" s="1285"/>
      <c r="Y118" s="1284"/>
      <c r="Z118" s="1285"/>
      <c r="AA118" s="1286"/>
      <c r="AB118" s="1286"/>
      <c r="AC118" s="1286"/>
      <c r="AD118" s="1286"/>
      <c r="AE118" s="1283"/>
      <c r="AF118" s="1285"/>
      <c r="AG118" s="1284"/>
      <c r="AH118" s="1285"/>
      <c r="AI118" s="1286"/>
      <c r="AJ118" s="1286"/>
      <c r="AK118" s="1286"/>
      <c r="AL118" s="1287"/>
      <c r="AM118" s="1288"/>
      <c r="AN118" s="1289"/>
      <c r="AO118" s="2147" t="s">
        <v>676</v>
      </c>
      <c r="AP118" s="1285"/>
      <c r="AQ118" s="1285"/>
      <c r="AR118" s="1284"/>
      <c r="AS118" s="1285"/>
      <c r="AT118" s="1286"/>
      <c r="AU118" s="1286"/>
      <c r="AV118" s="1286"/>
      <c r="AW118" s="1284"/>
      <c r="AX118" s="2148" t="s">
        <v>373</v>
      </c>
      <c r="AY118" s="4488"/>
      <c r="AZ118" s="4504">
        <f t="shared" si="129"/>
        <v>0</v>
      </c>
      <c r="BA118" s="4504">
        <f t="shared" si="130"/>
        <v>0</v>
      </c>
      <c r="BB118" s="4504">
        <f t="shared" si="131"/>
        <v>0</v>
      </c>
      <c r="BC118" s="4504">
        <f t="shared" si="132"/>
        <v>0</v>
      </c>
      <c r="BD118" s="4504">
        <f t="shared" si="133"/>
        <v>0</v>
      </c>
      <c r="BE118" s="4504">
        <f t="shared" si="134"/>
        <v>0</v>
      </c>
      <c r="BF118" s="4504">
        <f t="shared" si="135"/>
        <v>0</v>
      </c>
      <c r="BG118" s="4504">
        <f t="shared" si="136"/>
        <v>0</v>
      </c>
      <c r="BH118" s="4504">
        <f t="shared" si="137"/>
        <v>0</v>
      </c>
      <c r="BI118" s="4504">
        <f t="shared" si="138"/>
        <v>0</v>
      </c>
      <c r="BJ118" s="4504">
        <f t="shared" si="139"/>
        <v>0</v>
      </c>
      <c r="BK118" s="4504">
        <f t="shared" si="140"/>
        <v>0</v>
      </c>
      <c r="BL118" s="4504">
        <f t="shared" si="141"/>
        <v>0</v>
      </c>
      <c r="BM118" s="4504">
        <f t="shared" si="142"/>
        <v>0</v>
      </c>
      <c r="BN118" s="4504">
        <f t="shared" si="143"/>
        <v>0</v>
      </c>
      <c r="BO118" s="4504">
        <f t="shared" si="144"/>
        <v>0</v>
      </c>
      <c r="BP118" s="4504">
        <f t="shared" si="145"/>
        <v>0</v>
      </c>
      <c r="BQ118" s="4504">
        <f t="shared" si="146"/>
        <v>0</v>
      </c>
      <c r="BR118" s="4504">
        <f t="shared" si="147"/>
        <v>0</v>
      </c>
      <c r="BS118" s="4504">
        <f t="shared" si="148"/>
        <v>0</v>
      </c>
      <c r="BT118" s="4504">
        <f t="shared" si="149"/>
        <v>0</v>
      </c>
      <c r="BU118" s="4504">
        <f t="shared" si="150"/>
        <v>0</v>
      </c>
      <c r="BV118" s="4504">
        <f t="shared" si="151"/>
        <v>0</v>
      </c>
      <c r="BW118" s="4504">
        <f t="shared" si="152"/>
        <v>0</v>
      </c>
      <c r="BX118" s="4504">
        <f t="shared" si="153"/>
        <v>0</v>
      </c>
      <c r="BY118" s="4504">
        <f t="shared" si="154"/>
        <v>0</v>
      </c>
      <c r="BZ118" s="4504">
        <f t="shared" si="155"/>
        <v>0</v>
      </c>
      <c r="CA118" s="4504">
        <f t="shared" si="156"/>
        <v>0</v>
      </c>
      <c r="CB118" s="4504">
        <f t="shared" si="157"/>
        <v>0</v>
      </c>
      <c r="CC118" s="4504">
        <f t="shared" si="158"/>
        <v>0</v>
      </c>
      <c r="CD118" s="4504">
        <f t="shared" si="159"/>
        <v>0</v>
      </c>
      <c r="CE118" s="4504">
        <f t="shared" si="160"/>
        <v>0</v>
      </c>
      <c r="CF118" s="4504">
        <f t="shared" si="161"/>
        <v>0</v>
      </c>
    </row>
    <row r="119" spans="1:84" ht="24">
      <c r="A119" s="2155"/>
      <c r="B119" s="2139">
        <v>20502</v>
      </c>
      <c r="C119" s="2139">
        <v>2070120</v>
      </c>
      <c r="D119" s="2140">
        <v>0.1</v>
      </c>
      <c r="E119" s="2141" t="s">
        <v>374</v>
      </c>
      <c r="F119" s="2143">
        <f t="shared" si="166"/>
        <v>0</v>
      </c>
      <c r="G119" s="4140">
        <f t="shared" si="167"/>
        <v>0</v>
      </c>
      <c r="H119" s="2142">
        <f t="shared" si="168"/>
        <v>1</v>
      </c>
      <c r="I119" s="2143">
        <f t="shared" si="169"/>
        <v>0</v>
      </c>
      <c r="J119" s="2144">
        <f t="shared" si="170"/>
        <v>0</v>
      </c>
      <c r="K119" s="2144">
        <f t="shared" si="171"/>
        <v>0</v>
      </c>
      <c r="L119" s="2144">
        <f t="shared" si="172"/>
        <v>0</v>
      </c>
      <c r="M119" s="2145">
        <f t="shared" si="173"/>
        <v>0</v>
      </c>
      <c r="N119" s="2146">
        <f t="shared" si="174"/>
        <v>0</v>
      </c>
      <c r="O119" s="1283"/>
      <c r="P119" s="1285"/>
      <c r="Q119" s="1284">
        <v>1</v>
      </c>
      <c r="R119" s="1285"/>
      <c r="S119" s="1286"/>
      <c r="T119" s="1286"/>
      <c r="U119" s="1286"/>
      <c r="V119" s="1286"/>
      <c r="W119" s="1283"/>
      <c r="X119" s="1285"/>
      <c r="Y119" s="1284"/>
      <c r="Z119" s="1285"/>
      <c r="AA119" s="1286"/>
      <c r="AB119" s="1286"/>
      <c r="AC119" s="1286"/>
      <c r="AD119" s="1286"/>
      <c r="AE119" s="1283"/>
      <c r="AF119" s="1285"/>
      <c r="AG119" s="1284"/>
      <c r="AH119" s="1285"/>
      <c r="AI119" s="1286"/>
      <c r="AJ119" s="1286"/>
      <c r="AK119" s="1286"/>
      <c r="AL119" s="1287"/>
      <c r="AM119" s="1288"/>
      <c r="AN119" s="1290"/>
      <c r="AO119" s="2147" t="s">
        <v>676</v>
      </c>
      <c r="AP119" s="1285"/>
      <c r="AQ119" s="1285"/>
      <c r="AR119" s="1284">
        <v>1</v>
      </c>
      <c r="AS119" s="1285"/>
      <c r="AT119" s="1286"/>
      <c r="AU119" s="1286"/>
      <c r="AV119" s="1286"/>
      <c r="AW119" s="1284"/>
      <c r="AX119" s="2148" t="s">
        <v>375</v>
      </c>
      <c r="AY119" s="4488"/>
      <c r="AZ119" s="4504">
        <f t="shared" si="129"/>
        <v>0</v>
      </c>
      <c r="BA119" s="4504">
        <f t="shared" si="130"/>
        <v>0</v>
      </c>
      <c r="BB119" s="4504">
        <f t="shared" si="131"/>
        <v>0.51129188119621849</v>
      </c>
      <c r="BC119" s="4504">
        <f t="shared" si="132"/>
        <v>0</v>
      </c>
      <c r="BD119" s="4504">
        <f t="shared" si="133"/>
        <v>0</v>
      </c>
      <c r="BE119" s="4504">
        <f t="shared" si="134"/>
        <v>0</v>
      </c>
      <c r="BF119" s="4504">
        <f t="shared" si="135"/>
        <v>0</v>
      </c>
      <c r="BG119" s="4504">
        <f t="shared" si="136"/>
        <v>0</v>
      </c>
      <c r="BH119" s="4504">
        <f t="shared" si="137"/>
        <v>0</v>
      </c>
      <c r="BI119" s="4504">
        <f t="shared" si="138"/>
        <v>0</v>
      </c>
      <c r="BJ119" s="4504">
        <f t="shared" si="139"/>
        <v>0</v>
      </c>
      <c r="BK119" s="4504">
        <f t="shared" si="140"/>
        <v>0.51129188119621849</v>
      </c>
      <c r="BL119" s="4504">
        <f t="shared" si="141"/>
        <v>0</v>
      </c>
      <c r="BM119" s="4504">
        <f t="shared" si="142"/>
        <v>0</v>
      </c>
      <c r="BN119" s="4504">
        <f t="shared" si="143"/>
        <v>0</v>
      </c>
      <c r="BO119" s="4504">
        <f t="shared" si="144"/>
        <v>0</v>
      </c>
      <c r="BP119" s="4504">
        <f t="shared" si="145"/>
        <v>0</v>
      </c>
      <c r="BQ119" s="4504">
        <f t="shared" si="146"/>
        <v>0</v>
      </c>
      <c r="BR119" s="4504">
        <f t="shared" si="147"/>
        <v>0</v>
      </c>
      <c r="BS119" s="4504">
        <f t="shared" si="148"/>
        <v>0</v>
      </c>
      <c r="BT119" s="4504">
        <f t="shared" si="149"/>
        <v>0</v>
      </c>
      <c r="BU119" s="4504">
        <f t="shared" si="150"/>
        <v>0</v>
      </c>
      <c r="BV119" s="4504">
        <f t="shared" si="151"/>
        <v>0</v>
      </c>
      <c r="BW119" s="4504">
        <f t="shared" si="152"/>
        <v>0</v>
      </c>
      <c r="BX119" s="4504">
        <f t="shared" si="153"/>
        <v>0</v>
      </c>
      <c r="BY119" s="4504">
        <f t="shared" si="154"/>
        <v>0</v>
      </c>
      <c r="BZ119" s="4504">
        <f t="shared" si="155"/>
        <v>0</v>
      </c>
      <c r="CA119" s="4504">
        <f t="shared" si="156"/>
        <v>0</v>
      </c>
      <c r="CB119" s="4504">
        <f t="shared" si="157"/>
        <v>0</v>
      </c>
      <c r="CC119" s="4504">
        <f t="shared" si="158"/>
        <v>0</v>
      </c>
      <c r="CD119" s="4504">
        <f t="shared" si="159"/>
        <v>0</v>
      </c>
      <c r="CE119" s="4504">
        <f t="shared" si="160"/>
        <v>0</v>
      </c>
      <c r="CF119" s="4504">
        <f t="shared" si="161"/>
        <v>0</v>
      </c>
    </row>
    <row r="120" spans="1:84" ht="24">
      <c r="A120" s="2155"/>
      <c r="B120" s="2139">
        <v>20501</v>
      </c>
      <c r="C120" s="2128">
        <v>2070121</v>
      </c>
      <c r="D120" s="2140">
        <v>0.08</v>
      </c>
      <c r="E120" s="2141" t="s">
        <v>376</v>
      </c>
      <c r="F120" s="2143">
        <f t="shared" si="166"/>
        <v>0</v>
      </c>
      <c r="G120" s="4140">
        <f t="shared" si="167"/>
        <v>0</v>
      </c>
      <c r="H120" s="2142">
        <f t="shared" si="168"/>
        <v>2</v>
      </c>
      <c r="I120" s="2143">
        <f t="shared" si="169"/>
        <v>0</v>
      </c>
      <c r="J120" s="2144">
        <f t="shared" si="170"/>
        <v>0</v>
      </c>
      <c r="K120" s="2144">
        <f t="shared" si="171"/>
        <v>0</v>
      </c>
      <c r="L120" s="2144">
        <f t="shared" si="172"/>
        <v>0</v>
      </c>
      <c r="M120" s="2145">
        <f t="shared" si="173"/>
        <v>0</v>
      </c>
      <c r="N120" s="2146">
        <f t="shared" si="174"/>
        <v>0</v>
      </c>
      <c r="O120" s="1283"/>
      <c r="P120" s="1285"/>
      <c r="Q120" s="1284">
        <v>2</v>
      </c>
      <c r="R120" s="1285"/>
      <c r="S120" s="1286"/>
      <c r="T120" s="1286"/>
      <c r="U120" s="1286"/>
      <c r="V120" s="1286"/>
      <c r="W120" s="1283"/>
      <c r="X120" s="1285"/>
      <c r="Y120" s="1284"/>
      <c r="Z120" s="1285"/>
      <c r="AA120" s="1286"/>
      <c r="AB120" s="1286"/>
      <c r="AC120" s="1286"/>
      <c r="AD120" s="1286"/>
      <c r="AE120" s="1283"/>
      <c r="AF120" s="1285"/>
      <c r="AG120" s="1284"/>
      <c r="AH120" s="1285"/>
      <c r="AI120" s="1286"/>
      <c r="AJ120" s="1286"/>
      <c r="AK120" s="1286"/>
      <c r="AL120" s="1287"/>
      <c r="AM120" s="1288"/>
      <c r="AN120" s="1290"/>
      <c r="AO120" s="2147" t="s">
        <v>676</v>
      </c>
      <c r="AP120" s="1285"/>
      <c r="AQ120" s="1285"/>
      <c r="AR120" s="1284">
        <v>2</v>
      </c>
      <c r="AS120" s="1285"/>
      <c r="AT120" s="1286"/>
      <c r="AU120" s="1286"/>
      <c r="AV120" s="1286"/>
      <c r="AW120" s="1284"/>
      <c r="AX120" s="2148" t="s">
        <v>375</v>
      </c>
      <c r="AY120" s="4488"/>
      <c r="AZ120" s="4504">
        <f t="shared" si="129"/>
        <v>0</v>
      </c>
      <c r="BA120" s="4504">
        <f t="shared" si="130"/>
        <v>0</v>
      </c>
      <c r="BB120" s="4504">
        <f t="shared" si="131"/>
        <v>1.022583762392437</v>
      </c>
      <c r="BC120" s="4504">
        <f t="shared" si="132"/>
        <v>0</v>
      </c>
      <c r="BD120" s="4504">
        <f t="shared" si="133"/>
        <v>0</v>
      </c>
      <c r="BE120" s="4504">
        <f t="shared" si="134"/>
        <v>0</v>
      </c>
      <c r="BF120" s="4504">
        <f t="shared" si="135"/>
        <v>0</v>
      </c>
      <c r="BG120" s="4504">
        <f t="shared" si="136"/>
        <v>0</v>
      </c>
      <c r="BH120" s="4504">
        <f t="shared" si="137"/>
        <v>0</v>
      </c>
      <c r="BI120" s="4504">
        <f t="shared" si="138"/>
        <v>0</v>
      </c>
      <c r="BJ120" s="4504">
        <f t="shared" si="139"/>
        <v>0</v>
      </c>
      <c r="BK120" s="4504">
        <f t="shared" si="140"/>
        <v>1.022583762392437</v>
      </c>
      <c r="BL120" s="4504">
        <f t="shared" si="141"/>
        <v>0</v>
      </c>
      <c r="BM120" s="4504">
        <f t="shared" si="142"/>
        <v>0</v>
      </c>
      <c r="BN120" s="4504">
        <f t="shared" si="143"/>
        <v>0</v>
      </c>
      <c r="BO120" s="4504">
        <f t="shared" si="144"/>
        <v>0</v>
      </c>
      <c r="BP120" s="4504">
        <f t="shared" si="145"/>
        <v>0</v>
      </c>
      <c r="BQ120" s="4504">
        <f t="shared" si="146"/>
        <v>0</v>
      </c>
      <c r="BR120" s="4504">
        <f t="shared" si="147"/>
        <v>0</v>
      </c>
      <c r="BS120" s="4504">
        <f t="shared" si="148"/>
        <v>0</v>
      </c>
      <c r="BT120" s="4504">
        <f t="shared" si="149"/>
        <v>0</v>
      </c>
      <c r="BU120" s="4504">
        <f t="shared" si="150"/>
        <v>0</v>
      </c>
      <c r="BV120" s="4504">
        <f t="shared" si="151"/>
        <v>0</v>
      </c>
      <c r="BW120" s="4504">
        <f t="shared" si="152"/>
        <v>0</v>
      </c>
      <c r="BX120" s="4504">
        <f t="shared" si="153"/>
        <v>0</v>
      </c>
      <c r="BY120" s="4504">
        <f t="shared" si="154"/>
        <v>0</v>
      </c>
      <c r="BZ120" s="4504">
        <f t="shared" si="155"/>
        <v>0</v>
      </c>
      <c r="CA120" s="4504">
        <f t="shared" si="156"/>
        <v>0</v>
      </c>
      <c r="CB120" s="4504">
        <f t="shared" si="157"/>
        <v>0</v>
      </c>
      <c r="CC120" s="4504">
        <f t="shared" si="158"/>
        <v>0</v>
      </c>
      <c r="CD120" s="4504">
        <f t="shared" si="159"/>
        <v>0</v>
      </c>
      <c r="CE120" s="4504">
        <f t="shared" si="160"/>
        <v>0</v>
      </c>
      <c r="CF120" s="4504">
        <f t="shared" si="161"/>
        <v>0</v>
      </c>
    </row>
    <row r="121" spans="1:84">
      <c r="A121" s="2155"/>
      <c r="B121" s="2139">
        <v>20503</v>
      </c>
      <c r="C121" s="2139">
        <v>2070122</v>
      </c>
      <c r="D121" s="2140">
        <v>0.1</v>
      </c>
      <c r="E121" s="2150" t="s">
        <v>674</v>
      </c>
      <c r="F121" s="2143">
        <f t="shared" si="166"/>
        <v>1.1000000000000001</v>
      </c>
      <c r="G121" s="4140">
        <f t="shared" si="167"/>
        <v>0</v>
      </c>
      <c r="H121" s="2142">
        <f t="shared" si="168"/>
        <v>0</v>
      </c>
      <c r="I121" s="2143">
        <f t="shared" si="169"/>
        <v>2</v>
      </c>
      <c r="J121" s="2144">
        <f t="shared" si="170"/>
        <v>2</v>
      </c>
      <c r="K121" s="2144">
        <f t="shared" si="171"/>
        <v>2</v>
      </c>
      <c r="L121" s="2144">
        <f t="shared" si="172"/>
        <v>2</v>
      </c>
      <c r="M121" s="2145">
        <f t="shared" si="173"/>
        <v>2</v>
      </c>
      <c r="N121" s="2146">
        <f t="shared" si="174"/>
        <v>10</v>
      </c>
      <c r="O121" s="1283">
        <v>1.1000000000000001</v>
      </c>
      <c r="P121" s="1285"/>
      <c r="Q121" s="1284"/>
      <c r="R121" s="1285">
        <v>2</v>
      </c>
      <c r="S121" s="1286">
        <v>2</v>
      </c>
      <c r="T121" s="1286">
        <v>2</v>
      </c>
      <c r="U121" s="1286">
        <v>2</v>
      </c>
      <c r="V121" s="1286">
        <v>2</v>
      </c>
      <c r="W121" s="1283"/>
      <c r="X121" s="1285"/>
      <c r="Y121" s="1284"/>
      <c r="Z121" s="1285"/>
      <c r="AA121" s="1286"/>
      <c r="AB121" s="1286"/>
      <c r="AC121" s="1286"/>
      <c r="AD121" s="1286"/>
      <c r="AE121" s="1283"/>
      <c r="AF121" s="1285"/>
      <c r="AG121" s="1284"/>
      <c r="AH121" s="1285"/>
      <c r="AI121" s="1286"/>
      <c r="AJ121" s="1286"/>
      <c r="AK121" s="1286"/>
      <c r="AL121" s="1287"/>
      <c r="AM121" s="1288"/>
      <c r="AN121" s="1289"/>
      <c r="AO121" s="2147" t="s">
        <v>676</v>
      </c>
      <c r="AP121" s="1285">
        <v>1</v>
      </c>
      <c r="AQ121" s="1285"/>
      <c r="AR121" s="1284"/>
      <c r="AS121" s="1285">
        <v>1</v>
      </c>
      <c r="AT121" s="1286">
        <v>1</v>
      </c>
      <c r="AU121" s="1286">
        <v>1</v>
      </c>
      <c r="AV121" s="1286">
        <v>1</v>
      </c>
      <c r="AW121" s="1284">
        <v>1</v>
      </c>
      <c r="AX121" s="2148" t="s">
        <v>375</v>
      </c>
      <c r="AY121" s="4488"/>
      <c r="AZ121" s="4504">
        <f t="shared" si="129"/>
        <v>0.56242106931584035</v>
      </c>
      <c r="BA121" s="4504">
        <f t="shared" si="130"/>
        <v>0</v>
      </c>
      <c r="BB121" s="4504">
        <f t="shared" si="131"/>
        <v>0</v>
      </c>
      <c r="BC121" s="4504">
        <f t="shared" si="132"/>
        <v>1.022583762392437</v>
      </c>
      <c r="BD121" s="4504">
        <f t="shared" si="133"/>
        <v>1.022583762392437</v>
      </c>
      <c r="BE121" s="4504">
        <f t="shared" si="134"/>
        <v>1.022583762392437</v>
      </c>
      <c r="BF121" s="4504">
        <f t="shared" si="135"/>
        <v>1.022583762392437</v>
      </c>
      <c r="BG121" s="4504">
        <f t="shared" si="136"/>
        <v>1.022583762392437</v>
      </c>
      <c r="BH121" s="4504">
        <f t="shared" si="137"/>
        <v>5.1129188119621851</v>
      </c>
      <c r="BI121" s="4504">
        <f t="shared" si="138"/>
        <v>0.56242106931584035</v>
      </c>
      <c r="BJ121" s="4504">
        <f t="shared" si="139"/>
        <v>0</v>
      </c>
      <c r="BK121" s="4504">
        <f t="shared" si="140"/>
        <v>0</v>
      </c>
      <c r="BL121" s="4504">
        <f t="shared" si="141"/>
        <v>1.022583762392437</v>
      </c>
      <c r="BM121" s="4504">
        <f t="shared" si="142"/>
        <v>1.022583762392437</v>
      </c>
      <c r="BN121" s="4504">
        <f t="shared" si="143"/>
        <v>1.022583762392437</v>
      </c>
      <c r="BO121" s="4504">
        <f t="shared" si="144"/>
        <v>1.022583762392437</v>
      </c>
      <c r="BP121" s="4504">
        <f t="shared" si="145"/>
        <v>1.022583762392437</v>
      </c>
      <c r="BQ121" s="4504">
        <f t="shared" si="146"/>
        <v>0</v>
      </c>
      <c r="BR121" s="4504">
        <f t="shared" si="147"/>
        <v>0</v>
      </c>
      <c r="BS121" s="4504">
        <f t="shared" si="148"/>
        <v>0</v>
      </c>
      <c r="BT121" s="4504">
        <f t="shared" si="149"/>
        <v>0</v>
      </c>
      <c r="BU121" s="4504">
        <f t="shared" si="150"/>
        <v>0</v>
      </c>
      <c r="BV121" s="4504">
        <f t="shared" si="151"/>
        <v>0</v>
      </c>
      <c r="BW121" s="4504">
        <f t="shared" si="152"/>
        <v>0</v>
      </c>
      <c r="BX121" s="4504">
        <f t="shared" si="153"/>
        <v>0</v>
      </c>
      <c r="BY121" s="4504">
        <f t="shared" si="154"/>
        <v>0</v>
      </c>
      <c r="BZ121" s="4504">
        <f t="shared" si="155"/>
        <v>0</v>
      </c>
      <c r="CA121" s="4504">
        <f t="shared" si="156"/>
        <v>0</v>
      </c>
      <c r="CB121" s="4504">
        <f t="shared" si="157"/>
        <v>0</v>
      </c>
      <c r="CC121" s="4504">
        <f t="shared" si="158"/>
        <v>0</v>
      </c>
      <c r="CD121" s="4504">
        <f t="shared" si="159"/>
        <v>0</v>
      </c>
      <c r="CE121" s="4504">
        <f t="shared" si="160"/>
        <v>0</v>
      </c>
      <c r="CF121" s="4504">
        <f t="shared" si="161"/>
        <v>0</v>
      </c>
    </row>
    <row r="122" spans="1:84" ht="24">
      <c r="A122" s="2155"/>
      <c r="B122" s="2139">
        <v>20303</v>
      </c>
      <c r="C122" s="2128">
        <v>2070123</v>
      </c>
      <c r="D122" s="2140">
        <v>0.1</v>
      </c>
      <c r="E122" s="2141" t="s">
        <v>377</v>
      </c>
      <c r="F122" s="2143">
        <f t="shared" si="166"/>
        <v>0</v>
      </c>
      <c r="G122" s="4140">
        <f t="shared" si="167"/>
        <v>223.02131</v>
      </c>
      <c r="H122" s="2142">
        <f t="shared" si="168"/>
        <v>5</v>
      </c>
      <c r="I122" s="2143">
        <f t="shared" si="169"/>
        <v>4</v>
      </c>
      <c r="J122" s="2144">
        <f t="shared" si="170"/>
        <v>4</v>
      </c>
      <c r="K122" s="2144">
        <f t="shared" si="171"/>
        <v>4</v>
      </c>
      <c r="L122" s="2144">
        <f t="shared" si="172"/>
        <v>4</v>
      </c>
      <c r="M122" s="2145">
        <f t="shared" si="173"/>
        <v>4</v>
      </c>
      <c r="N122" s="2146">
        <f t="shared" si="174"/>
        <v>20</v>
      </c>
      <c r="O122" s="1283"/>
      <c r="P122" s="1285">
        <v>223.02131</v>
      </c>
      <c r="Q122" s="1284">
        <v>5</v>
      </c>
      <c r="R122" s="1285">
        <v>4</v>
      </c>
      <c r="S122" s="1286">
        <v>4</v>
      </c>
      <c r="T122" s="1286">
        <v>4</v>
      </c>
      <c r="U122" s="1286">
        <v>4</v>
      </c>
      <c r="V122" s="1286">
        <v>4</v>
      </c>
      <c r="W122" s="1283"/>
      <c r="X122" s="1285"/>
      <c r="Y122" s="1284"/>
      <c r="Z122" s="1285"/>
      <c r="AA122" s="1286"/>
      <c r="AB122" s="1286"/>
      <c r="AC122" s="1286"/>
      <c r="AD122" s="1286"/>
      <c r="AE122" s="1283"/>
      <c r="AF122" s="1285"/>
      <c r="AG122" s="1284"/>
      <c r="AH122" s="1285"/>
      <c r="AI122" s="1286"/>
      <c r="AJ122" s="1286"/>
      <c r="AK122" s="1286"/>
      <c r="AL122" s="1287"/>
      <c r="AM122" s="1288"/>
      <c r="AN122" s="1289"/>
      <c r="AO122" s="2147" t="s">
        <v>676</v>
      </c>
      <c r="AP122" s="1285"/>
      <c r="AQ122" s="1285">
        <v>3</v>
      </c>
      <c r="AR122" s="1284">
        <v>2</v>
      </c>
      <c r="AS122" s="1285">
        <v>1</v>
      </c>
      <c r="AT122" s="1286">
        <v>1</v>
      </c>
      <c r="AU122" s="1286">
        <v>1</v>
      </c>
      <c r="AV122" s="1286">
        <v>1</v>
      </c>
      <c r="AW122" s="1284">
        <v>1</v>
      </c>
      <c r="AX122" s="2148" t="s">
        <v>375</v>
      </c>
      <c r="AY122" s="4488"/>
      <c r="AZ122" s="4504">
        <f t="shared" si="129"/>
        <v>0</v>
      </c>
      <c r="BA122" s="4504">
        <f t="shared" si="130"/>
        <v>114.02898513674502</v>
      </c>
      <c r="BB122" s="4504">
        <f t="shared" si="131"/>
        <v>2.5564594059810926</v>
      </c>
      <c r="BC122" s="4504">
        <f t="shared" si="132"/>
        <v>2.045167524784874</v>
      </c>
      <c r="BD122" s="4504">
        <f t="shared" si="133"/>
        <v>2.045167524784874</v>
      </c>
      <c r="BE122" s="4504">
        <f t="shared" si="134"/>
        <v>2.045167524784874</v>
      </c>
      <c r="BF122" s="4504">
        <f t="shared" si="135"/>
        <v>2.045167524784874</v>
      </c>
      <c r="BG122" s="4504">
        <f t="shared" si="136"/>
        <v>2.045167524784874</v>
      </c>
      <c r="BH122" s="4504">
        <f t="shared" si="137"/>
        <v>10.22583762392437</v>
      </c>
      <c r="BI122" s="4504">
        <f t="shared" si="138"/>
        <v>0</v>
      </c>
      <c r="BJ122" s="4504">
        <f t="shared" si="139"/>
        <v>114.02898513674502</v>
      </c>
      <c r="BK122" s="4504">
        <f t="shared" si="140"/>
        <v>2.5564594059810926</v>
      </c>
      <c r="BL122" s="4504">
        <f t="shared" si="141"/>
        <v>2.045167524784874</v>
      </c>
      <c r="BM122" s="4504">
        <f t="shared" si="142"/>
        <v>2.045167524784874</v>
      </c>
      <c r="BN122" s="4504">
        <f t="shared" si="143"/>
        <v>2.045167524784874</v>
      </c>
      <c r="BO122" s="4504">
        <f t="shared" si="144"/>
        <v>2.045167524784874</v>
      </c>
      <c r="BP122" s="4504">
        <f t="shared" si="145"/>
        <v>2.045167524784874</v>
      </c>
      <c r="BQ122" s="4504">
        <f t="shared" si="146"/>
        <v>0</v>
      </c>
      <c r="BR122" s="4504">
        <f t="shared" si="147"/>
        <v>0</v>
      </c>
      <c r="BS122" s="4504">
        <f t="shared" si="148"/>
        <v>0</v>
      </c>
      <c r="BT122" s="4504">
        <f t="shared" si="149"/>
        <v>0</v>
      </c>
      <c r="BU122" s="4504">
        <f t="shared" si="150"/>
        <v>0</v>
      </c>
      <c r="BV122" s="4504">
        <f t="shared" si="151"/>
        <v>0</v>
      </c>
      <c r="BW122" s="4504">
        <f t="shared" si="152"/>
        <v>0</v>
      </c>
      <c r="BX122" s="4504">
        <f t="shared" si="153"/>
        <v>0</v>
      </c>
      <c r="BY122" s="4504">
        <f t="shared" si="154"/>
        <v>0</v>
      </c>
      <c r="BZ122" s="4504">
        <f t="shared" si="155"/>
        <v>0</v>
      </c>
      <c r="CA122" s="4504">
        <f t="shared" si="156"/>
        <v>0</v>
      </c>
      <c r="CB122" s="4504">
        <f t="shared" si="157"/>
        <v>0</v>
      </c>
      <c r="CC122" s="4504">
        <f t="shared" si="158"/>
        <v>0</v>
      </c>
      <c r="CD122" s="4504">
        <f t="shared" si="159"/>
        <v>0</v>
      </c>
      <c r="CE122" s="4504">
        <f t="shared" si="160"/>
        <v>0</v>
      </c>
      <c r="CF122" s="4504">
        <f t="shared" si="161"/>
        <v>0</v>
      </c>
    </row>
    <row r="123" spans="1:84" ht="24.6" thickBot="1">
      <c r="A123" s="2156"/>
      <c r="B123" s="2157">
        <v>20306</v>
      </c>
      <c r="C123" s="2139">
        <v>2070124</v>
      </c>
      <c r="D123" s="2158">
        <v>0.1</v>
      </c>
      <c r="E123" s="2159" t="s">
        <v>712</v>
      </c>
      <c r="F123" s="2143">
        <f t="shared" si="166"/>
        <v>0</v>
      </c>
      <c r="G123" s="4140">
        <f t="shared" si="167"/>
        <v>0</v>
      </c>
      <c r="H123" s="2142">
        <f t="shared" si="168"/>
        <v>2</v>
      </c>
      <c r="I123" s="2143">
        <f t="shared" si="169"/>
        <v>0</v>
      </c>
      <c r="J123" s="2144">
        <f t="shared" si="170"/>
        <v>0</v>
      </c>
      <c r="K123" s="2144">
        <f t="shared" si="171"/>
        <v>0</v>
      </c>
      <c r="L123" s="2144">
        <f t="shared" si="172"/>
        <v>0</v>
      </c>
      <c r="M123" s="2145">
        <f t="shared" si="173"/>
        <v>0</v>
      </c>
      <c r="N123" s="2160">
        <f>SUM(I123:M123)</f>
        <v>0</v>
      </c>
      <c r="O123" s="1291"/>
      <c r="P123" s="1293"/>
      <c r="Q123" s="1292">
        <v>2</v>
      </c>
      <c r="R123" s="1293"/>
      <c r="S123" s="1294"/>
      <c r="T123" s="1294"/>
      <c r="U123" s="1294"/>
      <c r="V123" s="1294"/>
      <c r="W123" s="1291"/>
      <c r="X123" s="1293"/>
      <c r="Y123" s="1292"/>
      <c r="Z123" s="1293"/>
      <c r="AA123" s="1294"/>
      <c r="AB123" s="1294"/>
      <c r="AC123" s="1294"/>
      <c r="AD123" s="1294"/>
      <c r="AE123" s="1291"/>
      <c r="AF123" s="1293"/>
      <c r="AG123" s="1292"/>
      <c r="AH123" s="1293"/>
      <c r="AI123" s="1294"/>
      <c r="AJ123" s="1294"/>
      <c r="AK123" s="1294"/>
      <c r="AL123" s="1295"/>
      <c r="AM123" s="1296"/>
      <c r="AN123" s="1297"/>
      <c r="AO123" s="2161" t="s">
        <v>676</v>
      </c>
      <c r="AP123" s="1293"/>
      <c r="AQ123" s="1293"/>
      <c r="AR123" s="1292"/>
      <c r="AS123" s="1293"/>
      <c r="AT123" s="1294"/>
      <c r="AU123" s="1294"/>
      <c r="AV123" s="1294"/>
      <c r="AW123" s="1292"/>
      <c r="AX123" s="2162" t="s">
        <v>666</v>
      </c>
      <c r="AY123" s="4488"/>
      <c r="AZ123" s="4504">
        <f t="shared" si="129"/>
        <v>0</v>
      </c>
      <c r="BA123" s="4504">
        <f t="shared" si="130"/>
        <v>0</v>
      </c>
      <c r="BB123" s="4504">
        <f t="shared" si="131"/>
        <v>1.022583762392437</v>
      </c>
      <c r="BC123" s="4504">
        <f t="shared" si="132"/>
        <v>0</v>
      </c>
      <c r="BD123" s="4504">
        <f t="shared" si="133"/>
        <v>0</v>
      </c>
      <c r="BE123" s="4504">
        <f t="shared" si="134"/>
        <v>0</v>
      </c>
      <c r="BF123" s="4504">
        <f t="shared" si="135"/>
        <v>0</v>
      </c>
      <c r="BG123" s="4504">
        <f t="shared" si="136"/>
        <v>0</v>
      </c>
      <c r="BH123" s="4504">
        <f t="shared" si="137"/>
        <v>0</v>
      </c>
      <c r="BI123" s="4504">
        <f t="shared" si="138"/>
        <v>0</v>
      </c>
      <c r="BJ123" s="4504">
        <f t="shared" si="139"/>
        <v>0</v>
      </c>
      <c r="BK123" s="4504">
        <f t="shared" si="140"/>
        <v>1.022583762392437</v>
      </c>
      <c r="BL123" s="4504">
        <f t="shared" si="141"/>
        <v>0</v>
      </c>
      <c r="BM123" s="4504">
        <f t="shared" si="142"/>
        <v>0</v>
      </c>
      <c r="BN123" s="4504">
        <f t="shared" si="143"/>
        <v>0</v>
      </c>
      <c r="BO123" s="4504">
        <f t="shared" si="144"/>
        <v>0</v>
      </c>
      <c r="BP123" s="4504">
        <f t="shared" si="145"/>
        <v>0</v>
      </c>
      <c r="BQ123" s="4504">
        <f t="shared" si="146"/>
        <v>0</v>
      </c>
      <c r="BR123" s="4504">
        <f t="shared" si="147"/>
        <v>0</v>
      </c>
      <c r="BS123" s="4504">
        <f t="shared" si="148"/>
        <v>0</v>
      </c>
      <c r="BT123" s="4504">
        <f t="shared" si="149"/>
        <v>0</v>
      </c>
      <c r="BU123" s="4504">
        <f t="shared" si="150"/>
        <v>0</v>
      </c>
      <c r="BV123" s="4504">
        <f t="shared" si="151"/>
        <v>0</v>
      </c>
      <c r="BW123" s="4504">
        <f t="shared" si="152"/>
        <v>0</v>
      </c>
      <c r="BX123" s="4504">
        <f t="shared" si="153"/>
        <v>0</v>
      </c>
      <c r="BY123" s="4504">
        <f t="shared" si="154"/>
        <v>0</v>
      </c>
      <c r="BZ123" s="4504">
        <f t="shared" si="155"/>
        <v>0</v>
      </c>
      <c r="CA123" s="4504">
        <f t="shared" si="156"/>
        <v>0</v>
      </c>
      <c r="CB123" s="4504">
        <f t="shared" si="157"/>
        <v>0</v>
      </c>
      <c r="CC123" s="4504">
        <f t="shared" si="158"/>
        <v>0</v>
      </c>
      <c r="CD123" s="4504">
        <f t="shared" si="159"/>
        <v>0</v>
      </c>
      <c r="CE123" s="4504">
        <f t="shared" si="160"/>
        <v>0</v>
      </c>
      <c r="CF123" s="4504">
        <f t="shared" si="161"/>
        <v>0</v>
      </c>
    </row>
    <row r="124" spans="1:84" s="1275" customFormat="1" ht="22.8">
      <c r="A124" s="2224">
        <v>1</v>
      </c>
      <c r="B124" s="2224"/>
      <c r="C124" s="2224"/>
      <c r="D124" s="2225"/>
      <c r="E124" s="2226" t="s">
        <v>1234</v>
      </c>
      <c r="F124" s="2227">
        <f>F60+F57+F48+F36+F11+F73+F99</f>
        <v>1066.8429899999999</v>
      </c>
      <c r="G124" s="4144">
        <f>G60+G57+G48+G36+G11+G73+G99</f>
        <v>2297.2421570000001</v>
      </c>
      <c r="H124" s="2228">
        <f t="shared" ref="H124:M124" si="175">H60+H57+H48+H36+H11+H73+H99</f>
        <v>999.25</v>
      </c>
      <c r="I124" s="2229">
        <f t="shared" si="175"/>
        <v>1106</v>
      </c>
      <c r="J124" s="2230">
        <f t="shared" si="175"/>
        <v>950</v>
      </c>
      <c r="K124" s="2230">
        <f t="shared" si="175"/>
        <v>995</v>
      </c>
      <c r="L124" s="2230">
        <f t="shared" si="175"/>
        <v>1025</v>
      </c>
      <c r="M124" s="2231">
        <f t="shared" si="175"/>
        <v>1000</v>
      </c>
      <c r="N124" s="2232">
        <f>SUM(I124:M124)</f>
        <v>5076</v>
      </c>
      <c r="O124" s="2233">
        <f t="shared" ref="O124" si="176">O60+O57+O48+O36+O11+O73+O99</f>
        <v>1066.8429899999999</v>
      </c>
      <c r="P124" s="4151">
        <f t="shared" ref="P124:AL124" si="177">P60+P57+P48+P36+P11+P73+P99</f>
        <v>2297.2421570000001</v>
      </c>
      <c r="Q124" s="2234">
        <f t="shared" si="177"/>
        <v>999.25</v>
      </c>
      <c r="R124" s="2235">
        <f t="shared" si="177"/>
        <v>1106</v>
      </c>
      <c r="S124" s="2236">
        <f t="shared" si="177"/>
        <v>950</v>
      </c>
      <c r="T124" s="2236">
        <f t="shared" si="177"/>
        <v>995</v>
      </c>
      <c r="U124" s="2236">
        <f t="shared" si="177"/>
        <v>1025</v>
      </c>
      <c r="V124" s="2237">
        <f t="shared" si="177"/>
        <v>1000</v>
      </c>
      <c r="W124" s="2233">
        <f t="shared" ref="W124" si="178">W60+W57+W48+W36+W11+W73+W99</f>
        <v>0</v>
      </c>
      <c r="X124" s="4151">
        <f t="shared" si="177"/>
        <v>0</v>
      </c>
      <c r="Y124" s="2234">
        <f t="shared" si="177"/>
        <v>0</v>
      </c>
      <c r="Z124" s="2235">
        <f t="shared" si="177"/>
        <v>0</v>
      </c>
      <c r="AA124" s="2236">
        <f t="shared" si="177"/>
        <v>0</v>
      </c>
      <c r="AB124" s="2236">
        <f t="shared" si="177"/>
        <v>0</v>
      </c>
      <c r="AC124" s="2236">
        <f t="shared" si="177"/>
        <v>0</v>
      </c>
      <c r="AD124" s="2238">
        <f t="shared" si="177"/>
        <v>0</v>
      </c>
      <c r="AE124" s="2233">
        <f t="shared" ref="AE124" si="179">AE60+AE57+AE48+AE36+AE11+AE73+AE99</f>
        <v>0</v>
      </c>
      <c r="AF124" s="4151">
        <f t="shared" si="177"/>
        <v>0</v>
      </c>
      <c r="AG124" s="2234">
        <f t="shared" si="177"/>
        <v>0</v>
      </c>
      <c r="AH124" s="2235">
        <f t="shared" si="177"/>
        <v>0</v>
      </c>
      <c r="AI124" s="2236">
        <f t="shared" si="177"/>
        <v>0</v>
      </c>
      <c r="AJ124" s="2236">
        <f t="shared" si="177"/>
        <v>0</v>
      </c>
      <c r="AK124" s="2236">
        <f t="shared" si="177"/>
        <v>0</v>
      </c>
      <c r="AL124" s="2237">
        <f t="shared" si="177"/>
        <v>0</v>
      </c>
      <c r="AM124" s="2239"/>
      <c r="AN124" s="2240"/>
      <c r="AO124" s="2239"/>
      <c r="AP124" s="2239"/>
      <c r="AQ124" s="2239"/>
      <c r="AR124" s="2239"/>
      <c r="AS124" s="2239"/>
      <c r="AT124" s="2239"/>
      <c r="AU124" s="2239"/>
      <c r="AV124" s="2239"/>
      <c r="AW124" s="2240"/>
      <c r="AX124" s="2241"/>
      <c r="AY124" s="4488"/>
      <c r="AZ124" s="4504">
        <f t="shared" si="129"/>
        <v>545.4681592980985</v>
      </c>
      <c r="BA124" s="4504">
        <f t="shared" si="130"/>
        <v>1174.5612640157888</v>
      </c>
      <c r="BB124" s="4504">
        <f t="shared" si="131"/>
        <v>510.90841228532133</v>
      </c>
      <c r="BC124" s="4504">
        <f t="shared" si="132"/>
        <v>565.48882060301764</v>
      </c>
      <c r="BD124" s="4504">
        <f t="shared" si="133"/>
        <v>485.7272871364076</v>
      </c>
      <c r="BE124" s="4504">
        <f t="shared" si="134"/>
        <v>508.73542179023741</v>
      </c>
      <c r="BF124" s="4504">
        <f t="shared" si="135"/>
        <v>524.07417822612399</v>
      </c>
      <c r="BG124" s="4504">
        <f t="shared" si="136"/>
        <v>511.29188119621847</v>
      </c>
      <c r="BH124" s="4504">
        <f t="shared" si="137"/>
        <v>2595.3175889520053</v>
      </c>
      <c r="BI124" s="4504">
        <f t="shared" si="138"/>
        <v>545.4681592980985</v>
      </c>
      <c r="BJ124" s="4504">
        <f t="shared" si="139"/>
        <v>1174.5612640157888</v>
      </c>
      <c r="BK124" s="4504">
        <f t="shared" si="140"/>
        <v>510.90841228532133</v>
      </c>
      <c r="BL124" s="4504">
        <f t="shared" si="141"/>
        <v>565.48882060301764</v>
      </c>
      <c r="BM124" s="4504">
        <f t="shared" si="142"/>
        <v>485.7272871364076</v>
      </c>
      <c r="BN124" s="4504">
        <f t="shared" si="143"/>
        <v>508.73542179023741</v>
      </c>
      <c r="BO124" s="4504">
        <f t="shared" si="144"/>
        <v>524.07417822612399</v>
      </c>
      <c r="BP124" s="4504">
        <f t="shared" si="145"/>
        <v>511.29188119621847</v>
      </c>
      <c r="BQ124" s="4504">
        <f t="shared" si="146"/>
        <v>0</v>
      </c>
      <c r="BR124" s="4504">
        <f t="shared" si="147"/>
        <v>0</v>
      </c>
      <c r="BS124" s="4504">
        <f t="shared" si="148"/>
        <v>0</v>
      </c>
      <c r="BT124" s="4504">
        <f t="shared" si="149"/>
        <v>0</v>
      </c>
      <c r="BU124" s="4504">
        <f t="shared" si="150"/>
        <v>0</v>
      </c>
      <c r="BV124" s="4504">
        <f t="shared" si="151"/>
        <v>0</v>
      </c>
      <c r="BW124" s="4504">
        <f t="shared" si="152"/>
        <v>0</v>
      </c>
      <c r="BX124" s="4504">
        <f t="shared" si="153"/>
        <v>0</v>
      </c>
      <c r="BY124" s="4504">
        <f t="shared" si="154"/>
        <v>0</v>
      </c>
      <c r="BZ124" s="4504">
        <f t="shared" si="155"/>
        <v>0</v>
      </c>
      <c r="CA124" s="4504">
        <f t="shared" si="156"/>
        <v>0</v>
      </c>
      <c r="CB124" s="4504">
        <f t="shared" si="157"/>
        <v>0</v>
      </c>
      <c r="CC124" s="4504">
        <f t="shared" si="158"/>
        <v>0</v>
      </c>
      <c r="CD124" s="4504">
        <f t="shared" si="159"/>
        <v>0</v>
      </c>
      <c r="CE124" s="4504">
        <f t="shared" si="160"/>
        <v>0</v>
      </c>
      <c r="CF124" s="4504">
        <f t="shared" si="161"/>
        <v>0</v>
      </c>
    </row>
    <row r="125" spans="1:84" ht="22.8">
      <c r="A125" s="2242"/>
      <c r="B125" s="2242"/>
      <c r="C125" s="2242"/>
      <c r="D125" s="2243"/>
      <c r="E125" s="2244" t="s">
        <v>625</v>
      </c>
      <c r="F125" s="2245">
        <f>SUM(F30:F35)+SUM(F43:F47)+F50+SUM(F52:F56)+F60-F69-F70+SUM(F92:F97)+SUM(F118:F123)</f>
        <v>58.368740000000003</v>
      </c>
      <c r="G125" s="4145">
        <f>SUM(G30:G35)+SUM(G43:G47)+G50+SUM(G52:G56)+G60-G69-G70+SUM(G92:G97)+SUM(G118:G123)</f>
        <v>1192.2501769999999</v>
      </c>
      <c r="H125" s="2246">
        <f t="shared" ref="H125:M125" si="180">SUM(H30:H35)+SUM(H43:H47)+H50+SUM(H52:H56)+H60-H69-H70+SUM(H92:H97)+SUM(H118:H123)</f>
        <v>109</v>
      </c>
      <c r="I125" s="2247">
        <f t="shared" si="180"/>
        <v>40</v>
      </c>
      <c r="J125" s="2248">
        <f t="shared" si="180"/>
        <v>34</v>
      </c>
      <c r="K125" s="2248">
        <f t="shared" si="180"/>
        <v>53</v>
      </c>
      <c r="L125" s="2248">
        <f t="shared" si="180"/>
        <v>47</v>
      </c>
      <c r="M125" s="2249">
        <f t="shared" si="180"/>
        <v>34</v>
      </c>
      <c r="N125" s="2250">
        <f>SUM(I125:M125)</f>
        <v>208</v>
      </c>
      <c r="O125" s="2251">
        <f t="shared" ref="O125" si="181">SUM(O30:O35)+SUM(O43:O47)+O50+SUM(O52:O56)+O60-O69-O70+SUM(O92:O97)+SUM(O118:O123)</f>
        <v>58.368740000000003</v>
      </c>
      <c r="P125" s="4155">
        <f t="shared" ref="P125:AL125" si="182">SUM(P30:P35)+SUM(P43:P47)+P50+SUM(P52:P56)+P60-P69-P70+SUM(P92:P97)+SUM(P118:P123)</f>
        <v>1192.2501769999999</v>
      </c>
      <c r="Q125" s="2252">
        <f t="shared" si="182"/>
        <v>109</v>
      </c>
      <c r="R125" s="2253">
        <f t="shared" si="182"/>
        <v>40</v>
      </c>
      <c r="S125" s="2254">
        <f t="shared" si="182"/>
        <v>34</v>
      </c>
      <c r="T125" s="2254">
        <f t="shared" si="182"/>
        <v>53</v>
      </c>
      <c r="U125" s="2254">
        <f t="shared" si="182"/>
        <v>47</v>
      </c>
      <c r="V125" s="2250">
        <f t="shared" si="182"/>
        <v>34</v>
      </c>
      <c r="W125" s="2251">
        <f t="shared" ref="W125" si="183">SUM(W30:W35)+SUM(W43:W47)+W50+SUM(W52:W56)+W60-W69-W70+SUM(W92:W97)+SUM(W118:W123)</f>
        <v>0</v>
      </c>
      <c r="X125" s="4155">
        <f t="shared" si="182"/>
        <v>0</v>
      </c>
      <c r="Y125" s="2252">
        <f t="shared" si="182"/>
        <v>0</v>
      </c>
      <c r="Z125" s="2253">
        <f t="shared" si="182"/>
        <v>0</v>
      </c>
      <c r="AA125" s="2254">
        <f t="shared" si="182"/>
        <v>0</v>
      </c>
      <c r="AB125" s="2254">
        <f t="shared" si="182"/>
        <v>0</v>
      </c>
      <c r="AC125" s="2254">
        <f t="shared" si="182"/>
        <v>0</v>
      </c>
      <c r="AD125" s="2255">
        <f t="shared" si="182"/>
        <v>0</v>
      </c>
      <c r="AE125" s="2251">
        <f t="shared" ref="AE125" si="184">SUM(AE30:AE35)+SUM(AE43:AE47)+AE50+SUM(AE52:AE56)+AE60-AE69-AE70+SUM(AE92:AE97)+SUM(AE118:AE123)</f>
        <v>0</v>
      </c>
      <c r="AF125" s="4155">
        <f t="shared" si="182"/>
        <v>0</v>
      </c>
      <c r="AG125" s="2252">
        <f t="shared" si="182"/>
        <v>0</v>
      </c>
      <c r="AH125" s="2253">
        <f t="shared" si="182"/>
        <v>0</v>
      </c>
      <c r="AI125" s="2254">
        <f t="shared" si="182"/>
        <v>0</v>
      </c>
      <c r="AJ125" s="2254">
        <f t="shared" si="182"/>
        <v>0</v>
      </c>
      <c r="AK125" s="2254">
        <f t="shared" si="182"/>
        <v>0</v>
      </c>
      <c r="AL125" s="2250">
        <f t="shared" si="182"/>
        <v>0</v>
      </c>
      <c r="AM125" s="2256"/>
      <c r="AN125" s="2257"/>
      <c r="AO125" s="2256"/>
      <c r="AP125" s="2256"/>
      <c r="AQ125" s="2256"/>
      <c r="AR125" s="2256"/>
      <c r="AS125" s="2256"/>
      <c r="AT125" s="2256"/>
      <c r="AU125" s="2256"/>
      <c r="AV125" s="2256"/>
      <c r="AW125" s="2257"/>
      <c r="AX125" s="2258"/>
      <c r="AY125" s="4488"/>
      <c r="AZ125" s="4504">
        <f t="shared" si="129"/>
        <v>29.843462877652968</v>
      </c>
      <c r="BA125" s="4504">
        <f t="shared" si="130"/>
        <v>609.58783585485446</v>
      </c>
      <c r="BB125" s="4504">
        <f t="shared" si="131"/>
        <v>55.730815050387818</v>
      </c>
      <c r="BC125" s="4504">
        <f t="shared" si="132"/>
        <v>20.45167524784874</v>
      </c>
      <c r="BD125" s="4504">
        <f t="shared" si="133"/>
        <v>17.383923960671428</v>
      </c>
      <c r="BE125" s="4504">
        <f t="shared" si="134"/>
        <v>27.09846970339958</v>
      </c>
      <c r="BF125" s="4504">
        <f t="shared" si="135"/>
        <v>24.030718416222268</v>
      </c>
      <c r="BG125" s="4504">
        <f t="shared" si="136"/>
        <v>17.383923960671428</v>
      </c>
      <c r="BH125" s="4504">
        <f t="shared" si="137"/>
        <v>106.34871128881345</v>
      </c>
      <c r="BI125" s="4504">
        <f t="shared" si="138"/>
        <v>29.843462877652968</v>
      </c>
      <c r="BJ125" s="4504">
        <f t="shared" si="139"/>
        <v>609.58783585485446</v>
      </c>
      <c r="BK125" s="4504">
        <f t="shared" si="140"/>
        <v>55.730815050387818</v>
      </c>
      <c r="BL125" s="4504">
        <f t="shared" si="141"/>
        <v>20.45167524784874</v>
      </c>
      <c r="BM125" s="4504">
        <f t="shared" si="142"/>
        <v>17.383923960671428</v>
      </c>
      <c r="BN125" s="4504">
        <f t="shared" si="143"/>
        <v>27.09846970339958</v>
      </c>
      <c r="BO125" s="4504">
        <f t="shared" si="144"/>
        <v>24.030718416222268</v>
      </c>
      <c r="BP125" s="4504">
        <f t="shared" si="145"/>
        <v>17.383923960671428</v>
      </c>
      <c r="BQ125" s="4504">
        <f t="shared" si="146"/>
        <v>0</v>
      </c>
      <c r="BR125" s="4504">
        <f t="shared" si="147"/>
        <v>0</v>
      </c>
      <c r="BS125" s="4504">
        <f t="shared" si="148"/>
        <v>0</v>
      </c>
      <c r="BT125" s="4504">
        <f t="shared" si="149"/>
        <v>0</v>
      </c>
      <c r="BU125" s="4504">
        <f t="shared" si="150"/>
        <v>0</v>
      </c>
      <c r="BV125" s="4504">
        <f t="shared" si="151"/>
        <v>0</v>
      </c>
      <c r="BW125" s="4504">
        <f t="shared" si="152"/>
        <v>0</v>
      </c>
      <c r="BX125" s="4504">
        <f t="shared" si="153"/>
        <v>0</v>
      </c>
      <c r="BY125" s="4504">
        <f t="shared" si="154"/>
        <v>0</v>
      </c>
      <c r="BZ125" s="4504">
        <f t="shared" si="155"/>
        <v>0</v>
      </c>
      <c r="CA125" s="4504">
        <f t="shared" si="156"/>
        <v>0</v>
      </c>
      <c r="CB125" s="4504">
        <f t="shared" si="157"/>
        <v>0</v>
      </c>
      <c r="CC125" s="4504">
        <f t="shared" si="158"/>
        <v>0</v>
      </c>
      <c r="CD125" s="4504">
        <f t="shared" si="159"/>
        <v>0</v>
      </c>
      <c r="CE125" s="4504">
        <f t="shared" si="160"/>
        <v>0</v>
      </c>
      <c r="CF125" s="4504">
        <f t="shared" si="161"/>
        <v>0</v>
      </c>
    </row>
    <row r="126" spans="1:84" ht="23.4" thickBot="1">
      <c r="A126" s="2259"/>
      <c r="B126" s="2259"/>
      <c r="C126" s="2259"/>
      <c r="D126" s="2260"/>
      <c r="E126" s="2261" t="s">
        <v>626</v>
      </c>
      <c r="F126" s="2262">
        <f>SUM(F12:F29)+SUM(F37:F42)+F49+F51+F57+F69+F70+SUM(F74:F91)+SUM(F100:F117)</f>
        <v>1008.47425</v>
      </c>
      <c r="G126" s="4146">
        <f>SUM(G12:G29)+SUM(G37:G42)+G49+G51+G57+G69+G70+SUM(G74:G91)+SUM(G100:G117)</f>
        <v>1104.99198</v>
      </c>
      <c r="H126" s="2263">
        <f t="shared" ref="H126:M126" si="185">SUM(H12:H29)+SUM(H37:H42)+H49+H51+H57+H69+H70+SUM(H74:H91)+SUM(H100:H117)</f>
        <v>890.25</v>
      </c>
      <c r="I126" s="2264">
        <f t="shared" si="185"/>
        <v>1066</v>
      </c>
      <c r="J126" s="2265">
        <f t="shared" si="185"/>
        <v>916</v>
      </c>
      <c r="K126" s="2265">
        <f t="shared" si="185"/>
        <v>942</v>
      </c>
      <c r="L126" s="2265">
        <f t="shared" si="185"/>
        <v>978</v>
      </c>
      <c r="M126" s="2266">
        <f t="shared" si="185"/>
        <v>966</v>
      </c>
      <c r="N126" s="2267">
        <f>SUM(I126:M126)</f>
        <v>4868</v>
      </c>
      <c r="O126" s="2268">
        <f t="shared" ref="O126" si="186">SUM(O12:O29)+SUM(O37:O42)+O49+O51+O57+O69+O70+SUM(O74:O91)+SUM(O100:O117)</f>
        <v>1008.47425</v>
      </c>
      <c r="P126" s="4156">
        <f t="shared" ref="P126:AL126" si="187">SUM(P12:P29)+SUM(P37:P42)+P49+P51+P57+P69+P70+SUM(P74:P91)+SUM(P100:P117)</f>
        <v>1104.99198</v>
      </c>
      <c r="Q126" s="2269">
        <f t="shared" si="187"/>
        <v>890.25</v>
      </c>
      <c r="R126" s="2270">
        <f t="shared" si="187"/>
        <v>1066</v>
      </c>
      <c r="S126" s="2271">
        <f t="shared" si="187"/>
        <v>916</v>
      </c>
      <c r="T126" s="2271">
        <f t="shared" si="187"/>
        <v>942</v>
      </c>
      <c r="U126" s="2271">
        <f t="shared" si="187"/>
        <v>978</v>
      </c>
      <c r="V126" s="2267">
        <f t="shared" si="187"/>
        <v>966</v>
      </c>
      <c r="W126" s="2268">
        <f t="shared" ref="W126" si="188">SUM(W12:W29)+SUM(W37:W42)+W49+W51+W57+W69+W70+SUM(W74:W91)+SUM(W100:W117)</f>
        <v>0</v>
      </c>
      <c r="X126" s="4156">
        <f t="shared" si="187"/>
        <v>0</v>
      </c>
      <c r="Y126" s="2269">
        <f t="shared" si="187"/>
        <v>0</v>
      </c>
      <c r="Z126" s="2270">
        <f t="shared" si="187"/>
        <v>0</v>
      </c>
      <c r="AA126" s="2271">
        <f t="shared" si="187"/>
        <v>0</v>
      </c>
      <c r="AB126" s="2271">
        <f t="shared" si="187"/>
        <v>0</v>
      </c>
      <c r="AC126" s="2271">
        <f t="shared" si="187"/>
        <v>0</v>
      </c>
      <c r="AD126" s="2272">
        <f t="shared" si="187"/>
        <v>0</v>
      </c>
      <c r="AE126" s="2268">
        <f t="shared" ref="AE126" si="189">SUM(AE12:AE29)+SUM(AE37:AE42)+AE49+AE51+AE57+AE69+AE70+SUM(AE74:AE91)+SUM(AE100:AE117)</f>
        <v>0</v>
      </c>
      <c r="AF126" s="4156">
        <f t="shared" si="187"/>
        <v>0</v>
      </c>
      <c r="AG126" s="2269">
        <f t="shared" si="187"/>
        <v>0</v>
      </c>
      <c r="AH126" s="2270">
        <f t="shared" si="187"/>
        <v>0</v>
      </c>
      <c r="AI126" s="2271">
        <f t="shared" si="187"/>
        <v>0</v>
      </c>
      <c r="AJ126" s="2271">
        <f t="shared" si="187"/>
        <v>0</v>
      </c>
      <c r="AK126" s="2271">
        <f t="shared" si="187"/>
        <v>0</v>
      </c>
      <c r="AL126" s="2267">
        <f t="shared" si="187"/>
        <v>0</v>
      </c>
      <c r="AM126" s="2273"/>
      <c r="AN126" s="2274"/>
      <c r="AO126" s="2273"/>
      <c r="AP126" s="2273"/>
      <c r="AQ126" s="2273"/>
      <c r="AR126" s="2273"/>
      <c r="AS126" s="2273"/>
      <c r="AT126" s="2273"/>
      <c r="AU126" s="2273"/>
      <c r="AV126" s="2273"/>
      <c r="AW126" s="2274"/>
      <c r="AX126" s="2275"/>
      <c r="AY126" s="4488"/>
      <c r="AZ126" s="4504">
        <f t="shared" si="129"/>
        <v>515.6246964204455</v>
      </c>
      <c r="BA126" s="4504">
        <f t="shared" si="130"/>
        <v>564.9734281609343</v>
      </c>
      <c r="BB126" s="4504">
        <f t="shared" si="131"/>
        <v>455.1775972349335</v>
      </c>
      <c r="BC126" s="4504">
        <f t="shared" si="132"/>
        <v>545.03714535516895</v>
      </c>
      <c r="BD126" s="4504">
        <f t="shared" si="133"/>
        <v>468.34336317573616</v>
      </c>
      <c r="BE126" s="4504">
        <f t="shared" si="134"/>
        <v>481.63695208683782</v>
      </c>
      <c r="BF126" s="4504">
        <f t="shared" si="135"/>
        <v>500.04345980990166</v>
      </c>
      <c r="BG126" s="4504">
        <f t="shared" si="136"/>
        <v>493.90795723554709</v>
      </c>
      <c r="BH126" s="4504">
        <f t="shared" si="137"/>
        <v>2488.9688776631915</v>
      </c>
      <c r="BI126" s="4504">
        <f t="shared" si="138"/>
        <v>515.6246964204455</v>
      </c>
      <c r="BJ126" s="4504">
        <f t="shared" si="139"/>
        <v>564.9734281609343</v>
      </c>
      <c r="BK126" s="4504">
        <f t="shared" si="140"/>
        <v>455.1775972349335</v>
      </c>
      <c r="BL126" s="4504">
        <f t="shared" si="141"/>
        <v>545.03714535516895</v>
      </c>
      <c r="BM126" s="4504">
        <f t="shared" si="142"/>
        <v>468.34336317573616</v>
      </c>
      <c r="BN126" s="4504">
        <f t="shared" si="143"/>
        <v>481.63695208683782</v>
      </c>
      <c r="BO126" s="4504">
        <f t="shared" si="144"/>
        <v>500.04345980990166</v>
      </c>
      <c r="BP126" s="4504">
        <f t="shared" si="145"/>
        <v>493.90795723554709</v>
      </c>
      <c r="BQ126" s="4504">
        <f t="shared" si="146"/>
        <v>0</v>
      </c>
      <c r="BR126" s="4504">
        <f t="shared" si="147"/>
        <v>0</v>
      </c>
      <c r="BS126" s="4504">
        <f t="shared" si="148"/>
        <v>0</v>
      </c>
      <c r="BT126" s="4504">
        <f t="shared" si="149"/>
        <v>0</v>
      </c>
      <c r="BU126" s="4504">
        <f t="shared" si="150"/>
        <v>0</v>
      </c>
      <c r="BV126" s="4504">
        <f t="shared" si="151"/>
        <v>0</v>
      </c>
      <c r="BW126" s="4504">
        <f t="shared" si="152"/>
        <v>0</v>
      </c>
      <c r="BX126" s="4504">
        <f t="shared" si="153"/>
        <v>0</v>
      </c>
      <c r="BY126" s="4504">
        <f t="shared" si="154"/>
        <v>0</v>
      </c>
      <c r="BZ126" s="4504">
        <f t="shared" si="155"/>
        <v>0</v>
      </c>
      <c r="CA126" s="4504">
        <f t="shared" si="156"/>
        <v>0</v>
      </c>
      <c r="CB126" s="4504">
        <f t="shared" si="157"/>
        <v>0</v>
      </c>
      <c r="CC126" s="4504">
        <f t="shared" si="158"/>
        <v>0</v>
      </c>
      <c r="CD126" s="4504">
        <f t="shared" si="159"/>
        <v>0</v>
      </c>
      <c r="CE126" s="4504">
        <f t="shared" si="160"/>
        <v>0</v>
      </c>
      <c r="CF126" s="4504">
        <f t="shared" si="161"/>
        <v>0</v>
      </c>
    </row>
    <row r="127" spans="1:84" hidden="1">
      <c r="A127" s="2276"/>
      <c r="B127" s="1309"/>
      <c r="C127" s="1309"/>
      <c r="D127" s="1309"/>
      <c r="AE127" s="2277"/>
      <c r="AF127" s="2277"/>
      <c r="AG127" s="2277"/>
      <c r="AH127" s="2277"/>
      <c r="AI127" s="2277"/>
      <c r="AJ127" s="2277"/>
      <c r="AK127" s="2277"/>
      <c r="AL127" s="2277"/>
      <c r="AM127" s="2278"/>
      <c r="AN127" s="2279"/>
      <c r="AO127" s="2278"/>
      <c r="AP127" s="2278"/>
      <c r="AQ127" s="2278"/>
      <c r="AR127" s="2080"/>
      <c r="AS127" s="2080"/>
      <c r="AT127" s="2080"/>
      <c r="AU127" s="2080"/>
      <c r="AV127" s="2080"/>
      <c r="AW127" s="2280"/>
      <c r="AX127" s="2084"/>
      <c r="AY127" s="4488"/>
    </row>
    <row r="128" spans="1:84" ht="13.8" thickBot="1">
      <c r="A128" s="2080"/>
      <c r="B128" s="2080"/>
      <c r="C128" s="2080"/>
      <c r="D128" s="2280"/>
      <c r="E128" s="2277"/>
      <c r="F128" s="2281"/>
      <c r="G128" s="2281"/>
      <c r="H128" s="2281"/>
      <c r="I128" s="2282"/>
      <c r="J128" s="2282"/>
      <c r="K128" s="2282"/>
      <c r="L128" s="2282"/>
      <c r="M128" s="2282"/>
      <c r="N128" s="2080"/>
      <c r="O128" s="2283"/>
      <c r="P128" s="2283"/>
      <c r="Q128" s="2283"/>
      <c r="R128" s="2080"/>
      <c r="S128" s="2080"/>
      <c r="T128" s="2080"/>
      <c r="U128" s="2080"/>
      <c r="V128" s="2080"/>
      <c r="W128" s="2283"/>
      <c r="X128" s="2283"/>
      <c r="Y128" s="2283"/>
      <c r="Z128" s="2080"/>
      <c r="AA128" s="2080"/>
      <c r="AB128" s="2080"/>
      <c r="AC128" s="2080"/>
      <c r="AD128" s="2080"/>
      <c r="AE128" s="2283"/>
      <c r="AF128" s="2283"/>
      <c r="AG128" s="2283"/>
      <c r="AH128" s="2080"/>
      <c r="AI128" s="2080"/>
      <c r="AJ128" s="2080"/>
      <c r="AK128" s="2080"/>
      <c r="AL128" s="2080"/>
      <c r="AM128" s="2278"/>
      <c r="AN128" s="2277"/>
      <c r="AO128" s="2278"/>
      <c r="AP128" s="2278"/>
      <c r="AQ128" s="2278"/>
      <c r="AR128" s="2080"/>
      <c r="AS128" s="2080"/>
      <c r="AT128" s="2080"/>
      <c r="AU128" s="2080"/>
      <c r="AV128" s="2080"/>
      <c r="AW128" s="2280"/>
      <c r="AX128" s="2084"/>
      <c r="AY128" s="4488"/>
    </row>
    <row r="129" spans="1:84" s="1312" customFormat="1" ht="34.799999999999997" thickBot="1">
      <c r="A129" s="2276"/>
      <c r="B129" s="1309"/>
      <c r="C129" s="1309"/>
      <c r="D129" s="1309"/>
      <c r="E129" s="2284" t="s">
        <v>647</v>
      </c>
      <c r="F129" s="2285">
        <f>SUM(F130:F132)</f>
        <v>1</v>
      </c>
      <c r="G129" s="4147">
        <f>SUM(G130:G132)</f>
        <v>1</v>
      </c>
      <c r="H129" s="2286">
        <f t="shared" ref="H129:AL129" si="190">SUM(H130:H132)</f>
        <v>1</v>
      </c>
      <c r="I129" s="2287">
        <f t="shared" si="190"/>
        <v>1</v>
      </c>
      <c r="J129" s="2288">
        <f t="shared" si="190"/>
        <v>1</v>
      </c>
      <c r="K129" s="2288">
        <f t="shared" si="190"/>
        <v>1</v>
      </c>
      <c r="L129" s="2288">
        <f t="shared" si="190"/>
        <v>1</v>
      </c>
      <c r="M129" s="2289">
        <f t="shared" si="190"/>
        <v>1</v>
      </c>
      <c r="N129" s="4157"/>
      <c r="O129" s="2285">
        <f>SUM(O130:O132)</f>
        <v>1</v>
      </c>
      <c r="P129" s="4147">
        <f>SUM(P130:P132)</f>
        <v>1</v>
      </c>
      <c r="Q129" s="2286">
        <f t="shared" si="190"/>
        <v>1</v>
      </c>
      <c r="R129" s="2287">
        <f t="shared" si="190"/>
        <v>1</v>
      </c>
      <c r="S129" s="2288">
        <f t="shared" si="190"/>
        <v>1</v>
      </c>
      <c r="T129" s="2288">
        <f t="shared" si="190"/>
        <v>1</v>
      </c>
      <c r="U129" s="2288">
        <f t="shared" si="190"/>
        <v>1</v>
      </c>
      <c r="V129" s="2290">
        <f t="shared" si="190"/>
        <v>1</v>
      </c>
      <c r="W129" s="2285">
        <f t="shared" ref="W129" si="191">SUM(W130:W132)</f>
        <v>1</v>
      </c>
      <c r="X129" s="4147">
        <f t="shared" si="190"/>
        <v>1</v>
      </c>
      <c r="Y129" s="2286">
        <f t="shared" si="190"/>
        <v>1</v>
      </c>
      <c r="Z129" s="2287">
        <f t="shared" si="190"/>
        <v>1</v>
      </c>
      <c r="AA129" s="2288">
        <f t="shared" si="190"/>
        <v>1</v>
      </c>
      <c r="AB129" s="2288">
        <f t="shared" si="190"/>
        <v>1</v>
      </c>
      <c r="AC129" s="2288">
        <f t="shared" si="190"/>
        <v>1</v>
      </c>
      <c r="AD129" s="2290">
        <f t="shared" si="190"/>
        <v>1</v>
      </c>
      <c r="AE129" s="2285">
        <f t="shared" ref="AE129" si="192">SUM(AE130:AE132)</f>
        <v>1</v>
      </c>
      <c r="AF129" s="4147">
        <f t="shared" si="190"/>
        <v>1</v>
      </c>
      <c r="AG129" s="2286">
        <f t="shared" si="190"/>
        <v>1</v>
      </c>
      <c r="AH129" s="2287">
        <f t="shared" si="190"/>
        <v>1</v>
      </c>
      <c r="AI129" s="2288">
        <f t="shared" si="190"/>
        <v>1</v>
      </c>
      <c r="AJ129" s="2288">
        <f t="shared" si="190"/>
        <v>1</v>
      </c>
      <c r="AK129" s="2288">
        <f t="shared" si="190"/>
        <v>1</v>
      </c>
      <c r="AL129" s="2290">
        <f t="shared" si="190"/>
        <v>1</v>
      </c>
      <c r="AM129" s="2291" t="s">
        <v>1</v>
      </c>
      <c r="AN129" s="2292" t="s">
        <v>2</v>
      </c>
      <c r="AO129" s="2233"/>
      <c r="AP129" s="2233"/>
      <c r="AQ129" s="2233"/>
      <c r="AR129" s="2234"/>
      <c r="AS129" s="2293"/>
      <c r="AT129" s="2236"/>
      <c r="AU129" s="2236"/>
      <c r="AV129" s="2236"/>
      <c r="AW129" s="2238"/>
      <c r="AX129" s="2084"/>
      <c r="AY129" s="4488"/>
    </row>
    <row r="130" spans="1:84">
      <c r="A130" s="2276"/>
      <c r="B130" s="1309"/>
      <c r="C130" s="1309"/>
      <c r="D130" s="1309"/>
      <c r="E130" s="2294" t="s">
        <v>398</v>
      </c>
      <c r="F130" s="2295">
        <f>IF('4. Отчет и прогн. потребление'!D9&gt;0,(1/SUM(IF('4. Отчет и прогн. потребление'!D9&gt;0,1,0),IF('4. Отчет и прогн. потребление'!D48&gt;0,1,0),IF('4. Отчет и прогн. потребление'!D53&gt;0,1,0))),0)</f>
        <v>0.33333333333333331</v>
      </c>
      <c r="G130" s="4148">
        <f>IF('4. Отчет и прогн. потребление'!D9&gt;0,(1/SUM(IF('4. Отчет и прогн. потребление'!D9&gt;0,1,0),IF('4. Отчет и прогн. потребление'!D48&gt;0,1,0),IF('4. Отчет и прогн. потребление'!D53&gt;0,1,0))),0)</f>
        <v>0.33333333333333331</v>
      </c>
      <c r="H130" s="2296">
        <f>IF('4. Отчет и прогн. потребление'!D9&gt;0,(1/SUM(IF('4. Отчет и прогн. потребление'!D9&gt;0,1,0),IF('4. Отчет и прогн. потребление'!D48&gt;0,1,0),IF('4. Отчет и прогн. потребление'!D53&gt;0,1,0))),0)</f>
        <v>0.33333333333333331</v>
      </c>
      <c r="I130" s="2297">
        <f>IF('4. Отчет и прогн. потребление'!E9&gt;0,(1/SUM(IF('4. Отчет и прогн. потребление'!E9&gt;0,1,0),IF('4. Отчет и прогн. потребление'!E48&gt;0,1,0),IF('4. Отчет и прогн. потребление'!E53&gt;0,1,0))),0)</f>
        <v>0.33333333333333331</v>
      </c>
      <c r="J130" s="2298">
        <f>IF('4. Отчет и прогн. потребление'!F9&gt;0,(1/SUM(IF('4. Отчет и прогн. потребление'!F9&gt;0,1,0),IF('4. Отчет и прогн. потребление'!F48&gt;0,1,0),IF('4. Отчет и прогн. потребление'!F53&gt;0,1,0))),0)</f>
        <v>0.33333333333333331</v>
      </c>
      <c r="K130" s="2298">
        <f>IF('4. Отчет и прогн. потребление'!G9&gt;0,(1/SUM(IF('4. Отчет и прогн. потребление'!G9&gt;0,1,0),IF('4. Отчет и прогн. потребление'!G48&gt;0,1,0),IF('4. Отчет и прогн. потребление'!G53&gt;0,1,0))),0)</f>
        <v>0.33333333333333331</v>
      </c>
      <c r="L130" s="2298">
        <f>IF('4. Отчет и прогн. потребление'!H9&gt;0,(1/SUM(IF('4. Отчет и прогн. потребление'!H9&gt;0,1,0),IF('4. Отчет и прогн. потребление'!H48&gt;0,1,0),IF('4. Отчет и прогн. потребление'!H53&gt;0,1,0))),0)</f>
        <v>0.33333333333333331</v>
      </c>
      <c r="M130" s="2299">
        <f>IF('4. Отчет и прогн. потребление'!I9&gt;0,(1/SUM(IF('4. Отчет и прогн. потребление'!I9&gt;0,1,0),IF('4. Отчет и прогн. потребление'!I48&gt;0,1,0),IF('4. Отчет и прогн. потребление'!I53&gt;0,1,0))),0)</f>
        <v>0.33333333333333331</v>
      </c>
      <c r="N130" s="4158"/>
      <c r="O130" s="2302">
        <f t="shared" ref="O130:V131" si="193">F130</f>
        <v>0.33333333333333331</v>
      </c>
      <c r="P130" s="2301">
        <f t="shared" si="193"/>
        <v>0.33333333333333331</v>
      </c>
      <c r="Q130" s="2300">
        <f t="shared" si="193"/>
        <v>0.33333333333333331</v>
      </c>
      <c r="R130" s="2301">
        <f t="shared" si="193"/>
        <v>0.33333333333333331</v>
      </c>
      <c r="S130" s="2299">
        <f t="shared" si="193"/>
        <v>0.33333333333333331</v>
      </c>
      <c r="T130" s="2299">
        <f t="shared" si="193"/>
        <v>0.33333333333333331</v>
      </c>
      <c r="U130" s="2299">
        <f t="shared" si="193"/>
        <v>0.33333333333333331</v>
      </c>
      <c r="V130" s="2299">
        <f t="shared" si="193"/>
        <v>0.33333333333333331</v>
      </c>
      <c r="W130" s="2302">
        <f t="shared" ref="W130:AD132" si="194">F130</f>
        <v>0.33333333333333331</v>
      </c>
      <c r="X130" s="2297">
        <f t="shared" si="194"/>
        <v>0.33333333333333331</v>
      </c>
      <c r="Y130" s="2299">
        <f t="shared" si="194"/>
        <v>0.33333333333333331</v>
      </c>
      <c r="Z130" s="2302">
        <f t="shared" si="194"/>
        <v>0.33333333333333331</v>
      </c>
      <c r="AA130" s="2299">
        <f t="shared" si="194"/>
        <v>0.33333333333333331</v>
      </c>
      <c r="AB130" s="2299">
        <f t="shared" si="194"/>
        <v>0.33333333333333331</v>
      </c>
      <c r="AC130" s="2299">
        <f t="shared" si="194"/>
        <v>0.33333333333333331</v>
      </c>
      <c r="AD130" s="2300">
        <f t="shared" si="194"/>
        <v>0.33333333333333331</v>
      </c>
      <c r="AE130" s="2302">
        <f t="shared" ref="AE130:AL132" si="195">F130</f>
        <v>0.33333333333333331</v>
      </c>
      <c r="AF130" s="2297">
        <f t="shared" si="195"/>
        <v>0.33333333333333331</v>
      </c>
      <c r="AG130" s="2299">
        <f t="shared" si="195"/>
        <v>0.33333333333333331</v>
      </c>
      <c r="AH130" s="2302">
        <f t="shared" si="195"/>
        <v>0.33333333333333331</v>
      </c>
      <c r="AI130" s="2299">
        <f t="shared" si="195"/>
        <v>0.33333333333333331</v>
      </c>
      <c r="AJ130" s="2299">
        <f t="shared" si="195"/>
        <v>0.33333333333333331</v>
      </c>
      <c r="AK130" s="2299">
        <f t="shared" si="195"/>
        <v>0.33333333333333331</v>
      </c>
      <c r="AL130" s="2300">
        <f t="shared" si="195"/>
        <v>0.33333333333333331</v>
      </c>
      <c r="AM130" s="2303" t="s">
        <v>46</v>
      </c>
      <c r="AN130" s="2304" t="s">
        <v>827</v>
      </c>
      <c r="AO130" s="2305" t="s">
        <v>677</v>
      </c>
      <c r="AP130" s="2183">
        <f>SUM((AP16+AP22)-'2. Променливи'!E78*1000)</f>
        <v>0</v>
      </c>
      <c r="AQ130" s="4171"/>
      <c r="AR130" s="4169"/>
      <c r="AS130" s="2306">
        <f>SUM((AS16+AS22)-'2. Променливи'!F78*1000)</f>
        <v>0</v>
      </c>
      <c r="AT130" s="2307">
        <f>SUM((AT16+AT22)-'2. Променливи'!G78*1000)</f>
        <v>0</v>
      </c>
      <c r="AU130" s="2307">
        <f>SUM((AU16+AU22)-'2. Променливи'!H78*1000)</f>
        <v>0</v>
      </c>
      <c r="AV130" s="2307">
        <f>SUM((AV16+AV22)-'2. Променливи'!I78*1000)</f>
        <v>0</v>
      </c>
      <c r="AW130" s="2308">
        <f>SUM((AW16+AW22)-'2. Променливи'!J78*1000)</f>
        <v>0</v>
      </c>
      <c r="AX130" s="2084"/>
      <c r="AY130" s="4488"/>
    </row>
    <row r="131" spans="1:84" ht="24">
      <c r="A131" s="2276"/>
      <c r="B131" s="1309"/>
      <c r="C131" s="1309"/>
      <c r="D131" s="1309"/>
      <c r="E131" s="2304" t="s">
        <v>646</v>
      </c>
      <c r="F131" s="2309">
        <f>IF('4. Отчет и прогн. потребление'!D48&gt;0,(1/SUM(IF('4. Отчет и прогн. потребление'!D9&gt;0,1,0),IF('4. Отчет и прогн. потребление'!D48&gt;0,1,0),IF('4. Отчет и прогн. потребление'!D53&gt;0,1,0))),0)</f>
        <v>0.33333333333333331</v>
      </c>
      <c r="G131" s="4149">
        <f>IF('4. Отчет и прогн. потребление'!D48&gt;0,(1/SUM(IF('4. Отчет и прогн. потребление'!D9&gt;0,1,0),IF('4. Отчет и прогн. потребление'!D48&gt;0,1,0),IF('4. Отчет и прогн. потребление'!D53&gt;0,1,0))),0)</f>
        <v>0.33333333333333331</v>
      </c>
      <c r="H131" s="2310">
        <f>IF('4. Отчет и прогн. потребление'!D48&gt;0,(1/SUM(IF('4. Отчет и прогн. потребление'!D9&gt;0,1,0),IF('4. Отчет и прогн. потребление'!D48&gt;0,1,0),IF('4. Отчет и прогн. потребление'!D53&gt;0,1,0))),0)</f>
        <v>0.33333333333333331</v>
      </c>
      <c r="I131" s="2311">
        <f>IF('4. Отчет и прогн. потребление'!E48&gt;0,(1/SUM(IF('4. Отчет и прогн. потребление'!E9&gt;0,1,0),IF('4. Отчет и прогн. потребление'!E48&gt;0,1,0),IF('4. Отчет и прогн. потребление'!E53&gt;0,1,0))),0)</f>
        <v>0.33333333333333331</v>
      </c>
      <c r="J131" s="2312">
        <f>IF('4. Отчет и прогн. потребление'!F48&gt;0,(1/SUM(IF('4. Отчет и прогн. потребление'!F9&gt;0,1,0),IF('4. Отчет и прогн. потребление'!F48&gt;0,1,0),IF('4. Отчет и прогн. потребление'!F53&gt;0,1,0))),0)</f>
        <v>0.33333333333333331</v>
      </c>
      <c r="K131" s="2312">
        <f>IF('4. Отчет и прогн. потребление'!G48&gt;0,(1/SUM(IF('4. Отчет и прогн. потребление'!G9&gt;0,1,0),IF('4. Отчет и прогн. потребление'!G48&gt;0,1,0),IF('4. Отчет и прогн. потребление'!G53&gt;0,1,0))),0)</f>
        <v>0.33333333333333331</v>
      </c>
      <c r="L131" s="2312">
        <f>IF('4. Отчет и прогн. потребление'!H48&gt;0,(1/SUM(IF('4. Отчет и прогн. потребление'!H9&gt;0,1,0),IF('4. Отчет и прогн. потребление'!H48&gt;0,1,0),IF('4. Отчет и прогн. потребление'!H53&gt;0,1,0))),0)</f>
        <v>0.33333333333333331</v>
      </c>
      <c r="M131" s="2313">
        <f>IF('4. Отчет и прогн. потребление'!I48&gt;0,(1/SUM(IF('4. Отчет и прогн. потребление'!I9&gt;0,1,0),IF('4. Отчет и прогн. потребление'!I48&gt;0,1,0),IF('4. Отчет и прогн. потребление'!I53&gt;0,1,0))),0)</f>
        <v>0.33333333333333331</v>
      </c>
      <c r="N131" s="4159"/>
      <c r="O131" s="2316">
        <f t="shared" si="193"/>
        <v>0.33333333333333331</v>
      </c>
      <c r="P131" s="2315">
        <f t="shared" si="193"/>
        <v>0.33333333333333331</v>
      </c>
      <c r="Q131" s="2314">
        <f t="shared" si="193"/>
        <v>0.33333333333333331</v>
      </c>
      <c r="R131" s="2315">
        <f t="shared" si="193"/>
        <v>0.33333333333333331</v>
      </c>
      <c r="S131" s="2313">
        <f t="shared" si="193"/>
        <v>0.33333333333333331</v>
      </c>
      <c r="T131" s="2313">
        <f t="shared" si="193"/>
        <v>0.33333333333333331</v>
      </c>
      <c r="U131" s="2313">
        <f t="shared" si="193"/>
        <v>0.33333333333333331</v>
      </c>
      <c r="V131" s="2313">
        <f t="shared" si="193"/>
        <v>0.33333333333333331</v>
      </c>
      <c r="W131" s="2316">
        <f t="shared" si="194"/>
        <v>0.33333333333333331</v>
      </c>
      <c r="X131" s="2311">
        <f t="shared" si="194"/>
        <v>0.33333333333333331</v>
      </c>
      <c r="Y131" s="2313">
        <f t="shared" si="194"/>
        <v>0.33333333333333331</v>
      </c>
      <c r="Z131" s="2316">
        <f t="shared" si="194"/>
        <v>0.33333333333333331</v>
      </c>
      <c r="AA131" s="2313">
        <f t="shared" si="194"/>
        <v>0.33333333333333331</v>
      </c>
      <c r="AB131" s="2313">
        <f t="shared" si="194"/>
        <v>0.33333333333333331</v>
      </c>
      <c r="AC131" s="2313">
        <f t="shared" si="194"/>
        <v>0.33333333333333331</v>
      </c>
      <c r="AD131" s="2314">
        <f t="shared" si="194"/>
        <v>0.33333333333333331</v>
      </c>
      <c r="AE131" s="2316">
        <f t="shared" si="195"/>
        <v>0.33333333333333331</v>
      </c>
      <c r="AF131" s="2311">
        <f t="shared" si="195"/>
        <v>0.33333333333333331</v>
      </c>
      <c r="AG131" s="2313">
        <f t="shared" si="195"/>
        <v>0.33333333333333331</v>
      </c>
      <c r="AH131" s="2316">
        <f t="shared" si="195"/>
        <v>0.33333333333333331</v>
      </c>
      <c r="AI131" s="2313">
        <f t="shared" si="195"/>
        <v>0.33333333333333331</v>
      </c>
      <c r="AJ131" s="2313">
        <f t="shared" si="195"/>
        <v>0.33333333333333331</v>
      </c>
      <c r="AK131" s="2313">
        <f t="shared" si="195"/>
        <v>0.33333333333333331</v>
      </c>
      <c r="AL131" s="2314">
        <f t="shared" si="195"/>
        <v>0.33333333333333331</v>
      </c>
      <c r="AM131" s="2317" t="s">
        <v>742</v>
      </c>
      <c r="AN131" s="2304" t="s">
        <v>1333</v>
      </c>
      <c r="AO131" s="2305" t="s">
        <v>676</v>
      </c>
      <c r="AP131" s="2318"/>
      <c r="AQ131" s="4171"/>
      <c r="AR131" s="4169"/>
      <c r="AS131" s="2319"/>
      <c r="AT131" s="2320">
        <f>SUM(AT26-('2. Променливи'!G73-'2. Променливи'!F73))</f>
        <v>0</v>
      </c>
      <c r="AU131" s="2320">
        <f>SUM(AU26-('2. Променливи'!H73-'2. Променливи'!G73))</f>
        <v>0</v>
      </c>
      <c r="AV131" s="2320">
        <f>SUM(AV26-('2. Променливи'!I73-'2. Променливи'!H73))</f>
        <v>0</v>
      </c>
      <c r="AW131" s="2321">
        <f>SUM(AW26-('2. Променливи'!J73-'2. Променливи'!I73))</f>
        <v>0</v>
      </c>
      <c r="AX131" s="2084"/>
      <c r="AY131" s="4488"/>
    </row>
    <row r="132" spans="1:84" ht="13.8" thickBot="1">
      <c r="A132" s="2276"/>
      <c r="B132" s="1309"/>
      <c r="C132" s="1309"/>
      <c r="D132" s="1309"/>
      <c r="E132" s="2322" t="s">
        <v>399</v>
      </c>
      <c r="F132" s="2323">
        <f>IF('4. Отчет и прогн. потребление'!D53&gt;0,(1/SUM(IF('4. Отчет и прогн. потребление'!D9&gt;0,1,0),IF('4. Отчет и прогн. потребление'!D48&gt;0,1,0),IF('4. Отчет и прогн. потребление'!D53&gt;0,1,0))),0)</f>
        <v>0.33333333333333331</v>
      </c>
      <c r="G132" s="4150">
        <f>IF('4. Отчет и прогн. потребление'!D53&gt;0,(1/SUM(IF('4. Отчет и прогн. потребление'!D9&gt;0,1,0),IF('4. Отчет и прогн. потребление'!D48&gt;0,1,0),IF('4. Отчет и прогн. потребление'!D53&gt;0,1,0))),0)</f>
        <v>0.33333333333333331</v>
      </c>
      <c r="H132" s="2324">
        <f>IF('4. Отчет и прогн. потребление'!D53&gt;0,(1/SUM(IF('4. Отчет и прогн. потребление'!D9&gt;0,1,0),IF('4. Отчет и прогн. потребление'!D48&gt;0,1,0),IF('4. Отчет и прогн. потребление'!D53&gt;0,1,0))),0)</f>
        <v>0.33333333333333331</v>
      </c>
      <c r="I132" s="2324">
        <f>IF('4. Отчет и прогн. потребление'!E53&gt;0,(1/SUM(IF('4. Отчет и прогн. потребление'!E9&gt;0,1,0),IF('4. Отчет и прогн. потребление'!E48&gt;0,1,0),IF('4. Отчет и прогн. потребление'!E53&gt;0,1,0))),0)</f>
        <v>0.33333333333333331</v>
      </c>
      <c r="J132" s="2325">
        <f>IF('4. Отчет и прогн. потребление'!F53&gt;0,(1/SUM(IF('4. Отчет и прогн. потребление'!F9&gt;0,1,0),IF('4. Отчет и прогн. потребление'!F48&gt;0,1,0),IF('4. Отчет и прогн. потребление'!F53&gt;0,1,0))),0)</f>
        <v>0.33333333333333331</v>
      </c>
      <c r="K132" s="2325">
        <f>IF('4. Отчет и прогн. потребление'!G53&gt;0,(1/SUM(IF('4. Отчет и прогн. потребление'!G9&gt;0,1,0),IF('4. Отчет и прогн. потребление'!G48&gt;0,1,0),IF('4. Отчет и прогн. потребление'!G53&gt;0,1,0))),0)</f>
        <v>0.33333333333333331</v>
      </c>
      <c r="L132" s="2325">
        <f>IF('4. Отчет и прогн. потребление'!H53&gt;0,(1/SUM(IF('4. Отчет и прогн. потребление'!H9&gt;0,1,0),IF('4. Отчет и прогн. потребление'!H48&gt;0,1,0),IF('4. Отчет и прогн. потребление'!H53&gt;0,1,0))),0)</f>
        <v>0.33333333333333331</v>
      </c>
      <c r="M132" s="2326">
        <f>IF('4. Отчет и прогн. потребление'!I53&gt;0,(1/SUM(IF('4. Отчет и прогн. потребление'!I9&gt;0,1,0),IF('4. Отчет и прогн. потребление'!I48&gt;0,1,0),IF('4. Отчет и прогн. потребление'!I53&gt;0,1,0))),0)</f>
        <v>0.33333333333333331</v>
      </c>
      <c r="N132" s="4160"/>
      <c r="O132" s="2329">
        <f t="shared" ref="O132:P132" si="196">F132</f>
        <v>0.33333333333333331</v>
      </c>
      <c r="P132" s="2328">
        <f t="shared" si="196"/>
        <v>0.33333333333333331</v>
      </c>
      <c r="Q132" s="2327">
        <f t="shared" ref="Q132:V132" si="197">H132</f>
        <v>0.33333333333333331</v>
      </c>
      <c r="R132" s="2328">
        <f t="shared" si="197"/>
        <v>0.33333333333333331</v>
      </c>
      <c r="S132" s="2326">
        <f t="shared" si="197"/>
        <v>0.33333333333333331</v>
      </c>
      <c r="T132" s="2326">
        <f t="shared" si="197"/>
        <v>0.33333333333333331</v>
      </c>
      <c r="U132" s="2326">
        <f t="shared" si="197"/>
        <v>0.33333333333333331</v>
      </c>
      <c r="V132" s="2326">
        <f t="shared" si="197"/>
        <v>0.33333333333333331</v>
      </c>
      <c r="W132" s="2329">
        <f t="shared" si="194"/>
        <v>0.33333333333333331</v>
      </c>
      <c r="X132" s="2324">
        <f t="shared" si="194"/>
        <v>0.33333333333333331</v>
      </c>
      <c r="Y132" s="2326">
        <f t="shared" si="194"/>
        <v>0.33333333333333331</v>
      </c>
      <c r="Z132" s="2329">
        <f t="shared" si="194"/>
        <v>0.33333333333333331</v>
      </c>
      <c r="AA132" s="2326">
        <f t="shared" si="194"/>
        <v>0.33333333333333331</v>
      </c>
      <c r="AB132" s="2326">
        <f t="shared" si="194"/>
        <v>0.33333333333333331</v>
      </c>
      <c r="AC132" s="2326">
        <f t="shared" si="194"/>
        <v>0.33333333333333331</v>
      </c>
      <c r="AD132" s="2327">
        <f t="shared" si="194"/>
        <v>0.33333333333333331</v>
      </c>
      <c r="AE132" s="2329">
        <f t="shared" si="195"/>
        <v>0.33333333333333331</v>
      </c>
      <c r="AF132" s="2324">
        <f t="shared" si="195"/>
        <v>0.33333333333333331</v>
      </c>
      <c r="AG132" s="2326">
        <f t="shared" si="195"/>
        <v>0.33333333333333331</v>
      </c>
      <c r="AH132" s="2329">
        <f t="shared" si="195"/>
        <v>0.33333333333333331</v>
      </c>
      <c r="AI132" s="2326">
        <f t="shared" si="195"/>
        <v>0.33333333333333331</v>
      </c>
      <c r="AJ132" s="2326">
        <f t="shared" si="195"/>
        <v>0.33333333333333331</v>
      </c>
      <c r="AK132" s="2326">
        <f t="shared" si="195"/>
        <v>0.33333333333333331</v>
      </c>
      <c r="AL132" s="2327">
        <f t="shared" si="195"/>
        <v>0.33333333333333331</v>
      </c>
      <c r="AM132" s="2330" t="s">
        <v>46</v>
      </c>
      <c r="AN132" s="2322" t="s">
        <v>1332</v>
      </c>
      <c r="AO132" s="2331" t="s">
        <v>677</v>
      </c>
      <c r="AP132" s="2331">
        <f>(AP78+AP84)-'2. Променливи'!E130*1000</f>
        <v>0</v>
      </c>
      <c r="AQ132" s="4172"/>
      <c r="AR132" s="4170"/>
      <c r="AS132" s="2332">
        <f>(AS78+AS84)-'2. Променливи'!F130</f>
        <v>0</v>
      </c>
      <c r="AT132" s="2333">
        <f>(AT78+AT84)-'2. Променливи'!G130</f>
        <v>0</v>
      </c>
      <c r="AU132" s="2333">
        <f>(AU78+AU84)-'2. Променливи'!H130</f>
        <v>0</v>
      </c>
      <c r="AV132" s="2333">
        <f>(AV78+AV84)-'2. Променливи'!I130</f>
        <v>0</v>
      </c>
      <c r="AW132" s="2334">
        <f>(AW78+AW84)-'2. Променливи'!J130</f>
        <v>0</v>
      </c>
      <c r="AX132" s="2084"/>
      <c r="AY132" s="4488"/>
    </row>
    <row r="133" spans="1:84" ht="13.8" thickBot="1">
      <c r="A133" s="2276"/>
      <c r="B133" s="1309"/>
      <c r="C133" s="1309"/>
      <c r="D133" s="1309"/>
      <c r="E133" s="2277"/>
      <c r="F133" s="2281"/>
      <c r="G133" s="2281"/>
      <c r="H133" s="2281"/>
      <c r="I133" s="2282"/>
      <c r="J133" s="2282"/>
      <c r="K133" s="2282"/>
      <c r="L133" s="2282"/>
      <c r="M133" s="2282"/>
      <c r="N133" s="2282"/>
      <c r="O133" s="2281"/>
      <c r="P133" s="2281"/>
      <c r="Q133" s="2281"/>
      <c r="R133" s="2282"/>
      <c r="S133" s="2282"/>
      <c r="T133" s="2282"/>
      <c r="U133" s="2282"/>
      <c r="V133" s="2282"/>
      <c r="W133" s="2281"/>
      <c r="X133" s="2281"/>
      <c r="Y133" s="2281"/>
      <c r="Z133" s="2282"/>
      <c r="AA133" s="2282"/>
      <c r="AB133" s="2282"/>
      <c r="AC133" s="2282"/>
      <c r="AD133" s="2282"/>
      <c r="AE133" s="2277"/>
      <c r="AF133" s="2277"/>
      <c r="AG133" s="2277"/>
      <c r="AH133" s="2277"/>
      <c r="AI133" s="2277"/>
      <c r="AJ133" s="2277"/>
      <c r="AK133" s="2277"/>
      <c r="AL133" s="2277"/>
      <c r="AM133" s="2277"/>
      <c r="AN133" s="2277"/>
      <c r="AO133" s="2277"/>
      <c r="AP133" s="2277"/>
      <c r="AQ133" s="2277"/>
      <c r="AR133" s="2277"/>
      <c r="AS133" s="2277"/>
      <c r="AT133" s="2277"/>
      <c r="AU133" s="2277"/>
      <c r="AV133" s="2277"/>
      <c r="AW133" s="2277"/>
      <c r="AX133" s="2084"/>
      <c r="AY133" s="4488"/>
    </row>
    <row r="134" spans="1:84" ht="22.8">
      <c r="A134" s="2276"/>
      <c r="B134" s="1309"/>
      <c r="C134" s="1309"/>
      <c r="D134" s="1309"/>
      <c r="E134" s="2335" t="s">
        <v>400</v>
      </c>
      <c r="F134" s="2233">
        <f t="shared" ref="F134" si="198">F57+F60</f>
        <v>122.52876000000001</v>
      </c>
      <c r="G134" s="4151">
        <f t="shared" ref="G134:M134" si="199">G57+G60</f>
        <v>474.67497699999996</v>
      </c>
      <c r="H134" s="2234">
        <f>H57+H60</f>
        <v>125</v>
      </c>
      <c r="I134" s="2235">
        <f t="shared" si="199"/>
        <v>157</v>
      </c>
      <c r="J134" s="2236">
        <f t="shared" si="199"/>
        <v>151</v>
      </c>
      <c r="K134" s="2236">
        <f t="shared" si="199"/>
        <v>170</v>
      </c>
      <c r="L134" s="2236">
        <f t="shared" si="199"/>
        <v>164</v>
      </c>
      <c r="M134" s="2237">
        <f t="shared" si="199"/>
        <v>151</v>
      </c>
      <c r="N134" s="2336">
        <f t="shared" ref="N134:N157" si="200">SUM(I134:M134)</f>
        <v>793</v>
      </c>
      <c r="O134" s="2233">
        <f t="shared" ref="O134" si="201">O57+O60</f>
        <v>122.52876000000001</v>
      </c>
      <c r="P134" s="4151">
        <f t="shared" ref="P134:AL134" si="202">P57+P60</f>
        <v>474.67497699999996</v>
      </c>
      <c r="Q134" s="2234">
        <f t="shared" si="202"/>
        <v>125</v>
      </c>
      <c r="R134" s="2235">
        <f t="shared" si="202"/>
        <v>157</v>
      </c>
      <c r="S134" s="2236">
        <f t="shared" si="202"/>
        <v>151</v>
      </c>
      <c r="T134" s="2236">
        <f t="shared" si="202"/>
        <v>170</v>
      </c>
      <c r="U134" s="2236">
        <f t="shared" si="202"/>
        <v>164</v>
      </c>
      <c r="V134" s="2238">
        <f t="shared" si="202"/>
        <v>151</v>
      </c>
      <c r="W134" s="2233">
        <f t="shared" ref="W134" si="203">W57+W60</f>
        <v>0</v>
      </c>
      <c r="X134" s="4151">
        <f t="shared" si="202"/>
        <v>0</v>
      </c>
      <c r="Y134" s="2234">
        <f t="shared" si="202"/>
        <v>0</v>
      </c>
      <c r="Z134" s="2293">
        <f t="shared" si="202"/>
        <v>0</v>
      </c>
      <c r="AA134" s="2236">
        <f t="shared" si="202"/>
        <v>0</v>
      </c>
      <c r="AB134" s="2236">
        <f t="shared" si="202"/>
        <v>0</v>
      </c>
      <c r="AC134" s="2236">
        <f t="shared" si="202"/>
        <v>0</v>
      </c>
      <c r="AD134" s="2238">
        <f t="shared" si="202"/>
        <v>0</v>
      </c>
      <c r="AE134" s="2233">
        <f t="shared" ref="AE134" si="204">AE57+AE60</f>
        <v>0</v>
      </c>
      <c r="AF134" s="4151">
        <f t="shared" si="202"/>
        <v>0</v>
      </c>
      <c r="AG134" s="2234">
        <f>AG57+AG60</f>
        <v>0</v>
      </c>
      <c r="AH134" s="2293">
        <f t="shared" si="202"/>
        <v>0</v>
      </c>
      <c r="AI134" s="2236">
        <f t="shared" si="202"/>
        <v>0</v>
      </c>
      <c r="AJ134" s="2236">
        <f t="shared" si="202"/>
        <v>0</v>
      </c>
      <c r="AK134" s="2236">
        <f t="shared" si="202"/>
        <v>0</v>
      </c>
      <c r="AL134" s="2238">
        <f t="shared" si="202"/>
        <v>0</v>
      </c>
      <c r="AM134" s="2277"/>
      <c r="AN134" s="2277"/>
      <c r="AO134" s="2277"/>
      <c r="AP134" s="2277"/>
      <c r="AQ134" s="2277"/>
      <c r="AR134" s="2277"/>
      <c r="AS134" s="2277"/>
      <c r="AT134" s="2277"/>
      <c r="AU134" s="2277"/>
      <c r="AV134" s="2277"/>
      <c r="AW134" s="2277"/>
      <c r="AX134" s="2084"/>
      <c r="AY134" s="4488"/>
      <c r="AZ134" s="4504">
        <f t="shared" ref="AZ134:AZ137" si="205">IFERROR(F134/$E$1,0)</f>
        <v>62.647960201039972</v>
      </c>
      <c r="BA134" s="4504">
        <f t="shared" ref="BA134:BA137" si="206">IFERROR(G134/$E$1,0)</f>
        <v>242.69746194710171</v>
      </c>
      <c r="BB134" s="4504">
        <f t="shared" ref="BB134:BB137" si="207">IFERROR(H134/$E$1,0)</f>
        <v>63.911485149527309</v>
      </c>
      <c r="BC134" s="4504">
        <f t="shared" ref="BC134:BC137" si="208">IFERROR(I134/$E$1,0)</f>
        <v>80.272825347806304</v>
      </c>
      <c r="BD134" s="4504">
        <f t="shared" ref="BD134:BD137" si="209">IFERROR(J134/$E$1,0)</f>
        <v>77.205074060628988</v>
      </c>
      <c r="BE134" s="4504">
        <f t="shared" ref="BE134:BE137" si="210">IFERROR(K134/$E$1,0)</f>
        <v>86.919619803357151</v>
      </c>
      <c r="BF134" s="4504">
        <f t="shared" ref="BF134:BF137" si="211">IFERROR(L134/$E$1,0)</f>
        <v>83.851868516179835</v>
      </c>
      <c r="BG134" s="4504">
        <f t="shared" ref="BG134:BG137" si="212">IFERROR(M134/$E$1,0)</f>
        <v>77.205074060628988</v>
      </c>
      <c r="BH134" s="4504">
        <f t="shared" ref="BH134:BH137" si="213">IFERROR(N134/$E$1,0)</f>
        <v>405.45446178860129</v>
      </c>
      <c r="BI134" s="4504">
        <f t="shared" ref="BI134:BI137" si="214">IFERROR(O134/$E$1,0)</f>
        <v>62.647960201039972</v>
      </c>
      <c r="BJ134" s="4504">
        <f t="shared" ref="BJ134:BJ137" si="215">IFERROR(P134/$E$1,0)</f>
        <v>242.69746194710171</v>
      </c>
      <c r="BK134" s="4504">
        <f t="shared" ref="BK134:BK137" si="216">IFERROR(Q134/$E$1,0)</f>
        <v>63.911485149527309</v>
      </c>
      <c r="BL134" s="4504">
        <f t="shared" ref="BL134:BL137" si="217">IFERROR(R134/$E$1,0)</f>
        <v>80.272825347806304</v>
      </c>
      <c r="BM134" s="4504">
        <f t="shared" ref="BM134:BM137" si="218">IFERROR(S134/$E$1,0)</f>
        <v>77.205074060628988</v>
      </c>
      <c r="BN134" s="4504">
        <f t="shared" ref="BN134:BN137" si="219">IFERROR(T134/$E$1,0)</f>
        <v>86.919619803357151</v>
      </c>
      <c r="BO134" s="4504">
        <f t="shared" ref="BO134:BO137" si="220">IFERROR(U134/$E$1,0)</f>
        <v>83.851868516179835</v>
      </c>
      <c r="BP134" s="4504">
        <f t="shared" ref="BP134:BP137" si="221">IFERROR(V134/$E$1,0)</f>
        <v>77.205074060628988</v>
      </c>
      <c r="BQ134" s="4504">
        <f t="shared" ref="BQ134:BQ137" si="222">IFERROR(W134/$E$1,0)</f>
        <v>0</v>
      </c>
      <c r="BR134" s="4504">
        <f t="shared" ref="BR134:BR137" si="223">IFERROR(X134/$E$1,0)</f>
        <v>0</v>
      </c>
      <c r="BS134" s="4504">
        <f t="shared" ref="BS134:BS137" si="224">IFERROR(Y134/$E$1,0)</f>
        <v>0</v>
      </c>
      <c r="BT134" s="4504">
        <f t="shared" ref="BT134:BT137" si="225">IFERROR(Z134/$E$1,0)</f>
        <v>0</v>
      </c>
      <c r="BU134" s="4504">
        <f t="shared" ref="BU134:BU137" si="226">IFERROR(AA134/$E$1,0)</f>
        <v>0</v>
      </c>
      <c r="BV134" s="4504">
        <f t="shared" ref="BV134:BV137" si="227">IFERROR(AB134/$E$1,0)</f>
        <v>0</v>
      </c>
      <c r="BW134" s="4504">
        <f t="shared" ref="BW134:BW137" si="228">IFERROR(AC134/$E$1,0)</f>
        <v>0</v>
      </c>
      <c r="BX134" s="4504">
        <f t="shared" ref="BX134:BX137" si="229">IFERROR(AD134/$E$1,0)</f>
        <v>0</v>
      </c>
      <c r="BY134" s="4504">
        <f t="shared" ref="BY134:BY137" si="230">IFERROR(AE134/$E$1,0)</f>
        <v>0</v>
      </c>
      <c r="BZ134" s="4504">
        <f t="shared" ref="BZ134:BZ137" si="231">IFERROR(AF134/$E$1,0)</f>
        <v>0</v>
      </c>
      <c r="CA134" s="4504">
        <f t="shared" ref="CA134:CA137" si="232">IFERROR(AG134/$E$1,0)</f>
        <v>0</v>
      </c>
      <c r="CB134" s="4504">
        <f t="shared" ref="CB134:CB137" si="233">IFERROR(AH134/$E$1,0)</f>
        <v>0</v>
      </c>
      <c r="CC134" s="4504">
        <f t="shared" ref="CC134:CC137" si="234">IFERROR(AI134/$E$1,0)</f>
        <v>0</v>
      </c>
      <c r="CD134" s="4504">
        <f t="shared" ref="CD134:CD137" si="235">IFERROR(AJ134/$E$1,0)</f>
        <v>0</v>
      </c>
      <c r="CE134" s="4504">
        <f t="shared" ref="CE134:CE137" si="236">IFERROR(AK134/$E$1,0)</f>
        <v>0</v>
      </c>
      <c r="CF134" s="4504">
        <f t="shared" ref="CF134:CF137" si="237">IFERROR(AL134/$E$1,0)</f>
        <v>0</v>
      </c>
    </row>
    <row r="135" spans="1:84" ht="24">
      <c r="A135" s="2276"/>
      <c r="B135" s="1309"/>
      <c r="C135" s="1309"/>
      <c r="D135" s="1309"/>
      <c r="E135" s="2304" t="s">
        <v>207</v>
      </c>
      <c r="F135" s="2337">
        <f t="shared" ref="F135" si="238">F130*F$134</f>
        <v>40.842919999999999</v>
      </c>
      <c r="G135" s="4152">
        <f t="shared" ref="G135:M137" si="239">G130*G$134</f>
        <v>158.22499233333332</v>
      </c>
      <c r="H135" s="2338">
        <f>H130*H$134</f>
        <v>41.666666666666664</v>
      </c>
      <c r="I135" s="2339">
        <f>I130*I$134</f>
        <v>52.333333333333329</v>
      </c>
      <c r="J135" s="2340">
        <f t="shared" si="239"/>
        <v>50.333333333333329</v>
      </c>
      <c r="K135" s="2340">
        <f t="shared" si="239"/>
        <v>56.666666666666664</v>
      </c>
      <c r="L135" s="2340">
        <f t="shared" si="239"/>
        <v>54.666666666666664</v>
      </c>
      <c r="M135" s="2341">
        <f t="shared" si="239"/>
        <v>50.333333333333329</v>
      </c>
      <c r="N135" s="2179">
        <f t="shared" si="200"/>
        <v>264.33333333333331</v>
      </c>
      <c r="O135" s="2305">
        <f t="shared" ref="O135:V137" si="240">F130*O$134</f>
        <v>40.842919999999999</v>
      </c>
      <c r="P135" s="2347">
        <f t="shared" si="240"/>
        <v>158.22499233333332</v>
      </c>
      <c r="Q135" s="2338">
        <f t="shared" si="240"/>
        <v>41.666666666666664</v>
      </c>
      <c r="R135" s="2342">
        <f t="shared" si="240"/>
        <v>52.333333333333329</v>
      </c>
      <c r="S135" s="2343">
        <f t="shared" si="240"/>
        <v>50.333333333333329</v>
      </c>
      <c r="T135" s="2343">
        <f t="shared" si="240"/>
        <v>56.666666666666664</v>
      </c>
      <c r="U135" s="2343">
        <f t="shared" si="240"/>
        <v>54.666666666666664</v>
      </c>
      <c r="V135" s="2344">
        <f t="shared" si="240"/>
        <v>50.333333333333329</v>
      </c>
      <c r="W135" s="2337">
        <f t="shared" ref="W135:AD137" si="241">F130*W$134</f>
        <v>0</v>
      </c>
      <c r="X135" s="4152">
        <f t="shared" si="241"/>
        <v>0</v>
      </c>
      <c r="Y135" s="2338">
        <f t="shared" si="241"/>
        <v>0</v>
      </c>
      <c r="Z135" s="2337">
        <f t="shared" si="241"/>
        <v>0</v>
      </c>
      <c r="AA135" s="2345">
        <f t="shared" si="241"/>
        <v>0</v>
      </c>
      <c r="AB135" s="2345">
        <f t="shared" si="241"/>
        <v>0</v>
      </c>
      <c r="AC135" s="2345">
        <f t="shared" si="241"/>
        <v>0</v>
      </c>
      <c r="AD135" s="2338">
        <f t="shared" si="241"/>
        <v>0</v>
      </c>
      <c r="AE135" s="2337">
        <f t="shared" ref="AE135:AL137" si="242">F130*AE$134</f>
        <v>0</v>
      </c>
      <c r="AF135" s="4152">
        <f t="shared" si="242"/>
        <v>0</v>
      </c>
      <c r="AG135" s="2338">
        <f t="shared" si="242"/>
        <v>0</v>
      </c>
      <c r="AH135" s="2337">
        <f t="shared" si="242"/>
        <v>0</v>
      </c>
      <c r="AI135" s="2345">
        <f t="shared" si="242"/>
        <v>0</v>
      </c>
      <c r="AJ135" s="2345">
        <f t="shared" si="242"/>
        <v>0</v>
      </c>
      <c r="AK135" s="2345">
        <f t="shared" si="242"/>
        <v>0</v>
      </c>
      <c r="AL135" s="2338">
        <f t="shared" si="242"/>
        <v>0</v>
      </c>
      <c r="AM135" s="2277"/>
      <c r="AN135" s="2277"/>
      <c r="AO135" s="2277"/>
      <c r="AP135" s="2277"/>
      <c r="AQ135" s="2277"/>
      <c r="AR135" s="2277"/>
      <c r="AS135" s="2277"/>
      <c r="AT135" s="2277"/>
      <c r="AU135" s="2277"/>
      <c r="AV135" s="2277"/>
      <c r="AW135" s="2277"/>
      <c r="AX135" s="2084"/>
      <c r="AY135" s="4488"/>
      <c r="AZ135" s="4504">
        <f t="shared" si="205"/>
        <v>20.882653400346655</v>
      </c>
      <c r="BA135" s="4504">
        <f t="shared" si="206"/>
        <v>80.899153982367238</v>
      </c>
      <c r="BB135" s="4504">
        <f t="shared" si="207"/>
        <v>21.30382838317577</v>
      </c>
      <c r="BC135" s="4504">
        <f t="shared" si="208"/>
        <v>26.757608449268766</v>
      </c>
      <c r="BD135" s="4504">
        <f t="shared" si="209"/>
        <v>25.735024686876329</v>
      </c>
      <c r="BE135" s="4504">
        <f t="shared" si="210"/>
        <v>28.973206601119045</v>
      </c>
      <c r="BF135" s="4504">
        <f t="shared" si="211"/>
        <v>27.950622838726609</v>
      </c>
      <c r="BG135" s="4504">
        <f t="shared" si="212"/>
        <v>25.735024686876329</v>
      </c>
      <c r="BH135" s="4504">
        <f t="shared" si="213"/>
        <v>135.15148726286708</v>
      </c>
      <c r="BI135" s="4504">
        <f t="shared" si="214"/>
        <v>20.882653400346655</v>
      </c>
      <c r="BJ135" s="4504">
        <f t="shared" si="215"/>
        <v>80.899153982367238</v>
      </c>
      <c r="BK135" s="4504">
        <f t="shared" si="216"/>
        <v>21.30382838317577</v>
      </c>
      <c r="BL135" s="4504">
        <f t="shared" si="217"/>
        <v>26.757608449268766</v>
      </c>
      <c r="BM135" s="4504">
        <f t="shared" si="218"/>
        <v>25.735024686876329</v>
      </c>
      <c r="BN135" s="4504">
        <f t="shared" si="219"/>
        <v>28.973206601119045</v>
      </c>
      <c r="BO135" s="4504">
        <f t="shared" si="220"/>
        <v>27.950622838726609</v>
      </c>
      <c r="BP135" s="4504">
        <f t="shared" si="221"/>
        <v>25.735024686876329</v>
      </c>
      <c r="BQ135" s="4504">
        <f t="shared" si="222"/>
        <v>0</v>
      </c>
      <c r="BR135" s="4504">
        <f t="shared" si="223"/>
        <v>0</v>
      </c>
      <c r="BS135" s="4504">
        <f t="shared" si="224"/>
        <v>0</v>
      </c>
      <c r="BT135" s="4504">
        <f t="shared" si="225"/>
        <v>0</v>
      </c>
      <c r="BU135" s="4504">
        <f t="shared" si="226"/>
        <v>0</v>
      </c>
      <c r="BV135" s="4504">
        <f t="shared" si="227"/>
        <v>0</v>
      </c>
      <c r="BW135" s="4504">
        <f t="shared" si="228"/>
        <v>0</v>
      </c>
      <c r="BX135" s="4504">
        <f t="shared" si="229"/>
        <v>0</v>
      </c>
      <c r="BY135" s="4504">
        <f t="shared" si="230"/>
        <v>0</v>
      </c>
      <c r="BZ135" s="4504">
        <f t="shared" si="231"/>
        <v>0</v>
      </c>
      <c r="CA135" s="4504">
        <f t="shared" si="232"/>
        <v>0</v>
      </c>
      <c r="CB135" s="4504">
        <f t="shared" si="233"/>
        <v>0</v>
      </c>
      <c r="CC135" s="4504">
        <f t="shared" si="234"/>
        <v>0</v>
      </c>
      <c r="CD135" s="4504">
        <f t="shared" si="235"/>
        <v>0</v>
      </c>
      <c r="CE135" s="4504">
        <f t="shared" si="236"/>
        <v>0</v>
      </c>
      <c r="CF135" s="4504">
        <f t="shared" si="237"/>
        <v>0</v>
      </c>
    </row>
    <row r="136" spans="1:84">
      <c r="A136" s="2276"/>
      <c r="B136" s="1309"/>
      <c r="C136" s="1309"/>
      <c r="D136" s="1309"/>
      <c r="E136" s="2304" t="s">
        <v>208</v>
      </c>
      <c r="F136" s="2305">
        <f>F131*F$134</f>
        <v>40.842919999999999</v>
      </c>
      <c r="G136" s="2347">
        <f>G131*G$134</f>
        <v>158.22499233333332</v>
      </c>
      <c r="H136" s="2338">
        <f t="shared" si="239"/>
        <v>41.666666666666664</v>
      </c>
      <c r="I136" s="2339">
        <f t="shared" si="239"/>
        <v>52.333333333333329</v>
      </c>
      <c r="J136" s="2340">
        <f t="shared" si="239"/>
        <v>50.333333333333329</v>
      </c>
      <c r="K136" s="2340">
        <f t="shared" si="239"/>
        <v>56.666666666666664</v>
      </c>
      <c r="L136" s="2340">
        <f t="shared" si="239"/>
        <v>54.666666666666664</v>
      </c>
      <c r="M136" s="2341">
        <f t="shared" si="239"/>
        <v>50.333333333333329</v>
      </c>
      <c r="N136" s="2179">
        <f t="shared" si="200"/>
        <v>264.33333333333331</v>
      </c>
      <c r="O136" s="2305">
        <f t="shared" si="240"/>
        <v>40.842919999999999</v>
      </c>
      <c r="P136" s="2347">
        <f t="shared" si="240"/>
        <v>158.22499233333332</v>
      </c>
      <c r="Q136" s="2346">
        <f t="shared" si="240"/>
        <v>41.666666666666664</v>
      </c>
      <c r="R136" s="2347">
        <f t="shared" si="240"/>
        <v>52.333333333333329</v>
      </c>
      <c r="S136" s="2348">
        <f t="shared" si="240"/>
        <v>50.333333333333329</v>
      </c>
      <c r="T136" s="2348">
        <f t="shared" si="240"/>
        <v>56.666666666666664</v>
      </c>
      <c r="U136" s="2348">
        <f t="shared" si="240"/>
        <v>54.666666666666664</v>
      </c>
      <c r="V136" s="2346">
        <f t="shared" si="240"/>
        <v>50.333333333333329</v>
      </c>
      <c r="W136" s="2305">
        <f t="shared" si="241"/>
        <v>0</v>
      </c>
      <c r="X136" s="2347">
        <f t="shared" si="241"/>
        <v>0</v>
      </c>
      <c r="Y136" s="2346">
        <f t="shared" si="241"/>
        <v>0</v>
      </c>
      <c r="Z136" s="2305">
        <f t="shared" si="241"/>
        <v>0</v>
      </c>
      <c r="AA136" s="2348">
        <f t="shared" si="241"/>
        <v>0</v>
      </c>
      <c r="AB136" s="2348">
        <f t="shared" si="241"/>
        <v>0</v>
      </c>
      <c r="AC136" s="2348">
        <f t="shared" si="241"/>
        <v>0</v>
      </c>
      <c r="AD136" s="2346">
        <f t="shared" si="241"/>
        <v>0</v>
      </c>
      <c r="AE136" s="2305">
        <f t="shared" si="242"/>
        <v>0</v>
      </c>
      <c r="AF136" s="2347">
        <f t="shared" si="242"/>
        <v>0</v>
      </c>
      <c r="AG136" s="2346">
        <f t="shared" si="242"/>
        <v>0</v>
      </c>
      <c r="AH136" s="2305">
        <f t="shared" si="242"/>
        <v>0</v>
      </c>
      <c r="AI136" s="2348">
        <f t="shared" si="242"/>
        <v>0</v>
      </c>
      <c r="AJ136" s="2348">
        <f t="shared" si="242"/>
        <v>0</v>
      </c>
      <c r="AK136" s="2348">
        <f t="shared" si="242"/>
        <v>0</v>
      </c>
      <c r="AL136" s="2346">
        <f t="shared" si="242"/>
        <v>0</v>
      </c>
      <c r="AM136" s="2278"/>
      <c r="AN136" s="2277"/>
      <c r="AO136" s="2278"/>
      <c r="AP136" s="2278"/>
      <c r="AQ136" s="2278"/>
      <c r="AR136" s="2080"/>
      <c r="AS136" s="2080"/>
      <c r="AT136" s="2080"/>
      <c r="AU136" s="2080"/>
      <c r="AV136" s="2080"/>
      <c r="AW136" s="2280"/>
      <c r="AX136" s="2084"/>
      <c r="AY136" s="4488"/>
      <c r="AZ136" s="4504">
        <f t="shared" si="205"/>
        <v>20.882653400346655</v>
      </c>
      <c r="BA136" s="4504">
        <f t="shared" si="206"/>
        <v>80.899153982367238</v>
      </c>
      <c r="BB136" s="4504">
        <f t="shared" si="207"/>
        <v>21.30382838317577</v>
      </c>
      <c r="BC136" s="4504">
        <f t="shared" si="208"/>
        <v>26.757608449268766</v>
      </c>
      <c r="BD136" s="4504">
        <f t="shared" si="209"/>
        <v>25.735024686876329</v>
      </c>
      <c r="BE136" s="4504">
        <f t="shared" si="210"/>
        <v>28.973206601119045</v>
      </c>
      <c r="BF136" s="4504">
        <f t="shared" si="211"/>
        <v>27.950622838726609</v>
      </c>
      <c r="BG136" s="4504">
        <f t="shared" si="212"/>
        <v>25.735024686876329</v>
      </c>
      <c r="BH136" s="4504">
        <f t="shared" si="213"/>
        <v>135.15148726286708</v>
      </c>
      <c r="BI136" s="4504">
        <f t="shared" si="214"/>
        <v>20.882653400346655</v>
      </c>
      <c r="BJ136" s="4504">
        <f t="shared" si="215"/>
        <v>80.899153982367238</v>
      </c>
      <c r="BK136" s="4504">
        <f t="shared" si="216"/>
        <v>21.30382838317577</v>
      </c>
      <c r="BL136" s="4504">
        <f t="shared" si="217"/>
        <v>26.757608449268766</v>
      </c>
      <c r="BM136" s="4504">
        <f t="shared" si="218"/>
        <v>25.735024686876329</v>
      </c>
      <c r="BN136" s="4504">
        <f t="shared" si="219"/>
        <v>28.973206601119045</v>
      </c>
      <c r="BO136" s="4504">
        <f t="shared" si="220"/>
        <v>27.950622838726609</v>
      </c>
      <c r="BP136" s="4504">
        <f t="shared" si="221"/>
        <v>25.735024686876329</v>
      </c>
      <c r="BQ136" s="4504">
        <f t="shared" si="222"/>
        <v>0</v>
      </c>
      <c r="BR136" s="4504">
        <f t="shared" si="223"/>
        <v>0</v>
      </c>
      <c r="BS136" s="4504">
        <f t="shared" si="224"/>
        <v>0</v>
      </c>
      <c r="BT136" s="4504">
        <f t="shared" si="225"/>
        <v>0</v>
      </c>
      <c r="BU136" s="4504">
        <f t="shared" si="226"/>
        <v>0</v>
      </c>
      <c r="BV136" s="4504">
        <f t="shared" si="227"/>
        <v>0</v>
      </c>
      <c r="BW136" s="4504">
        <f t="shared" si="228"/>
        <v>0</v>
      </c>
      <c r="BX136" s="4504">
        <f t="shared" si="229"/>
        <v>0</v>
      </c>
      <c r="BY136" s="4504">
        <f t="shared" si="230"/>
        <v>0</v>
      </c>
      <c r="BZ136" s="4504">
        <f t="shared" si="231"/>
        <v>0</v>
      </c>
      <c r="CA136" s="4504">
        <f t="shared" si="232"/>
        <v>0</v>
      </c>
      <c r="CB136" s="4504">
        <f t="shared" si="233"/>
        <v>0</v>
      </c>
      <c r="CC136" s="4504">
        <f t="shared" si="234"/>
        <v>0</v>
      </c>
      <c r="CD136" s="4504">
        <f t="shared" si="235"/>
        <v>0</v>
      </c>
      <c r="CE136" s="4504">
        <f t="shared" si="236"/>
        <v>0</v>
      </c>
      <c r="CF136" s="4504">
        <f t="shared" si="237"/>
        <v>0</v>
      </c>
    </row>
    <row r="137" spans="1:84" s="1313" customFormat="1" ht="13.8" thickBot="1">
      <c r="A137" s="2349"/>
      <c r="B137" s="2350"/>
      <c r="C137" s="2350"/>
      <c r="D137" s="2350"/>
      <c r="E137" s="2304" t="s">
        <v>209</v>
      </c>
      <c r="F137" s="2351">
        <f>F132*F$134</f>
        <v>40.842919999999999</v>
      </c>
      <c r="G137" s="2358">
        <f>G132*G$134</f>
        <v>158.22499233333332</v>
      </c>
      <c r="H137" s="2352">
        <f t="shared" si="239"/>
        <v>41.666666666666664</v>
      </c>
      <c r="I137" s="2353">
        <f t="shared" si="239"/>
        <v>52.333333333333329</v>
      </c>
      <c r="J137" s="2354">
        <f t="shared" si="239"/>
        <v>50.333333333333329</v>
      </c>
      <c r="K137" s="2354">
        <f t="shared" si="239"/>
        <v>56.666666666666664</v>
      </c>
      <c r="L137" s="2354">
        <f t="shared" si="239"/>
        <v>54.666666666666664</v>
      </c>
      <c r="M137" s="2355">
        <f t="shared" si="239"/>
        <v>50.333333333333329</v>
      </c>
      <c r="N137" s="2356">
        <f t="shared" si="200"/>
        <v>264.33333333333331</v>
      </c>
      <c r="O137" s="2351">
        <f t="shared" si="240"/>
        <v>40.842919999999999</v>
      </c>
      <c r="P137" s="2358">
        <f t="shared" si="240"/>
        <v>158.22499233333332</v>
      </c>
      <c r="Q137" s="2357">
        <f t="shared" si="240"/>
        <v>41.666666666666664</v>
      </c>
      <c r="R137" s="2358">
        <f t="shared" si="240"/>
        <v>52.333333333333329</v>
      </c>
      <c r="S137" s="2359">
        <f t="shared" si="240"/>
        <v>50.333333333333329</v>
      </c>
      <c r="T137" s="2359">
        <f t="shared" si="240"/>
        <v>56.666666666666664</v>
      </c>
      <c r="U137" s="2359">
        <f t="shared" si="240"/>
        <v>54.666666666666664</v>
      </c>
      <c r="V137" s="2357">
        <f t="shared" si="240"/>
        <v>50.333333333333329</v>
      </c>
      <c r="W137" s="2360">
        <f t="shared" si="241"/>
        <v>0</v>
      </c>
      <c r="X137" s="4168">
        <f t="shared" si="241"/>
        <v>0</v>
      </c>
      <c r="Y137" s="2352">
        <f t="shared" si="241"/>
        <v>0</v>
      </c>
      <c r="Z137" s="2360">
        <f t="shared" si="241"/>
        <v>0</v>
      </c>
      <c r="AA137" s="2361">
        <f t="shared" si="241"/>
        <v>0</v>
      </c>
      <c r="AB137" s="2361">
        <f t="shared" si="241"/>
        <v>0</v>
      </c>
      <c r="AC137" s="2361">
        <f t="shared" si="241"/>
        <v>0</v>
      </c>
      <c r="AD137" s="2352">
        <f t="shared" si="241"/>
        <v>0</v>
      </c>
      <c r="AE137" s="2360">
        <f t="shared" si="242"/>
        <v>0</v>
      </c>
      <c r="AF137" s="4168">
        <f t="shared" si="242"/>
        <v>0</v>
      </c>
      <c r="AG137" s="2352">
        <f t="shared" si="242"/>
        <v>0</v>
      </c>
      <c r="AH137" s="2360">
        <f t="shared" si="242"/>
        <v>0</v>
      </c>
      <c r="AI137" s="2361">
        <f t="shared" si="242"/>
        <v>0</v>
      </c>
      <c r="AJ137" s="2361">
        <f t="shared" si="242"/>
        <v>0</v>
      </c>
      <c r="AK137" s="2361">
        <f t="shared" si="242"/>
        <v>0</v>
      </c>
      <c r="AL137" s="2352">
        <f t="shared" si="242"/>
        <v>0</v>
      </c>
      <c r="AM137" s="2362"/>
      <c r="AN137" s="2363"/>
      <c r="AO137" s="2362"/>
      <c r="AP137" s="2362"/>
      <c r="AQ137" s="2362"/>
      <c r="AR137" s="2364"/>
      <c r="AS137" s="2364"/>
      <c r="AT137" s="2364"/>
      <c r="AU137" s="2364"/>
      <c r="AV137" s="2364"/>
      <c r="AW137" s="2365"/>
      <c r="AX137" s="2366"/>
      <c r="AY137" s="4488"/>
      <c r="AZ137" s="4504">
        <f t="shared" si="205"/>
        <v>20.882653400346655</v>
      </c>
      <c r="BA137" s="4504">
        <f t="shared" si="206"/>
        <v>80.899153982367238</v>
      </c>
      <c r="BB137" s="4504">
        <f t="shared" si="207"/>
        <v>21.30382838317577</v>
      </c>
      <c r="BC137" s="4504">
        <f t="shared" si="208"/>
        <v>26.757608449268766</v>
      </c>
      <c r="BD137" s="4504">
        <f t="shared" si="209"/>
        <v>25.735024686876329</v>
      </c>
      <c r="BE137" s="4504">
        <f t="shared" si="210"/>
        <v>28.973206601119045</v>
      </c>
      <c r="BF137" s="4504">
        <f t="shared" si="211"/>
        <v>27.950622838726609</v>
      </c>
      <c r="BG137" s="4504">
        <f t="shared" si="212"/>
        <v>25.735024686876329</v>
      </c>
      <c r="BH137" s="4504">
        <f t="shared" si="213"/>
        <v>135.15148726286708</v>
      </c>
      <c r="BI137" s="4504">
        <f t="shared" si="214"/>
        <v>20.882653400346655</v>
      </c>
      <c r="BJ137" s="4504">
        <f t="shared" si="215"/>
        <v>80.899153982367238</v>
      </c>
      <c r="BK137" s="4504">
        <f t="shared" si="216"/>
        <v>21.30382838317577</v>
      </c>
      <c r="BL137" s="4504">
        <f t="shared" si="217"/>
        <v>26.757608449268766</v>
      </c>
      <c r="BM137" s="4504">
        <f t="shared" si="218"/>
        <v>25.735024686876329</v>
      </c>
      <c r="BN137" s="4504">
        <f t="shared" si="219"/>
        <v>28.973206601119045</v>
      </c>
      <c r="BO137" s="4504">
        <f t="shared" si="220"/>
        <v>27.950622838726609</v>
      </c>
      <c r="BP137" s="4504">
        <f t="shared" si="221"/>
        <v>25.735024686876329</v>
      </c>
      <c r="BQ137" s="4504">
        <f t="shared" si="222"/>
        <v>0</v>
      </c>
      <c r="BR137" s="4504">
        <f t="shared" si="223"/>
        <v>0</v>
      </c>
      <c r="BS137" s="4504">
        <f t="shared" si="224"/>
        <v>0</v>
      </c>
      <c r="BT137" s="4504">
        <f t="shared" si="225"/>
        <v>0</v>
      </c>
      <c r="BU137" s="4504">
        <f t="shared" si="226"/>
        <v>0</v>
      </c>
      <c r="BV137" s="4504">
        <f t="shared" si="227"/>
        <v>0</v>
      </c>
      <c r="BW137" s="4504">
        <f t="shared" si="228"/>
        <v>0</v>
      </c>
      <c r="BX137" s="4504">
        <f t="shared" si="229"/>
        <v>0</v>
      </c>
      <c r="BY137" s="4504">
        <f t="shared" si="230"/>
        <v>0</v>
      </c>
      <c r="BZ137" s="4504">
        <f t="shared" si="231"/>
        <v>0</v>
      </c>
      <c r="CA137" s="4504">
        <f t="shared" si="232"/>
        <v>0</v>
      </c>
      <c r="CB137" s="4504">
        <f t="shared" si="233"/>
        <v>0</v>
      </c>
      <c r="CC137" s="4504">
        <f t="shared" si="234"/>
        <v>0</v>
      </c>
      <c r="CD137" s="4504">
        <f t="shared" si="235"/>
        <v>0</v>
      </c>
      <c r="CE137" s="4504">
        <f t="shared" si="236"/>
        <v>0</v>
      </c>
      <c r="CF137" s="4504">
        <f t="shared" si="237"/>
        <v>0</v>
      </c>
    </row>
    <row r="138" spans="1:84" ht="13.8" thickBot="1">
      <c r="A138" s="2276"/>
      <c r="B138" s="1309"/>
      <c r="C138" s="1309"/>
      <c r="D138" s="1309"/>
      <c r="E138" s="2277"/>
      <c r="F138" s="2281"/>
      <c r="G138" s="2281"/>
      <c r="H138" s="2281"/>
      <c r="I138" s="2282"/>
      <c r="J138" s="2282"/>
      <c r="K138" s="2282"/>
      <c r="L138" s="2282"/>
      <c r="M138" s="2367"/>
      <c r="N138" s="2282"/>
      <c r="O138" s="2281"/>
      <c r="P138" s="2281"/>
      <c r="Q138" s="2281"/>
      <c r="R138" s="2282"/>
      <c r="S138" s="2282"/>
      <c r="T138" s="2282"/>
      <c r="U138" s="2282"/>
      <c r="V138" s="2282"/>
      <c r="W138" s="2281"/>
      <c r="X138" s="2281"/>
      <c r="Y138" s="2281"/>
      <c r="Z138" s="2282"/>
      <c r="AA138" s="2282"/>
      <c r="AB138" s="2282"/>
      <c r="AC138" s="2282"/>
      <c r="AD138" s="2282"/>
      <c r="AE138" s="2281"/>
      <c r="AF138" s="2281"/>
      <c r="AG138" s="2281"/>
      <c r="AH138" s="2282"/>
      <c r="AI138" s="2282"/>
      <c r="AJ138" s="2282"/>
      <c r="AK138" s="2282"/>
      <c r="AL138" s="2282"/>
      <c r="AM138" s="2278"/>
      <c r="AN138" s="2277"/>
      <c r="AO138" s="2278"/>
      <c r="AP138" s="4203" t="str">
        <f>'Приложение '!$B$82</f>
        <v>Дата: 16.03.2026</v>
      </c>
      <c r="AQ138" s="2278"/>
      <c r="AR138" s="2080"/>
      <c r="AS138" s="2080"/>
      <c r="AT138" s="2080"/>
      <c r="AU138" s="2080"/>
      <c r="AV138" s="2080"/>
      <c r="AW138" s="2280"/>
      <c r="AX138" s="2084"/>
      <c r="AY138" s="4488"/>
    </row>
    <row r="139" spans="1:84" ht="22.8">
      <c r="A139" s="2276"/>
      <c r="B139" s="1309"/>
      <c r="C139" s="1309"/>
      <c r="D139" s="1309"/>
      <c r="E139" s="2368" t="s">
        <v>401</v>
      </c>
      <c r="F139" s="2372">
        <f>SUM(F140:F144)</f>
        <v>1066.8429899999999</v>
      </c>
      <c r="G139" s="2369">
        <f>SUM(G140:G144)</f>
        <v>2297.2421570000001</v>
      </c>
      <c r="H139" s="2370">
        <f t="shared" ref="H139:M139" si="243">SUM(H140:H144)</f>
        <v>999.24999999999989</v>
      </c>
      <c r="I139" s="2369">
        <f t="shared" si="243"/>
        <v>1106</v>
      </c>
      <c r="J139" s="2371">
        <f t="shared" si="243"/>
        <v>950.00000000000011</v>
      </c>
      <c r="K139" s="2371">
        <f t="shared" si="243"/>
        <v>994.99999999999989</v>
      </c>
      <c r="L139" s="2371">
        <f t="shared" si="243"/>
        <v>1025</v>
      </c>
      <c r="M139" s="2370">
        <f t="shared" si="243"/>
        <v>1000.0000000000001</v>
      </c>
      <c r="N139" s="2336">
        <f t="shared" si="200"/>
        <v>5076</v>
      </c>
      <c r="O139" s="2372">
        <f t="shared" ref="O139" si="244">SUM(O140:O144)</f>
        <v>1066.8429899999999</v>
      </c>
      <c r="P139" s="2369">
        <f t="shared" ref="P139:AL139" si="245">SUM(P140:P144)</f>
        <v>2297.2421570000001</v>
      </c>
      <c r="Q139" s="2370">
        <f t="shared" si="245"/>
        <v>999.24999999999989</v>
      </c>
      <c r="R139" s="2369">
        <f t="shared" si="245"/>
        <v>1106</v>
      </c>
      <c r="S139" s="2371">
        <f t="shared" si="245"/>
        <v>950.00000000000011</v>
      </c>
      <c r="T139" s="2371">
        <f t="shared" si="245"/>
        <v>994.99999999999989</v>
      </c>
      <c r="U139" s="2371">
        <f t="shared" si="245"/>
        <v>1025</v>
      </c>
      <c r="V139" s="2370">
        <f t="shared" si="245"/>
        <v>1000.0000000000001</v>
      </c>
      <c r="W139" s="2372">
        <f t="shared" ref="W139" si="246">SUM(W140:W144)</f>
        <v>0</v>
      </c>
      <c r="X139" s="2369">
        <f t="shared" si="245"/>
        <v>0</v>
      </c>
      <c r="Y139" s="2370">
        <f t="shared" si="245"/>
        <v>0</v>
      </c>
      <c r="Z139" s="2369">
        <f t="shared" si="245"/>
        <v>0</v>
      </c>
      <c r="AA139" s="2371">
        <f t="shared" si="245"/>
        <v>0</v>
      </c>
      <c r="AB139" s="2371">
        <f t="shared" si="245"/>
        <v>0</v>
      </c>
      <c r="AC139" s="2371">
        <f t="shared" si="245"/>
        <v>0</v>
      </c>
      <c r="AD139" s="2370">
        <f t="shared" si="245"/>
        <v>0</v>
      </c>
      <c r="AE139" s="2372">
        <f t="shared" ref="AE139" si="247">SUM(AE140:AE144)</f>
        <v>0</v>
      </c>
      <c r="AF139" s="2369">
        <f t="shared" si="245"/>
        <v>0</v>
      </c>
      <c r="AG139" s="2370">
        <f t="shared" si="245"/>
        <v>0</v>
      </c>
      <c r="AH139" s="2369">
        <f t="shared" si="245"/>
        <v>0</v>
      </c>
      <c r="AI139" s="2371">
        <f t="shared" si="245"/>
        <v>0</v>
      </c>
      <c r="AJ139" s="2371">
        <f t="shared" si="245"/>
        <v>0</v>
      </c>
      <c r="AK139" s="2371">
        <f t="shared" si="245"/>
        <v>0</v>
      </c>
      <c r="AL139" s="2370">
        <f t="shared" si="245"/>
        <v>0</v>
      </c>
      <c r="AM139" s="2278"/>
      <c r="AN139" s="2377"/>
      <c r="AP139" s="2278"/>
      <c r="AQ139" s="2278"/>
      <c r="AR139" s="1272"/>
      <c r="AS139" s="2375"/>
      <c r="AT139" s="2378"/>
      <c r="AU139" s="2379"/>
      <c r="AV139" s="2080"/>
      <c r="AW139" s="2080"/>
      <c r="AX139" s="2278"/>
      <c r="AY139" s="4488"/>
      <c r="AZ139" s="4504">
        <f t="shared" ref="AZ139:AZ144" si="248">IFERROR(F139/$E$1,0)</f>
        <v>545.4681592980985</v>
      </c>
      <c r="BA139" s="4504">
        <f t="shared" ref="BA139:BA144" si="249">IFERROR(G139/$E$1,0)</f>
        <v>1174.5612640157888</v>
      </c>
      <c r="BB139" s="4504">
        <f t="shared" ref="BB139:BB144" si="250">IFERROR(H139/$E$1,0)</f>
        <v>510.90841228532128</v>
      </c>
      <c r="BC139" s="4504">
        <f t="shared" ref="BC139:BC144" si="251">IFERROR(I139/$E$1,0)</f>
        <v>565.48882060301764</v>
      </c>
      <c r="BD139" s="4504">
        <f t="shared" ref="BD139:BD144" si="252">IFERROR(J139/$E$1,0)</f>
        <v>485.72728713640765</v>
      </c>
      <c r="BE139" s="4504">
        <f t="shared" ref="BE139:BE144" si="253">IFERROR(K139/$E$1,0)</f>
        <v>508.73542179023735</v>
      </c>
      <c r="BF139" s="4504">
        <f t="shared" ref="BF139:BF144" si="254">IFERROR(L139/$E$1,0)</f>
        <v>524.07417822612399</v>
      </c>
      <c r="BG139" s="4504">
        <f t="shared" ref="BG139:BG144" si="255">IFERROR(M139/$E$1,0)</f>
        <v>511.29188119621858</v>
      </c>
      <c r="BH139" s="4504">
        <f t="shared" ref="BH139:BH144" si="256">IFERROR(N139/$E$1,0)</f>
        <v>2595.3175889520053</v>
      </c>
      <c r="BI139" s="4504">
        <f t="shared" ref="BI139:BI144" si="257">IFERROR(O139/$E$1,0)</f>
        <v>545.4681592980985</v>
      </c>
      <c r="BJ139" s="4504">
        <f t="shared" ref="BJ139:BJ144" si="258">IFERROR(P139/$E$1,0)</f>
        <v>1174.5612640157888</v>
      </c>
      <c r="BK139" s="4504">
        <f t="shared" ref="BK139:BK144" si="259">IFERROR(Q139/$E$1,0)</f>
        <v>510.90841228532128</v>
      </c>
      <c r="BL139" s="4504">
        <f t="shared" ref="BL139:BL144" si="260">IFERROR(R139/$E$1,0)</f>
        <v>565.48882060301764</v>
      </c>
      <c r="BM139" s="4504">
        <f t="shared" ref="BM139:BM144" si="261">IFERROR(S139/$E$1,0)</f>
        <v>485.72728713640765</v>
      </c>
      <c r="BN139" s="4504">
        <f t="shared" ref="BN139:BN144" si="262">IFERROR(T139/$E$1,0)</f>
        <v>508.73542179023735</v>
      </c>
      <c r="BO139" s="4504">
        <f t="shared" ref="BO139:BO144" si="263">IFERROR(U139/$E$1,0)</f>
        <v>524.07417822612399</v>
      </c>
      <c r="BP139" s="4504">
        <f t="shared" ref="BP139:BP144" si="264">IFERROR(V139/$E$1,0)</f>
        <v>511.29188119621858</v>
      </c>
      <c r="BQ139" s="4504">
        <f t="shared" ref="BQ139:BQ144" si="265">IFERROR(W139/$E$1,0)</f>
        <v>0</v>
      </c>
      <c r="BR139" s="4504">
        <f t="shared" ref="BR139:BR144" si="266">IFERROR(X139/$E$1,0)</f>
        <v>0</v>
      </c>
      <c r="BS139" s="4504">
        <f t="shared" ref="BS139:BS144" si="267">IFERROR(Y139/$E$1,0)</f>
        <v>0</v>
      </c>
      <c r="BT139" s="4504">
        <f t="shared" ref="BT139:BT144" si="268">IFERROR(Z139/$E$1,0)</f>
        <v>0</v>
      </c>
      <c r="BU139" s="4504">
        <f t="shared" ref="BU139:BU144" si="269">IFERROR(AA139/$E$1,0)</f>
        <v>0</v>
      </c>
      <c r="BV139" s="4504">
        <f t="shared" ref="BV139:BV144" si="270">IFERROR(AB139/$E$1,0)</f>
        <v>0</v>
      </c>
      <c r="BW139" s="4504">
        <f t="shared" ref="BW139:BW144" si="271">IFERROR(AC139/$E$1,0)</f>
        <v>0</v>
      </c>
      <c r="BX139" s="4504">
        <f t="shared" ref="BX139:BX144" si="272">IFERROR(AD139/$E$1,0)</f>
        <v>0</v>
      </c>
      <c r="BY139" s="4504">
        <f t="shared" ref="BY139:BY144" si="273">IFERROR(AE139/$E$1,0)</f>
        <v>0</v>
      </c>
      <c r="BZ139" s="4504">
        <f t="shared" ref="BZ139:BZ144" si="274">IFERROR(AF139/$E$1,0)</f>
        <v>0</v>
      </c>
      <c r="CA139" s="4504">
        <f t="shared" ref="CA139:CA144" si="275">IFERROR(AG139/$E$1,0)</f>
        <v>0</v>
      </c>
      <c r="CB139" s="4504">
        <f t="shared" ref="CB139:CB144" si="276">IFERROR(AH139/$E$1,0)</f>
        <v>0</v>
      </c>
      <c r="CC139" s="4504">
        <f t="shared" ref="CC139:CC144" si="277">IFERROR(AI139/$E$1,0)</f>
        <v>0</v>
      </c>
      <c r="CD139" s="4504">
        <f t="shared" ref="CD139:CD144" si="278">IFERROR(AJ139/$E$1,0)</f>
        <v>0</v>
      </c>
      <c r="CE139" s="4504">
        <f t="shared" ref="CE139:CE144" si="279">IFERROR(AK139/$E$1,0)</f>
        <v>0</v>
      </c>
      <c r="CF139" s="4504">
        <f t="shared" ref="CF139:CF144" si="280">IFERROR(AL139/$E$1,0)</f>
        <v>0</v>
      </c>
    </row>
    <row r="140" spans="1:84" ht="24">
      <c r="A140" s="2276"/>
      <c r="B140" s="1309"/>
      <c r="C140" s="1309"/>
      <c r="D140" s="1309"/>
      <c r="E140" s="2373" t="str">
        <f>E135</f>
        <v>Доставяне на вода на потребителите</v>
      </c>
      <c r="F140" s="2406">
        <f>F11+F135</f>
        <v>867.85332000000005</v>
      </c>
      <c r="G140" s="2339">
        <f>G11+G135</f>
        <v>1677.2956223333335</v>
      </c>
      <c r="H140" s="2344">
        <f t="shared" ref="H140:M140" si="281">H11+H135</f>
        <v>853.91666666666663</v>
      </c>
      <c r="I140" s="2342">
        <f t="shared" si="281"/>
        <v>665.33333333333337</v>
      </c>
      <c r="J140" s="2343">
        <f t="shared" si="281"/>
        <v>668.33333333333337</v>
      </c>
      <c r="K140" s="2343">
        <f t="shared" si="281"/>
        <v>705.66666666666663</v>
      </c>
      <c r="L140" s="2343">
        <f t="shared" si="281"/>
        <v>714.66666666666663</v>
      </c>
      <c r="M140" s="2344">
        <f t="shared" si="281"/>
        <v>698.33333333333337</v>
      </c>
      <c r="N140" s="2179">
        <f t="shared" si="200"/>
        <v>3452.3333333333335</v>
      </c>
      <c r="O140" s="2374">
        <f t="shared" ref="O140" si="282">O11+O135</f>
        <v>867.85332000000005</v>
      </c>
      <c r="P140" s="2342">
        <f t="shared" ref="P140:AL140" si="283">P11+P135</f>
        <v>1677.2956223333335</v>
      </c>
      <c r="Q140" s="2344">
        <f t="shared" si="283"/>
        <v>853.91666666666663</v>
      </c>
      <c r="R140" s="2342">
        <f t="shared" si="283"/>
        <v>665.33333333333337</v>
      </c>
      <c r="S140" s="2343">
        <f t="shared" si="283"/>
        <v>668.33333333333337</v>
      </c>
      <c r="T140" s="2343">
        <f t="shared" si="283"/>
        <v>705.66666666666663</v>
      </c>
      <c r="U140" s="2343">
        <f t="shared" si="283"/>
        <v>714.66666666666663</v>
      </c>
      <c r="V140" s="2344">
        <f t="shared" si="283"/>
        <v>698.33333333333337</v>
      </c>
      <c r="W140" s="2374">
        <f t="shared" ref="W140" si="284">W11+W135</f>
        <v>0</v>
      </c>
      <c r="X140" s="2342">
        <f t="shared" si="283"/>
        <v>0</v>
      </c>
      <c r="Y140" s="2344">
        <f t="shared" si="283"/>
        <v>0</v>
      </c>
      <c r="Z140" s="2342">
        <f t="shared" si="283"/>
        <v>0</v>
      </c>
      <c r="AA140" s="2343">
        <f t="shared" si="283"/>
        <v>0</v>
      </c>
      <c r="AB140" s="2343">
        <f t="shared" si="283"/>
        <v>0</v>
      </c>
      <c r="AC140" s="2343">
        <f t="shared" si="283"/>
        <v>0</v>
      </c>
      <c r="AD140" s="2344">
        <f t="shared" si="283"/>
        <v>0</v>
      </c>
      <c r="AE140" s="2374">
        <f>AE11+AE135</f>
        <v>0</v>
      </c>
      <c r="AF140" s="2342">
        <f>AF11+AF135</f>
        <v>0</v>
      </c>
      <c r="AG140" s="2344">
        <f t="shared" si="283"/>
        <v>0</v>
      </c>
      <c r="AH140" s="2342">
        <f t="shared" si="283"/>
        <v>0</v>
      </c>
      <c r="AI140" s="2343">
        <f t="shared" si="283"/>
        <v>0</v>
      </c>
      <c r="AJ140" s="2343">
        <f t="shared" si="283"/>
        <v>0</v>
      </c>
      <c r="AK140" s="2343">
        <f t="shared" si="283"/>
        <v>0</v>
      </c>
      <c r="AL140" s="2344">
        <f t="shared" si="283"/>
        <v>0</v>
      </c>
      <c r="AN140" s="2375"/>
      <c r="AP140" s="2376"/>
      <c r="AQ140" s="2376"/>
      <c r="AR140" s="2380"/>
      <c r="AS140" s="2381"/>
      <c r="AT140" s="2382"/>
      <c r="AU140" s="2379"/>
      <c r="AV140" s="2383"/>
      <c r="AW140" s="2384"/>
      <c r="AX140" s="2384"/>
      <c r="AY140" s="4488"/>
      <c r="AZ140" s="4504">
        <f t="shared" si="248"/>
        <v>443.72635658518379</v>
      </c>
      <c r="BA140" s="4504">
        <f t="shared" si="249"/>
        <v>857.58763406499213</v>
      </c>
      <c r="BB140" s="4504">
        <f t="shared" si="250"/>
        <v>436.6006588848042</v>
      </c>
      <c r="BC140" s="4504">
        <f t="shared" si="251"/>
        <v>340.17953162255071</v>
      </c>
      <c r="BD140" s="4504">
        <f t="shared" si="252"/>
        <v>341.71340726613937</v>
      </c>
      <c r="BE140" s="4504">
        <f t="shared" si="253"/>
        <v>360.80163749746481</v>
      </c>
      <c r="BF140" s="4504">
        <f t="shared" si="254"/>
        <v>365.40326442823078</v>
      </c>
      <c r="BG140" s="4504">
        <f t="shared" si="255"/>
        <v>357.05216370202595</v>
      </c>
      <c r="BH140" s="4504">
        <f t="shared" si="256"/>
        <v>1765.1500045164116</v>
      </c>
      <c r="BI140" s="4504">
        <f t="shared" si="257"/>
        <v>443.72635658518379</v>
      </c>
      <c r="BJ140" s="4504">
        <f t="shared" si="258"/>
        <v>857.58763406499213</v>
      </c>
      <c r="BK140" s="4504">
        <f t="shared" si="259"/>
        <v>436.6006588848042</v>
      </c>
      <c r="BL140" s="4504">
        <f t="shared" si="260"/>
        <v>340.17953162255071</v>
      </c>
      <c r="BM140" s="4504">
        <f t="shared" si="261"/>
        <v>341.71340726613937</v>
      </c>
      <c r="BN140" s="4504">
        <f t="shared" si="262"/>
        <v>360.80163749746481</v>
      </c>
      <c r="BO140" s="4504">
        <f t="shared" si="263"/>
        <v>365.40326442823078</v>
      </c>
      <c r="BP140" s="4504">
        <f t="shared" si="264"/>
        <v>357.05216370202595</v>
      </c>
      <c r="BQ140" s="4504">
        <f t="shared" si="265"/>
        <v>0</v>
      </c>
      <c r="BR140" s="4504">
        <f t="shared" si="266"/>
        <v>0</v>
      </c>
      <c r="BS140" s="4504">
        <f t="shared" si="267"/>
        <v>0</v>
      </c>
      <c r="BT140" s="4504">
        <f t="shared" si="268"/>
        <v>0</v>
      </c>
      <c r="BU140" s="4504">
        <f t="shared" si="269"/>
        <v>0</v>
      </c>
      <c r="BV140" s="4504">
        <f t="shared" si="270"/>
        <v>0</v>
      </c>
      <c r="BW140" s="4504">
        <f t="shared" si="271"/>
        <v>0</v>
      </c>
      <c r="BX140" s="4504">
        <f t="shared" si="272"/>
        <v>0</v>
      </c>
      <c r="BY140" s="4504">
        <f t="shared" si="273"/>
        <v>0</v>
      </c>
      <c r="BZ140" s="4504">
        <f t="shared" si="274"/>
        <v>0</v>
      </c>
      <c r="CA140" s="4504">
        <f t="shared" si="275"/>
        <v>0</v>
      </c>
      <c r="CB140" s="4504">
        <f t="shared" si="276"/>
        <v>0</v>
      </c>
      <c r="CC140" s="4504">
        <f t="shared" si="277"/>
        <v>0</v>
      </c>
      <c r="CD140" s="4504">
        <f t="shared" si="278"/>
        <v>0</v>
      </c>
      <c r="CE140" s="4504">
        <f t="shared" si="279"/>
        <v>0</v>
      </c>
      <c r="CF140" s="4504">
        <f t="shared" si="280"/>
        <v>0</v>
      </c>
    </row>
    <row r="141" spans="1:84">
      <c r="A141" s="2276"/>
      <c r="B141" s="1309"/>
      <c r="C141" s="1309"/>
      <c r="D141" s="1309"/>
      <c r="E141" s="2373" t="str">
        <f>E136</f>
        <v>Отвеждане на отпадъчните води</v>
      </c>
      <c r="F141" s="2406">
        <f>F36+F136</f>
        <v>54.717820000000003</v>
      </c>
      <c r="G141" s="2339">
        <f>G36+G136</f>
        <v>169.36176233333333</v>
      </c>
      <c r="H141" s="2344">
        <f t="shared" ref="H141:M141" si="285">H36+H136</f>
        <v>61.666666666666664</v>
      </c>
      <c r="I141" s="2342">
        <f t="shared" si="285"/>
        <v>60.333333333333329</v>
      </c>
      <c r="J141" s="2343">
        <f t="shared" si="285"/>
        <v>58.333333333333329</v>
      </c>
      <c r="K141" s="2343">
        <f t="shared" si="285"/>
        <v>64.666666666666657</v>
      </c>
      <c r="L141" s="2343">
        <f t="shared" si="285"/>
        <v>62.666666666666664</v>
      </c>
      <c r="M141" s="2344">
        <f t="shared" si="285"/>
        <v>58.333333333333329</v>
      </c>
      <c r="N141" s="2179">
        <f t="shared" si="200"/>
        <v>304.33333333333331</v>
      </c>
      <c r="O141" s="2374">
        <f t="shared" ref="O141" si="286">O36+O136</f>
        <v>54.717820000000003</v>
      </c>
      <c r="P141" s="2342">
        <f t="shared" ref="P141:AL141" si="287">P36+P136</f>
        <v>169.36176233333333</v>
      </c>
      <c r="Q141" s="2344">
        <f t="shared" si="287"/>
        <v>61.666666666666664</v>
      </c>
      <c r="R141" s="2342">
        <f t="shared" si="287"/>
        <v>60.333333333333329</v>
      </c>
      <c r="S141" s="2343">
        <f t="shared" si="287"/>
        <v>58.333333333333329</v>
      </c>
      <c r="T141" s="2343">
        <f t="shared" si="287"/>
        <v>64.666666666666657</v>
      </c>
      <c r="U141" s="2343">
        <f t="shared" si="287"/>
        <v>62.666666666666664</v>
      </c>
      <c r="V141" s="2344">
        <f t="shared" si="287"/>
        <v>58.333333333333329</v>
      </c>
      <c r="W141" s="2374">
        <f t="shared" ref="W141" si="288">W36+W136</f>
        <v>0</v>
      </c>
      <c r="X141" s="2342">
        <f t="shared" si="287"/>
        <v>0</v>
      </c>
      <c r="Y141" s="2344">
        <f t="shared" si="287"/>
        <v>0</v>
      </c>
      <c r="Z141" s="2342">
        <f t="shared" si="287"/>
        <v>0</v>
      </c>
      <c r="AA141" s="2343">
        <f t="shared" si="287"/>
        <v>0</v>
      </c>
      <c r="AB141" s="2343">
        <f t="shared" si="287"/>
        <v>0</v>
      </c>
      <c r="AC141" s="2343">
        <f t="shared" si="287"/>
        <v>0</v>
      </c>
      <c r="AD141" s="2344">
        <f t="shared" si="287"/>
        <v>0</v>
      </c>
      <c r="AE141" s="2374">
        <f>AE36+AE136</f>
        <v>0</v>
      </c>
      <c r="AF141" s="2342">
        <f>AF36+AF136</f>
        <v>0</v>
      </c>
      <c r="AG141" s="2344">
        <f t="shared" si="287"/>
        <v>0</v>
      </c>
      <c r="AH141" s="2342">
        <f t="shared" si="287"/>
        <v>0</v>
      </c>
      <c r="AI141" s="2343">
        <f t="shared" si="287"/>
        <v>0</v>
      </c>
      <c r="AJ141" s="2343">
        <f t="shared" si="287"/>
        <v>0</v>
      </c>
      <c r="AK141" s="2343">
        <f t="shared" si="287"/>
        <v>0</v>
      </c>
      <c r="AL141" s="2344">
        <f t="shared" si="287"/>
        <v>0</v>
      </c>
      <c r="AP141" s="2428" t="s">
        <v>187</v>
      </c>
      <c r="AQ141" s="2417"/>
      <c r="AR141" s="1309"/>
      <c r="AS141" s="1309"/>
      <c r="AT141" s="2430"/>
      <c r="AU141" s="2419"/>
      <c r="AV141" s="1309"/>
      <c r="AW141" s="2276"/>
      <c r="AX141" s="2419"/>
      <c r="AY141" s="4488"/>
      <c r="AZ141" s="4504">
        <f t="shared" si="248"/>
        <v>27.976777122756069</v>
      </c>
      <c r="BA141" s="4504">
        <f t="shared" si="249"/>
        <v>86.593294066116854</v>
      </c>
      <c r="BB141" s="4504">
        <f t="shared" si="250"/>
        <v>31.52966600710014</v>
      </c>
      <c r="BC141" s="4504">
        <f t="shared" si="251"/>
        <v>30.847943498838514</v>
      </c>
      <c r="BD141" s="4504">
        <f t="shared" si="252"/>
        <v>29.825359736446078</v>
      </c>
      <c r="BE141" s="4504">
        <f t="shared" si="253"/>
        <v>33.063541650688791</v>
      </c>
      <c r="BF141" s="4504">
        <f t="shared" si="254"/>
        <v>32.040957888296354</v>
      </c>
      <c r="BG141" s="4504">
        <f t="shared" si="255"/>
        <v>29.825359736446078</v>
      </c>
      <c r="BH141" s="4504">
        <f t="shared" si="256"/>
        <v>155.60316251071583</v>
      </c>
      <c r="BI141" s="4504">
        <f t="shared" si="257"/>
        <v>27.976777122756069</v>
      </c>
      <c r="BJ141" s="4504">
        <f t="shared" si="258"/>
        <v>86.593294066116854</v>
      </c>
      <c r="BK141" s="4504">
        <f t="shared" si="259"/>
        <v>31.52966600710014</v>
      </c>
      <c r="BL141" s="4504">
        <f t="shared" si="260"/>
        <v>30.847943498838514</v>
      </c>
      <c r="BM141" s="4504">
        <f t="shared" si="261"/>
        <v>29.825359736446078</v>
      </c>
      <c r="BN141" s="4504">
        <f t="shared" si="262"/>
        <v>33.063541650688791</v>
      </c>
      <c r="BO141" s="4504">
        <f t="shared" si="263"/>
        <v>32.040957888296354</v>
      </c>
      <c r="BP141" s="4504">
        <f t="shared" si="264"/>
        <v>29.825359736446078</v>
      </c>
      <c r="BQ141" s="4504">
        <f t="shared" si="265"/>
        <v>0</v>
      </c>
      <c r="BR141" s="4504">
        <f t="shared" si="266"/>
        <v>0</v>
      </c>
      <c r="BS141" s="4504">
        <f t="shared" si="267"/>
        <v>0</v>
      </c>
      <c r="BT141" s="4504">
        <f t="shared" si="268"/>
        <v>0</v>
      </c>
      <c r="BU141" s="4504">
        <f t="shared" si="269"/>
        <v>0</v>
      </c>
      <c r="BV141" s="4504">
        <f t="shared" si="270"/>
        <v>0</v>
      </c>
      <c r="BW141" s="4504">
        <f t="shared" si="271"/>
        <v>0</v>
      </c>
      <c r="BX141" s="4504">
        <f t="shared" si="272"/>
        <v>0</v>
      </c>
      <c r="BY141" s="4504">
        <f t="shared" si="273"/>
        <v>0</v>
      </c>
      <c r="BZ141" s="4504">
        <f t="shared" si="274"/>
        <v>0</v>
      </c>
      <c r="CA141" s="4504">
        <f t="shared" si="275"/>
        <v>0</v>
      </c>
      <c r="CB141" s="4504">
        <f t="shared" si="276"/>
        <v>0</v>
      </c>
      <c r="CC141" s="4504">
        <f t="shared" si="277"/>
        <v>0</v>
      </c>
      <c r="CD141" s="4504">
        <f t="shared" si="278"/>
        <v>0</v>
      </c>
      <c r="CE141" s="4504">
        <f t="shared" si="279"/>
        <v>0</v>
      </c>
      <c r="CF141" s="4504">
        <f t="shared" si="280"/>
        <v>0</v>
      </c>
    </row>
    <row r="142" spans="1:84" s="1314" customFormat="1">
      <c r="A142" s="2349"/>
      <c r="B142" s="2350"/>
      <c r="C142" s="2350"/>
      <c r="D142" s="2350"/>
      <c r="E142" s="2373" t="str">
        <f>E137</f>
        <v>Пречистване на отпадъчните води</v>
      </c>
      <c r="F142" s="2374">
        <f>F48+F137</f>
        <v>118.83306000000002</v>
      </c>
      <c r="G142" s="2342">
        <f>G48+G137</f>
        <v>205.7749123333333</v>
      </c>
      <c r="H142" s="2344">
        <f t="shared" ref="H142:M142" si="289">H48+H137</f>
        <v>53.666666666666664</v>
      </c>
      <c r="I142" s="2342">
        <f t="shared" si="289"/>
        <v>84.333333333333329</v>
      </c>
      <c r="J142" s="2343">
        <f t="shared" si="289"/>
        <v>82.333333333333329</v>
      </c>
      <c r="K142" s="2343">
        <f t="shared" si="289"/>
        <v>88.666666666666657</v>
      </c>
      <c r="L142" s="2343">
        <f t="shared" si="289"/>
        <v>86.666666666666657</v>
      </c>
      <c r="M142" s="2344">
        <f t="shared" si="289"/>
        <v>82.333333333333329</v>
      </c>
      <c r="N142" s="2179">
        <f>SUM(I142:M142)</f>
        <v>424.33333333333331</v>
      </c>
      <c r="O142" s="2374">
        <f t="shared" ref="O142" si="290">O48+O137</f>
        <v>118.83306000000002</v>
      </c>
      <c r="P142" s="2342">
        <f t="shared" ref="P142:AL142" si="291">P48+P137</f>
        <v>205.7749123333333</v>
      </c>
      <c r="Q142" s="2344">
        <f t="shared" si="291"/>
        <v>53.666666666666664</v>
      </c>
      <c r="R142" s="2342">
        <f t="shared" si="291"/>
        <v>84.333333333333329</v>
      </c>
      <c r="S142" s="2343">
        <f t="shared" si="291"/>
        <v>82.333333333333329</v>
      </c>
      <c r="T142" s="2343">
        <f t="shared" si="291"/>
        <v>88.666666666666657</v>
      </c>
      <c r="U142" s="2343">
        <f t="shared" si="291"/>
        <v>86.666666666666657</v>
      </c>
      <c r="V142" s="2344">
        <f t="shared" si="291"/>
        <v>82.333333333333329</v>
      </c>
      <c r="W142" s="2374">
        <f t="shared" ref="W142" si="292">W48+W137</f>
        <v>0</v>
      </c>
      <c r="X142" s="2342">
        <f t="shared" si="291"/>
        <v>0</v>
      </c>
      <c r="Y142" s="2344">
        <f t="shared" si="291"/>
        <v>0</v>
      </c>
      <c r="Z142" s="2342">
        <f t="shared" si="291"/>
        <v>0</v>
      </c>
      <c r="AA142" s="2343">
        <f t="shared" si="291"/>
        <v>0</v>
      </c>
      <c r="AB142" s="2343">
        <f t="shared" si="291"/>
        <v>0</v>
      </c>
      <c r="AC142" s="2343">
        <f t="shared" si="291"/>
        <v>0</v>
      </c>
      <c r="AD142" s="2344">
        <f t="shared" si="291"/>
        <v>0</v>
      </c>
      <c r="AE142" s="2374">
        <f>AE48+AE137</f>
        <v>0</v>
      </c>
      <c r="AF142" s="2342">
        <f>AF48+AF137</f>
        <v>0</v>
      </c>
      <c r="AG142" s="2344">
        <f t="shared" si="291"/>
        <v>0</v>
      </c>
      <c r="AH142" s="2342">
        <f t="shared" si="291"/>
        <v>0</v>
      </c>
      <c r="AI142" s="2343">
        <f t="shared" si="291"/>
        <v>0</v>
      </c>
      <c r="AJ142" s="2343">
        <f t="shared" si="291"/>
        <v>0</v>
      </c>
      <c r="AK142" s="2343">
        <f t="shared" si="291"/>
        <v>0</v>
      </c>
      <c r="AL142" s="2344">
        <f t="shared" si="291"/>
        <v>0</v>
      </c>
      <c r="AP142" s="5304" t="s">
        <v>188</v>
      </c>
      <c r="AQ142" s="5304"/>
      <c r="AR142" s="5304"/>
      <c r="AS142" s="5304"/>
      <c r="AT142" s="5304"/>
      <c r="AU142" s="5304"/>
      <c r="AV142" s="5304"/>
      <c r="AW142" s="5304"/>
      <c r="AX142" s="5304"/>
      <c r="AY142" s="4488"/>
      <c r="AZ142" s="4504">
        <f t="shared" si="248"/>
        <v>60.758378795703116</v>
      </c>
      <c r="BA142" s="4504">
        <f t="shared" si="249"/>
        <v>105.21104202989693</v>
      </c>
      <c r="BB142" s="4504">
        <f t="shared" si="250"/>
        <v>27.439330957530391</v>
      </c>
      <c r="BC142" s="4504">
        <f t="shared" si="251"/>
        <v>43.118948647547761</v>
      </c>
      <c r="BD142" s="4504">
        <f t="shared" si="252"/>
        <v>42.096364885155317</v>
      </c>
      <c r="BE142" s="4504">
        <f t="shared" si="253"/>
        <v>45.334546799398034</v>
      </c>
      <c r="BF142" s="4504">
        <f t="shared" si="254"/>
        <v>44.311963037005597</v>
      </c>
      <c r="BG142" s="4504">
        <f t="shared" si="255"/>
        <v>42.096364885155317</v>
      </c>
      <c r="BH142" s="4504">
        <f t="shared" si="256"/>
        <v>216.95818825426204</v>
      </c>
      <c r="BI142" s="4504">
        <f t="shared" si="257"/>
        <v>60.758378795703116</v>
      </c>
      <c r="BJ142" s="4504">
        <f t="shared" si="258"/>
        <v>105.21104202989693</v>
      </c>
      <c r="BK142" s="4504">
        <f t="shared" si="259"/>
        <v>27.439330957530391</v>
      </c>
      <c r="BL142" s="4504">
        <f t="shared" si="260"/>
        <v>43.118948647547761</v>
      </c>
      <c r="BM142" s="4504">
        <f t="shared" si="261"/>
        <v>42.096364885155317</v>
      </c>
      <c r="BN142" s="4504">
        <f t="shared" si="262"/>
        <v>45.334546799398034</v>
      </c>
      <c r="BO142" s="4504">
        <f t="shared" si="263"/>
        <v>44.311963037005597</v>
      </c>
      <c r="BP142" s="4504">
        <f t="shared" si="264"/>
        <v>42.096364885155317</v>
      </c>
      <c r="BQ142" s="4504">
        <f t="shared" si="265"/>
        <v>0</v>
      </c>
      <c r="BR142" s="4504">
        <f t="shared" si="266"/>
        <v>0</v>
      </c>
      <c r="BS142" s="4504">
        <f t="shared" si="267"/>
        <v>0</v>
      </c>
      <c r="BT142" s="4504">
        <f t="shared" si="268"/>
        <v>0</v>
      </c>
      <c r="BU142" s="4504">
        <f t="shared" si="269"/>
        <v>0</v>
      </c>
      <c r="BV142" s="4504">
        <f t="shared" si="270"/>
        <v>0</v>
      </c>
      <c r="BW142" s="4504">
        <f t="shared" si="271"/>
        <v>0</v>
      </c>
      <c r="BX142" s="4504">
        <f t="shared" si="272"/>
        <v>0</v>
      </c>
      <c r="BY142" s="4504">
        <f t="shared" si="273"/>
        <v>0</v>
      </c>
      <c r="BZ142" s="4504">
        <f t="shared" si="274"/>
        <v>0</v>
      </c>
      <c r="CA142" s="4504">
        <f t="shared" si="275"/>
        <v>0</v>
      </c>
      <c r="CB142" s="4504">
        <f t="shared" si="276"/>
        <v>0</v>
      </c>
      <c r="CC142" s="4504">
        <f t="shared" si="277"/>
        <v>0</v>
      </c>
      <c r="CD142" s="4504">
        <f t="shared" si="278"/>
        <v>0</v>
      </c>
      <c r="CE142" s="4504">
        <f t="shared" si="279"/>
        <v>0</v>
      </c>
      <c r="CF142" s="4504">
        <f t="shared" si="280"/>
        <v>0</v>
      </c>
    </row>
    <row r="143" spans="1:84" ht="24">
      <c r="A143" s="2276"/>
      <c r="B143" s="1309"/>
      <c r="C143" s="1309"/>
      <c r="D143" s="1309"/>
      <c r="E143" s="2385" t="str">
        <f t="shared" ref="E143:M143" si="293">E73</f>
        <v>Доставяне на вода с непитейни качества</v>
      </c>
      <c r="F143" s="2390">
        <f t="shared" ref="F143" si="294">F73</f>
        <v>0</v>
      </c>
      <c r="G143" s="2386">
        <f t="shared" si="293"/>
        <v>0</v>
      </c>
      <c r="H143" s="2387">
        <f t="shared" si="293"/>
        <v>0</v>
      </c>
      <c r="I143" s="2386">
        <f t="shared" si="293"/>
        <v>0</v>
      </c>
      <c r="J143" s="2388">
        <f t="shared" si="293"/>
        <v>0</v>
      </c>
      <c r="K143" s="2388">
        <f t="shared" si="293"/>
        <v>0</v>
      </c>
      <c r="L143" s="2388">
        <f t="shared" si="293"/>
        <v>0</v>
      </c>
      <c r="M143" s="2387">
        <f t="shared" si="293"/>
        <v>0</v>
      </c>
      <c r="N143" s="2389">
        <f t="shared" ref="N143:N144" si="295">SUM(I143:M143)</f>
        <v>0</v>
      </c>
      <c r="O143" s="2390">
        <f t="shared" ref="O143" si="296">O73</f>
        <v>0</v>
      </c>
      <c r="P143" s="2386">
        <f t="shared" ref="P143:AL143" si="297">P73</f>
        <v>0</v>
      </c>
      <c r="Q143" s="2387">
        <f t="shared" si="297"/>
        <v>0</v>
      </c>
      <c r="R143" s="2386">
        <f t="shared" si="297"/>
        <v>0</v>
      </c>
      <c r="S143" s="2388">
        <f t="shared" si="297"/>
        <v>0</v>
      </c>
      <c r="T143" s="2388">
        <f t="shared" si="297"/>
        <v>0</v>
      </c>
      <c r="U143" s="2388">
        <f t="shared" si="297"/>
        <v>0</v>
      </c>
      <c r="V143" s="2387">
        <f t="shared" si="297"/>
        <v>0</v>
      </c>
      <c r="W143" s="2390">
        <f t="shared" ref="W143" si="298">W73</f>
        <v>0</v>
      </c>
      <c r="X143" s="2386">
        <f t="shared" si="297"/>
        <v>0</v>
      </c>
      <c r="Y143" s="2387">
        <f t="shared" si="297"/>
        <v>0</v>
      </c>
      <c r="Z143" s="2386">
        <f t="shared" si="297"/>
        <v>0</v>
      </c>
      <c r="AA143" s="2388">
        <f t="shared" si="297"/>
        <v>0</v>
      </c>
      <c r="AB143" s="2388">
        <f t="shared" si="297"/>
        <v>0</v>
      </c>
      <c r="AC143" s="2388">
        <f t="shared" si="297"/>
        <v>0</v>
      </c>
      <c r="AD143" s="2387">
        <f t="shared" si="297"/>
        <v>0</v>
      </c>
      <c r="AE143" s="2390">
        <f>AE73</f>
        <v>0</v>
      </c>
      <c r="AF143" s="2386">
        <f>AF73</f>
        <v>0</v>
      </c>
      <c r="AG143" s="2387">
        <f t="shared" si="297"/>
        <v>0</v>
      </c>
      <c r="AH143" s="2386">
        <f t="shared" si="297"/>
        <v>0</v>
      </c>
      <c r="AI143" s="2388">
        <f t="shared" si="297"/>
        <v>0</v>
      </c>
      <c r="AJ143" s="2388">
        <f t="shared" si="297"/>
        <v>0</v>
      </c>
      <c r="AK143" s="2388">
        <f t="shared" si="297"/>
        <v>0</v>
      </c>
      <c r="AL143" s="2387">
        <f t="shared" si="297"/>
        <v>0</v>
      </c>
      <c r="AP143" s="5018" t="s">
        <v>1848</v>
      </c>
      <c r="AQ143" s="5018"/>
      <c r="AR143" s="5018"/>
      <c r="AS143" s="5018"/>
      <c r="AT143" s="5018"/>
      <c r="AU143" s="5018"/>
      <c r="AV143" s="5018"/>
      <c r="AW143" s="5018"/>
      <c r="AX143" s="5018"/>
      <c r="AY143" s="4488"/>
      <c r="AZ143" s="4504">
        <f t="shared" si="248"/>
        <v>0</v>
      </c>
      <c r="BA143" s="4504">
        <f t="shared" si="249"/>
        <v>0</v>
      </c>
      <c r="BB143" s="4504">
        <f t="shared" si="250"/>
        <v>0</v>
      </c>
      <c r="BC143" s="4504">
        <f t="shared" si="251"/>
        <v>0</v>
      </c>
      <c r="BD143" s="4504">
        <f t="shared" si="252"/>
        <v>0</v>
      </c>
      <c r="BE143" s="4504">
        <f t="shared" si="253"/>
        <v>0</v>
      </c>
      <c r="BF143" s="4504">
        <f t="shared" si="254"/>
        <v>0</v>
      </c>
      <c r="BG143" s="4504">
        <f t="shared" si="255"/>
        <v>0</v>
      </c>
      <c r="BH143" s="4504">
        <f t="shared" si="256"/>
        <v>0</v>
      </c>
      <c r="BI143" s="4504">
        <f t="shared" si="257"/>
        <v>0</v>
      </c>
      <c r="BJ143" s="4504">
        <f t="shared" si="258"/>
        <v>0</v>
      </c>
      <c r="BK143" s="4504">
        <f t="shared" si="259"/>
        <v>0</v>
      </c>
      <c r="BL143" s="4504">
        <f t="shared" si="260"/>
        <v>0</v>
      </c>
      <c r="BM143" s="4504">
        <f t="shared" si="261"/>
        <v>0</v>
      </c>
      <c r="BN143" s="4504">
        <f t="shared" si="262"/>
        <v>0</v>
      </c>
      <c r="BO143" s="4504">
        <f t="shared" si="263"/>
        <v>0</v>
      </c>
      <c r="BP143" s="4504">
        <f t="shared" si="264"/>
        <v>0</v>
      </c>
      <c r="BQ143" s="4504">
        <f t="shared" si="265"/>
        <v>0</v>
      </c>
      <c r="BR143" s="4504">
        <f t="shared" si="266"/>
        <v>0</v>
      </c>
      <c r="BS143" s="4504">
        <f t="shared" si="267"/>
        <v>0</v>
      </c>
      <c r="BT143" s="4504">
        <f t="shared" si="268"/>
        <v>0</v>
      </c>
      <c r="BU143" s="4504">
        <f t="shared" si="269"/>
        <v>0</v>
      </c>
      <c r="BV143" s="4504">
        <f t="shared" si="270"/>
        <v>0</v>
      </c>
      <c r="BW143" s="4504">
        <f t="shared" si="271"/>
        <v>0</v>
      </c>
      <c r="BX143" s="4504">
        <f t="shared" si="272"/>
        <v>0</v>
      </c>
      <c r="BY143" s="4504">
        <f t="shared" si="273"/>
        <v>0</v>
      </c>
      <c r="BZ143" s="4504">
        <f t="shared" si="274"/>
        <v>0</v>
      </c>
      <c r="CA143" s="4504">
        <f t="shared" si="275"/>
        <v>0</v>
      </c>
      <c r="CB143" s="4504">
        <f t="shared" si="276"/>
        <v>0</v>
      </c>
      <c r="CC143" s="4504">
        <f t="shared" si="277"/>
        <v>0</v>
      </c>
      <c r="CD143" s="4504">
        <f t="shared" si="278"/>
        <v>0</v>
      </c>
      <c r="CE143" s="4504">
        <f t="shared" si="279"/>
        <v>0</v>
      </c>
      <c r="CF143" s="4504">
        <f t="shared" si="280"/>
        <v>0</v>
      </c>
    </row>
    <row r="144" spans="1:84" ht="24.6" thickBot="1">
      <c r="A144" s="2276"/>
      <c r="B144" s="1309"/>
      <c r="C144" s="1309"/>
      <c r="D144" s="1309"/>
      <c r="E144" s="2391" t="str">
        <f t="shared" ref="E144:M144" si="299">E99</f>
        <v>Доставяне на вода на друг ВиК оператор</v>
      </c>
      <c r="F144" s="4153">
        <f t="shared" ref="F144" si="300">F99</f>
        <v>25.438790000000004</v>
      </c>
      <c r="G144" s="2392">
        <f t="shared" si="299"/>
        <v>244.80986000000001</v>
      </c>
      <c r="H144" s="2393">
        <f t="shared" si="299"/>
        <v>30</v>
      </c>
      <c r="I144" s="2394">
        <f t="shared" si="299"/>
        <v>296</v>
      </c>
      <c r="J144" s="2395">
        <f t="shared" si="299"/>
        <v>141</v>
      </c>
      <c r="K144" s="2395">
        <f t="shared" si="299"/>
        <v>136</v>
      </c>
      <c r="L144" s="2395">
        <f t="shared" si="299"/>
        <v>161</v>
      </c>
      <c r="M144" s="2393">
        <f t="shared" si="299"/>
        <v>161</v>
      </c>
      <c r="N144" s="2389">
        <f t="shared" si="295"/>
        <v>895</v>
      </c>
      <c r="O144" s="2396">
        <f t="shared" ref="O144" si="301">O99</f>
        <v>25.438790000000004</v>
      </c>
      <c r="P144" s="2394">
        <f t="shared" ref="P144:AL144" si="302">P99</f>
        <v>244.80986000000001</v>
      </c>
      <c r="Q144" s="2393">
        <f t="shared" si="302"/>
        <v>30</v>
      </c>
      <c r="R144" s="2394">
        <f t="shared" si="302"/>
        <v>296</v>
      </c>
      <c r="S144" s="2395">
        <f t="shared" si="302"/>
        <v>141</v>
      </c>
      <c r="T144" s="2395">
        <f t="shared" si="302"/>
        <v>136</v>
      </c>
      <c r="U144" s="2395">
        <f t="shared" si="302"/>
        <v>161</v>
      </c>
      <c r="V144" s="2393">
        <f t="shared" si="302"/>
        <v>161</v>
      </c>
      <c r="W144" s="2396">
        <f t="shared" ref="W144" si="303">W99</f>
        <v>0</v>
      </c>
      <c r="X144" s="2394">
        <f t="shared" si="302"/>
        <v>0</v>
      </c>
      <c r="Y144" s="2393">
        <f t="shared" si="302"/>
        <v>0</v>
      </c>
      <c r="Z144" s="2394">
        <f t="shared" si="302"/>
        <v>0</v>
      </c>
      <c r="AA144" s="2395">
        <f t="shared" si="302"/>
        <v>0</v>
      </c>
      <c r="AB144" s="2395">
        <f t="shared" si="302"/>
        <v>0</v>
      </c>
      <c r="AC144" s="2395">
        <f t="shared" si="302"/>
        <v>0</v>
      </c>
      <c r="AD144" s="2393">
        <f t="shared" si="302"/>
        <v>0</v>
      </c>
      <c r="AE144" s="2396">
        <f>AE99</f>
        <v>0</v>
      </c>
      <c r="AF144" s="2394">
        <f>AF99</f>
        <v>0</v>
      </c>
      <c r="AG144" s="2393">
        <f t="shared" si="302"/>
        <v>0</v>
      </c>
      <c r="AH144" s="2394">
        <f t="shared" si="302"/>
        <v>0</v>
      </c>
      <c r="AI144" s="2395">
        <f t="shared" si="302"/>
        <v>0</v>
      </c>
      <c r="AJ144" s="2395">
        <f t="shared" si="302"/>
        <v>0</v>
      </c>
      <c r="AK144" s="2395">
        <f t="shared" si="302"/>
        <v>0</v>
      </c>
      <c r="AL144" s="2393">
        <f t="shared" si="302"/>
        <v>0</v>
      </c>
      <c r="AP144" s="5304" t="s">
        <v>1478</v>
      </c>
      <c r="AQ144" s="5304"/>
      <c r="AR144" s="5304"/>
      <c r="AS144" s="5304"/>
      <c r="AT144" s="5304"/>
      <c r="AU144" s="5304"/>
      <c r="AV144" s="5304"/>
      <c r="AW144" s="5304"/>
      <c r="AX144" s="5304"/>
      <c r="AY144" s="4488"/>
      <c r="AZ144" s="4504">
        <f t="shared" si="248"/>
        <v>13.006646794455554</v>
      </c>
      <c r="BA144" s="4504">
        <f t="shared" si="249"/>
        <v>125.16929385478289</v>
      </c>
      <c r="BB144" s="4504">
        <f t="shared" si="250"/>
        <v>15.338756435886555</v>
      </c>
      <c r="BC144" s="4504">
        <f t="shared" si="251"/>
        <v>151.34239683408069</v>
      </c>
      <c r="BD144" s="4504">
        <f t="shared" si="252"/>
        <v>72.092155248666813</v>
      </c>
      <c r="BE144" s="4504">
        <f t="shared" si="253"/>
        <v>69.535695842685712</v>
      </c>
      <c r="BF144" s="4504">
        <f t="shared" si="254"/>
        <v>82.317992872591176</v>
      </c>
      <c r="BG144" s="4504">
        <f t="shared" si="255"/>
        <v>82.317992872591176</v>
      </c>
      <c r="BH144" s="4504">
        <f t="shared" si="256"/>
        <v>457.60623367061555</v>
      </c>
      <c r="BI144" s="4504">
        <f t="shared" si="257"/>
        <v>13.006646794455554</v>
      </c>
      <c r="BJ144" s="4504">
        <f t="shared" si="258"/>
        <v>125.16929385478289</v>
      </c>
      <c r="BK144" s="4504">
        <f t="shared" si="259"/>
        <v>15.338756435886555</v>
      </c>
      <c r="BL144" s="4504">
        <f t="shared" si="260"/>
        <v>151.34239683408069</v>
      </c>
      <c r="BM144" s="4504">
        <f t="shared" si="261"/>
        <v>72.092155248666813</v>
      </c>
      <c r="BN144" s="4504">
        <f t="shared" si="262"/>
        <v>69.535695842685712</v>
      </c>
      <c r="BO144" s="4504">
        <f t="shared" si="263"/>
        <v>82.317992872591176</v>
      </c>
      <c r="BP144" s="4504">
        <f t="shared" si="264"/>
        <v>82.317992872591176</v>
      </c>
      <c r="BQ144" s="4504">
        <f t="shared" si="265"/>
        <v>0</v>
      </c>
      <c r="BR144" s="4504">
        <f t="shared" si="266"/>
        <v>0</v>
      </c>
      <c r="BS144" s="4504">
        <f t="shared" si="267"/>
        <v>0</v>
      </c>
      <c r="BT144" s="4504">
        <f t="shared" si="268"/>
        <v>0</v>
      </c>
      <c r="BU144" s="4504">
        <f t="shared" si="269"/>
        <v>0</v>
      </c>
      <c r="BV144" s="4504">
        <f t="shared" si="270"/>
        <v>0</v>
      </c>
      <c r="BW144" s="4504">
        <f t="shared" si="271"/>
        <v>0</v>
      </c>
      <c r="BX144" s="4504">
        <f t="shared" si="272"/>
        <v>0</v>
      </c>
      <c r="BY144" s="4504">
        <f t="shared" si="273"/>
        <v>0</v>
      </c>
      <c r="BZ144" s="4504">
        <f t="shared" si="274"/>
        <v>0</v>
      </c>
      <c r="CA144" s="4504">
        <f t="shared" si="275"/>
        <v>0</v>
      </c>
      <c r="CB144" s="4504">
        <f t="shared" si="276"/>
        <v>0</v>
      </c>
      <c r="CC144" s="4504">
        <f t="shared" si="277"/>
        <v>0</v>
      </c>
      <c r="CD144" s="4504">
        <f t="shared" si="278"/>
        <v>0</v>
      </c>
      <c r="CE144" s="4504">
        <f t="shared" si="279"/>
        <v>0</v>
      </c>
      <c r="CF144" s="4504">
        <f t="shared" si="280"/>
        <v>0</v>
      </c>
    </row>
    <row r="145" spans="1:84" ht="30" customHeight="1" thickBot="1">
      <c r="A145" s="2276"/>
      <c r="B145" s="1309"/>
      <c r="C145" s="1309"/>
      <c r="D145" s="1309"/>
      <c r="N145" s="1311"/>
      <c r="O145" s="1310"/>
      <c r="P145" s="1310"/>
      <c r="Q145" s="1310"/>
      <c r="R145" s="1311"/>
      <c r="S145" s="1311"/>
      <c r="T145" s="1311"/>
      <c r="U145" s="1311"/>
      <c r="V145" s="1311"/>
      <c r="W145" s="1310"/>
      <c r="X145" s="1310"/>
      <c r="Y145" s="1310"/>
      <c r="Z145" s="1311"/>
      <c r="AA145" s="1311"/>
      <c r="AB145" s="1311"/>
      <c r="AC145" s="1311"/>
      <c r="AD145" s="1311"/>
      <c r="AE145" s="2397"/>
      <c r="AF145" s="2397"/>
      <c r="AG145" s="2397"/>
      <c r="AH145" s="2397"/>
      <c r="AI145" s="2397"/>
      <c r="AJ145" s="2397"/>
      <c r="AK145" s="2397"/>
      <c r="AL145" s="2397"/>
      <c r="AP145" s="5288" t="s">
        <v>1859</v>
      </c>
      <c r="AQ145" s="5288"/>
      <c r="AR145" s="5288"/>
      <c r="AS145" s="5288"/>
      <c r="AT145" s="5288"/>
      <c r="AU145" s="5288"/>
      <c r="AV145" s="5288"/>
      <c r="AW145" s="5288"/>
      <c r="AX145" s="5288"/>
      <c r="AY145" s="4488"/>
    </row>
    <row r="146" spans="1:84" ht="22.8">
      <c r="A146" s="2276"/>
      <c r="B146" s="1309"/>
      <c r="C146" s="1309"/>
      <c r="D146" s="1309"/>
      <c r="E146" s="2398" t="s">
        <v>940</v>
      </c>
      <c r="F146" s="2372">
        <f>SUM(F147:F151)</f>
        <v>58.368739999999995</v>
      </c>
      <c r="G146" s="2369">
        <f>SUM(G147:G151)</f>
        <v>1192.2501769999999</v>
      </c>
      <c r="H146" s="2370">
        <f t="shared" ref="H146:M146" si="304">SUM(H147:H151)</f>
        <v>108.99999999999999</v>
      </c>
      <c r="I146" s="2369">
        <f t="shared" si="304"/>
        <v>40</v>
      </c>
      <c r="J146" s="2371">
        <f t="shared" si="304"/>
        <v>34</v>
      </c>
      <c r="K146" s="2371">
        <f t="shared" si="304"/>
        <v>53</v>
      </c>
      <c r="L146" s="2371">
        <f t="shared" si="304"/>
        <v>47</v>
      </c>
      <c r="M146" s="2370">
        <f t="shared" si="304"/>
        <v>34</v>
      </c>
      <c r="N146" s="2336">
        <f>SUM(I146:M146)</f>
        <v>208</v>
      </c>
      <c r="O146" s="4161">
        <f t="shared" ref="O146" si="305">SUM(O147:O149)</f>
        <v>57.268739999999994</v>
      </c>
      <c r="P146" s="2369">
        <f t="shared" ref="P146:AL146" si="306">SUM(P147:P149)</f>
        <v>969.22886699999992</v>
      </c>
      <c r="Q146" s="2370">
        <f t="shared" si="306"/>
        <v>98.999999999999986</v>
      </c>
      <c r="R146" s="2369">
        <f t="shared" si="306"/>
        <v>34</v>
      </c>
      <c r="S146" s="2371">
        <f t="shared" si="306"/>
        <v>28</v>
      </c>
      <c r="T146" s="2371">
        <f t="shared" si="306"/>
        <v>47</v>
      </c>
      <c r="U146" s="2371">
        <f t="shared" si="306"/>
        <v>41</v>
      </c>
      <c r="V146" s="2399">
        <f t="shared" si="306"/>
        <v>28</v>
      </c>
      <c r="W146" s="2372">
        <f t="shared" ref="W146" si="307">SUM(W147:W149)</f>
        <v>0</v>
      </c>
      <c r="X146" s="2369">
        <f t="shared" si="306"/>
        <v>0</v>
      </c>
      <c r="Y146" s="2370">
        <f t="shared" si="306"/>
        <v>0</v>
      </c>
      <c r="Z146" s="2369">
        <f t="shared" si="306"/>
        <v>0</v>
      </c>
      <c r="AA146" s="2371">
        <f t="shared" si="306"/>
        <v>0</v>
      </c>
      <c r="AB146" s="2371">
        <f t="shared" si="306"/>
        <v>0</v>
      </c>
      <c r="AC146" s="2371">
        <f t="shared" si="306"/>
        <v>0</v>
      </c>
      <c r="AD146" s="2370">
        <f t="shared" si="306"/>
        <v>0</v>
      </c>
      <c r="AE146" s="2372">
        <f t="shared" ref="AE146" si="308">SUM(AE147:AE149)</f>
        <v>0</v>
      </c>
      <c r="AF146" s="2369">
        <f t="shared" si="306"/>
        <v>0</v>
      </c>
      <c r="AG146" s="2370">
        <f t="shared" si="306"/>
        <v>0</v>
      </c>
      <c r="AH146" s="2369">
        <f t="shared" si="306"/>
        <v>0</v>
      </c>
      <c r="AI146" s="2371">
        <f t="shared" si="306"/>
        <v>0</v>
      </c>
      <c r="AJ146" s="2371">
        <f t="shared" si="306"/>
        <v>0</v>
      </c>
      <c r="AK146" s="2371">
        <f t="shared" si="306"/>
        <v>0</v>
      </c>
      <c r="AL146" s="2370">
        <f t="shared" si="306"/>
        <v>0</v>
      </c>
      <c r="AX146" s="2084"/>
      <c r="AY146" s="4488"/>
      <c r="AZ146" s="4504">
        <f t="shared" ref="AZ146:AZ157" si="309">IFERROR(F146/$E$1,0)</f>
        <v>29.843462877652964</v>
      </c>
      <c r="BA146" s="4504">
        <f t="shared" ref="BA146:BA157" si="310">IFERROR(G146/$E$1,0)</f>
        <v>609.58783585485446</v>
      </c>
      <c r="BB146" s="4504">
        <f t="shared" ref="BB146:BB157" si="311">IFERROR(H146/$E$1,0)</f>
        <v>55.730815050387811</v>
      </c>
      <c r="BC146" s="4504">
        <f t="shared" ref="BC146:BC157" si="312">IFERROR(I146/$E$1,0)</f>
        <v>20.45167524784874</v>
      </c>
      <c r="BD146" s="4504">
        <f t="shared" ref="BD146:BD157" si="313">IFERROR(J146/$E$1,0)</f>
        <v>17.383923960671428</v>
      </c>
      <c r="BE146" s="4504">
        <f t="shared" ref="BE146:BE157" si="314">IFERROR(K146/$E$1,0)</f>
        <v>27.09846970339958</v>
      </c>
      <c r="BF146" s="4504">
        <f t="shared" ref="BF146:BF157" si="315">IFERROR(L146/$E$1,0)</f>
        <v>24.030718416222268</v>
      </c>
      <c r="BG146" s="4504">
        <f t="shared" ref="BG146:BG157" si="316">IFERROR(M146/$E$1,0)</f>
        <v>17.383923960671428</v>
      </c>
      <c r="BH146" s="4504">
        <f t="shared" ref="BH146:BH157" si="317">IFERROR(N146/$E$1,0)</f>
        <v>106.34871128881345</v>
      </c>
      <c r="BI146" s="4504">
        <f t="shared" ref="BI146:BI157" si="318">IFERROR(O146/$E$1,0)</f>
        <v>29.281041808337122</v>
      </c>
      <c r="BJ146" s="4504">
        <f t="shared" ref="BJ146:BJ157" si="319">IFERROR(P146/$E$1,0)</f>
        <v>495.5588507181094</v>
      </c>
      <c r="BK146" s="4504">
        <f t="shared" ref="BK146:BK157" si="320">IFERROR(Q146/$E$1,0)</f>
        <v>50.617896238425622</v>
      </c>
      <c r="BL146" s="4504">
        <f t="shared" ref="BL146:BL157" si="321">IFERROR(R146/$E$1,0)</f>
        <v>17.383923960671428</v>
      </c>
      <c r="BM146" s="4504">
        <f t="shared" ref="BM146:BM157" si="322">IFERROR(S146/$E$1,0)</f>
        <v>14.316172673494117</v>
      </c>
      <c r="BN146" s="4504">
        <f t="shared" ref="BN146:BN157" si="323">IFERROR(T146/$E$1,0)</f>
        <v>24.030718416222268</v>
      </c>
      <c r="BO146" s="4504">
        <f t="shared" ref="BO146:BO157" si="324">IFERROR(U146/$E$1,0)</f>
        <v>20.962967129044959</v>
      </c>
      <c r="BP146" s="4504">
        <f t="shared" ref="BP146:BP157" si="325">IFERROR(V146/$E$1,0)</f>
        <v>14.316172673494117</v>
      </c>
      <c r="BQ146" s="4504">
        <f t="shared" ref="BQ146:BQ157" si="326">IFERROR(W146/$E$1,0)</f>
        <v>0</v>
      </c>
      <c r="BR146" s="4504">
        <f t="shared" ref="BR146:BR157" si="327">IFERROR(X146/$E$1,0)</f>
        <v>0</v>
      </c>
      <c r="BS146" s="4504">
        <f t="shared" ref="BS146:BS157" si="328">IFERROR(Y146/$E$1,0)</f>
        <v>0</v>
      </c>
      <c r="BT146" s="4504">
        <f t="shared" ref="BT146:BT157" si="329">IFERROR(Z146/$E$1,0)</f>
        <v>0</v>
      </c>
      <c r="BU146" s="4504">
        <f t="shared" ref="BU146:BU157" si="330">IFERROR(AA146/$E$1,0)</f>
        <v>0</v>
      </c>
      <c r="BV146" s="4504">
        <f t="shared" ref="BV146:BV157" si="331">IFERROR(AB146/$E$1,0)</f>
        <v>0</v>
      </c>
      <c r="BW146" s="4504">
        <f t="shared" ref="BW146:BW157" si="332">IFERROR(AC146/$E$1,0)</f>
        <v>0</v>
      </c>
      <c r="BX146" s="4504">
        <f t="shared" ref="BX146:BX157" si="333">IFERROR(AD146/$E$1,0)</f>
        <v>0</v>
      </c>
      <c r="BY146" s="4504">
        <f t="shared" ref="BY146:BY157" si="334">IFERROR(AE146/$E$1,0)</f>
        <v>0</v>
      </c>
      <c r="BZ146" s="4504">
        <f t="shared" ref="BZ146:BZ157" si="335">IFERROR(AF146/$E$1,0)</f>
        <v>0</v>
      </c>
      <c r="CA146" s="4504">
        <f t="shared" ref="CA146:CA157" si="336">IFERROR(AG146/$E$1,0)</f>
        <v>0</v>
      </c>
      <c r="CB146" s="4504">
        <f t="shared" ref="CB146:CB157" si="337">IFERROR(AH146/$E$1,0)</f>
        <v>0</v>
      </c>
      <c r="CC146" s="4504">
        <f t="shared" ref="CC146:CC157" si="338">IFERROR(AI146/$E$1,0)</f>
        <v>0</v>
      </c>
      <c r="CD146" s="4504">
        <f t="shared" ref="CD146:CD157" si="339">IFERROR(AJ146/$E$1,0)</f>
        <v>0</v>
      </c>
      <c r="CE146" s="4504">
        <f t="shared" ref="CE146:CE157" si="340">IFERROR(AK146/$E$1,0)</f>
        <v>0</v>
      </c>
      <c r="CF146" s="4504">
        <f t="shared" ref="CF146:CF157" si="341">IFERROR(AL146/$E$1,0)</f>
        <v>0</v>
      </c>
    </row>
    <row r="147" spans="1:84" ht="24">
      <c r="A147" s="2276"/>
      <c r="B147" s="1309"/>
      <c r="C147" s="1309"/>
      <c r="D147" s="1309"/>
      <c r="E147" s="2304" t="str">
        <f>E140</f>
        <v>Доставяне на вода на потребителите</v>
      </c>
      <c r="F147" s="2400">
        <f>SUM(F30:F35)+(F60-F69-F70)*F130</f>
        <v>28.553493333333332</v>
      </c>
      <c r="G147" s="2402">
        <f>SUM(G30:G35)+(G60-G69-G70)*G130</f>
        <v>731.47412899999995</v>
      </c>
      <c r="H147" s="2401">
        <f t="shared" ref="H147:AL147" si="342">SUM(H30:H35)+(H60-H69-H70)*H130</f>
        <v>34.333333333333329</v>
      </c>
      <c r="I147" s="2402">
        <f t="shared" si="342"/>
        <v>11</v>
      </c>
      <c r="J147" s="2403">
        <f t="shared" si="342"/>
        <v>9</v>
      </c>
      <c r="K147" s="2403">
        <f t="shared" si="342"/>
        <v>15.333333333333332</v>
      </c>
      <c r="L147" s="2403">
        <f>SUM(L30:L35)+(L60-L69-L70)*L130</f>
        <v>13.333333333333332</v>
      </c>
      <c r="M147" s="2401">
        <f t="shared" si="342"/>
        <v>9</v>
      </c>
      <c r="N147" s="2179">
        <f t="shared" si="200"/>
        <v>57.666666666666657</v>
      </c>
      <c r="O147" s="4162">
        <f t="shared" ref="O147" si="343">SUM(O30:O35)+(O60-O69-O70)*O130</f>
        <v>28.553493333333332</v>
      </c>
      <c r="P147" s="2198">
        <f t="shared" si="342"/>
        <v>731.47412899999995</v>
      </c>
      <c r="Q147" s="2401">
        <f t="shared" si="342"/>
        <v>34.333333333333329</v>
      </c>
      <c r="R147" s="2402">
        <f t="shared" si="342"/>
        <v>11</v>
      </c>
      <c r="S147" s="2403">
        <f t="shared" si="342"/>
        <v>9</v>
      </c>
      <c r="T147" s="2403">
        <f t="shared" si="342"/>
        <v>15.333333333333332</v>
      </c>
      <c r="U147" s="2403">
        <f t="shared" si="342"/>
        <v>13.333333333333332</v>
      </c>
      <c r="V147" s="2404">
        <f t="shared" si="342"/>
        <v>9</v>
      </c>
      <c r="W147" s="2400">
        <f>SUM(W30:W35)+(W60-W69-W70)*W130</f>
        <v>0</v>
      </c>
      <c r="X147" s="2402">
        <f>SUM(X30:X35)+(X60-X69-X70)*X130</f>
        <v>0</v>
      </c>
      <c r="Y147" s="2401">
        <f t="shared" si="342"/>
        <v>0</v>
      </c>
      <c r="Z147" s="2402">
        <f t="shared" si="342"/>
        <v>0</v>
      </c>
      <c r="AA147" s="2403">
        <f t="shared" si="342"/>
        <v>0</v>
      </c>
      <c r="AB147" s="2403">
        <f t="shared" si="342"/>
        <v>0</v>
      </c>
      <c r="AC147" s="2403">
        <f t="shared" si="342"/>
        <v>0</v>
      </c>
      <c r="AD147" s="2401">
        <f t="shared" si="342"/>
        <v>0</v>
      </c>
      <c r="AE147" s="2400">
        <f t="shared" ref="AE147" si="344">SUM(AE30:AE35)+(AE60-AE69-AE70)*AE130</f>
        <v>0</v>
      </c>
      <c r="AF147" s="2402">
        <f t="shared" si="342"/>
        <v>0</v>
      </c>
      <c r="AG147" s="2401">
        <f t="shared" si="342"/>
        <v>0</v>
      </c>
      <c r="AH147" s="2402">
        <f t="shared" si="342"/>
        <v>0</v>
      </c>
      <c r="AI147" s="2403">
        <f t="shared" si="342"/>
        <v>0</v>
      </c>
      <c r="AJ147" s="2403">
        <f t="shared" si="342"/>
        <v>0</v>
      </c>
      <c r="AK147" s="2403">
        <f t="shared" si="342"/>
        <v>0</v>
      </c>
      <c r="AL147" s="2401">
        <f t="shared" si="342"/>
        <v>0</v>
      </c>
      <c r="AO147" s="1268"/>
      <c r="AP147" s="1268"/>
      <c r="AQ147" s="1268"/>
      <c r="AV147" s="2080"/>
      <c r="AW147" s="2280"/>
      <c r="AX147" s="2084"/>
      <c r="AY147" s="4488"/>
      <c r="AZ147" s="4504">
        <f t="shared" si="309"/>
        <v>14.599169321123682</v>
      </c>
      <c r="BA147" s="4504">
        <f t="shared" si="310"/>
        <v>373.9967834627754</v>
      </c>
      <c r="BB147" s="4504">
        <f t="shared" si="311"/>
        <v>17.554354587736832</v>
      </c>
      <c r="BC147" s="4504">
        <f t="shared" si="312"/>
        <v>5.6242106931584033</v>
      </c>
      <c r="BD147" s="4504">
        <f t="shared" si="313"/>
        <v>4.6016269307659661</v>
      </c>
      <c r="BE147" s="4504">
        <f t="shared" si="314"/>
        <v>7.8398088450086831</v>
      </c>
      <c r="BF147" s="4504">
        <f t="shared" si="315"/>
        <v>6.8172250826162459</v>
      </c>
      <c r="BG147" s="4504">
        <f t="shared" si="316"/>
        <v>4.6016269307659661</v>
      </c>
      <c r="BH147" s="4504">
        <f t="shared" si="317"/>
        <v>29.48449848231526</v>
      </c>
      <c r="BI147" s="4504">
        <f t="shared" si="318"/>
        <v>14.599169321123682</v>
      </c>
      <c r="BJ147" s="4504">
        <f t="shared" si="319"/>
        <v>373.9967834627754</v>
      </c>
      <c r="BK147" s="4504">
        <f t="shared" si="320"/>
        <v>17.554354587736832</v>
      </c>
      <c r="BL147" s="4504">
        <f t="shared" si="321"/>
        <v>5.6242106931584033</v>
      </c>
      <c r="BM147" s="4504">
        <f t="shared" si="322"/>
        <v>4.6016269307659661</v>
      </c>
      <c r="BN147" s="4504">
        <f t="shared" si="323"/>
        <v>7.8398088450086831</v>
      </c>
      <c r="BO147" s="4504">
        <f t="shared" si="324"/>
        <v>6.8172250826162459</v>
      </c>
      <c r="BP147" s="4504">
        <f t="shared" si="325"/>
        <v>4.6016269307659661</v>
      </c>
      <c r="BQ147" s="4504">
        <f t="shared" si="326"/>
        <v>0</v>
      </c>
      <c r="BR147" s="4504">
        <f t="shared" si="327"/>
        <v>0</v>
      </c>
      <c r="BS147" s="4504">
        <f t="shared" si="328"/>
        <v>0</v>
      </c>
      <c r="BT147" s="4504">
        <f t="shared" si="329"/>
        <v>0</v>
      </c>
      <c r="BU147" s="4504">
        <f t="shared" si="330"/>
        <v>0</v>
      </c>
      <c r="BV147" s="4504">
        <f t="shared" si="331"/>
        <v>0</v>
      </c>
      <c r="BW147" s="4504">
        <f t="shared" si="332"/>
        <v>0</v>
      </c>
      <c r="BX147" s="4504">
        <f t="shared" si="333"/>
        <v>0</v>
      </c>
      <c r="BY147" s="4504">
        <f t="shared" si="334"/>
        <v>0</v>
      </c>
      <c r="BZ147" s="4504">
        <f t="shared" si="335"/>
        <v>0</v>
      </c>
      <c r="CA147" s="4504">
        <f t="shared" si="336"/>
        <v>0</v>
      </c>
      <c r="CB147" s="4504">
        <f t="shared" si="337"/>
        <v>0</v>
      </c>
      <c r="CC147" s="4504">
        <f t="shared" si="338"/>
        <v>0</v>
      </c>
      <c r="CD147" s="4504">
        <f t="shared" si="339"/>
        <v>0</v>
      </c>
      <c r="CE147" s="4504">
        <f t="shared" si="340"/>
        <v>0</v>
      </c>
      <c r="CF147" s="4504">
        <f t="shared" si="341"/>
        <v>0</v>
      </c>
    </row>
    <row r="148" spans="1:84">
      <c r="E148" s="2304" t="str">
        <f t="shared" ref="E148:E149" si="345">E141</f>
        <v>Отвеждане на отпадъчните води</v>
      </c>
      <c r="F148" s="2400">
        <f>SUM(F43:F47)+(F60-F69-F70)*F131</f>
        <v>14.357623333333333</v>
      </c>
      <c r="G148" s="2402">
        <f>SUM(G43:G47)+(G60-G69-G70)*G131</f>
        <v>121.76624899999999</v>
      </c>
      <c r="H148" s="2401">
        <f t="shared" ref="H148:M148" si="346">SUM(H43:H47)+(H60-H69-H70)*H131</f>
        <v>32.333333333333329</v>
      </c>
      <c r="I148" s="2402">
        <f t="shared" si="346"/>
        <v>12</v>
      </c>
      <c r="J148" s="2403">
        <f t="shared" si="346"/>
        <v>10</v>
      </c>
      <c r="K148" s="2403">
        <f t="shared" si="346"/>
        <v>16.333333333333332</v>
      </c>
      <c r="L148" s="2403">
        <f t="shared" si="346"/>
        <v>14.333333333333332</v>
      </c>
      <c r="M148" s="2401">
        <f t="shared" si="346"/>
        <v>10</v>
      </c>
      <c r="N148" s="2179">
        <f t="shared" si="200"/>
        <v>62.666666666666657</v>
      </c>
      <c r="O148" s="4162">
        <f t="shared" ref="O148" si="347">SUM(O43:O47)+(O60-O69-O70)*O131</f>
        <v>14.357623333333333</v>
      </c>
      <c r="P148" s="2198">
        <f t="shared" ref="P148:AL148" si="348">SUM(P43:P47)+(P60-P69-P70)*P131</f>
        <v>121.76624899999999</v>
      </c>
      <c r="Q148" s="2401">
        <f t="shared" si="348"/>
        <v>32.333333333333329</v>
      </c>
      <c r="R148" s="2402">
        <f t="shared" si="348"/>
        <v>12</v>
      </c>
      <c r="S148" s="2403">
        <f t="shared" si="348"/>
        <v>10</v>
      </c>
      <c r="T148" s="2403">
        <f t="shared" si="348"/>
        <v>16.333333333333332</v>
      </c>
      <c r="U148" s="2403">
        <f t="shared" si="348"/>
        <v>14.333333333333332</v>
      </c>
      <c r="V148" s="2404">
        <f t="shared" si="348"/>
        <v>10</v>
      </c>
      <c r="W148" s="2400">
        <f t="shared" ref="W148" si="349">SUM(W43:W47)+(W60-W69-W70)*W131</f>
        <v>0</v>
      </c>
      <c r="X148" s="2402">
        <f t="shared" si="348"/>
        <v>0</v>
      </c>
      <c r="Y148" s="2401">
        <f t="shared" si="348"/>
        <v>0</v>
      </c>
      <c r="Z148" s="2402">
        <f t="shared" si="348"/>
        <v>0</v>
      </c>
      <c r="AA148" s="2403">
        <f t="shared" si="348"/>
        <v>0</v>
      </c>
      <c r="AB148" s="2403">
        <f t="shared" si="348"/>
        <v>0</v>
      </c>
      <c r="AC148" s="2403">
        <f t="shared" si="348"/>
        <v>0</v>
      </c>
      <c r="AD148" s="2401">
        <f t="shared" si="348"/>
        <v>0</v>
      </c>
      <c r="AE148" s="2400">
        <f>SUM(AE43:AE47)+(AE60-AE69-AE70)*AE131</f>
        <v>0</v>
      </c>
      <c r="AF148" s="2402">
        <f>SUM(AF43:AF47)+(AF60-AF69-AF70)*AF131</f>
        <v>0</v>
      </c>
      <c r="AG148" s="2401">
        <f t="shared" si="348"/>
        <v>0</v>
      </c>
      <c r="AH148" s="2402">
        <f t="shared" si="348"/>
        <v>0</v>
      </c>
      <c r="AI148" s="2403">
        <f t="shared" si="348"/>
        <v>0</v>
      </c>
      <c r="AJ148" s="2403">
        <f t="shared" si="348"/>
        <v>0</v>
      </c>
      <c r="AK148" s="2403">
        <f t="shared" si="348"/>
        <v>0</v>
      </c>
      <c r="AL148" s="2401">
        <f t="shared" si="348"/>
        <v>0</v>
      </c>
      <c r="AO148" s="2080"/>
      <c r="AX148" s="2084"/>
      <c r="AY148" s="4488"/>
      <c r="AZ148" s="4504">
        <f t="shared" si="309"/>
        <v>7.3409362436067207</v>
      </c>
      <c r="BA148" s="4504">
        <f t="shared" si="310"/>
        <v>62.258094517417156</v>
      </c>
      <c r="BB148" s="4504">
        <f t="shared" si="311"/>
        <v>16.531770825344395</v>
      </c>
      <c r="BC148" s="4504">
        <f t="shared" si="312"/>
        <v>6.1355025743546223</v>
      </c>
      <c r="BD148" s="4504">
        <f t="shared" si="313"/>
        <v>5.1129188119621851</v>
      </c>
      <c r="BE148" s="4504">
        <f t="shared" si="314"/>
        <v>8.3511007262049013</v>
      </c>
      <c r="BF148" s="4504">
        <f t="shared" si="315"/>
        <v>7.3285169638124641</v>
      </c>
      <c r="BG148" s="4504">
        <f t="shared" si="316"/>
        <v>5.1129188119621851</v>
      </c>
      <c r="BH148" s="4504">
        <f t="shared" si="317"/>
        <v>32.040957888296354</v>
      </c>
      <c r="BI148" s="4504">
        <f t="shared" si="318"/>
        <v>7.3409362436067207</v>
      </c>
      <c r="BJ148" s="4504">
        <f t="shared" si="319"/>
        <v>62.258094517417156</v>
      </c>
      <c r="BK148" s="4504">
        <f t="shared" si="320"/>
        <v>16.531770825344395</v>
      </c>
      <c r="BL148" s="4504">
        <f t="shared" si="321"/>
        <v>6.1355025743546223</v>
      </c>
      <c r="BM148" s="4504">
        <f t="shared" si="322"/>
        <v>5.1129188119621851</v>
      </c>
      <c r="BN148" s="4504">
        <f t="shared" si="323"/>
        <v>8.3511007262049013</v>
      </c>
      <c r="BO148" s="4504">
        <f t="shared" si="324"/>
        <v>7.3285169638124641</v>
      </c>
      <c r="BP148" s="4504">
        <f t="shared" si="325"/>
        <v>5.1129188119621851</v>
      </c>
      <c r="BQ148" s="4504">
        <f t="shared" si="326"/>
        <v>0</v>
      </c>
      <c r="BR148" s="4504">
        <f t="shared" si="327"/>
        <v>0</v>
      </c>
      <c r="BS148" s="4504">
        <f t="shared" si="328"/>
        <v>0</v>
      </c>
      <c r="BT148" s="4504">
        <f t="shared" si="329"/>
        <v>0</v>
      </c>
      <c r="BU148" s="4504">
        <f t="shared" si="330"/>
        <v>0</v>
      </c>
      <c r="BV148" s="4504">
        <f t="shared" si="331"/>
        <v>0</v>
      </c>
      <c r="BW148" s="4504">
        <f t="shared" si="332"/>
        <v>0</v>
      </c>
      <c r="BX148" s="4504">
        <f t="shared" si="333"/>
        <v>0</v>
      </c>
      <c r="BY148" s="4504">
        <f t="shared" si="334"/>
        <v>0</v>
      </c>
      <c r="BZ148" s="4504">
        <f t="shared" si="335"/>
        <v>0</v>
      </c>
      <c r="CA148" s="4504">
        <f t="shared" si="336"/>
        <v>0</v>
      </c>
      <c r="CB148" s="4504">
        <f t="shared" si="337"/>
        <v>0</v>
      </c>
      <c r="CC148" s="4504">
        <f t="shared" si="338"/>
        <v>0</v>
      </c>
      <c r="CD148" s="4504">
        <f t="shared" si="339"/>
        <v>0</v>
      </c>
      <c r="CE148" s="4504">
        <f t="shared" si="340"/>
        <v>0</v>
      </c>
      <c r="CF148" s="4504">
        <f t="shared" si="341"/>
        <v>0</v>
      </c>
    </row>
    <row r="149" spans="1:84">
      <c r="E149" s="2304" t="str">
        <f t="shared" si="345"/>
        <v>Пречистване на отпадъчните води</v>
      </c>
      <c r="F149" s="2400">
        <f>SUM(F52:F56)+F50+(F60-F69-F70)*F132</f>
        <v>14.357623333333333</v>
      </c>
      <c r="G149" s="2402">
        <f>SUM(G52:G56)+G50+(G60-G69-G70)*G132</f>
        <v>115.98848899999999</v>
      </c>
      <c r="H149" s="2401">
        <f t="shared" ref="H149:M149" si="350">SUM(H52:H56)+H50+(H60-H69-H70)*H132</f>
        <v>32.333333333333329</v>
      </c>
      <c r="I149" s="2402">
        <f t="shared" si="350"/>
        <v>11</v>
      </c>
      <c r="J149" s="2403">
        <f t="shared" si="350"/>
        <v>9</v>
      </c>
      <c r="K149" s="2403">
        <f t="shared" si="350"/>
        <v>15.333333333333332</v>
      </c>
      <c r="L149" s="2403">
        <f t="shared" si="350"/>
        <v>13.333333333333332</v>
      </c>
      <c r="M149" s="2401">
        <f t="shared" si="350"/>
        <v>9</v>
      </c>
      <c r="N149" s="2179">
        <f>SUM(I149:M149)</f>
        <v>57.666666666666657</v>
      </c>
      <c r="O149" s="4162">
        <f t="shared" ref="O149" si="351">SUM(O52:O56)+O50+(O60-O69-O70)*O132</f>
        <v>14.357623333333333</v>
      </c>
      <c r="P149" s="2198">
        <f t="shared" ref="P149:AL149" si="352">SUM(P52:P56)+P50+(P60-P69-P70)*P132</f>
        <v>115.98848899999999</v>
      </c>
      <c r="Q149" s="2401">
        <f t="shared" si="352"/>
        <v>32.333333333333329</v>
      </c>
      <c r="R149" s="2402">
        <f t="shared" si="352"/>
        <v>11</v>
      </c>
      <c r="S149" s="2403">
        <f t="shared" si="352"/>
        <v>9</v>
      </c>
      <c r="T149" s="2403">
        <f>SUM(T52:T56)+T50+(T60-T69-T70)*T132</f>
        <v>15.333333333333332</v>
      </c>
      <c r="U149" s="2403">
        <f t="shared" si="352"/>
        <v>13.333333333333332</v>
      </c>
      <c r="V149" s="2404">
        <f t="shared" si="352"/>
        <v>9</v>
      </c>
      <c r="W149" s="2400">
        <f>SUM(W52:W56)+W50+(W60-W69-W70)*W132</f>
        <v>0</v>
      </c>
      <c r="X149" s="2402">
        <f>SUM(X52:X56)+X50+(X60-X69-X70)*X132</f>
        <v>0</v>
      </c>
      <c r="Y149" s="2401">
        <f t="shared" si="352"/>
        <v>0</v>
      </c>
      <c r="Z149" s="2402">
        <f t="shared" si="352"/>
        <v>0</v>
      </c>
      <c r="AA149" s="2403">
        <f t="shared" si="352"/>
        <v>0</v>
      </c>
      <c r="AB149" s="2403">
        <f t="shared" si="352"/>
        <v>0</v>
      </c>
      <c r="AC149" s="2403">
        <f t="shared" si="352"/>
        <v>0</v>
      </c>
      <c r="AD149" s="2401">
        <f t="shared" si="352"/>
        <v>0</v>
      </c>
      <c r="AE149" s="2400">
        <f t="shared" ref="AE149" si="353">SUM(AE52:AE56)+AE50+(AE60-AE69-AE70)*AE132</f>
        <v>0</v>
      </c>
      <c r="AF149" s="2402">
        <f t="shared" si="352"/>
        <v>0</v>
      </c>
      <c r="AG149" s="2401">
        <f t="shared" si="352"/>
        <v>0</v>
      </c>
      <c r="AH149" s="2402">
        <f t="shared" si="352"/>
        <v>0</v>
      </c>
      <c r="AI149" s="2403">
        <f t="shared" si="352"/>
        <v>0</v>
      </c>
      <c r="AJ149" s="2403">
        <f t="shared" si="352"/>
        <v>0</v>
      </c>
      <c r="AK149" s="2403">
        <f t="shared" si="352"/>
        <v>0</v>
      </c>
      <c r="AL149" s="2401">
        <f t="shared" si="352"/>
        <v>0</v>
      </c>
      <c r="AX149" s="2084"/>
      <c r="AY149" s="4488"/>
      <c r="AZ149" s="4504">
        <f t="shared" si="309"/>
        <v>7.3409362436067207</v>
      </c>
      <c r="BA149" s="4504">
        <f t="shared" si="310"/>
        <v>59.303972737916887</v>
      </c>
      <c r="BB149" s="4504">
        <f t="shared" si="311"/>
        <v>16.531770825344395</v>
      </c>
      <c r="BC149" s="4504">
        <f t="shared" si="312"/>
        <v>5.6242106931584033</v>
      </c>
      <c r="BD149" s="4504">
        <f t="shared" si="313"/>
        <v>4.6016269307659661</v>
      </c>
      <c r="BE149" s="4504">
        <f t="shared" si="314"/>
        <v>7.8398088450086831</v>
      </c>
      <c r="BF149" s="4504">
        <f t="shared" si="315"/>
        <v>6.8172250826162459</v>
      </c>
      <c r="BG149" s="4504">
        <f t="shared" si="316"/>
        <v>4.6016269307659661</v>
      </c>
      <c r="BH149" s="4504">
        <f t="shared" si="317"/>
        <v>29.48449848231526</v>
      </c>
      <c r="BI149" s="4504">
        <f t="shared" si="318"/>
        <v>7.3409362436067207</v>
      </c>
      <c r="BJ149" s="4504">
        <f t="shared" si="319"/>
        <v>59.303972737916887</v>
      </c>
      <c r="BK149" s="4504">
        <f t="shared" si="320"/>
        <v>16.531770825344395</v>
      </c>
      <c r="BL149" s="4504">
        <f t="shared" si="321"/>
        <v>5.6242106931584033</v>
      </c>
      <c r="BM149" s="4504">
        <f t="shared" si="322"/>
        <v>4.6016269307659661</v>
      </c>
      <c r="BN149" s="4504">
        <f t="shared" si="323"/>
        <v>7.8398088450086831</v>
      </c>
      <c r="BO149" s="4504">
        <f t="shared" si="324"/>
        <v>6.8172250826162459</v>
      </c>
      <c r="BP149" s="4504">
        <f t="shared" si="325"/>
        <v>4.6016269307659661</v>
      </c>
      <c r="BQ149" s="4504">
        <f t="shared" si="326"/>
        <v>0</v>
      </c>
      <c r="BR149" s="4504">
        <f t="shared" si="327"/>
        <v>0</v>
      </c>
      <c r="BS149" s="4504">
        <f t="shared" si="328"/>
        <v>0</v>
      </c>
      <c r="BT149" s="4504">
        <f t="shared" si="329"/>
        <v>0</v>
      </c>
      <c r="BU149" s="4504">
        <f t="shared" si="330"/>
        <v>0</v>
      </c>
      <c r="BV149" s="4504">
        <f t="shared" si="331"/>
        <v>0</v>
      </c>
      <c r="BW149" s="4504">
        <f t="shared" si="332"/>
        <v>0</v>
      </c>
      <c r="BX149" s="4504">
        <f t="shared" si="333"/>
        <v>0</v>
      </c>
      <c r="BY149" s="4504">
        <f t="shared" si="334"/>
        <v>0</v>
      </c>
      <c r="BZ149" s="4504">
        <f t="shared" si="335"/>
        <v>0</v>
      </c>
      <c r="CA149" s="4504">
        <f t="shared" si="336"/>
        <v>0</v>
      </c>
      <c r="CB149" s="4504">
        <f t="shared" si="337"/>
        <v>0</v>
      </c>
      <c r="CC149" s="4504">
        <f t="shared" si="338"/>
        <v>0</v>
      </c>
      <c r="CD149" s="4504">
        <f t="shared" si="339"/>
        <v>0</v>
      </c>
      <c r="CE149" s="4504">
        <f t="shared" si="340"/>
        <v>0</v>
      </c>
      <c r="CF149" s="4504">
        <f t="shared" si="341"/>
        <v>0</v>
      </c>
    </row>
    <row r="150" spans="1:84" ht="24">
      <c r="E150" s="2385" t="s">
        <v>1029</v>
      </c>
      <c r="F150" s="2390">
        <f>SUM(F92:F97)</f>
        <v>0</v>
      </c>
      <c r="G150" s="2386">
        <f>SUM(G92:G97)</f>
        <v>0</v>
      </c>
      <c r="H150" s="2387">
        <f t="shared" ref="H150:M150" si="354">SUM(H92:H97)</f>
        <v>0</v>
      </c>
      <c r="I150" s="2386">
        <f t="shared" si="354"/>
        <v>0</v>
      </c>
      <c r="J150" s="2388">
        <f t="shared" si="354"/>
        <v>0</v>
      </c>
      <c r="K150" s="2388">
        <f t="shared" si="354"/>
        <v>0</v>
      </c>
      <c r="L150" s="2388">
        <f t="shared" si="354"/>
        <v>0</v>
      </c>
      <c r="M150" s="2387">
        <f t="shared" si="354"/>
        <v>0</v>
      </c>
      <c r="N150" s="2389">
        <f t="shared" ref="N150:N151" si="355">SUM(I150:M150)</f>
        <v>0</v>
      </c>
      <c r="O150" s="4163">
        <f t="shared" ref="O150" si="356">SUM(O92:O97)</f>
        <v>0</v>
      </c>
      <c r="P150" s="2386">
        <f t="shared" ref="P150:AL150" si="357">SUM(P92:P97)</f>
        <v>0</v>
      </c>
      <c r="Q150" s="2387">
        <f t="shared" si="357"/>
        <v>0</v>
      </c>
      <c r="R150" s="2386">
        <f t="shared" si="357"/>
        <v>0</v>
      </c>
      <c r="S150" s="2388">
        <f t="shared" si="357"/>
        <v>0</v>
      </c>
      <c r="T150" s="2388">
        <f t="shared" si="357"/>
        <v>0</v>
      </c>
      <c r="U150" s="2388">
        <f t="shared" si="357"/>
        <v>0</v>
      </c>
      <c r="V150" s="2387">
        <f t="shared" si="357"/>
        <v>0</v>
      </c>
      <c r="W150" s="2390">
        <f t="shared" ref="W150" si="358">SUM(W92:W97)</f>
        <v>0</v>
      </c>
      <c r="X150" s="2386">
        <f t="shared" si="357"/>
        <v>0</v>
      </c>
      <c r="Y150" s="2387">
        <f t="shared" si="357"/>
        <v>0</v>
      </c>
      <c r="Z150" s="2386">
        <f t="shared" si="357"/>
        <v>0</v>
      </c>
      <c r="AA150" s="2388">
        <f t="shared" si="357"/>
        <v>0</v>
      </c>
      <c r="AB150" s="2388">
        <f t="shared" si="357"/>
        <v>0</v>
      </c>
      <c r="AC150" s="2388">
        <f t="shared" si="357"/>
        <v>0</v>
      </c>
      <c r="AD150" s="2387">
        <f t="shared" si="357"/>
        <v>0</v>
      </c>
      <c r="AE150" s="2390">
        <f t="shared" ref="AE150" si="359">SUM(AE92:AE97)</f>
        <v>0</v>
      </c>
      <c r="AF150" s="2386">
        <f t="shared" si="357"/>
        <v>0</v>
      </c>
      <c r="AG150" s="2387">
        <f t="shared" si="357"/>
        <v>0</v>
      </c>
      <c r="AH150" s="2386">
        <f t="shared" si="357"/>
        <v>0</v>
      </c>
      <c r="AI150" s="2388">
        <f t="shared" si="357"/>
        <v>0</v>
      </c>
      <c r="AJ150" s="2388">
        <f t="shared" si="357"/>
        <v>0</v>
      </c>
      <c r="AK150" s="2388">
        <f t="shared" si="357"/>
        <v>0</v>
      </c>
      <c r="AL150" s="2387">
        <f t="shared" si="357"/>
        <v>0</v>
      </c>
      <c r="AP150" s="2428"/>
      <c r="AQ150" s="2417"/>
      <c r="AR150" s="1309"/>
      <c r="AS150" s="1309"/>
      <c r="AT150" s="2430"/>
      <c r="AU150" s="2419"/>
      <c r="AV150" s="1309"/>
      <c r="AW150" s="2276"/>
      <c r="AX150" s="2419"/>
      <c r="AY150" s="4488"/>
      <c r="AZ150" s="4504">
        <f t="shared" si="309"/>
        <v>0</v>
      </c>
      <c r="BA150" s="4504">
        <f t="shared" si="310"/>
        <v>0</v>
      </c>
      <c r="BB150" s="4504">
        <f t="shared" si="311"/>
        <v>0</v>
      </c>
      <c r="BC150" s="4504">
        <f t="shared" si="312"/>
        <v>0</v>
      </c>
      <c r="BD150" s="4504">
        <f t="shared" si="313"/>
        <v>0</v>
      </c>
      <c r="BE150" s="4504">
        <f t="shared" si="314"/>
        <v>0</v>
      </c>
      <c r="BF150" s="4504">
        <f t="shared" si="315"/>
        <v>0</v>
      </c>
      <c r="BG150" s="4504">
        <f t="shared" si="316"/>
        <v>0</v>
      </c>
      <c r="BH150" s="4504">
        <f t="shared" si="317"/>
        <v>0</v>
      </c>
      <c r="BI150" s="4504">
        <f t="shared" si="318"/>
        <v>0</v>
      </c>
      <c r="BJ150" s="4504">
        <f t="shared" si="319"/>
        <v>0</v>
      </c>
      <c r="BK150" s="4504">
        <f t="shared" si="320"/>
        <v>0</v>
      </c>
      <c r="BL150" s="4504">
        <f t="shared" si="321"/>
        <v>0</v>
      </c>
      <c r="BM150" s="4504">
        <f t="shared" si="322"/>
        <v>0</v>
      </c>
      <c r="BN150" s="4504">
        <f t="shared" si="323"/>
        <v>0</v>
      </c>
      <c r="BO150" s="4504">
        <f t="shared" si="324"/>
        <v>0</v>
      </c>
      <c r="BP150" s="4504">
        <f t="shared" si="325"/>
        <v>0</v>
      </c>
      <c r="BQ150" s="4504">
        <f t="shared" si="326"/>
        <v>0</v>
      </c>
      <c r="BR150" s="4504">
        <f t="shared" si="327"/>
        <v>0</v>
      </c>
      <c r="BS150" s="4504">
        <f t="shared" si="328"/>
        <v>0</v>
      </c>
      <c r="BT150" s="4504">
        <f t="shared" si="329"/>
        <v>0</v>
      </c>
      <c r="BU150" s="4504">
        <f t="shared" si="330"/>
        <v>0</v>
      </c>
      <c r="BV150" s="4504">
        <f t="shared" si="331"/>
        <v>0</v>
      </c>
      <c r="BW150" s="4504">
        <f t="shared" si="332"/>
        <v>0</v>
      </c>
      <c r="BX150" s="4504">
        <f t="shared" si="333"/>
        <v>0</v>
      </c>
      <c r="BY150" s="4504">
        <f t="shared" si="334"/>
        <v>0</v>
      </c>
      <c r="BZ150" s="4504">
        <f t="shared" si="335"/>
        <v>0</v>
      </c>
      <c r="CA150" s="4504">
        <f t="shared" si="336"/>
        <v>0</v>
      </c>
      <c r="CB150" s="4504">
        <f t="shared" si="337"/>
        <v>0</v>
      </c>
      <c r="CC150" s="4504">
        <f t="shared" si="338"/>
        <v>0</v>
      </c>
      <c r="CD150" s="4504">
        <f t="shared" si="339"/>
        <v>0</v>
      </c>
      <c r="CE150" s="4504">
        <f t="shared" si="340"/>
        <v>0</v>
      </c>
      <c r="CF150" s="4504">
        <f t="shared" si="341"/>
        <v>0</v>
      </c>
    </row>
    <row r="151" spans="1:84" ht="24" customHeight="1" thickBot="1">
      <c r="E151" s="2391" t="s">
        <v>1092</v>
      </c>
      <c r="F151" s="4153">
        <f>SUM(F118:F123)</f>
        <v>1.1000000000000001</v>
      </c>
      <c r="G151" s="2392">
        <f>SUM(G118:G123)</f>
        <v>223.02131</v>
      </c>
      <c r="H151" s="2393">
        <f t="shared" ref="H151:M151" si="360">SUM(H118:H123)</f>
        <v>10</v>
      </c>
      <c r="I151" s="2394">
        <f t="shared" si="360"/>
        <v>6</v>
      </c>
      <c r="J151" s="2395">
        <f t="shared" si="360"/>
        <v>6</v>
      </c>
      <c r="K151" s="2395">
        <f t="shared" si="360"/>
        <v>6</v>
      </c>
      <c r="L151" s="2395">
        <f t="shared" si="360"/>
        <v>6</v>
      </c>
      <c r="M151" s="2393">
        <f t="shared" si="360"/>
        <v>6</v>
      </c>
      <c r="N151" s="2389">
        <f t="shared" si="355"/>
        <v>30</v>
      </c>
      <c r="O151" s="4164">
        <f t="shared" ref="O151" si="361">SUM(O118:O123)</f>
        <v>1.1000000000000001</v>
      </c>
      <c r="P151" s="2394">
        <f t="shared" ref="P151:AL151" si="362">SUM(P118:P123)</f>
        <v>223.02131</v>
      </c>
      <c r="Q151" s="2393">
        <f t="shared" si="362"/>
        <v>10</v>
      </c>
      <c r="R151" s="2394">
        <f t="shared" si="362"/>
        <v>6</v>
      </c>
      <c r="S151" s="2395">
        <f t="shared" si="362"/>
        <v>6</v>
      </c>
      <c r="T151" s="2395">
        <f t="shared" si="362"/>
        <v>6</v>
      </c>
      <c r="U151" s="2395">
        <f t="shared" si="362"/>
        <v>6</v>
      </c>
      <c r="V151" s="2393">
        <f t="shared" si="362"/>
        <v>6</v>
      </c>
      <c r="W151" s="2396">
        <f t="shared" ref="W151" si="363">SUM(W118:W123)</f>
        <v>0</v>
      </c>
      <c r="X151" s="2394">
        <f t="shared" si="362"/>
        <v>0</v>
      </c>
      <c r="Y151" s="2393">
        <f t="shared" si="362"/>
        <v>0</v>
      </c>
      <c r="Z151" s="2394">
        <f t="shared" si="362"/>
        <v>0</v>
      </c>
      <c r="AA151" s="2395">
        <f t="shared" si="362"/>
        <v>0</v>
      </c>
      <c r="AB151" s="2395">
        <f t="shared" si="362"/>
        <v>0</v>
      </c>
      <c r="AC151" s="2395">
        <f t="shared" si="362"/>
        <v>0</v>
      </c>
      <c r="AD151" s="2393">
        <f t="shared" si="362"/>
        <v>0</v>
      </c>
      <c r="AE151" s="2396">
        <f t="shared" ref="AE151" si="364">SUM(AE118:AE123)</f>
        <v>0</v>
      </c>
      <c r="AF151" s="2394">
        <f t="shared" si="362"/>
        <v>0</v>
      </c>
      <c r="AG151" s="2393">
        <f t="shared" si="362"/>
        <v>0</v>
      </c>
      <c r="AH151" s="2394">
        <f t="shared" si="362"/>
        <v>0</v>
      </c>
      <c r="AI151" s="2395">
        <f t="shared" si="362"/>
        <v>0</v>
      </c>
      <c r="AJ151" s="2395">
        <f t="shared" si="362"/>
        <v>0</v>
      </c>
      <c r="AK151" s="2395">
        <f t="shared" si="362"/>
        <v>0</v>
      </c>
      <c r="AL151" s="2393">
        <f t="shared" si="362"/>
        <v>0</v>
      </c>
      <c r="AP151" s="5304"/>
      <c r="AQ151" s="5304"/>
      <c r="AR151" s="5304"/>
      <c r="AS151" s="5304"/>
      <c r="AT151" s="5304"/>
      <c r="AU151" s="5304"/>
      <c r="AV151" s="5304"/>
      <c r="AW151" s="5304"/>
      <c r="AX151" s="5304"/>
      <c r="AY151" s="4488"/>
      <c r="AZ151" s="4504">
        <f t="shared" si="309"/>
        <v>0.56242106931584035</v>
      </c>
      <c r="BA151" s="4504">
        <f t="shared" si="310"/>
        <v>114.02898513674502</v>
      </c>
      <c r="BB151" s="4504">
        <f t="shared" si="311"/>
        <v>5.1129188119621851</v>
      </c>
      <c r="BC151" s="4504">
        <f t="shared" si="312"/>
        <v>3.0677512871773112</v>
      </c>
      <c r="BD151" s="4504">
        <f t="shared" si="313"/>
        <v>3.0677512871773112</v>
      </c>
      <c r="BE151" s="4504">
        <f t="shared" si="314"/>
        <v>3.0677512871773112</v>
      </c>
      <c r="BF151" s="4504">
        <f t="shared" si="315"/>
        <v>3.0677512871773112</v>
      </c>
      <c r="BG151" s="4504">
        <f t="shared" si="316"/>
        <v>3.0677512871773112</v>
      </c>
      <c r="BH151" s="4504">
        <f t="shared" si="317"/>
        <v>15.338756435886555</v>
      </c>
      <c r="BI151" s="4504">
        <f t="shared" si="318"/>
        <v>0.56242106931584035</v>
      </c>
      <c r="BJ151" s="4504">
        <f t="shared" si="319"/>
        <v>114.02898513674502</v>
      </c>
      <c r="BK151" s="4504">
        <f t="shared" si="320"/>
        <v>5.1129188119621851</v>
      </c>
      <c r="BL151" s="4504">
        <f t="shared" si="321"/>
        <v>3.0677512871773112</v>
      </c>
      <c r="BM151" s="4504">
        <f t="shared" si="322"/>
        <v>3.0677512871773112</v>
      </c>
      <c r="BN151" s="4504">
        <f t="shared" si="323"/>
        <v>3.0677512871773112</v>
      </c>
      <c r="BO151" s="4504">
        <f t="shared" si="324"/>
        <v>3.0677512871773112</v>
      </c>
      <c r="BP151" s="4504">
        <f t="shared" si="325"/>
        <v>3.0677512871773112</v>
      </c>
      <c r="BQ151" s="4504">
        <f t="shared" si="326"/>
        <v>0</v>
      </c>
      <c r="BR151" s="4504">
        <f t="shared" si="327"/>
        <v>0</v>
      </c>
      <c r="BS151" s="4504">
        <f t="shared" si="328"/>
        <v>0</v>
      </c>
      <c r="BT151" s="4504">
        <f t="shared" si="329"/>
        <v>0</v>
      </c>
      <c r="BU151" s="4504">
        <f t="shared" si="330"/>
        <v>0</v>
      </c>
      <c r="BV151" s="4504">
        <f t="shared" si="331"/>
        <v>0</v>
      </c>
      <c r="BW151" s="4504">
        <f t="shared" si="332"/>
        <v>0</v>
      </c>
      <c r="BX151" s="4504">
        <f t="shared" si="333"/>
        <v>0</v>
      </c>
      <c r="BY151" s="4504">
        <f t="shared" si="334"/>
        <v>0</v>
      </c>
      <c r="BZ151" s="4504">
        <f t="shared" si="335"/>
        <v>0</v>
      </c>
      <c r="CA151" s="4504">
        <f t="shared" si="336"/>
        <v>0</v>
      </c>
      <c r="CB151" s="4504">
        <f t="shared" si="337"/>
        <v>0</v>
      </c>
      <c r="CC151" s="4504">
        <f t="shared" si="338"/>
        <v>0</v>
      </c>
      <c r="CD151" s="4504">
        <f t="shared" si="339"/>
        <v>0</v>
      </c>
      <c r="CE151" s="4504">
        <f t="shared" si="340"/>
        <v>0</v>
      </c>
      <c r="CF151" s="4504">
        <f t="shared" si="341"/>
        <v>0</v>
      </c>
    </row>
    <row r="152" spans="1:84">
      <c r="E152" s="2398" t="s">
        <v>941</v>
      </c>
      <c r="F152" s="2372">
        <f>SUM(F153:F157)</f>
        <v>1008.4742500000001</v>
      </c>
      <c r="G152" s="2369">
        <f>SUM(G153:G157)</f>
        <v>1104.9919800000002</v>
      </c>
      <c r="H152" s="2370">
        <f t="shared" ref="H152:M152" si="365">SUM(H153:H157)</f>
        <v>890.25</v>
      </c>
      <c r="I152" s="2369">
        <f t="shared" si="365"/>
        <v>1066</v>
      </c>
      <c r="J152" s="2371">
        <f t="shared" si="365"/>
        <v>916.00000000000011</v>
      </c>
      <c r="K152" s="2371">
        <f t="shared" si="365"/>
        <v>942</v>
      </c>
      <c r="L152" s="2371">
        <f t="shared" si="365"/>
        <v>978</v>
      </c>
      <c r="M152" s="2370">
        <f t="shared" si="365"/>
        <v>966.00000000000011</v>
      </c>
      <c r="N152" s="2336">
        <f t="shared" si="200"/>
        <v>4868</v>
      </c>
      <c r="O152" s="4161">
        <f t="shared" ref="O152" si="366">SUM(O153:O155)</f>
        <v>984.13546000000008</v>
      </c>
      <c r="P152" s="2369">
        <f t="shared" ref="P152:AL152" si="367">SUM(P153:P155)</f>
        <v>1083.2034300000003</v>
      </c>
      <c r="Q152" s="2370">
        <f t="shared" si="367"/>
        <v>870.25</v>
      </c>
      <c r="R152" s="2369">
        <f t="shared" si="367"/>
        <v>776.00000000000011</v>
      </c>
      <c r="S152" s="2371">
        <f t="shared" si="367"/>
        <v>781.00000000000011</v>
      </c>
      <c r="T152" s="2371">
        <f t="shared" si="367"/>
        <v>812</v>
      </c>
      <c r="U152" s="2371">
        <f t="shared" si="367"/>
        <v>823</v>
      </c>
      <c r="V152" s="2399">
        <f t="shared" si="367"/>
        <v>811.00000000000011</v>
      </c>
      <c r="W152" s="2372">
        <f t="shared" ref="W152" si="368">SUM(W153:W155)</f>
        <v>0</v>
      </c>
      <c r="X152" s="2369">
        <f t="shared" si="367"/>
        <v>0</v>
      </c>
      <c r="Y152" s="2370">
        <f t="shared" si="367"/>
        <v>0</v>
      </c>
      <c r="Z152" s="2369">
        <f t="shared" si="367"/>
        <v>0</v>
      </c>
      <c r="AA152" s="2371">
        <f t="shared" si="367"/>
        <v>0</v>
      </c>
      <c r="AB152" s="2371">
        <f t="shared" si="367"/>
        <v>0</v>
      </c>
      <c r="AC152" s="2371">
        <f t="shared" si="367"/>
        <v>0</v>
      </c>
      <c r="AD152" s="2370">
        <f t="shared" si="367"/>
        <v>0</v>
      </c>
      <c r="AE152" s="2372">
        <f t="shared" ref="AE152" si="369">SUM(AE153:AE155)</f>
        <v>0</v>
      </c>
      <c r="AF152" s="2369">
        <f t="shared" si="367"/>
        <v>0</v>
      </c>
      <c r="AG152" s="2370">
        <f t="shared" si="367"/>
        <v>0</v>
      </c>
      <c r="AH152" s="2369">
        <f t="shared" si="367"/>
        <v>0</v>
      </c>
      <c r="AI152" s="2371">
        <f t="shared" si="367"/>
        <v>0</v>
      </c>
      <c r="AJ152" s="2371">
        <f t="shared" si="367"/>
        <v>0</v>
      </c>
      <c r="AK152" s="2371">
        <f t="shared" si="367"/>
        <v>0</v>
      </c>
      <c r="AL152" s="2370">
        <f t="shared" si="367"/>
        <v>0</v>
      </c>
      <c r="AP152" s="5018"/>
      <c r="AQ152" s="5018"/>
      <c r="AR152" s="5018"/>
      <c r="AS152" s="5018"/>
      <c r="AT152" s="5018"/>
      <c r="AU152" s="5018"/>
      <c r="AV152" s="5018"/>
      <c r="AW152" s="5018"/>
      <c r="AX152" s="5018"/>
      <c r="AY152" s="4488"/>
      <c r="AZ152" s="4504">
        <f t="shared" si="309"/>
        <v>515.62469642044562</v>
      </c>
      <c r="BA152" s="4504">
        <f t="shared" si="310"/>
        <v>564.97342816093442</v>
      </c>
      <c r="BB152" s="4504">
        <f t="shared" si="311"/>
        <v>455.1775972349335</v>
      </c>
      <c r="BC152" s="4504">
        <f t="shared" si="312"/>
        <v>545.03714535516895</v>
      </c>
      <c r="BD152" s="4504">
        <f t="shared" si="313"/>
        <v>468.34336317573621</v>
      </c>
      <c r="BE152" s="4504">
        <f t="shared" si="314"/>
        <v>481.63695208683782</v>
      </c>
      <c r="BF152" s="4504">
        <f t="shared" si="315"/>
        <v>500.04345980990166</v>
      </c>
      <c r="BG152" s="4504">
        <f t="shared" si="316"/>
        <v>493.90795723554714</v>
      </c>
      <c r="BH152" s="4504">
        <f t="shared" si="317"/>
        <v>2488.9688776631915</v>
      </c>
      <c r="BI152" s="4504">
        <f t="shared" si="318"/>
        <v>503.18047069530587</v>
      </c>
      <c r="BJ152" s="4504">
        <f t="shared" si="319"/>
        <v>553.83311944289653</v>
      </c>
      <c r="BK152" s="4504">
        <f t="shared" si="320"/>
        <v>444.95175961100915</v>
      </c>
      <c r="BL152" s="4504">
        <f t="shared" si="321"/>
        <v>396.7624998082656</v>
      </c>
      <c r="BM152" s="4504">
        <f t="shared" si="322"/>
        <v>399.31895921424672</v>
      </c>
      <c r="BN152" s="4504">
        <f t="shared" si="323"/>
        <v>415.16900753132944</v>
      </c>
      <c r="BO152" s="4504">
        <f t="shared" si="324"/>
        <v>420.79321822448782</v>
      </c>
      <c r="BP152" s="4504">
        <f t="shared" si="325"/>
        <v>414.65771565013324</v>
      </c>
      <c r="BQ152" s="4504">
        <f t="shared" si="326"/>
        <v>0</v>
      </c>
      <c r="BR152" s="4504">
        <f t="shared" si="327"/>
        <v>0</v>
      </c>
      <c r="BS152" s="4504">
        <f t="shared" si="328"/>
        <v>0</v>
      </c>
      <c r="BT152" s="4504">
        <f t="shared" si="329"/>
        <v>0</v>
      </c>
      <c r="BU152" s="4504">
        <f t="shared" si="330"/>
        <v>0</v>
      </c>
      <c r="BV152" s="4504">
        <f t="shared" si="331"/>
        <v>0</v>
      </c>
      <c r="BW152" s="4504">
        <f t="shared" si="332"/>
        <v>0</v>
      </c>
      <c r="BX152" s="4504">
        <f t="shared" si="333"/>
        <v>0</v>
      </c>
      <c r="BY152" s="4504">
        <f t="shared" si="334"/>
        <v>0</v>
      </c>
      <c r="BZ152" s="4504">
        <f t="shared" si="335"/>
        <v>0</v>
      </c>
      <c r="CA152" s="4504">
        <f t="shared" si="336"/>
        <v>0</v>
      </c>
      <c r="CB152" s="4504">
        <f t="shared" si="337"/>
        <v>0</v>
      </c>
      <c r="CC152" s="4504">
        <f t="shared" si="338"/>
        <v>0</v>
      </c>
      <c r="CD152" s="4504">
        <f t="shared" si="339"/>
        <v>0</v>
      </c>
      <c r="CE152" s="4504">
        <f t="shared" si="340"/>
        <v>0</v>
      </c>
      <c r="CF152" s="4504">
        <f t="shared" si="341"/>
        <v>0</v>
      </c>
    </row>
    <row r="153" spans="1:84" ht="24">
      <c r="A153" s="2276"/>
      <c r="B153" s="1309"/>
      <c r="C153" s="1309"/>
      <c r="D153" s="1309"/>
      <c r="E153" s="2304" t="str">
        <f>E140</f>
        <v>Доставяне на вода на потребителите</v>
      </c>
      <c r="F153" s="2400">
        <f t="shared" ref="F153:G155" si="370">F140-F147</f>
        <v>839.29982666666672</v>
      </c>
      <c r="G153" s="2402">
        <f t="shared" si="370"/>
        <v>945.82149333333359</v>
      </c>
      <c r="H153" s="2401">
        <f t="shared" ref="H153:M155" si="371">H140-H147</f>
        <v>819.58333333333326</v>
      </c>
      <c r="I153" s="2402">
        <f t="shared" si="371"/>
        <v>654.33333333333337</v>
      </c>
      <c r="J153" s="2403">
        <f t="shared" si="371"/>
        <v>659.33333333333337</v>
      </c>
      <c r="K153" s="2403">
        <f t="shared" si="371"/>
        <v>690.33333333333326</v>
      </c>
      <c r="L153" s="2403">
        <f t="shared" si="371"/>
        <v>701.33333333333326</v>
      </c>
      <c r="M153" s="2401">
        <f t="shared" si="371"/>
        <v>689.33333333333337</v>
      </c>
      <c r="N153" s="2179">
        <f t="shared" si="200"/>
        <v>3394.6666666666665</v>
      </c>
      <c r="O153" s="4165">
        <f>O140-O147</f>
        <v>839.29982666666672</v>
      </c>
      <c r="P153" s="2402">
        <f>P140-P147</f>
        <v>945.82149333333359</v>
      </c>
      <c r="Q153" s="2401">
        <f t="shared" ref="Q153:AD153" si="372">Q140-Q147</f>
        <v>819.58333333333326</v>
      </c>
      <c r="R153" s="2402">
        <f t="shared" si="372"/>
        <v>654.33333333333337</v>
      </c>
      <c r="S153" s="2403">
        <f t="shared" si="372"/>
        <v>659.33333333333337</v>
      </c>
      <c r="T153" s="2403">
        <f t="shared" si="372"/>
        <v>690.33333333333326</v>
      </c>
      <c r="U153" s="2403">
        <f t="shared" si="372"/>
        <v>701.33333333333326</v>
      </c>
      <c r="V153" s="2404">
        <f t="shared" si="372"/>
        <v>689.33333333333337</v>
      </c>
      <c r="W153" s="2400">
        <f t="shared" ref="W153" si="373">W140-W147</f>
        <v>0</v>
      </c>
      <c r="X153" s="2402">
        <f t="shared" si="372"/>
        <v>0</v>
      </c>
      <c r="Y153" s="2401">
        <f t="shared" si="372"/>
        <v>0</v>
      </c>
      <c r="Z153" s="2402">
        <f t="shared" si="372"/>
        <v>0</v>
      </c>
      <c r="AA153" s="2403">
        <f t="shared" si="372"/>
        <v>0</v>
      </c>
      <c r="AB153" s="2403">
        <f t="shared" si="372"/>
        <v>0</v>
      </c>
      <c r="AC153" s="2403">
        <f t="shared" si="372"/>
        <v>0</v>
      </c>
      <c r="AD153" s="2401">
        <f t="shared" si="372"/>
        <v>0</v>
      </c>
      <c r="AE153" s="2400">
        <f>AE140-AE147</f>
        <v>0</v>
      </c>
      <c r="AF153" s="2402">
        <f>AF140-AF147</f>
        <v>0</v>
      </c>
      <c r="AG153" s="2401">
        <f t="shared" ref="AG153:AL153" si="374">AG140-AG147</f>
        <v>0</v>
      </c>
      <c r="AH153" s="2402">
        <f t="shared" si="374"/>
        <v>0</v>
      </c>
      <c r="AI153" s="2403">
        <f t="shared" si="374"/>
        <v>0</v>
      </c>
      <c r="AJ153" s="2403">
        <f t="shared" si="374"/>
        <v>0</v>
      </c>
      <c r="AK153" s="2403">
        <f t="shared" si="374"/>
        <v>0</v>
      </c>
      <c r="AL153" s="2401">
        <f t="shared" si="374"/>
        <v>0</v>
      </c>
      <c r="AM153" s="2278"/>
      <c r="AN153" s="2279"/>
      <c r="AO153" s="2278"/>
      <c r="AP153" s="5304"/>
      <c r="AQ153" s="5304"/>
      <c r="AR153" s="5304"/>
      <c r="AS153" s="5304"/>
      <c r="AT153" s="5304"/>
      <c r="AU153" s="5304"/>
      <c r="AV153" s="5304"/>
      <c r="AW153" s="5304"/>
      <c r="AX153" s="5304"/>
      <c r="AY153" s="4488"/>
      <c r="AZ153" s="4504">
        <f t="shared" si="309"/>
        <v>429.12718726406013</v>
      </c>
      <c r="BA153" s="4504">
        <f t="shared" si="310"/>
        <v>483.59085060221679</v>
      </c>
      <c r="BB153" s="4504">
        <f t="shared" si="311"/>
        <v>419.04630429706737</v>
      </c>
      <c r="BC153" s="4504">
        <f t="shared" si="312"/>
        <v>334.55532092939234</v>
      </c>
      <c r="BD153" s="4504">
        <f t="shared" si="313"/>
        <v>337.1117803353734</v>
      </c>
      <c r="BE153" s="4504">
        <f t="shared" si="314"/>
        <v>352.96182865245612</v>
      </c>
      <c r="BF153" s="4504">
        <f t="shared" si="315"/>
        <v>358.58603934561455</v>
      </c>
      <c r="BG153" s="4504">
        <f t="shared" si="316"/>
        <v>352.45053677125998</v>
      </c>
      <c r="BH153" s="4504">
        <f t="shared" si="317"/>
        <v>1735.6655060340963</v>
      </c>
      <c r="BI153" s="4504">
        <f t="shared" si="318"/>
        <v>429.12718726406013</v>
      </c>
      <c r="BJ153" s="4504">
        <f t="shared" si="319"/>
        <v>483.59085060221679</v>
      </c>
      <c r="BK153" s="4504">
        <f t="shared" si="320"/>
        <v>419.04630429706737</v>
      </c>
      <c r="BL153" s="4504">
        <f t="shared" si="321"/>
        <v>334.55532092939234</v>
      </c>
      <c r="BM153" s="4504">
        <f t="shared" si="322"/>
        <v>337.1117803353734</v>
      </c>
      <c r="BN153" s="4504">
        <f t="shared" si="323"/>
        <v>352.96182865245612</v>
      </c>
      <c r="BO153" s="4504">
        <f t="shared" si="324"/>
        <v>358.58603934561455</v>
      </c>
      <c r="BP153" s="4504">
        <f t="shared" si="325"/>
        <v>352.45053677125998</v>
      </c>
      <c r="BQ153" s="4504">
        <f t="shared" si="326"/>
        <v>0</v>
      </c>
      <c r="BR153" s="4504">
        <f t="shared" si="327"/>
        <v>0</v>
      </c>
      <c r="BS153" s="4504">
        <f t="shared" si="328"/>
        <v>0</v>
      </c>
      <c r="BT153" s="4504">
        <f t="shared" si="329"/>
        <v>0</v>
      </c>
      <c r="BU153" s="4504">
        <f t="shared" si="330"/>
        <v>0</v>
      </c>
      <c r="BV153" s="4504">
        <f t="shared" si="331"/>
        <v>0</v>
      </c>
      <c r="BW153" s="4504">
        <f t="shared" si="332"/>
        <v>0</v>
      </c>
      <c r="BX153" s="4504">
        <f t="shared" si="333"/>
        <v>0</v>
      </c>
      <c r="BY153" s="4504">
        <f t="shared" si="334"/>
        <v>0</v>
      </c>
      <c r="BZ153" s="4504">
        <f t="shared" si="335"/>
        <v>0</v>
      </c>
      <c r="CA153" s="4504">
        <f t="shared" si="336"/>
        <v>0</v>
      </c>
      <c r="CB153" s="4504">
        <f t="shared" si="337"/>
        <v>0</v>
      </c>
      <c r="CC153" s="4504">
        <f t="shared" si="338"/>
        <v>0</v>
      </c>
      <c r="CD153" s="4504">
        <f t="shared" si="339"/>
        <v>0</v>
      </c>
      <c r="CE153" s="4504">
        <f t="shared" si="340"/>
        <v>0</v>
      </c>
      <c r="CF153" s="4504">
        <f t="shared" si="341"/>
        <v>0</v>
      </c>
    </row>
    <row r="154" spans="1:84">
      <c r="A154" s="2276"/>
      <c r="B154" s="1309"/>
      <c r="C154" s="1309"/>
      <c r="D154" s="1309"/>
      <c r="E154" s="2304" t="str">
        <f t="shared" ref="E154:E155" si="375">E141</f>
        <v>Отвеждане на отпадъчните води</v>
      </c>
      <c r="F154" s="2400">
        <f t="shared" si="370"/>
        <v>40.360196666666667</v>
      </c>
      <c r="G154" s="2402">
        <f t="shared" si="370"/>
        <v>47.595513333333344</v>
      </c>
      <c r="H154" s="2401">
        <f t="shared" si="371"/>
        <v>29.333333333333336</v>
      </c>
      <c r="I154" s="2402">
        <f t="shared" si="371"/>
        <v>48.333333333333329</v>
      </c>
      <c r="J154" s="2403">
        <f t="shared" si="371"/>
        <v>48.333333333333329</v>
      </c>
      <c r="K154" s="2403">
        <f t="shared" si="371"/>
        <v>48.333333333333329</v>
      </c>
      <c r="L154" s="2403">
        <f t="shared" si="371"/>
        <v>48.333333333333329</v>
      </c>
      <c r="M154" s="2401">
        <f t="shared" si="371"/>
        <v>48.333333333333329</v>
      </c>
      <c r="N154" s="2179">
        <f t="shared" si="200"/>
        <v>241.66666666666663</v>
      </c>
      <c r="O154" s="4165">
        <f t="shared" ref="O154" si="376">O141-O148</f>
        <v>40.360196666666667</v>
      </c>
      <c r="P154" s="2402">
        <f t="shared" ref="P154:AL157" si="377">P141-P148</f>
        <v>47.595513333333344</v>
      </c>
      <c r="Q154" s="2401">
        <f t="shared" si="377"/>
        <v>29.333333333333336</v>
      </c>
      <c r="R154" s="2402">
        <f t="shared" si="377"/>
        <v>48.333333333333329</v>
      </c>
      <c r="S154" s="2403">
        <f t="shared" si="377"/>
        <v>48.333333333333329</v>
      </c>
      <c r="T154" s="2403">
        <f t="shared" si="377"/>
        <v>48.333333333333329</v>
      </c>
      <c r="U154" s="2403">
        <f t="shared" si="377"/>
        <v>48.333333333333329</v>
      </c>
      <c r="V154" s="2404">
        <f t="shared" si="377"/>
        <v>48.333333333333329</v>
      </c>
      <c r="W154" s="2400">
        <f t="shared" ref="W154" si="378">W141-W148</f>
        <v>0</v>
      </c>
      <c r="X154" s="2402">
        <f t="shared" si="377"/>
        <v>0</v>
      </c>
      <c r="Y154" s="2401">
        <f t="shared" si="377"/>
        <v>0</v>
      </c>
      <c r="Z154" s="2402">
        <f t="shared" si="377"/>
        <v>0</v>
      </c>
      <c r="AA154" s="2403">
        <f t="shared" si="377"/>
        <v>0</v>
      </c>
      <c r="AB154" s="2403">
        <f t="shared" si="377"/>
        <v>0</v>
      </c>
      <c r="AC154" s="2403">
        <f t="shared" si="377"/>
        <v>0</v>
      </c>
      <c r="AD154" s="2401">
        <f t="shared" si="377"/>
        <v>0</v>
      </c>
      <c r="AE154" s="2400">
        <f>AE141-AE148</f>
        <v>0</v>
      </c>
      <c r="AF154" s="2402">
        <f>AF141-AF148</f>
        <v>0</v>
      </c>
      <c r="AG154" s="2401">
        <f t="shared" si="377"/>
        <v>0</v>
      </c>
      <c r="AH154" s="2402">
        <f t="shared" si="377"/>
        <v>0</v>
      </c>
      <c r="AI154" s="2403">
        <f t="shared" si="377"/>
        <v>0</v>
      </c>
      <c r="AJ154" s="2403">
        <f t="shared" si="377"/>
        <v>0</v>
      </c>
      <c r="AK154" s="2403">
        <f t="shared" si="377"/>
        <v>0</v>
      </c>
      <c r="AL154" s="2401">
        <f t="shared" si="377"/>
        <v>0</v>
      </c>
      <c r="AM154" s="2278"/>
      <c r="AN154" s="2279"/>
      <c r="AO154" s="2278"/>
      <c r="AP154" s="5288"/>
      <c r="AQ154" s="5288"/>
      <c r="AR154" s="5288"/>
      <c r="AS154" s="5288"/>
      <c r="AT154" s="5288"/>
      <c r="AU154" s="5288"/>
      <c r="AV154" s="5288"/>
      <c r="AW154" s="5288"/>
      <c r="AX154" s="5288"/>
      <c r="AY154" s="4488"/>
      <c r="AZ154" s="4504">
        <f t="shared" si="309"/>
        <v>20.635840879149349</v>
      </c>
      <c r="BA154" s="4504">
        <f t="shared" si="310"/>
        <v>24.335199548699705</v>
      </c>
      <c r="BB154" s="4504">
        <f t="shared" si="311"/>
        <v>14.997895181755744</v>
      </c>
      <c r="BC154" s="4504">
        <f t="shared" si="312"/>
        <v>24.712440924483893</v>
      </c>
      <c r="BD154" s="4504">
        <f t="shared" si="313"/>
        <v>24.712440924483893</v>
      </c>
      <c r="BE154" s="4504">
        <f t="shared" si="314"/>
        <v>24.712440924483893</v>
      </c>
      <c r="BF154" s="4504">
        <f t="shared" si="315"/>
        <v>24.712440924483893</v>
      </c>
      <c r="BG154" s="4504">
        <f t="shared" si="316"/>
        <v>24.712440924483893</v>
      </c>
      <c r="BH154" s="4504">
        <f t="shared" si="317"/>
        <v>123.56220462241946</v>
      </c>
      <c r="BI154" s="4504">
        <f t="shared" si="318"/>
        <v>20.635840879149349</v>
      </c>
      <c r="BJ154" s="4504">
        <f t="shared" si="319"/>
        <v>24.335199548699705</v>
      </c>
      <c r="BK154" s="4504">
        <f t="shared" si="320"/>
        <v>14.997895181755744</v>
      </c>
      <c r="BL154" s="4504">
        <f t="shared" si="321"/>
        <v>24.712440924483893</v>
      </c>
      <c r="BM154" s="4504">
        <f t="shared" si="322"/>
        <v>24.712440924483893</v>
      </c>
      <c r="BN154" s="4504">
        <f t="shared" si="323"/>
        <v>24.712440924483893</v>
      </c>
      <c r="BO154" s="4504">
        <f t="shared" si="324"/>
        <v>24.712440924483893</v>
      </c>
      <c r="BP154" s="4504">
        <f t="shared" si="325"/>
        <v>24.712440924483893</v>
      </c>
      <c r="BQ154" s="4504">
        <f t="shared" si="326"/>
        <v>0</v>
      </c>
      <c r="BR154" s="4504">
        <f t="shared" si="327"/>
        <v>0</v>
      </c>
      <c r="BS154" s="4504">
        <f t="shared" si="328"/>
        <v>0</v>
      </c>
      <c r="BT154" s="4504">
        <f t="shared" si="329"/>
        <v>0</v>
      </c>
      <c r="BU154" s="4504">
        <f t="shared" si="330"/>
        <v>0</v>
      </c>
      <c r="BV154" s="4504">
        <f t="shared" si="331"/>
        <v>0</v>
      </c>
      <c r="BW154" s="4504">
        <f t="shared" si="332"/>
        <v>0</v>
      </c>
      <c r="BX154" s="4504">
        <f t="shared" si="333"/>
        <v>0</v>
      </c>
      <c r="BY154" s="4504">
        <f t="shared" si="334"/>
        <v>0</v>
      </c>
      <c r="BZ154" s="4504">
        <f t="shared" si="335"/>
        <v>0</v>
      </c>
      <c r="CA154" s="4504">
        <f t="shared" si="336"/>
        <v>0</v>
      </c>
      <c r="CB154" s="4504">
        <f t="shared" si="337"/>
        <v>0</v>
      </c>
      <c r="CC154" s="4504">
        <f t="shared" si="338"/>
        <v>0</v>
      </c>
      <c r="CD154" s="4504">
        <f t="shared" si="339"/>
        <v>0</v>
      </c>
      <c r="CE154" s="4504">
        <f t="shared" si="340"/>
        <v>0</v>
      </c>
      <c r="CF154" s="4504">
        <f t="shared" si="341"/>
        <v>0</v>
      </c>
    </row>
    <row r="155" spans="1:84">
      <c r="E155" s="2304" t="str">
        <f t="shared" si="375"/>
        <v>Пречистване на отпадъчните води</v>
      </c>
      <c r="F155" s="2400">
        <f t="shared" si="370"/>
        <v>104.47543666666668</v>
      </c>
      <c r="G155" s="2402">
        <f t="shared" si="370"/>
        <v>89.786423333333317</v>
      </c>
      <c r="H155" s="2401">
        <f t="shared" si="371"/>
        <v>21.333333333333336</v>
      </c>
      <c r="I155" s="2402">
        <f t="shared" si="371"/>
        <v>73.333333333333329</v>
      </c>
      <c r="J155" s="2403">
        <f t="shared" si="371"/>
        <v>73.333333333333329</v>
      </c>
      <c r="K155" s="2403">
        <f t="shared" si="371"/>
        <v>73.333333333333329</v>
      </c>
      <c r="L155" s="2403">
        <f t="shared" si="371"/>
        <v>73.333333333333329</v>
      </c>
      <c r="M155" s="2401">
        <f t="shared" si="371"/>
        <v>73.333333333333329</v>
      </c>
      <c r="N155" s="2179">
        <f t="shared" si="200"/>
        <v>366.66666666666663</v>
      </c>
      <c r="O155" s="4165">
        <f t="shared" ref="O155" si="379">O142-O149</f>
        <v>104.47543666666668</v>
      </c>
      <c r="P155" s="2402">
        <f t="shared" si="377"/>
        <v>89.786423333333317</v>
      </c>
      <c r="Q155" s="2401">
        <f t="shared" si="377"/>
        <v>21.333333333333336</v>
      </c>
      <c r="R155" s="2402">
        <f t="shared" si="377"/>
        <v>73.333333333333329</v>
      </c>
      <c r="S155" s="2403">
        <f t="shared" si="377"/>
        <v>73.333333333333329</v>
      </c>
      <c r="T155" s="2403">
        <f t="shared" si="377"/>
        <v>73.333333333333329</v>
      </c>
      <c r="U155" s="2403">
        <f t="shared" si="377"/>
        <v>73.333333333333329</v>
      </c>
      <c r="V155" s="2404">
        <f t="shared" si="377"/>
        <v>73.333333333333329</v>
      </c>
      <c r="W155" s="2400">
        <f t="shared" ref="W155" si="380">W142-W149</f>
        <v>0</v>
      </c>
      <c r="X155" s="2402">
        <f t="shared" si="377"/>
        <v>0</v>
      </c>
      <c r="Y155" s="2401">
        <f t="shared" si="377"/>
        <v>0</v>
      </c>
      <c r="Z155" s="2402">
        <f t="shared" si="377"/>
        <v>0</v>
      </c>
      <c r="AA155" s="2403">
        <f t="shared" si="377"/>
        <v>0</v>
      </c>
      <c r="AB155" s="2403">
        <f t="shared" si="377"/>
        <v>0</v>
      </c>
      <c r="AC155" s="2403">
        <f t="shared" si="377"/>
        <v>0</v>
      </c>
      <c r="AD155" s="2401">
        <f t="shared" si="377"/>
        <v>0</v>
      </c>
      <c r="AE155" s="2400">
        <f t="shared" ref="AE155" si="381">AE142-AE149</f>
        <v>0</v>
      </c>
      <c r="AF155" s="2402">
        <f t="shared" si="377"/>
        <v>0</v>
      </c>
      <c r="AG155" s="2401">
        <f t="shared" si="377"/>
        <v>0</v>
      </c>
      <c r="AH155" s="2402">
        <f t="shared" si="377"/>
        <v>0</v>
      </c>
      <c r="AI155" s="2403">
        <f t="shared" si="377"/>
        <v>0</v>
      </c>
      <c r="AJ155" s="2403">
        <f t="shared" si="377"/>
        <v>0</v>
      </c>
      <c r="AK155" s="2403">
        <f t="shared" si="377"/>
        <v>0</v>
      </c>
      <c r="AL155" s="2401">
        <f t="shared" si="377"/>
        <v>0</v>
      </c>
      <c r="AX155" s="2084"/>
      <c r="AY155" s="4488"/>
      <c r="AZ155" s="4504">
        <f t="shared" si="309"/>
        <v>53.417442552096389</v>
      </c>
      <c r="BA155" s="4504">
        <f t="shared" si="310"/>
        <v>45.907069291980036</v>
      </c>
      <c r="BB155" s="4504">
        <f t="shared" si="311"/>
        <v>10.907560132185996</v>
      </c>
      <c r="BC155" s="4504">
        <f t="shared" si="312"/>
        <v>37.494737954389358</v>
      </c>
      <c r="BD155" s="4504">
        <f t="shared" si="313"/>
        <v>37.494737954389358</v>
      </c>
      <c r="BE155" s="4504">
        <f t="shared" si="314"/>
        <v>37.494737954389358</v>
      </c>
      <c r="BF155" s="4504">
        <f t="shared" si="315"/>
        <v>37.494737954389358</v>
      </c>
      <c r="BG155" s="4504">
        <f t="shared" si="316"/>
        <v>37.494737954389358</v>
      </c>
      <c r="BH155" s="4504">
        <f t="shared" si="317"/>
        <v>187.47368977194677</v>
      </c>
      <c r="BI155" s="4504">
        <f t="shared" si="318"/>
        <v>53.417442552096389</v>
      </c>
      <c r="BJ155" s="4504">
        <f t="shared" si="319"/>
        <v>45.907069291980036</v>
      </c>
      <c r="BK155" s="4504">
        <f t="shared" si="320"/>
        <v>10.907560132185996</v>
      </c>
      <c r="BL155" s="4504">
        <f t="shared" si="321"/>
        <v>37.494737954389358</v>
      </c>
      <c r="BM155" s="4504">
        <f t="shared" si="322"/>
        <v>37.494737954389358</v>
      </c>
      <c r="BN155" s="4504">
        <f t="shared" si="323"/>
        <v>37.494737954389358</v>
      </c>
      <c r="BO155" s="4504">
        <f t="shared" si="324"/>
        <v>37.494737954389358</v>
      </c>
      <c r="BP155" s="4504">
        <f t="shared" si="325"/>
        <v>37.494737954389358</v>
      </c>
      <c r="BQ155" s="4504">
        <f t="shared" si="326"/>
        <v>0</v>
      </c>
      <c r="BR155" s="4504">
        <f t="shared" si="327"/>
        <v>0</v>
      </c>
      <c r="BS155" s="4504">
        <f t="shared" si="328"/>
        <v>0</v>
      </c>
      <c r="BT155" s="4504">
        <f t="shared" si="329"/>
        <v>0</v>
      </c>
      <c r="BU155" s="4504">
        <f t="shared" si="330"/>
        <v>0</v>
      </c>
      <c r="BV155" s="4504">
        <f t="shared" si="331"/>
        <v>0</v>
      </c>
      <c r="BW155" s="4504">
        <f t="shared" si="332"/>
        <v>0</v>
      </c>
      <c r="BX155" s="4504">
        <f t="shared" si="333"/>
        <v>0</v>
      </c>
      <c r="BY155" s="4504">
        <f t="shared" si="334"/>
        <v>0</v>
      </c>
      <c r="BZ155" s="4504">
        <f t="shared" si="335"/>
        <v>0</v>
      </c>
      <c r="CA155" s="4504">
        <f t="shared" si="336"/>
        <v>0</v>
      </c>
      <c r="CB155" s="4504">
        <f t="shared" si="337"/>
        <v>0</v>
      </c>
      <c r="CC155" s="4504">
        <f t="shared" si="338"/>
        <v>0</v>
      </c>
      <c r="CD155" s="4504">
        <f t="shared" si="339"/>
        <v>0</v>
      </c>
      <c r="CE155" s="4504">
        <f t="shared" si="340"/>
        <v>0</v>
      </c>
      <c r="CF155" s="4504">
        <f t="shared" si="341"/>
        <v>0</v>
      </c>
    </row>
    <row r="156" spans="1:84" ht="11.25" customHeight="1">
      <c r="E156" s="2405" t="s">
        <v>1029</v>
      </c>
      <c r="F156" s="2400">
        <f t="shared" ref="F156" si="382">F143-F150</f>
        <v>0</v>
      </c>
      <c r="G156" s="2402">
        <f t="shared" ref="G156:M157" si="383">G143-G150</f>
        <v>0</v>
      </c>
      <c r="H156" s="2401">
        <f t="shared" si="383"/>
        <v>0</v>
      </c>
      <c r="I156" s="2402">
        <f>I143-I150</f>
        <v>0</v>
      </c>
      <c r="J156" s="2403">
        <f t="shared" si="383"/>
        <v>0</v>
      </c>
      <c r="K156" s="2403">
        <f t="shared" si="383"/>
        <v>0</v>
      </c>
      <c r="L156" s="2403">
        <f t="shared" si="383"/>
        <v>0</v>
      </c>
      <c r="M156" s="2401">
        <f t="shared" si="383"/>
        <v>0</v>
      </c>
      <c r="N156" s="2179">
        <f t="shared" si="200"/>
        <v>0</v>
      </c>
      <c r="O156" s="4166">
        <f t="shared" ref="O156" si="384">O143-O150</f>
        <v>0</v>
      </c>
      <c r="P156" s="2339">
        <f t="shared" si="377"/>
        <v>0</v>
      </c>
      <c r="Q156" s="2407">
        <f t="shared" si="377"/>
        <v>0</v>
      </c>
      <c r="R156" s="2339">
        <f t="shared" si="377"/>
        <v>0</v>
      </c>
      <c r="S156" s="2340">
        <f t="shared" si="377"/>
        <v>0</v>
      </c>
      <c r="T156" s="2340">
        <f t="shared" si="377"/>
        <v>0</v>
      </c>
      <c r="U156" s="2340">
        <f t="shared" si="377"/>
        <v>0</v>
      </c>
      <c r="V156" s="2407">
        <f t="shared" si="377"/>
        <v>0</v>
      </c>
      <c r="W156" s="2406">
        <f t="shared" ref="W156" si="385">W143-W150</f>
        <v>0</v>
      </c>
      <c r="X156" s="2339">
        <f t="shared" si="377"/>
        <v>0</v>
      </c>
      <c r="Y156" s="2407">
        <f t="shared" si="377"/>
        <v>0</v>
      </c>
      <c r="Z156" s="2339">
        <f t="shared" si="377"/>
        <v>0</v>
      </c>
      <c r="AA156" s="2340">
        <f t="shared" si="377"/>
        <v>0</v>
      </c>
      <c r="AB156" s="2340">
        <f t="shared" si="377"/>
        <v>0</v>
      </c>
      <c r="AC156" s="2340">
        <f t="shared" si="377"/>
        <v>0</v>
      </c>
      <c r="AD156" s="2407">
        <f t="shared" si="377"/>
        <v>0</v>
      </c>
      <c r="AE156" s="2406">
        <f t="shared" ref="AE156" si="386">AE143-AE150</f>
        <v>0</v>
      </c>
      <c r="AF156" s="2339">
        <f t="shared" si="377"/>
        <v>0</v>
      </c>
      <c r="AG156" s="2407">
        <f t="shared" si="377"/>
        <v>0</v>
      </c>
      <c r="AH156" s="2339">
        <f t="shared" si="377"/>
        <v>0</v>
      </c>
      <c r="AI156" s="2340">
        <f t="shared" si="377"/>
        <v>0</v>
      </c>
      <c r="AJ156" s="2340">
        <f t="shared" si="377"/>
        <v>0</v>
      </c>
      <c r="AK156" s="2340">
        <f t="shared" si="377"/>
        <v>0</v>
      </c>
      <c r="AL156" s="2407">
        <f t="shared" si="377"/>
        <v>0</v>
      </c>
      <c r="AX156" s="2084"/>
      <c r="AY156" s="4488"/>
      <c r="AZ156" s="4504">
        <f t="shared" si="309"/>
        <v>0</v>
      </c>
      <c r="BA156" s="4504">
        <f t="shared" si="310"/>
        <v>0</v>
      </c>
      <c r="BB156" s="4504">
        <f t="shared" si="311"/>
        <v>0</v>
      </c>
      <c r="BC156" s="4504">
        <f t="shared" si="312"/>
        <v>0</v>
      </c>
      <c r="BD156" s="4504">
        <f t="shared" si="313"/>
        <v>0</v>
      </c>
      <c r="BE156" s="4504">
        <f t="shared" si="314"/>
        <v>0</v>
      </c>
      <c r="BF156" s="4504">
        <f t="shared" si="315"/>
        <v>0</v>
      </c>
      <c r="BG156" s="4504">
        <f t="shared" si="316"/>
        <v>0</v>
      </c>
      <c r="BH156" s="4504">
        <f t="shared" si="317"/>
        <v>0</v>
      </c>
      <c r="BI156" s="4504">
        <f t="shared" si="318"/>
        <v>0</v>
      </c>
      <c r="BJ156" s="4504">
        <f t="shared" si="319"/>
        <v>0</v>
      </c>
      <c r="BK156" s="4504">
        <f t="shared" si="320"/>
        <v>0</v>
      </c>
      <c r="BL156" s="4504">
        <f t="shared" si="321"/>
        <v>0</v>
      </c>
      <c r="BM156" s="4504">
        <f t="shared" si="322"/>
        <v>0</v>
      </c>
      <c r="BN156" s="4504">
        <f t="shared" si="323"/>
        <v>0</v>
      </c>
      <c r="BO156" s="4504">
        <f t="shared" si="324"/>
        <v>0</v>
      </c>
      <c r="BP156" s="4504">
        <f t="shared" si="325"/>
        <v>0</v>
      </c>
      <c r="BQ156" s="4504">
        <f t="shared" si="326"/>
        <v>0</v>
      </c>
      <c r="BR156" s="4504">
        <f t="shared" si="327"/>
        <v>0</v>
      </c>
      <c r="BS156" s="4504">
        <f t="shared" si="328"/>
        <v>0</v>
      </c>
      <c r="BT156" s="4504">
        <f t="shared" si="329"/>
        <v>0</v>
      </c>
      <c r="BU156" s="4504">
        <f t="shared" si="330"/>
        <v>0</v>
      </c>
      <c r="BV156" s="4504">
        <f t="shared" si="331"/>
        <v>0</v>
      </c>
      <c r="BW156" s="4504">
        <f t="shared" si="332"/>
        <v>0</v>
      </c>
      <c r="BX156" s="4504">
        <f t="shared" si="333"/>
        <v>0</v>
      </c>
      <c r="BY156" s="4504">
        <f t="shared" si="334"/>
        <v>0</v>
      </c>
      <c r="BZ156" s="4504">
        <f t="shared" si="335"/>
        <v>0</v>
      </c>
      <c r="CA156" s="4504">
        <f t="shared" si="336"/>
        <v>0</v>
      </c>
      <c r="CB156" s="4504">
        <f t="shared" si="337"/>
        <v>0</v>
      </c>
      <c r="CC156" s="4504">
        <f t="shared" si="338"/>
        <v>0</v>
      </c>
      <c r="CD156" s="4504">
        <f t="shared" si="339"/>
        <v>0</v>
      </c>
      <c r="CE156" s="4504">
        <f t="shared" si="340"/>
        <v>0</v>
      </c>
      <c r="CF156" s="4504">
        <f t="shared" si="341"/>
        <v>0</v>
      </c>
    </row>
    <row r="157" spans="1:84" ht="24.6" thickBot="1">
      <c r="E157" s="2408" t="s">
        <v>1092</v>
      </c>
      <c r="F157" s="2409">
        <f>F144-F151</f>
        <v>24.338790000000003</v>
      </c>
      <c r="G157" s="2411">
        <f>G144-G151</f>
        <v>21.788550000000015</v>
      </c>
      <c r="H157" s="2410">
        <f t="shared" si="383"/>
        <v>20</v>
      </c>
      <c r="I157" s="2411">
        <f t="shared" si="383"/>
        <v>290</v>
      </c>
      <c r="J157" s="2412">
        <f t="shared" si="383"/>
        <v>135</v>
      </c>
      <c r="K157" s="2412">
        <f t="shared" si="383"/>
        <v>130</v>
      </c>
      <c r="L157" s="2412">
        <f t="shared" si="383"/>
        <v>155</v>
      </c>
      <c r="M157" s="2410">
        <f t="shared" si="383"/>
        <v>155</v>
      </c>
      <c r="N157" s="2356">
        <f t="shared" si="200"/>
        <v>865</v>
      </c>
      <c r="O157" s="4167">
        <f t="shared" ref="O157" si="387">O144-O151</f>
        <v>24.338790000000003</v>
      </c>
      <c r="P157" s="2415">
        <f t="shared" si="377"/>
        <v>21.788550000000015</v>
      </c>
      <c r="Q157" s="2414">
        <f t="shared" si="377"/>
        <v>20</v>
      </c>
      <c r="R157" s="2415">
        <f t="shared" si="377"/>
        <v>290</v>
      </c>
      <c r="S157" s="2416">
        <f t="shared" si="377"/>
        <v>135</v>
      </c>
      <c r="T157" s="2416">
        <f t="shared" si="377"/>
        <v>130</v>
      </c>
      <c r="U157" s="2416">
        <f t="shared" si="377"/>
        <v>155</v>
      </c>
      <c r="V157" s="2414">
        <f t="shared" si="377"/>
        <v>155</v>
      </c>
      <c r="W157" s="2413">
        <f t="shared" ref="W157" si="388">W144-W151</f>
        <v>0</v>
      </c>
      <c r="X157" s="2415">
        <f t="shared" si="377"/>
        <v>0</v>
      </c>
      <c r="Y157" s="2414">
        <f t="shared" si="377"/>
        <v>0</v>
      </c>
      <c r="Z157" s="2415">
        <f t="shared" si="377"/>
        <v>0</v>
      </c>
      <c r="AA157" s="2416">
        <f t="shared" si="377"/>
        <v>0</v>
      </c>
      <c r="AB157" s="2416">
        <f t="shared" si="377"/>
        <v>0</v>
      </c>
      <c r="AC157" s="2416">
        <f t="shared" si="377"/>
        <v>0</v>
      </c>
      <c r="AD157" s="2414">
        <f t="shared" si="377"/>
        <v>0</v>
      </c>
      <c r="AE157" s="2413">
        <f t="shared" ref="AE157" si="389">AE144-AE151</f>
        <v>0</v>
      </c>
      <c r="AF157" s="2415">
        <f t="shared" si="377"/>
        <v>0</v>
      </c>
      <c r="AG157" s="2414">
        <f t="shared" si="377"/>
        <v>0</v>
      </c>
      <c r="AH157" s="2415">
        <f t="shared" si="377"/>
        <v>0</v>
      </c>
      <c r="AI157" s="2416">
        <f t="shared" si="377"/>
        <v>0</v>
      </c>
      <c r="AJ157" s="2416">
        <f t="shared" si="377"/>
        <v>0</v>
      </c>
      <c r="AK157" s="2416">
        <f t="shared" si="377"/>
        <v>0</v>
      </c>
      <c r="AL157" s="2414">
        <f t="shared" si="377"/>
        <v>0</v>
      </c>
      <c r="AX157" s="2084"/>
      <c r="AY157" s="4488"/>
      <c r="AZ157" s="4504">
        <f t="shared" si="309"/>
        <v>12.444225725139713</v>
      </c>
      <c r="BA157" s="4504">
        <f t="shared" si="310"/>
        <v>11.140308718037874</v>
      </c>
      <c r="BB157" s="4504">
        <f t="shared" si="311"/>
        <v>10.22583762392437</v>
      </c>
      <c r="BC157" s="4504">
        <f t="shared" si="312"/>
        <v>148.27464554690337</v>
      </c>
      <c r="BD157" s="4504">
        <f t="shared" si="313"/>
        <v>69.024403961489497</v>
      </c>
      <c r="BE157" s="4504">
        <f t="shared" si="314"/>
        <v>66.46794455550841</v>
      </c>
      <c r="BF157" s="4504">
        <f t="shared" si="315"/>
        <v>79.25024158541386</v>
      </c>
      <c r="BG157" s="4504">
        <f t="shared" si="316"/>
        <v>79.25024158541386</v>
      </c>
      <c r="BH157" s="4504">
        <f t="shared" si="317"/>
        <v>442.26747723472897</v>
      </c>
      <c r="BI157" s="4504">
        <f t="shared" si="318"/>
        <v>12.444225725139713</v>
      </c>
      <c r="BJ157" s="4504">
        <f t="shared" si="319"/>
        <v>11.140308718037874</v>
      </c>
      <c r="BK157" s="4504">
        <f t="shared" si="320"/>
        <v>10.22583762392437</v>
      </c>
      <c r="BL157" s="4504">
        <f t="shared" si="321"/>
        <v>148.27464554690337</v>
      </c>
      <c r="BM157" s="4504">
        <f t="shared" si="322"/>
        <v>69.024403961489497</v>
      </c>
      <c r="BN157" s="4504">
        <f t="shared" si="323"/>
        <v>66.46794455550841</v>
      </c>
      <c r="BO157" s="4504">
        <f t="shared" si="324"/>
        <v>79.25024158541386</v>
      </c>
      <c r="BP157" s="4504">
        <f t="shared" si="325"/>
        <v>79.25024158541386</v>
      </c>
      <c r="BQ157" s="4504">
        <f t="shared" si="326"/>
        <v>0</v>
      </c>
      <c r="BR157" s="4504">
        <f t="shared" si="327"/>
        <v>0</v>
      </c>
      <c r="BS157" s="4504">
        <f t="shared" si="328"/>
        <v>0</v>
      </c>
      <c r="BT157" s="4504">
        <f t="shared" si="329"/>
        <v>0</v>
      </c>
      <c r="BU157" s="4504">
        <f t="shared" si="330"/>
        <v>0</v>
      </c>
      <c r="BV157" s="4504">
        <f t="shared" si="331"/>
        <v>0</v>
      </c>
      <c r="BW157" s="4504">
        <f t="shared" si="332"/>
        <v>0</v>
      </c>
      <c r="BX157" s="4504">
        <f t="shared" si="333"/>
        <v>0</v>
      </c>
      <c r="BY157" s="4504">
        <f t="shared" si="334"/>
        <v>0</v>
      </c>
      <c r="BZ157" s="4504">
        <f t="shared" si="335"/>
        <v>0</v>
      </c>
      <c r="CA157" s="4504">
        <f t="shared" si="336"/>
        <v>0</v>
      </c>
      <c r="CB157" s="4504">
        <f t="shared" si="337"/>
        <v>0</v>
      </c>
      <c r="CC157" s="4504">
        <f t="shared" si="338"/>
        <v>0</v>
      </c>
      <c r="CD157" s="4504">
        <f t="shared" si="339"/>
        <v>0</v>
      </c>
      <c r="CE157" s="4504">
        <f t="shared" si="340"/>
        <v>0</v>
      </c>
      <c r="CF157" s="4504">
        <f t="shared" si="341"/>
        <v>0</v>
      </c>
    </row>
    <row r="158" spans="1:84">
      <c r="E158" s="2419"/>
      <c r="F158" s="2419"/>
      <c r="G158" s="2419"/>
      <c r="H158" s="2419"/>
      <c r="I158" s="2419"/>
      <c r="J158" s="2419"/>
      <c r="K158" s="2419"/>
      <c r="L158" s="2419"/>
      <c r="M158" s="2419"/>
      <c r="N158" s="2419"/>
      <c r="O158" s="2419"/>
      <c r="P158" s="2419"/>
      <c r="AE158" s="1270"/>
      <c r="AF158" s="1270"/>
      <c r="AG158" s="1270"/>
      <c r="AH158" s="1270"/>
      <c r="AI158" s="1270"/>
      <c r="AJ158" s="1270"/>
      <c r="AK158" s="1270"/>
      <c r="AL158" s="1270"/>
      <c r="AX158" s="2084"/>
    </row>
    <row r="159" spans="1:84">
      <c r="E159" s="2419"/>
      <c r="F159" s="2419"/>
      <c r="AX159" s="2084"/>
    </row>
    <row r="160" spans="1:84">
      <c r="E160" s="2419"/>
      <c r="F160" s="2419"/>
      <c r="AM160" s="2420"/>
      <c r="AN160" s="2420"/>
      <c r="AO160" s="2276"/>
      <c r="AP160" s="2421"/>
      <c r="AQ160" s="2421"/>
      <c r="AR160" s="1309"/>
      <c r="AS160" s="1309"/>
      <c r="AT160" s="1309"/>
      <c r="AU160" s="1309"/>
      <c r="AV160" s="1309"/>
      <c r="AX160" s="2084"/>
    </row>
    <row r="161" spans="1:50" s="1309" customFormat="1" ht="29.25" customHeight="1">
      <c r="A161" s="2422"/>
      <c r="B161" s="2423"/>
      <c r="C161" s="2423"/>
      <c r="D161" s="2418"/>
      <c r="E161" s="2419"/>
      <c r="F161" s="2419"/>
      <c r="AM161" s="2424"/>
      <c r="AN161" s="2276"/>
      <c r="AO161" s="2276"/>
      <c r="AP161" s="2421"/>
      <c r="AQ161" s="2421"/>
      <c r="AR161" s="2425"/>
      <c r="AX161" s="2084"/>
    </row>
    <row r="162" spans="1:50" s="1309" customFormat="1" ht="12.75" customHeight="1">
      <c r="A162" s="2422"/>
      <c r="B162" s="2418"/>
      <c r="C162" s="2418"/>
      <c r="E162" s="2426"/>
      <c r="F162" s="2417"/>
      <c r="AM162" s="2276"/>
      <c r="AN162" s="2276"/>
      <c r="AO162" s="2276"/>
      <c r="AP162" s="2421"/>
      <c r="AQ162" s="2421"/>
      <c r="AX162" s="2084"/>
    </row>
    <row r="163" spans="1:50" s="1309" customFormat="1" ht="12.75" customHeight="1">
      <c r="A163" s="2422"/>
      <c r="B163" s="2418"/>
      <c r="C163" s="2418"/>
      <c r="E163" s="2427"/>
      <c r="F163" s="2417"/>
      <c r="AM163" s="2276"/>
      <c r="AN163" s="2276"/>
      <c r="AO163" s="2276"/>
      <c r="AP163" s="2421"/>
      <c r="AQ163" s="2421"/>
      <c r="AX163" s="2084"/>
    </row>
    <row r="164" spans="1:50" s="1309" customFormat="1">
      <c r="E164" s="2429"/>
      <c r="F164" s="2428"/>
      <c r="AM164" s="2276"/>
      <c r="AN164" s="2276"/>
      <c r="AO164" s="2276"/>
      <c r="AP164" s="2421"/>
      <c r="AQ164" s="2421"/>
      <c r="AX164" s="2084"/>
    </row>
    <row r="165" spans="1:50" s="1309" customFormat="1">
      <c r="E165" s="3732"/>
      <c r="F165" s="3732"/>
      <c r="AM165" s="1317"/>
      <c r="AN165" s="1317"/>
      <c r="AO165" s="1317"/>
      <c r="AR165" s="2425"/>
      <c r="AX165" s="2431"/>
    </row>
    <row r="166" spans="1:50" s="1309" customFormat="1">
      <c r="B166" s="2432"/>
      <c r="C166" s="2432"/>
      <c r="D166" s="2432"/>
      <c r="E166" s="2432"/>
      <c r="F166" s="2432"/>
      <c r="AM166" s="2276"/>
      <c r="AS166" s="2276"/>
      <c r="AT166" s="2276"/>
      <c r="AU166" s="2276"/>
      <c r="AV166" s="2276"/>
      <c r="AX166" s="2433"/>
    </row>
    <row r="167" spans="1:50" s="1309" customFormat="1">
      <c r="B167" s="2432"/>
      <c r="C167" s="2432"/>
      <c r="D167" s="2432"/>
      <c r="E167" s="2432"/>
      <c r="F167" s="2432"/>
      <c r="AM167" s="2276"/>
      <c r="AO167" s="2276"/>
      <c r="AP167" s="2276"/>
      <c r="AQ167" s="2276"/>
      <c r="AR167" s="2276"/>
      <c r="AS167" s="2276"/>
      <c r="AT167" s="2276"/>
      <c r="AU167" s="2276"/>
      <c r="AV167" s="2276"/>
      <c r="AX167" s="2434"/>
    </row>
    <row r="168" spans="1:50" s="1309" customFormat="1">
      <c r="B168" s="2432"/>
      <c r="C168" s="2432"/>
      <c r="D168" s="2432"/>
      <c r="E168" s="2432"/>
      <c r="F168" s="2432"/>
      <c r="AM168" s="2276"/>
      <c r="AO168" s="2276"/>
      <c r="AP168" s="2276"/>
      <c r="AQ168" s="2276"/>
      <c r="AR168" s="2276"/>
      <c r="AS168" s="2276"/>
      <c r="AT168" s="2276"/>
      <c r="AU168" s="2276"/>
      <c r="AV168" s="2276"/>
      <c r="AX168" s="2435"/>
    </row>
    <row r="169" spans="1:50" s="1315" customFormat="1">
      <c r="A169" s="5288"/>
      <c r="B169" s="5288"/>
      <c r="C169" s="5288"/>
      <c r="D169" s="5288"/>
      <c r="E169" s="5288"/>
      <c r="F169" s="5288"/>
      <c r="G169" s="5288"/>
      <c r="H169" s="5288"/>
      <c r="I169" s="5288"/>
      <c r="J169" s="5288"/>
      <c r="K169" s="5288"/>
      <c r="L169" s="5288"/>
      <c r="M169" s="5288"/>
      <c r="N169" s="5288"/>
      <c r="O169" s="5288"/>
      <c r="P169" s="5288"/>
      <c r="Q169" s="5288"/>
      <c r="R169" s="5288"/>
      <c r="S169" s="5288"/>
      <c r="T169" s="5288"/>
      <c r="U169" s="5288"/>
      <c r="V169" s="5288"/>
      <c r="W169" s="1271"/>
      <c r="X169" s="1271"/>
      <c r="Y169" s="1271"/>
      <c r="Z169" s="1268"/>
      <c r="AA169" s="1268"/>
      <c r="AB169" s="1268"/>
      <c r="AC169" s="1268"/>
      <c r="AD169" s="1268"/>
      <c r="AE169" s="1316"/>
      <c r="AF169" s="1316"/>
      <c r="AG169" s="1316"/>
      <c r="AH169" s="1317"/>
      <c r="AI169" s="1317"/>
      <c r="AJ169" s="1317"/>
      <c r="AK169" s="1317"/>
      <c r="AL169" s="1317"/>
      <c r="AM169" s="1317"/>
      <c r="AO169" s="1317"/>
      <c r="AP169" s="1317"/>
      <c r="AQ169" s="1317"/>
      <c r="AR169" s="1317"/>
      <c r="AS169" s="1317"/>
      <c r="AT169" s="1317"/>
      <c r="AU169" s="1317"/>
      <c r="AV169" s="1317"/>
      <c r="AX169" s="1321"/>
    </row>
    <row r="170" spans="1:50" s="1318" customFormat="1">
      <c r="A170" s="1268"/>
      <c r="B170" s="1268"/>
      <c r="C170" s="1268"/>
      <c r="D170" s="1269"/>
      <c r="E170" s="1270"/>
      <c r="F170" s="1310"/>
      <c r="G170" s="1310"/>
      <c r="H170" s="1310"/>
      <c r="I170" s="1311"/>
      <c r="J170" s="1311"/>
      <c r="K170" s="1311"/>
      <c r="L170" s="1311"/>
      <c r="M170" s="1311"/>
      <c r="N170" s="1268"/>
      <c r="O170" s="1271"/>
      <c r="P170" s="1271"/>
      <c r="Q170" s="1271"/>
      <c r="R170" s="1268"/>
      <c r="S170" s="1268"/>
      <c r="T170" s="1268"/>
      <c r="U170" s="1268"/>
      <c r="V170" s="1268"/>
      <c r="W170" s="1271"/>
      <c r="X170" s="1271"/>
      <c r="Y170" s="1271"/>
      <c r="Z170" s="1268"/>
      <c r="AA170" s="1268"/>
      <c r="AB170" s="1268"/>
      <c r="AC170" s="1268"/>
      <c r="AD170" s="1268"/>
      <c r="AE170" s="1319"/>
      <c r="AF170" s="1319"/>
      <c r="AG170" s="1319"/>
      <c r="AH170" s="1320"/>
      <c r="AI170" s="1320"/>
      <c r="AJ170" s="1320"/>
      <c r="AK170" s="1320"/>
      <c r="AL170" s="1320"/>
      <c r="AM170" s="1320"/>
      <c r="AO170" s="1320"/>
      <c r="AP170" s="1320"/>
      <c r="AQ170" s="1320"/>
      <c r="AR170" s="1320"/>
      <c r="AS170" s="1320"/>
      <c r="AT170" s="1320"/>
      <c r="AU170" s="1320"/>
      <c r="AV170" s="1320"/>
      <c r="AX170" s="1321"/>
    </row>
  </sheetData>
  <sheetProtection algorithmName="SHA-512" hashValue="VC8GWw9KBjx8oE+fSyRdr5qdWvwxgAzRWUXrIwdTxY+84FEuLJxLYuIFlMkv4derN1WlQixQX8ckfd4Cqc0cHg==" saltValue="h/Gz7RjnjvyEwIaQysoDVQ==" spinCount="100000" sheet="1" formatCells="0" formatColumns="0" formatRows="0"/>
  <mergeCells count="37">
    <mergeCell ref="A169:V169"/>
    <mergeCell ref="AN8:AN9"/>
    <mergeCell ref="N8:N9"/>
    <mergeCell ref="C8:C9"/>
    <mergeCell ref="AP153:AX153"/>
    <mergeCell ref="AP154:AX154"/>
    <mergeCell ref="AP151:AX151"/>
    <mergeCell ref="AP152:AX152"/>
    <mergeCell ref="AM8:AM9"/>
    <mergeCell ref="AE8:AL8"/>
    <mergeCell ref="F8:M8"/>
    <mergeCell ref="O8:V8"/>
    <mergeCell ref="W8:AD8"/>
    <mergeCell ref="AP142:AX142"/>
    <mergeCell ref="AP143:AX143"/>
    <mergeCell ref="AP144:AX144"/>
    <mergeCell ref="AP145:AX145"/>
    <mergeCell ref="A2:AL2"/>
    <mergeCell ref="A72:AX72"/>
    <mergeCell ref="A98:AX98"/>
    <mergeCell ref="A10:AX10"/>
    <mergeCell ref="AX8:AX9"/>
    <mergeCell ref="A8:A9"/>
    <mergeCell ref="B8:B9"/>
    <mergeCell ref="D8:D9"/>
    <mergeCell ref="E8:E9"/>
    <mergeCell ref="AO8:AW8"/>
    <mergeCell ref="AM6:AN6"/>
    <mergeCell ref="A4:AL4"/>
    <mergeCell ref="A3:AL3"/>
    <mergeCell ref="A5:AL5"/>
    <mergeCell ref="BI8:BP8"/>
    <mergeCell ref="BQ8:BX8"/>
    <mergeCell ref="BY8:CF8"/>
    <mergeCell ref="A1:D1"/>
    <mergeCell ref="AZ8:BG8"/>
    <mergeCell ref="BH8:BH9"/>
  </mergeCells>
  <printOptions horizontalCentered="1"/>
  <pageMargins left="0" right="0" top="0.51181102362204722" bottom="0.19685039370078741" header="0.31496062992125984" footer="0.11811023622047245"/>
  <pageSetup paperSize="9" scale="69" orientation="landscape" r:id="rId1"/>
  <headerFooter alignWithMargins="0">
    <oddFooter>&amp;C&amp;A&amp;RСтр. &amp;P от &amp;N</oddFooter>
  </headerFooter>
  <rowBreaks count="3" manualBreakCount="3">
    <brk id="41" max="49" man="1"/>
    <brk id="117" max="49" man="1"/>
    <brk id="157" max="49"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8">
    <tabColor rgb="FFCCFFCC"/>
  </sheetPr>
  <dimension ref="A1:CU92"/>
  <sheetViews>
    <sheetView showGridLines="0" topLeftCell="R23" zoomScale="80" zoomScaleNormal="80" zoomScaleSheetLayoutView="100" workbookViewId="0">
      <selection activeCell="AL32" sqref="AL32"/>
    </sheetView>
  </sheetViews>
  <sheetFormatPr defaultColWidth="11.88671875" defaultRowHeight="13.2"/>
  <cols>
    <col min="1" max="1" width="4.6640625" style="657" customWidth="1"/>
    <col min="2" max="2" width="50.109375" style="655" customWidth="1"/>
    <col min="3" max="4" width="7.109375" style="655" customWidth="1"/>
    <col min="5" max="5" width="7" style="655" customWidth="1"/>
    <col min="6" max="10" width="6.5546875" style="655" customWidth="1"/>
    <col min="11" max="12" width="6" style="655" customWidth="1"/>
    <col min="13" max="13" width="6.44140625" style="655" customWidth="1"/>
    <col min="14" max="28" width="6" style="655" customWidth="1"/>
    <col min="29" max="29" width="7" style="655" customWidth="1"/>
    <col min="30" max="37" width="6" style="655" customWidth="1"/>
    <col min="38" max="38" width="8.88671875" style="655" customWidth="1"/>
    <col min="39" max="42" width="6" style="655" customWidth="1"/>
    <col min="43" max="44" width="8" style="655" customWidth="1"/>
    <col min="45" max="50" width="7.5546875" style="655" customWidth="1"/>
    <col min="51" max="51" width="2.33203125" style="655" customWidth="1"/>
    <col min="52" max="16160" width="12.5546875" style="655" customWidth="1"/>
    <col min="16161" max="16384" width="11.88671875" style="655"/>
  </cols>
  <sheetData>
    <row r="1" spans="1:99" ht="16.8" thickBot="1">
      <c r="A1" s="5009" t="str">
        <f>+'1. Обща информация'!B40</f>
        <v>Фиксиран курс на лева към 1 евро</v>
      </c>
      <c r="B1" s="5009"/>
      <c r="C1" s="5010">
        <f>+'1. Обща информация'!$C$40</f>
        <v>1.95583</v>
      </c>
      <c r="D1" s="5010"/>
      <c r="E1" s="4201"/>
      <c r="F1" s="4201"/>
      <c r="G1" s="4201"/>
      <c r="H1" s="4201"/>
      <c r="I1" s="4201"/>
      <c r="J1" s="4201"/>
      <c r="K1" s="4201"/>
      <c r="L1" s="4201"/>
      <c r="M1" s="4201"/>
      <c r="N1" s="4201"/>
      <c r="O1" s="4201"/>
      <c r="P1" s="4201"/>
      <c r="Q1" s="4201"/>
      <c r="R1" s="4201"/>
      <c r="S1" s="4201"/>
      <c r="T1" s="4201"/>
      <c r="U1" s="4201"/>
      <c r="V1" s="4201"/>
      <c r="W1" s="4201"/>
      <c r="X1" s="4201"/>
      <c r="Y1" s="4201"/>
      <c r="Z1" s="3739" t="s">
        <v>189</v>
      </c>
      <c r="AA1" s="3739"/>
      <c r="AB1" s="3739"/>
      <c r="AC1" s="3739"/>
      <c r="AD1" s="3739"/>
      <c r="AE1" s="3739"/>
      <c r="AF1" s="3739"/>
      <c r="AG1" s="3739"/>
      <c r="AH1" s="3739"/>
      <c r="AI1" s="3739"/>
      <c r="AJ1" s="3739"/>
      <c r="AK1" s="3739"/>
      <c r="AL1" s="3739"/>
      <c r="AM1" s="3739"/>
      <c r="AN1" s="3739"/>
      <c r="AO1" s="3739"/>
      <c r="AP1" s="3739"/>
      <c r="AQ1" s="3739"/>
      <c r="AR1" s="3739"/>
      <c r="AS1" s="3739"/>
      <c r="AT1" s="3739"/>
      <c r="AU1" s="3739"/>
      <c r="AV1" s="3739"/>
      <c r="AW1" s="3739"/>
      <c r="AX1" s="3739"/>
    </row>
    <row r="2" spans="1:99" ht="18.75" customHeight="1">
      <c r="B2" s="4202"/>
      <c r="C2" s="5316" t="s">
        <v>1407</v>
      </c>
      <c r="D2" s="5316"/>
      <c r="E2" s="5316"/>
      <c r="F2" s="5316"/>
      <c r="G2" s="5316"/>
      <c r="H2" s="5316"/>
      <c r="I2" s="5316"/>
      <c r="J2" s="5316"/>
      <c r="K2" s="5316"/>
      <c r="L2" s="5316"/>
      <c r="M2" s="5316"/>
      <c r="N2" s="5316"/>
      <c r="O2" s="5316"/>
      <c r="P2" s="5316"/>
      <c r="Q2" s="5316"/>
      <c r="R2" s="5316"/>
      <c r="S2" s="4202"/>
      <c r="T2" s="4202"/>
      <c r="U2" s="4202"/>
      <c r="V2" s="4202"/>
      <c r="W2" s="4202"/>
      <c r="X2" s="4202"/>
      <c r="Y2" s="4202"/>
      <c r="Z2" s="4202"/>
      <c r="AA2" s="3740"/>
      <c r="AB2" s="3740"/>
      <c r="AC2" s="3740"/>
      <c r="AD2" s="3740"/>
      <c r="AE2" s="3740"/>
      <c r="AF2" s="3740"/>
      <c r="AG2" s="3740"/>
      <c r="AH2" s="3740"/>
      <c r="AI2" s="3740"/>
      <c r="AJ2" s="3740"/>
      <c r="AK2" s="3740"/>
      <c r="AL2" s="3740"/>
      <c r="AM2" s="3740"/>
      <c r="AN2" s="3740"/>
      <c r="AO2" s="3740"/>
      <c r="AP2" s="3740"/>
      <c r="AQ2" s="3740"/>
      <c r="AR2" s="3740"/>
      <c r="AS2" s="3740"/>
      <c r="AT2" s="3740"/>
      <c r="AU2" s="3740"/>
      <c r="AV2" s="3740"/>
      <c r="AW2" s="3740"/>
      <c r="AX2" s="3740"/>
    </row>
    <row r="3" spans="1:99" ht="18.75" customHeight="1">
      <c r="B3" s="4202"/>
      <c r="C3" s="5316" t="s">
        <v>1406</v>
      </c>
      <c r="D3" s="5316"/>
      <c r="E3" s="5316"/>
      <c r="F3" s="5316"/>
      <c r="G3" s="5316"/>
      <c r="H3" s="5316"/>
      <c r="I3" s="5316"/>
      <c r="J3" s="5316"/>
      <c r="K3" s="5316"/>
      <c r="L3" s="5316"/>
      <c r="M3" s="5316"/>
      <c r="N3" s="5316"/>
      <c r="O3" s="5316"/>
      <c r="P3" s="5316"/>
      <c r="Q3" s="5316"/>
      <c r="R3" s="5316"/>
      <c r="S3" s="4202"/>
      <c r="T3" s="4202"/>
      <c r="U3" s="4202"/>
      <c r="V3" s="4202"/>
      <c r="W3" s="4202"/>
      <c r="X3" s="4202"/>
      <c r="Y3" s="4202"/>
      <c r="Z3" s="4202"/>
      <c r="AA3" s="3740"/>
      <c r="AB3" s="3740"/>
      <c r="AC3" s="3740"/>
      <c r="AD3" s="3740"/>
      <c r="AE3" s="3740"/>
      <c r="AF3" s="3740"/>
      <c r="AG3" s="3740"/>
      <c r="AH3" s="3740"/>
      <c r="AI3" s="3740"/>
      <c r="AJ3" s="3740"/>
      <c r="AK3" s="3740"/>
      <c r="AL3" s="3740"/>
      <c r="AM3" s="3740"/>
      <c r="AN3" s="3740"/>
      <c r="AO3" s="3740"/>
      <c r="AP3" s="3740"/>
      <c r="AQ3" s="3740"/>
      <c r="AR3" s="3740"/>
      <c r="AS3" s="3740"/>
      <c r="AT3" s="3740"/>
      <c r="AU3" s="3740"/>
      <c r="AV3" s="3740"/>
      <c r="AW3" s="3740"/>
      <c r="AX3" s="3740"/>
    </row>
    <row r="4" spans="1:99" s="656" customFormat="1" ht="18">
      <c r="B4" s="3184"/>
      <c r="C4" s="5317" t="str">
        <f>'1. Обща информация'!A4</f>
        <v>на "В И К" АД, гр. Ловеч</v>
      </c>
      <c r="D4" s="5317"/>
      <c r="E4" s="5317"/>
      <c r="F4" s="5317"/>
      <c r="G4" s="5317"/>
      <c r="H4" s="5317"/>
      <c r="I4" s="5317"/>
      <c r="J4" s="5317"/>
      <c r="K4" s="5317"/>
      <c r="L4" s="5317"/>
      <c r="M4" s="5317"/>
      <c r="N4" s="5317"/>
      <c r="O4" s="5317"/>
      <c r="P4" s="5317"/>
      <c r="Q4" s="5317"/>
      <c r="R4" s="5317"/>
      <c r="S4" s="3184"/>
      <c r="T4" s="3184"/>
      <c r="U4" s="3184"/>
      <c r="V4" s="3184"/>
      <c r="W4" s="3184"/>
      <c r="X4" s="3184"/>
      <c r="Y4" s="3184"/>
      <c r="Z4" s="3184"/>
      <c r="AA4" s="3741"/>
      <c r="AB4" s="3741"/>
      <c r="AC4" s="3741"/>
      <c r="AD4" s="3741"/>
      <c r="AE4" s="3741"/>
      <c r="AF4" s="3741"/>
      <c r="AG4" s="3741"/>
      <c r="AH4" s="3741"/>
      <c r="AI4" s="3741"/>
      <c r="AJ4" s="3741"/>
      <c r="AK4" s="3741"/>
      <c r="AL4" s="3741"/>
      <c r="AM4" s="3741"/>
      <c r="AN4" s="3741"/>
      <c r="AO4" s="3741"/>
      <c r="AP4" s="3741"/>
      <c r="AQ4" s="3741"/>
      <c r="AR4" s="3741"/>
      <c r="AS4" s="3741"/>
      <c r="AT4" s="3741"/>
      <c r="AU4" s="3741"/>
      <c r="AV4" s="3741"/>
      <c r="AW4" s="3741"/>
      <c r="AX4" s="3741"/>
    </row>
    <row r="5" spans="1:99" s="656" customFormat="1" ht="18">
      <c r="B5" s="3184"/>
      <c r="C5" s="5317" t="str">
        <f>'1. Обща информация'!A5</f>
        <v>ЕИК по БУЛСТАТ: 110549443</v>
      </c>
      <c r="D5" s="5317"/>
      <c r="E5" s="5317"/>
      <c r="F5" s="5317"/>
      <c r="G5" s="5317"/>
      <c r="H5" s="5317"/>
      <c r="I5" s="5317"/>
      <c r="J5" s="5317"/>
      <c r="K5" s="5317"/>
      <c r="L5" s="5317"/>
      <c r="M5" s="5317"/>
      <c r="N5" s="5317"/>
      <c r="O5" s="5317"/>
      <c r="P5" s="5317"/>
      <c r="Q5" s="5317"/>
      <c r="R5" s="5317"/>
      <c r="S5" s="3184"/>
      <c r="T5" s="3184"/>
      <c r="U5" s="3184"/>
      <c r="V5" s="3184"/>
      <c r="W5" s="3184"/>
      <c r="X5" s="3184"/>
      <c r="Y5" s="3184"/>
      <c r="Z5" s="3184"/>
      <c r="AA5" s="3741"/>
      <c r="AB5" s="3741"/>
      <c r="AC5" s="3741"/>
      <c r="AD5" s="3741"/>
      <c r="AE5" s="3741"/>
      <c r="AF5" s="3741"/>
      <c r="AG5" s="3741"/>
      <c r="AH5" s="3741"/>
      <c r="AI5" s="3741"/>
      <c r="AJ5" s="3741"/>
      <c r="AK5" s="3741"/>
      <c r="AL5" s="3741"/>
      <c r="AM5" s="3741"/>
      <c r="AN5" s="3741"/>
      <c r="AO5" s="3741"/>
      <c r="AP5" s="3741"/>
      <c r="AQ5" s="3741"/>
      <c r="AR5" s="3741"/>
      <c r="AS5" s="3741"/>
      <c r="AT5" s="3741"/>
      <c r="AU5" s="3741"/>
      <c r="AV5" s="3741"/>
      <c r="AW5" s="3741"/>
      <c r="AX5" s="3741"/>
    </row>
    <row r="6" spans="1:99" ht="16.2" thickBot="1">
      <c r="B6" s="662"/>
      <c r="C6" s="2436"/>
      <c r="D6" s="2436"/>
      <c r="E6" s="2437"/>
      <c r="M6" s="658"/>
      <c r="N6" s="659"/>
      <c r="O6" s="659"/>
      <c r="Z6" s="660"/>
      <c r="AH6" s="660"/>
      <c r="AP6" s="660"/>
      <c r="AX6" s="660" t="s">
        <v>190</v>
      </c>
      <c r="CU6" s="660" t="s">
        <v>1889</v>
      </c>
    </row>
    <row r="7" spans="1:99" ht="13.5" customHeight="1" thickBot="1">
      <c r="A7" s="5321" t="s">
        <v>1</v>
      </c>
      <c r="B7" s="5325" t="s">
        <v>191</v>
      </c>
      <c r="C7" s="5318" t="s">
        <v>210</v>
      </c>
      <c r="D7" s="5319"/>
      <c r="E7" s="5319"/>
      <c r="F7" s="5319"/>
      <c r="G7" s="5319"/>
      <c r="H7" s="5319"/>
      <c r="I7" s="5319"/>
      <c r="J7" s="5320"/>
      <c r="K7" s="5318" t="s">
        <v>174</v>
      </c>
      <c r="L7" s="5319"/>
      <c r="M7" s="5319"/>
      <c r="N7" s="5319"/>
      <c r="O7" s="5319"/>
      <c r="P7" s="5319"/>
      <c r="Q7" s="5319"/>
      <c r="R7" s="5320"/>
      <c r="S7" s="5329" t="s">
        <v>184</v>
      </c>
      <c r="T7" s="5330"/>
      <c r="U7" s="5330"/>
      <c r="V7" s="5330"/>
      <c r="W7" s="5330"/>
      <c r="X7" s="5330"/>
      <c r="Y7" s="5330"/>
      <c r="Z7" s="5331"/>
      <c r="AA7" s="5313" t="s">
        <v>1029</v>
      </c>
      <c r="AB7" s="5314"/>
      <c r="AC7" s="5314"/>
      <c r="AD7" s="5314"/>
      <c r="AE7" s="5314"/>
      <c r="AF7" s="5314"/>
      <c r="AG7" s="5314"/>
      <c r="AH7" s="5315"/>
      <c r="AI7" s="5313" t="s">
        <v>1092</v>
      </c>
      <c r="AJ7" s="5314"/>
      <c r="AK7" s="5314"/>
      <c r="AL7" s="5314"/>
      <c r="AM7" s="5314"/>
      <c r="AN7" s="5314"/>
      <c r="AO7" s="5314"/>
      <c r="AP7" s="5315"/>
      <c r="AQ7" s="5313" t="s">
        <v>1249</v>
      </c>
      <c r="AR7" s="5314"/>
      <c r="AS7" s="5314"/>
      <c r="AT7" s="5314"/>
      <c r="AU7" s="5314"/>
      <c r="AV7" s="5314"/>
      <c r="AW7" s="5314"/>
      <c r="AX7" s="5315"/>
      <c r="AY7" s="4488"/>
      <c r="AZ7" s="5284" t="s">
        <v>210</v>
      </c>
      <c r="BA7" s="5284"/>
      <c r="BB7" s="5284"/>
      <c r="BC7" s="5284"/>
      <c r="BD7" s="5284"/>
      <c r="BE7" s="5284"/>
      <c r="BF7" s="5284"/>
      <c r="BG7" s="5284"/>
      <c r="BH7" s="5284" t="s">
        <v>174</v>
      </c>
      <c r="BI7" s="5284"/>
      <c r="BJ7" s="5284"/>
      <c r="BK7" s="5284"/>
      <c r="BL7" s="5284"/>
      <c r="BM7" s="5284"/>
      <c r="BN7" s="5284"/>
      <c r="BO7" s="5284"/>
      <c r="BP7" s="5284" t="s">
        <v>184</v>
      </c>
      <c r="BQ7" s="5284"/>
      <c r="BR7" s="5284"/>
      <c r="BS7" s="5284"/>
      <c r="BT7" s="5284"/>
      <c r="BU7" s="5284"/>
      <c r="BV7" s="5284"/>
      <c r="BW7" s="5284"/>
      <c r="BX7" s="5284" t="s">
        <v>1029</v>
      </c>
      <c r="BY7" s="5284"/>
      <c r="BZ7" s="5284"/>
      <c r="CA7" s="5284"/>
      <c r="CB7" s="5284"/>
      <c r="CC7" s="5284"/>
      <c r="CD7" s="5284"/>
      <c r="CE7" s="5284"/>
      <c r="CF7" s="5284" t="s">
        <v>1092</v>
      </c>
      <c r="CG7" s="5284"/>
      <c r="CH7" s="5284"/>
      <c r="CI7" s="5284"/>
      <c r="CJ7" s="5284"/>
      <c r="CK7" s="5284"/>
      <c r="CL7" s="5284"/>
      <c r="CM7" s="5284"/>
      <c r="CN7" s="5284" t="s">
        <v>1249</v>
      </c>
      <c r="CO7" s="5284"/>
      <c r="CP7" s="5284"/>
      <c r="CQ7" s="5284"/>
      <c r="CR7" s="5284"/>
      <c r="CS7" s="5284"/>
      <c r="CT7" s="5284"/>
      <c r="CU7" s="5284"/>
    </row>
    <row r="8" spans="1:99" s="3" customFormat="1" ht="13.8" thickBot="1">
      <c r="A8" s="5322"/>
      <c r="B8" s="5326"/>
      <c r="C8" s="4177" t="str">
        <f>+'9.Инвестиционна програма'!F9</f>
        <v>2024 г.</v>
      </c>
      <c r="D8" s="4178" t="str">
        <f>+'9.Инвестиционна програма'!G9</f>
        <v>2025 г.</v>
      </c>
      <c r="E8" s="4179" t="str">
        <f>+'9.Инвестиционна програма'!H9</f>
        <v>2026 г.</v>
      </c>
      <c r="F8" s="4179" t="str">
        <f>+'9.Инвестиционна програма'!I9</f>
        <v>2027 г.</v>
      </c>
      <c r="G8" s="4179" t="str">
        <f>+'9.Инвестиционна програма'!J9</f>
        <v>2028 г.</v>
      </c>
      <c r="H8" s="4179" t="str">
        <f>+'9.Инвестиционна програма'!K9</f>
        <v>2029 г.</v>
      </c>
      <c r="I8" s="4179" t="str">
        <f>+'9.Инвестиционна програма'!L9</f>
        <v>2030 г.</v>
      </c>
      <c r="J8" s="4180" t="str">
        <f>+'9.Инвестиционна програма'!M9</f>
        <v>2031 г.</v>
      </c>
      <c r="K8" s="4190" t="str">
        <f t="shared" ref="K8:AX8" si="0">C8</f>
        <v>2024 г.</v>
      </c>
      <c r="L8" s="4190" t="str">
        <f t="shared" si="0"/>
        <v>2025 г.</v>
      </c>
      <c r="M8" s="4179" t="str">
        <f t="shared" si="0"/>
        <v>2026 г.</v>
      </c>
      <c r="N8" s="4179" t="str">
        <f t="shared" si="0"/>
        <v>2027 г.</v>
      </c>
      <c r="O8" s="4179" t="str">
        <f t="shared" si="0"/>
        <v>2028 г.</v>
      </c>
      <c r="P8" s="4179" t="str">
        <f t="shared" si="0"/>
        <v>2029 г.</v>
      </c>
      <c r="Q8" s="4179" t="str">
        <f t="shared" si="0"/>
        <v>2030 г.</v>
      </c>
      <c r="R8" s="4191" t="str">
        <f t="shared" si="0"/>
        <v>2031 г.</v>
      </c>
      <c r="S8" s="2438" t="str">
        <f t="shared" si="0"/>
        <v>2024 г.</v>
      </c>
      <c r="T8" s="2441" t="str">
        <f t="shared" si="0"/>
        <v>2025 г.</v>
      </c>
      <c r="U8" s="2439" t="str">
        <f t="shared" si="0"/>
        <v>2026 г.</v>
      </c>
      <c r="V8" s="2439" t="str">
        <f t="shared" si="0"/>
        <v>2027 г.</v>
      </c>
      <c r="W8" s="2439" t="str">
        <f t="shared" si="0"/>
        <v>2028 г.</v>
      </c>
      <c r="X8" s="2439" t="str">
        <f t="shared" si="0"/>
        <v>2029 г.</v>
      </c>
      <c r="Y8" s="2439" t="str">
        <f t="shared" si="0"/>
        <v>2030 г.</v>
      </c>
      <c r="Z8" s="2440" t="str">
        <f t="shared" si="0"/>
        <v>2031 г.</v>
      </c>
      <c r="AA8" s="2438" t="str">
        <f t="shared" si="0"/>
        <v>2024 г.</v>
      </c>
      <c r="AB8" s="2438" t="str">
        <f t="shared" si="0"/>
        <v>2025 г.</v>
      </c>
      <c r="AC8" s="2439" t="str">
        <f t="shared" si="0"/>
        <v>2026 г.</v>
      </c>
      <c r="AD8" s="2439" t="str">
        <f t="shared" si="0"/>
        <v>2027 г.</v>
      </c>
      <c r="AE8" s="2439" t="str">
        <f t="shared" si="0"/>
        <v>2028 г.</v>
      </c>
      <c r="AF8" s="2439" t="str">
        <f t="shared" si="0"/>
        <v>2029 г.</v>
      </c>
      <c r="AG8" s="2439" t="str">
        <f t="shared" si="0"/>
        <v>2030 г.</v>
      </c>
      <c r="AH8" s="2440" t="str">
        <f t="shared" si="0"/>
        <v>2031 г.</v>
      </c>
      <c r="AI8" s="2438" t="str">
        <f t="shared" si="0"/>
        <v>2024 г.</v>
      </c>
      <c r="AJ8" s="2441" t="str">
        <f t="shared" si="0"/>
        <v>2025 г.</v>
      </c>
      <c r="AK8" s="2439" t="str">
        <f t="shared" si="0"/>
        <v>2026 г.</v>
      </c>
      <c r="AL8" s="2439" t="str">
        <f t="shared" si="0"/>
        <v>2027 г.</v>
      </c>
      <c r="AM8" s="2439" t="str">
        <f t="shared" si="0"/>
        <v>2028 г.</v>
      </c>
      <c r="AN8" s="2439" t="str">
        <f t="shared" si="0"/>
        <v>2029 г.</v>
      </c>
      <c r="AO8" s="2439" t="str">
        <f t="shared" si="0"/>
        <v>2030 г.</v>
      </c>
      <c r="AP8" s="2440" t="str">
        <f t="shared" si="0"/>
        <v>2031 г.</v>
      </c>
      <c r="AQ8" s="2438" t="str">
        <f t="shared" si="0"/>
        <v>2024 г.</v>
      </c>
      <c r="AR8" s="2441" t="str">
        <f t="shared" si="0"/>
        <v>2025 г.</v>
      </c>
      <c r="AS8" s="2439" t="str">
        <f t="shared" si="0"/>
        <v>2026 г.</v>
      </c>
      <c r="AT8" s="2439" t="str">
        <f t="shared" si="0"/>
        <v>2027 г.</v>
      </c>
      <c r="AU8" s="2439" t="str">
        <f t="shared" si="0"/>
        <v>2028 г.</v>
      </c>
      <c r="AV8" s="2439" t="str">
        <f t="shared" si="0"/>
        <v>2029 г.</v>
      </c>
      <c r="AW8" s="2439" t="str">
        <f t="shared" si="0"/>
        <v>2030 г.</v>
      </c>
      <c r="AX8" s="2440" t="str">
        <f t="shared" si="0"/>
        <v>2031 г.</v>
      </c>
      <c r="AY8" s="4488"/>
      <c r="AZ8" s="4507" t="str">
        <f>+C8</f>
        <v>2024 г.</v>
      </c>
      <c r="BA8" s="4507" t="str">
        <f t="shared" ref="BA8:BG8" si="1">+D8</f>
        <v>2025 г.</v>
      </c>
      <c r="BB8" s="4507" t="str">
        <f t="shared" si="1"/>
        <v>2026 г.</v>
      </c>
      <c r="BC8" s="4507" t="str">
        <f t="shared" si="1"/>
        <v>2027 г.</v>
      </c>
      <c r="BD8" s="4507" t="str">
        <f t="shared" si="1"/>
        <v>2028 г.</v>
      </c>
      <c r="BE8" s="4507" t="str">
        <f t="shared" si="1"/>
        <v>2029 г.</v>
      </c>
      <c r="BF8" s="4507" t="str">
        <f t="shared" si="1"/>
        <v>2030 г.</v>
      </c>
      <c r="BG8" s="4507" t="str">
        <f t="shared" si="1"/>
        <v>2031 г.</v>
      </c>
      <c r="BH8" s="4507" t="str">
        <f t="shared" ref="BH8" si="2">AZ8</f>
        <v>2024 г.</v>
      </c>
      <c r="BI8" s="4507" t="str">
        <f t="shared" ref="BI8" si="3">BA8</f>
        <v>2025 г.</v>
      </c>
      <c r="BJ8" s="4507" t="str">
        <f t="shared" ref="BJ8" si="4">BB8</f>
        <v>2026 г.</v>
      </c>
      <c r="BK8" s="4507" t="str">
        <f t="shared" ref="BK8" si="5">BC8</f>
        <v>2027 г.</v>
      </c>
      <c r="BL8" s="4507" t="str">
        <f t="shared" ref="BL8" si="6">BD8</f>
        <v>2028 г.</v>
      </c>
      <c r="BM8" s="4507" t="str">
        <f t="shared" ref="BM8" si="7">BE8</f>
        <v>2029 г.</v>
      </c>
      <c r="BN8" s="4507" t="str">
        <f t="shared" ref="BN8" si="8">BF8</f>
        <v>2030 г.</v>
      </c>
      <c r="BO8" s="4507" t="str">
        <f t="shared" ref="BO8" si="9">BG8</f>
        <v>2031 г.</v>
      </c>
      <c r="BP8" s="4507" t="str">
        <f t="shared" ref="BP8" si="10">BH8</f>
        <v>2024 г.</v>
      </c>
      <c r="BQ8" s="4507" t="str">
        <f t="shared" ref="BQ8" si="11">BI8</f>
        <v>2025 г.</v>
      </c>
      <c r="BR8" s="4507" t="str">
        <f t="shared" ref="BR8" si="12">BJ8</f>
        <v>2026 г.</v>
      </c>
      <c r="BS8" s="4507" t="str">
        <f t="shared" ref="BS8" si="13">BK8</f>
        <v>2027 г.</v>
      </c>
      <c r="BT8" s="4507" t="str">
        <f t="shared" ref="BT8" si="14">BL8</f>
        <v>2028 г.</v>
      </c>
      <c r="BU8" s="4507" t="str">
        <f t="shared" ref="BU8" si="15">BM8</f>
        <v>2029 г.</v>
      </c>
      <c r="BV8" s="4507" t="str">
        <f t="shared" ref="BV8" si="16">BN8</f>
        <v>2030 г.</v>
      </c>
      <c r="BW8" s="4507" t="str">
        <f t="shared" ref="BW8" si="17">BO8</f>
        <v>2031 г.</v>
      </c>
      <c r="BX8" s="4507" t="str">
        <f t="shared" ref="BX8" si="18">BP8</f>
        <v>2024 г.</v>
      </c>
      <c r="BY8" s="4507" t="str">
        <f t="shared" ref="BY8" si="19">BQ8</f>
        <v>2025 г.</v>
      </c>
      <c r="BZ8" s="4507" t="str">
        <f t="shared" ref="BZ8" si="20">BR8</f>
        <v>2026 г.</v>
      </c>
      <c r="CA8" s="4507" t="str">
        <f t="shared" ref="CA8" si="21">BS8</f>
        <v>2027 г.</v>
      </c>
      <c r="CB8" s="4507" t="str">
        <f t="shared" ref="CB8" si="22">BT8</f>
        <v>2028 г.</v>
      </c>
      <c r="CC8" s="4507" t="str">
        <f t="shared" ref="CC8" si="23">BU8</f>
        <v>2029 г.</v>
      </c>
      <c r="CD8" s="4507" t="str">
        <f t="shared" ref="CD8" si="24">BV8</f>
        <v>2030 г.</v>
      </c>
      <c r="CE8" s="4507" t="str">
        <f t="shared" ref="CE8" si="25">BW8</f>
        <v>2031 г.</v>
      </c>
      <c r="CF8" s="4507" t="str">
        <f t="shared" ref="CF8" si="26">BX8</f>
        <v>2024 г.</v>
      </c>
      <c r="CG8" s="4507" t="str">
        <f t="shared" ref="CG8" si="27">BY8</f>
        <v>2025 г.</v>
      </c>
      <c r="CH8" s="4507" t="str">
        <f t="shared" ref="CH8" si="28">BZ8</f>
        <v>2026 г.</v>
      </c>
      <c r="CI8" s="4507" t="str">
        <f t="shared" ref="CI8" si="29">CA8</f>
        <v>2027 г.</v>
      </c>
      <c r="CJ8" s="4507" t="str">
        <f t="shared" ref="CJ8" si="30">CB8</f>
        <v>2028 г.</v>
      </c>
      <c r="CK8" s="4507" t="str">
        <f t="shared" ref="CK8" si="31">CC8</f>
        <v>2029 г.</v>
      </c>
      <c r="CL8" s="4507" t="str">
        <f t="shared" ref="CL8" si="32">CD8</f>
        <v>2030 г.</v>
      </c>
      <c r="CM8" s="4507" t="str">
        <f t="shared" ref="CM8" si="33">CE8</f>
        <v>2031 г.</v>
      </c>
      <c r="CN8" s="4507" t="str">
        <f t="shared" ref="CN8" si="34">CF8</f>
        <v>2024 г.</v>
      </c>
      <c r="CO8" s="4507" t="str">
        <f t="shared" ref="CO8" si="35">CG8</f>
        <v>2025 г.</v>
      </c>
      <c r="CP8" s="4507" t="str">
        <f t="shared" ref="CP8" si="36">CH8</f>
        <v>2026 г.</v>
      </c>
      <c r="CQ8" s="4507" t="str">
        <f t="shared" ref="CQ8" si="37">CI8</f>
        <v>2027 г.</v>
      </c>
      <c r="CR8" s="4507" t="str">
        <f t="shared" ref="CR8" si="38">CJ8</f>
        <v>2028 г.</v>
      </c>
      <c r="CS8" s="4507" t="str">
        <f t="shared" ref="CS8" si="39">CK8</f>
        <v>2029 г.</v>
      </c>
      <c r="CT8" s="4507" t="str">
        <f t="shared" ref="CT8" si="40">CL8</f>
        <v>2030 г.</v>
      </c>
      <c r="CU8" s="4507" t="str">
        <f t="shared" ref="CU8" si="41">CM8</f>
        <v>2031 г.</v>
      </c>
    </row>
    <row r="9" spans="1:99" s="3" customFormat="1">
      <c r="A9" s="2442">
        <v>1</v>
      </c>
      <c r="B9" s="2443" t="s">
        <v>332</v>
      </c>
      <c r="C9" s="391"/>
      <c r="D9" s="391"/>
      <c r="E9" s="391"/>
      <c r="F9" s="3372">
        <f>'9.Инвестиционна програма'!I140</f>
        <v>665.33333333333337</v>
      </c>
      <c r="G9" s="3372">
        <f>'9.Инвестиционна програма'!J140</f>
        <v>668.33333333333337</v>
      </c>
      <c r="H9" s="3372">
        <f>'9.Инвестиционна програма'!K140</f>
        <v>705.66666666666663</v>
      </c>
      <c r="I9" s="3372">
        <f>'9.Инвестиционна програма'!L140</f>
        <v>714.66666666666663</v>
      </c>
      <c r="J9" s="3373">
        <f>'9.Инвестиционна програма'!M140</f>
        <v>698.33333333333337</v>
      </c>
      <c r="K9" s="391"/>
      <c r="L9" s="391"/>
      <c r="M9" s="391"/>
      <c r="N9" s="3372">
        <f>'9.Инвестиционна програма'!I141</f>
        <v>60.333333333333329</v>
      </c>
      <c r="O9" s="3372">
        <f>'9.Инвестиционна програма'!J141</f>
        <v>58.333333333333329</v>
      </c>
      <c r="P9" s="3372">
        <f>'9.Инвестиционна програма'!K141</f>
        <v>64.666666666666657</v>
      </c>
      <c r="Q9" s="3372">
        <f>'9.Инвестиционна програма'!L141</f>
        <v>62.666666666666664</v>
      </c>
      <c r="R9" s="3374">
        <f>'9.Инвестиционна програма'!M141</f>
        <v>58.333333333333329</v>
      </c>
      <c r="S9" s="391"/>
      <c r="T9" s="391"/>
      <c r="U9" s="391"/>
      <c r="V9" s="3372">
        <f>'9.Инвестиционна програма'!I142</f>
        <v>84.333333333333329</v>
      </c>
      <c r="W9" s="3372">
        <f>'9.Инвестиционна програма'!J142</f>
        <v>82.333333333333329</v>
      </c>
      <c r="X9" s="3372">
        <f>'9.Инвестиционна програма'!K142</f>
        <v>88.666666666666657</v>
      </c>
      <c r="Y9" s="3372">
        <f>'9.Инвестиционна програма'!L142</f>
        <v>86.666666666666657</v>
      </c>
      <c r="Z9" s="3373">
        <f>'9.Инвестиционна програма'!M142</f>
        <v>82.333333333333329</v>
      </c>
      <c r="AA9" s="391"/>
      <c r="AB9" s="391"/>
      <c r="AC9" s="391"/>
      <c r="AD9" s="3372">
        <f>'9.Инвестиционна програма'!I143</f>
        <v>0</v>
      </c>
      <c r="AE9" s="3372">
        <f>'9.Инвестиционна програма'!J143</f>
        <v>0</v>
      </c>
      <c r="AF9" s="3372">
        <f>'9.Инвестиционна програма'!K143</f>
        <v>0</v>
      </c>
      <c r="AG9" s="3372">
        <f>'9.Инвестиционна програма'!L143</f>
        <v>0</v>
      </c>
      <c r="AH9" s="3373">
        <f>'9.Инвестиционна програма'!M143</f>
        <v>0</v>
      </c>
      <c r="AI9" s="391"/>
      <c r="AJ9" s="391"/>
      <c r="AK9" s="391"/>
      <c r="AL9" s="3372">
        <f>'9.Инвестиционна програма'!I144</f>
        <v>296</v>
      </c>
      <c r="AM9" s="3372">
        <f>'9.Инвестиционна програма'!J144</f>
        <v>141</v>
      </c>
      <c r="AN9" s="3372">
        <f>'9.Инвестиционна програма'!K144</f>
        <v>136</v>
      </c>
      <c r="AO9" s="3372">
        <f>'9.Инвестиционна програма'!L144</f>
        <v>161</v>
      </c>
      <c r="AP9" s="3373">
        <f>'9.Инвестиционна програма'!M144</f>
        <v>161</v>
      </c>
      <c r="AQ9" s="391"/>
      <c r="AR9" s="391"/>
      <c r="AS9" s="391"/>
      <c r="AT9" s="3372">
        <f t="shared" ref="AT9:AX10" si="42">F9+N9+V9+AD9+AL9</f>
        <v>1106</v>
      </c>
      <c r="AU9" s="3372">
        <f t="shared" si="42"/>
        <v>950.00000000000011</v>
      </c>
      <c r="AV9" s="3372">
        <f t="shared" si="42"/>
        <v>994.99999999999989</v>
      </c>
      <c r="AW9" s="3372">
        <f t="shared" si="42"/>
        <v>1025</v>
      </c>
      <c r="AX9" s="3373">
        <f t="shared" si="42"/>
        <v>1000.0000000000001</v>
      </c>
      <c r="AY9" s="4488"/>
      <c r="BC9" s="4504">
        <f>IFERROR(F9/$C$1,0)</f>
        <v>340.17953162255071</v>
      </c>
      <c r="BD9" s="4504">
        <f t="shared" ref="BD9:BG9" si="43">IFERROR(G9/$C$1,0)</f>
        <v>341.71340726613937</v>
      </c>
      <c r="BE9" s="4504">
        <f t="shared" si="43"/>
        <v>360.80163749746481</v>
      </c>
      <c r="BF9" s="4504">
        <f t="shared" si="43"/>
        <v>365.40326442823078</v>
      </c>
      <c r="BG9" s="4504">
        <f t="shared" si="43"/>
        <v>357.05216370202595</v>
      </c>
      <c r="BK9" s="4504">
        <f>IFERROR(N9/$C$1,0)</f>
        <v>30.847943498838514</v>
      </c>
      <c r="BL9" s="4504">
        <f t="shared" ref="BL9" si="44">IFERROR(O9/$C$1,0)</f>
        <v>29.825359736446078</v>
      </c>
      <c r="BM9" s="4504">
        <f t="shared" ref="BM9" si="45">IFERROR(P9/$C$1,0)</f>
        <v>33.063541650688791</v>
      </c>
      <c r="BN9" s="4504">
        <f t="shared" ref="BN9" si="46">IFERROR(Q9/$C$1,0)</f>
        <v>32.040957888296354</v>
      </c>
      <c r="BO9" s="4504">
        <f t="shared" ref="BO9" si="47">IFERROR(R9/$C$1,0)</f>
        <v>29.825359736446078</v>
      </c>
      <c r="BS9" s="4504">
        <f>IFERROR(V9/$C$1,0)</f>
        <v>43.118948647547761</v>
      </c>
      <c r="BT9" s="4504">
        <f t="shared" ref="BT9" si="48">IFERROR(W9/$C$1,0)</f>
        <v>42.096364885155317</v>
      </c>
      <c r="BU9" s="4504">
        <f t="shared" ref="BU9" si="49">IFERROR(X9/$C$1,0)</f>
        <v>45.334546799398034</v>
      </c>
      <c r="BV9" s="4504">
        <f t="shared" ref="BV9" si="50">IFERROR(Y9/$C$1,0)</f>
        <v>44.311963037005597</v>
      </c>
      <c r="BW9" s="4504">
        <f t="shared" ref="BW9" si="51">IFERROR(Z9/$C$1,0)</f>
        <v>42.096364885155317</v>
      </c>
      <c r="CA9" s="4504">
        <f>IFERROR(AD9/$C$1,0)</f>
        <v>0</v>
      </c>
      <c r="CB9" s="4504">
        <f t="shared" ref="CB9" si="52">IFERROR(AE9/$C$1,0)</f>
        <v>0</v>
      </c>
      <c r="CC9" s="4504">
        <f t="shared" ref="CC9" si="53">IFERROR(AF9/$C$1,0)</f>
        <v>0</v>
      </c>
      <c r="CD9" s="4504">
        <f t="shared" ref="CD9" si="54">IFERROR(AG9/$C$1,0)</f>
        <v>0</v>
      </c>
      <c r="CE9" s="4504">
        <f t="shared" ref="CE9" si="55">IFERROR(AH9/$C$1,0)</f>
        <v>0</v>
      </c>
      <c r="CI9" s="4504">
        <f>IFERROR(AL9/$C$1,0)</f>
        <v>151.34239683408069</v>
      </c>
      <c r="CJ9" s="4504">
        <f t="shared" ref="CJ9" si="56">IFERROR(AM9/$C$1,0)</f>
        <v>72.092155248666813</v>
      </c>
      <c r="CK9" s="4504">
        <f t="shared" ref="CK9" si="57">IFERROR(AN9/$C$1,0)</f>
        <v>69.535695842685712</v>
      </c>
      <c r="CL9" s="4504">
        <f t="shared" ref="CL9" si="58">IFERROR(AO9/$C$1,0)</f>
        <v>82.317992872591176</v>
      </c>
      <c r="CM9" s="4504">
        <f t="shared" ref="CM9" si="59">IFERROR(AP9/$C$1,0)</f>
        <v>82.317992872591176</v>
      </c>
      <c r="CQ9" s="4504">
        <f>IFERROR(AT9/$C$1,0)</f>
        <v>565.48882060301764</v>
      </c>
      <c r="CR9" s="4504">
        <f t="shared" ref="CR9" si="60">IFERROR(AU9/$C$1,0)</f>
        <v>485.72728713640765</v>
      </c>
      <c r="CS9" s="4504">
        <f t="shared" ref="CS9" si="61">IFERROR(AV9/$C$1,0)</f>
        <v>508.73542179023735</v>
      </c>
      <c r="CT9" s="4504">
        <f t="shared" ref="CT9" si="62">IFERROR(AW9/$C$1,0)</f>
        <v>524.07417822612399</v>
      </c>
      <c r="CU9" s="4504">
        <f t="shared" ref="CU9" si="63">IFERROR(AX9/$C$1,0)</f>
        <v>511.29188119621858</v>
      </c>
    </row>
    <row r="10" spans="1:99" s="661" customFormat="1">
      <c r="A10" s="2444" t="s">
        <v>463</v>
      </c>
      <c r="B10" s="2445" t="s">
        <v>939</v>
      </c>
      <c r="C10" s="390"/>
      <c r="D10" s="390"/>
      <c r="E10" s="390"/>
      <c r="F10" s="3375">
        <f>'9.Инвестиционна програма'!I147</f>
        <v>11</v>
      </c>
      <c r="G10" s="3375">
        <f>'9.Инвестиционна програма'!J147</f>
        <v>9</v>
      </c>
      <c r="H10" s="3375">
        <f>'9.Инвестиционна програма'!K147</f>
        <v>15.333333333333332</v>
      </c>
      <c r="I10" s="3375">
        <f>'9.Инвестиционна програма'!L147</f>
        <v>13.333333333333332</v>
      </c>
      <c r="J10" s="3376">
        <f>'9.Инвестиционна програма'!M147</f>
        <v>9</v>
      </c>
      <c r="K10" s="390"/>
      <c r="L10" s="390"/>
      <c r="M10" s="390"/>
      <c r="N10" s="3375">
        <f>'9.Инвестиционна програма'!I148</f>
        <v>12</v>
      </c>
      <c r="O10" s="3375">
        <f>'9.Инвестиционна програма'!J148</f>
        <v>10</v>
      </c>
      <c r="P10" s="3375">
        <f>'9.Инвестиционна програма'!K148</f>
        <v>16.333333333333332</v>
      </c>
      <c r="Q10" s="3375">
        <f>'9.Инвестиционна програма'!L148</f>
        <v>14.333333333333332</v>
      </c>
      <c r="R10" s="3377">
        <f>'9.Инвестиционна програма'!M148</f>
        <v>10</v>
      </c>
      <c r="S10" s="390"/>
      <c r="T10" s="390"/>
      <c r="U10" s="390"/>
      <c r="V10" s="3367">
        <f>'9.Инвестиционна програма'!I149</f>
        <v>11</v>
      </c>
      <c r="W10" s="3367">
        <f>'9.Инвестиционна програма'!J149</f>
        <v>9</v>
      </c>
      <c r="X10" s="3367">
        <f>'9.Инвестиционна програма'!K149</f>
        <v>15.333333333333332</v>
      </c>
      <c r="Y10" s="3367">
        <f>'9.Инвестиционна програма'!L149</f>
        <v>13.333333333333332</v>
      </c>
      <c r="Z10" s="3368">
        <f>'9.Инвестиционна програма'!M149</f>
        <v>9</v>
      </c>
      <c r="AA10" s="390"/>
      <c r="AB10" s="390"/>
      <c r="AC10" s="390"/>
      <c r="AD10" s="3367">
        <f>'9.Инвестиционна програма'!I150</f>
        <v>0</v>
      </c>
      <c r="AE10" s="3367">
        <f>'9.Инвестиционна програма'!J150</f>
        <v>0</v>
      </c>
      <c r="AF10" s="3367">
        <f>'9.Инвестиционна програма'!K150</f>
        <v>0</v>
      </c>
      <c r="AG10" s="3367">
        <f>'9.Инвестиционна програма'!L150</f>
        <v>0</v>
      </c>
      <c r="AH10" s="3368">
        <f>'9.Инвестиционна програма'!M150</f>
        <v>0</v>
      </c>
      <c r="AI10" s="390"/>
      <c r="AJ10" s="390"/>
      <c r="AK10" s="390"/>
      <c r="AL10" s="3367">
        <f>'9.Инвестиционна програма'!I151</f>
        <v>6</v>
      </c>
      <c r="AM10" s="3367">
        <f>'9.Инвестиционна програма'!J151</f>
        <v>6</v>
      </c>
      <c r="AN10" s="3367">
        <f>'9.Инвестиционна програма'!K151</f>
        <v>6</v>
      </c>
      <c r="AO10" s="3367">
        <f>'9.Инвестиционна програма'!L151</f>
        <v>6</v>
      </c>
      <c r="AP10" s="3368">
        <f>'9.Инвестиционна програма'!M151</f>
        <v>6</v>
      </c>
      <c r="AQ10" s="390"/>
      <c r="AR10" s="390"/>
      <c r="AS10" s="390"/>
      <c r="AT10" s="3367">
        <f t="shared" si="42"/>
        <v>40</v>
      </c>
      <c r="AU10" s="3367">
        <f t="shared" si="42"/>
        <v>34</v>
      </c>
      <c r="AV10" s="3367">
        <f t="shared" si="42"/>
        <v>53</v>
      </c>
      <c r="AW10" s="3367">
        <f t="shared" si="42"/>
        <v>47</v>
      </c>
      <c r="AX10" s="3368">
        <f t="shared" si="42"/>
        <v>34</v>
      </c>
      <c r="AY10" s="4488"/>
      <c r="AZ10" s="3"/>
      <c r="BA10" s="3"/>
      <c r="BB10" s="3"/>
      <c r="BC10" s="4504">
        <f t="shared" ref="BC10:BC11" si="64">IFERROR(F10/$C$1,0)</f>
        <v>5.6242106931584033</v>
      </c>
      <c r="BD10" s="4504">
        <f t="shared" ref="BD10:BD11" si="65">IFERROR(G10/$C$1,0)</f>
        <v>4.6016269307659661</v>
      </c>
      <c r="BE10" s="4504">
        <f t="shared" ref="BE10:BE11" si="66">IFERROR(H10/$C$1,0)</f>
        <v>7.8398088450086831</v>
      </c>
      <c r="BF10" s="4504">
        <f t="shared" ref="BF10:BF11" si="67">IFERROR(I10/$C$1,0)</f>
        <v>6.8172250826162459</v>
      </c>
      <c r="BG10" s="4504">
        <f t="shared" ref="BG10:BG11" si="68">IFERROR(J10/$C$1,0)</f>
        <v>4.6016269307659661</v>
      </c>
      <c r="BH10" s="3"/>
      <c r="BI10" s="3"/>
      <c r="BJ10" s="3"/>
      <c r="BK10" s="4504">
        <f t="shared" ref="BK10:BK11" si="69">IFERROR(N10/$C$1,0)</f>
        <v>6.1355025743546223</v>
      </c>
      <c r="BL10" s="4504">
        <f t="shared" ref="BL10:BL11" si="70">IFERROR(O10/$C$1,0)</f>
        <v>5.1129188119621851</v>
      </c>
      <c r="BM10" s="4504">
        <f t="shared" ref="BM10:BM11" si="71">IFERROR(P10/$C$1,0)</f>
        <v>8.3511007262049013</v>
      </c>
      <c r="BN10" s="4504">
        <f t="shared" ref="BN10:BN11" si="72">IFERROR(Q10/$C$1,0)</f>
        <v>7.3285169638124641</v>
      </c>
      <c r="BO10" s="4504">
        <f t="shared" ref="BO10:BO11" si="73">IFERROR(R10/$C$1,0)</f>
        <v>5.1129188119621851</v>
      </c>
      <c r="BP10" s="3"/>
      <c r="BQ10" s="3"/>
      <c r="BR10" s="3"/>
      <c r="BS10" s="4504">
        <f t="shared" ref="BS10:BS11" si="74">IFERROR(V10/$C$1,0)</f>
        <v>5.6242106931584033</v>
      </c>
      <c r="BT10" s="4504">
        <f t="shared" ref="BT10:BT11" si="75">IFERROR(W10/$C$1,0)</f>
        <v>4.6016269307659661</v>
      </c>
      <c r="BU10" s="4504">
        <f t="shared" ref="BU10:BU11" si="76">IFERROR(X10/$C$1,0)</f>
        <v>7.8398088450086831</v>
      </c>
      <c r="BV10" s="4504">
        <f t="shared" ref="BV10:BV11" si="77">IFERROR(Y10/$C$1,0)</f>
        <v>6.8172250826162459</v>
      </c>
      <c r="BW10" s="4504">
        <f t="shared" ref="BW10:BW11" si="78">IFERROR(Z10/$C$1,0)</f>
        <v>4.6016269307659661</v>
      </c>
      <c r="BX10" s="3"/>
      <c r="BY10" s="3"/>
      <c r="BZ10" s="3"/>
      <c r="CA10" s="4504">
        <f t="shared" ref="CA10:CA11" si="79">IFERROR(AD10/$C$1,0)</f>
        <v>0</v>
      </c>
      <c r="CB10" s="4504">
        <f t="shared" ref="CB10:CB11" si="80">IFERROR(AE10/$C$1,0)</f>
        <v>0</v>
      </c>
      <c r="CC10" s="4504">
        <f t="shared" ref="CC10:CC11" si="81">IFERROR(AF10/$C$1,0)</f>
        <v>0</v>
      </c>
      <c r="CD10" s="4504">
        <f t="shared" ref="CD10:CD11" si="82">IFERROR(AG10/$C$1,0)</f>
        <v>0</v>
      </c>
      <c r="CE10" s="4504">
        <f t="shared" ref="CE10:CE11" si="83">IFERROR(AH10/$C$1,0)</f>
        <v>0</v>
      </c>
      <c r="CF10" s="3"/>
      <c r="CG10" s="3"/>
      <c r="CH10" s="3"/>
      <c r="CI10" s="4504">
        <f t="shared" ref="CI10:CI11" si="84">IFERROR(AL10/$C$1,0)</f>
        <v>3.0677512871773112</v>
      </c>
      <c r="CJ10" s="4504">
        <f t="shared" ref="CJ10:CJ11" si="85">IFERROR(AM10/$C$1,0)</f>
        <v>3.0677512871773112</v>
      </c>
      <c r="CK10" s="4504">
        <f t="shared" ref="CK10:CK11" si="86">IFERROR(AN10/$C$1,0)</f>
        <v>3.0677512871773112</v>
      </c>
      <c r="CL10" s="4504">
        <f t="shared" ref="CL10:CL11" si="87">IFERROR(AO10/$C$1,0)</f>
        <v>3.0677512871773112</v>
      </c>
      <c r="CM10" s="4504">
        <f t="shared" ref="CM10:CM11" si="88">IFERROR(AP10/$C$1,0)</f>
        <v>3.0677512871773112</v>
      </c>
      <c r="CN10" s="3"/>
      <c r="CO10" s="3"/>
      <c r="CP10" s="3"/>
      <c r="CQ10" s="4504">
        <f t="shared" ref="CQ10:CQ11" si="89">IFERROR(AT10/$C$1,0)</f>
        <v>20.45167524784874</v>
      </c>
      <c r="CR10" s="4504">
        <f t="shared" ref="CR10:CR11" si="90">IFERROR(AU10/$C$1,0)</f>
        <v>17.383923960671428</v>
      </c>
      <c r="CS10" s="4504">
        <f t="shared" ref="CS10:CS11" si="91">IFERROR(AV10/$C$1,0)</f>
        <v>27.09846970339958</v>
      </c>
      <c r="CT10" s="4504">
        <f t="shared" ref="CT10:CT11" si="92">IFERROR(AW10/$C$1,0)</f>
        <v>24.030718416222268</v>
      </c>
      <c r="CU10" s="4504">
        <f t="shared" ref="CU10:CU11" si="93">IFERROR(AX10/$C$1,0)</f>
        <v>17.383923960671428</v>
      </c>
    </row>
    <row r="11" spans="1:99" s="661" customFormat="1" ht="13.8" thickBot="1">
      <c r="A11" s="2446" t="s">
        <v>465</v>
      </c>
      <c r="B11" s="2447" t="s">
        <v>938</v>
      </c>
      <c r="C11" s="4013"/>
      <c r="D11" s="4013"/>
      <c r="E11" s="4013"/>
      <c r="F11" s="3378">
        <f>'9.Инвестиционна програма'!I153</f>
        <v>654.33333333333337</v>
      </c>
      <c r="G11" s="3378">
        <f>'9.Инвестиционна програма'!J153</f>
        <v>659.33333333333337</v>
      </c>
      <c r="H11" s="3378">
        <f>'9.Инвестиционна програма'!K153</f>
        <v>690.33333333333326</v>
      </c>
      <c r="I11" s="3378">
        <f>'9.Инвестиционна програма'!L153</f>
        <v>701.33333333333326</v>
      </c>
      <c r="J11" s="3379">
        <f>'9.Инвестиционна програма'!M153</f>
        <v>689.33333333333337</v>
      </c>
      <c r="K11" s="4013"/>
      <c r="L11" s="4013"/>
      <c r="M11" s="4013"/>
      <c r="N11" s="3369">
        <f>'9.Инвестиционна програма'!I154</f>
        <v>48.333333333333329</v>
      </c>
      <c r="O11" s="3369">
        <f>'9.Инвестиционна програма'!J154</f>
        <v>48.333333333333329</v>
      </c>
      <c r="P11" s="3369">
        <f>'9.Инвестиционна програма'!K154</f>
        <v>48.333333333333329</v>
      </c>
      <c r="Q11" s="3369">
        <f>'9.Инвестиционна програма'!L154</f>
        <v>48.333333333333329</v>
      </c>
      <c r="R11" s="3370">
        <f>'9.Инвестиционна програма'!M154</f>
        <v>48.333333333333329</v>
      </c>
      <c r="S11" s="4013"/>
      <c r="T11" s="4013"/>
      <c r="U11" s="4013"/>
      <c r="V11" s="3369">
        <f>'9.Инвестиционна програма'!I155</f>
        <v>73.333333333333329</v>
      </c>
      <c r="W11" s="3369">
        <f>'9.Инвестиционна програма'!J155</f>
        <v>73.333333333333329</v>
      </c>
      <c r="X11" s="3369">
        <f>'9.Инвестиционна програма'!K155</f>
        <v>73.333333333333329</v>
      </c>
      <c r="Y11" s="3369">
        <f>'9.Инвестиционна програма'!L155</f>
        <v>73.333333333333329</v>
      </c>
      <c r="Z11" s="3371">
        <f>'9.Инвестиционна програма'!M155</f>
        <v>73.333333333333329</v>
      </c>
      <c r="AA11" s="4013"/>
      <c r="AB11" s="4013"/>
      <c r="AC11" s="4013"/>
      <c r="AD11" s="3369">
        <f>'9.Инвестиционна програма'!I156</f>
        <v>0</v>
      </c>
      <c r="AE11" s="3369">
        <f>'9.Инвестиционна програма'!J156</f>
        <v>0</v>
      </c>
      <c r="AF11" s="3369">
        <f>'9.Инвестиционна програма'!K156</f>
        <v>0</v>
      </c>
      <c r="AG11" s="3369">
        <f>'9.Инвестиционна програма'!L156</f>
        <v>0</v>
      </c>
      <c r="AH11" s="3371">
        <f>'9.Инвестиционна програма'!M156</f>
        <v>0</v>
      </c>
      <c r="AI11" s="4013"/>
      <c r="AJ11" s="4013"/>
      <c r="AK11" s="4013"/>
      <c r="AL11" s="3369">
        <f>'9.Инвестиционна програма'!I157</f>
        <v>290</v>
      </c>
      <c r="AM11" s="3369">
        <f>'9.Инвестиционна програма'!J157</f>
        <v>135</v>
      </c>
      <c r="AN11" s="3369">
        <f>'9.Инвестиционна програма'!K157</f>
        <v>130</v>
      </c>
      <c r="AO11" s="3369">
        <f>'9.Инвестиционна програма'!L157</f>
        <v>155</v>
      </c>
      <c r="AP11" s="3371">
        <f>'9.Инвестиционна програма'!M157</f>
        <v>155</v>
      </c>
      <c r="AQ11" s="4013"/>
      <c r="AR11" s="4013"/>
      <c r="AS11" s="4013"/>
      <c r="AT11" s="3369">
        <f t="shared" ref="AT11:AX11" si="94">F11+N11+V11+AD11+AL11</f>
        <v>1066</v>
      </c>
      <c r="AU11" s="3369">
        <f t="shared" si="94"/>
        <v>916.00000000000011</v>
      </c>
      <c r="AV11" s="3369">
        <f t="shared" si="94"/>
        <v>942</v>
      </c>
      <c r="AW11" s="3369">
        <f t="shared" si="94"/>
        <v>978</v>
      </c>
      <c r="AX11" s="3371">
        <f t="shared" si="94"/>
        <v>966.00000000000011</v>
      </c>
      <c r="AY11" s="4488"/>
      <c r="AZ11" s="3"/>
      <c r="BA11" s="3"/>
      <c r="BB11" s="3"/>
      <c r="BC11" s="4504">
        <f t="shared" si="64"/>
        <v>334.55532092939234</v>
      </c>
      <c r="BD11" s="4504">
        <f t="shared" si="65"/>
        <v>337.1117803353734</v>
      </c>
      <c r="BE11" s="4504">
        <f t="shared" si="66"/>
        <v>352.96182865245612</v>
      </c>
      <c r="BF11" s="4504">
        <f t="shared" si="67"/>
        <v>358.58603934561455</v>
      </c>
      <c r="BG11" s="4504">
        <f t="shared" si="68"/>
        <v>352.45053677125998</v>
      </c>
      <c r="BH11" s="3"/>
      <c r="BI11" s="3"/>
      <c r="BJ11" s="3"/>
      <c r="BK11" s="4504">
        <f t="shared" si="69"/>
        <v>24.712440924483893</v>
      </c>
      <c r="BL11" s="4504">
        <f t="shared" si="70"/>
        <v>24.712440924483893</v>
      </c>
      <c r="BM11" s="4504">
        <f t="shared" si="71"/>
        <v>24.712440924483893</v>
      </c>
      <c r="BN11" s="4504">
        <f t="shared" si="72"/>
        <v>24.712440924483893</v>
      </c>
      <c r="BO11" s="4504">
        <f t="shared" si="73"/>
        <v>24.712440924483893</v>
      </c>
      <c r="BP11" s="3"/>
      <c r="BQ11" s="3"/>
      <c r="BR11" s="3"/>
      <c r="BS11" s="4504">
        <f t="shared" si="74"/>
        <v>37.494737954389358</v>
      </c>
      <c r="BT11" s="4504">
        <f t="shared" si="75"/>
        <v>37.494737954389358</v>
      </c>
      <c r="BU11" s="4504">
        <f t="shared" si="76"/>
        <v>37.494737954389358</v>
      </c>
      <c r="BV11" s="4504">
        <f t="shared" si="77"/>
        <v>37.494737954389358</v>
      </c>
      <c r="BW11" s="4504">
        <f t="shared" si="78"/>
        <v>37.494737954389358</v>
      </c>
      <c r="BX11" s="3"/>
      <c r="BY11" s="3"/>
      <c r="BZ11" s="3"/>
      <c r="CA11" s="4504">
        <f t="shared" si="79"/>
        <v>0</v>
      </c>
      <c r="CB11" s="4504">
        <f t="shared" si="80"/>
        <v>0</v>
      </c>
      <c r="CC11" s="4504">
        <f t="shared" si="81"/>
        <v>0</v>
      </c>
      <c r="CD11" s="4504">
        <f t="shared" si="82"/>
        <v>0</v>
      </c>
      <c r="CE11" s="4504">
        <f t="shared" si="83"/>
        <v>0</v>
      </c>
      <c r="CF11" s="3"/>
      <c r="CG11" s="3"/>
      <c r="CH11" s="3"/>
      <c r="CI11" s="4504">
        <f t="shared" si="84"/>
        <v>148.27464554690337</v>
      </c>
      <c r="CJ11" s="4504">
        <f t="shared" si="85"/>
        <v>69.024403961489497</v>
      </c>
      <c r="CK11" s="4504">
        <f t="shared" si="86"/>
        <v>66.46794455550841</v>
      </c>
      <c r="CL11" s="4504">
        <f t="shared" si="87"/>
        <v>79.25024158541386</v>
      </c>
      <c r="CM11" s="4504">
        <f t="shared" si="88"/>
        <v>79.25024158541386</v>
      </c>
      <c r="CN11" s="3"/>
      <c r="CO11" s="3"/>
      <c r="CP11" s="3"/>
      <c r="CQ11" s="4504">
        <f t="shared" si="89"/>
        <v>545.03714535516895</v>
      </c>
      <c r="CR11" s="4504">
        <f t="shared" si="90"/>
        <v>468.34336317573621</v>
      </c>
      <c r="CS11" s="4504">
        <f t="shared" si="91"/>
        <v>481.63695208683782</v>
      </c>
      <c r="CT11" s="4504">
        <f t="shared" si="92"/>
        <v>500.04345980990166</v>
      </c>
      <c r="CU11" s="4504">
        <f t="shared" si="93"/>
        <v>493.90795723554714</v>
      </c>
    </row>
    <row r="12" spans="1:99" ht="13.8" thickBot="1">
      <c r="B12" s="2448"/>
      <c r="C12" s="3380"/>
      <c r="D12" s="3380"/>
      <c r="E12" s="2449"/>
      <c r="F12" s="2449"/>
      <c r="G12" s="2449"/>
      <c r="H12" s="2449"/>
      <c r="I12" s="2449"/>
      <c r="J12" s="2449"/>
      <c r="K12" s="3380"/>
      <c r="L12" s="3380"/>
      <c r="M12" s="2449"/>
      <c r="N12" s="3382"/>
      <c r="O12" s="3382"/>
      <c r="P12" s="3381"/>
      <c r="Q12" s="3381"/>
      <c r="R12" s="3381"/>
      <c r="S12" s="3380"/>
      <c r="T12" s="3380"/>
      <c r="U12" s="2449"/>
      <c r="V12" s="3381"/>
      <c r="W12" s="3381"/>
      <c r="X12" s="3381"/>
      <c r="Y12" s="3381"/>
      <c r="Z12" s="3381"/>
      <c r="AA12" s="3380"/>
      <c r="AB12" s="3380"/>
      <c r="AC12" s="2449"/>
      <c r="AD12" s="3381"/>
      <c r="AE12" s="3381"/>
      <c r="AF12" s="3381"/>
      <c r="AG12" s="3381"/>
      <c r="AH12" s="3381"/>
      <c r="AI12" s="3380"/>
      <c r="AJ12" s="3380"/>
      <c r="AK12" s="2449"/>
      <c r="AL12" s="3381"/>
      <c r="AM12" s="3381"/>
      <c r="AN12" s="3381"/>
      <c r="AO12" s="3381"/>
      <c r="AP12" s="3381"/>
      <c r="AQ12" s="3380"/>
      <c r="AR12" s="3380"/>
      <c r="AS12" s="2449"/>
      <c r="AT12" s="3381"/>
      <c r="AU12" s="3381"/>
      <c r="AV12" s="3381"/>
      <c r="AW12" s="3381"/>
      <c r="AX12" s="3381"/>
      <c r="AY12" s="4488"/>
    </row>
    <row r="13" spans="1:99" s="662" customFormat="1">
      <c r="A13" s="3742">
        <v>2</v>
      </c>
      <c r="B13" s="2443" t="s">
        <v>331</v>
      </c>
      <c r="C13" s="391"/>
      <c r="D13" s="391"/>
      <c r="E13" s="391"/>
      <c r="F13" s="2450">
        <f t="shared" ref="F13:AX13" si="95">F14+F17</f>
        <v>665.33333333333337</v>
      </c>
      <c r="G13" s="2450">
        <f t="shared" si="95"/>
        <v>668.33333333333337</v>
      </c>
      <c r="H13" s="2450">
        <f t="shared" si="95"/>
        <v>705.66666666666663</v>
      </c>
      <c r="I13" s="2450">
        <f t="shared" si="95"/>
        <v>714.66666666666663</v>
      </c>
      <c r="J13" s="2451">
        <f t="shared" si="95"/>
        <v>698.33333333333337</v>
      </c>
      <c r="K13" s="391"/>
      <c r="L13" s="391"/>
      <c r="M13" s="391"/>
      <c r="N13" s="2450">
        <f t="shared" si="95"/>
        <v>60.333333333333329</v>
      </c>
      <c r="O13" s="2450">
        <f t="shared" si="95"/>
        <v>58.333333333333329</v>
      </c>
      <c r="P13" s="2450">
        <f t="shared" si="95"/>
        <v>64.666666666666657</v>
      </c>
      <c r="Q13" s="2450">
        <f t="shared" si="95"/>
        <v>62.666666666666657</v>
      </c>
      <c r="R13" s="2452">
        <f t="shared" si="95"/>
        <v>58.333333333333329</v>
      </c>
      <c r="S13" s="391"/>
      <c r="T13" s="391"/>
      <c r="U13" s="391"/>
      <c r="V13" s="2450">
        <f t="shared" si="95"/>
        <v>84.333333333333329</v>
      </c>
      <c r="W13" s="2450">
        <f t="shared" si="95"/>
        <v>82.333333333333329</v>
      </c>
      <c r="X13" s="2450">
        <f t="shared" si="95"/>
        <v>88.666666666666657</v>
      </c>
      <c r="Y13" s="2450">
        <f t="shared" si="95"/>
        <v>86.666666666666657</v>
      </c>
      <c r="Z13" s="2451">
        <f t="shared" si="95"/>
        <v>82.333333333333329</v>
      </c>
      <c r="AA13" s="391"/>
      <c r="AB13" s="391"/>
      <c r="AC13" s="391"/>
      <c r="AD13" s="2450">
        <f t="shared" si="95"/>
        <v>0</v>
      </c>
      <c r="AE13" s="2450">
        <f t="shared" si="95"/>
        <v>0</v>
      </c>
      <c r="AF13" s="2450">
        <f t="shared" si="95"/>
        <v>0</v>
      </c>
      <c r="AG13" s="2450">
        <f t="shared" si="95"/>
        <v>0</v>
      </c>
      <c r="AH13" s="2451">
        <f t="shared" si="95"/>
        <v>0</v>
      </c>
      <c r="AI13" s="391"/>
      <c r="AJ13" s="391"/>
      <c r="AK13" s="391"/>
      <c r="AL13" s="2450">
        <f t="shared" si="95"/>
        <v>296</v>
      </c>
      <c r="AM13" s="2450">
        <f t="shared" si="95"/>
        <v>141</v>
      </c>
      <c r="AN13" s="2450">
        <f t="shared" si="95"/>
        <v>136</v>
      </c>
      <c r="AO13" s="2450">
        <f t="shared" si="95"/>
        <v>161</v>
      </c>
      <c r="AP13" s="2451">
        <f t="shared" si="95"/>
        <v>161</v>
      </c>
      <c r="AQ13" s="391"/>
      <c r="AR13" s="391"/>
      <c r="AS13" s="391"/>
      <c r="AT13" s="2450">
        <f t="shared" si="95"/>
        <v>1106</v>
      </c>
      <c r="AU13" s="2450">
        <f t="shared" si="95"/>
        <v>950.00000000000011</v>
      </c>
      <c r="AV13" s="2450">
        <f t="shared" si="95"/>
        <v>995</v>
      </c>
      <c r="AW13" s="2450">
        <f t="shared" si="95"/>
        <v>1025</v>
      </c>
      <c r="AX13" s="2451">
        <f t="shared" si="95"/>
        <v>1000.0000000000001</v>
      </c>
      <c r="AY13" s="4488"/>
      <c r="AZ13" s="3"/>
      <c r="BA13" s="3"/>
      <c r="BB13" s="3"/>
      <c r="BC13" s="4504">
        <f t="shared" ref="BC13:BC19" si="96">IFERROR(F13/$C$1,0)</f>
        <v>340.17953162255071</v>
      </c>
      <c r="BD13" s="4504">
        <f t="shared" ref="BD13:BD19" si="97">IFERROR(G13/$C$1,0)</f>
        <v>341.71340726613937</v>
      </c>
      <c r="BE13" s="4504">
        <f t="shared" ref="BE13:BE19" si="98">IFERROR(H13/$C$1,0)</f>
        <v>360.80163749746481</v>
      </c>
      <c r="BF13" s="4504">
        <f t="shared" ref="BF13:BF19" si="99">IFERROR(I13/$C$1,0)</f>
        <v>365.40326442823078</v>
      </c>
      <c r="BG13" s="4504">
        <f t="shared" ref="BG13:BG19" si="100">IFERROR(J13/$C$1,0)</f>
        <v>357.05216370202595</v>
      </c>
      <c r="BH13" s="3"/>
      <c r="BI13" s="3"/>
      <c r="BJ13" s="3"/>
      <c r="BK13" s="4504">
        <f t="shared" ref="BK13:BK19" si="101">IFERROR(N13/$C$1,0)</f>
        <v>30.847943498838514</v>
      </c>
      <c r="BL13" s="4504">
        <f t="shared" ref="BL13:BL19" si="102">IFERROR(O13/$C$1,0)</f>
        <v>29.825359736446078</v>
      </c>
      <c r="BM13" s="4504">
        <f t="shared" ref="BM13:BM19" si="103">IFERROR(P13/$C$1,0)</f>
        <v>33.063541650688791</v>
      </c>
      <c r="BN13" s="4504">
        <f t="shared" ref="BN13:BN19" si="104">IFERROR(Q13/$C$1,0)</f>
        <v>32.040957888296354</v>
      </c>
      <c r="BO13" s="4504">
        <f t="shared" ref="BO13:BO19" si="105">IFERROR(R13/$C$1,0)</f>
        <v>29.825359736446078</v>
      </c>
      <c r="BP13" s="3"/>
      <c r="BQ13" s="3"/>
      <c r="BR13" s="3"/>
      <c r="BS13" s="4504">
        <f t="shared" ref="BS13:BS19" si="106">IFERROR(V13/$C$1,0)</f>
        <v>43.118948647547761</v>
      </c>
      <c r="BT13" s="4504">
        <f t="shared" ref="BT13:BT19" si="107">IFERROR(W13/$C$1,0)</f>
        <v>42.096364885155317</v>
      </c>
      <c r="BU13" s="4504">
        <f t="shared" ref="BU13:BU19" si="108">IFERROR(X13/$C$1,0)</f>
        <v>45.334546799398034</v>
      </c>
      <c r="BV13" s="4504">
        <f t="shared" ref="BV13:BV19" si="109">IFERROR(Y13/$C$1,0)</f>
        <v>44.311963037005597</v>
      </c>
      <c r="BW13" s="4504">
        <f t="shared" ref="BW13:BW19" si="110">IFERROR(Z13/$C$1,0)</f>
        <v>42.096364885155317</v>
      </c>
      <c r="BX13" s="3"/>
      <c r="BY13" s="3"/>
      <c r="BZ13" s="3"/>
      <c r="CA13" s="4504">
        <f t="shared" ref="CA13:CA19" si="111">IFERROR(AD13/$C$1,0)</f>
        <v>0</v>
      </c>
      <c r="CB13" s="4504">
        <f t="shared" ref="CB13:CB19" si="112">IFERROR(AE13/$C$1,0)</f>
        <v>0</v>
      </c>
      <c r="CC13" s="4504">
        <f t="shared" ref="CC13:CC19" si="113">IFERROR(AF13/$C$1,0)</f>
        <v>0</v>
      </c>
      <c r="CD13" s="4504">
        <f t="shared" ref="CD13:CD19" si="114">IFERROR(AG13/$C$1,0)</f>
        <v>0</v>
      </c>
      <c r="CE13" s="4504">
        <f t="shared" ref="CE13:CE19" si="115">IFERROR(AH13/$C$1,0)</f>
        <v>0</v>
      </c>
      <c r="CF13" s="3"/>
      <c r="CG13" s="3"/>
      <c r="CH13" s="3"/>
      <c r="CI13" s="4504">
        <f t="shared" ref="CI13:CI19" si="116">IFERROR(AL13/$C$1,0)</f>
        <v>151.34239683408069</v>
      </c>
      <c r="CJ13" s="4504">
        <f t="shared" ref="CJ13:CJ19" si="117">IFERROR(AM13/$C$1,0)</f>
        <v>72.092155248666813</v>
      </c>
      <c r="CK13" s="4504">
        <f t="shared" ref="CK13:CK19" si="118">IFERROR(AN13/$C$1,0)</f>
        <v>69.535695842685712</v>
      </c>
      <c r="CL13" s="4504">
        <f t="shared" ref="CL13:CL19" si="119">IFERROR(AO13/$C$1,0)</f>
        <v>82.317992872591176</v>
      </c>
      <c r="CM13" s="4504">
        <f t="shared" ref="CM13:CM19" si="120">IFERROR(AP13/$C$1,0)</f>
        <v>82.317992872591176</v>
      </c>
      <c r="CN13" s="3"/>
      <c r="CO13" s="3"/>
      <c r="CP13" s="3"/>
      <c r="CQ13" s="4504">
        <f t="shared" ref="CQ13:CQ19" si="121">IFERROR(AT13/$C$1,0)</f>
        <v>565.48882060301764</v>
      </c>
      <c r="CR13" s="4504">
        <f t="shared" ref="CR13:CR19" si="122">IFERROR(AU13/$C$1,0)</f>
        <v>485.72728713640765</v>
      </c>
      <c r="CS13" s="4504">
        <f t="shared" ref="CS13:CS19" si="123">IFERROR(AV13/$C$1,0)</f>
        <v>508.73542179023741</v>
      </c>
      <c r="CT13" s="4504">
        <f t="shared" ref="CT13:CT19" si="124">IFERROR(AW13/$C$1,0)</f>
        <v>524.07417822612399</v>
      </c>
      <c r="CU13" s="4504">
        <f t="shared" ref="CU13:CU19" si="125">IFERROR(AX13/$C$1,0)</f>
        <v>511.29188119621858</v>
      </c>
    </row>
    <row r="14" spans="1:99" s="663" customFormat="1">
      <c r="A14" s="2453" t="s">
        <v>477</v>
      </c>
      <c r="B14" s="2454" t="s">
        <v>948</v>
      </c>
      <c r="C14" s="390"/>
      <c r="D14" s="390"/>
      <c r="E14" s="390"/>
      <c r="F14" s="3383">
        <f t="shared" ref="F14:AP14" si="126">F15+F16</f>
        <v>11</v>
      </c>
      <c r="G14" s="3383">
        <f t="shared" si="126"/>
        <v>9</v>
      </c>
      <c r="H14" s="3383">
        <f t="shared" si="126"/>
        <v>15.333333333333332</v>
      </c>
      <c r="I14" s="3383">
        <f t="shared" si="126"/>
        <v>13.333333333333332</v>
      </c>
      <c r="J14" s="3384">
        <f t="shared" si="126"/>
        <v>9</v>
      </c>
      <c r="K14" s="390"/>
      <c r="L14" s="390"/>
      <c r="M14" s="390"/>
      <c r="N14" s="3383">
        <f t="shared" si="126"/>
        <v>12</v>
      </c>
      <c r="O14" s="3383">
        <f t="shared" si="126"/>
        <v>10</v>
      </c>
      <c r="P14" s="3383">
        <f t="shared" si="126"/>
        <v>16.333333333333332</v>
      </c>
      <c r="Q14" s="3383">
        <f t="shared" si="126"/>
        <v>14.333333333333332</v>
      </c>
      <c r="R14" s="3385">
        <f t="shared" si="126"/>
        <v>10</v>
      </c>
      <c r="S14" s="390"/>
      <c r="T14" s="390"/>
      <c r="U14" s="390"/>
      <c r="V14" s="3383">
        <f t="shared" si="126"/>
        <v>11</v>
      </c>
      <c r="W14" s="3383">
        <f t="shared" si="126"/>
        <v>9</v>
      </c>
      <c r="X14" s="3383">
        <f t="shared" si="126"/>
        <v>15.333333333333332</v>
      </c>
      <c r="Y14" s="3383">
        <f t="shared" si="126"/>
        <v>13.333333333333332</v>
      </c>
      <c r="Z14" s="3384">
        <f t="shared" si="126"/>
        <v>9</v>
      </c>
      <c r="AA14" s="390"/>
      <c r="AB14" s="390"/>
      <c r="AC14" s="390"/>
      <c r="AD14" s="3383">
        <f t="shared" si="126"/>
        <v>0</v>
      </c>
      <c r="AE14" s="3383">
        <f t="shared" si="126"/>
        <v>0</v>
      </c>
      <c r="AF14" s="3383">
        <f t="shared" si="126"/>
        <v>0</v>
      </c>
      <c r="AG14" s="3383">
        <f t="shared" si="126"/>
        <v>0</v>
      </c>
      <c r="AH14" s="3384">
        <f t="shared" si="126"/>
        <v>0</v>
      </c>
      <c r="AI14" s="390"/>
      <c r="AJ14" s="390"/>
      <c r="AK14" s="390"/>
      <c r="AL14" s="3383">
        <f t="shared" si="126"/>
        <v>6</v>
      </c>
      <c r="AM14" s="3383">
        <f t="shared" si="126"/>
        <v>6</v>
      </c>
      <c r="AN14" s="3383">
        <f t="shared" si="126"/>
        <v>6</v>
      </c>
      <c r="AO14" s="3383">
        <f t="shared" si="126"/>
        <v>6</v>
      </c>
      <c r="AP14" s="3384">
        <f t="shared" si="126"/>
        <v>6</v>
      </c>
      <c r="AQ14" s="390"/>
      <c r="AR14" s="390"/>
      <c r="AS14" s="390"/>
      <c r="AT14" s="3383">
        <f t="shared" ref="AT14:AX14" si="127">AT15+AT16</f>
        <v>40</v>
      </c>
      <c r="AU14" s="3383">
        <f t="shared" si="127"/>
        <v>34</v>
      </c>
      <c r="AV14" s="3383">
        <f t="shared" si="127"/>
        <v>53</v>
      </c>
      <c r="AW14" s="3383">
        <f t="shared" si="127"/>
        <v>47</v>
      </c>
      <c r="AX14" s="3384">
        <f t="shared" si="127"/>
        <v>34</v>
      </c>
      <c r="AY14" s="4488"/>
      <c r="AZ14" s="3"/>
      <c r="BA14" s="3"/>
      <c r="BB14" s="3"/>
      <c r="BC14" s="4504">
        <f t="shared" si="96"/>
        <v>5.6242106931584033</v>
      </c>
      <c r="BD14" s="4504">
        <f t="shared" si="97"/>
        <v>4.6016269307659661</v>
      </c>
      <c r="BE14" s="4504">
        <f t="shared" si="98"/>
        <v>7.8398088450086831</v>
      </c>
      <c r="BF14" s="4504">
        <f t="shared" si="99"/>
        <v>6.8172250826162459</v>
      </c>
      <c r="BG14" s="4504">
        <f t="shared" si="100"/>
        <v>4.6016269307659661</v>
      </c>
      <c r="BH14" s="3"/>
      <c r="BI14" s="3"/>
      <c r="BJ14" s="3"/>
      <c r="BK14" s="4504">
        <f t="shared" si="101"/>
        <v>6.1355025743546223</v>
      </c>
      <c r="BL14" s="4504">
        <f t="shared" si="102"/>
        <v>5.1129188119621851</v>
      </c>
      <c r="BM14" s="4504">
        <f t="shared" si="103"/>
        <v>8.3511007262049013</v>
      </c>
      <c r="BN14" s="4504">
        <f t="shared" si="104"/>
        <v>7.3285169638124641</v>
      </c>
      <c r="BO14" s="4504">
        <f t="shared" si="105"/>
        <v>5.1129188119621851</v>
      </c>
      <c r="BP14" s="3"/>
      <c r="BQ14" s="3"/>
      <c r="BR14" s="3"/>
      <c r="BS14" s="4504">
        <f t="shared" si="106"/>
        <v>5.6242106931584033</v>
      </c>
      <c r="BT14" s="4504">
        <f t="shared" si="107"/>
        <v>4.6016269307659661</v>
      </c>
      <c r="BU14" s="4504">
        <f t="shared" si="108"/>
        <v>7.8398088450086831</v>
      </c>
      <c r="BV14" s="4504">
        <f t="shared" si="109"/>
        <v>6.8172250826162459</v>
      </c>
      <c r="BW14" s="4504">
        <f t="shared" si="110"/>
        <v>4.6016269307659661</v>
      </c>
      <c r="BX14" s="3"/>
      <c r="BY14" s="3"/>
      <c r="BZ14" s="3"/>
      <c r="CA14" s="4504">
        <f t="shared" si="111"/>
        <v>0</v>
      </c>
      <c r="CB14" s="4504">
        <f t="shared" si="112"/>
        <v>0</v>
      </c>
      <c r="CC14" s="4504">
        <f t="shared" si="113"/>
        <v>0</v>
      </c>
      <c r="CD14" s="4504">
        <f t="shared" si="114"/>
        <v>0</v>
      </c>
      <c r="CE14" s="4504">
        <f t="shared" si="115"/>
        <v>0</v>
      </c>
      <c r="CF14" s="3"/>
      <c r="CG14" s="3"/>
      <c r="CH14" s="3"/>
      <c r="CI14" s="4504">
        <f t="shared" si="116"/>
        <v>3.0677512871773112</v>
      </c>
      <c r="CJ14" s="4504">
        <f t="shared" si="117"/>
        <v>3.0677512871773112</v>
      </c>
      <c r="CK14" s="4504">
        <f t="shared" si="118"/>
        <v>3.0677512871773112</v>
      </c>
      <c r="CL14" s="4504">
        <f t="shared" si="119"/>
        <v>3.0677512871773112</v>
      </c>
      <c r="CM14" s="4504">
        <f t="shared" si="120"/>
        <v>3.0677512871773112</v>
      </c>
      <c r="CN14" s="3"/>
      <c r="CO14" s="3"/>
      <c r="CP14" s="3"/>
      <c r="CQ14" s="4504">
        <f t="shared" si="121"/>
        <v>20.45167524784874</v>
      </c>
      <c r="CR14" s="4504">
        <f t="shared" si="122"/>
        <v>17.383923960671428</v>
      </c>
      <c r="CS14" s="4504">
        <f t="shared" si="123"/>
        <v>27.09846970339958</v>
      </c>
      <c r="CT14" s="4504">
        <f t="shared" si="124"/>
        <v>24.030718416222268</v>
      </c>
      <c r="CU14" s="4504">
        <f t="shared" si="125"/>
        <v>17.383923960671428</v>
      </c>
    </row>
    <row r="15" spans="1:99" s="660" customFormat="1">
      <c r="A15" s="2455" t="s">
        <v>953</v>
      </c>
      <c r="B15" s="2445" t="s">
        <v>949</v>
      </c>
      <c r="C15" s="390"/>
      <c r="D15" s="390"/>
      <c r="E15" s="390"/>
      <c r="F15" s="3375">
        <f>'9.Инвестиционна програма'!R147</f>
        <v>11</v>
      </c>
      <c r="G15" s="3375">
        <f>'9.Инвестиционна програма'!S147</f>
        <v>9</v>
      </c>
      <c r="H15" s="3375">
        <f>'9.Инвестиционна програма'!T147</f>
        <v>15.333333333333332</v>
      </c>
      <c r="I15" s="3375">
        <f>'9.Инвестиционна програма'!U147</f>
        <v>13.333333333333332</v>
      </c>
      <c r="J15" s="3376">
        <f>'9.Инвестиционна програма'!V147</f>
        <v>9</v>
      </c>
      <c r="K15" s="390"/>
      <c r="L15" s="390"/>
      <c r="M15" s="390"/>
      <c r="N15" s="3375">
        <f>'9.Инвестиционна програма'!R148</f>
        <v>12</v>
      </c>
      <c r="O15" s="3375">
        <f>'9.Инвестиционна програма'!S148</f>
        <v>10</v>
      </c>
      <c r="P15" s="3375">
        <f>'9.Инвестиционна програма'!T148</f>
        <v>16.333333333333332</v>
      </c>
      <c r="Q15" s="3375">
        <f>'9.Инвестиционна програма'!U148</f>
        <v>14.333333333333332</v>
      </c>
      <c r="R15" s="3377">
        <f>'9.Инвестиционна програма'!V148</f>
        <v>10</v>
      </c>
      <c r="S15" s="390"/>
      <c r="T15" s="390"/>
      <c r="U15" s="390"/>
      <c r="V15" s="3375">
        <f>'9.Инвестиционна програма'!R149</f>
        <v>11</v>
      </c>
      <c r="W15" s="3375">
        <f>'9.Инвестиционна програма'!S149</f>
        <v>9</v>
      </c>
      <c r="X15" s="3375">
        <f>'9.Инвестиционна програма'!T149</f>
        <v>15.333333333333332</v>
      </c>
      <c r="Y15" s="3375">
        <f>'9.Инвестиционна програма'!U149</f>
        <v>13.333333333333332</v>
      </c>
      <c r="Z15" s="3376">
        <f>'9.Инвестиционна програма'!V149</f>
        <v>9</v>
      </c>
      <c r="AA15" s="390"/>
      <c r="AB15" s="390"/>
      <c r="AC15" s="390"/>
      <c r="AD15" s="3375">
        <f>'9.Инвестиционна програма'!R150</f>
        <v>0</v>
      </c>
      <c r="AE15" s="3375">
        <f>'9.Инвестиционна програма'!S150</f>
        <v>0</v>
      </c>
      <c r="AF15" s="3375">
        <f>'9.Инвестиционна програма'!T150</f>
        <v>0</v>
      </c>
      <c r="AG15" s="3375">
        <f>'9.Инвестиционна програма'!U150</f>
        <v>0</v>
      </c>
      <c r="AH15" s="3376">
        <f>'9.Инвестиционна програма'!V150</f>
        <v>0</v>
      </c>
      <c r="AI15" s="390"/>
      <c r="AJ15" s="390"/>
      <c r="AK15" s="390"/>
      <c r="AL15" s="3375">
        <f>'9.Инвестиционна програма'!R151</f>
        <v>6</v>
      </c>
      <c r="AM15" s="3375">
        <f>'9.Инвестиционна програма'!S151</f>
        <v>6</v>
      </c>
      <c r="AN15" s="3375">
        <f>'9.Инвестиционна програма'!T151</f>
        <v>6</v>
      </c>
      <c r="AO15" s="3375">
        <f>'9.Инвестиционна програма'!U151</f>
        <v>6</v>
      </c>
      <c r="AP15" s="3376">
        <f>'9.Инвестиционна програма'!V151</f>
        <v>6</v>
      </c>
      <c r="AQ15" s="390"/>
      <c r="AR15" s="390"/>
      <c r="AS15" s="390"/>
      <c r="AT15" s="3375">
        <f t="shared" ref="AT15:AX15" si="128">F15+N15+V15+AD15+AL15</f>
        <v>40</v>
      </c>
      <c r="AU15" s="3375">
        <f t="shared" si="128"/>
        <v>34</v>
      </c>
      <c r="AV15" s="3375">
        <f t="shared" si="128"/>
        <v>53</v>
      </c>
      <c r="AW15" s="3375">
        <f t="shared" si="128"/>
        <v>47</v>
      </c>
      <c r="AX15" s="3376">
        <f t="shared" si="128"/>
        <v>34</v>
      </c>
      <c r="AY15" s="4488"/>
      <c r="AZ15" s="3"/>
      <c r="BA15" s="3"/>
      <c r="BB15" s="3"/>
      <c r="BC15" s="4504">
        <f t="shared" si="96"/>
        <v>5.6242106931584033</v>
      </c>
      <c r="BD15" s="4504">
        <f t="shared" si="97"/>
        <v>4.6016269307659661</v>
      </c>
      <c r="BE15" s="4504">
        <f t="shared" si="98"/>
        <v>7.8398088450086831</v>
      </c>
      <c r="BF15" s="4504">
        <f t="shared" si="99"/>
        <v>6.8172250826162459</v>
      </c>
      <c r="BG15" s="4504">
        <f t="shared" si="100"/>
        <v>4.6016269307659661</v>
      </c>
      <c r="BH15" s="3"/>
      <c r="BI15" s="3"/>
      <c r="BJ15" s="3"/>
      <c r="BK15" s="4504">
        <f t="shared" si="101"/>
        <v>6.1355025743546223</v>
      </c>
      <c r="BL15" s="4504">
        <f t="shared" si="102"/>
        <v>5.1129188119621851</v>
      </c>
      <c r="BM15" s="4504">
        <f t="shared" si="103"/>
        <v>8.3511007262049013</v>
      </c>
      <c r="BN15" s="4504">
        <f t="shared" si="104"/>
        <v>7.3285169638124641</v>
      </c>
      <c r="BO15" s="4504">
        <f t="shared" si="105"/>
        <v>5.1129188119621851</v>
      </c>
      <c r="BP15" s="3"/>
      <c r="BQ15" s="3"/>
      <c r="BR15" s="3"/>
      <c r="BS15" s="4504">
        <f t="shared" si="106"/>
        <v>5.6242106931584033</v>
      </c>
      <c r="BT15" s="4504">
        <f t="shared" si="107"/>
        <v>4.6016269307659661</v>
      </c>
      <c r="BU15" s="4504">
        <f t="shared" si="108"/>
        <v>7.8398088450086831</v>
      </c>
      <c r="BV15" s="4504">
        <f t="shared" si="109"/>
        <v>6.8172250826162459</v>
      </c>
      <c r="BW15" s="4504">
        <f t="shared" si="110"/>
        <v>4.6016269307659661</v>
      </c>
      <c r="BX15" s="3"/>
      <c r="BY15" s="3"/>
      <c r="BZ15" s="3"/>
      <c r="CA15" s="4504">
        <f t="shared" si="111"/>
        <v>0</v>
      </c>
      <c r="CB15" s="4504">
        <f t="shared" si="112"/>
        <v>0</v>
      </c>
      <c r="CC15" s="4504">
        <f t="shared" si="113"/>
        <v>0</v>
      </c>
      <c r="CD15" s="4504">
        <f t="shared" si="114"/>
        <v>0</v>
      </c>
      <c r="CE15" s="4504">
        <f t="shared" si="115"/>
        <v>0</v>
      </c>
      <c r="CF15" s="3"/>
      <c r="CG15" s="3"/>
      <c r="CH15" s="3"/>
      <c r="CI15" s="4504">
        <f t="shared" si="116"/>
        <v>3.0677512871773112</v>
      </c>
      <c r="CJ15" s="4504">
        <f t="shared" si="117"/>
        <v>3.0677512871773112</v>
      </c>
      <c r="CK15" s="4504">
        <f t="shared" si="118"/>
        <v>3.0677512871773112</v>
      </c>
      <c r="CL15" s="4504">
        <f t="shared" si="119"/>
        <v>3.0677512871773112</v>
      </c>
      <c r="CM15" s="4504">
        <f t="shared" si="120"/>
        <v>3.0677512871773112</v>
      </c>
      <c r="CN15" s="3"/>
      <c r="CO15" s="3"/>
      <c r="CP15" s="3"/>
      <c r="CQ15" s="4504">
        <f t="shared" si="121"/>
        <v>20.45167524784874</v>
      </c>
      <c r="CR15" s="4504">
        <f t="shared" si="122"/>
        <v>17.383923960671428</v>
      </c>
      <c r="CS15" s="4504">
        <f t="shared" si="123"/>
        <v>27.09846970339958</v>
      </c>
      <c r="CT15" s="4504">
        <f t="shared" si="124"/>
        <v>24.030718416222268</v>
      </c>
      <c r="CU15" s="4504">
        <f t="shared" si="125"/>
        <v>17.383923960671428</v>
      </c>
    </row>
    <row r="16" spans="1:99" s="660" customFormat="1">
      <c r="A16" s="2456" t="s">
        <v>954</v>
      </c>
      <c r="B16" s="2457" t="s">
        <v>950</v>
      </c>
      <c r="C16" s="390"/>
      <c r="D16" s="390"/>
      <c r="E16" s="390"/>
      <c r="F16" s="3386">
        <f>'9.Инвестиционна програма'!Z147+'9.Инвестиционна програма'!AH147</f>
        <v>0</v>
      </c>
      <c r="G16" s="3386">
        <f>'9.Инвестиционна програма'!AA147+'9.Инвестиционна програма'!AI147</f>
        <v>0</v>
      </c>
      <c r="H16" s="3386">
        <f>'9.Инвестиционна програма'!AB147+'9.Инвестиционна програма'!AJ147</f>
        <v>0</v>
      </c>
      <c r="I16" s="3386">
        <f>'9.Инвестиционна програма'!AC147+'9.Инвестиционна програма'!AK147</f>
        <v>0</v>
      </c>
      <c r="J16" s="3387">
        <f>'9.Инвестиционна програма'!AD147+'9.Инвестиционна програма'!AL147</f>
        <v>0</v>
      </c>
      <c r="K16" s="390"/>
      <c r="L16" s="390"/>
      <c r="M16" s="390"/>
      <c r="N16" s="3386">
        <f>'9.Инвестиционна програма'!Z148+'9.Инвестиционна програма'!AH148</f>
        <v>0</v>
      </c>
      <c r="O16" s="3386">
        <f>'9.Инвестиционна програма'!AA148+'9.Инвестиционна програма'!AI148</f>
        <v>0</v>
      </c>
      <c r="P16" s="3386">
        <f>'9.Инвестиционна програма'!AB148+'9.Инвестиционна програма'!AJ148</f>
        <v>0</v>
      </c>
      <c r="Q16" s="3386">
        <f>'9.Инвестиционна програма'!AC148+'9.Инвестиционна програма'!AK148</f>
        <v>0</v>
      </c>
      <c r="R16" s="3388">
        <f>'9.Инвестиционна програма'!AD148+'9.Инвестиционна програма'!AL148</f>
        <v>0</v>
      </c>
      <c r="S16" s="390"/>
      <c r="T16" s="390"/>
      <c r="U16" s="390"/>
      <c r="V16" s="3386">
        <f>'9.Инвестиционна програма'!Z149+'9.Инвестиционна програма'!AH149</f>
        <v>0</v>
      </c>
      <c r="W16" s="3386">
        <f>'9.Инвестиционна програма'!AA149+'9.Инвестиционна програма'!AI149</f>
        <v>0</v>
      </c>
      <c r="X16" s="3386">
        <f>'9.Инвестиционна програма'!AB149+'9.Инвестиционна програма'!AJ149</f>
        <v>0</v>
      </c>
      <c r="Y16" s="3386">
        <f>'9.Инвестиционна програма'!AC149+'9.Инвестиционна програма'!AK149</f>
        <v>0</v>
      </c>
      <c r="Z16" s="3387">
        <f>'9.Инвестиционна програма'!AD149+'9.Инвестиционна програма'!AL149</f>
        <v>0</v>
      </c>
      <c r="AA16" s="390"/>
      <c r="AB16" s="390"/>
      <c r="AC16" s="390"/>
      <c r="AD16" s="3386">
        <f>'9.Инвестиционна програма'!Z150+'9.Инвестиционна програма'!AH150</f>
        <v>0</v>
      </c>
      <c r="AE16" s="3386">
        <f>'9.Инвестиционна програма'!AA150+'9.Инвестиционна програма'!AI150</f>
        <v>0</v>
      </c>
      <c r="AF16" s="3386">
        <f>'9.Инвестиционна програма'!AB150+'9.Инвестиционна програма'!AJ150</f>
        <v>0</v>
      </c>
      <c r="AG16" s="3386">
        <f>'9.Инвестиционна програма'!AC150+'9.Инвестиционна програма'!AK150</f>
        <v>0</v>
      </c>
      <c r="AH16" s="3387">
        <f>'9.Инвестиционна програма'!AD150+'9.Инвестиционна програма'!AL150</f>
        <v>0</v>
      </c>
      <c r="AI16" s="390"/>
      <c r="AJ16" s="390"/>
      <c r="AK16" s="390"/>
      <c r="AL16" s="3386">
        <f>'9.Инвестиционна програма'!Z151+'9.Инвестиционна програма'!AH151</f>
        <v>0</v>
      </c>
      <c r="AM16" s="3386">
        <f>'9.Инвестиционна програма'!AA151+'9.Инвестиционна програма'!AI151</f>
        <v>0</v>
      </c>
      <c r="AN16" s="3386">
        <f>'9.Инвестиционна програма'!AB151+'9.Инвестиционна програма'!AJ151</f>
        <v>0</v>
      </c>
      <c r="AO16" s="3386">
        <f>'9.Инвестиционна програма'!AC151+'9.Инвестиционна програма'!AK151</f>
        <v>0</v>
      </c>
      <c r="AP16" s="3387">
        <f>'9.Инвестиционна програма'!AD151+'9.Инвестиционна програма'!AL151</f>
        <v>0</v>
      </c>
      <c r="AQ16" s="390"/>
      <c r="AR16" s="390"/>
      <c r="AS16" s="390"/>
      <c r="AT16" s="3386">
        <f t="shared" ref="AT16:AX16" si="129">F16+N16+V16+AD16+AL16</f>
        <v>0</v>
      </c>
      <c r="AU16" s="3386">
        <f t="shared" si="129"/>
        <v>0</v>
      </c>
      <c r="AV16" s="3386">
        <f t="shared" si="129"/>
        <v>0</v>
      </c>
      <c r="AW16" s="3386">
        <f t="shared" si="129"/>
        <v>0</v>
      </c>
      <c r="AX16" s="3387">
        <f t="shared" si="129"/>
        <v>0</v>
      </c>
      <c r="AY16" s="4488"/>
      <c r="AZ16" s="3"/>
      <c r="BA16" s="3"/>
      <c r="BB16" s="3"/>
      <c r="BC16" s="4504">
        <f t="shared" si="96"/>
        <v>0</v>
      </c>
      <c r="BD16" s="4504">
        <f t="shared" si="97"/>
        <v>0</v>
      </c>
      <c r="BE16" s="4504">
        <f t="shared" si="98"/>
        <v>0</v>
      </c>
      <c r="BF16" s="4504">
        <f t="shared" si="99"/>
        <v>0</v>
      </c>
      <c r="BG16" s="4504">
        <f t="shared" si="100"/>
        <v>0</v>
      </c>
      <c r="BH16" s="3"/>
      <c r="BI16" s="3"/>
      <c r="BJ16" s="3"/>
      <c r="BK16" s="4504">
        <f t="shared" si="101"/>
        <v>0</v>
      </c>
      <c r="BL16" s="4504">
        <f t="shared" si="102"/>
        <v>0</v>
      </c>
      <c r="BM16" s="4504">
        <f t="shared" si="103"/>
        <v>0</v>
      </c>
      <c r="BN16" s="4504">
        <f t="shared" si="104"/>
        <v>0</v>
      </c>
      <c r="BO16" s="4504">
        <f t="shared" si="105"/>
        <v>0</v>
      </c>
      <c r="BP16" s="3"/>
      <c r="BQ16" s="3"/>
      <c r="BR16" s="3"/>
      <c r="BS16" s="4504">
        <f t="shared" si="106"/>
        <v>0</v>
      </c>
      <c r="BT16" s="4504">
        <f t="shared" si="107"/>
        <v>0</v>
      </c>
      <c r="BU16" s="4504">
        <f t="shared" si="108"/>
        <v>0</v>
      </c>
      <c r="BV16" s="4504">
        <f t="shared" si="109"/>
        <v>0</v>
      </c>
      <c r="BW16" s="4504">
        <f t="shared" si="110"/>
        <v>0</v>
      </c>
      <c r="BX16" s="3"/>
      <c r="BY16" s="3"/>
      <c r="BZ16" s="3"/>
      <c r="CA16" s="4504">
        <f t="shared" si="111"/>
        <v>0</v>
      </c>
      <c r="CB16" s="4504">
        <f t="shared" si="112"/>
        <v>0</v>
      </c>
      <c r="CC16" s="4504">
        <f t="shared" si="113"/>
        <v>0</v>
      </c>
      <c r="CD16" s="4504">
        <f t="shared" si="114"/>
        <v>0</v>
      </c>
      <c r="CE16" s="4504">
        <f t="shared" si="115"/>
        <v>0</v>
      </c>
      <c r="CF16" s="3"/>
      <c r="CG16" s="3"/>
      <c r="CH16" s="3"/>
      <c r="CI16" s="4504">
        <f t="shared" si="116"/>
        <v>0</v>
      </c>
      <c r="CJ16" s="4504">
        <f t="shared" si="117"/>
        <v>0</v>
      </c>
      <c r="CK16" s="4504">
        <f t="shared" si="118"/>
        <v>0</v>
      </c>
      <c r="CL16" s="4504">
        <f t="shared" si="119"/>
        <v>0</v>
      </c>
      <c r="CM16" s="4504">
        <f t="shared" si="120"/>
        <v>0</v>
      </c>
      <c r="CN16" s="3"/>
      <c r="CO16" s="3"/>
      <c r="CP16" s="3"/>
      <c r="CQ16" s="4504">
        <f t="shared" si="121"/>
        <v>0</v>
      </c>
      <c r="CR16" s="4504">
        <f t="shared" si="122"/>
        <v>0</v>
      </c>
      <c r="CS16" s="4504">
        <f t="shared" si="123"/>
        <v>0</v>
      </c>
      <c r="CT16" s="4504">
        <f t="shared" si="124"/>
        <v>0</v>
      </c>
      <c r="CU16" s="4504">
        <f t="shared" si="125"/>
        <v>0</v>
      </c>
    </row>
    <row r="17" spans="1:99" s="663" customFormat="1">
      <c r="A17" s="2453" t="s">
        <v>479</v>
      </c>
      <c r="B17" s="2454" t="s">
        <v>951</v>
      </c>
      <c r="C17" s="390"/>
      <c r="D17" s="390"/>
      <c r="E17" s="390"/>
      <c r="F17" s="3383">
        <f t="shared" ref="F17:AP17" si="130">F18+F19</f>
        <v>654.33333333333337</v>
      </c>
      <c r="G17" s="3383">
        <f t="shared" si="130"/>
        <v>659.33333333333337</v>
      </c>
      <c r="H17" s="3383">
        <f t="shared" si="130"/>
        <v>690.33333333333326</v>
      </c>
      <c r="I17" s="3383">
        <f t="shared" si="130"/>
        <v>701.33333333333326</v>
      </c>
      <c r="J17" s="3384">
        <f t="shared" si="130"/>
        <v>689.33333333333337</v>
      </c>
      <c r="K17" s="390"/>
      <c r="L17" s="390"/>
      <c r="M17" s="390"/>
      <c r="N17" s="3383">
        <f t="shared" si="130"/>
        <v>48.333333333333329</v>
      </c>
      <c r="O17" s="3383">
        <f t="shared" si="130"/>
        <v>48.333333333333329</v>
      </c>
      <c r="P17" s="3383">
        <f t="shared" si="130"/>
        <v>48.333333333333329</v>
      </c>
      <c r="Q17" s="3383">
        <f t="shared" si="130"/>
        <v>48.333333333333329</v>
      </c>
      <c r="R17" s="3385">
        <f t="shared" si="130"/>
        <v>48.333333333333329</v>
      </c>
      <c r="S17" s="390"/>
      <c r="T17" s="390"/>
      <c r="U17" s="390"/>
      <c r="V17" s="3383">
        <f t="shared" si="130"/>
        <v>73.333333333333329</v>
      </c>
      <c r="W17" s="3383">
        <f t="shared" si="130"/>
        <v>73.333333333333329</v>
      </c>
      <c r="X17" s="3383">
        <f t="shared" si="130"/>
        <v>73.333333333333329</v>
      </c>
      <c r="Y17" s="3383">
        <f t="shared" si="130"/>
        <v>73.333333333333329</v>
      </c>
      <c r="Z17" s="3384">
        <f t="shared" si="130"/>
        <v>73.333333333333329</v>
      </c>
      <c r="AA17" s="390"/>
      <c r="AB17" s="390"/>
      <c r="AC17" s="390"/>
      <c r="AD17" s="3383">
        <f t="shared" si="130"/>
        <v>0</v>
      </c>
      <c r="AE17" s="3383">
        <f t="shared" si="130"/>
        <v>0</v>
      </c>
      <c r="AF17" s="3383">
        <f t="shared" si="130"/>
        <v>0</v>
      </c>
      <c r="AG17" s="3383">
        <f t="shared" si="130"/>
        <v>0</v>
      </c>
      <c r="AH17" s="3384">
        <f t="shared" si="130"/>
        <v>0</v>
      </c>
      <c r="AI17" s="390"/>
      <c r="AJ17" s="390"/>
      <c r="AK17" s="390"/>
      <c r="AL17" s="3383">
        <f t="shared" si="130"/>
        <v>290</v>
      </c>
      <c r="AM17" s="3383">
        <f t="shared" si="130"/>
        <v>135</v>
      </c>
      <c r="AN17" s="3383">
        <f t="shared" si="130"/>
        <v>130</v>
      </c>
      <c r="AO17" s="3383">
        <f t="shared" si="130"/>
        <v>155</v>
      </c>
      <c r="AP17" s="3384">
        <f t="shared" si="130"/>
        <v>155</v>
      </c>
      <c r="AQ17" s="390"/>
      <c r="AR17" s="390"/>
      <c r="AS17" s="390"/>
      <c r="AT17" s="3383">
        <f t="shared" ref="AT17:AX17" si="131">AT18+AT19</f>
        <v>1066</v>
      </c>
      <c r="AU17" s="3383">
        <f t="shared" si="131"/>
        <v>916.00000000000011</v>
      </c>
      <c r="AV17" s="3383">
        <f t="shared" si="131"/>
        <v>942</v>
      </c>
      <c r="AW17" s="3383">
        <f t="shared" si="131"/>
        <v>978</v>
      </c>
      <c r="AX17" s="3384">
        <f t="shared" si="131"/>
        <v>966.00000000000011</v>
      </c>
      <c r="AY17" s="4488"/>
      <c r="AZ17" s="3"/>
      <c r="BA17" s="3"/>
      <c r="BB17" s="3"/>
      <c r="BC17" s="4504">
        <f t="shared" si="96"/>
        <v>334.55532092939234</v>
      </c>
      <c r="BD17" s="4504">
        <f t="shared" si="97"/>
        <v>337.1117803353734</v>
      </c>
      <c r="BE17" s="4504">
        <f t="shared" si="98"/>
        <v>352.96182865245612</v>
      </c>
      <c r="BF17" s="4504">
        <f t="shared" si="99"/>
        <v>358.58603934561455</v>
      </c>
      <c r="BG17" s="4504">
        <f t="shared" si="100"/>
        <v>352.45053677125998</v>
      </c>
      <c r="BH17" s="3"/>
      <c r="BI17" s="3"/>
      <c r="BJ17" s="3"/>
      <c r="BK17" s="4504">
        <f t="shared" si="101"/>
        <v>24.712440924483893</v>
      </c>
      <c r="BL17" s="4504">
        <f t="shared" si="102"/>
        <v>24.712440924483893</v>
      </c>
      <c r="BM17" s="4504">
        <f t="shared" si="103"/>
        <v>24.712440924483893</v>
      </c>
      <c r="BN17" s="4504">
        <f t="shared" si="104"/>
        <v>24.712440924483893</v>
      </c>
      <c r="BO17" s="4504">
        <f t="shared" si="105"/>
        <v>24.712440924483893</v>
      </c>
      <c r="BP17" s="3"/>
      <c r="BQ17" s="3"/>
      <c r="BR17" s="3"/>
      <c r="BS17" s="4504">
        <f t="shared" si="106"/>
        <v>37.494737954389358</v>
      </c>
      <c r="BT17" s="4504">
        <f t="shared" si="107"/>
        <v>37.494737954389358</v>
      </c>
      <c r="BU17" s="4504">
        <f t="shared" si="108"/>
        <v>37.494737954389358</v>
      </c>
      <c r="BV17" s="4504">
        <f t="shared" si="109"/>
        <v>37.494737954389358</v>
      </c>
      <c r="BW17" s="4504">
        <f t="shared" si="110"/>
        <v>37.494737954389358</v>
      </c>
      <c r="BX17" s="3"/>
      <c r="BY17" s="3"/>
      <c r="BZ17" s="3"/>
      <c r="CA17" s="4504">
        <f t="shared" si="111"/>
        <v>0</v>
      </c>
      <c r="CB17" s="4504">
        <f t="shared" si="112"/>
        <v>0</v>
      </c>
      <c r="CC17" s="4504">
        <f t="shared" si="113"/>
        <v>0</v>
      </c>
      <c r="CD17" s="4504">
        <f t="shared" si="114"/>
        <v>0</v>
      </c>
      <c r="CE17" s="4504">
        <f t="shared" si="115"/>
        <v>0</v>
      </c>
      <c r="CF17" s="3"/>
      <c r="CG17" s="3"/>
      <c r="CH17" s="3"/>
      <c r="CI17" s="4504">
        <f t="shared" si="116"/>
        <v>148.27464554690337</v>
      </c>
      <c r="CJ17" s="4504">
        <f t="shared" si="117"/>
        <v>69.024403961489497</v>
      </c>
      <c r="CK17" s="4504">
        <f t="shared" si="118"/>
        <v>66.46794455550841</v>
      </c>
      <c r="CL17" s="4504">
        <f t="shared" si="119"/>
        <v>79.25024158541386</v>
      </c>
      <c r="CM17" s="4504">
        <f t="shared" si="120"/>
        <v>79.25024158541386</v>
      </c>
      <c r="CN17" s="3"/>
      <c r="CO17" s="3"/>
      <c r="CP17" s="3"/>
      <c r="CQ17" s="4504">
        <f t="shared" si="121"/>
        <v>545.03714535516895</v>
      </c>
      <c r="CR17" s="4504">
        <f t="shared" si="122"/>
        <v>468.34336317573621</v>
      </c>
      <c r="CS17" s="4504">
        <f t="shared" si="123"/>
        <v>481.63695208683782</v>
      </c>
      <c r="CT17" s="4504">
        <f t="shared" si="124"/>
        <v>500.04345980990166</v>
      </c>
      <c r="CU17" s="4504">
        <f t="shared" si="125"/>
        <v>493.90795723554714</v>
      </c>
    </row>
    <row r="18" spans="1:99" s="660" customFormat="1">
      <c r="A18" s="2455" t="s">
        <v>955</v>
      </c>
      <c r="B18" s="2445" t="s">
        <v>949</v>
      </c>
      <c r="C18" s="390"/>
      <c r="D18" s="390"/>
      <c r="E18" s="390"/>
      <c r="F18" s="3375">
        <f>'9.Инвестиционна програма'!R153</f>
        <v>654.33333333333337</v>
      </c>
      <c r="G18" s="3375">
        <f>'9.Инвестиционна програма'!S153</f>
        <v>659.33333333333337</v>
      </c>
      <c r="H18" s="3375">
        <f>'9.Инвестиционна програма'!T153</f>
        <v>690.33333333333326</v>
      </c>
      <c r="I18" s="3375">
        <f>'9.Инвестиционна програма'!U153</f>
        <v>701.33333333333326</v>
      </c>
      <c r="J18" s="3376">
        <f>'9.Инвестиционна програма'!V153</f>
        <v>689.33333333333337</v>
      </c>
      <c r="K18" s="390"/>
      <c r="L18" s="390"/>
      <c r="M18" s="390"/>
      <c r="N18" s="3375">
        <f>'9.Инвестиционна програма'!R154</f>
        <v>48.333333333333329</v>
      </c>
      <c r="O18" s="3375">
        <f>'9.Инвестиционна програма'!S154</f>
        <v>48.333333333333329</v>
      </c>
      <c r="P18" s="3375">
        <f>'9.Инвестиционна програма'!T154</f>
        <v>48.333333333333329</v>
      </c>
      <c r="Q18" s="3375">
        <f>'9.Инвестиционна програма'!U154</f>
        <v>48.333333333333329</v>
      </c>
      <c r="R18" s="3377">
        <f>'9.Инвестиционна програма'!V154</f>
        <v>48.333333333333329</v>
      </c>
      <c r="S18" s="390"/>
      <c r="T18" s="390"/>
      <c r="U18" s="390"/>
      <c r="V18" s="3375">
        <f>'9.Инвестиционна програма'!R155</f>
        <v>73.333333333333329</v>
      </c>
      <c r="W18" s="3375">
        <f>'9.Инвестиционна програма'!S155</f>
        <v>73.333333333333329</v>
      </c>
      <c r="X18" s="3375">
        <f>'9.Инвестиционна програма'!T155</f>
        <v>73.333333333333329</v>
      </c>
      <c r="Y18" s="3375">
        <f>'9.Инвестиционна програма'!U155</f>
        <v>73.333333333333329</v>
      </c>
      <c r="Z18" s="3376">
        <f>'9.Инвестиционна програма'!V155</f>
        <v>73.333333333333329</v>
      </c>
      <c r="AA18" s="390"/>
      <c r="AB18" s="390"/>
      <c r="AC18" s="390"/>
      <c r="AD18" s="3375">
        <f>'9.Инвестиционна програма'!R156</f>
        <v>0</v>
      </c>
      <c r="AE18" s="3375">
        <f>'9.Инвестиционна програма'!S156</f>
        <v>0</v>
      </c>
      <c r="AF18" s="3375">
        <f>'9.Инвестиционна програма'!T156</f>
        <v>0</v>
      </c>
      <c r="AG18" s="3375">
        <f>'9.Инвестиционна програма'!U156</f>
        <v>0</v>
      </c>
      <c r="AH18" s="3376">
        <f>'9.Инвестиционна програма'!V156</f>
        <v>0</v>
      </c>
      <c r="AI18" s="390"/>
      <c r="AJ18" s="390"/>
      <c r="AK18" s="390"/>
      <c r="AL18" s="3375">
        <f>'9.Инвестиционна програма'!R157</f>
        <v>290</v>
      </c>
      <c r="AM18" s="3375">
        <f>'9.Инвестиционна програма'!S157</f>
        <v>135</v>
      </c>
      <c r="AN18" s="3375">
        <f>'9.Инвестиционна програма'!T157</f>
        <v>130</v>
      </c>
      <c r="AO18" s="3375">
        <f>'9.Инвестиционна програма'!U157</f>
        <v>155</v>
      </c>
      <c r="AP18" s="3376">
        <f>'9.Инвестиционна програма'!V157</f>
        <v>155</v>
      </c>
      <c r="AQ18" s="390"/>
      <c r="AR18" s="390"/>
      <c r="AS18" s="390"/>
      <c r="AT18" s="3375">
        <f t="shared" ref="AT18:AX19" si="132">F18+N18+V18+AD18+AL18</f>
        <v>1066</v>
      </c>
      <c r="AU18" s="3375">
        <f t="shared" si="132"/>
        <v>916.00000000000011</v>
      </c>
      <c r="AV18" s="3375">
        <f t="shared" si="132"/>
        <v>942</v>
      </c>
      <c r="AW18" s="3375">
        <f t="shared" si="132"/>
        <v>978</v>
      </c>
      <c r="AX18" s="3376">
        <f t="shared" si="132"/>
        <v>966.00000000000011</v>
      </c>
      <c r="AY18" s="4488"/>
      <c r="AZ18" s="3"/>
      <c r="BA18" s="3"/>
      <c r="BB18" s="3"/>
      <c r="BC18" s="4504">
        <f t="shared" si="96"/>
        <v>334.55532092939234</v>
      </c>
      <c r="BD18" s="4504">
        <f t="shared" si="97"/>
        <v>337.1117803353734</v>
      </c>
      <c r="BE18" s="4504">
        <f t="shared" si="98"/>
        <v>352.96182865245612</v>
      </c>
      <c r="BF18" s="4504">
        <f t="shared" si="99"/>
        <v>358.58603934561455</v>
      </c>
      <c r="BG18" s="4504">
        <f t="shared" si="100"/>
        <v>352.45053677125998</v>
      </c>
      <c r="BH18" s="3"/>
      <c r="BI18" s="3"/>
      <c r="BJ18" s="3"/>
      <c r="BK18" s="4504">
        <f t="shared" si="101"/>
        <v>24.712440924483893</v>
      </c>
      <c r="BL18" s="4504">
        <f t="shared" si="102"/>
        <v>24.712440924483893</v>
      </c>
      <c r="BM18" s="4504">
        <f t="shared" si="103"/>
        <v>24.712440924483893</v>
      </c>
      <c r="BN18" s="4504">
        <f t="shared" si="104"/>
        <v>24.712440924483893</v>
      </c>
      <c r="BO18" s="4504">
        <f t="shared" si="105"/>
        <v>24.712440924483893</v>
      </c>
      <c r="BP18" s="3"/>
      <c r="BQ18" s="3"/>
      <c r="BR18" s="3"/>
      <c r="BS18" s="4504">
        <f t="shared" si="106"/>
        <v>37.494737954389358</v>
      </c>
      <c r="BT18" s="4504">
        <f t="shared" si="107"/>
        <v>37.494737954389358</v>
      </c>
      <c r="BU18" s="4504">
        <f t="shared" si="108"/>
        <v>37.494737954389358</v>
      </c>
      <c r="BV18" s="4504">
        <f t="shared" si="109"/>
        <v>37.494737954389358</v>
      </c>
      <c r="BW18" s="4504">
        <f t="shared" si="110"/>
        <v>37.494737954389358</v>
      </c>
      <c r="BX18" s="3"/>
      <c r="BY18" s="3"/>
      <c r="BZ18" s="3"/>
      <c r="CA18" s="4504">
        <f t="shared" si="111"/>
        <v>0</v>
      </c>
      <c r="CB18" s="4504">
        <f t="shared" si="112"/>
        <v>0</v>
      </c>
      <c r="CC18" s="4504">
        <f t="shared" si="113"/>
        <v>0</v>
      </c>
      <c r="CD18" s="4504">
        <f t="shared" si="114"/>
        <v>0</v>
      </c>
      <c r="CE18" s="4504">
        <f t="shared" si="115"/>
        <v>0</v>
      </c>
      <c r="CF18" s="3"/>
      <c r="CG18" s="3"/>
      <c r="CH18" s="3"/>
      <c r="CI18" s="4504">
        <f t="shared" si="116"/>
        <v>148.27464554690337</v>
      </c>
      <c r="CJ18" s="4504">
        <f t="shared" si="117"/>
        <v>69.024403961489497</v>
      </c>
      <c r="CK18" s="4504">
        <f t="shared" si="118"/>
        <v>66.46794455550841</v>
      </c>
      <c r="CL18" s="4504">
        <f t="shared" si="119"/>
        <v>79.25024158541386</v>
      </c>
      <c r="CM18" s="4504">
        <f t="shared" si="120"/>
        <v>79.25024158541386</v>
      </c>
      <c r="CN18" s="3"/>
      <c r="CO18" s="3"/>
      <c r="CP18" s="3"/>
      <c r="CQ18" s="4504">
        <f t="shared" si="121"/>
        <v>545.03714535516895</v>
      </c>
      <c r="CR18" s="4504">
        <f t="shared" si="122"/>
        <v>468.34336317573621</v>
      </c>
      <c r="CS18" s="4504">
        <f t="shared" si="123"/>
        <v>481.63695208683782</v>
      </c>
      <c r="CT18" s="4504">
        <f t="shared" si="124"/>
        <v>500.04345980990166</v>
      </c>
      <c r="CU18" s="4504">
        <f t="shared" si="125"/>
        <v>493.90795723554714</v>
      </c>
    </row>
    <row r="19" spans="1:99" s="660" customFormat="1" ht="13.8" thickBot="1">
      <c r="A19" s="4204" t="s">
        <v>954</v>
      </c>
      <c r="B19" s="4205" t="s">
        <v>950</v>
      </c>
      <c r="C19" s="4013"/>
      <c r="D19" s="4013"/>
      <c r="E19" s="4013"/>
      <c r="F19" s="3875">
        <f>'9.Инвестиционна програма'!Z153+'9.Инвестиционна програма'!AH153</f>
        <v>0</v>
      </c>
      <c r="G19" s="3875">
        <f>'9.Инвестиционна програма'!AA153+'9.Инвестиционна програма'!AI153</f>
        <v>0</v>
      </c>
      <c r="H19" s="3875">
        <f>'9.Инвестиционна програма'!AB153+'9.Инвестиционна програма'!AJ153</f>
        <v>0</v>
      </c>
      <c r="I19" s="3875">
        <f>'9.Инвестиционна програма'!AC153+'9.Инвестиционна програма'!AK153</f>
        <v>0</v>
      </c>
      <c r="J19" s="3876">
        <f>'9.Инвестиционна програма'!AD153+'9.Инвестиционна програма'!AL153</f>
        <v>0</v>
      </c>
      <c r="K19" s="4013"/>
      <c r="L19" s="4013"/>
      <c r="M19" s="4013"/>
      <c r="N19" s="3875">
        <f>'9.Инвестиционна програма'!Z154+'9.Инвестиционна програма'!AH154</f>
        <v>0</v>
      </c>
      <c r="O19" s="3875">
        <f>'9.Инвестиционна програма'!AA154+'9.Инвестиционна програма'!AI154</f>
        <v>0</v>
      </c>
      <c r="P19" s="3875">
        <f>'9.Инвестиционна програма'!AB154+'9.Инвестиционна програма'!AJ154</f>
        <v>0</v>
      </c>
      <c r="Q19" s="3875">
        <f>'9.Инвестиционна програма'!AC154+'9.Инвестиционна програма'!AK154</f>
        <v>0</v>
      </c>
      <c r="R19" s="4206">
        <f>'9.Инвестиционна програма'!AD154+'9.Инвестиционна програма'!AL154</f>
        <v>0</v>
      </c>
      <c r="S19" s="4013"/>
      <c r="T19" s="4013"/>
      <c r="U19" s="4013"/>
      <c r="V19" s="3875">
        <f>'9.Инвестиционна програма'!Z155+'9.Инвестиционна програма'!AH155</f>
        <v>0</v>
      </c>
      <c r="W19" s="3875">
        <f>'9.Инвестиционна програма'!AA155+'9.Инвестиционна програма'!AI155</f>
        <v>0</v>
      </c>
      <c r="X19" s="3875">
        <f>'9.Инвестиционна програма'!AB155+'9.Инвестиционна програма'!AJ155</f>
        <v>0</v>
      </c>
      <c r="Y19" s="3875">
        <f>'9.Инвестиционна програма'!AC155+'9.Инвестиционна програма'!AK155</f>
        <v>0</v>
      </c>
      <c r="Z19" s="3876">
        <f>'9.Инвестиционна програма'!AD155+'9.Инвестиционна програма'!AL155</f>
        <v>0</v>
      </c>
      <c r="AA19" s="4013"/>
      <c r="AB19" s="4013"/>
      <c r="AC19" s="4013"/>
      <c r="AD19" s="3875">
        <f>'9.Инвестиционна програма'!Z156+'9.Инвестиционна програма'!AH156</f>
        <v>0</v>
      </c>
      <c r="AE19" s="3875">
        <f>'9.Инвестиционна програма'!AA156+'9.Инвестиционна програма'!AI156</f>
        <v>0</v>
      </c>
      <c r="AF19" s="3875">
        <f>'9.Инвестиционна програма'!AB156+'9.Инвестиционна програма'!AJ156</f>
        <v>0</v>
      </c>
      <c r="AG19" s="3875">
        <f>'9.Инвестиционна програма'!AC156+'9.Инвестиционна програма'!AK156</f>
        <v>0</v>
      </c>
      <c r="AH19" s="3876">
        <f>'9.Инвестиционна програма'!AD156+'9.Инвестиционна програма'!AL156</f>
        <v>0</v>
      </c>
      <c r="AI19" s="4013"/>
      <c r="AJ19" s="4013"/>
      <c r="AK19" s="4013"/>
      <c r="AL19" s="3875">
        <f>'9.Инвестиционна програма'!Z157+'9.Инвестиционна програма'!AH157</f>
        <v>0</v>
      </c>
      <c r="AM19" s="3875">
        <f>'9.Инвестиционна програма'!AA157+'9.Инвестиционна програма'!AI157</f>
        <v>0</v>
      </c>
      <c r="AN19" s="3875">
        <f>'9.Инвестиционна програма'!AB157+'9.Инвестиционна програма'!AJ157</f>
        <v>0</v>
      </c>
      <c r="AO19" s="3875">
        <f>'9.Инвестиционна програма'!AC157+'9.Инвестиционна програма'!AK157</f>
        <v>0</v>
      </c>
      <c r="AP19" s="3876">
        <f>'9.Инвестиционна програма'!AD157+'9.Инвестиционна програма'!AL157</f>
        <v>0</v>
      </c>
      <c r="AQ19" s="4013"/>
      <c r="AR19" s="4013"/>
      <c r="AS19" s="4013"/>
      <c r="AT19" s="3875">
        <f t="shared" si="132"/>
        <v>0</v>
      </c>
      <c r="AU19" s="3875">
        <f t="shared" si="132"/>
        <v>0</v>
      </c>
      <c r="AV19" s="3875">
        <f t="shared" si="132"/>
        <v>0</v>
      </c>
      <c r="AW19" s="3875">
        <f t="shared" si="132"/>
        <v>0</v>
      </c>
      <c r="AX19" s="3876">
        <f t="shared" si="132"/>
        <v>0</v>
      </c>
      <c r="AY19" s="4488"/>
      <c r="AZ19" s="3"/>
      <c r="BA19" s="3"/>
      <c r="BB19" s="3"/>
      <c r="BC19" s="4504">
        <f t="shared" si="96"/>
        <v>0</v>
      </c>
      <c r="BD19" s="4504">
        <f t="shared" si="97"/>
        <v>0</v>
      </c>
      <c r="BE19" s="4504">
        <f t="shared" si="98"/>
        <v>0</v>
      </c>
      <c r="BF19" s="4504">
        <f t="shared" si="99"/>
        <v>0</v>
      </c>
      <c r="BG19" s="4504">
        <f t="shared" si="100"/>
        <v>0</v>
      </c>
      <c r="BH19" s="3"/>
      <c r="BI19" s="3"/>
      <c r="BJ19" s="3"/>
      <c r="BK19" s="4504">
        <f t="shared" si="101"/>
        <v>0</v>
      </c>
      <c r="BL19" s="4504">
        <f t="shared" si="102"/>
        <v>0</v>
      </c>
      <c r="BM19" s="4504">
        <f t="shared" si="103"/>
        <v>0</v>
      </c>
      <c r="BN19" s="4504">
        <f t="shared" si="104"/>
        <v>0</v>
      </c>
      <c r="BO19" s="4504">
        <f t="shared" si="105"/>
        <v>0</v>
      </c>
      <c r="BP19" s="3"/>
      <c r="BQ19" s="3"/>
      <c r="BR19" s="3"/>
      <c r="BS19" s="4504">
        <f t="shared" si="106"/>
        <v>0</v>
      </c>
      <c r="BT19" s="4504">
        <f t="shared" si="107"/>
        <v>0</v>
      </c>
      <c r="BU19" s="4504">
        <f t="shared" si="108"/>
        <v>0</v>
      </c>
      <c r="BV19" s="4504">
        <f t="shared" si="109"/>
        <v>0</v>
      </c>
      <c r="BW19" s="4504">
        <f t="shared" si="110"/>
        <v>0</v>
      </c>
      <c r="BX19" s="3"/>
      <c r="BY19" s="3"/>
      <c r="BZ19" s="3"/>
      <c r="CA19" s="4504">
        <f t="shared" si="111"/>
        <v>0</v>
      </c>
      <c r="CB19" s="4504">
        <f t="shared" si="112"/>
        <v>0</v>
      </c>
      <c r="CC19" s="4504">
        <f t="shared" si="113"/>
        <v>0</v>
      </c>
      <c r="CD19" s="4504">
        <f t="shared" si="114"/>
        <v>0</v>
      </c>
      <c r="CE19" s="4504">
        <f t="shared" si="115"/>
        <v>0</v>
      </c>
      <c r="CF19" s="3"/>
      <c r="CG19" s="3"/>
      <c r="CH19" s="3"/>
      <c r="CI19" s="4504">
        <f t="shared" si="116"/>
        <v>0</v>
      </c>
      <c r="CJ19" s="4504">
        <f t="shared" si="117"/>
        <v>0</v>
      </c>
      <c r="CK19" s="4504">
        <f t="shared" si="118"/>
        <v>0</v>
      </c>
      <c r="CL19" s="4504">
        <f t="shared" si="119"/>
        <v>0</v>
      </c>
      <c r="CM19" s="4504">
        <f t="shared" si="120"/>
        <v>0</v>
      </c>
      <c r="CN19" s="3"/>
      <c r="CO19" s="3"/>
      <c r="CP19" s="3"/>
      <c r="CQ19" s="4504">
        <f t="shared" si="121"/>
        <v>0</v>
      </c>
      <c r="CR19" s="4504">
        <f t="shared" si="122"/>
        <v>0</v>
      </c>
      <c r="CS19" s="4504">
        <f t="shared" si="123"/>
        <v>0</v>
      </c>
      <c r="CT19" s="4504">
        <f t="shared" si="124"/>
        <v>0</v>
      </c>
      <c r="CU19" s="4504">
        <f t="shared" si="125"/>
        <v>0</v>
      </c>
    </row>
    <row r="20" spans="1:99" s="1" customFormat="1" ht="13.8" thickBot="1">
      <c r="A20" s="1779"/>
      <c r="B20" s="2448"/>
      <c r="C20" s="3389"/>
      <c r="D20" s="3389"/>
      <c r="E20" s="3389"/>
      <c r="F20" s="3389"/>
      <c r="G20" s="3389"/>
      <c r="H20" s="3389"/>
      <c r="I20" s="3389"/>
      <c r="J20" s="3389"/>
      <c r="K20" s="3389"/>
      <c r="L20" s="3389"/>
      <c r="M20" s="3389"/>
      <c r="N20" s="3390"/>
      <c r="O20" s="3382"/>
      <c r="P20" s="3382"/>
      <c r="Q20" s="3382"/>
      <c r="R20" s="3382"/>
      <c r="S20" s="3389"/>
      <c r="T20" s="3389"/>
      <c r="U20" s="3389"/>
      <c r="V20" s="3382"/>
      <c r="W20" s="3382"/>
      <c r="X20" s="3382"/>
      <c r="Y20" s="3382"/>
      <c r="Z20" s="3382"/>
      <c r="AA20" s="3389"/>
      <c r="AB20" s="3389"/>
      <c r="AC20" s="3389"/>
      <c r="AD20" s="3382"/>
      <c r="AE20" s="3382"/>
      <c r="AF20" s="3382"/>
      <c r="AG20" s="3382"/>
      <c r="AH20" s="3382"/>
      <c r="AI20" s="3389"/>
      <c r="AJ20" s="3389"/>
      <c r="AK20" s="3389"/>
      <c r="AL20" s="3382"/>
      <c r="AM20" s="3382"/>
      <c r="AN20" s="3382"/>
      <c r="AO20" s="3382"/>
      <c r="AP20" s="3382"/>
      <c r="AQ20" s="3389"/>
      <c r="AR20" s="3389"/>
      <c r="AS20" s="3389"/>
      <c r="AT20" s="3382"/>
      <c r="AU20" s="3382"/>
      <c r="AV20" s="3382"/>
      <c r="AW20" s="3382"/>
      <c r="AX20" s="3382"/>
      <c r="AY20" s="4488"/>
    </row>
    <row r="21" spans="1:99" s="1" customFormat="1" ht="13.8" thickBot="1">
      <c r="A21" s="2458" t="s">
        <v>263</v>
      </c>
      <c r="B21" s="2459" t="s">
        <v>937</v>
      </c>
      <c r="C21" s="4207"/>
      <c r="D21" s="4207"/>
      <c r="E21" s="4207"/>
      <c r="F21" s="3391">
        <f t="shared" ref="F21:AX21" si="133">F13-F9</f>
        <v>0</v>
      </c>
      <c r="G21" s="3391">
        <f t="shared" si="133"/>
        <v>0</v>
      </c>
      <c r="H21" s="3391">
        <f t="shared" si="133"/>
        <v>0</v>
      </c>
      <c r="I21" s="3391">
        <f t="shared" si="133"/>
        <v>0</v>
      </c>
      <c r="J21" s="3393">
        <f t="shared" si="133"/>
        <v>0</v>
      </c>
      <c r="K21" s="4207"/>
      <c r="L21" s="4207"/>
      <c r="M21" s="4207"/>
      <c r="N21" s="3391">
        <f t="shared" si="133"/>
        <v>0</v>
      </c>
      <c r="O21" s="3391">
        <f t="shared" si="133"/>
        <v>0</v>
      </c>
      <c r="P21" s="3391">
        <f t="shared" si="133"/>
        <v>0</v>
      </c>
      <c r="Q21" s="3391">
        <f t="shared" si="133"/>
        <v>0</v>
      </c>
      <c r="R21" s="3392">
        <f t="shared" si="133"/>
        <v>0</v>
      </c>
      <c r="S21" s="4207"/>
      <c r="T21" s="4207"/>
      <c r="U21" s="4207"/>
      <c r="V21" s="3391">
        <f t="shared" si="133"/>
        <v>0</v>
      </c>
      <c r="W21" s="3391">
        <f t="shared" si="133"/>
        <v>0</v>
      </c>
      <c r="X21" s="3391">
        <f t="shared" si="133"/>
        <v>0</v>
      </c>
      <c r="Y21" s="3391">
        <f t="shared" si="133"/>
        <v>0</v>
      </c>
      <c r="Z21" s="3393">
        <f t="shared" si="133"/>
        <v>0</v>
      </c>
      <c r="AA21" s="4207"/>
      <c r="AB21" s="4207"/>
      <c r="AC21" s="4207"/>
      <c r="AD21" s="3391">
        <f t="shared" si="133"/>
        <v>0</v>
      </c>
      <c r="AE21" s="3391">
        <f t="shared" si="133"/>
        <v>0</v>
      </c>
      <c r="AF21" s="3391">
        <f t="shared" si="133"/>
        <v>0</v>
      </c>
      <c r="AG21" s="3391">
        <f t="shared" si="133"/>
        <v>0</v>
      </c>
      <c r="AH21" s="3393">
        <f t="shared" si="133"/>
        <v>0</v>
      </c>
      <c r="AI21" s="4207"/>
      <c r="AJ21" s="4207"/>
      <c r="AK21" s="4207"/>
      <c r="AL21" s="3391">
        <f t="shared" si="133"/>
        <v>0</v>
      </c>
      <c r="AM21" s="3391">
        <f t="shared" si="133"/>
        <v>0</v>
      </c>
      <c r="AN21" s="3391">
        <f t="shared" si="133"/>
        <v>0</v>
      </c>
      <c r="AO21" s="3391">
        <f t="shared" si="133"/>
        <v>0</v>
      </c>
      <c r="AP21" s="3393">
        <f t="shared" si="133"/>
        <v>0</v>
      </c>
      <c r="AQ21" s="4207"/>
      <c r="AR21" s="4207"/>
      <c r="AS21" s="4207"/>
      <c r="AT21" s="3391">
        <f t="shared" si="133"/>
        <v>0</v>
      </c>
      <c r="AU21" s="3391">
        <f t="shared" si="133"/>
        <v>0</v>
      </c>
      <c r="AV21" s="3391">
        <f t="shared" si="133"/>
        <v>0</v>
      </c>
      <c r="AW21" s="3391">
        <f t="shared" si="133"/>
        <v>0</v>
      </c>
      <c r="AX21" s="3393">
        <f t="shared" si="133"/>
        <v>0</v>
      </c>
      <c r="AY21" s="4488"/>
      <c r="AZ21" s="3"/>
      <c r="BA21" s="3"/>
      <c r="BB21" s="3"/>
      <c r="BC21" s="4504">
        <f t="shared" ref="BC21:BC22" si="134">IFERROR(F21/$C$1,0)</f>
        <v>0</v>
      </c>
      <c r="BD21" s="4504">
        <f t="shared" ref="BD21:BD22" si="135">IFERROR(G21/$C$1,0)</f>
        <v>0</v>
      </c>
      <c r="BE21" s="4504">
        <f t="shared" ref="BE21:BE22" si="136">IFERROR(H21/$C$1,0)</f>
        <v>0</v>
      </c>
      <c r="BF21" s="4504">
        <f t="shared" ref="BF21:BF22" si="137">IFERROR(I21/$C$1,0)</f>
        <v>0</v>
      </c>
      <c r="BG21" s="4504">
        <f t="shared" ref="BG21:BG22" si="138">IFERROR(J21/$C$1,0)</f>
        <v>0</v>
      </c>
      <c r="BH21" s="3"/>
      <c r="BI21" s="3"/>
      <c r="BJ21" s="3"/>
      <c r="BK21" s="4504">
        <f t="shared" ref="BK21:BK22" si="139">IFERROR(N21/$C$1,0)</f>
        <v>0</v>
      </c>
      <c r="BL21" s="4504">
        <f t="shared" ref="BL21:BL22" si="140">IFERROR(O21/$C$1,0)</f>
        <v>0</v>
      </c>
      <c r="BM21" s="4504">
        <f t="shared" ref="BM21:BM22" si="141">IFERROR(P21/$C$1,0)</f>
        <v>0</v>
      </c>
      <c r="BN21" s="4504">
        <f t="shared" ref="BN21:BN22" si="142">IFERROR(Q21/$C$1,0)</f>
        <v>0</v>
      </c>
      <c r="BO21" s="4504">
        <f t="shared" ref="BO21:BO22" si="143">IFERROR(R21/$C$1,0)</f>
        <v>0</v>
      </c>
      <c r="BP21" s="3"/>
      <c r="BQ21" s="3"/>
      <c r="BR21" s="3"/>
      <c r="BS21" s="4504">
        <f t="shared" ref="BS21:BS22" si="144">IFERROR(V21/$C$1,0)</f>
        <v>0</v>
      </c>
      <c r="BT21" s="4504">
        <f t="shared" ref="BT21:BT22" si="145">IFERROR(W21/$C$1,0)</f>
        <v>0</v>
      </c>
      <c r="BU21" s="4504">
        <f t="shared" ref="BU21:BU22" si="146">IFERROR(X21/$C$1,0)</f>
        <v>0</v>
      </c>
      <c r="BV21" s="4504">
        <f t="shared" ref="BV21:BV22" si="147">IFERROR(Y21/$C$1,0)</f>
        <v>0</v>
      </c>
      <c r="BW21" s="4504">
        <f t="shared" ref="BW21:BW22" si="148">IFERROR(Z21/$C$1,0)</f>
        <v>0</v>
      </c>
      <c r="BX21" s="3"/>
      <c r="BY21" s="3"/>
      <c r="BZ21" s="3"/>
      <c r="CA21" s="4504">
        <f t="shared" ref="CA21:CA22" si="149">IFERROR(AD21/$C$1,0)</f>
        <v>0</v>
      </c>
      <c r="CB21" s="4504">
        <f t="shared" ref="CB21:CB22" si="150">IFERROR(AE21/$C$1,0)</f>
        <v>0</v>
      </c>
      <c r="CC21" s="4504">
        <f t="shared" ref="CC21:CC22" si="151">IFERROR(AF21/$C$1,0)</f>
        <v>0</v>
      </c>
      <c r="CD21" s="4504">
        <f t="shared" ref="CD21:CD22" si="152">IFERROR(AG21/$C$1,0)</f>
        <v>0</v>
      </c>
      <c r="CE21" s="4504">
        <f t="shared" ref="CE21:CE22" si="153">IFERROR(AH21/$C$1,0)</f>
        <v>0</v>
      </c>
      <c r="CF21" s="3"/>
      <c r="CG21" s="3"/>
      <c r="CH21" s="3"/>
      <c r="CI21" s="4504">
        <f t="shared" ref="CI21:CI22" si="154">IFERROR(AL21/$C$1,0)</f>
        <v>0</v>
      </c>
      <c r="CJ21" s="4504">
        <f t="shared" ref="CJ21:CJ22" si="155">IFERROR(AM21/$C$1,0)</f>
        <v>0</v>
      </c>
      <c r="CK21" s="4504">
        <f t="shared" ref="CK21:CK22" si="156">IFERROR(AN21/$C$1,0)</f>
        <v>0</v>
      </c>
      <c r="CL21" s="4504">
        <f t="shared" ref="CL21:CL22" si="157">IFERROR(AO21/$C$1,0)</f>
        <v>0</v>
      </c>
      <c r="CM21" s="4504">
        <f t="shared" ref="CM21:CM22" si="158">IFERROR(AP21/$C$1,0)</f>
        <v>0</v>
      </c>
      <c r="CN21" s="3"/>
      <c r="CO21" s="3"/>
      <c r="CP21" s="3"/>
      <c r="CQ21" s="4504">
        <f t="shared" ref="CQ21:CQ22" si="159">IFERROR(AT21/$C$1,0)</f>
        <v>0</v>
      </c>
      <c r="CR21" s="4504">
        <f t="shared" ref="CR21:CR22" si="160">IFERROR(AU21/$C$1,0)</f>
        <v>0</v>
      </c>
      <c r="CS21" s="4504">
        <f t="shared" ref="CS21:CS22" si="161">IFERROR(AV21/$C$1,0)</f>
        <v>0</v>
      </c>
      <c r="CT21" s="4504">
        <f t="shared" ref="CT21:CT22" si="162">IFERROR(AW21/$C$1,0)</f>
        <v>0</v>
      </c>
      <c r="CU21" s="4504">
        <f t="shared" ref="CU21:CU22" si="163">IFERROR(AX21/$C$1,0)</f>
        <v>0</v>
      </c>
    </row>
    <row r="22" spans="1:99" s="1" customFormat="1" ht="24.6" thickBot="1">
      <c r="A22" s="2458" t="s">
        <v>264</v>
      </c>
      <c r="B22" s="2459" t="s">
        <v>982</v>
      </c>
      <c r="C22" s="4207"/>
      <c r="D22" s="4207"/>
      <c r="E22" s="4207"/>
      <c r="F22" s="3391">
        <f t="shared" ref="F22" si="164">F16+F19-F60-F71</f>
        <v>0</v>
      </c>
      <c r="G22" s="3391">
        <f>G16+G19-G60-G71</f>
        <v>0</v>
      </c>
      <c r="H22" s="3391">
        <f>H16+H19-H60-H71</f>
        <v>0</v>
      </c>
      <c r="I22" s="3391">
        <f t="shared" ref="I22:J22" si="165">I16+I19-I60-I71</f>
        <v>0</v>
      </c>
      <c r="J22" s="3392">
        <f t="shared" si="165"/>
        <v>0</v>
      </c>
      <c r="K22" s="4207"/>
      <c r="L22" s="4207"/>
      <c r="M22" s="4207"/>
      <c r="N22" s="3391">
        <f t="shared" ref="N22" si="166">N16+N19-N60-N71</f>
        <v>0</v>
      </c>
      <c r="O22" s="3391">
        <f>O16+O19-O60-O71</f>
        <v>0</v>
      </c>
      <c r="P22" s="3391">
        <f>P16+P19-P60-P71</f>
        <v>0</v>
      </c>
      <c r="Q22" s="3391">
        <f t="shared" ref="Q22:R22" si="167">Q16+Q19-Q60-Q71</f>
        <v>0</v>
      </c>
      <c r="R22" s="3392">
        <f t="shared" si="167"/>
        <v>0</v>
      </c>
      <c r="S22" s="4207"/>
      <c r="T22" s="4207"/>
      <c r="U22" s="4207"/>
      <c r="V22" s="3391">
        <f t="shared" ref="V22" si="168">V16+V19-V60-V71</f>
        <v>0</v>
      </c>
      <c r="W22" s="3391">
        <f>W16+W19-W60-W71</f>
        <v>0</v>
      </c>
      <c r="X22" s="3391">
        <f>X16+X19-X60-X71</f>
        <v>0</v>
      </c>
      <c r="Y22" s="3391">
        <f t="shared" ref="Y22:Z22" si="169">Y16+Y19-Y60-Y71</f>
        <v>0</v>
      </c>
      <c r="Z22" s="3393">
        <f t="shared" si="169"/>
        <v>0</v>
      </c>
      <c r="AA22" s="4207"/>
      <c r="AB22" s="4207"/>
      <c r="AC22" s="4207"/>
      <c r="AD22" s="3391">
        <f t="shared" ref="AD22" si="170">AD16+AD19-AD60-AD71</f>
        <v>0</v>
      </c>
      <c r="AE22" s="3391">
        <f>AE16+AE19-AE60-AE71</f>
        <v>0</v>
      </c>
      <c r="AF22" s="3391">
        <f>AF16+AF19-AF60-AF71</f>
        <v>0</v>
      </c>
      <c r="AG22" s="3391">
        <f t="shared" ref="AG22:AH22" si="171">AG16+AG19-AG60-AG71</f>
        <v>0</v>
      </c>
      <c r="AH22" s="3392">
        <f t="shared" si="171"/>
        <v>0</v>
      </c>
      <c r="AI22" s="4207"/>
      <c r="AJ22" s="4207"/>
      <c r="AK22" s="4207"/>
      <c r="AL22" s="3391">
        <f t="shared" ref="AL22" si="172">AL16+AL19-AL60-AL71</f>
        <v>0</v>
      </c>
      <c r="AM22" s="3391">
        <f>AM16+AM19-AM60-AM71</f>
        <v>0</v>
      </c>
      <c r="AN22" s="3391">
        <f>AN16+AN19-AN60-AN71</f>
        <v>0</v>
      </c>
      <c r="AO22" s="3391">
        <f t="shared" ref="AO22:AP22" si="173">AO16+AO19-AO60-AO71</f>
        <v>0</v>
      </c>
      <c r="AP22" s="3393">
        <f t="shared" si="173"/>
        <v>0</v>
      </c>
      <c r="AQ22" s="4207"/>
      <c r="AR22" s="4207"/>
      <c r="AS22" s="4207"/>
      <c r="AT22" s="3391">
        <f>AT16+AT19-AT60-AT71</f>
        <v>0</v>
      </c>
      <c r="AU22" s="3391">
        <f>AU16+AU19-AU60-AU71</f>
        <v>0</v>
      </c>
      <c r="AV22" s="3391">
        <f>AV16+AV19-AV60-AV71</f>
        <v>0</v>
      </c>
      <c r="AW22" s="3391">
        <f t="shared" ref="AW22:AX22" si="174">AW16+AW19-AW60-AW71</f>
        <v>0</v>
      </c>
      <c r="AX22" s="3393">
        <f t="shared" si="174"/>
        <v>0</v>
      </c>
      <c r="AY22" s="4488"/>
      <c r="AZ22" s="3"/>
      <c r="BA22" s="3"/>
      <c r="BB22" s="3"/>
      <c r="BC22" s="4504">
        <f t="shared" si="134"/>
        <v>0</v>
      </c>
      <c r="BD22" s="4504">
        <f t="shared" si="135"/>
        <v>0</v>
      </c>
      <c r="BE22" s="4504">
        <f t="shared" si="136"/>
        <v>0</v>
      </c>
      <c r="BF22" s="4504">
        <f t="shared" si="137"/>
        <v>0</v>
      </c>
      <c r="BG22" s="4504">
        <f t="shared" si="138"/>
        <v>0</v>
      </c>
      <c r="BH22" s="3"/>
      <c r="BI22" s="3"/>
      <c r="BJ22" s="3"/>
      <c r="BK22" s="4504">
        <f t="shared" si="139"/>
        <v>0</v>
      </c>
      <c r="BL22" s="4504">
        <f t="shared" si="140"/>
        <v>0</v>
      </c>
      <c r="BM22" s="4504">
        <f t="shared" si="141"/>
        <v>0</v>
      </c>
      <c r="BN22" s="4504">
        <f t="shared" si="142"/>
        <v>0</v>
      </c>
      <c r="BO22" s="4504">
        <f t="shared" si="143"/>
        <v>0</v>
      </c>
      <c r="BP22" s="3"/>
      <c r="BQ22" s="3"/>
      <c r="BR22" s="3"/>
      <c r="BS22" s="4504">
        <f t="shared" si="144"/>
        <v>0</v>
      </c>
      <c r="BT22" s="4504">
        <f t="shared" si="145"/>
        <v>0</v>
      </c>
      <c r="BU22" s="4504">
        <f t="shared" si="146"/>
        <v>0</v>
      </c>
      <c r="BV22" s="4504">
        <f t="shared" si="147"/>
        <v>0</v>
      </c>
      <c r="BW22" s="4504">
        <f t="shared" si="148"/>
        <v>0</v>
      </c>
      <c r="BX22" s="3"/>
      <c r="BY22" s="3"/>
      <c r="BZ22" s="3"/>
      <c r="CA22" s="4504">
        <f t="shared" si="149"/>
        <v>0</v>
      </c>
      <c r="CB22" s="4504">
        <f t="shared" si="150"/>
        <v>0</v>
      </c>
      <c r="CC22" s="4504">
        <f t="shared" si="151"/>
        <v>0</v>
      </c>
      <c r="CD22" s="4504">
        <f t="shared" si="152"/>
        <v>0</v>
      </c>
      <c r="CE22" s="4504">
        <f t="shared" si="153"/>
        <v>0</v>
      </c>
      <c r="CF22" s="3"/>
      <c r="CG22" s="3"/>
      <c r="CH22" s="3"/>
      <c r="CI22" s="4504">
        <f t="shared" si="154"/>
        <v>0</v>
      </c>
      <c r="CJ22" s="4504">
        <f t="shared" si="155"/>
        <v>0</v>
      </c>
      <c r="CK22" s="4504">
        <f t="shared" si="156"/>
        <v>0</v>
      </c>
      <c r="CL22" s="4504">
        <f t="shared" si="157"/>
        <v>0</v>
      </c>
      <c r="CM22" s="4504">
        <f t="shared" si="158"/>
        <v>0</v>
      </c>
      <c r="CN22" s="3"/>
      <c r="CO22" s="3"/>
      <c r="CP22" s="3"/>
      <c r="CQ22" s="4504">
        <f t="shared" si="159"/>
        <v>0</v>
      </c>
      <c r="CR22" s="4504">
        <f t="shared" si="160"/>
        <v>0</v>
      </c>
      <c r="CS22" s="4504">
        <f t="shared" si="161"/>
        <v>0</v>
      </c>
      <c r="CT22" s="4504">
        <f t="shared" si="162"/>
        <v>0</v>
      </c>
      <c r="CU22" s="4504">
        <f t="shared" si="163"/>
        <v>0</v>
      </c>
    </row>
    <row r="23" spans="1:99" s="1" customFormat="1" ht="7.5" customHeight="1" thickBot="1">
      <c r="A23" s="1779"/>
      <c r="B23" s="2460"/>
      <c r="C23" s="3394"/>
      <c r="D23" s="3394"/>
      <c r="E23" s="3394"/>
      <c r="F23" s="3394"/>
      <c r="G23" s="3394"/>
      <c r="H23" s="3394"/>
      <c r="I23" s="3394"/>
      <c r="J23" s="3394"/>
      <c r="K23" s="3394"/>
      <c r="L23" s="3394"/>
      <c r="M23" s="3394"/>
      <c r="N23" s="3394"/>
      <c r="O23" s="3394"/>
      <c r="P23" s="3394"/>
      <c r="Q23" s="3394"/>
      <c r="R23" s="3394"/>
      <c r="S23" s="3394"/>
      <c r="T23" s="3394"/>
      <c r="U23" s="3394"/>
      <c r="V23" s="3394"/>
      <c r="W23" s="3394"/>
      <c r="X23" s="3394"/>
      <c r="Y23" s="3394"/>
      <c r="Z23" s="3394"/>
      <c r="AA23" s="3394"/>
      <c r="AB23" s="3394"/>
      <c r="AC23" s="3394"/>
      <c r="AD23" s="3394"/>
      <c r="AE23" s="3394"/>
      <c r="AF23" s="3394"/>
      <c r="AG23" s="3394"/>
      <c r="AH23" s="3394"/>
      <c r="AI23" s="3394"/>
      <c r="AJ23" s="3394"/>
      <c r="AK23" s="3394"/>
      <c r="AL23" s="3394"/>
      <c r="AM23" s="3394"/>
      <c r="AN23" s="3394"/>
      <c r="AO23" s="3394"/>
      <c r="AP23" s="3394"/>
      <c r="AQ23" s="3394"/>
      <c r="AR23" s="3394"/>
      <c r="AS23" s="3394"/>
      <c r="AT23" s="3394"/>
      <c r="AU23" s="3394"/>
      <c r="AV23" s="3394"/>
      <c r="AW23" s="3394"/>
      <c r="AX23" s="3394"/>
      <c r="AY23" s="4488"/>
    </row>
    <row r="24" spans="1:99" s="1" customFormat="1" ht="24.6" thickBot="1">
      <c r="A24" s="2461">
        <v>4</v>
      </c>
      <c r="B24" s="389" t="s">
        <v>952</v>
      </c>
      <c r="C24" s="4207"/>
      <c r="D24" s="4207"/>
      <c r="E24" s="4207"/>
      <c r="F24" s="2462">
        <f t="shared" ref="F24:J24" si="175">+F39*F45+F50*F56+F61*F67+F72*F78</f>
        <v>107.29907800939424</v>
      </c>
      <c r="G24" s="2462">
        <f>+G39*G45+G50*G56+G61*G67+G72*G78</f>
        <v>107.29907800939424</v>
      </c>
      <c r="H24" s="2462">
        <f t="shared" si="175"/>
        <v>26.825134365042736</v>
      </c>
      <c r="I24" s="2462">
        <f t="shared" si="175"/>
        <v>0</v>
      </c>
      <c r="J24" s="2463">
        <f t="shared" si="175"/>
        <v>0</v>
      </c>
      <c r="K24" s="4207"/>
      <c r="L24" s="4207"/>
      <c r="M24" s="4207"/>
      <c r="N24" s="2462">
        <f t="shared" ref="N24:Q24" si="176">+N39*N45+N50*N56+N61*N67+N72*N78</f>
        <v>0</v>
      </c>
      <c r="O24" s="2462">
        <f t="shared" si="176"/>
        <v>0</v>
      </c>
      <c r="P24" s="2462">
        <f t="shared" si="176"/>
        <v>0</v>
      </c>
      <c r="Q24" s="2462">
        <f t="shared" si="176"/>
        <v>0</v>
      </c>
      <c r="R24" s="2463">
        <f>+R39*R45+R50*R56+R61*R67+R72*R78</f>
        <v>0</v>
      </c>
      <c r="S24" s="4207"/>
      <c r="T24" s="4207"/>
      <c r="U24" s="4207"/>
      <c r="V24" s="2462">
        <f t="shared" ref="V24:Z24" si="177">+V39*V45+V50*V56+V61*V67+V72*V78</f>
        <v>4.6686003760138499</v>
      </c>
      <c r="W24" s="2462">
        <f t="shared" si="177"/>
        <v>4.6686003760138499</v>
      </c>
      <c r="X24" s="2462">
        <f t="shared" si="177"/>
        <v>1.1671723856377991</v>
      </c>
      <c r="Y24" s="2462">
        <f t="shared" si="177"/>
        <v>0</v>
      </c>
      <c r="Z24" s="2464">
        <f t="shared" si="177"/>
        <v>0</v>
      </c>
      <c r="AA24" s="4207"/>
      <c r="AB24" s="4207"/>
      <c r="AC24" s="4207"/>
      <c r="AD24" s="2462">
        <f t="shared" ref="AD24:AH24" si="178">+AD39*AD45+AD50*AD56+AD61*AD67+AD72*AD78</f>
        <v>0</v>
      </c>
      <c r="AE24" s="2462">
        <f t="shared" si="178"/>
        <v>0</v>
      </c>
      <c r="AF24" s="2462">
        <f t="shared" si="178"/>
        <v>0</v>
      </c>
      <c r="AG24" s="2462">
        <f t="shared" si="178"/>
        <v>0</v>
      </c>
      <c r="AH24" s="2464">
        <f t="shared" si="178"/>
        <v>0</v>
      </c>
      <c r="AI24" s="4207"/>
      <c r="AJ24" s="4207"/>
      <c r="AK24" s="4207"/>
      <c r="AL24" s="2462">
        <f t="shared" ref="AL24:AP24" si="179">+AL39*AL45+AL50*AL56+AL61*AL67+AL72*AL78</f>
        <v>0</v>
      </c>
      <c r="AM24" s="2462">
        <f t="shared" si="179"/>
        <v>0</v>
      </c>
      <c r="AN24" s="2462">
        <f t="shared" si="179"/>
        <v>0</v>
      </c>
      <c r="AO24" s="2462">
        <f t="shared" si="179"/>
        <v>0</v>
      </c>
      <c r="AP24" s="2464">
        <f t="shared" si="179"/>
        <v>0</v>
      </c>
      <c r="AQ24" s="4207"/>
      <c r="AR24" s="4207"/>
      <c r="AS24" s="4207"/>
      <c r="AT24" s="2462">
        <f t="shared" ref="AT24" si="180">F24+N24+V24+AD24+AL24</f>
        <v>111.96767838540809</v>
      </c>
      <c r="AU24" s="2462">
        <f t="shared" ref="AU24" si="181">G24+O24+W24+AE24+AM24</f>
        <v>111.96767838540809</v>
      </c>
      <c r="AV24" s="2462">
        <f t="shared" ref="AV24" si="182">H24+P24+X24+AF24+AN24</f>
        <v>27.992306750680534</v>
      </c>
      <c r="AW24" s="2462">
        <f t="shared" ref="AW24" si="183">I24+Q24+Y24+AG24+AO24</f>
        <v>0</v>
      </c>
      <c r="AX24" s="2464">
        <f t="shared" ref="AX24" si="184">J24+R24+Z24+AH24+AP24</f>
        <v>0</v>
      </c>
      <c r="AY24" s="4488"/>
      <c r="AZ24" s="3"/>
      <c r="BA24" s="3"/>
      <c r="BB24" s="3"/>
      <c r="BC24" s="4504">
        <f>IFERROR(F24/$C$1,0)</f>
        <v>54.861147446042978</v>
      </c>
      <c r="BD24" s="4504">
        <f t="shared" ref="BD24" si="185">IFERROR(G24/$C$1,0)</f>
        <v>54.861147446042978</v>
      </c>
      <c r="BE24" s="4504">
        <f t="shared" ref="BE24" si="186">IFERROR(H24/$C$1,0)</f>
        <v>13.715473412844029</v>
      </c>
      <c r="BF24" s="4504">
        <f t="shared" ref="BF24" si="187">IFERROR(I24/$C$1,0)</f>
        <v>0</v>
      </c>
      <c r="BG24" s="4504">
        <f t="shared" ref="BG24" si="188">IFERROR(J24/$C$1,0)</f>
        <v>0</v>
      </c>
      <c r="BH24" s="3"/>
      <c r="BI24" s="3"/>
      <c r="BJ24" s="3"/>
      <c r="BK24" s="4504">
        <f>IFERROR(N24/$C$1,0)</f>
        <v>0</v>
      </c>
      <c r="BL24" s="4504">
        <f t="shared" ref="BL24" si="189">IFERROR(O24/$C$1,0)</f>
        <v>0</v>
      </c>
      <c r="BM24" s="4504">
        <f t="shared" ref="BM24" si="190">IFERROR(P24/$C$1,0)</f>
        <v>0</v>
      </c>
      <c r="BN24" s="4504">
        <f t="shared" ref="BN24" si="191">IFERROR(Q24/$C$1,0)</f>
        <v>0</v>
      </c>
      <c r="BO24" s="4504">
        <f t="shared" ref="BO24" si="192">IFERROR(R24/$C$1,0)</f>
        <v>0</v>
      </c>
      <c r="BP24" s="3"/>
      <c r="BQ24" s="3"/>
      <c r="BR24" s="3"/>
      <c r="BS24" s="4504">
        <f>IFERROR(V24/$C$1,0)</f>
        <v>2.3870174688054941</v>
      </c>
      <c r="BT24" s="4504">
        <f t="shared" ref="BT24" si="193">IFERROR(W24/$C$1,0)</f>
        <v>2.3870174688054941</v>
      </c>
      <c r="BU24" s="4504">
        <f t="shared" ref="BU24" si="194">IFERROR(X24/$C$1,0)</f>
        <v>0.59676576473302856</v>
      </c>
      <c r="BV24" s="4504">
        <f t="shared" ref="BV24" si="195">IFERROR(Y24/$C$1,0)</f>
        <v>0</v>
      </c>
      <c r="BW24" s="4504">
        <f t="shared" ref="BW24" si="196">IFERROR(Z24/$C$1,0)</f>
        <v>0</v>
      </c>
      <c r="BX24" s="3"/>
      <c r="BY24" s="3"/>
      <c r="BZ24" s="3"/>
      <c r="CA24" s="4504">
        <f>IFERROR(AD24/$C$1,0)</f>
        <v>0</v>
      </c>
      <c r="CB24" s="4504">
        <f t="shared" ref="CB24" si="197">IFERROR(AE24/$C$1,0)</f>
        <v>0</v>
      </c>
      <c r="CC24" s="4504">
        <f t="shared" ref="CC24" si="198">IFERROR(AF24/$C$1,0)</f>
        <v>0</v>
      </c>
      <c r="CD24" s="4504">
        <f t="shared" ref="CD24" si="199">IFERROR(AG24/$C$1,0)</f>
        <v>0</v>
      </c>
      <c r="CE24" s="4504">
        <f t="shared" ref="CE24" si="200">IFERROR(AH24/$C$1,0)</f>
        <v>0</v>
      </c>
      <c r="CF24" s="3"/>
      <c r="CG24" s="3"/>
      <c r="CH24" s="3"/>
      <c r="CI24" s="4504">
        <f>IFERROR(AL24/$C$1,0)</f>
        <v>0</v>
      </c>
      <c r="CJ24" s="4504">
        <f t="shared" ref="CJ24" si="201">IFERROR(AM24/$C$1,0)</f>
        <v>0</v>
      </c>
      <c r="CK24" s="4504">
        <f t="shared" ref="CK24" si="202">IFERROR(AN24/$C$1,0)</f>
        <v>0</v>
      </c>
      <c r="CL24" s="4504">
        <f t="shared" ref="CL24" si="203">IFERROR(AO24/$C$1,0)</f>
        <v>0</v>
      </c>
      <c r="CM24" s="4504">
        <f t="shared" ref="CM24" si="204">IFERROR(AP24/$C$1,0)</f>
        <v>0</v>
      </c>
      <c r="CN24" s="3"/>
      <c r="CO24" s="3"/>
      <c r="CP24" s="3"/>
      <c r="CQ24" s="4504">
        <f>IFERROR(AT24/$C$1,0)</f>
        <v>57.248164914848473</v>
      </c>
      <c r="CR24" s="4504">
        <f t="shared" ref="CR24" si="205">IFERROR(AU24/$C$1,0)</f>
        <v>57.248164914848473</v>
      </c>
      <c r="CS24" s="4504">
        <f t="shared" ref="CS24" si="206">IFERROR(AV24/$C$1,0)</f>
        <v>14.312239177577057</v>
      </c>
      <c r="CT24" s="4504">
        <f t="shared" ref="CT24" si="207">IFERROR(AW24/$C$1,0)</f>
        <v>0</v>
      </c>
      <c r="CU24" s="4504">
        <f t="shared" ref="CU24" si="208">IFERROR(AX24/$C$1,0)</f>
        <v>0</v>
      </c>
    </row>
    <row r="25" spans="1:99" s="1" customFormat="1" ht="13.8" thickBot="1">
      <c r="A25" s="1779"/>
      <c r="B25" s="2465"/>
      <c r="C25" s="3395"/>
      <c r="D25" s="3395"/>
      <c r="E25" s="3395"/>
      <c r="F25" s="3395"/>
      <c r="G25" s="3395"/>
      <c r="H25" s="3395"/>
      <c r="I25" s="3395"/>
      <c r="J25" s="3395"/>
      <c r="K25" s="3395"/>
      <c r="L25" s="3395"/>
      <c r="M25" s="3395"/>
      <c r="N25" s="3390"/>
      <c r="O25" s="3382"/>
      <c r="P25" s="3382"/>
      <c r="Q25" s="3382"/>
      <c r="R25" s="3382"/>
      <c r="S25" s="3395"/>
      <c r="T25" s="3395"/>
      <c r="U25" s="3395"/>
      <c r="V25" s="3382"/>
      <c r="W25" s="3382"/>
      <c r="X25" s="3382"/>
      <c r="Y25" s="3382"/>
      <c r="Z25" s="3382"/>
      <c r="AA25" s="3395"/>
      <c r="AB25" s="3395"/>
      <c r="AC25" s="3395"/>
      <c r="AD25" s="3382"/>
      <c r="AE25" s="3382"/>
      <c r="AF25" s="3382"/>
      <c r="AG25" s="3382"/>
      <c r="AH25" s="3382"/>
      <c r="AI25" s="3395"/>
      <c r="AJ25" s="3395"/>
      <c r="AK25" s="3395"/>
      <c r="AL25" s="3382"/>
      <c r="AM25" s="3382"/>
      <c r="AN25" s="3382"/>
      <c r="AO25" s="3382"/>
      <c r="AP25" s="3382"/>
      <c r="AQ25" s="3395"/>
      <c r="AR25" s="3395"/>
      <c r="AS25" s="3395"/>
      <c r="AT25" s="3382"/>
      <c r="AU25" s="3382"/>
      <c r="AV25" s="3382"/>
      <c r="AW25" s="3382"/>
      <c r="AX25" s="3382"/>
      <c r="AY25" s="4488"/>
    </row>
    <row r="26" spans="1:99" s="1" customFormat="1">
      <c r="A26" s="2466" t="s">
        <v>568</v>
      </c>
      <c r="B26" s="3877" t="s">
        <v>943</v>
      </c>
      <c r="C26" s="391"/>
      <c r="D26" s="391"/>
      <c r="E26" s="391"/>
      <c r="F26" s="3396">
        <f>'11. Амортиз. план'!G35</f>
        <v>152.54794037861484</v>
      </c>
      <c r="G26" s="3396">
        <f>'11. Амортиз. план'!H35</f>
        <v>156.32859616207406</v>
      </c>
      <c r="H26" s="3396">
        <f>'11. Амортиз. план'!I35</f>
        <v>161.35061836025824</v>
      </c>
      <c r="I26" s="3396">
        <f>'11. Амортиз. план'!J35</f>
        <v>167.60469068723475</v>
      </c>
      <c r="J26" s="3397">
        <f>'11. Амортиз. план'!K35</f>
        <v>172.05254154020071</v>
      </c>
      <c r="K26" s="391"/>
      <c r="L26" s="391"/>
      <c r="M26" s="391"/>
      <c r="N26" s="3396">
        <f>'11. Амортиз. план'!N35</f>
        <v>17.945983481185962</v>
      </c>
      <c r="O26" s="3396">
        <f>'11. Амортиз. план'!O35</f>
        <v>18.321887427440771</v>
      </c>
      <c r="P26" s="3396">
        <f>'11. Амортиз. план'!P35</f>
        <v>18.712718545833184</v>
      </c>
      <c r="Q26" s="3396">
        <f>'11. Амортиз. план'!Q35</f>
        <v>19.119385316511654</v>
      </c>
      <c r="R26" s="3398">
        <f>'11. Амортиз. план'!R35</f>
        <v>19.501823691510772</v>
      </c>
      <c r="S26" s="391"/>
      <c r="T26" s="391"/>
      <c r="U26" s="391"/>
      <c r="V26" s="3396">
        <f>'11. Амортиз. план'!U35</f>
        <v>18.108148920777261</v>
      </c>
      <c r="W26" s="3396">
        <f>'11. Амортиз. план'!V35</f>
        <v>18.571589191063225</v>
      </c>
      <c r="X26" s="3396">
        <f>'11. Амортиз. план'!W35</f>
        <v>19.078735874486608</v>
      </c>
      <c r="Y26" s="3396">
        <f>'11. Амортиз. план'!X35</f>
        <v>19.63799677683166</v>
      </c>
      <c r="Z26" s="3397">
        <f>'11. Амортиз. план'!Y35</f>
        <v>20.127707548866596</v>
      </c>
      <c r="AA26" s="391"/>
      <c r="AB26" s="391"/>
      <c r="AC26" s="391"/>
      <c r="AD26" s="3396">
        <f>'11. Амортиз. план'!AB35</f>
        <v>0</v>
      </c>
      <c r="AE26" s="3396">
        <f>'11. Амортиз. план'!AC35</f>
        <v>0</v>
      </c>
      <c r="AF26" s="3396">
        <f>'11. Амортиз. план'!AD35</f>
        <v>0</v>
      </c>
      <c r="AG26" s="3396">
        <f>'11. Амортиз. план'!AE35</f>
        <v>0</v>
      </c>
      <c r="AH26" s="3397">
        <f>'11. Амортиз. план'!AF35</f>
        <v>0</v>
      </c>
      <c r="AI26" s="391"/>
      <c r="AJ26" s="391"/>
      <c r="AK26" s="391"/>
      <c r="AL26" s="3396">
        <f>'11. Амортиз. план'!AI35</f>
        <v>22.874057870592878</v>
      </c>
      <c r="AM26" s="3396">
        <f>'11. Амортиз. план'!AJ35</f>
        <v>23.474057870592876</v>
      </c>
      <c r="AN26" s="3396">
        <f>'11. Амортиз. план'!AK35</f>
        <v>24.074057870592881</v>
      </c>
      <c r="AO26" s="3396">
        <f>'11. Амортиз. план'!AL35</f>
        <v>24.674057870592872</v>
      </c>
      <c r="AP26" s="3397">
        <f>'11. Амортиз. план'!AM35</f>
        <v>25.274057870592888</v>
      </c>
      <c r="AQ26" s="391"/>
      <c r="AR26" s="391"/>
      <c r="AS26" s="391"/>
      <c r="AT26" s="3396">
        <f t="shared" ref="AT26:AX26" si="209">F26+N26+V26+AD26+AL26</f>
        <v>211.47613065117096</v>
      </c>
      <c r="AU26" s="3396">
        <f t="shared" si="209"/>
        <v>216.69613065117093</v>
      </c>
      <c r="AV26" s="3396">
        <f t="shared" si="209"/>
        <v>223.21613065117089</v>
      </c>
      <c r="AW26" s="3396">
        <f t="shared" si="209"/>
        <v>231.03613065117094</v>
      </c>
      <c r="AX26" s="3397">
        <f t="shared" si="209"/>
        <v>236.95613065117095</v>
      </c>
      <c r="AY26" s="4488"/>
      <c r="AZ26" s="3"/>
      <c r="BA26" s="3"/>
      <c r="BB26" s="3"/>
      <c r="BC26" s="4504">
        <f t="shared" ref="BC26:BC31" si="210">IFERROR(F26/$C$1,0)</f>
        <v>77.996523408790566</v>
      </c>
      <c r="BD26" s="4504">
        <f t="shared" ref="BD26:BD31" si="211">IFERROR(G26/$C$1,0)</f>
        <v>79.929542016470791</v>
      </c>
      <c r="BE26" s="4504">
        <f t="shared" ref="BE26:BE31" si="212">IFERROR(H26/$C$1,0)</f>
        <v>82.497261193589551</v>
      </c>
      <c r="BF26" s="4504">
        <f t="shared" ref="BF26:BF31" si="213">IFERROR(I26/$C$1,0)</f>
        <v>85.694917598786574</v>
      </c>
      <c r="BG26" s="4504">
        <f t="shared" ref="BG26:BG31" si="214">IFERROR(J26/$C$1,0)</f>
        <v>87.969067628679753</v>
      </c>
      <c r="BH26" s="3"/>
      <c r="BI26" s="3"/>
      <c r="BJ26" s="3"/>
      <c r="BK26" s="4504">
        <f t="shared" ref="BK26:BK31" si="215">IFERROR(N26/$C$1,0)</f>
        <v>9.1756356540118329</v>
      </c>
      <c r="BL26" s="4504">
        <f t="shared" ref="BL26:BL31" si="216">IFERROR(O26/$C$1,0)</f>
        <v>9.3678322898415356</v>
      </c>
      <c r="BM26" s="4504">
        <f t="shared" ref="BM26:BM31" si="217">IFERROR(P26/$C$1,0)</f>
        <v>9.5676610675944147</v>
      </c>
      <c r="BN26" s="4504">
        <f t="shared" ref="BN26:BN31" si="218">IFERROR(Q26/$C$1,0)</f>
        <v>9.7755864857946015</v>
      </c>
      <c r="BO26" s="4504">
        <f t="shared" ref="BO26:BO31" si="219">IFERROR(R26/$C$1,0)</f>
        <v>9.9711241219895257</v>
      </c>
      <c r="BP26" s="3"/>
      <c r="BQ26" s="3"/>
      <c r="BR26" s="3"/>
      <c r="BS26" s="4504">
        <f t="shared" ref="BS26:BS31" si="220">IFERROR(V26/$C$1,0)</f>
        <v>9.2585495266854796</v>
      </c>
      <c r="BT26" s="4504">
        <f t="shared" ref="BT26:BT31" si="221">IFERROR(W26/$C$1,0)</f>
        <v>9.4955027743020732</v>
      </c>
      <c r="BU26" s="4504">
        <f t="shared" ref="BU26:BU31" si="222">IFERROR(X26/$C$1,0)</f>
        <v>9.7548027561120385</v>
      </c>
      <c r="BV26" s="4504">
        <f t="shared" ref="BV26:BV31" si="223">IFERROR(Y26/$C$1,0)</f>
        <v>10.040748314951534</v>
      </c>
      <c r="BW26" s="4504">
        <f t="shared" ref="BW26:BW31" si="224">IFERROR(Z26/$C$1,0)</f>
        <v>10.29113345682733</v>
      </c>
      <c r="BX26" s="3"/>
      <c r="BY26" s="3"/>
      <c r="BZ26" s="3"/>
      <c r="CA26" s="4504">
        <f t="shared" ref="CA26:CA31" si="225">IFERROR(AD26/$C$1,0)</f>
        <v>0</v>
      </c>
      <c r="CB26" s="4504">
        <f t="shared" ref="CB26:CB31" si="226">IFERROR(AE26/$C$1,0)</f>
        <v>0</v>
      </c>
      <c r="CC26" s="4504">
        <f t="shared" ref="CC26:CC31" si="227">IFERROR(AF26/$C$1,0)</f>
        <v>0</v>
      </c>
      <c r="CD26" s="4504">
        <f t="shared" ref="CD26:CD31" si="228">IFERROR(AG26/$C$1,0)</f>
        <v>0</v>
      </c>
      <c r="CE26" s="4504">
        <f t="shared" ref="CE26:CE31" si="229">IFERROR(AH26/$C$1,0)</f>
        <v>0</v>
      </c>
      <c r="CF26" s="3"/>
      <c r="CG26" s="3"/>
      <c r="CH26" s="3"/>
      <c r="CI26" s="4504">
        <f t="shared" ref="CI26:CI31" si="230">IFERROR(AL26/$C$1,0)</f>
        <v>11.695320079246601</v>
      </c>
      <c r="CJ26" s="4504">
        <f t="shared" ref="CJ26:CJ31" si="231">IFERROR(AM26/$C$1,0)</f>
        <v>12.002095207964331</v>
      </c>
      <c r="CK26" s="4504">
        <f t="shared" ref="CK26:CK31" si="232">IFERROR(AN26/$C$1,0)</f>
        <v>12.308870336682064</v>
      </c>
      <c r="CL26" s="4504">
        <f t="shared" ref="CL26:CL31" si="233">IFERROR(AO26/$C$1,0)</f>
        <v>12.61564546539979</v>
      </c>
      <c r="CM26" s="4504">
        <f t="shared" ref="CM26:CM31" si="234">IFERROR(AP26/$C$1,0)</f>
        <v>12.922420594117529</v>
      </c>
      <c r="CN26" s="3"/>
      <c r="CO26" s="3"/>
      <c r="CP26" s="3"/>
      <c r="CQ26" s="4504">
        <f t="shared" ref="CQ26:CQ31" si="235">IFERROR(AT26/$C$1,0)</f>
        <v>108.12602866873448</v>
      </c>
      <c r="CR26" s="4504">
        <f t="shared" ref="CR26:CR31" si="236">IFERROR(AU26/$C$1,0)</f>
        <v>110.79497228857873</v>
      </c>
      <c r="CS26" s="4504">
        <f t="shared" ref="CS26:CS31" si="237">IFERROR(AV26/$C$1,0)</f>
        <v>114.12859535397806</v>
      </c>
      <c r="CT26" s="4504">
        <f t="shared" ref="CT26:CT31" si="238">IFERROR(AW26/$C$1,0)</f>
        <v>118.1268978649325</v>
      </c>
      <c r="CU26" s="4504">
        <f t="shared" ref="CU26:CU31" si="239">IFERROR(AX26/$C$1,0)</f>
        <v>121.15374580161412</v>
      </c>
    </row>
    <row r="27" spans="1:99" s="1" customFormat="1" ht="24">
      <c r="A27" s="2467" t="s">
        <v>569</v>
      </c>
      <c r="B27" s="896" t="s">
        <v>942</v>
      </c>
      <c r="C27" s="390"/>
      <c r="D27" s="390"/>
      <c r="E27" s="390"/>
      <c r="F27" s="2468">
        <f t="shared" ref="F27:AP27" si="240">F26-F15</f>
        <v>141.54794037861484</v>
      </c>
      <c r="G27" s="2468">
        <f t="shared" si="240"/>
        <v>147.32859616207406</v>
      </c>
      <c r="H27" s="2468">
        <f t="shared" si="240"/>
        <v>146.0172850269249</v>
      </c>
      <c r="I27" s="2468">
        <f t="shared" si="240"/>
        <v>154.27135735390141</v>
      </c>
      <c r="J27" s="2469">
        <f t="shared" si="240"/>
        <v>163.05254154020071</v>
      </c>
      <c r="K27" s="390"/>
      <c r="L27" s="390"/>
      <c r="M27" s="390"/>
      <c r="N27" s="2468">
        <f t="shared" si="240"/>
        <v>5.9459834811859622</v>
      </c>
      <c r="O27" s="2468">
        <f t="shared" si="240"/>
        <v>8.321887427440771</v>
      </c>
      <c r="P27" s="2468">
        <f t="shared" si="240"/>
        <v>2.3793852124998516</v>
      </c>
      <c r="Q27" s="2468">
        <f t="shared" si="240"/>
        <v>4.7860519831783215</v>
      </c>
      <c r="R27" s="2470">
        <f t="shared" si="240"/>
        <v>9.5018236915107721</v>
      </c>
      <c r="S27" s="390"/>
      <c r="T27" s="390"/>
      <c r="U27" s="390"/>
      <c r="V27" s="2468">
        <f t="shared" si="240"/>
        <v>7.1081489207772606</v>
      </c>
      <c r="W27" s="2468">
        <f t="shared" si="240"/>
        <v>9.5715891910632251</v>
      </c>
      <c r="X27" s="2468">
        <f t="shared" si="240"/>
        <v>3.7454025411532754</v>
      </c>
      <c r="Y27" s="2468">
        <f t="shared" si="240"/>
        <v>6.3046634434983275</v>
      </c>
      <c r="Z27" s="2469">
        <f t="shared" si="240"/>
        <v>11.127707548866596</v>
      </c>
      <c r="AA27" s="390"/>
      <c r="AB27" s="390"/>
      <c r="AC27" s="390"/>
      <c r="AD27" s="2468">
        <f t="shared" si="240"/>
        <v>0</v>
      </c>
      <c r="AE27" s="2468">
        <f t="shared" si="240"/>
        <v>0</v>
      </c>
      <c r="AF27" s="2468">
        <f t="shared" si="240"/>
        <v>0</v>
      </c>
      <c r="AG27" s="2468">
        <f t="shared" si="240"/>
        <v>0</v>
      </c>
      <c r="AH27" s="2469">
        <f t="shared" si="240"/>
        <v>0</v>
      </c>
      <c r="AI27" s="390"/>
      <c r="AJ27" s="390"/>
      <c r="AK27" s="390"/>
      <c r="AL27" s="2468">
        <f t="shared" si="240"/>
        <v>16.874057870592878</v>
      </c>
      <c r="AM27" s="2468">
        <f t="shared" si="240"/>
        <v>17.474057870592876</v>
      </c>
      <c r="AN27" s="2468">
        <f t="shared" si="240"/>
        <v>18.074057870592881</v>
      </c>
      <c r="AO27" s="2468">
        <f t="shared" si="240"/>
        <v>18.674057870592872</v>
      </c>
      <c r="AP27" s="2469">
        <f t="shared" si="240"/>
        <v>19.274057870592888</v>
      </c>
      <c r="AQ27" s="390"/>
      <c r="AR27" s="390"/>
      <c r="AS27" s="390"/>
      <c r="AT27" s="2468">
        <f t="shared" ref="AT27:AX27" si="241">AT26-AT15</f>
        <v>171.47613065117096</v>
      </c>
      <c r="AU27" s="2468">
        <f t="shared" si="241"/>
        <v>182.69613065117093</v>
      </c>
      <c r="AV27" s="2468">
        <f t="shared" si="241"/>
        <v>170.21613065117089</v>
      </c>
      <c r="AW27" s="2468">
        <f t="shared" si="241"/>
        <v>184.03613065117094</v>
      </c>
      <c r="AX27" s="2469">
        <f t="shared" si="241"/>
        <v>202.95613065117095</v>
      </c>
      <c r="AY27" s="4488"/>
      <c r="AZ27" s="3"/>
      <c r="BA27" s="3"/>
      <c r="BB27" s="3"/>
      <c r="BC27" s="4504">
        <f t="shared" si="210"/>
        <v>72.372312715632162</v>
      </c>
      <c r="BD27" s="4504">
        <f t="shared" si="211"/>
        <v>75.327915085704831</v>
      </c>
      <c r="BE27" s="4504">
        <f t="shared" si="212"/>
        <v>74.657452348580861</v>
      </c>
      <c r="BF27" s="4504">
        <f t="shared" si="213"/>
        <v>78.877692516170328</v>
      </c>
      <c r="BG27" s="4504">
        <f t="shared" si="214"/>
        <v>83.367440697913779</v>
      </c>
      <c r="BH27" s="3"/>
      <c r="BI27" s="3"/>
      <c r="BJ27" s="3"/>
      <c r="BK27" s="4504">
        <f t="shared" si="215"/>
        <v>3.0401330796572106</v>
      </c>
      <c r="BL27" s="4504">
        <f t="shared" si="216"/>
        <v>4.2549134778793514</v>
      </c>
      <c r="BM27" s="4504">
        <f t="shared" si="217"/>
        <v>1.2165603413895132</v>
      </c>
      <c r="BN27" s="4504">
        <f t="shared" si="218"/>
        <v>2.4470695219821361</v>
      </c>
      <c r="BO27" s="4504">
        <f t="shared" si="219"/>
        <v>4.8582053100273397</v>
      </c>
      <c r="BP27" s="3"/>
      <c r="BQ27" s="3"/>
      <c r="BR27" s="3"/>
      <c r="BS27" s="4504">
        <f t="shared" si="220"/>
        <v>3.6343388335270759</v>
      </c>
      <c r="BT27" s="4504">
        <f t="shared" si="221"/>
        <v>4.8938758435361081</v>
      </c>
      <c r="BU27" s="4504">
        <f t="shared" si="222"/>
        <v>1.9149939111033554</v>
      </c>
      <c r="BV27" s="4504">
        <f t="shared" si="223"/>
        <v>3.2235232323352885</v>
      </c>
      <c r="BW27" s="4504">
        <f t="shared" si="224"/>
        <v>5.6895065260613631</v>
      </c>
      <c r="BX27" s="3"/>
      <c r="BY27" s="3"/>
      <c r="BZ27" s="3"/>
      <c r="CA27" s="4504">
        <f t="shared" si="225"/>
        <v>0</v>
      </c>
      <c r="CB27" s="4504">
        <f t="shared" si="226"/>
        <v>0</v>
      </c>
      <c r="CC27" s="4504">
        <f t="shared" si="227"/>
        <v>0</v>
      </c>
      <c r="CD27" s="4504">
        <f t="shared" si="228"/>
        <v>0</v>
      </c>
      <c r="CE27" s="4504">
        <f t="shared" si="229"/>
        <v>0</v>
      </c>
      <c r="CF27" s="3"/>
      <c r="CG27" s="3"/>
      <c r="CH27" s="3"/>
      <c r="CI27" s="4504">
        <f t="shared" si="230"/>
        <v>8.6275687920692903</v>
      </c>
      <c r="CJ27" s="4504">
        <f t="shared" si="231"/>
        <v>8.9343439207870201</v>
      </c>
      <c r="CK27" s="4504">
        <f t="shared" si="232"/>
        <v>9.2411190495047535</v>
      </c>
      <c r="CL27" s="4504">
        <f t="shared" si="233"/>
        <v>9.5478941782224798</v>
      </c>
      <c r="CM27" s="4504">
        <f t="shared" si="234"/>
        <v>9.8546693069402185</v>
      </c>
      <c r="CN27" s="3"/>
      <c r="CO27" s="3"/>
      <c r="CP27" s="3"/>
      <c r="CQ27" s="4504">
        <f t="shared" si="235"/>
        <v>87.674353420885751</v>
      </c>
      <c r="CR27" s="4504">
        <f t="shared" si="236"/>
        <v>93.411048327907295</v>
      </c>
      <c r="CS27" s="4504">
        <f t="shared" si="237"/>
        <v>87.030125650578469</v>
      </c>
      <c r="CT27" s="4504">
        <f t="shared" si="238"/>
        <v>94.096179448710231</v>
      </c>
      <c r="CU27" s="4504">
        <f t="shared" si="239"/>
        <v>103.7698218409427</v>
      </c>
    </row>
    <row r="28" spans="1:99" s="1" customFormat="1" ht="22.8">
      <c r="A28" s="2467" t="s">
        <v>956</v>
      </c>
      <c r="B28" s="3878" t="s">
        <v>944</v>
      </c>
      <c r="C28" s="390"/>
      <c r="D28" s="390"/>
      <c r="E28" s="390"/>
      <c r="F28" s="3399">
        <f>'11. Амортиз. план'!G131</f>
        <v>242.49251506462986</v>
      </c>
      <c r="G28" s="3399">
        <f>'11. Амортиз. план'!H131</f>
        <v>273.01399123267618</v>
      </c>
      <c r="H28" s="3399">
        <f>'11. Амортиз. план'!I131</f>
        <v>304.40800104464404</v>
      </c>
      <c r="I28" s="3399">
        <f>'11. Амортиз. план'!J131</f>
        <v>337.32702924966594</v>
      </c>
      <c r="J28" s="3400">
        <f>'11. Амортиз. план'!K131</f>
        <v>369.9912308247853</v>
      </c>
      <c r="K28" s="390"/>
      <c r="L28" s="390"/>
      <c r="M28" s="390"/>
      <c r="N28" s="3399">
        <f>'11. Амортиз. план'!N131</f>
        <v>2.0324880673606445</v>
      </c>
      <c r="O28" s="3399">
        <f>'11. Амортиз. план'!O131</f>
        <v>2.3049593094386145</v>
      </c>
      <c r="P28" s="3399">
        <f>'11. Амортиз. план'!P131</f>
        <v>2.6050096393590039</v>
      </c>
      <c r="Q28" s="3399">
        <f>'11. Амортиз. план'!Q131</f>
        <v>2.9116864115098871</v>
      </c>
      <c r="R28" s="3401">
        <f>'11. Амортиз. план'!R131</f>
        <v>3.2258642573829102</v>
      </c>
      <c r="S28" s="390"/>
      <c r="T28" s="390"/>
      <c r="U28" s="390"/>
      <c r="V28" s="3399">
        <f>'11. Амортиз. план'!U131</f>
        <v>35.753185122475927</v>
      </c>
      <c r="W28" s="3399">
        <f>'11. Амортиз. план'!V131</f>
        <v>37.449237712351618</v>
      </c>
      <c r="X28" s="3399">
        <f>'11. Амортиз. план'!W131</f>
        <v>39.285177570463446</v>
      </c>
      <c r="Y28" s="3399">
        <f>'11. Амортиз. план'!X131</f>
        <v>41.169472593290656</v>
      </c>
      <c r="Z28" s="3400">
        <f>'11. Амортиз. план'!Y131</f>
        <v>43.091093172298237</v>
      </c>
      <c r="AA28" s="390"/>
      <c r="AB28" s="390"/>
      <c r="AC28" s="390"/>
      <c r="AD28" s="3399">
        <f>'11. Амортиз. план'!AB131</f>
        <v>0</v>
      </c>
      <c r="AE28" s="3399">
        <f>'11. Амортиз. план'!AC131</f>
        <v>0</v>
      </c>
      <c r="AF28" s="3399">
        <f>'11. Амортиз. план'!AD131</f>
        <v>0</v>
      </c>
      <c r="AG28" s="3399">
        <f>'11. Амортиз. план'!AE131</f>
        <v>0</v>
      </c>
      <c r="AH28" s="3400">
        <f>'11. Амортиз. план'!AF131</f>
        <v>0</v>
      </c>
      <c r="AI28" s="390"/>
      <c r="AJ28" s="390"/>
      <c r="AK28" s="390"/>
      <c r="AL28" s="3399">
        <f>'11. Амортиз. план'!AI131</f>
        <v>27.728701945533619</v>
      </c>
      <c r="AM28" s="3399">
        <f>'11. Амортиз. план'!AJ131</f>
        <v>36.678701945533618</v>
      </c>
      <c r="AN28" s="3399">
        <f>'11. Амортиз. план'!AK131</f>
        <v>42.528701945533619</v>
      </c>
      <c r="AO28" s="3399">
        <f>'11. Амортиз. план'!AL131</f>
        <v>48.578701945533624</v>
      </c>
      <c r="AP28" s="3400">
        <f>'11. Амортиз. план'!AM131</f>
        <v>54.878701945533621</v>
      </c>
      <c r="AQ28" s="390"/>
      <c r="AR28" s="390"/>
      <c r="AS28" s="390"/>
      <c r="AT28" s="3399">
        <f t="shared" ref="AT28:AX31" si="242">F28+N28+V28+AD28+AL28</f>
        <v>308.00689020000004</v>
      </c>
      <c r="AU28" s="3399">
        <f t="shared" si="242"/>
        <v>349.44689019999998</v>
      </c>
      <c r="AV28" s="3399">
        <f t="shared" si="242"/>
        <v>388.82689020000009</v>
      </c>
      <c r="AW28" s="3399">
        <f t="shared" si="242"/>
        <v>429.98689020000012</v>
      </c>
      <c r="AX28" s="3400">
        <f t="shared" si="242"/>
        <v>471.18689020000011</v>
      </c>
      <c r="AY28" s="4488"/>
      <c r="AZ28" s="3"/>
      <c r="BA28" s="3"/>
      <c r="BB28" s="3"/>
      <c r="BC28" s="4504">
        <f t="shared" si="210"/>
        <v>123.98445420339695</v>
      </c>
      <c r="BD28" s="4504">
        <f t="shared" si="211"/>
        <v>139.5898371702429</v>
      </c>
      <c r="BE28" s="4504">
        <f t="shared" si="212"/>
        <v>155.64133950529649</v>
      </c>
      <c r="BF28" s="4504">
        <f t="shared" si="213"/>
        <v>172.47257136339351</v>
      </c>
      <c r="BG28" s="4504">
        <f t="shared" si="214"/>
        <v>189.17351243450878</v>
      </c>
      <c r="BH28" s="3"/>
      <c r="BI28" s="3"/>
      <c r="BJ28" s="3"/>
      <c r="BK28" s="4504">
        <f t="shared" si="215"/>
        <v>1.0391946474696903</v>
      </c>
      <c r="BL28" s="4504">
        <f t="shared" si="216"/>
        <v>1.178506981403606</v>
      </c>
      <c r="BM28" s="4504">
        <f t="shared" si="217"/>
        <v>1.3319202790421478</v>
      </c>
      <c r="BN28" s="4504">
        <f t="shared" si="218"/>
        <v>1.4887216227943569</v>
      </c>
      <c r="BO28" s="4504">
        <f t="shared" si="219"/>
        <v>1.6493582046409505</v>
      </c>
      <c r="BP28" s="3"/>
      <c r="BQ28" s="3"/>
      <c r="BR28" s="3"/>
      <c r="BS28" s="4504">
        <f t="shared" si="220"/>
        <v>18.280313280027368</v>
      </c>
      <c r="BT28" s="4504">
        <f t="shared" si="221"/>
        <v>19.147491199312629</v>
      </c>
      <c r="BU28" s="4504">
        <f t="shared" si="222"/>
        <v>20.086192343129746</v>
      </c>
      <c r="BV28" s="4504">
        <f t="shared" si="223"/>
        <v>21.049617090079739</v>
      </c>
      <c r="BW28" s="4504">
        <f t="shared" si="224"/>
        <v>22.032126090865891</v>
      </c>
      <c r="BX28" s="3"/>
      <c r="BY28" s="3"/>
      <c r="BZ28" s="3"/>
      <c r="CA28" s="4504">
        <f t="shared" si="225"/>
        <v>0</v>
      </c>
      <c r="CB28" s="4504">
        <f t="shared" si="226"/>
        <v>0</v>
      </c>
      <c r="CC28" s="4504">
        <f t="shared" si="227"/>
        <v>0</v>
      </c>
      <c r="CD28" s="4504">
        <f t="shared" si="228"/>
        <v>0</v>
      </c>
      <c r="CE28" s="4504">
        <f t="shared" si="229"/>
        <v>0</v>
      </c>
      <c r="CF28" s="3"/>
      <c r="CG28" s="3"/>
      <c r="CH28" s="3"/>
      <c r="CI28" s="4504">
        <f t="shared" si="230"/>
        <v>14.177460180861127</v>
      </c>
      <c r="CJ28" s="4504">
        <f t="shared" si="231"/>
        <v>18.753522517567284</v>
      </c>
      <c r="CK28" s="4504">
        <f t="shared" si="232"/>
        <v>21.744580022565163</v>
      </c>
      <c r="CL28" s="4504">
        <f t="shared" si="233"/>
        <v>24.837895903802284</v>
      </c>
      <c r="CM28" s="4504">
        <f t="shared" si="234"/>
        <v>28.059034755338462</v>
      </c>
      <c r="CN28" s="3"/>
      <c r="CO28" s="3"/>
      <c r="CP28" s="3"/>
      <c r="CQ28" s="4504">
        <f t="shared" si="235"/>
        <v>157.48142231175513</v>
      </c>
      <c r="CR28" s="4504">
        <f t="shared" si="236"/>
        <v>178.66935786852639</v>
      </c>
      <c r="CS28" s="4504">
        <f t="shared" si="237"/>
        <v>198.80403215003355</v>
      </c>
      <c r="CT28" s="4504">
        <f t="shared" si="238"/>
        <v>219.8488059800699</v>
      </c>
      <c r="CU28" s="4504">
        <f t="shared" si="239"/>
        <v>240.91403148535412</v>
      </c>
    </row>
    <row r="29" spans="1:99" s="1" customFormat="1" ht="36">
      <c r="A29" s="2467" t="s">
        <v>957</v>
      </c>
      <c r="B29" s="896" t="s">
        <v>945</v>
      </c>
      <c r="C29" s="390"/>
      <c r="D29" s="390"/>
      <c r="E29" s="390"/>
      <c r="F29" s="2468">
        <f t="shared" ref="F29:AP29" si="243">F28-F18-F24</f>
        <v>-519.13989627809769</v>
      </c>
      <c r="G29" s="2468">
        <f>G28-G18-G24</f>
        <v>-493.61842011005143</v>
      </c>
      <c r="H29" s="2468">
        <f t="shared" si="243"/>
        <v>-412.75046665373196</v>
      </c>
      <c r="I29" s="2468">
        <f t="shared" si="243"/>
        <v>-364.00630408366732</v>
      </c>
      <c r="J29" s="2469">
        <f t="shared" si="243"/>
        <v>-319.34210250854807</v>
      </c>
      <c r="K29" s="390"/>
      <c r="L29" s="390"/>
      <c r="M29" s="390"/>
      <c r="N29" s="2468">
        <f t="shared" si="243"/>
        <v>-46.300845265972683</v>
      </c>
      <c r="O29" s="2468">
        <f t="shared" si="243"/>
        <v>-46.028374023894713</v>
      </c>
      <c r="P29" s="2468">
        <f t="shared" si="243"/>
        <v>-45.728323693974325</v>
      </c>
      <c r="Q29" s="2468">
        <f t="shared" si="243"/>
        <v>-45.421646921823438</v>
      </c>
      <c r="R29" s="2470">
        <f t="shared" si="243"/>
        <v>-45.107469075950419</v>
      </c>
      <c r="S29" s="390"/>
      <c r="T29" s="390"/>
      <c r="U29" s="390"/>
      <c r="V29" s="2468">
        <f t="shared" si="243"/>
        <v>-42.248748586871251</v>
      </c>
      <c r="W29" s="2468">
        <f t="shared" si="243"/>
        <v>-40.55269599699556</v>
      </c>
      <c r="X29" s="2468">
        <f t="shared" si="243"/>
        <v>-35.21532814850768</v>
      </c>
      <c r="Y29" s="2468">
        <f t="shared" si="243"/>
        <v>-32.163860740042672</v>
      </c>
      <c r="Z29" s="2469">
        <f t="shared" si="243"/>
        <v>-30.242240161035092</v>
      </c>
      <c r="AA29" s="390"/>
      <c r="AB29" s="390"/>
      <c r="AC29" s="390"/>
      <c r="AD29" s="2468">
        <f t="shared" si="243"/>
        <v>0</v>
      </c>
      <c r="AE29" s="2468">
        <f t="shared" si="243"/>
        <v>0</v>
      </c>
      <c r="AF29" s="2468">
        <f t="shared" si="243"/>
        <v>0</v>
      </c>
      <c r="AG29" s="2468">
        <f t="shared" si="243"/>
        <v>0</v>
      </c>
      <c r="AH29" s="2469">
        <f t="shared" si="243"/>
        <v>0</v>
      </c>
      <c r="AI29" s="390"/>
      <c r="AJ29" s="390"/>
      <c r="AK29" s="390"/>
      <c r="AL29" s="2468">
        <f t="shared" si="243"/>
        <v>-262.2712980544664</v>
      </c>
      <c r="AM29" s="2468">
        <f t="shared" si="243"/>
        <v>-98.321298054466382</v>
      </c>
      <c r="AN29" s="2468">
        <f t="shared" si="243"/>
        <v>-87.471298054466388</v>
      </c>
      <c r="AO29" s="2468">
        <f t="shared" si="243"/>
        <v>-106.42129805446638</v>
      </c>
      <c r="AP29" s="2469">
        <f t="shared" si="243"/>
        <v>-100.12129805446638</v>
      </c>
      <c r="AQ29" s="390"/>
      <c r="AR29" s="390"/>
      <c r="AS29" s="390"/>
      <c r="AT29" s="2468">
        <f t="shared" si="242"/>
        <v>-869.96078818540809</v>
      </c>
      <c r="AU29" s="2468">
        <f t="shared" si="242"/>
        <v>-678.52078818540815</v>
      </c>
      <c r="AV29" s="2468">
        <f t="shared" si="242"/>
        <v>-581.16541655068045</v>
      </c>
      <c r="AW29" s="2468">
        <f t="shared" si="242"/>
        <v>-548.01310979999971</v>
      </c>
      <c r="AX29" s="2469">
        <f t="shared" si="242"/>
        <v>-494.81310979999995</v>
      </c>
      <c r="AY29" s="4488"/>
      <c r="AZ29" s="3"/>
      <c r="BA29" s="3"/>
      <c r="BB29" s="3"/>
      <c r="BC29" s="4504">
        <f t="shared" si="210"/>
        <v>-265.43201417203829</v>
      </c>
      <c r="BD29" s="4504">
        <f t="shared" si="211"/>
        <v>-252.38309061117349</v>
      </c>
      <c r="BE29" s="4504">
        <f t="shared" si="212"/>
        <v>-211.03596256000367</v>
      </c>
      <c r="BF29" s="4504">
        <f t="shared" si="213"/>
        <v>-186.11346798222101</v>
      </c>
      <c r="BG29" s="4504">
        <f t="shared" si="214"/>
        <v>-163.2770243367512</v>
      </c>
      <c r="BH29" s="3"/>
      <c r="BI29" s="3"/>
      <c r="BJ29" s="3"/>
      <c r="BK29" s="4504">
        <f t="shared" si="215"/>
        <v>-23.673246277014201</v>
      </c>
      <c r="BL29" s="4504">
        <f t="shared" si="216"/>
        <v>-23.533933943080285</v>
      </c>
      <c r="BM29" s="4504">
        <f t="shared" si="217"/>
        <v>-23.380520645441745</v>
      </c>
      <c r="BN29" s="4504">
        <f t="shared" si="218"/>
        <v>-23.223719301689531</v>
      </c>
      <c r="BO29" s="4504">
        <f t="shared" si="219"/>
        <v>-23.063082719842942</v>
      </c>
      <c r="BP29" s="3"/>
      <c r="BQ29" s="3"/>
      <c r="BR29" s="3"/>
      <c r="BS29" s="4504">
        <f t="shared" si="220"/>
        <v>-21.601442143167478</v>
      </c>
      <c r="BT29" s="4504">
        <f t="shared" si="221"/>
        <v>-20.734264223882221</v>
      </c>
      <c r="BU29" s="4504">
        <f t="shared" si="222"/>
        <v>-18.005311375992637</v>
      </c>
      <c r="BV29" s="4504">
        <f t="shared" si="223"/>
        <v>-16.445120864309615</v>
      </c>
      <c r="BW29" s="4504">
        <f t="shared" si="224"/>
        <v>-15.462611863523462</v>
      </c>
      <c r="BX29" s="3"/>
      <c r="BY29" s="3"/>
      <c r="BZ29" s="3"/>
      <c r="CA29" s="4504">
        <f t="shared" si="225"/>
        <v>0</v>
      </c>
      <c r="CB29" s="4504">
        <f t="shared" si="226"/>
        <v>0</v>
      </c>
      <c r="CC29" s="4504">
        <f t="shared" si="227"/>
        <v>0</v>
      </c>
      <c r="CD29" s="4504">
        <f t="shared" si="228"/>
        <v>0</v>
      </c>
      <c r="CE29" s="4504">
        <f t="shared" si="229"/>
        <v>0</v>
      </c>
      <c r="CF29" s="3"/>
      <c r="CG29" s="3"/>
      <c r="CH29" s="3"/>
      <c r="CI29" s="4504">
        <f t="shared" si="230"/>
        <v>-134.09718536604225</v>
      </c>
      <c r="CJ29" s="4504">
        <f t="shared" si="231"/>
        <v>-50.270881443922214</v>
      </c>
      <c r="CK29" s="4504">
        <f t="shared" si="232"/>
        <v>-44.723364532943243</v>
      </c>
      <c r="CL29" s="4504">
        <f t="shared" si="233"/>
        <v>-54.412345681611583</v>
      </c>
      <c r="CM29" s="4504">
        <f t="shared" si="234"/>
        <v>-51.191206830075409</v>
      </c>
      <c r="CN29" s="3"/>
      <c r="CO29" s="3"/>
      <c r="CP29" s="3"/>
      <c r="CQ29" s="4504">
        <f t="shared" si="235"/>
        <v>-444.80388795826229</v>
      </c>
      <c r="CR29" s="4504">
        <f t="shared" si="236"/>
        <v>-346.92217022205824</v>
      </c>
      <c r="CS29" s="4504">
        <f t="shared" si="237"/>
        <v>-297.14515911438133</v>
      </c>
      <c r="CT29" s="4504">
        <f t="shared" si="238"/>
        <v>-280.19465382983168</v>
      </c>
      <c r="CU29" s="4504">
        <f t="shared" si="239"/>
        <v>-252.993925750193</v>
      </c>
    </row>
    <row r="30" spans="1:99" s="1" customFormat="1" ht="23.4" thickBot="1">
      <c r="A30" s="4210" t="s">
        <v>958</v>
      </c>
      <c r="B30" s="4211" t="s">
        <v>946</v>
      </c>
      <c r="C30" s="4013"/>
      <c r="D30" s="4013"/>
      <c r="E30" s="4013"/>
      <c r="F30" s="4212">
        <f>'11. Амортиз. план'!G214</f>
        <v>1506.2302294239717</v>
      </c>
      <c r="G30" s="4212">
        <f>'11. Амортиз. план'!H214</f>
        <v>1632.8338894239716</v>
      </c>
      <c r="H30" s="4212">
        <f>'11. Амортиз. план'!I214</f>
        <v>1870.0971272239715</v>
      </c>
      <c r="I30" s="4212">
        <f>'11. Амортиз. план'!J214</f>
        <v>1882.6906272239714</v>
      </c>
      <c r="J30" s="4213">
        <f>'11. Амортиз. план'!K214</f>
        <v>2354.3022016239711</v>
      </c>
      <c r="K30" s="4013"/>
      <c r="L30" s="4013"/>
      <c r="M30" s="4013"/>
      <c r="N30" s="4212">
        <f>'11. Амортиз. план'!N214</f>
        <v>852.42225959999996</v>
      </c>
      <c r="O30" s="4212">
        <f>'11. Амортиз. план'!O214</f>
        <v>852.42225959999996</v>
      </c>
      <c r="P30" s="4212">
        <f>'11. Амортиз. план'!P214</f>
        <v>852.42225959999996</v>
      </c>
      <c r="Q30" s="4212">
        <f>'11. Амортиз. план'!Q214</f>
        <v>852.42225959999996</v>
      </c>
      <c r="R30" s="4214">
        <f>'11. Амортиз. план'!R214</f>
        <v>852.42225959999996</v>
      </c>
      <c r="S30" s="4013"/>
      <c r="T30" s="4013"/>
      <c r="U30" s="4013"/>
      <c r="V30" s="4212">
        <f>'11. Амортиз. план'!U214</f>
        <v>1215.2073899999998</v>
      </c>
      <c r="W30" s="4212">
        <f>'11. Амортиз. план'!V214</f>
        <v>1215.2073899999998</v>
      </c>
      <c r="X30" s="4212">
        <f>'11. Амортиз. план'!W214</f>
        <v>1215.2073899999998</v>
      </c>
      <c r="Y30" s="4212">
        <f>'11. Амортиз. план'!X214</f>
        <v>1215.2073899999998</v>
      </c>
      <c r="Z30" s="4213">
        <f>'11. Амортиз. план'!Y214</f>
        <v>1215.2073899999998</v>
      </c>
      <c r="AA30" s="4013"/>
      <c r="AB30" s="4013"/>
      <c r="AC30" s="4013"/>
      <c r="AD30" s="4212">
        <f>'11. Амортиз. план'!AB214</f>
        <v>0</v>
      </c>
      <c r="AE30" s="4212">
        <f>'11. Амортиз. план'!AC214</f>
        <v>0</v>
      </c>
      <c r="AF30" s="4212">
        <f>'11. Амортиз. план'!AD214</f>
        <v>0</v>
      </c>
      <c r="AG30" s="4212">
        <f>'11. Амортиз. план'!AE214</f>
        <v>0</v>
      </c>
      <c r="AH30" s="4213">
        <f>'11. Амортиз. план'!AF214</f>
        <v>0</v>
      </c>
      <c r="AI30" s="4013"/>
      <c r="AJ30" s="4013"/>
      <c r="AK30" s="4013"/>
      <c r="AL30" s="4212">
        <f>'11. Амортиз. план'!AI214</f>
        <v>18.111887084027405</v>
      </c>
      <c r="AM30" s="4212">
        <f>'11. Амортиз. план'!AJ214</f>
        <v>18.111887084027405</v>
      </c>
      <c r="AN30" s="4212">
        <f>'11. Амортиз. план'!AK214</f>
        <v>18.111887084027405</v>
      </c>
      <c r="AO30" s="4212">
        <f>'11. Амортиз. план'!AL214</f>
        <v>18.111887084027405</v>
      </c>
      <c r="AP30" s="4213">
        <f>'11. Амортиз. план'!AM214</f>
        <v>18.111887084027405</v>
      </c>
      <c r="AQ30" s="4013"/>
      <c r="AR30" s="4013"/>
      <c r="AS30" s="4013"/>
      <c r="AT30" s="4212">
        <f t="shared" si="242"/>
        <v>3591.9717661079985</v>
      </c>
      <c r="AU30" s="4212">
        <f t="shared" si="242"/>
        <v>3718.5754261079983</v>
      </c>
      <c r="AV30" s="4212">
        <f t="shared" si="242"/>
        <v>3955.8386639079981</v>
      </c>
      <c r="AW30" s="4212">
        <f t="shared" si="242"/>
        <v>3968.4321639079981</v>
      </c>
      <c r="AX30" s="4213">
        <f t="shared" si="242"/>
        <v>4440.043738307998</v>
      </c>
      <c r="AY30" s="4488"/>
      <c r="AZ30" s="3"/>
      <c r="BA30" s="3"/>
      <c r="BB30" s="3"/>
      <c r="BC30" s="4504">
        <f t="shared" si="210"/>
        <v>770.12328751679422</v>
      </c>
      <c r="BD30" s="4504">
        <f t="shared" si="211"/>
        <v>834.85471100452071</v>
      </c>
      <c r="BE30" s="4504">
        <f t="shared" si="212"/>
        <v>956.16547819798836</v>
      </c>
      <c r="BF30" s="4504">
        <f t="shared" si="213"/>
        <v>962.60443250383287</v>
      </c>
      <c r="BG30" s="4504">
        <f t="shared" si="214"/>
        <v>1203.7356015727191</v>
      </c>
      <c r="BH30" s="3"/>
      <c r="BI30" s="3"/>
      <c r="BJ30" s="3"/>
      <c r="BK30" s="4504">
        <f t="shared" si="215"/>
        <v>435.83658068441531</v>
      </c>
      <c r="BL30" s="4504">
        <f t="shared" si="216"/>
        <v>435.83658068441531</v>
      </c>
      <c r="BM30" s="4504">
        <f t="shared" si="217"/>
        <v>435.83658068441531</v>
      </c>
      <c r="BN30" s="4504">
        <f t="shared" si="218"/>
        <v>435.83658068441531</v>
      </c>
      <c r="BO30" s="4504">
        <f t="shared" si="219"/>
        <v>435.83658068441531</v>
      </c>
      <c r="BP30" s="3"/>
      <c r="BQ30" s="3"/>
      <c r="BR30" s="3"/>
      <c r="BS30" s="4504">
        <f t="shared" si="220"/>
        <v>621.32567247664667</v>
      </c>
      <c r="BT30" s="4504">
        <f t="shared" si="221"/>
        <v>621.32567247664667</v>
      </c>
      <c r="BU30" s="4504">
        <f t="shared" si="222"/>
        <v>621.32567247664667</v>
      </c>
      <c r="BV30" s="4504">
        <f t="shared" si="223"/>
        <v>621.32567247664667</v>
      </c>
      <c r="BW30" s="4504">
        <f t="shared" si="224"/>
        <v>621.32567247664667</v>
      </c>
      <c r="BX30" s="3"/>
      <c r="BY30" s="3"/>
      <c r="BZ30" s="3"/>
      <c r="CA30" s="4504">
        <f t="shared" si="225"/>
        <v>0</v>
      </c>
      <c r="CB30" s="4504">
        <f t="shared" si="226"/>
        <v>0</v>
      </c>
      <c r="CC30" s="4504">
        <f t="shared" si="227"/>
        <v>0</v>
      </c>
      <c r="CD30" s="4504">
        <f t="shared" si="228"/>
        <v>0</v>
      </c>
      <c r="CE30" s="4504">
        <f t="shared" si="229"/>
        <v>0</v>
      </c>
      <c r="CF30" s="3"/>
      <c r="CG30" s="3"/>
      <c r="CH30" s="3"/>
      <c r="CI30" s="4504">
        <f t="shared" si="230"/>
        <v>9.2604608192058642</v>
      </c>
      <c r="CJ30" s="4504">
        <f t="shared" si="231"/>
        <v>9.2604608192058642</v>
      </c>
      <c r="CK30" s="4504">
        <f t="shared" si="232"/>
        <v>9.2604608192058642</v>
      </c>
      <c r="CL30" s="4504">
        <f t="shared" si="233"/>
        <v>9.2604608192058642</v>
      </c>
      <c r="CM30" s="4504">
        <f t="shared" si="234"/>
        <v>9.2604608192058642</v>
      </c>
      <c r="CN30" s="3"/>
      <c r="CO30" s="3"/>
      <c r="CP30" s="3"/>
      <c r="CQ30" s="4504">
        <f t="shared" si="235"/>
        <v>1836.546001497062</v>
      </c>
      <c r="CR30" s="4504">
        <f t="shared" si="236"/>
        <v>1901.2774249847882</v>
      </c>
      <c r="CS30" s="4504">
        <f t="shared" si="237"/>
        <v>2022.5881921782559</v>
      </c>
      <c r="CT30" s="4504">
        <f t="shared" si="238"/>
        <v>2029.0271464841005</v>
      </c>
      <c r="CU30" s="4504">
        <f t="shared" si="239"/>
        <v>2270.1583155529866</v>
      </c>
    </row>
    <row r="31" spans="1:99" s="1" customFormat="1" ht="36.6" thickBot="1">
      <c r="A31" s="2472" t="s">
        <v>959</v>
      </c>
      <c r="B31" s="3948" t="s">
        <v>1047</v>
      </c>
      <c r="C31" s="4215"/>
      <c r="D31" s="4215"/>
      <c r="E31" s="4215"/>
      <c r="F31" s="4216">
        <f>-F29</f>
        <v>519.13989627809769</v>
      </c>
      <c r="G31" s="4216">
        <f t="shared" ref="G31:J31" si="244">-G29</f>
        <v>493.61842011005143</v>
      </c>
      <c r="H31" s="4216">
        <f t="shared" si="244"/>
        <v>412.75046665373196</v>
      </c>
      <c r="I31" s="4216">
        <f t="shared" si="244"/>
        <v>364.00630408366732</v>
      </c>
      <c r="J31" s="4216">
        <f t="shared" si="244"/>
        <v>319.34210250854807</v>
      </c>
      <c r="K31" s="4215"/>
      <c r="L31" s="4215"/>
      <c r="M31" s="4215"/>
      <c r="N31" s="4216">
        <f>-N29</f>
        <v>46.300845265972683</v>
      </c>
      <c r="O31" s="4216">
        <f t="shared" ref="O31:R31" si="245">-O29</f>
        <v>46.028374023894713</v>
      </c>
      <c r="P31" s="4216">
        <f t="shared" si="245"/>
        <v>45.728323693974325</v>
      </c>
      <c r="Q31" s="4216">
        <f t="shared" si="245"/>
        <v>45.421646921823438</v>
      </c>
      <c r="R31" s="4216">
        <f t="shared" si="245"/>
        <v>45.107469075950419</v>
      </c>
      <c r="S31" s="4215"/>
      <c r="T31" s="4215"/>
      <c r="U31" s="4215"/>
      <c r="V31" s="4216">
        <f>-V29</f>
        <v>42.248748586871251</v>
      </c>
      <c r="W31" s="4216">
        <f t="shared" ref="W31:Z31" si="246">-W29</f>
        <v>40.55269599699556</v>
      </c>
      <c r="X31" s="4216">
        <f t="shared" si="246"/>
        <v>35.21532814850768</v>
      </c>
      <c r="Y31" s="4216">
        <f t="shared" si="246"/>
        <v>32.163860740042672</v>
      </c>
      <c r="Z31" s="4216">
        <f t="shared" si="246"/>
        <v>30.242240161035092</v>
      </c>
      <c r="AA31" s="4215"/>
      <c r="AB31" s="4215"/>
      <c r="AC31" s="4215"/>
      <c r="AD31" s="4216"/>
      <c r="AE31" s="4216"/>
      <c r="AF31" s="4216"/>
      <c r="AG31" s="4216"/>
      <c r="AH31" s="4217"/>
      <c r="AI31" s="4215"/>
      <c r="AJ31" s="4215"/>
      <c r="AK31" s="4215"/>
      <c r="AL31" s="4216">
        <f>-AL29</f>
        <v>262.2712980544664</v>
      </c>
      <c r="AM31" s="4216">
        <f t="shared" ref="AM31:AP31" si="247">-AM29</f>
        <v>98.321298054466382</v>
      </c>
      <c r="AN31" s="4216">
        <f t="shared" si="247"/>
        <v>87.471298054466388</v>
      </c>
      <c r="AO31" s="4216">
        <f t="shared" si="247"/>
        <v>106.42129805446638</v>
      </c>
      <c r="AP31" s="4216">
        <f t="shared" si="247"/>
        <v>100.12129805446638</v>
      </c>
      <c r="AQ31" s="4215"/>
      <c r="AR31" s="4215"/>
      <c r="AS31" s="4215"/>
      <c r="AT31" s="4218">
        <f t="shared" si="242"/>
        <v>869.96078818540809</v>
      </c>
      <c r="AU31" s="4218">
        <f t="shared" si="242"/>
        <v>678.52078818540815</v>
      </c>
      <c r="AV31" s="4218">
        <f t="shared" si="242"/>
        <v>581.16541655068045</v>
      </c>
      <c r="AW31" s="4218">
        <f t="shared" si="242"/>
        <v>548.01310979999971</v>
      </c>
      <c r="AX31" s="4219">
        <f t="shared" si="242"/>
        <v>494.81310979999995</v>
      </c>
      <c r="AY31" s="4488"/>
      <c r="AZ31" s="3"/>
      <c r="BA31" s="3"/>
      <c r="BB31" s="3"/>
      <c r="BC31" s="4504">
        <f t="shared" si="210"/>
        <v>265.43201417203829</v>
      </c>
      <c r="BD31" s="4504">
        <f t="shared" si="211"/>
        <v>252.38309061117349</v>
      </c>
      <c r="BE31" s="4504">
        <f t="shared" si="212"/>
        <v>211.03596256000367</v>
      </c>
      <c r="BF31" s="4504">
        <f t="shared" si="213"/>
        <v>186.11346798222101</v>
      </c>
      <c r="BG31" s="4504">
        <f t="shared" si="214"/>
        <v>163.2770243367512</v>
      </c>
      <c r="BH31" s="3"/>
      <c r="BI31" s="3"/>
      <c r="BJ31" s="3"/>
      <c r="BK31" s="4504">
        <f t="shared" si="215"/>
        <v>23.673246277014201</v>
      </c>
      <c r="BL31" s="4504">
        <f t="shared" si="216"/>
        <v>23.533933943080285</v>
      </c>
      <c r="BM31" s="4504">
        <f t="shared" si="217"/>
        <v>23.380520645441745</v>
      </c>
      <c r="BN31" s="4504">
        <f t="shared" si="218"/>
        <v>23.223719301689531</v>
      </c>
      <c r="BO31" s="4504">
        <f t="shared" si="219"/>
        <v>23.063082719842942</v>
      </c>
      <c r="BP31" s="3"/>
      <c r="BQ31" s="3"/>
      <c r="BR31" s="3"/>
      <c r="BS31" s="4504">
        <f t="shared" si="220"/>
        <v>21.601442143167478</v>
      </c>
      <c r="BT31" s="4504">
        <f t="shared" si="221"/>
        <v>20.734264223882221</v>
      </c>
      <c r="BU31" s="4504">
        <f t="shared" si="222"/>
        <v>18.005311375992637</v>
      </c>
      <c r="BV31" s="4504">
        <f t="shared" si="223"/>
        <v>16.445120864309615</v>
      </c>
      <c r="BW31" s="4504">
        <f t="shared" si="224"/>
        <v>15.462611863523462</v>
      </c>
      <c r="BX31" s="3"/>
      <c r="BY31" s="3"/>
      <c r="BZ31" s="3"/>
      <c r="CA31" s="4504">
        <f t="shared" si="225"/>
        <v>0</v>
      </c>
      <c r="CB31" s="4504">
        <f t="shared" si="226"/>
        <v>0</v>
      </c>
      <c r="CC31" s="4504">
        <f t="shared" si="227"/>
        <v>0</v>
      </c>
      <c r="CD31" s="4504">
        <f t="shared" si="228"/>
        <v>0</v>
      </c>
      <c r="CE31" s="4504">
        <f t="shared" si="229"/>
        <v>0</v>
      </c>
      <c r="CF31" s="3"/>
      <c r="CG31" s="3"/>
      <c r="CH31" s="3"/>
      <c r="CI31" s="4504">
        <f t="shared" si="230"/>
        <v>134.09718536604225</v>
      </c>
      <c r="CJ31" s="4504">
        <f t="shared" si="231"/>
        <v>50.270881443922214</v>
      </c>
      <c r="CK31" s="4504">
        <f t="shared" si="232"/>
        <v>44.723364532943243</v>
      </c>
      <c r="CL31" s="4504">
        <f t="shared" si="233"/>
        <v>54.412345681611583</v>
      </c>
      <c r="CM31" s="4504">
        <f t="shared" si="234"/>
        <v>51.191206830075409</v>
      </c>
      <c r="CN31" s="3"/>
      <c r="CO31" s="3"/>
      <c r="CP31" s="3"/>
      <c r="CQ31" s="4504">
        <f t="shared" si="235"/>
        <v>444.80388795826229</v>
      </c>
      <c r="CR31" s="4504">
        <f t="shared" si="236"/>
        <v>346.92217022205824</v>
      </c>
      <c r="CS31" s="4504">
        <f t="shared" si="237"/>
        <v>297.14515911438133</v>
      </c>
      <c r="CT31" s="4504">
        <f t="shared" si="238"/>
        <v>280.19465382983168</v>
      </c>
      <c r="CU31" s="4504">
        <f t="shared" si="239"/>
        <v>252.993925750193</v>
      </c>
    </row>
    <row r="32" spans="1:99" s="1" customFormat="1" ht="24.6" thickBot="1">
      <c r="A32" s="2471" t="s">
        <v>960</v>
      </c>
      <c r="B32" s="388" t="s">
        <v>947</v>
      </c>
      <c r="C32" s="4207"/>
      <c r="D32" s="4207"/>
      <c r="E32" s="4207"/>
      <c r="F32" s="4222">
        <f t="shared" ref="F32:AX32" si="248">IF(F31=0,0,F31/F30)</f>
        <v>0.34466171647387039</v>
      </c>
      <c r="G32" s="4222">
        <f t="shared" si="248"/>
        <v>0.30230779953017101</v>
      </c>
      <c r="H32" s="4222">
        <f t="shared" si="248"/>
        <v>0.22071071103479592</v>
      </c>
      <c r="I32" s="4222">
        <f t="shared" si="248"/>
        <v>0.19334366402003864</v>
      </c>
      <c r="J32" s="4223">
        <f t="shared" si="248"/>
        <v>0.13564193343075051</v>
      </c>
      <c r="K32" s="4207"/>
      <c r="L32" s="4207"/>
      <c r="M32" s="4207"/>
      <c r="N32" s="4222">
        <f t="shared" si="248"/>
        <v>5.4316795161707065E-2</v>
      </c>
      <c r="O32" s="4222">
        <f t="shared" si="248"/>
        <v>5.3997151652859905E-2</v>
      </c>
      <c r="P32" s="4222">
        <f t="shared" si="248"/>
        <v>5.3645154357457051E-2</v>
      </c>
      <c r="Q32" s="4222">
        <f t="shared" si="248"/>
        <v>5.3285383400402508E-2</v>
      </c>
      <c r="R32" s="4224">
        <f t="shared" si="248"/>
        <v>5.2916812727435279E-2</v>
      </c>
      <c r="S32" s="4207"/>
      <c r="T32" s="4207"/>
      <c r="U32" s="4207"/>
      <c r="V32" s="4222">
        <f t="shared" si="248"/>
        <v>3.476669820685608E-2</v>
      </c>
      <c r="W32" s="4222">
        <f t="shared" si="248"/>
        <v>3.3371008381536886E-2</v>
      </c>
      <c r="X32" s="4222">
        <f t="shared" si="248"/>
        <v>2.8978862734292364E-2</v>
      </c>
      <c r="Y32" s="4222">
        <f t="shared" si="248"/>
        <v>2.6467795542325229E-2</v>
      </c>
      <c r="Z32" s="4224">
        <f t="shared" si="248"/>
        <v>2.4886484734951371E-2</v>
      </c>
      <c r="AA32" s="4207"/>
      <c r="AB32" s="4207"/>
      <c r="AC32" s="4207"/>
      <c r="AD32" s="4222">
        <f t="shared" si="248"/>
        <v>0</v>
      </c>
      <c r="AE32" s="4222">
        <f t="shared" si="248"/>
        <v>0</v>
      </c>
      <c r="AF32" s="4222">
        <f t="shared" si="248"/>
        <v>0</v>
      </c>
      <c r="AG32" s="4222">
        <f t="shared" si="248"/>
        <v>0</v>
      </c>
      <c r="AH32" s="4222">
        <f t="shared" si="248"/>
        <v>0</v>
      </c>
      <c r="AI32" s="4207"/>
      <c r="AJ32" s="4207"/>
      <c r="AK32" s="4207"/>
      <c r="AL32" s="4222">
        <f t="shared" si="248"/>
        <v>14.480616891972534</v>
      </c>
      <c r="AM32" s="4222">
        <f t="shared" si="248"/>
        <v>5.4285507411966156</v>
      </c>
      <c r="AN32" s="4222">
        <f t="shared" si="248"/>
        <v>4.8294966531458767</v>
      </c>
      <c r="AO32" s="4222">
        <f t="shared" si="248"/>
        <v>5.8757708437967064</v>
      </c>
      <c r="AP32" s="4222">
        <f t="shared" si="248"/>
        <v>5.5279329862188584</v>
      </c>
      <c r="AQ32" s="4207"/>
      <c r="AR32" s="4207"/>
      <c r="AS32" s="4207"/>
      <c r="AT32" s="4222">
        <f t="shared" si="248"/>
        <v>0.24219588705955639</v>
      </c>
      <c r="AU32" s="4222">
        <f t="shared" si="248"/>
        <v>0.18246793743150549</v>
      </c>
      <c r="AV32" s="4222">
        <f t="shared" si="248"/>
        <v>0.14691332633281445</v>
      </c>
      <c r="AW32" s="4222">
        <f t="shared" si="248"/>
        <v>0.13809310255673671</v>
      </c>
      <c r="AX32" s="4224">
        <f t="shared" si="248"/>
        <v>0.11144329627450072</v>
      </c>
      <c r="AY32" s="4488"/>
    </row>
    <row r="33" spans="1:99" s="1" customFormat="1" ht="24.6" thickBot="1">
      <c r="A33" s="4208">
        <v>8</v>
      </c>
      <c r="B33" s="4209" t="s">
        <v>1058</v>
      </c>
      <c r="C33" s="4011"/>
      <c r="D33" s="4011"/>
      <c r="E33" s="4011"/>
      <c r="F33" s="4220">
        <f t="shared" ref="F33:I33" si="249">F29+F31</f>
        <v>0</v>
      </c>
      <c r="G33" s="4220">
        <f t="shared" si="249"/>
        <v>0</v>
      </c>
      <c r="H33" s="4220">
        <f t="shared" si="249"/>
        <v>0</v>
      </c>
      <c r="I33" s="4220">
        <f t="shared" si="249"/>
        <v>0</v>
      </c>
      <c r="J33" s="4221">
        <f>J29+J31</f>
        <v>0</v>
      </c>
      <c r="K33" s="4011"/>
      <c r="L33" s="4011"/>
      <c r="M33" s="4011"/>
      <c r="N33" s="4220">
        <f t="shared" ref="N33:AX33" si="250">N29+N31</f>
        <v>0</v>
      </c>
      <c r="O33" s="4220">
        <f t="shared" si="250"/>
        <v>0</v>
      </c>
      <c r="P33" s="4220">
        <f t="shared" si="250"/>
        <v>0</v>
      </c>
      <c r="Q33" s="4220">
        <f t="shared" si="250"/>
        <v>0</v>
      </c>
      <c r="R33" s="4221">
        <f t="shared" si="250"/>
        <v>0</v>
      </c>
      <c r="S33" s="4011"/>
      <c r="T33" s="4011"/>
      <c r="U33" s="4011"/>
      <c r="V33" s="4220">
        <f t="shared" si="250"/>
        <v>0</v>
      </c>
      <c r="W33" s="4220">
        <f t="shared" si="250"/>
        <v>0</v>
      </c>
      <c r="X33" s="4220">
        <f t="shared" si="250"/>
        <v>0</v>
      </c>
      <c r="Y33" s="4220">
        <f t="shared" si="250"/>
        <v>0</v>
      </c>
      <c r="Z33" s="4221">
        <f t="shared" si="250"/>
        <v>0</v>
      </c>
      <c r="AA33" s="4011"/>
      <c r="AB33" s="4011"/>
      <c r="AC33" s="4011"/>
      <c r="AD33" s="4220">
        <f t="shared" si="250"/>
        <v>0</v>
      </c>
      <c r="AE33" s="4220">
        <f t="shared" si="250"/>
        <v>0</v>
      </c>
      <c r="AF33" s="4220">
        <f t="shared" si="250"/>
        <v>0</v>
      </c>
      <c r="AG33" s="4220">
        <f t="shared" si="250"/>
        <v>0</v>
      </c>
      <c r="AH33" s="4220">
        <f t="shared" si="250"/>
        <v>0</v>
      </c>
      <c r="AI33" s="4011"/>
      <c r="AJ33" s="4011"/>
      <c r="AK33" s="4011"/>
      <c r="AL33" s="4220">
        <f t="shared" si="250"/>
        <v>0</v>
      </c>
      <c r="AM33" s="4220">
        <f t="shared" si="250"/>
        <v>0</v>
      </c>
      <c r="AN33" s="4220">
        <f t="shared" si="250"/>
        <v>0</v>
      </c>
      <c r="AO33" s="4220">
        <f t="shared" si="250"/>
        <v>0</v>
      </c>
      <c r="AP33" s="4220">
        <f t="shared" si="250"/>
        <v>0</v>
      </c>
      <c r="AQ33" s="4011"/>
      <c r="AR33" s="4011"/>
      <c r="AS33" s="4011"/>
      <c r="AT33" s="4220">
        <f t="shared" si="250"/>
        <v>0</v>
      </c>
      <c r="AU33" s="4220">
        <f t="shared" si="250"/>
        <v>0</v>
      </c>
      <c r="AV33" s="4220">
        <f t="shared" si="250"/>
        <v>0</v>
      </c>
      <c r="AW33" s="4220">
        <f t="shared" si="250"/>
        <v>0</v>
      </c>
      <c r="AX33" s="4220">
        <f t="shared" si="250"/>
        <v>0</v>
      </c>
      <c r="AY33" s="4488"/>
      <c r="AZ33" s="3"/>
      <c r="BA33" s="3"/>
      <c r="BB33" s="3"/>
      <c r="BC33" s="4504">
        <f>IFERROR(F33/$C$1,0)</f>
        <v>0</v>
      </c>
      <c r="BD33" s="4504">
        <f t="shared" ref="BD33" si="251">IFERROR(G33/$C$1,0)</f>
        <v>0</v>
      </c>
      <c r="BE33" s="4504">
        <f t="shared" ref="BE33" si="252">IFERROR(H33/$C$1,0)</f>
        <v>0</v>
      </c>
      <c r="BF33" s="4504">
        <f t="shared" ref="BF33" si="253">IFERROR(I33/$C$1,0)</f>
        <v>0</v>
      </c>
      <c r="BG33" s="4504">
        <f t="shared" ref="BG33" si="254">IFERROR(J33/$C$1,0)</f>
        <v>0</v>
      </c>
      <c r="BH33" s="3"/>
      <c r="BI33" s="3"/>
      <c r="BJ33" s="3"/>
      <c r="BK33" s="4504">
        <f>IFERROR(N33/$C$1,0)</f>
        <v>0</v>
      </c>
      <c r="BL33" s="4504">
        <f t="shared" ref="BL33" si="255">IFERROR(O33/$C$1,0)</f>
        <v>0</v>
      </c>
      <c r="BM33" s="4504">
        <f t="shared" ref="BM33" si="256">IFERROR(P33/$C$1,0)</f>
        <v>0</v>
      </c>
      <c r="BN33" s="4504">
        <f t="shared" ref="BN33" si="257">IFERROR(Q33/$C$1,0)</f>
        <v>0</v>
      </c>
      <c r="BO33" s="4504">
        <f t="shared" ref="BO33" si="258">IFERROR(R33/$C$1,0)</f>
        <v>0</v>
      </c>
      <c r="BP33" s="3"/>
      <c r="BQ33" s="3"/>
      <c r="BR33" s="3"/>
      <c r="BS33" s="4504">
        <f>IFERROR(V33/$C$1,0)</f>
        <v>0</v>
      </c>
      <c r="BT33" s="4504">
        <f t="shared" ref="BT33" si="259">IFERROR(W33/$C$1,0)</f>
        <v>0</v>
      </c>
      <c r="BU33" s="4504">
        <f t="shared" ref="BU33" si="260">IFERROR(X33/$C$1,0)</f>
        <v>0</v>
      </c>
      <c r="BV33" s="4504">
        <f t="shared" ref="BV33" si="261">IFERROR(Y33/$C$1,0)</f>
        <v>0</v>
      </c>
      <c r="BW33" s="4504">
        <f t="shared" ref="BW33" si="262">IFERROR(Z33/$C$1,0)</f>
        <v>0</v>
      </c>
      <c r="BX33" s="3"/>
      <c r="BY33" s="3"/>
      <c r="BZ33" s="3"/>
      <c r="CA33" s="4504">
        <f>IFERROR(AD33/$C$1,0)</f>
        <v>0</v>
      </c>
      <c r="CB33" s="4504">
        <f t="shared" ref="CB33" si="263">IFERROR(AE33/$C$1,0)</f>
        <v>0</v>
      </c>
      <c r="CC33" s="4504">
        <f t="shared" ref="CC33" si="264">IFERROR(AF33/$C$1,0)</f>
        <v>0</v>
      </c>
      <c r="CD33" s="4504">
        <f t="shared" ref="CD33" si="265">IFERROR(AG33/$C$1,0)</f>
        <v>0</v>
      </c>
      <c r="CE33" s="4504">
        <f t="shared" ref="CE33" si="266">IFERROR(AH33/$C$1,0)</f>
        <v>0</v>
      </c>
      <c r="CF33" s="3"/>
      <c r="CG33" s="3"/>
      <c r="CH33" s="3"/>
      <c r="CI33" s="4504">
        <f>IFERROR(AL33/$C$1,0)</f>
        <v>0</v>
      </c>
      <c r="CJ33" s="4504">
        <f t="shared" ref="CJ33" si="267">IFERROR(AM33/$C$1,0)</f>
        <v>0</v>
      </c>
      <c r="CK33" s="4504">
        <f t="shared" ref="CK33" si="268">IFERROR(AN33/$C$1,0)</f>
        <v>0</v>
      </c>
      <c r="CL33" s="4504">
        <f t="shared" ref="CL33" si="269">IFERROR(AO33/$C$1,0)</f>
        <v>0</v>
      </c>
      <c r="CM33" s="4504">
        <f t="shared" ref="CM33" si="270">IFERROR(AP33/$C$1,0)</f>
        <v>0</v>
      </c>
      <c r="CN33" s="3"/>
      <c r="CO33" s="3"/>
      <c r="CP33" s="3"/>
      <c r="CQ33" s="4504">
        <f>IFERROR(AT33/$C$1,0)</f>
        <v>0</v>
      </c>
      <c r="CR33" s="4504">
        <f t="shared" ref="CR33" si="271">IFERROR(AU33/$C$1,0)</f>
        <v>0</v>
      </c>
      <c r="CS33" s="4504">
        <f t="shared" ref="CS33" si="272">IFERROR(AV33/$C$1,0)</f>
        <v>0</v>
      </c>
      <c r="CT33" s="4504">
        <f t="shared" ref="CT33" si="273">IFERROR(AW33/$C$1,0)</f>
        <v>0</v>
      </c>
      <c r="CU33" s="4504">
        <f t="shared" ref="CU33" si="274">IFERROR(AX33/$C$1,0)</f>
        <v>0</v>
      </c>
    </row>
    <row r="34" spans="1:99" s="1" customFormat="1" ht="13.8" hidden="1" thickBot="1">
      <c r="A34" s="2473"/>
      <c r="B34" s="952"/>
      <c r="C34" s="952"/>
      <c r="D34" s="952"/>
      <c r="E34" s="952"/>
      <c r="F34" s="952"/>
      <c r="G34" s="952"/>
      <c r="H34" s="952"/>
      <c r="I34" s="952"/>
      <c r="J34" s="952"/>
      <c r="K34" s="952"/>
      <c r="L34" s="952"/>
      <c r="M34" s="952"/>
      <c r="N34" s="952"/>
      <c r="O34" s="952"/>
      <c r="P34" s="952"/>
      <c r="Q34" s="952"/>
      <c r="R34" s="952"/>
      <c r="S34" s="4196"/>
      <c r="T34" s="952"/>
      <c r="U34" s="952"/>
      <c r="V34" s="952"/>
      <c r="W34" s="952"/>
      <c r="X34" s="952"/>
      <c r="Y34" s="952"/>
      <c r="Z34" s="953"/>
      <c r="AA34" s="4197"/>
      <c r="AB34" s="952"/>
      <c r="AC34" s="952"/>
      <c r="AD34" s="952"/>
      <c r="AE34" s="952"/>
      <c r="AF34" s="952"/>
      <c r="AG34" s="952"/>
      <c r="AH34" s="953"/>
      <c r="AI34" s="4196"/>
      <c r="AJ34" s="952"/>
      <c r="AK34" s="952"/>
      <c r="AL34" s="952"/>
      <c r="AM34" s="952"/>
      <c r="AN34" s="952"/>
      <c r="AO34" s="952"/>
      <c r="AP34" s="953"/>
      <c r="AQ34" s="4196"/>
      <c r="AR34" s="952"/>
      <c r="AS34" s="952"/>
      <c r="AT34" s="952"/>
      <c r="AU34" s="952"/>
      <c r="AV34" s="952"/>
      <c r="AW34" s="952"/>
      <c r="AX34" s="953"/>
      <c r="AY34" s="4488"/>
    </row>
    <row r="35" spans="1:99" ht="12.75" customHeight="1" thickBot="1">
      <c r="A35" s="5323">
        <v>9</v>
      </c>
      <c r="B35" s="5327" t="s">
        <v>1860</v>
      </c>
      <c r="C35" s="5318" t="s">
        <v>210</v>
      </c>
      <c r="D35" s="5319"/>
      <c r="E35" s="5319"/>
      <c r="F35" s="5319"/>
      <c r="G35" s="5319"/>
      <c r="H35" s="5319"/>
      <c r="I35" s="5319"/>
      <c r="J35" s="5320"/>
      <c r="K35" s="5318" t="s">
        <v>174</v>
      </c>
      <c r="L35" s="5319"/>
      <c r="M35" s="5319"/>
      <c r="N35" s="5319"/>
      <c r="O35" s="5319"/>
      <c r="P35" s="5319"/>
      <c r="Q35" s="5319"/>
      <c r="R35" s="5320"/>
      <c r="S35" s="5329" t="s">
        <v>184</v>
      </c>
      <c r="T35" s="5330"/>
      <c r="U35" s="5330"/>
      <c r="V35" s="5330"/>
      <c r="W35" s="5330"/>
      <c r="X35" s="5330"/>
      <c r="Y35" s="5330"/>
      <c r="Z35" s="5331"/>
      <c r="AA35" s="5313" t="s">
        <v>1029</v>
      </c>
      <c r="AB35" s="5314"/>
      <c r="AC35" s="5314"/>
      <c r="AD35" s="5314"/>
      <c r="AE35" s="5314"/>
      <c r="AF35" s="5314"/>
      <c r="AG35" s="5314"/>
      <c r="AH35" s="5315"/>
      <c r="AI35" s="5313" t="s">
        <v>1092</v>
      </c>
      <c r="AJ35" s="5314"/>
      <c r="AK35" s="5314"/>
      <c r="AL35" s="5314"/>
      <c r="AM35" s="5314"/>
      <c r="AN35" s="5314"/>
      <c r="AO35" s="5314"/>
      <c r="AP35" s="5315"/>
      <c r="AQ35" s="5313" t="s">
        <v>1249</v>
      </c>
      <c r="AR35" s="5314"/>
      <c r="AS35" s="5314"/>
      <c r="AT35" s="5314"/>
      <c r="AU35" s="5314"/>
      <c r="AV35" s="5314"/>
      <c r="AW35" s="5314"/>
      <c r="AX35" s="5315"/>
      <c r="AY35" s="4488"/>
    </row>
    <row r="36" spans="1:99" s="1" customFormat="1" ht="13.8" thickBot="1">
      <c r="A36" s="5324"/>
      <c r="B36" s="5328"/>
      <c r="C36" s="4183" t="str">
        <f t="shared" ref="C36" si="275">C8</f>
        <v>2024 г.</v>
      </c>
      <c r="D36" s="2477" t="str">
        <f t="shared" ref="D36:AX36" si="276">D8</f>
        <v>2025 г.</v>
      </c>
      <c r="E36" s="2475" t="str">
        <f t="shared" si="276"/>
        <v>2026 г.</v>
      </c>
      <c r="F36" s="2475" t="str">
        <f t="shared" si="276"/>
        <v>2027 г.</v>
      </c>
      <c r="G36" s="2475" t="str">
        <f t="shared" si="276"/>
        <v>2028 г.</v>
      </c>
      <c r="H36" s="2475" t="str">
        <f t="shared" si="276"/>
        <v>2029 г.</v>
      </c>
      <c r="I36" s="2475" t="str">
        <f t="shared" si="276"/>
        <v>2030 г.</v>
      </c>
      <c r="J36" s="2476" t="str">
        <f t="shared" si="276"/>
        <v>2031 г.</v>
      </c>
      <c r="K36" s="4183" t="str">
        <f t="shared" ref="K36" si="277">K8</f>
        <v>2024 г.</v>
      </c>
      <c r="L36" s="2477" t="str">
        <f t="shared" si="276"/>
        <v>2025 г.</v>
      </c>
      <c r="M36" s="2475" t="str">
        <f t="shared" si="276"/>
        <v>2026 г.</v>
      </c>
      <c r="N36" s="2475" t="str">
        <f t="shared" si="276"/>
        <v>2027 г.</v>
      </c>
      <c r="O36" s="2475" t="str">
        <f t="shared" si="276"/>
        <v>2028 г.</v>
      </c>
      <c r="P36" s="2475" t="str">
        <f t="shared" si="276"/>
        <v>2029 г.</v>
      </c>
      <c r="Q36" s="2475" t="str">
        <f t="shared" si="276"/>
        <v>2030 г.</v>
      </c>
      <c r="R36" s="2476" t="str">
        <f t="shared" si="276"/>
        <v>2031 г.</v>
      </c>
      <c r="S36" s="2477" t="str">
        <f t="shared" ref="S36" si="278">S8</f>
        <v>2024 г.</v>
      </c>
      <c r="T36" s="2477" t="str">
        <f t="shared" si="276"/>
        <v>2025 г.</v>
      </c>
      <c r="U36" s="2475" t="str">
        <f t="shared" si="276"/>
        <v>2026 г.</v>
      </c>
      <c r="V36" s="2475" t="str">
        <f t="shared" si="276"/>
        <v>2027 г.</v>
      </c>
      <c r="W36" s="2475" t="str">
        <f t="shared" si="276"/>
        <v>2028 г.</v>
      </c>
      <c r="X36" s="2475" t="str">
        <f t="shared" si="276"/>
        <v>2029 г.</v>
      </c>
      <c r="Y36" s="2475" t="str">
        <f t="shared" si="276"/>
        <v>2030 г.</v>
      </c>
      <c r="Z36" s="2476" t="str">
        <f t="shared" si="276"/>
        <v>2031 г.</v>
      </c>
      <c r="AA36" s="2474" t="str">
        <f t="shared" ref="AA36" si="279">AA8</f>
        <v>2024 г.</v>
      </c>
      <c r="AB36" s="2477" t="str">
        <f t="shared" si="276"/>
        <v>2025 г.</v>
      </c>
      <c r="AC36" s="2475" t="str">
        <f t="shared" si="276"/>
        <v>2026 г.</v>
      </c>
      <c r="AD36" s="2475" t="str">
        <f t="shared" si="276"/>
        <v>2027 г.</v>
      </c>
      <c r="AE36" s="2475" t="str">
        <f t="shared" si="276"/>
        <v>2028 г.</v>
      </c>
      <c r="AF36" s="2475" t="str">
        <f t="shared" si="276"/>
        <v>2029 г.</v>
      </c>
      <c r="AG36" s="2475" t="str">
        <f t="shared" si="276"/>
        <v>2030 г.</v>
      </c>
      <c r="AH36" s="2476" t="str">
        <f t="shared" si="276"/>
        <v>2031 г.</v>
      </c>
      <c r="AI36" s="2477" t="str">
        <f t="shared" ref="AI36" si="280">AI8</f>
        <v>2024 г.</v>
      </c>
      <c r="AJ36" s="2477" t="str">
        <f t="shared" si="276"/>
        <v>2025 г.</v>
      </c>
      <c r="AK36" s="2475" t="str">
        <f t="shared" si="276"/>
        <v>2026 г.</v>
      </c>
      <c r="AL36" s="2475" t="str">
        <f t="shared" si="276"/>
        <v>2027 г.</v>
      </c>
      <c r="AM36" s="2475" t="str">
        <f t="shared" si="276"/>
        <v>2028 г.</v>
      </c>
      <c r="AN36" s="2475" t="str">
        <f t="shared" si="276"/>
        <v>2029 г.</v>
      </c>
      <c r="AO36" s="2475" t="str">
        <f t="shared" si="276"/>
        <v>2030 г.</v>
      </c>
      <c r="AP36" s="2476" t="str">
        <f t="shared" si="276"/>
        <v>2031 г.</v>
      </c>
      <c r="AQ36" s="2477" t="str">
        <f t="shared" ref="AQ36" si="281">AQ8</f>
        <v>2024 г.</v>
      </c>
      <c r="AR36" s="2477" t="str">
        <f t="shared" si="276"/>
        <v>2025 г.</v>
      </c>
      <c r="AS36" s="2475" t="str">
        <f t="shared" si="276"/>
        <v>2026 г.</v>
      </c>
      <c r="AT36" s="2475" t="str">
        <f t="shared" si="276"/>
        <v>2027 г.</v>
      </c>
      <c r="AU36" s="2475" t="str">
        <f t="shared" si="276"/>
        <v>2028 г.</v>
      </c>
      <c r="AV36" s="2475" t="str">
        <f t="shared" si="276"/>
        <v>2029 г.</v>
      </c>
      <c r="AW36" s="2475" t="str">
        <f t="shared" si="276"/>
        <v>2030 г.</v>
      </c>
      <c r="AX36" s="2476" t="str">
        <f t="shared" si="276"/>
        <v>2031 г.</v>
      </c>
      <c r="AY36" s="4488"/>
    </row>
    <row r="37" spans="1:99" s="1" customFormat="1">
      <c r="A37" s="3889" t="s">
        <v>961</v>
      </c>
      <c r="B37" s="2478" t="s">
        <v>195</v>
      </c>
      <c r="C37" s="102">
        <v>754.83522239187914</v>
      </c>
      <c r="D37" s="3880">
        <f>C43</f>
        <v>611.05717791852328</v>
      </c>
      <c r="E37" s="3880">
        <f t="shared" ref="E37:J37" si="282">D43</f>
        <v>467.27913344516742</v>
      </c>
      <c r="F37" s="3881">
        <f t="shared" si="282"/>
        <v>323.50108897181155</v>
      </c>
      <c r="G37" s="3881">
        <f t="shared" si="282"/>
        <v>179.72304449845569</v>
      </c>
      <c r="H37" s="3881">
        <f t="shared" si="282"/>
        <v>35.94500002509983</v>
      </c>
      <c r="I37" s="3881">
        <f t="shared" si="282"/>
        <v>0</v>
      </c>
      <c r="J37" s="3882">
        <f t="shared" si="282"/>
        <v>0</v>
      </c>
      <c r="K37" s="3879">
        <v>11.415280334770666</v>
      </c>
      <c r="L37" s="4192">
        <f t="shared" ref="L37:R37" si="283">K43</f>
        <v>9.2409445231946652</v>
      </c>
      <c r="M37" s="3883">
        <f t="shared" si="283"/>
        <v>7.0666087116186649</v>
      </c>
      <c r="N37" s="3881">
        <f t="shared" si="283"/>
        <v>4.8922729000426646</v>
      </c>
      <c r="O37" s="3881">
        <f t="shared" si="283"/>
        <v>2.7179370884666647</v>
      </c>
      <c r="P37" s="3881">
        <f t="shared" si="283"/>
        <v>0.54360127689066484</v>
      </c>
      <c r="Q37" s="3881">
        <f t="shared" si="283"/>
        <v>-1.5543122344752192E-15</v>
      </c>
      <c r="R37" s="3882">
        <f t="shared" si="283"/>
        <v>-1.5543122344752192E-15</v>
      </c>
      <c r="S37" s="3879">
        <v>68.486013450403718</v>
      </c>
      <c r="T37" s="3883">
        <f t="shared" ref="T37:Z37" si="284">S43</f>
        <v>55.44107037165972</v>
      </c>
      <c r="U37" s="3883">
        <f t="shared" si="284"/>
        <v>42.396127292915722</v>
      </c>
      <c r="V37" s="3881">
        <f t="shared" si="284"/>
        <v>29.351184214171724</v>
      </c>
      <c r="W37" s="3881">
        <f t="shared" si="284"/>
        <v>16.306241135427726</v>
      </c>
      <c r="X37" s="3881">
        <f t="shared" si="284"/>
        <v>3.2612980566837297</v>
      </c>
      <c r="Y37" s="3881">
        <f t="shared" si="284"/>
        <v>-5.773159728050814E-15</v>
      </c>
      <c r="Z37" s="3882">
        <f t="shared" si="284"/>
        <v>-5.773159728050814E-15</v>
      </c>
      <c r="AA37" s="3879"/>
      <c r="AB37" s="3883">
        <f>AA43</f>
        <v>0</v>
      </c>
      <c r="AC37" s="3883">
        <f t="shared" ref="AC37:AH37" si="285">AB43</f>
        <v>0</v>
      </c>
      <c r="AD37" s="3881">
        <f t="shared" si="285"/>
        <v>0</v>
      </c>
      <c r="AE37" s="3881">
        <f t="shared" si="285"/>
        <v>0</v>
      </c>
      <c r="AF37" s="3881">
        <f t="shared" si="285"/>
        <v>0</v>
      </c>
      <c r="AG37" s="3881">
        <f t="shared" si="285"/>
        <v>0</v>
      </c>
      <c r="AH37" s="3882">
        <f t="shared" si="285"/>
        <v>0</v>
      </c>
      <c r="AI37" s="3879"/>
      <c r="AJ37" s="3883">
        <f t="shared" ref="AJ37:AP37" si="286">AI43</f>
        <v>0</v>
      </c>
      <c r="AK37" s="3883">
        <f t="shared" si="286"/>
        <v>0</v>
      </c>
      <c r="AL37" s="3881">
        <f t="shared" si="286"/>
        <v>0</v>
      </c>
      <c r="AM37" s="3881">
        <f t="shared" si="286"/>
        <v>0</v>
      </c>
      <c r="AN37" s="3881">
        <f t="shared" si="286"/>
        <v>0</v>
      </c>
      <c r="AO37" s="3881">
        <f t="shared" si="286"/>
        <v>0</v>
      </c>
      <c r="AP37" s="3882">
        <f t="shared" si="286"/>
        <v>0</v>
      </c>
      <c r="AQ37" s="3884">
        <f>C37+K37+S37+AA37+AI37</f>
        <v>834.73651617705343</v>
      </c>
      <c r="AR37" s="4199">
        <f t="shared" ref="AQ37:AR40" si="287">D37+L37+T37+AB37+AJ37</f>
        <v>675.73919281337771</v>
      </c>
      <c r="AS37" s="3885">
        <f t="shared" ref="AS37" si="288">AR43</f>
        <v>516.74186944970188</v>
      </c>
      <c r="AT37" s="3886">
        <f>AS43</f>
        <v>357.74454608602605</v>
      </c>
      <c r="AU37" s="3886">
        <f t="shared" ref="AU37:AX37" si="289">AT43</f>
        <v>198.74722272235022</v>
      </c>
      <c r="AV37" s="3886">
        <f t="shared" si="289"/>
        <v>39.749899358674384</v>
      </c>
      <c r="AW37" s="3886">
        <f t="shared" si="289"/>
        <v>1.7763568394002505E-13</v>
      </c>
      <c r="AX37" s="3887">
        <f t="shared" si="289"/>
        <v>1.7763568394002505E-13</v>
      </c>
      <c r="AY37" s="4488"/>
      <c r="AZ37" s="4504">
        <f>IFERROR(C37/$C$1,0)</f>
        <v>385.94112084990985</v>
      </c>
      <c r="BA37" s="4504">
        <f t="shared" ref="BA37:BA40" si="290">IFERROR(D37/$C$1,0)</f>
        <v>312.42857401641413</v>
      </c>
      <c r="BB37" s="4504">
        <f t="shared" ref="BB37:BB40" si="291">IFERROR(E37/$C$1,0)</f>
        <v>238.91602718291847</v>
      </c>
      <c r="BC37" s="4504">
        <f t="shared" ref="BC37:BC40" si="292">IFERROR(F37/$C$1,0)</f>
        <v>165.40348034942278</v>
      </c>
      <c r="BD37" s="4504">
        <f t="shared" ref="BD37:BD40" si="293">IFERROR(G37/$C$1,0)</f>
        <v>91.890933515927102</v>
      </c>
      <c r="BE37" s="4504">
        <f t="shared" ref="BE37:BE40" si="294">IFERROR(H37/$C$1,0)</f>
        <v>18.378386682431412</v>
      </c>
      <c r="BF37" s="4504">
        <f t="shared" ref="BF37:BF40" si="295">IFERROR(I37/$C$1,0)</f>
        <v>0</v>
      </c>
      <c r="BG37" s="4504">
        <f t="shared" ref="BG37:BG40" si="296">IFERROR(J37/$C$1,0)</f>
        <v>0</v>
      </c>
      <c r="BH37" s="4504">
        <f>IFERROR(K37/$C$1,0)</f>
        <v>5.836540156747092</v>
      </c>
      <c r="BI37" s="4504">
        <f t="shared" ref="BI37:BI40" si="297">IFERROR(L37/$C$1,0)</f>
        <v>4.7248199092940926</v>
      </c>
      <c r="BJ37" s="4504">
        <f t="shared" ref="BJ37:BJ40" si="298">IFERROR(M37/$C$1,0)</f>
        <v>3.6130996618410931</v>
      </c>
      <c r="BK37" s="4504">
        <f t="shared" ref="BK37:BK40" si="299">IFERROR(N37/$C$1,0)</f>
        <v>2.5013794143880932</v>
      </c>
      <c r="BL37" s="4504">
        <f t="shared" ref="BL37:BL40" si="300">IFERROR(O37/$C$1,0)</f>
        <v>1.3896591669350939</v>
      </c>
      <c r="BM37" s="4504">
        <f t="shared" ref="BM37:BM40" si="301">IFERROR(P37/$C$1,0)</f>
        <v>0.27793891948209448</v>
      </c>
      <c r="BN37" s="4504">
        <f t="shared" ref="BN37:BN40" si="302">IFERROR(Q37/$C$1,0)</f>
        <v>-7.9470722633113262E-16</v>
      </c>
      <c r="BO37" s="4504">
        <f t="shared" ref="BO37:BO40" si="303">IFERROR(R37/$C$1,0)</f>
        <v>-7.9470722633113262E-16</v>
      </c>
      <c r="BP37" s="4504">
        <f t="shared" ref="BP37:BP40" si="304">IFERROR(S37/$C$1,0)</f>
        <v>35.01634265268644</v>
      </c>
      <c r="BQ37" s="4504">
        <f t="shared" ref="BQ37:BQ40" si="305">IFERROR(T37/$C$1,0)</f>
        <v>28.346569165857829</v>
      </c>
      <c r="BR37" s="4504">
        <f t="shared" ref="BR37:BR40" si="306">IFERROR(U37/$C$1,0)</f>
        <v>21.676795679029222</v>
      </c>
      <c r="BS37" s="4504">
        <f t="shared" ref="BS37:BS40" si="307">IFERROR(V37/$C$1,0)</f>
        <v>15.007022192200612</v>
      </c>
      <c r="BT37" s="4504">
        <f t="shared" ref="BT37:BT40" si="308">IFERROR(W37/$C$1,0)</f>
        <v>8.3372487053720032</v>
      </c>
      <c r="BU37" s="4504">
        <f t="shared" ref="BU37:BU40" si="309">IFERROR(X37/$C$1,0)</f>
        <v>1.6674752185433959</v>
      </c>
      <c r="BV37" s="4504">
        <f t="shared" ref="BV37:BV40" si="310">IFERROR(Y37/$C$1,0)</f>
        <v>-2.9517696978013499E-15</v>
      </c>
      <c r="BW37" s="4504">
        <f t="shared" ref="BW37:BW40" si="311">IFERROR(Z37/$C$1,0)</f>
        <v>-2.9517696978013499E-15</v>
      </c>
      <c r="BX37" s="4504">
        <f t="shared" ref="BX37:BX40" si="312">IFERROR(AA37/$C$1,0)</f>
        <v>0</v>
      </c>
      <c r="BY37" s="4504">
        <f t="shared" ref="BY37:BY40" si="313">IFERROR(AB37/$C$1,0)</f>
        <v>0</v>
      </c>
      <c r="BZ37" s="4504">
        <f t="shared" ref="BZ37:BZ40" si="314">IFERROR(AC37/$C$1,0)</f>
        <v>0</v>
      </c>
      <c r="CA37" s="4504">
        <f t="shared" ref="CA37:CA40" si="315">IFERROR(AD37/$C$1,0)</f>
        <v>0</v>
      </c>
      <c r="CB37" s="4504">
        <f t="shared" ref="CB37:CB40" si="316">IFERROR(AE37/$C$1,0)</f>
        <v>0</v>
      </c>
      <c r="CC37" s="4504">
        <f t="shared" ref="CC37:CC40" si="317">IFERROR(AF37/$C$1,0)</f>
        <v>0</v>
      </c>
      <c r="CD37" s="4504">
        <f t="shared" ref="CD37:CD40" si="318">IFERROR(AG37/$C$1,0)</f>
        <v>0</v>
      </c>
      <c r="CE37" s="4504">
        <f t="shared" ref="CE37:CE40" si="319">IFERROR(AH37/$C$1,0)</f>
        <v>0</v>
      </c>
      <c r="CF37" s="4504">
        <f t="shared" ref="CF37:CF40" si="320">IFERROR(AI37/$C$1,0)</f>
        <v>0</v>
      </c>
      <c r="CG37" s="4504">
        <f t="shared" ref="CG37:CG40" si="321">IFERROR(AJ37/$C$1,0)</f>
        <v>0</v>
      </c>
      <c r="CH37" s="4504">
        <f t="shared" ref="CH37:CH40" si="322">IFERROR(AK37/$C$1,0)</f>
        <v>0</v>
      </c>
      <c r="CI37" s="4504">
        <f t="shared" ref="CI37:CI40" si="323">IFERROR(AL37/$C$1,0)</f>
        <v>0</v>
      </c>
      <c r="CJ37" s="4504">
        <f t="shared" ref="CJ37:CJ40" si="324">IFERROR(AM37/$C$1,0)</f>
        <v>0</v>
      </c>
      <c r="CK37" s="4504">
        <f t="shared" ref="CK37:CK40" si="325">IFERROR(AN37/$C$1,0)</f>
        <v>0</v>
      </c>
      <c r="CL37" s="4504">
        <f t="shared" ref="CL37:CL40" si="326">IFERROR(AO37/$C$1,0)</f>
        <v>0</v>
      </c>
      <c r="CM37" s="4504">
        <f t="shared" ref="CM37:CM40" si="327">IFERROR(AP37/$C$1,0)</f>
        <v>0</v>
      </c>
      <c r="CN37" s="4504">
        <f t="shared" ref="CN37:CN40" si="328">IFERROR(AQ37/$C$1,0)</f>
        <v>426.79400365934333</v>
      </c>
      <c r="CO37" s="4504">
        <f t="shared" ref="CO37:CO40" si="329">IFERROR(AR37/$C$1,0)</f>
        <v>345.49996309156609</v>
      </c>
      <c r="CP37" s="4504">
        <f t="shared" ref="CP37:CP40" si="330">IFERROR(AS37/$C$1,0)</f>
        <v>264.20592252378884</v>
      </c>
      <c r="CQ37" s="4504">
        <f t="shared" ref="CQ37:CQ40" si="331">IFERROR(AT37/$C$1,0)</f>
        <v>182.91188195601154</v>
      </c>
      <c r="CR37" s="4504">
        <f t="shared" ref="CR37:CR40" si="332">IFERROR(AU37/$C$1,0)</f>
        <v>101.61784138823427</v>
      </c>
      <c r="CS37" s="4504">
        <f t="shared" ref="CS37:CS40" si="333">IFERROR(AV37/$C$1,0)</f>
        <v>20.323800820456984</v>
      </c>
      <c r="CT37" s="4504">
        <f t="shared" ref="CT37:CT40" si="334">IFERROR(AW37/$C$1,0)</f>
        <v>9.0823683009272307E-14</v>
      </c>
      <c r="CU37" s="4504">
        <f t="shared" ref="CU37:CU40" si="335">IFERROR(AX37/$C$1,0)</f>
        <v>9.0823683009272307E-14</v>
      </c>
    </row>
    <row r="38" spans="1:99" s="1" customFormat="1">
      <c r="A38" s="3888" t="s">
        <v>962</v>
      </c>
      <c r="B38" s="2480" t="s">
        <v>196</v>
      </c>
      <c r="C38" s="400"/>
      <c r="D38" s="415"/>
      <c r="E38" s="413"/>
      <c r="F38" s="413"/>
      <c r="G38" s="413"/>
      <c r="H38" s="413"/>
      <c r="I38" s="413"/>
      <c r="J38" s="414"/>
      <c r="K38" s="400"/>
      <c r="L38" s="415"/>
      <c r="M38" s="413"/>
      <c r="N38" s="413"/>
      <c r="O38" s="413"/>
      <c r="P38" s="413"/>
      <c r="Q38" s="413"/>
      <c r="R38" s="414"/>
      <c r="S38" s="400"/>
      <c r="T38" s="415"/>
      <c r="U38" s="413"/>
      <c r="V38" s="413"/>
      <c r="W38" s="413"/>
      <c r="X38" s="413"/>
      <c r="Y38" s="413"/>
      <c r="Z38" s="414"/>
      <c r="AA38" s="400"/>
      <c r="AB38" s="415"/>
      <c r="AC38" s="413"/>
      <c r="AD38" s="413"/>
      <c r="AE38" s="413"/>
      <c r="AF38" s="413"/>
      <c r="AG38" s="413"/>
      <c r="AH38" s="414"/>
      <c r="AI38" s="400"/>
      <c r="AJ38" s="415"/>
      <c r="AK38" s="413"/>
      <c r="AL38" s="413"/>
      <c r="AM38" s="413"/>
      <c r="AN38" s="413"/>
      <c r="AO38" s="413"/>
      <c r="AP38" s="414"/>
      <c r="AQ38" s="2479">
        <f>C38+K38+S38+AA38+AI38</f>
        <v>0</v>
      </c>
      <c r="AR38" s="4176">
        <f t="shared" si="287"/>
        <v>0</v>
      </c>
      <c r="AS38" s="2481">
        <f t="shared" ref="AS38:AX40" si="336">E38+M38+U38+AC38+AK38</f>
        <v>0</v>
      </c>
      <c r="AT38" s="2481">
        <f t="shared" si="336"/>
        <v>0</v>
      </c>
      <c r="AU38" s="2481">
        <f t="shared" si="336"/>
        <v>0</v>
      </c>
      <c r="AV38" s="2481">
        <f t="shared" si="336"/>
        <v>0</v>
      </c>
      <c r="AW38" s="2481">
        <f t="shared" si="336"/>
        <v>0</v>
      </c>
      <c r="AX38" s="2482">
        <f t="shared" si="336"/>
        <v>0</v>
      </c>
      <c r="AY38" s="4488"/>
      <c r="AZ38" s="4504">
        <f t="shared" ref="AZ38:AZ40" si="337">IFERROR(C38/$C$1,0)</f>
        <v>0</v>
      </c>
      <c r="BA38" s="4504">
        <f t="shared" si="290"/>
        <v>0</v>
      </c>
      <c r="BB38" s="4504">
        <f t="shared" si="291"/>
        <v>0</v>
      </c>
      <c r="BC38" s="4504">
        <f t="shared" si="292"/>
        <v>0</v>
      </c>
      <c r="BD38" s="4504">
        <f t="shared" si="293"/>
        <v>0</v>
      </c>
      <c r="BE38" s="4504">
        <f t="shared" si="294"/>
        <v>0</v>
      </c>
      <c r="BF38" s="4504">
        <f t="shared" si="295"/>
        <v>0</v>
      </c>
      <c r="BG38" s="4504">
        <f t="shared" si="296"/>
        <v>0</v>
      </c>
      <c r="BH38" s="4504">
        <f>IFERROR(K38/$C$1,0)</f>
        <v>0</v>
      </c>
      <c r="BI38" s="4504">
        <f t="shared" si="297"/>
        <v>0</v>
      </c>
      <c r="BJ38" s="4504">
        <f t="shared" si="298"/>
        <v>0</v>
      </c>
      <c r="BK38" s="4504">
        <f t="shared" si="299"/>
        <v>0</v>
      </c>
      <c r="BL38" s="4504">
        <f t="shared" si="300"/>
        <v>0</v>
      </c>
      <c r="BM38" s="4504">
        <f t="shared" si="301"/>
        <v>0</v>
      </c>
      <c r="BN38" s="4504">
        <f t="shared" si="302"/>
        <v>0</v>
      </c>
      <c r="BO38" s="4504">
        <f t="shared" si="303"/>
        <v>0</v>
      </c>
      <c r="BP38" s="4504">
        <f t="shared" si="304"/>
        <v>0</v>
      </c>
      <c r="BQ38" s="4504">
        <f t="shared" si="305"/>
        <v>0</v>
      </c>
      <c r="BR38" s="4504">
        <f t="shared" si="306"/>
        <v>0</v>
      </c>
      <c r="BS38" s="4504">
        <f t="shared" si="307"/>
        <v>0</v>
      </c>
      <c r="BT38" s="4504">
        <f t="shared" si="308"/>
        <v>0</v>
      </c>
      <c r="BU38" s="4504">
        <f t="shared" si="309"/>
        <v>0</v>
      </c>
      <c r="BV38" s="4504">
        <f t="shared" si="310"/>
        <v>0</v>
      </c>
      <c r="BW38" s="4504">
        <f t="shared" si="311"/>
        <v>0</v>
      </c>
      <c r="BX38" s="4504">
        <f t="shared" si="312"/>
        <v>0</v>
      </c>
      <c r="BY38" s="4504">
        <f t="shared" si="313"/>
        <v>0</v>
      </c>
      <c r="BZ38" s="4504">
        <f t="shared" si="314"/>
        <v>0</v>
      </c>
      <c r="CA38" s="4504">
        <f t="shared" si="315"/>
        <v>0</v>
      </c>
      <c r="CB38" s="4504">
        <f t="shared" si="316"/>
        <v>0</v>
      </c>
      <c r="CC38" s="4504">
        <f t="shared" si="317"/>
        <v>0</v>
      </c>
      <c r="CD38" s="4504">
        <f t="shared" si="318"/>
        <v>0</v>
      </c>
      <c r="CE38" s="4504">
        <f t="shared" si="319"/>
        <v>0</v>
      </c>
      <c r="CF38" s="4504">
        <f t="shared" si="320"/>
        <v>0</v>
      </c>
      <c r="CG38" s="4504">
        <f t="shared" si="321"/>
        <v>0</v>
      </c>
      <c r="CH38" s="4504">
        <f t="shared" si="322"/>
        <v>0</v>
      </c>
      <c r="CI38" s="4504">
        <f t="shared" si="323"/>
        <v>0</v>
      </c>
      <c r="CJ38" s="4504">
        <f t="shared" si="324"/>
        <v>0</v>
      </c>
      <c r="CK38" s="4504">
        <f t="shared" si="325"/>
        <v>0</v>
      </c>
      <c r="CL38" s="4504">
        <f t="shared" si="326"/>
        <v>0</v>
      </c>
      <c r="CM38" s="4504">
        <f t="shared" si="327"/>
        <v>0</v>
      </c>
      <c r="CN38" s="4504">
        <f t="shared" si="328"/>
        <v>0</v>
      </c>
      <c r="CO38" s="4504">
        <f t="shared" si="329"/>
        <v>0</v>
      </c>
      <c r="CP38" s="4504">
        <f t="shared" si="330"/>
        <v>0</v>
      </c>
      <c r="CQ38" s="4504">
        <f t="shared" si="331"/>
        <v>0</v>
      </c>
      <c r="CR38" s="4504">
        <f t="shared" si="332"/>
        <v>0</v>
      </c>
      <c r="CS38" s="4504">
        <f t="shared" si="333"/>
        <v>0</v>
      </c>
      <c r="CT38" s="4504">
        <f t="shared" si="334"/>
        <v>0</v>
      </c>
      <c r="CU38" s="4504">
        <f t="shared" si="335"/>
        <v>0</v>
      </c>
    </row>
    <row r="39" spans="1:99" s="1" customFormat="1">
      <c r="A39" s="3888" t="s">
        <v>963</v>
      </c>
      <c r="B39" s="2480" t="s">
        <v>197</v>
      </c>
      <c r="C39" s="400">
        <v>143.77804447335586</v>
      </c>
      <c r="D39" s="415">
        <v>143.77804447335586</v>
      </c>
      <c r="E39" s="413">
        <v>143.77804447335586</v>
      </c>
      <c r="F39" s="413">
        <v>143.77804447335586</v>
      </c>
      <c r="G39" s="413">
        <v>143.77804447335586</v>
      </c>
      <c r="H39" s="413">
        <v>35.945000025099802</v>
      </c>
      <c r="I39" s="413"/>
      <c r="J39" s="414"/>
      <c r="K39" s="400">
        <v>2.1743358115759999</v>
      </c>
      <c r="L39" s="415">
        <v>2.1743358115759999</v>
      </c>
      <c r="M39" s="413">
        <v>2.1743358115759999</v>
      </c>
      <c r="N39" s="413">
        <v>2.1743358115759999</v>
      </c>
      <c r="O39" s="413">
        <v>2.1743358115759999</v>
      </c>
      <c r="P39" s="413">
        <v>0.5436012768906664</v>
      </c>
      <c r="Q39" s="413"/>
      <c r="R39" s="414"/>
      <c r="S39" s="400">
        <v>13.044943078744</v>
      </c>
      <c r="T39" s="415">
        <v>13.044943078744</v>
      </c>
      <c r="U39" s="413">
        <v>13.044943078743996</v>
      </c>
      <c r="V39" s="413">
        <v>13.044943078743996</v>
      </c>
      <c r="W39" s="413">
        <v>13.044943078743996</v>
      </c>
      <c r="X39" s="413">
        <v>3.2612980566837355</v>
      </c>
      <c r="Y39" s="413"/>
      <c r="Z39" s="414"/>
      <c r="AA39" s="400"/>
      <c r="AB39" s="415"/>
      <c r="AC39" s="413"/>
      <c r="AD39" s="413"/>
      <c r="AE39" s="413"/>
      <c r="AF39" s="413"/>
      <c r="AG39" s="413"/>
      <c r="AH39" s="414"/>
      <c r="AI39" s="400"/>
      <c r="AJ39" s="415"/>
      <c r="AK39" s="413"/>
      <c r="AL39" s="413"/>
      <c r="AM39" s="413"/>
      <c r="AN39" s="413"/>
      <c r="AO39" s="413"/>
      <c r="AP39" s="414"/>
      <c r="AQ39" s="2479">
        <f t="shared" si="287"/>
        <v>158.99732336367586</v>
      </c>
      <c r="AR39" s="4176">
        <f t="shared" si="287"/>
        <v>158.99732336367586</v>
      </c>
      <c r="AS39" s="2481">
        <f t="shared" si="336"/>
        <v>158.99732336367583</v>
      </c>
      <c r="AT39" s="2481">
        <f t="shared" si="336"/>
        <v>158.99732336367583</v>
      </c>
      <c r="AU39" s="2481">
        <f t="shared" si="336"/>
        <v>158.99732336367583</v>
      </c>
      <c r="AV39" s="2481">
        <f t="shared" si="336"/>
        <v>39.749899358674206</v>
      </c>
      <c r="AW39" s="2481">
        <f t="shared" si="336"/>
        <v>0</v>
      </c>
      <c r="AX39" s="2482">
        <f t="shared" si="336"/>
        <v>0</v>
      </c>
      <c r="AY39" s="4488"/>
      <c r="AZ39" s="4504">
        <f t="shared" si="337"/>
        <v>73.512546833495691</v>
      </c>
      <c r="BA39" s="4504">
        <f t="shared" si="290"/>
        <v>73.512546833495691</v>
      </c>
      <c r="BB39" s="4504">
        <f t="shared" si="291"/>
        <v>73.512546833495691</v>
      </c>
      <c r="BC39" s="4504">
        <f t="shared" si="292"/>
        <v>73.512546833495691</v>
      </c>
      <c r="BD39" s="4504">
        <f t="shared" si="293"/>
        <v>73.512546833495691</v>
      </c>
      <c r="BE39" s="4504">
        <f t="shared" si="294"/>
        <v>18.378386682431398</v>
      </c>
      <c r="BF39" s="4504">
        <f t="shared" si="295"/>
        <v>0</v>
      </c>
      <c r="BG39" s="4504">
        <f t="shared" si="296"/>
        <v>0</v>
      </c>
      <c r="BH39" s="4504">
        <f t="shared" ref="BH39:BH40" si="338">IFERROR(K39/$C$1,0)</f>
        <v>1.1117202474529995</v>
      </c>
      <c r="BI39" s="4504">
        <f t="shared" si="297"/>
        <v>1.1117202474529995</v>
      </c>
      <c r="BJ39" s="4504">
        <f t="shared" si="298"/>
        <v>1.1117202474529995</v>
      </c>
      <c r="BK39" s="4504">
        <f t="shared" si="299"/>
        <v>1.1117202474529995</v>
      </c>
      <c r="BL39" s="4504">
        <f t="shared" si="300"/>
        <v>1.1117202474529995</v>
      </c>
      <c r="BM39" s="4504">
        <f t="shared" si="301"/>
        <v>0.27793891948209526</v>
      </c>
      <c r="BN39" s="4504">
        <f t="shared" si="302"/>
        <v>0</v>
      </c>
      <c r="BO39" s="4504">
        <f t="shared" si="303"/>
        <v>0</v>
      </c>
      <c r="BP39" s="4504">
        <f t="shared" si="304"/>
        <v>6.6697734868286096</v>
      </c>
      <c r="BQ39" s="4504">
        <f t="shared" si="305"/>
        <v>6.6697734868286096</v>
      </c>
      <c r="BR39" s="4504">
        <f t="shared" si="306"/>
        <v>6.6697734868286078</v>
      </c>
      <c r="BS39" s="4504">
        <f t="shared" si="307"/>
        <v>6.6697734868286078</v>
      </c>
      <c r="BT39" s="4504">
        <f t="shared" si="308"/>
        <v>6.6697734868286078</v>
      </c>
      <c r="BU39" s="4504">
        <f t="shared" si="309"/>
        <v>1.6674752185433988</v>
      </c>
      <c r="BV39" s="4504">
        <f t="shared" si="310"/>
        <v>0</v>
      </c>
      <c r="BW39" s="4504">
        <f t="shared" si="311"/>
        <v>0</v>
      </c>
      <c r="BX39" s="4504">
        <f t="shared" si="312"/>
        <v>0</v>
      </c>
      <c r="BY39" s="4504">
        <f t="shared" si="313"/>
        <v>0</v>
      </c>
      <c r="BZ39" s="4504">
        <f t="shared" si="314"/>
        <v>0</v>
      </c>
      <c r="CA39" s="4504">
        <f t="shared" si="315"/>
        <v>0</v>
      </c>
      <c r="CB39" s="4504">
        <f t="shared" si="316"/>
        <v>0</v>
      </c>
      <c r="CC39" s="4504">
        <f t="shared" si="317"/>
        <v>0</v>
      </c>
      <c r="CD39" s="4504">
        <f t="shared" si="318"/>
        <v>0</v>
      </c>
      <c r="CE39" s="4504">
        <f t="shared" si="319"/>
        <v>0</v>
      </c>
      <c r="CF39" s="4504">
        <f t="shared" si="320"/>
        <v>0</v>
      </c>
      <c r="CG39" s="4504">
        <f t="shared" si="321"/>
        <v>0</v>
      </c>
      <c r="CH39" s="4504">
        <f t="shared" si="322"/>
        <v>0</v>
      </c>
      <c r="CI39" s="4504">
        <f t="shared" si="323"/>
        <v>0</v>
      </c>
      <c r="CJ39" s="4504">
        <f t="shared" si="324"/>
        <v>0</v>
      </c>
      <c r="CK39" s="4504">
        <f t="shared" si="325"/>
        <v>0</v>
      </c>
      <c r="CL39" s="4504">
        <f t="shared" si="326"/>
        <v>0</v>
      </c>
      <c r="CM39" s="4504">
        <f t="shared" si="327"/>
        <v>0</v>
      </c>
      <c r="CN39" s="4504">
        <f t="shared" si="328"/>
        <v>81.294040567777287</v>
      </c>
      <c r="CO39" s="4504">
        <f t="shared" si="329"/>
        <v>81.294040567777287</v>
      </c>
      <c r="CP39" s="4504">
        <f t="shared" si="330"/>
        <v>81.294040567777273</v>
      </c>
      <c r="CQ39" s="4504">
        <f t="shared" si="331"/>
        <v>81.294040567777273</v>
      </c>
      <c r="CR39" s="4504">
        <f t="shared" si="332"/>
        <v>81.294040567777273</v>
      </c>
      <c r="CS39" s="4504">
        <f t="shared" si="333"/>
        <v>20.323800820456896</v>
      </c>
      <c r="CT39" s="4504">
        <f t="shared" si="334"/>
        <v>0</v>
      </c>
      <c r="CU39" s="4504">
        <f t="shared" si="335"/>
        <v>0</v>
      </c>
    </row>
    <row r="40" spans="1:99" s="1" customFormat="1">
      <c r="A40" s="3888" t="s">
        <v>964</v>
      </c>
      <c r="B40" s="2480" t="s">
        <v>198</v>
      </c>
      <c r="C40" s="400">
        <v>24.801720728421468</v>
      </c>
      <c r="D40" s="415">
        <v>19.625719969386598</v>
      </c>
      <c r="E40" s="413">
        <v>14.449714275839927</v>
      </c>
      <c r="F40" s="413">
        <v>9.2736893269900786</v>
      </c>
      <c r="G40" s="413">
        <v>4.097716973612882</v>
      </c>
      <c r="H40" s="413">
        <v>0.21568957934269392</v>
      </c>
      <c r="I40" s="413"/>
      <c r="J40" s="414"/>
      <c r="K40" s="400">
        <v>0.37507343731733334</v>
      </c>
      <c r="L40" s="415">
        <v>0.29679768072133328</v>
      </c>
      <c r="M40" s="413">
        <v>0.21852077706886602</v>
      </c>
      <c r="N40" s="413">
        <v>0.14024571814485978</v>
      </c>
      <c r="O40" s="413">
        <v>6.1970659220853583E-2</v>
      </c>
      <c r="P40" s="413">
        <v>3.2624288682831337E-3</v>
      </c>
      <c r="Q40" s="413"/>
      <c r="R40" s="414"/>
      <c r="S40" s="400">
        <v>2.2502541125450666</v>
      </c>
      <c r="T40" s="415">
        <v>1.7806373230530668</v>
      </c>
      <c r="U40" s="413">
        <v>1.3110181496403497</v>
      </c>
      <c r="V40" s="413">
        <v>0.84140108548389303</v>
      </c>
      <c r="W40" s="413">
        <v>0.37178735726305912</v>
      </c>
      <c r="X40" s="413">
        <v>1.9570512816389843E-2</v>
      </c>
      <c r="Y40" s="413"/>
      <c r="Z40" s="414"/>
      <c r="AA40" s="400"/>
      <c r="AB40" s="415"/>
      <c r="AC40" s="413"/>
      <c r="AD40" s="413"/>
      <c r="AE40" s="413"/>
      <c r="AF40" s="413"/>
      <c r="AG40" s="413"/>
      <c r="AH40" s="414"/>
      <c r="AI40" s="400"/>
      <c r="AJ40" s="415"/>
      <c r="AK40" s="413"/>
      <c r="AL40" s="413"/>
      <c r="AM40" s="413"/>
      <c r="AN40" s="413"/>
      <c r="AO40" s="413"/>
      <c r="AP40" s="414"/>
      <c r="AQ40" s="2479">
        <f t="shared" si="287"/>
        <v>27.42704827828387</v>
      </c>
      <c r="AR40" s="4176">
        <f t="shared" si="287"/>
        <v>21.703154973160999</v>
      </c>
      <c r="AS40" s="2481">
        <f t="shared" si="336"/>
        <v>15.979253202549142</v>
      </c>
      <c r="AT40" s="2481">
        <f t="shared" si="336"/>
        <v>10.255336130618831</v>
      </c>
      <c r="AU40" s="2481">
        <f t="shared" si="336"/>
        <v>4.531474990096795</v>
      </c>
      <c r="AV40" s="2481">
        <f t="shared" si="336"/>
        <v>0.23852252102736687</v>
      </c>
      <c r="AW40" s="2481">
        <f t="shared" si="336"/>
        <v>0</v>
      </c>
      <c r="AX40" s="2482">
        <f t="shared" si="336"/>
        <v>0</v>
      </c>
      <c r="AY40" s="4488"/>
      <c r="AZ40" s="4504">
        <f t="shared" si="337"/>
        <v>12.680918448137859</v>
      </c>
      <c r="BA40" s="4504">
        <f t="shared" si="290"/>
        <v>10.034471282977865</v>
      </c>
      <c r="BB40" s="4504">
        <f t="shared" si="291"/>
        <v>7.3880215948420505</v>
      </c>
      <c r="BC40" s="4504">
        <f t="shared" si="292"/>
        <v>4.741562061626051</v>
      </c>
      <c r="BD40" s="4504">
        <f t="shared" si="293"/>
        <v>2.0951294200482056</v>
      </c>
      <c r="BE40" s="4504">
        <f t="shared" si="294"/>
        <v>0.110280330776547</v>
      </c>
      <c r="BF40" s="4504">
        <f t="shared" si="295"/>
        <v>0</v>
      </c>
      <c r="BG40" s="4504">
        <f t="shared" si="296"/>
        <v>0</v>
      </c>
      <c r="BH40" s="4504">
        <f t="shared" si="338"/>
        <v>0.1917720033527113</v>
      </c>
      <c r="BI40" s="4504">
        <f t="shared" si="297"/>
        <v>0.15175024451068511</v>
      </c>
      <c r="BJ40" s="4504">
        <f t="shared" si="298"/>
        <v>0.111727899188</v>
      </c>
      <c r="BK40" s="4504">
        <f t="shared" si="299"/>
        <v>7.1706497059999999E-2</v>
      </c>
      <c r="BL40" s="4504">
        <f t="shared" si="300"/>
        <v>3.1685094932000016E-2</v>
      </c>
      <c r="BM40" s="4504">
        <f t="shared" si="301"/>
        <v>1.6680533933333336E-3</v>
      </c>
      <c r="BN40" s="4504">
        <f t="shared" si="302"/>
        <v>0</v>
      </c>
      <c r="BO40" s="4504">
        <f t="shared" si="303"/>
        <v>0</v>
      </c>
      <c r="BP40" s="4504">
        <f t="shared" si="304"/>
        <v>1.1505366583726944</v>
      </c>
      <c r="BQ40" s="4504">
        <f t="shared" si="305"/>
        <v>0.91042540663200111</v>
      </c>
      <c r="BR40" s="4504">
        <f t="shared" si="306"/>
        <v>0.67031293601199993</v>
      </c>
      <c r="BS40" s="4504">
        <f t="shared" si="307"/>
        <v>0.4302015438375999</v>
      </c>
      <c r="BT40" s="4504">
        <f t="shared" si="308"/>
        <v>0.19009185730000006</v>
      </c>
      <c r="BU40" s="4504">
        <f t="shared" si="309"/>
        <v>1.0006244313866666E-2</v>
      </c>
      <c r="BV40" s="4504">
        <f t="shared" si="310"/>
        <v>0</v>
      </c>
      <c r="BW40" s="4504">
        <f t="shared" si="311"/>
        <v>0</v>
      </c>
      <c r="BX40" s="4504">
        <f t="shared" si="312"/>
        <v>0</v>
      </c>
      <c r="BY40" s="4504">
        <f t="shared" si="313"/>
        <v>0</v>
      </c>
      <c r="BZ40" s="4504">
        <f t="shared" si="314"/>
        <v>0</v>
      </c>
      <c r="CA40" s="4504">
        <f t="shared" si="315"/>
        <v>0</v>
      </c>
      <c r="CB40" s="4504">
        <f t="shared" si="316"/>
        <v>0</v>
      </c>
      <c r="CC40" s="4504">
        <f t="shared" si="317"/>
        <v>0</v>
      </c>
      <c r="CD40" s="4504">
        <f t="shared" si="318"/>
        <v>0</v>
      </c>
      <c r="CE40" s="4504">
        <f t="shared" si="319"/>
        <v>0</v>
      </c>
      <c r="CF40" s="4504">
        <f t="shared" si="320"/>
        <v>0</v>
      </c>
      <c r="CG40" s="4504">
        <f t="shared" si="321"/>
        <v>0</v>
      </c>
      <c r="CH40" s="4504">
        <f t="shared" si="322"/>
        <v>0</v>
      </c>
      <c r="CI40" s="4504">
        <f t="shared" si="323"/>
        <v>0</v>
      </c>
      <c r="CJ40" s="4504">
        <f t="shared" si="324"/>
        <v>0</v>
      </c>
      <c r="CK40" s="4504">
        <f t="shared" si="325"/>
        <v>0</v>
      </c>
      <c r="CL40" s="4504">
        <f t="shared" si="326"/>
        <v>0</v>
      </c>
      <c r="CM40" s="4504">
        <f t="shared" si="327"/>
        <v>0</v>
      </c>
      <c r="CN40" s="4504">
        <f t="shared" si="328"/>
        <v>14.023227109863265</v>
      </c>
      <c r="CO40" s="4504">
        <f t="shared" si="329"/>
        <v>11.096646934120551</v>
      </c>
      <c r="CP40" s="4504">
        <f t="shared" si="330"/>
        <v>8.1700624300420497</v>
      </c>
      <c r="CQ40" s="4504">
        <f t="shared" si="331"/>
        <v>5.2434701025236503</v>
      </c>
      <c r="CR40" s="4504">
        <f t="shared" si="332"/>
        <v>2.3169063722802057</v>
      </c>
      <c r="CS40" s="4504">
        <f t="shared" si="333"/>
        <v>0.121954628483747</v>
      </c>
      <c r="CT40" s="4504">
        <f t="shared" si="334"/>
        <v>0</v>
      </c>
      <c r="CU40" s="4504">
        <f t="shared" si="335"/>
        <v>0</v>
      </c>
    </row>
    <row r="41" spans="1:99" s="1" customFormat="1">
      <c r="A41" s="3888" t="s">
        <v>965</v>
      </c>
      <c r="B41" s="2480" t="s">
        <v>199</v>
      </c>
      <c r="C41" s="4182">
        <f t="shared" ref="C41" si="339">IF(C37=0,0,C40/((C37+C43)/2))</f>
        <v>3.6315775273052568E-2</v>
      </c>
      <c r="D41" s="4175">
        <f t="shared" ref="D41:J41" si="340">IF(D37=0,0,D40/((D37+D43)/2))</f>
        <v>3.6399998335523785E-2</v>
      </c>
      <c r="E41" s="1399">
        <f t="shared" si="340"/>
        <v>3.6545461978487827E-2</v>
      </c>
      <c r="F41" s="1399">
        <f t="shared" si="340"/>
        <v>3.6857092934069351E-2</v>
      </c>
      <c r="G41" s="1399">
        <f t="shared" si="340"/>
        <v>3.8000223748171691E-2</v>
      </c>
      <c r="H41" s="1399">
        <f t="shared" si="340"/>
        <v>1.2001089397250314E-2</v>
      </c>
      <c r="I41" s="1399">
        <f t="shared" si="340"/>
        <v>0</v>
      </c>
      <c r="J41" s="2483">
        <f t="shared" si="340"/>
        <v>0</v>
      </c>
      <c r="K41" s="2484">
        <f>IF(K37=0,0,K40/((K37+K43)/2))</f>
        <v>3.6315777921317481E-2</v>
      </c>
      <c r="L41" s="2493">
        <f>IF(L37=0,0,L40/((L37+L43)/2))</f>
        <v>3.6400025981547034E-2</v>
      </c>
      <c r="M41" s="2485">
        <f>IF(M37=0,0,M40/((M37+M43)/2))</f>
        <v>3.654535334738699E-2</v>
      </c>
      <c r="N41" s="2485">
        <f t="shared" ref="N41:R41" si="341">IF(N37=0,0,N40/((N37+N43)/2))</f>
        <v>3.6857253178720975E-2</v>
      </c>
      <c r="O41" s="2485">
        <f t="shared" si="341"/>
        <v>3.8000877057942667E-2</v>
      </c>
      <c r="P41" s="2485">
        <f t="shared" si="341"/>
        <v>1.2003021357653356E-2</v>
      </c>
      <c r="Q41" s="2485">
        <f t="shared" si="341"/>
        <v>0</v>
      </c>
      <c r="R41" s="2486">
        <f t="shared" si="341"/>
        <v>0</v>
      </c>
      <c r="S41" s="2484">
        <f>IF(S37=0,0,S40/((S37+S43)/2))</f>
        <v>3.631577606999966E-2</v>
      </c>
      <c r="T41" s="2493">
        <f>IF(T37=0,0,T40/((T37+T43)/2))</f>
        <v>3.6400006655092368E-2</v>
      </c>
      <c r="U41" s="2485">
        <f>IF(U37=0,0,U40/((U37+U43)/2))</f>
        <v>3.6545429287920921E-2</v>
      </c>
      <c r="V41" s="2485">
        <f t="shared" ref="V41:Z41" si="342">IF(V37=0,0,V40/((V37+V43)/2))</f>
        <v>3.6857141156833743E-2</v>
      </c>
      <c r="W41" s="2485">
        <f t="shared" si="342"/>
        <v>3.8000420350551095E-2</v>
      </c>
      <c r="X41" s="2485">
        <f t="shared" si="342"/>
        <v>1.2001670792574089E-2</v>
      </c>
      <c r="Y41" s="2485">
        <f t="shared" si="342"/>
        <v>0</v>
      </c>
      <c r="Z41" s="2486">
        <f t="shared" si="342"/>
        <v>0</v>
      </c>
      <c r="AA41" s="2484">
        <f>IF(AA37=0,0,AA40/((AA37+AA43)/2))</f>
        <v>0</v>
      </c>
      <c r="AB41" s="2493">
        <f>IF(AB37=0,0,AB40/((AB37+AB43)/2))</f>
        <v>0</v>
      </c>
      <c r="AC41" s="2485">
        <f>IF(AC37=0,0,AC40/((AC37+AC43)/2))</f>
        <v>0</v>
      </c>
      <c r="AD41" s="2485">
        <f t="shared" ref="AD41:AH41" si="343">IF(AD37=0,0,AD40/((AD37+AD43)/2))</f>
        <v>0</v>
      </c>
      <c r="AE41" s="2485">
        <f t="shared" si="343"/>
        <v>0</v>
      </c>
      <c r="AF41" s="2485">
        <f t="shared" si="343"/>
        <v>0</v>
      </c>
      <c r="AG41" s="2485">
        <f t="shared" si="343"/>
        <v>0</v>
      </c>
      <c r="AH41" s="2486">
        <f t="shared" si="343"/>
        <v>0</v>
      </c>
      <c r="AI41" s="2484">
        <f>IF(AI37=0,0,AI40/((AI37+AI43)/2))</f>
        <v>0</v>
      </c>
      <c r="AJ41" s="2493">
        <f>IF(AJ37=0,0,AJ40/((AJ37+AJ43)/2))</f>
        <v>0</v>
      </c>
      <c r="AK41" s="2485">
        <f>IF(AK37=0,0,AK40/((AK37+AK43)/2))</f>
        <v>0</v>
      </c>
      <c r="AL41" s="2485">
        <f t="shared" ref="AL41:AP41" si="344">IF(AL37=0,0,AL40/((AL37+AL43)/2))</f>
        <v>0</v>
      </c>
      <c r="AM41" s="2485">
        <f t="shared" si="344"/>
        <v>0</v>
      </c>
      <c r="AN41" s="2485">
        <f t="shared" si="344"/>
        <v>0</v>
      </c>
      <c r="AO41" s="2485">
        <f t="shared" si="344"/>
        <v>0</v>
      </c>
      <c r="AP41" s="2486">
        <f t="shared" si="344"/>
        <v>0</v>
      </c>
      <c r="AQ41" s="2484">
        <f>IF(AQ37=0,0,AQ40/((AQ37+AQ43)/2))</f>
        <v>3.6315775374654004E-2</v>
      </c>
      <c r="AR41" s="2493">
        <f>IF(AR37=0,0,AR40/((AR37+AR43)/2))</f>
        <v>3.6399999396171459E-2</v>
      </c>
      <c r="AS41" s="2485">
        <f>IF(AS37=0,0,AS40/((AS37+AS43)/2))</f>
        <v>3.654545781082244E-2</v>
      </c>
      <c r="AT41" s="2485">
        <f t="shared" ref="AT41:AX41" si="345">IF(AT37=0,0,AT40/((AT37+AT43)/2))</f>
        <v>3.6857099081909976E-2</v>
      </c>
      <c r="AU41" s="2485">
        <f t="shared" si="345"/>
        <v>3.8000248812707416E-2</v>
      </c>
      <c r="AV41" s="2485">
        <f t="shared" si="345"/>
        <v>1.200116351868521E-2</v>
      </c>
      <c r="AW41" s="2485">
        <f t="shared" si="345"/>
        <v>0</v>
      </c>
      <c r="AX41" s="2486">
        <f t="shared" si="345"/>
        <v>0</v>
      </c>
      <c r="AY41" s="4488"/>
    </row>
    <row r="42" spans="1:99" s="1" customFormat="1">
      <c r="A42" s="3888" t="s">
        <v>966</v>
      </c>
      <c r="B42" s="2480" t="s">
        <v>200</v>
      </c>
      <c r="C42" s="2487">
        <f>C39+C40</f>
        <v>168.57976520177732</v>
      </c>
      <c r="D42" s="2494">
        <f>D39+D40</f>
        <v>163.40376444274247</v>
      </c>
      <c r="E42" s="2488">
        <f t="shared" ref="E42:J42" si="346">E39+E40</f>
        <v>158.2277587491958</v>
      </c>
      <c r="F42" s="2488">
        <f t="shared" si="346"/>
        <v>153.05173380034594</v>
      </c>
      <c r="G42" s="2488">
        <f t="shared" si="346"/>
        <v>147.87576144696874</v>
      </c>
      <c r="H42" s="2488">
        <f t="shared" si="346"/>
        <v>36.160689604442496</v>
      </c>
      <c r="I42" s="2488">
        <f t="shared" si="346"/>
        <v>0</v>
      </c>
      <c r="J42" s="2489">
        <f t="shared" si="346"/>
        <v>0</v>
      </c>
      <c r="K42" s="2487">
        <f>K39+K40</f>
        <v>2.5494092488933333</v>
      </c>
      <c r="L42" s="2494">
        <f>L39+L40</f>
        <v>2.4711334922973331</v>
      </c>
      <c r="M42" s="2488">
        <f t="shared" ref="M42:R42" si="347">M39+M40</f>
        <v>2.3928565886448658</v>
      </c>
      <c r="N42" s="2488">
        <f t="shared" si="347"/>
        <v>2.3145815297208596</v>
      </c>
      <c r="O42" s="2488">
        <f t="shared" si="347"/>
        <v>2.2363064707968534</v>
      </c>
      <c r="P42" s="2488">
        <f t="shared" si="347"/>
        <v>0.54686370575894949</v>
      </c>
      <c r="Q42" s="2488">
        <f t="shared" si="347"/>
        <v>0</v>
      </c>
      <c r="R42" s="2489">
        <f t="shared" si="347"/>
        <v>0</v>
      </c>
      <c r="S42" s="2487">
        <f>S39+S40</f>
        <v>15.295197191289066</v>
      </c>
      <c r="T42" s="2494">
        <f>T39+T40</f>
        <v>14.825580401797067</v>
      </c>
      <c r="U42" s="2488">
        <f t="shared" ref="U42:Z42" si="348">U39+U40</f>
        <v>14.355961228384345</v>
      </c>
      <c r="V42" s="2488">
        <f t="shared" si="348"/>
        <v>13.886344164227889</v>
      </c>
      <c r="W42" s="2488">
        <f t="shared" si="348"/>
        <v>13.416730436007056</v>
      </c>
      <c r="X42" s="2488">
        <f t="shared" si="348"/>
        <v>3.2808685695001252</v>
      </c>
      <c r="Y42" s="2488">
        <f t="shared" si="348"/>
        <v>0</v>
      </c>
      <c r="Z42" s="2489">
        <f t="shared" si="348"/>
        <v>0</v>
      </c>
      <c r="AA42" s="2487">
        <f>AA39+AA40</f>
        <v>0</v>
      </c>
      <c r="AB42" s="2494">
        <f>AB39+AB40</f>
        <v>0</v>
      </c>
      <c r="AC42" s="2488">
        <f t="shared" ref="AC42:AH42" si="349">AC39+AC40</f>
        <v>0</v>
      </c>
      <c r="AD42" s="2488">
        <f t="shared" si="349"/>
        <v>0</v>
      </c>
      <c r="AE42" s="2488">
        <f t="shared" si="349"/>
        <v>0</v>
      </c>
      <c r="AF42" s="2488">
        <f t="shared" si="349"/>
        <v>0</v>
      </c>
      <c r="AG42" s="2488">
        <f t="shared" si="349"/>
        <v>0</v>
      </c>
      <c r="AH42" s="2489">
        <f t="shared" si="349"/>
        <v>0</v>
      </c>
      <c r="AI42" s="2487">
        <f>AI39+AI40</f>
        <v>0</v>
      </c>
      <c r="AJ42" s="2494">
        <f>AJ39+AJ40</f>
        <v>0</v>
      </c>
      <c r="AK42" s="2488">
        <f t="shared" ref="AK42:AP42" si="350">AK39+AK40</f>
        <v>0</v>
      </c>
      <c r="AL42" s="2488">
        <f t="shared" si="350"/>
        <v>0</v>
      </c>
      <c r="AM42" s="2488">
        <f t="shared" si="350"/>
        <v>0</v>
      </c>
      <c r="AN42" s="2488">
        <f t="shared" si="350"/>
        <v>0</v>
      </c>
      <c r="AO42" s="2488">
        <f t="shared" si="350"/>
        <v>0</v>
      </c>
      <c r="AP42" s="2489">
        <f t="shared" si="350"/>
        <v>0</v>
      </c>
      <c r="AQ42" s="2487">
        <f>AQ39+AQ40</f>
        <v>186.42437164195974</v>
      </c>
      <c r="AR42" s="2494">
        <f>AR39+AR40</f>
        <v>180.70047833683685</v>
      </c>
      <c r="AS42" s="2488">
        <f t="shared" ref="AS42:AX42" si="351">AS39+AS40</f>
        <v>174.97657656622496</v>
      </c>
      <c r="AT42" s="2488">
        <f t="shared" si="351"/>
        <v>169.25265949429468</v>
      </c>
      <c r="AU42" s="2488">
        <f t="shared" si="351"/>
        <v>163.52879835377263</v>
      </c>
      <c r="AV42" s="2488">
        <f t="shared" si="351"/>
        <v>39.988421879701576</v>
      </c>
      <c r="AW42" s="2488">
        <f t="shared" si="351"/>
        <v>0</v>
      </c>
      <c r="AX42" s="2489">
        <f t="shared" si="351"/>
        <v>0</v>
      </c>
      <c r="AY42" s="4488"/>
      <c r="AZ42" s="4504">
        <f t="shared" ref="AZ42:AZ43" si="352">IFERROR(C42/$C$1,0)</f>
        <v>86.193465281633536</v>
      </c>
      <c r="BA42" s="4504">
        <f t="shared" ref="BA42:BA43" si="353">IFERROR(D42/$C$1,0)</f>
        <v>83.547018116473552</v>
      </c>
      <c r="BB42" s="4504">
        <f t="shared" ref="BB42:BB43" si="354">IFERROR(E42/$C$1,0)</f>
        <v>80.900568428337735</v>
      </c>
      <c r="BC42" s="4504">
        <f t="shared" ref="BC42:BC43" si="355">IFERROR(F42/$C$1,0)</f>
        <v>78.254108895121732</v>
      </c>
      <c r="BD42" s="4504">
        <f t="shared" ref="BD42:BD43" si="356">IFERROR(G42/$C$1,0)</f>
        <v>75.607676253543886</v>
      </c>
      <c r="BE42" s="4504">
        <f t="shared" ref="BE42:BE43" si="357">IFERROR(H42/$C$1,0)</f>
        <v>18.488667013207944</v>
      </c>
      <c r="BF42" s="4504">
        <f t="shared" ref="BF42:BF43" si="358">IFERROR(I42/$C$1,0)</f>
        <v>0</v>
      </c>
      <c r="BG42" s="4504">
        <f t="shared" ref="BG42:BG43" si="359">IFERROR(J42/$C$1,0)</f>
        <v>0</v>
      </c>
      <c r="BH42" s="4504">
        <f t="shared" ref="BH42:BH43" si="360">IFERROR(K42/$C$1,0)</f>
        <v>1.3034922508057107</v>
      </c>
      <c r="BI42" s="4504">
        <f t="shared" ref="BI42:BI43" si="361">IFERROR(L42/$C$1,0)</f>
        <v>1.2634704919636845</v>
      </c>
      <c r="BJ42" s="4504">
        <f t="shared" ref="BJ42:BJ43" si="362">IFERROR(M42/$C$1,0)</f>
        <v>1.2234481466409994</v>
      </c>
      <c r="BK42" s="4504">
        <f t="shared" ref="BK42:BK43" si="363">IFERROR(N42/$C$1,0)</f>
        <v>1.1834267445129993</v>
      </c>
      <c r="BL42" s="4504">
        <f t="shared" ref="BL42:BL43" si="364">IFERROR(O42/$C$1,0)</f>
        <v>1.1434053423849995</v>
      </c>
      <c r="BM42" s="4504">
        <f t="shared" ref="BM42:BM43" si="365">IFERROR(P42/$C$1,0)</f>
        <v>0.27960697287542857</v>
      </c>
      <c r="BN42" s="4504">
        <f t="shared" ref="BN42:BN43" si="366">IFERROR(Q42/$C$1,0)</f>
        <v>0</v>
      </c>
      <c r="BO42" s="4504">
        <f t="shared" ref="BO42:BO43" si="367">IFERROR(R42/$C$1,0)</f>
        <v>0</v>
      </c>
      <c r="BP42" s="4504">
        <f t="shared" ref="BP42:BP43" si="368">IFERROR(S42/$C$1,0)</f>
        <v>7.8203101452013044</v>
      </c>
      <c r="BQ42" s="4504">
        <f t="shared" ref="BQ42:BQ43" si="369">IFERROR(T42/$C$1,0)</f>
        <v>7.5801988934606115</v>
      </c>
      <c r="BR42" s="4504">
        <f t="shared" ref="BR42:BR43" si="370">IFERROR(U42/$C$1,0)</f>
        <v>7.3400864228406073</v>
      </c>
      <c r="BS42" s="4504">
        <f t="shared" ref="BS42:BS43" si="371">IFERROR(V42/$C$1,0)</f>
        <v>7.0999750306662079</v>
      </c>
      <c r="BT42" s="4504">
        <f t="shared" ref="BT42:BT43" si="372">IFERROR(W42/$C$1,0)</f>
        <v>6.8598653441286084</v>
      </c>
      <c r="BU42" s="4504">
        <f t="shared" ref="BU42:BU43" si="373">IFERROR(X42/$C$1,0)</f>
        <v>1.6774814628572654</v>
      </c>
      <c r="BV42" s="4504">
        <f t="shared" ref="BV42:BV43" si="374">IFERROR(Y42/$C$1,0)</f>
        <v>0</v>
      </c>
      <c r="BW42" s="4504">
        <f t="shared" ref="BW42:BW43" si="375">IFERROR(Z42/$C$1,0)</f>
        <v>0</v>
      </c>
      <c r="BX42" s="4504">
        <f t="shared" ref="BX42:BX43" si="376">IFERROR(AA42/$C$1,0)</f>
        <v>0</v>
      </c>
      <c r="BY42" s="4504">
        <f t="shared" ref="BY42:BY43" si="377">IFERROR(AB42/$C$1,0)</f>
        <v>0</v>
      </c>
      <c r="BZ42" s="4504">
        <f t="shared" ref="BZ42:BZ43" si="378">IFERROR(AC42/$C$1,0)</f>
        <v>0</v>
      </c>
      <c r="CA42" s="4504">
        <f t="shared" ref="CA42:CA43" si="379">IFERROR(AD42/$C$1,0)</f>
        <v>0</v>
      </c>
      <c r="CB42" s="4504">
        <f t="shared" ref="CB42:CB43" si="380">IFERROR(AE42/$C$1,0)</f>
        <v>0</v>
      </c>
      <c r="CC42" s="4504">
        <f t="shared" ref="CC42:CC43" si="381">IFERROR(AF42/$C$1,0)</f>
        <v>0</v>
      </c>
      <c r="CD42" s="4504">
        <f t="shared" ref="CD42:CD43" si="382">IFERROR(AG42/$C$1,0)</f>
        <v>0</v>
      </c>
      <c r="CE42" s="4504">
        <f t="shared" ref="CE42:CE43" si="383">IFERROR(AH42/$C$1,0)</f>
        <v>0</v>
      </c>
      <c r="CF42" s="4504">
        <f t="shared" ref="CF42:CF43" si="384">IFERROR(AI42/$C$1,0)</f>
        <v>0</v>
      </c>
      <c r="CG42" s="4504">
        <f t="shared" ref="CG42:CG43" si="385">IFERROR(AJ42/$C$1,0)</f>
        <v>0</v>
      </c>
      <c r="CH42" s="4504">
        <f t="shared" ref="CH42:CH43" si="386">IFERROR(AK42/$C$1,0)</f>
        <v>0</v>
      </c>
      <c r="CI42" s="4504">
        <f t="shared" ref="CI42:CI43" si="387">IFERROR(AL42/$C$1,0)</f>
        <v>0</v>
      </c>
      <c r="CJ42" s="4504">
        <f t="shared" ref="CJ42:CJ43" si="388">IFERROR(AM42/$C$1,0)</f>
        <v>0</v>
      </c>
      <c r="CK42" s="4504">
        <f t="shared" ref="CK42:CK43" si="389">IFERROR(AN42/$C$1,0)</f>
        <v>0</v>
      </c>
      <c r="CL42" s="4504">
        <f t="shared" ref="CL42:CL43" si="390">IFERROR(AO42/$C$1,0)</f>
        <v>0</v>
      </c>
      <c r="CM42" s="4504">
        <f t="shared" ref="CM42:CM43" si="391">IFERROR(AP42/$C$1,0)</f>
        <v>0</v>
      </c>
      <c r="CN42" s="4504">
        <f t="shared" ref="CN42:CN43" si="392">IFERROR(AQ42/$C$1,0)</f>
        <v>95.317267677640558</v>
      </c>
      <c r="CO42" s="4504">
        <f t="shared" ref="CO42:CO43" si="393">IFERROR(AR42/$C$1,0)</f>
        <v>92.390687501897844</v>
      </c>
      <c r="CP42" s="4504">
        <f t="shared" ref="CP42:CP43" si="394">IFERROR(AS42/$C$1,0)</f>
        <v>89.464102997819325</v>
      </c>
      <c r="CQ42" s="4504">
        <f t="shared" ref="CQ42:CQ43" si="395">IFERROR(AT42/$C$1,0)</f>
        <v>86.537510670300932</v>
      </c>
      <c r="CR42" s="4504">
        <f t="shared" ref="CR42:CR43" si="396">IFERROR(AU42/$C$1,0)</f>
        <v>83.610946940057488</v>
      </c>
      <c r="CS42" s="4504">
        <f t="shared" ref="CS42:CS43" si="397">IFERROR(AV42/$C$1,0)</f>
        <v>20.445755448940641</v>
      </c>
      <c r="CT42" s="4504">
        <f t="shared" ref="CT42:CT43" si="398">IFERROR(AW42/$C$1,0)</f>
        <v>0</v>
      </c>
      <c r="CU42" s="4504">
        <f t="shared" ref="CU42:CU43" si="399">IFERROR(AX42/$C$1,0)</f>
        <v>0</v>
      </c>
    </row>
    <row r="43" spans="1:99" s="1" customFormat="1">
      <c r="A43" s="3888" t="s">
        <v>967</v>
      </c>
      <c r="B43" s="2480" t="s">
        <v>201</v>
      </c>
      <c r="C43" s="2487">
        <f>C37+C38-C39</f>
        <v>611.05717791852328</v>
      </c>
      <c r="D43" s="2494">
        <f>D37+D38-D39</f>
        <v>467.27913344516742</v>
      </c>
      <c r="E43" s="2488">
        <f t="shared" ref="E43:J43" si="400">E37+E38-E39</f>
        <v>323.50108897181155</v>
      </c>
      <c r="F43" s="2488">
        <f t="shared" si="400"/>
        <v>179.72304449845569</v>
      </c>
      <c r="G43" s="2488">
        <f t="shared" si="400"/>
        <v>35.94500002509983</v>
      </c>
      <c r="H43" s="2488">
        <f t="shared" si="400"/>
        <v>0</v>
      </c>
      <c r="I43" s="2488">
        <f t="shared" si="400"/>
        <v>0</v>
      </c>
      <c r="J43" s="2489">
        <f t="shared" si="400"/>
        <v>0</v>
      </c>
      <c r="K43" s="2487">
        <f>K37+K38-K39</f>
        <v>9.2409445231946652</v>
      </c>
      <c r="L43" s="2494">
        <f>L37+L38-L39</f>
        <v>7.0666087116186649</v>
      </c>
      <c r="M43" s="2488">
        <f t="shared" ref="M43:R43" si="401">M37+M38-M39</f>
        <v>4.8922729000426646</v>
      </c>
      <c r="N43" s="2488">
        <f t="shared" si="401"/>
        <v>2.7179370884666647</v>
      </c>
      <c r="O43" s="2488">
        <f t="shared" si="401"/>
        <v>0.54360127689066484</v>
      </c>
      <c r="P43" s="2488">
        <f t="shared" si="401"/>
        <v>-1.5543122344752192E-15</v>
      </c>
      <c r="Q43" s="2488">
        <f t="shared" si="401"/>
        <v>-1.5543122344752192E-15</v>
      </c>
      <c r="R43" s="2489">
        <f t="shared" si="401"/>
        <v>-1.5543122344752192E-15</v>
      </c>
      <c r="S43" s="2487">
        <f>S37+S38-S39</f>
        <v>55.44107037165972</v>
      </c>
      <c r="T43" s="2494">
        <f>T37+T38-T39</f>
        <v>42.396127292915722</v>
      </c>
      <c r="U43" s="2488">
        <f t="shared" ref="U43:Z43" si="402">U37+U38-U39</f>
        <v>29.351184214171724</v>
      </c>
      <c r="V43" s="2488">
        <f t="shared" si="402"/>
        <v>16.306241135427726</v>
      </c>
      <c r="W43" s="2488">
        <f t="shared" si="402"/>
        <v>3.2612980566837297</v>
      </c>
      <c r="X43" s="2488">
        <f t="shared" si="402"/>
        <v>-5.773159728050814E-15</v>
      </c>
      <c r="Y43" s="2488">
        <f t="shared" si="402"/>
        <v>-5.773159728050814E-15</v>
      </c>
      <c r="Z43" s="2489">
        <f t="shared" si="402"/>
        <v>-5.773159728050814E-15</v>
      </c>
      <c r="AA43" s="2487">
        <f>AA37+AA38-AA39</f>
        <v>0</v>
      </c>
      <c r="AB43" s="2494">
        <f>AB37+AB38-AB39</f>
        <v>0</v>
      </c>
      <c r="AC43" s="2488">
        <f t="shared" ref="AC43:AH43" si="403">AC37+AC38-AC39</f>
        <v>0</v>
      </c>
      <c r="AD43" s="2488">
        <f t="shared" si="403"/>
        <v>0</v>
      </c>
      <c r="AE43" s="2488">
        <f t="shared" si="403"/>
        <v>0</v>
      </c>
      <c r="AF43" s="2488">
        <f t="shared" si="403"/>
        <v>0</v>
      </c>
      <c r="AG43" s="2488">
        <f t="shared" si="403"/>
        <v>0</v>
      </c>
      <c r="AH43" s="2489">
        <f t="shared" si="403"/>
        <v>0</v>
      </c>
      <c r="AI43" s="2487">
        <f>AI37+AI38-AI39</f>
        <v>0</v>
      </c>
      <c r="AJ43" s="2494">
        <f>AJ37+AJ38-AJ39</f>
        <v>0</v>
      </c>
      <c r="AK43" s="2488">
        <f t="shared" ref="AK43:AP43" si="404">AK37+AK38-AK39</f>
        <v>0</v>
      </c>
      <c r="AL43" s="2488">
        <f t="shared" si="404"/>
        <v>0</v>
      </c>
      <c r="AM43" s="2488">
        <f t="shared" si="404"/>
        <v>0</v>
      </c>
      <c r="AN43" s="2488">
        <f t="shared" si="404"/>
        <v>0</v>
      </c>
      <c r="AO43" s="2488">
        <f t="shared" si="404"/>
        <v>0</v>
      </c>
      <c r="AP43" s="2489">
        <f t="shared" si="404"/>
        <v>0</v>
      </c>
      <c r="AQ43" s="2487">
        <f>AQ37+AQ38-AQ39</f>
        <v>675.7391928133776</v>
      </c>
      <c r="AR43" s="2494">
        <f>AR37+AR38-AR39</f>
        <v>516.74186944970188</v>
      </c>
      <c r="AS43" s="2488">
        <f t="shared" ref="AS43:AX43" si="405">AS37+AS38-AS39</f>
        <v>357.74454608602605</v>
      </c>
      <c r="AT43" s="2488">
        <f t="shared" si="405"/>
        <v>198.74722272235022</v>
      </c>
      <c r="AU43" s="2488">
        <f t="shared" si="405"/>
        <v>39.749899358674384</v>
      </c>
      <c r="AV43" s="2488">
        <f t="shared" si="405"/>
        <v>1.7763568394002505E-13</v>
      </c>
      <c r="AW43" s="2488">
        <f t="shared" si="405"/>
        <v>1.7763568394002505E-13</v>
      </c>
      <c r="AX43" s="2489">
        <f t="shared" si="405"/>
        <v>1.7763568394002505E-13</v>
      </c>
      <c r="AY43" s="4488"/>
      <c r="AZ43" s="4504">
        <f t="shared" si="352"/>
        <v>312.42857401641413</v>
      </c>
      <c r="BA43" s="4504">
        <f t="shared" si="353"/>
        <v>238.91602718291847</v>
      </c>
      <c r="BB43" s="4504">
        <f t="shared" si="354"/>
        <v>165.40348034942278</v>
      </c>
      <c r="BC43" s="4504">
        <f t="shared" si="355"/>
        <v>91.890933515927102</v>
      </c>
      <c r="BD43" s="4504">
        <f t="shared" si="356"/>
        <v>18.378386682431412</v>
      </c>
      <c r="BE43" s="4504">
        <f t="shared" si="357"/>
        <v>0</v>
      </c>
      <c r="BF43" s="4504">
        <f t="shared" si="358"/>
        <v>0</v>
      </c>
      <c r="BG43" s="4504">
        <f t="shared" si="359"/>
        <v>0</v>
      </c>
      <c r="BH43" s="4504">
        <f t="shared" si="360"/>
        <v>4.7248199092940926</v>
      </c>
      <c r="BI43" s="4504">
        <f t="shared" si="361"/>
        <v>3.6130996618410931</v>
      </c>
      <c r="BJ43" s="4504">
        <f t="shared" si="362"/>
        <v>2.5013794143880932</v>
      </c>
      <c r="BK43" s="4504">
        <f t="shared" si="363"/>
        <v>1.3896591669350939</v>
      </c>
      <c r="BL43" s="4504">
        <f t="shared" si="364"/>
        <v>0.27793891948209448</v>
      </c>
      <c r="BM43" s="4504">
        <f t="shared" si="365"/>
        <v>-7.9470722633113262E-16</v>
      </c>
      <c r="BN43" s="4504">
        <f t="shared" si="366"/>
        <v>-7.9470722633113262E-16</v>
      </c>
      <c r="BO43" s="4504">
        <f t="shared" si="367"/>
        <v>-7.9470722633113262E-16</v>
      </c>
      <c r="BP43" s="4504">
        <f t="shared" si="368"/>
        <v>28.346569165857829</v>
      </c>
      <c r="BQ43" s="4504">
        <f t="shared" si="369"/>
        <v>21.676795679029222</v>
      </c>
      <c r="BR43" s="4504">
        <f t="shared" si="370"/>
        <v>15.007022192200612</v>
      </c>
      <c r="BS43" s="4504">
        <f t="shared" si="371"/>
        <v>8.3372487053720032</v>
      </c>
      <c r="BT43" s="4504">
        <f t="shared" si="372"/>
        <v>1.6674752185433959</v>
      </c>
      <c r="BU43" s="4504">
        <f t="shared" si="373"/>
        <v>-2.9517696978013499E-15</v>
      </c>
      <c r="BV43" s="4504">
        <f t="shared" si="374"/>
        <v>-2.9517696978013499E-15</v>
      </c>
      <c r="BW43" s="4504">
        <f t="shared" si="375"/>
        <v>-2.9517696978013499E-15</v>
      </c>
      <c r="BX43" s="4504">
        <f t="shared" si="376"/>
        <v>0</v>
      </c>
      <c r="BY43" s="4504">
        <f t="shared" si="377"/>
        <v>0</v>
      </c>
      <c r="BZ43" s="4504">
        <f t="shared" si="378"/>
        <v>0</v>
      </c>
      <c r="CA43" s="4504">
        <f t="shared" si="379"/>
        <v>0</v>
      </c>
      <c r="CB43" s="4504">
        <f t="shared" si="380"/>
        <v>0</v>
      </c>
      <c r="CC43" s="4504">
        <f t="shared" si="381"/>
        <v>0</v>
      </c>
      <c r="CD43" s="4504">
        <f t="shared" si="382"/>
        <v>0</v>
      </c>
      <c r="CE43" s="4504">
        <f t="shared" si="383"/>
        <v>0</v>
      </c>
      <c r="CF43" s="4504">
        <f t="shared" si="384"/>
        <v>0</v>
      </c>
      <c r="CG43" s="4504">
        <f t="shared" si="385"/>
        <v>0</v>
      </c>
      <c r="CH43" s="4504">
        <f t="shared" si="386"/>
        <v>0</v>
      </c>
      <c r="CI43" s="4504">
        <f t="shared" si="387"/>
        <v>0</v>
      </c>
      <c r="CJ43" s="4504">
        <f t="shared" si="388"/>
        <v>0</v>
      </c>
      <c r="CK43" s="4504">
        <f t="shared" si="389"/>
        <v>0</v>
      </c>
      <c r="CL43" s="4504">
        <f t="shared" si="390"/>
        <v>0</v>
      </c>
      <c r="CM43" s="4504">
        <f t="shared" si="391"/>
        <v>0</v>
      </c>
      <c r="CN43" s="4504">
        <f t="shared" si="392"/>
        <v>345.49996309156603</v>
      </c>
      <c r="CO43" s="4504">
        <f t="shared" si="393"/>
        <v>264.20592252378884</v>
      </c>
      <c r="CP43" s="4504">
        <f t="shared" si="394"/>
        <v>182.91188195601154</v>
      </c>
      <c r="CQ43" s="4504">
        <f t="shared" si="395"/>
        <v>101.61784138823427</v>
      </c>
      <c r="CR43" s="4504">
        <f t="shared" si="396"/>
        <v>20.323800820456984</v>
      </c>
      <c r="CS43" s="4504">
        <f t="shared" si="397"/>
        <v>9.0823683009272307E-14</v>
      </c>
      <c r="CT43" s="4504">
        <f t="shared" si="398"/>
        <v>9.0823683009272307E-14</v>
      </c>
      <c r="CU43" s="4504">
        <f t="shared" si="399"/>
        <v>9.0823683009272307E-14</v>
      </c>
    </row>
    <row r="44" spans="1:99" s="1" customFormat="1">
      <c r="A44" s="3888" t="s">
        <v>1380</v>
      </c>
      <c r="B44" s="2480" t="s">
        <v>1381</v>
      </c>
      <c r="C44" s="4610">
        <v>0.25371722502959571</v>
      </c>
      <c r="D44" s="4611">
        <v>0.25371722502959571</v>
      </c>
      <c r="E44" s="4612">
        <v>0.25371722502959571</v>
      </c>
      <c r="F44" s="4612">
        <v>0.25371722502959571</v>
      </c>
      <c r="G44" s="4612">
        <v>0.25371722502959571</v>
      </c>
      <c r="H44" s="4612">
        <v>0.25371722502959571</v>
      </c>
      <c r="I44" s="4612"/>
      <c r="J44" s="4613"/>
      <c r="K44" s="4610">
        <v>1</v>
      </c>
      <c r="L44" s="4611">
        <v>1</v>
      </c>
      <c r="M44" s="4612">
        <v>1</v>
      </c>
      <c r="N44" s="4612">
        <v>1</v>
      </c>
      <c r="O44" s="4612">
        <v>1</v>
      </c>
      <c r="P44" s="4612">
        <v>1</v>
      </c>
      <c r="Q44" s="4612"/>
      <c r="R44" s="4613"/>
      <c r="S44" s="4610">
        <v>0.64211416271941635</v>
      </c>
      <c r="T44" s="4611">
        <v>0.64211416271941635</v>
      </c>
      <c r="U44" s="4612">
        <v>0.64211416271941635</v>
      </c>
      <c r="V44" s="4612">
        <v>0.64211416271941635</v>
      </c>
      <c r="W44" s="4612">
        <v>0.64211416271941635</v>
      </c>
      <c r="X44" s="4612">
        <v>0.64211416271941635</v>
      </c>
      <c r="Y44" s="4612"/>
      <c r="Z44" s="4613"/>
      <c r="AA44" s="1370"/>
      <c r="AB44" s="4181"/>
      <c r="AC44" s="1371"/>
      <c r="AD44" s="1371"/>
      <c r="AE44" s="1371"/>
      <c r="AF44" s="1371"/>
      <c r="AG44" s="1371"/>
      <c r="AH44" s="1372"/>
      <c r="AI44" s="1370"/>
      <c r="AJ44" s="4181"/>
      <c r="AK44" s="1371"/>
      <c r="AL44" s="1371"/>
      <c r="AM44" s="1371"/>
      <c r="AN44" s="1371"/>
      <c r="AO44" s="1371"/>
      <c r="AP44" s="1372"/>
      <c r="AQ44" s="2487"/>
      <c r="AR44" s="2494"/>
      <c r="AS44" s="2488"/>
      <c r="AT44" s="2488"/>
      <c r="AU44" s="2488"/>
      <c r="AV44" s="2488"/>
      <c r="AW44" s="2488"/>
      <c r="AX44" s="2489"/>
      <c r="AY44" s="4488"/>
    </row>
    <row r="45" spans="1:99" s="1" customFormat="1" ht="13.8" thickBot="1">
      <c r="A45" s="3890" t="s">
        <v>1382</v>
      </c>
      <c r="B45" s="2499" t="s">
        <v>1383</v>
      </c>
      <c r="C45" s="4614">
        <v>0.74628277497040441</v>
      </c>
      <c r="D45" s="4615">
        <v>0.74628277497040441</v>
      </c>
      <c r="E45" s="4616">
        <v>0.74628277497040441</v>
      </c>
      <c r="F45" s="4616">
        <v>0.74628277497040441</v>
      </c>
      <c r="G45" s="4616">
        <v>0.74628277497040441</v>
      </c>
      <c r="H45" s="4616">
        <v>0.74628277497040441</v>
      </c>
      <c r="I45" s="4616"/>
      <c r="J45" s="4617"/>
      <c r="K45" s="4614">
        <v>0</v>
      </c>
      <c r="L45" s="4615">
        <v>0</v>
      </c>
      <c r="M45" s="4616">
        <v>0</v>
      </c>
      <c r="N45" s="4616">
        <v>0</v>
      </c>
      <c r="O45" s="4616">
        <v>0</v>
      </c>
      <c r="P45" s="4616">
        <v>0</v>
      </c>
      <c r="Q45" s="4616"/>
      <c r="R45" s="4617"/>
      <c r="S45" s="4614">
        <v>0.35788583728058365</v>
      </c>
      <c r="T45" s="4615">
        <v>0.35788583728058365</v>
      </c>
      <c r="U45" s="4616">
        <v>0.35788583728058365</v>
      </c>
      <c r="V45" s="4616">
        <v>0.35788583728058365</v>
      </c>
      <c r="W45" s="4616">
        <v>0.35788583728058365</v>
      </c>
      <c r="X45" s="4616">
        <v>0.35788583728058365</v>
      </c>
      <c r="Y45" s="4616"/>
      <c r="Z45" s="4617"/>
      <c r="AA45" s="1373"/>
      <c r="AB45" s="4184"/>
      <c r="AC45" s="1374"/>
      <c r="AD45" s="1374"/>
      <c r="AE45" s="1374"/>
      <c r="AF45" s="1374"/>
      <c r="AG45" s="1374"/>
      <c r="AH45" s="1375"/>
      <c r="AI45" s="1373"/>
      <c r="AJ45" s="4184"/>
      <c r="AK45" s="1374"/>
      <c r="AL45" s="1374"/>
      <c r="AM45" s="1374"/>
      <c r="AN45" s="1374"/>
      <c r="AO45" s="1374"/>
      <c r="AP45" s="1375"/>
      <c r="AQ45" s="2500"/>
      <c r="AR45" s="4200"/>
      <c r="AS45" s="2501"/>
      <c r="AT45" s="2501"/>
      <c r="AU45" s="2501"/>
      <c r="AV45" s="2501"/>
      <c r="AW45" s="2501"/>
      <c r="AX45" s="2502"/>
      <c r="AY45" s="4488"/>
    </row>
    <row r="46" spans="1:99" s="1" customFormat="1" ht="12.75" hidden="1" customHeight="1" thickBot="1">
      <c r="A46" s="5323">
        <v>10</v>
      </c>
      <c r="B46" s="5334" t="s">
        <v>1637</v>
      </c>
      <c r="C46" s="5318" t="s">
        <v>210</v>
      </c>
      <c r="D46" s="5319"/>
      <c r="E46" s="5319"/>
      <c r="F46" s="5319"/>
      <c r="G46" s="5319"/>
      <c r="H46" s="5319"/>
      <c r="I46" s="5319"/>
      <c r="J46" s="5320"/>
      <c r="K46" s="5318" t="s">
        <v>174</v>
      </c>
      <c r="L46" s="5319"/>
      <c r="M46" s="5319"/>
      <c r="N46" s="5319"/>
      <c r="O46" s="5319"/>
      <c r="P46" s="5319"/>
      <c r="Q46" s="5319"/>
      <c r="R46" s="5320"/>
      <c r="S46" s="5329" t="s">
        <v>184</v>
      </c>
      <c r="T46" s="5330"/>
      <c r="U46" s="5330"/>
      <c r="V46" s="5330"/>
      <c r="W46" s="5330"/>
      <c r="X46" s="5330"/>
      <c r="Y46" s="5330"/>
      <c r="Z46" s="5331"/>
      <c r="AA46" s="5313" t="s">
        <v>1029</v>
      </c>
      <c r="AB46" s="5314"/>
      <c r="AC46" s="5314"/>
      <c r="AD46" s="5314"/>
      <c r="AE46" s="5314"/>
      <c r="AF46" s="5314"/>
      <c r="AG46" s="5314"/>
      <c r="AH46" s="5315"/>
      <c r="AI46" s="5313" t="s">
        <v>1092</v>
      </c>
      <c r="AJ46" s="5314"/>
      <c r="AK46" s="5314"/>
      <c r="AL46" s="5314"/>
      <c r="AM46" s="5314"/>
      <c r="AN46" s="5314"/>
      <c r="AO46" s="5314"/>
      <c r="AP46" s="5315"/>
      <c r="AQ46" s="5313" t="s">
        <v>1249</v>
      </c>
      <c r="AR46" s="5314"/>
      <c r="AS46" s="5314"/>
      <c r="AT46" s="5314"/>
      <c r="AU46" s="5314"/>
      <c r="AV46" s="5314"/>
      <c r="AW46" s="5314"/>
      <c r="AX46" s="5315"/>
      <c r="AY46" s="4488"/>
    </row>
    <row r="47" spans="1:99" s="1" customFormat="1" ht="13.8" hidden="1" thickBot="1">
      <c r="A47" s="5324"/>
      <c r="B47" s="5335"/>
      <c r="C47" s="4183" t="str">
        <f t="shared" ref="C47" si="406">C36</f>
        <v>2024 г.</v>
      </c>
      <c r="D47" s="2477" t="str">
        <f t="shared" ref="D47:AX47" si="407">D36</f>
        <v>2025 г.</v>
      </c>
      <c r="E47" s="2475" t="str">
        <f t="shared" si="407"/>
        <v>2026 г.</v>
      </c>
      <c r="F47" s="2475" t="str">
        <f t="shared" si="407"/>
        <v>2027 г.</v>
      </c>
      <c r="G47" s="2475" t="str">
        <f t="shared" si="407"/>
        <v>2028 г.</v>
      </c>
      <c r="H47" s="2475" t="str">
        <f t="shared" si="407"/>
        <v>2029 г.</v>
      </c>
      <c r="I47" s="2475" t="str">
        <f t="shared" si="407"/>
        <v>2030 г.</v>
      </c>
      <c r="J47" s="2476" t="str">
        <f t="shared" si="407"/>
        <v>2031 г.</v>
      </c>
      <c r="K47" s="2490" t="str">
        <f t="shared" ref="K47" si="408">K36</f>
        <v>2024 г.</v>
      </c>
      <c r="L47" s="2490" t="str">
        <f t="shared" si="407"/>
        <v>2025 г.</v>
      </c>
      <c r="M47" s="2491" t="str">
        <f t="shared" si="407"/>
        <v>2026 г.</v>
      </c>
      <c r="N47" s="2491" t="str">
        <f t="shared" si="407"/>
        <v>2027 г.</v>
      </c>
      <c r="O47" s="2491" t="str">
        <f t="shared" si="407"/>
        <v>2028 г.</v>
      </c>
      <c r="P47" s="2491" t="str">
        <f t="shared" si="407"/>
        <v>2029 г.</v>
      </c>
      <c r="Q47" s="2491" t="str">
        <f t="shared" si="407"/>
        <v>2030 г.</v>
      </c>
      <c r="R47" s="2492" t="str">
        <f t="shared" si="407"/>
        <v>2031 г.</v>
      </c>
      <c r="S47" s="2490" t="str">
        <f t="shared" ref="S47" si="409">S36</f>
        <v>2024 г.</v>
      </c>
      <c r="T47" s="2490" t="str">
        <f t="shared" si="407"/>
        <v>2025 г.</v>
      </c>
      <c r="U47" s="2491" t="str">
        <f t="shared" si="407"/>
        <v>2026 г.</v>
      </c>
      <c r="V47" s="2491" t="str">
        <f t="shared" si="407"/>
        <v>2027 г.</v>
      </c>
      <c r="W47" s="2491" t="str">
        <f t="shared" si="407"/>
        <v>2028 г.</v>
      </c>
      <c r="X47" s="2491" t="str">
        <f t="shared" si="407"/>
        <v>2029 г.</v>
      </c>
      <c r="Y47" s="2491" t="str">
        <f t="shared" si="407"/>
        <v>2030 г.</v>
      </c>
      <c r="Z47" s="2492" t="str">
        <f t="shared" si="407"/>
        <v>2031 г.</v>
      </c>
      <c r="AA47" s="4198" t="str">
        <f t="shared" ref="AA47" si="410">AA36</f>
        <v>2024 г.</v>
      </c>
      <c r="AB47" s="2490" t="str">
        <f t="shared" si="407"/>
        <v>2025 г.</v>
      </c>
      <c r="AC47" s="2491" t="str">
        <f t="shared" si="407"/>
        <v>2026 г.</v>
      </c>
      <c r="AD47" s="2491" t="str">
        <f t="shared" si="407"/>
        <v>2027 г.</v>
      </c>
      <c r="AE47" s="2491" t="str">
        <f t="shared" si="407"/>
        <v>2028 г.</v>
      </c>
      <c r="AF47" s="2491" t="str">
        <f t="shared" si="407"/>
        <v>2029 г.</v>
      </c>
      <c r="AG47" s="2491" t="str">
        <f t="shared" si="407"/>
        <v>2030 г.</v>
      </c>
      <c r="AH47" s="2492" t="str">
        <f t="shared" si="407"/>
        <v>2031 г.</v>
      </c>
      <c r="AI47" s="2490" t="str">
        <f t="shared" ref="AI47" si="411">AI36</f>
        <v>2024 г.</v>
      </c>
      <c r="AJ47" s="2490" t="str">
        <f t="shared" si="407"/>
        <v>2025 г.</v>
      </c>
      <c r="AK47" s="2491" t="str">
        <f t="shared" si="407"/>
        <v>2026 г.</v>
      </c>
      <c r="AL47" s="2491" t="str">
        <f t="shared" si="407"/>
        <v>2027 г.</v>
      </c>
      <c r="AM47" s="2491" t="str">
        <f t="shared" si="407"/>
        <v>2028 г.</v>
      </c>
      <c r="AN47" s="2491" t="str">
        <f t="shared" si="407"/>
        <v>2029 г.</v>
      </c>
      <c r="AO47" s="2491" t="str">
        <f t="shared" si="407"/>
        <v>2030 г.</v>
      </c>
      <c r="AP47" s="2492" t="str">
        <f t="shared" si="407"/>
        <v>2031 г.</v>
      </c>
      <c r="AQ47" s="2490" t="str">
        <f t="shared" ref="AQ47" si="412">AQ36</f>
        <v>2024 г.</v>
      </c>
      <c r="AR47" s="2490" t="str">
        <f t="shared" si="407"/>
        <v>2025 г.</v>
      </c>
      <c r="AS47" s="2491" t="str">
        <f t="shared" si="407"/>
        <v>2026 г.</v>
      </c>
      <c r="AT47" s="2491" t="str">
        <f t="shared" si="407"/>
        <v>2027 г.</v>
      </c>
      <c r="AU47" s="2491" t="str">
        <f t="shared" si="407"/>
        <v>2028 г.</v>
      </c>
      <c r="AV47" s="2491" t="str">
        <f t="shared" si="407"/>
        <v>2029 г.</v>
      </c>
      <c r="AW47" s="2491" t="str">
        <f t="shared" si="407"/>
        <v>2030 г.</v>
      </c>
      <c r="AX47" s="2492" t="str">
        <f t="shared" si="407"/>
        <v>2031 г.</v>
      </c>
      <c r="AY47" s="4488"/>
    </row>
    <row r="48" spans="1:99" s="1" customFormat="1" hidden="1">
      <c r="A48" s="3889" t="s">
        <v>968</v>
      </c>
      <c r="B48" s="3893" t="s">
        <v>195</v>
      </c>
      <c r="C48" s="102"/>
      <c r="D48" s="666">
        <f t="shared" ref="D48:J48" si="413">C54</f>
        <v>0</v>
      </c>
      <c r="E48" s="666">
        <f t="shared" si="413"/>
        <v>0</v>
      </c>
      <c r="F48" s="664">
        <f t="shared" si="413"/>
        <v>0</v>
      </c>
      <c r="G48" s="664">
        <f t="shared" si="413"/>
        <v>0</v>
      </c>
      <c r="H48" s="664">
        <f t="shared" si="413"/>
        <v>0</v>
      </c>
      <c r="I48" s="664">
        <f t="shared" si="413"/>
        <v>0</v>
      </c>
      <c r="J48" s="665">
        <f t="shared" si="413"/>
        <v>0</v>
      </c>
      <c r="K48" s="102"/>
      <c r="L48" s="666">
        <f t="shared" ref="L48:R48" si="414">K54</f>
        <v>0</v>
      </c>
      <c r="M48" s="666">
        <f t="shared" si="414"/>
        <v>0</v>
      </c>
      <c r="N48" s="664">
        <f t="shared" si="414"/>
        <v>0</v>
      </c>
      <c r="O48" s="664">
        <f t="shared" si="414"/>
        <v>0</v>
      </c>
      <c r="P48" s="664">
        <f t="shared" si="414"/>
        <v>0</v>
      </c>
      <c r="Q48" s="664">
        <f t="shared" si="414"/>
        <v>0</v>
      </c>
      <c r="R48" s="665">
        <f t="shared" si="414"/>
        <v>0</v>
      </c>
      <c r="S48" s="102"/>
      <c r="T48" s="666">
        <f t="shared" ref="T48:Z48" si="415">S54</f>
        <v>0</v>
      </c>
      <c r="U48" s="666">
        <f t="shared" si="415"/>
        <v>0</v>
      </c>
      <c r="V48" s="664">
        <f t="shared" si="415"/>
        <v>0</v>
      </c>
      <c r="W48" s="664">
        <f t="shared" si="415"/>
        <v>0</v>
      </c>
      <c r="X48" s="664">
        <f t="shared" si="415"/>
        <v>0</v>
      </c>
      <c r="Y48" s="664">
        <f t="shared" si="415"/>
        <v>0</v>
      </c>
      <c r="Z48" s="665">
        <f t="shared" si="415"/>
        <v>0</v>
      </c>
      <c r="AA48" s="102"/>
      <c r="AB48" s="3593"/>
      <c r="AC48" s="666">
        <f t="shared" ref="AC48:AH48" si="416">AB54</f>
        <v>0</v>
      </c>
      <c r="AD48" s="664">
        <f t="shared" si="416"/>
        <v>0</v>
      </c>
      <c r="AE48" s="664">
        <f t="shared" si="416"/>
        <v>0</v>
      </c>
      <c r="AF48" s="664">
        <f t="shared" si="416"/>
        <v>0</v>
      </c>
      <c r="AG48" s="664">
        <f t="shared" si="416"/>
        <v>0</v>
      </c>
      <c r="AH48" s="665">
        <f t="shared" si="416"/>
        <v>0</v>
      </c>
      <c r="AI48" s="102"/>
      <c r="AJ48" s="3593"/>
      <c r="AK48" s="666">
        <f t="shared" ref="AK48:AP48" si="417">AJ54</f>
        <v>0</v>
      </c>
      <c r="AL48" s="664">
        <f t="shared" si="417"/>
        <v>0</v>
      </c>
      <c r="AM48" s="664">
        <f t="shared" si="417"/>
        <v>0</v>
      </c>
      <c r="AN48" s="664">
        <f t="shared" si="417"/>
        <v>0</v>
      </c>
      <c r="AO48" s="664">
        <f t="shared" si="417"/>
        <v>0</v>
      </c>
      <c r="AP48" s="665">
        <f t="shared" si="417"/>
        <v>0</v>
      </c>
      <c r="AQ48" s="2479">
        <f t="shared" ref="AQ48:AR51" si="418">C48+K48+S48+AA48+AI48</f>
        <v>0</v>
      </c>
      <c r="AR48" s="4176">
        <f t="shared" si="418"/>
        <v>0</v>
      </c>
      <c r="AS48" s="1376">
        <f t="shared" ref="AS48:AX48" si="419">AR54</f>
        <v>0</v>
      </c>
      <c r="AT48" s="1377">
        <f t="shared" si="419"/>
        <v>0</v>
      </c>
      <c r="AU48" s="1377">
        <f t="shared" si="419"/>
        <v>0</v>
      </c>
      <c r="AV48" s="1377">
        <f t="shared" si="419"/>
        <v>0</v>
      </c>
      <c r="AW48" s="1377">
        <f t="shared" si="419"/>
        <v>0</v>
      </c>
      <c r="AX48" s="1378">
        <f t="shared" si="419"/>
        <v>0</v>
      </c>
      <c r="AY48" s="4488"/>
    </row>
    <row r="49" spans="1:99" s="1" customFormat="1" hidden="1">
      <c r="A49" s="3888" t="s">
        <v>969</v>
      </c>
      <c r="B49" s="3894" t="s">
        <v>196</v>
      </c>
      <c r="C49" s="400"/>
      <c r="D49" s="415"/>
      <c r="E49" s="413"/>
      <c r="F49" s="413"/>
      <c r="G49" s="413"/>
      <c r="H49" s="413"/>
      <c r="I49" s="413"/>
      <c r="J49" s="414"/>
      <c r="K49" s="400"/>
      <c r="L49" s="415"/>
      <c r="M49" s="413"/>
      <c r="N49" s="413"/>
      <c r="O49" s="413"/>
      <c r="P49" s="413"/>
      <c r="Q49" s="413"/>
      <c r="R49" s="414"/>
      <c r="S49" s="400"/>
      <c r="T49" s="415"/>
      <c r="U49" s="413"/>
      <c r="V49" s="413"/>
      <c r="W49" s="413"/>
      <c r="X49" s="413"/>
      <c r="Y49" s="413"/>
      <c r="Z49" s="414"/>
      <c r="AA49" s="400"/>
      <c r="AB49" s="415"/>
      <c r="AC49" s="413"/>
      <c r="AD49" s="413"/>
      <c r="AE49" s="413"/>
      <c r="AF49" s="413"/>
      <c r="AG49" s="413"/>
      <c r="AH49" s="414"/>
      <c r="AI49" s="400"/>
      <c r="AJ49" s="415"/>
      <c r="AK49" s="413"/>
      <c r="AL49" s="413"/>
      <c r="AM49" s="413"/>
      <c r="AN49" s="413"/>
      <c r="AO49" s="413"/>
      <c r="AP49" s="414"/>
      <c r="AQ49" s="2479">
        <f t="shared" si="418"/>
        <v>0</v>
      </c>
      <c r="AR49" s="4176">
        <f t="shared" si="418"/>
        <v>0</v>
      </c>
      <c r="AS49" s="2481">
        <f t="shared" ref="AS49:AX51" si="420">E49+M49+U49+AC49+AK49</f>
        <v>0</v>
      </c>
      <c r="AT49" s="2481">
        <f t="shared" si="420"/>
        <v>0</v>
      </c>
      <c r="AU49" s="2481">
        <f t="shared" si="420"/>
        <v>0</v>
      </c>
      <c r="AV49" s="2481">
        <f t="shared" si="420"/>
        <v>0</v>
      </c>
      <c r="AW49" s="2481">
        <f t="shared" si="420"/>
        <v>0</v>
      </c>
      <c r="AX49" s="2482">
        <f t="shared" si="420"/>
        <v>0</v>
      </c>
      <c r="AY49" s="4488"/>
    </row>
    <row r="50" spans="1:99" s="1" customFormat="1" hidden="1">
      <c r="A50" s="3888" t="s">
        <v>970</v>
      </c>
      <c r="B50" s="3894" t="s">
        <v>197</v>
      </c>
      <c r="C50" s="400"/>
      <c r="D50" s="415"/>
      <c r="E50" s="413"/>
      <c r="F50" s="413"/>
      <c r="G50" s="413"/>
      <c r="H50" s="413"/>
      <c r="I50" s="413"/>
      <c r="J50" s="414"/>
      <c r="K50" s="400"/>
      <c r="L50" s="415"/>
      <c r="M50" s="413"/>
      <c r="N50" s="413"/>
      <c r="O50" s="413"/>
      <c r="P50" s="413"/>
      <c r="Q50" s="413"/>
      <c r="R50" s="414"/>
      <c r="S50" s="400"/>
      <c r="T50" s="415"/>
      <c r="U50" s="413"/>
      <c r="V50" s="413"/>
      <c r="W50" s="413"/>
      <c r="X50" s="413"/>
      <c r="Y50" s="413"/>
      <c r="Z50" s="414"/>
      <c r="AA50" s="400"/>
      <c r="AB50" s="415"/>
      <c r="AC50" s="413"/>
      <c r="AD50" s="413"/>
      <c r="AE50" s="413"/>
      <c r="AF50" s="413"/>
      <c r="AG50" s="413"/>
      <c r="AH50" s="414"/>
      <c r="AI50" s="400"/>
      <c r="AJ50" s="415"/>
      <c r="AK50" s="413"/>
      <c r="AL50" s="413"/>
      <c r="AM50" s="413"/>
      <c r="AN50" s="413"/>
      <c r="AO50" s="413"/>
      <c r="AP50" s="414"/>
      <c r="AQ50" s="2479">
        <f t="shared" si="418"/>
        <v>0</v>
      </c>
      <c r="AR50" s="4176">
        <f t="shared" si="418"/>
        <v>0</v>
      </c>
      <c r="AS50" s="2481">
        <f t="shared" si="420"/>
        <v>0</v>
      </c>
      <c r="AT50" s="2481">
        <f t="shared" si="420"/>
        <v>0</v>
      </c>
      <c r="AU50" s="2481">
        <f t="shared" si="420"/>
        <v>0</v>
      </c>
      <c r="AV50" s="2481">
        <f t="shared" si="420"/>
        <v>0</v>
      </c>
      <c r="AW50" s="2481">
        <f t="shared" si="420"/>
        <v>0</v>
      </c>
      <c r="AX50" s="2482">
        <f t="shared" si="420"/>
        <v>0</v>
      </c>
      <c r="AY50" s="4488"/>
    </row>
    <row r="51" spans="1:99" s="1" customFormat="1" hidden="1">
      <c r="A51" s="3888" t="s">
        <v>971</v>
      </c>
      <c r="B51" s="3894" t="s">
        <v>198</v>
      </c>
      <c r="C51" s="400"/>
      <c r="D51" s="415"/>
      <c r="E51" s="413"/>
      <c r="F51" s="413"/>
      <c r="G51" s="413"/>
      <c r="H51" s="413"/>
      <c r="I51" s="413"/>
      <c r="J51" s="414"/>
      <c r="K51" s="400"/>
      <c r="L51" s="415"/>
      <c r="M51" s="413"/>
      <c r="N51" s="413"/>
      <c r="O51" s="413"/>
      <c r="P51" s="413"/>
      <c r="Q51" s="413"/>
      <c r="R51" s="414"/>
      <c r="S51" s="400"/>
      <c r="T51" s="415"/>
      <c r="U51" s="413"/>
      <c r="V51" s="413"/>
      <c r="W51" s="413"/>
      <c r="X51" s="413"/>
      <c r="Y51" s="413"/>
      <c r="Z51" s="414"/>
      <c r="AA51" s="400"/>
      <c r="AB51" s="415"/>
      <c r="AC51" s="413"/>
      <c r="AD51" s="413"/>
      <c r="AE51" s="413"/>
      <c r="AF51" s="413"/>
      <c r="AG51" s="413"/>
      <c r="AH51" s="414"/>
      <c r="AI51" s="400"/>
      <c r="AJ51" s="415"/>
      <c r="AK51" s="413"/>
      <c r="AL51" s="413"/>
      <c r="AM51" s="413"/>
      <c r="AN51" s="413"/>
      <c r="AO51" s="413"/>
      <c r="AP51" s="414"/>
      <c r="AQ51" s="2479">
        <f t="shared" si="418"/>
        <v>0</v>
      </c>
      <c r="AR51" s="4176">
        <f t="shared" si="418"/>
        <v>0</v>
      </c>
      <c r="AS51" s="2481">
        <f t="shared" si="420"/>
        <v>0</v>
      </c>
      <c r="AT51" s="2481">
        <f t="shared" si="420"/>
        <v>0</v>
      </c>
      <c r="AU51" s="2481">
        <f t="shared" si="420"/>
        <v>0</v>
      </c>
      <c r="AV51" s="2481">
        <f t="shared" si="420"/>
        <v>0</v>
      </c>
      <c r="AW51" s="2481">
        <f t="shared" si="420"/>
        <v>0</v>
      </c>
      <c r="AX51" s="2482">
        <f t="shared" si="420"/>
        <v>0</v>
      </c>
      <c r="AY51" s="4488"/>
    </row>
    <row r="52" spans="1:99" s="1" customFormat="1" hidden="1">
      <c r="A52" s="3888" t="s">
        <v>972</v>
      </c>
      <c r="B52" s="3894" t="s">
        <v>199</v>
      </c>
      <c r="C52" s="2484">
        <f>IF(C48=0,0,C51/((C48+C54)/2))</f>
        <v>0</v>
      </c>
      <c r="D52" s="2493">
        <f>IF(D48=0,0,D51/((D48+D54)/2))</f>
        <v>0</v>
      </c>
      <c r="E52" s="2485">
        <f>IF(E48=0,0,E51/((E48+E54)/2))</f>
        <v>0</v>
      </c>
      <c r="F52" s="2485">
        <f t="shared" ref="F52:J52" si="421">IF(F48=0,0,F51/((F48+F54)/2))</f>
        <v>0</v>
      </c>
      <c r="G52" s="2485">
        <f t="shared" si="421"/>
        <v>0</v>
      </c>
      <c r="H52" s="2485">
        <f t="shared" si="421"/>
        <v>0</v>
      </c>
      <c r="I52" s="2485">
        <f t="shared" si="421"/>
        <v>0</v>
      </c>
      <c r="J52" s="2486">
        <f t="shared" si="421"/>
        <v>0</v>
      </c>
      <c r="K52" s="2493">
        <f>IF(K48=0,0,K51/((K48+K54)/2))</f>
        <v>0</v>
      </c>
      <c r="L52" s="2493">
        <f>IF(L48=0,0,L51/((L48+L54)/2))</f>
        <v>0</v>
      </c>
      <c r="M52" s="2485">
        <f>IF(M48=0,0,M51/((M48+M54)/2))</f>
        <v>0</v>
      </c>
      <c r="N52" s="2485">
        <f t="shared" ref="N52:R52" si="422">IF(N48=0,0,N51/((N48+N54)/2))</f>
        <v>0</v>
      </c>
      <c r="O52" s="2485">
        <f t="shared" si="422"/>
        <v>0</v>
      </c>
      <c r="P52" s="2485">
        <f t="shared" si="422"/>
        <v>0</v>
      </c>
      <c r="Q52" s="2485">
        <f t="shared" si="422"/>
        <v>0</v>
      </c>
      <c r="R52" s="2486">
        <f t="shared" si="422"/>
        <v>0</v>
      </c>
      <c r="S52" s="2493">
        <f>IF(S48=0,0,S51/((S48+S54)/2))</f>
        <v>0</v>
      </c>
      <c r="T52" s="2493">
        <f>IF(T48=0,0,T51/((T48+T54)/2))</f>
        <v>0</v>
      </c>
      <c r="U52" s="2485">
        <f>IF(U48=0,0,U51/((U48+U54)/2))</f>
        <v>0</v>
      </c>
      <c r="V52" s="2485">
        <f t="shared" ref="V52:Z52" si="423">IF(V48=0,0,V51/((V48+V54)/2))</f>
        <v>0</v>
      </c>
      <c r="W52" s="2485">
        <f t="shared" si="423"/>
        <v>0</v>
      </c>
      <c r="X52" s="2485">
        <f t="shared" si="423"/>
        <v>0</v>
      </c>
      <c r="Y52" s="2485">
        <f t="shared" si="423"/>
        <v>0</v>
      </c>
      <c r="Z52" s="2486">
        <f t="shared" si="423"/>
        <v>0</v>
      </c>
      <c r="AA52" s="2484">
        <f>IF(AA48=0,0,AA51/((AA48+AA54)/2))</f>
        <v>0</v>
      </c>
      <c r="AB52" s="2493">
        <f>IF(AB48=0,0,AB51/((AB48+AB54)/2))</f>
        <v>0</v>
      </c>
      <c r="AC52" s="2485">
        <f>IF(AC48=0,0,AC51/((AC48+AC54)/2))</f>
        <v>0</v>
      </c>
      <c r="AD52" s="2485">
        <f t="shared" ref="AD52:AH52" si="424">IF(AD48=0,0,AD51/((AD48+AD54)/2))</f>
        <v>0</v>
      </c>
      <c r="AE52" s="2485">
        <f t="shared" si="424"/>
        <v>0</v>
      </c>
      <c r="AF52" s="2485">
        <f t="shared" si="424"/>
        <v>0</v>
      </c>
      <c r="AG52" s="2485">
        <f t="shared" si="424"/>
        <v>0</v>
      </c>
      <c r="AH52" s="2486">
        <f t="shared" si="424"/>
        <v>0</v>
      </c>
      <c r="AI52" s="2493">
        <f>IF(AI48=0,0,AI51/((AI48+AI54)/2))</f>
        <v>0</v>
      </c>
      <c r="AJ52" s="2493">
        <f>IF(AJ48=0,0,AJ51/((AJ48+AJ54)/2))</f>
        <v>0</v>
      </c>
      <c r="AK52" s="2485">
        <f>IF(AK48=0,0,AK51/((AK48+AK54)/2))</f>
        <v>0</v>
      </c>
      <c r="AL52" s="2485">
        <f t="shared" ref="AL52:AP52" si="425">IF(AL48=0,0,AL51/((AL48+AL54)/2))</f>
        <v>0</v>
      </c>
      <c r="AM52" s="2485">
        <f t="shared" si="425"/>
        <v>0</v>
      </c>
      <c r="AN52" s="2485">
        <f t="shared" si="425"/>
        <v>0</v>
      </c>
      <c r="AO52" s="2485">
        <f t="shared" si="425"/>
        <v>0</v>
      </c>
      <c r="AP52" s="2486">
        <f t="shared" si="425"/>
        <v>0</v>
      </c>
      <c r="AQ52" s="2493">
        <f>IF(AQ48=0,0,AQ51/((AQ48+AQ54)/2))</f>
        <v>0</v>
      </c>
      <c r="AR52" s="2493">
        <f>IF(AR48=0,0,AR51/((AR48+AR54)/2))</f>
        <v>0</v>
      </c>
      <c r="AS52" s="2485">
        <f>IF(AS48=0,0,AS51/((AS48+AS54)/2))</f>
        <v>0</v>
      </c>
      <c r="AT52" s="2485">
        <f t="shared" ref="AT52:AX52" si="426">IF(AT48=0,0,AT51/((AT48+AT54)/2))</f>
        <v>0</v>
      </c>
      <c r="AU52" s="2485">
        <f t="shared" si="426"/>
        <v>0</v>
      </c>
      <c r="AV52" s="2485">
        <f t="shared" si="426"/>
        <v>0</v>
      </c>
      <c r="AW52" s="2485">
        <f t="shared" si="426"/>
        <v>0</v>
      </c>
      <c r="AX52" s="2486">
        <f t="shared" si="426"/>
        <v>0</v>
      </c>
      <c r="AY52" s="4488"/>
    </row>
    <row r="53" spans="1:99" s="1" customFormat="1" hidden="1">
      <c r="A53" s="3888" t="s">
        <v>973</v>
      </c>
      <c r="B53" s="3894" t="s">
        <v>200</v>
      </c>
      <c r="C53" s="2487">
        <f>C50+C51</f>
        <v>0</v>
      </c>
      <c r="D53" s="2494">
        <f>D50+D51</f>
        <v>0</v>
      </c>
      <c r="E53" s="2488">
        <f t="shared" ref="E53:J53" si="427">E50+E51</f>
        <v>0</v>
      </c>
      <c r="F53" s="2488">
        <f t="shared" si="427"/>
        <v>0</v>
      </c>
      <c r="G53" s="2488">
        <f t="shared" si="427"/>
        <v>0</v>
      </c>
      <c r="H53" s="2488">
        <f t="shared" si="427"/>
        <v>0</v>
      </c>
      <c r="I53" s="2488">
        <f t="shared" si="427"/>
        <v>0</v>
      </c>
      <c r="J53" s="2489">
        <f t="shared" si="427"/>
        <v>0</v>
      </c>
      <c r="K53" s="2494">
        <f>K50+K51</f>
        <v>0</v>
      </c>
      <c r="L53" s="2494">
        <f>L50+L51</f>
        <v>0</v>
      </c>
      <c r="M53" s="2488">
        <f t="shared" ref="M53:R53" si="428">M50+M51</f>
        <v>0</v>
      </c>
      <c r="N53" s="2488">
        <f t="shared" si="428"/>
        <v>0</v>
      </c>
      <c r="O53" s="2488">
        <f t="shared" si="428"/>
        <v>0</v>
      </c>
      <c r="P53" s="2488">
        <f t="shared" si="428"/>
        <v>0</v>
      </c>
      <c r="Q53" s="2488">
        <f t="shared" si="428"/>
        <v>0</v>
      </c>
      <c r="R53" s="2489">
        <f t="shared" si="428"/>
        <v>0</v>
      </c>
      <c r="S53" s="2494">
        <f>S50+S51</f>
        <v>0</v>
      </c>
      <c r="T53" s="2494">
        <f>T50+T51</f>
        <v>0</v>
      </c>
      <c r="U53" s="2488">
        <f t="shared" ref="U53:Z53" si="429">U50+U51</f>
        <v>0</v>
      </c>
      <c r="V53" s="2488">
        <f t="shared" si="429"/>
        <v>0</v>
      </c>
      <c r="W53" s="2488">
        <f t="shared" si="429"/>
        <v>0</v>
      </c>
      <c r="X53" s="2488">
        <f t="shared" si="429"/>
        <v>0</v>
      </c>
      <c r="Y53" s="2488">
        <f t="shared" si="429"/>
        <v>0</v>
      </c>
      <c r="Z53" s="2489">
        <f t="shared" si="429"/>
        <v>0</v>
      </c>
      <c r="AA53" s="2487">
        <f>AA50+AA51</f>
        <v>0</v>
      </c>
      <c r="AB53" s="2494">
        <f>AB50+AB51</f>
        <v>0</v>
      </c>
      <c r="AC53" s="2488">
        <f t="shared" ref="AC53:AH53" si="430">AC50+AC51</f>
        <v>0</v>
      </c>
      <c r="AD53" s="2488">
        <f t="shared" si="430"/>
        <v>0</v>
      </c>
      <c r="AE53" s="2488">
        <f t="shared" si="430"/>
        <v>0</v>
      </c>
      <c r="AF53" s="2488">
        <f t="shared" si="430"/>
        <v>0</v>
      </c>
      <c r="AG53" s="2488">
        <f t="shared" si="430"/>
        <v>0</v>
      </c>
      <c r="AH53" s="2489">
        <f t="shared" si="430"/>
        <v>0</v>
      </c>
      <c r="AI53" s="2494">
        <f>AI50+AI51</f>
        <v>0</v>
      </c>
      <c r="AJ53" s="2494">
        <f>AJ50+AJ51</f>
        <v>0</v>
      </c>
      <c r="AK53" s="2488">
        <f t="shared" ref="AK53:AP53" si="431">AK50+AK51</f>
        <v>0</v>
      </c>
      <c r="AL53" s="2488">
        <f t="shared" si="431"/>
        <v>0</v>
      </c>
      <c r="AM53" s="2488">
        <f t="shared" si="431"/>
        <v>0</v>
      </c>
      <c r="AN53" s="2488">
        <f t="shared" si="431"/>
        <v>0</v>
      </c>
      <c r="AO53" s="2488">
        <f t="shared" si="431"/>
        <v>0</v>
      </c>
      <c r="AP53" s="2489">
        <f t="shared" si="431"/>
        <v>0</v>
      </c>
      <c r="AQ53" s="2494">
        <f>AQ50+AQ51</f>
        <v>0</v>
      </c>
      <c r="AR53" s="2494">
        <f>AR50+AR51</f>
        <v>0</v>
      </c>
      <c r="AS53" s="2488">
        <f t="shared" ref="AS53:AX53" si="432">AS50+AS51</f>
        <v>0</v>
      </c>
      <c r="AT53" s="2488">
        <f t="shared" si="432"/>
        <v>0</v>
      </c>
      <c r="AU53" s="2488">
        <f t="shared" si="432"/>
        <v>0</v>
      </c>
      <c r="AV53" s="2488">
        <f t="shared" si="432"/>
        <v>0</v>
      </c>
      <c r="AW53" s="2488">
        <f t="shared" si="432"/>
        <v>0</v>
      </c>
      <c r="AX53" s="2489">
        <f t="shared" si="432"/>
        <v>0</v>
      </c>
      <c r="AY53" s="4488"/>
    </row>
    <row r="54" spans="1:99" s="1" customFormat="1" hidden="1">
      <c r="A54" s="3892" t="s">
        <v>974</v>
      </c>
      <c r="B54" s="3895" t="s">
        <v>201</v>
      </c>
      <c r="C54" s="2495">
        <f>C48+C49-C50</f>
        <v>0</v>
      </c>
      <c r="D54" s="2498">
        <f>D48+D49-D50</f>
        <v>0</v>
      </c>
      <c r="E54" s="2496">
        <f t="shared" ref="E54:J54" si="433">E48+E49-E50</f>
        <v>0</v>
      </c>
      <c r="F54" s="2496">
        <f t="shared" si="433"/>
        <v>0</v>
      </c>
      <c r="G54" s="2496">
        <f t="shared" si="433"/>
        <v>0</v>
      </c>
      <c r="H54" s="2496">
        <f t="shared" si="433"/>
        <v>0</v>
      </c>
      <c r="I54" s="2496">
        <f t="shared" si="433"/>
        <v>0</v>
      </c>
      <c r="J54" s="2497">
        <f t="shared" si="433"/>
        <v>0</v>
      </c>
      <c r="K54" s="2498">
        <f>K48+K49-K50</f>
        <v>0</v>
      </c>
      <c r="L54" s="2498">
        <f>L48+L49-L50</f>
        <v>0</v>
      </c>
      <c r="M54" s="2496">
        <f t="shared" ref="M54:R54" si="434">M48+M49-M50</f>
        <v>0</v>
      </c>
      <c r="N54" s="2496">
        <f t="shared" si="434"/>
        <v>0</v>
      </c>
      <c r="O54" s="2496">
        <f t="shared" si="434"/>
        <v>0</v>
      </c>
      <c r="P54" s="2496">
        <f t="shared" si="434"/>
        <v>0</v>
      </c>
      <c r="Q54" s="2496">
        <f t="shared" si="434"/>
        <v>0</v>
      </c>
      <c r="R54" s="2497">
        <f t="shared" si="434"/>
        <v>0</v>
      </c>
      <c r="S54" s="2498">
        <f>S48+S49-S50</f>
        <v>0</v>
      </c>
      <c r="T54" s="2498">
        <f>T48+T49-T50</f>
        <v>0</v>
      </c>
      <c r="U54" s="2496">
        <f t="shared" ref="U54:Z54" si="435">U48+U49-U50</f>
        <v>0</v>
      </c>
      <c r="V54" s="2496">
        <f t="shared" si="435"/>
        <v>0</v>
      </c>
      <c r="W54" s="2496">
        <f t="shared" si="435"/>
        <v>0</v>
      </c>
      <c r="X54" s="2496">
        <f t="shared" si="435"/>
        <v>0</v>
      </c>
      <c r="Y54" s="2496">
        <f t="shared" si="435"/>
        <v>0</v>
      </c>
      <c r="Z54" s="2497">
        <f t="shared" si="435"/>
        <v>0</v>
      </c>
      <c r="AA54" s="2495">
        <f>AA48+AA49-AA50</f>
        <v>0</v>
      </c>
      <c r="AB54" s="2498">
        <f>AB48+AB49-AB50</f>
        <v>0</v>
      </c>
      <c r="AC54" s="2496">
        <f t="shared" ref="AC54:AH54" si="436">AC48+AC49-AC50</f>
        <v>0</v>
      </c>
      <c r="AD54" s="2496">
        <f t="shared" si="436"/>
        <v>0</v>
      </c>
      <c r="AE54" s="2496">
        <f t="shared" si="436"/>
        <v>0</v>
      </c>
      <c r="AF54" s="2496">
        <f t="shared" si="436"/>
        <v>0</v>
      </c>
      <c r="AG54" s="2496">
        <f t="shared" si="436"/>
        <v>0</v>
      </c>
      <c r="AH54" s="2497">
        <f t="shared" si="436"/>
        <v>0</v>
      </c>
      <c r="AI54" s="2498">
        <f>AI48+AI49-AI50</f>
        <v>0</v>
      </c>
      <c r="AJ54" s="2498">
        <f>AJ48+AJ49-AJ50</f>
        <v>0</v>
      </c>
      <c r="AK54" s="2496">
        <f t="shared" ref="AK54:AP54" si="437">AK48+AK49-AK50</f>
        <v>0</v>
      </c>
      <c r="AL54" s="2496">
        <f t="shared" si="437"/>
        <v>0</v>
      </c>
      <c r="AM54" s="2496">
        <f t="shared" si="437"/>
        <v>0</v>
      </c>
      <c r="AN54" s="2496">
        <f t="shared" si="437"/>
        <v>0</v>
      </c>
      <c r="AO54" s="2496">
        <f t="shared" si="437"/>
        <v>0</v>
      </c>
      <c r="AP54" s="2497">
        <f t="shared" si="437"/>
        <v>0</v>
      </c>
      <c r="AQ54" s="2498">
        <f>AQ48+AQ49-AQ50</f>
        <v>0</v>
      </c>
      <c r="AR54" s="2498">
        <f>AR48+AR49-AR50</f>
        <v>0</v>
      </c>
      <c r="AS54" s="2496">
        <f t="shared" ref="AS54:AX54" si="438">AS48+AS49-AS50</f>
        <v>0</v>
      </c>
      <c r="AT54" s="2496">
        <f t="shared" si="438"/>
        <v>0</v>
      </c>
      <c r="AU54" s="2496">
        <f t="shared" si="438"/>
        <v>0</v>
      </c>
      <c r="AV54" s="2496">
        <f t="shared" si="438"/>
        <v>0</v>
      </c>
      <c r="AW54" s="2496">
        <f t="shared" si="438"/>
        <v>0</v>
      </c>
      <c r="AX54" s="2497">
        <f t="shared" si="438"/>
        <v>0</v>
      </c>
      <c r="AY54" s="4488"/>
    </row>
    <row r="55" spans="1:99" s="1" customFormat="1" hidden="1">
      <c r="A55" s="3888" t="s">
        <v>1384</v>
      </c>
      <c r="B55" s="2480" t="s">
        <v>1381</v>
      </c>
      <c r="C55" s="1370"/>
      <c r="D55" s="4181"/>
      <c r="E55" s="1371"/>
      <c r="F55" s="1371"/>
      <c r="G55" s="1371"/>
      <c r="H55" s="1371"/>
      <c r="I55" s="1371"/>
      <c r="J55" s="1372"/>
      <c r="K55" s="1370"/>
      <c r="L55" s="4181"/>
      <c r="M55" s="1371"/>
      <c r="N55" s="1371"/>
      <c r="O55" s="1371"/>
      <c r="P55" s="1371"/>
      <c r="Q55" s="1371"/>
      <c r="R55" s="1372"/>
      <c r="S55" s="1370"/>
      <c r="T55" s="4181"/>
      <c r="U55" s="1371"/>
      <c r="V55" s="1371"/>
      <c r="W55" s="1371"/>
      <c r="X55" s="1371"/>
      <c r="Y55" s="1371"/>
      <c r="Z55" s="1372"/>
      <c r="AA55" s="1370"/>
      <c r="AB55" s="4181"/>
      <c r="AC55" s="1371"/>
      <c r="AD55" s="1371"/>
      <c r="AE55" s="1371"/>
      <c r="AF55" s="1371"/>
      <c r="AG55" s="1371"/>
      <c r="AH55" s="1372"/>
      <c r="AI55" s="1370"/>
      <c r="AJ55" s="4181"/>
      <c r="AK55" s="1371"/>
      <c r="AL55" s="1371"/>
      <c r="AM55" s="1371"/>
      <c r="AN55" s="1371"/>
      <c r="AO55" s="1371"/>
      <c r="AP55" s="1372"/>
      <c r="AQ55" s="2487"/>
      <c r="AR55" s="2494"/>
      <c r="AS55" s="2488"/>
      <c r="AT55" s="2488"/>
      <c r="AU55" s="2488"/>
      <c r="AV55" s="2488"/>
      <c r="AW55" s="2488"/>
      <c r="AX55" s="2489"/>
      <c r="AY55" s="4488"/>
    </row>
    <row r="56" spans="1:99" s="1" customFormat="1" ht="13.8" hidden="1" thickBot="1">
      <c r="A56" s="3890" t="s">
        <v>1385</v>
      </c>
      <c r="B56" s="2499" t="s">
        <v>1383</v>
      </c>
      <c r="C56" s="1373"/>
      <c r="D56" s="4184"/>
      <c r="E56" s="1374"/>
      <c r="F56" s="1374"/>
      <c r="G56" s="1374"/>
      <c r="H56" s="1374"/>
      <c r="I56" s="1374"/>
      <c r="J56" s="1375"/>
      <c r="K56" s="1373"/>
      <c r="L56" s="4184"/>
      <c r="M56" s="1374"/>
      <c r="N56" s="1374"/>
      <c r="O56" s="1374"/>
      <c r="P56" s="1374"/>
      <c r="Q56" s="1374"/>
      <c r="R56" s="1375"/>
      <c r="S56" s="1373"/>
      <c r="T56" s="4184"/>
      <c r="U56" s="1374"/>
      <c r="V56" s="1374"/>
      <c r="W56" s="1374"/>
      <c r="X56" s="1374"/>
      <c r="Y56" s="1374"/>
      <c r="Z56" s="1375"/>
      <c r="AA56" s="1373"/>
      <c r="AB56" s="4184"/>
      <c r="AC56" s="1374"/>
      <c r="AD56" s="1374"/>
      <c r="AE56" s="1374"/>
      <c r="AF56" s="1374"/>
      <c r="AG56" s="1374"/>
      <c r="AH56" s="1375"/>
      <c r="AI56" s="1373"/>
      <c r="AJ56" s="4184"/>
      <c r="AK56" s="1374"/>
      <c r="AL56" s="1374"/>
      <c r="AM56" s="1374"/>
      <c r="AN56" s="1374"/>
      <c r="AO56" s="1374"/>
      <c r="AP56" s="1375"/>
      <c r="AQ56" s="2500"/>
      <c r="AR56" s="4200"/>
      <c r="AS56" s="2501"/>
      <c r="AT56" s="2501"/>
      <c r="AU56" s="2501"/>
      <c r="AV56" s="2501"/>
      <c r="AW56" s="2501"/>
      <c r="AX56" s="2502"/>
      <c r="AY56" s="4488"/>
    </row>
    <row r="57" spans="1:99" s="1" customFormat="1" ht="13.5" customHeight="1" thickBot="1">
      <c r="A57" s="5323" t="s">
        <v>1853</v>
      </c>
      <c r="B57" s="5333" t="s">
        <v>1861</v>
      </c>
      <c r="C57" s="5318" t="s">
        <v>210</v>
      </c>
      <c r="D57" s="5319"/>
      <c r="E57" s="5319"/>
      <c r="F57" s="5319"/>
      <c r="G57" s="5319"/>
      <c r="H57" s="5319"/>
      <c r="I57" s="5319"/>
      <c r="J57" s="5320"/>
      <c r="K57" s="5318" t="s">
        <v>174</v>
      </c>
      <c r="L57" s="5319"/>
      <c r="M57" s="5319"/>
      <c r="N57" s="5319"/>
      <c r="O57" s="5319"/>
      <c r="P57" s="5319"/>
      <c r="Q57" s="5319"/>
      <c r="R57" s="5320"/>
      <c r="S57" s="5329" t="s">
        <v>184</v>
      </c>
      <c r="T57" s="5330"/>
      <c r="U57" s="5330"/>
      <c r="V57" s="5330"/>
      <c r="W57" s="5330"/>
      <c r="X57" s="5330"/>
      <c r="Y57" s="5330"/>
      <c r="Z57" s="5331"/>
      <c r="AA57" s="5313" t="s">
        <v>1029</v>
      </c>
      <c r="AB57" s="5314"/>
      <c r="AC57" s="5314"/>
      <c r="AD57" s="5314"/>
      <c r="AE57" s="5314"/>
      <c r="AF57" s="5314"/>
      <c r="AG57" s="5314"/>
      <c r="AH57" s="5315"/>
      <c r="AI57" s="5313" t="s">
        <v>1092</v>
      </c>
      <c r="AJ57" s="5314"/>
      <c r="AK57" s="5314"/>
      <c r="AL57" s="5314"/>
      <c r="AM57" s="5314"/>
      <c r="AN57" s="5314"/>
      <c r="AO57" s="5314"/>
      <c r="AP57" s="5315"/>
      <c r="AQ57" s="5313" t="s">
        <v>1249</v>
      </c>
      <c r="AR57" s="5314"/>
      <c r="AS57" s="5314"/>
      <c r="AT57" s="5314"/>
      <c r="AU57" s="5314"/>
      <c r="AV57" s="5314"/>
      <c r="AW57" s="5314"/>
      <c r="AX57" s="5315"/>
      <c r="AY57" s="4488"/>
    </row>
    <row r="58" spans="1:99" s="1" customFormat="1" ht="13.8" thickBot="1">
      <c r="A58" s="5332"/>
      <c r="B58" s="5328"/>
      <c r="C58" s="2503" t="str">
        <f t="shared" ref="C58" si="439">C8</f>
        <v>2024 г.</v>
      </c>
      <c r="D58" s="4185" t="str">
        <f t="shared" ref="D58:AX58" si="440">D8</f>
        <v>2025 г.</v>
      </c>
      <c r="E58" s="2504" t="str">
        <f t="shared" si="440"/>
        <v>2026 г.</v>
      </c>
      <c r="F58" s="2504" t="str">
        <f t="shared" si="440"/>
        <v>2027 г.</v>
      </c>
      <c r="G58" s="2504" t="str">
        <f t="shared" si="440"/>
        <v>2028 г.</v>
      </c>
      <c r="H58" s="2504" t="str">
        <f t="shared" si="440"/>
        <v>2029 г.</v>
      </c>
      <c r="I58" s="2504" t="str">
        <f t="shared" si="440"/>
        <v>2030 г.</v>
      </c>
      <c r="J58" s="2505" t="str">
        <f t="shared" si="440"/>
        <v>2031 г.</v>
      </c>
      <c r="K58" s="2503" t="str">
        <f t="shared" ref="K58" si="441">K8</f>
        <v>2024 г.</v>
      </c>
      <c r="L58" s="4185" t="str">
        <f t="shared" si="440"/>
        <v>2025 г.</v>
      </c>
      <c r="M58" s="2504" t="str">
        <f t="shared" si="440"/>
        <v>2026 г.</v>
      </c>
      <c r="N58" s="2504" t="str">
        <f t="shared" si="440"/>
        <v>2027 г.</v>
      </c>
      <c r="O58" s="2504" t="str">
        <f t="shared" si="440"/>
        <v>2028 г.</v>
      </c>
      <c r="P58" s="2504" t="str">
        <f t="shared" si="440"/>
        <v>2029 г.</v>
      </c>
      <c r="Q58" s="2504" t="str">
        <f t="shared" si="440"/>
        <v>2030 г.</v>
      </c>
      <c r="R58" s="2505" t="str">
        <f t="shared" si="440"/>
        <v>2031 г.</v>
      </c>
      <c r="S58" s="2503" t="str">
        <f t="shared" ref="S58" si="442">S8</f>
        <v>2024 г.</v>
      </c>
      <c r="T58" s="4185" t="str">
        <f t="shared" si="440"/>
        <v>2025 г.</v>
      </c>
      <c r="U58" s="2504" t="str">
        <f t="shared" si="440"/>
        <v>2026 г.</v>
      </c>
      <c r="V58" s="2504" t="str">
        <f t="shared" si="440"/>
        <v>2027 г.</v>
      </c>
      <c r="W58" s="2504" t="str">
        <f t="shared" si="440"/>
        <v>2028 г.</v>
      </c>
      <c r="X58" s="2504" t="str">
        <f t="shared" si="440"/>
        <v>2029 г.</v>
      </c>
      <c r="Y58" s="2504" t="str">
        <f t="shared" si="440"/>
        <v>2030 г.</v>
      </c>
      <c r="Z58" s="2505" t="str">
        <f t="shared" si="440"/>
        <v>2031 г.</v>
      </c>
      <c r="AA58" s="2503" t="str">
        <f t="shared" ref="AA58" si="443">AA8</f>
        <v>2024 г.</v>
      </c>
      <c r="AB58" s="4185" t="str">
        <f t="shared" si="440"/>
        <v>2025 г.</v>
      </c>
      <c r="AC58" s="2504" t="str">
        <f t="shared" si="440"/>
        <v>2026 г.</v>
      </c>
      <c r="AD58" s="2504" t="str">
        <f t="shared" si="440"/>
        <v>2027 г.</v>
      </c>
      <c r="AE58" s="2504" t="str">
        <f t="shared" si="440"/>
        <v>2028 г.</v>
      </c>
      <c r="AF58" s="2504" t="str">
        <f t="shared" si="440"/>
        <v>2029 г.</v>
      </c>
      <c r="AG58" s="2504" t="str">
        <f t="shared" si="440"/>
        <v>2030 г.</v>
      </c>
      <c r="AH58" s="2505" t="str">
        <f t="shared" si="440"/>
        <v>2031 г.</v>
      </c>
      <c r="AI58" s="2474" t="str">
        <f t="shared" ref="AI58" si="444">AI8</f>
        <v>2024 г.</v>
      </c>
      <c r="AJ58" s="2477" t="str">
        <f t="shared" si="440"/>
        <v>2025 г.</v>
      </c>
      <c r="AK58" s="2475" t="str">
        <f t="shared" si="440"/>
        <v>2026 г.</v>
      </c>
      <c r="AL58" s="2475" t="str">
        <f t="shared" si="440"/>
        <v>2027 г.</v>
      </c>
      <c r="AM58" s="2475" t="str">
        <f t="shared" si="440"/>
        <v>2028 г.</v>
      </c>
      <c r="AN58" s="2475" t="str">
        <f t="shared" si="440"/>
        <v>2029 г.</v>
      </c>
      <c r="AO58" s="2475" t="str">
        <f t="shared" si="440"/>
        <v>2030 г.</v>
      </c>
      <c r="AP58" s="2476" t="str">
        <f t="shared" si="440"/>
        <v>2031 г.</v>
      </c>
      <c r="AQ58" s="2474" t="str">
        <f t="shared" ref="AQ58" si="445">AQ8</f>
        <v>2024 г.</v>
      </c>
      <c r="AR58" s="2477" t="str">
        <f t="shared" si="440"/>
        <v>2025 г.</v>
      </c>
      <c r="AS58" s="2475" t="str">
        <f t="shared" si="440"/>
        <v>2026 г.</v>
      </c>
      <c r="AT58" s="2475" t="str">
        <f t="shared" si="440"/>
        <v>2027 г.</v>
      </c>
      <c r="AU58" s="2475" t="str">
        <f t="shared" si="440"/>
        <v>2028 г.</v>
      </c>
      <c r="AV58" s="2475" t="str">
        <f t="shared" si="440"/>
        <v>2029 г.</v>
      </c>
      <c r="AW58" s="2475" t="str">
        <f t="shared" si="440"/>
        <v>2030 г.</v>
      </c>
      <c r="AX58" s="2476" t="str">
        <f t="shared" si="440"/>
        <v>2031 г.</v>
      </c>
      <c r="AY58" s="4488"/>
    </row>
    <row r="59" spans="1:99" s="1" customFormat="1">
      <c r="A59" s="3888" t="s">
        <v>968</v>
      </c>
      <c r="B59" s="2478" t="s">
        <v>195</v>
      </c>
      <c r="C59" s="391"/>
      <c r="D59" s="4186"/>
      <c r="E59" s="1396">
        <f t="shared" ref="E59:J59" si="446">D65</f>
        <v>0</v>
      </c>
      <c r="F59" s="1397">
        <f t="shared" si="446"/>
        <v>0</v>
      </c>
      <c r="G59" s="1397">
        <f t="shared" si="446"/>
        <v>0</v>
      </c>
      <c r="H59" s="1397">
        <f t="shared" si="446"/>
        <v>0</v>
      </c>
      <c r="I59" s="1397">
        <f t="shared" si="446"/>
        <v>0</v>
      </c>
      <c r="J59" s="1398">
        <f t="shared" si="446"/>
        <v>0</v>
      </c>
      <c r="K59" s="391"/>
      <c r="L59" s="4186"/>
      <c r="M59" s="1396">
        <f t="shared" ref="M59:R59" si="447">L65</f>
        <v>0</v>
      </c>
      <c r="N59" s="1397">
        <f t="shared" si="447"/>
        <v>0</v>
      </c>
      <c r="O59" s="1397">
        <f t="shared" si="447"/>
        <v>0</v>
      </c>
      <c r="P59" s="1397">
        <f t="shared" si="447"/>
        <v>0</v>
      </c>
      <c r="Q59" s="1397">
        <f t="shared" si="447"/>
        <v>0</v>
      </c>
      <c r="R59" s="1398">
        <f t="shared" si="447"/>
        <v>0</v>
      </c>
      <c r="S59" s="391"/>
      <c r="T59" s="4186"/>
      <c r="U59" s="1396">
        <f t="shared" ref="U59:Z59" si="448">T65</f>
        <v>0</v>
      </c>
      <c r="V59" s="1397">
        <f t="shared" si="448"/>
        <v>0</v>
      </c>
      <c r="W59" s="1397">
        <f t="shared" si="448"/>
        <v>0</v>
      </c>
      <c r="X59" s="1397">
        <f t="shared" si="448"/>
        <v>0</v>
      </c>
      <c r="Y59" s="1397">
        <f t="shared" si="448"/>
        <v>0</v>
      </c>
      <c r="Z59" s="1398">
        <f t="shared" si="448"/>
        <v>0</v>
      </c>
      <c r="AA59" s="391"/>
      <c r="AB59" s="4186"/>
      <c r="AC59" s="1396">
        <f t="shared" ref="AC59:AH59" si="449">AB65</f>
        <v>0</v>
      </c>
      <c r="AD59" s="1397">
        <f t="shared" si="449"/>
        <v>0</v>
      </c>
      <c r="AE59" s="1397">
        <f t="shared" si="449"/>
        <v>0</v>
      </c>
      <c r="AF59" s="1397">
        <f t="shared" si="449"/>
        <v>0</v>
      </c>
      <c r="AG59" s="1397">
        <f t="shared" si="449"/>
        <v>0</v>
      </c>
      <c r="AH59" s="1398">
        <f t="shared" si="449"/>
        <v>0</v>
      </c>
      <c r="AI59" s="391"/>
      <c r="AJ59" s="4186"/>
      <c r="AK59" s="1396">
        <f t="shared" ref="AK59:AP59" si="450">AJ65</f>
        <v>0</v>
      </c>
      <c r="AL59" s="1397">
        <f t="shared" si="450"/>
        <v>0</v>
      </c>
      <c r="AM59" s="1397">
        <f t="shared" si="450"/>
        <v>0</v>
      </c>
      <c r="AN59" s="1397">
        <f t="shared" si="450"/>
        <v>0</v>
      </c>
      <c r="AO59" s="1397">
        <f t="shared" si="450"/>
        <v>0</v>
      </c>
      <c r="AP59" s="1398">
        <f t="shared" si="450"/>
        <v>0</v>
      </c>
      <c r="AQ59" s="391"/>
      <c r="AR59" s="4186"/>
      <c r="AS59" s="1396">
        <f>AR65</f>
        <v>0</v>
      </c>
      <c r="AT59" s="1397">
        <f t="shared" ref="AT59:AX59" si="451">AS65</f>
        <v>0</v>
      </c>
      <c r="AU59" s="1397">
        <f t="shared" si="451"/>
        <v>0</v>
      </c>
      <c r="AV59" s="1397">
        <f t="shared" si="451"/>
        <v>0</v>
      </c>
      <c r="AW59" s="1397">
        <f t="shared" si="451"/>
        <v>0</v>
      </c>
      <c r="AX59" s="1398">
        <f t="shared" si="451"/>
        <v>0</v>
      </c>
      <c r="AY59" s="4488"/>
      <c r="AZ59" s="3"/>
      <c r="BA59" s="3"/>
      <c r="BB59" s="4504">
        <f t="shared" ref="BB59:BC62" si="452">IFERROR(E59/$C$1,0)</f>
        <v>0</v>
      </c>
      <c r="BC59" s="4504">
        <f t="shared" si="452"/>
        <v>0</v>
      </c>
      <c r="BD59" s="4504">
        <f t="shared" ref="BD59:BD62" si="453">IFERROR(G59/$C$1,0)</f>
        <v>0</v>
      </c>
      <c r="BE59" s="4504">
        <f t="shared" ref="BE59:BE62" si="454">IFERROR(H59/$C$1,0)</f>
        <v>0</v>
      </c>
      <c r="BF59" s="4504">
        <f t="shared" ref="BF59:BF62" si="455">IFERROR(I59/$C$1,0)</f>
        <v>0</v>
      </c>
      <c r="BG59" s="4504">
        <f t="shared" ref="BG59:BG62" si="456">IFERROR(J59/$C$1,0)</f>
        <v>0</v>
      </c>
      <c r="BH59" s="3"/>
      <c r="BI59" s="3"/>
      <c r="BJ59" s="4504">
        <f t="shared" ref="BJ59:BJ62" si="457">IFERROR(M59/$C$1,0)</f>
        <v>0</v>
      </c>
      <c r="BK59" s="4504">
        <f t="shared" ref="BK59:BK62" si="458">IFERROR(N59/$C$1,0)</f>
        <v>0</v>
      </c>
      <c r="BL59" s="4504">
        <f t="shared" ref="BL59:BL62" si="459">IFERROR(O59/$C$1,0)</f>
        <v>0</v>
      </c>
      <c r="BM59" s="4504">
        <f t="shared" ref="BM59:BM62" si="460">IFERROR(P59/$C$1,0)</f>
        <v>0</v>
      </c>
      <c r="BN59" s="4504">
        <f t="shared" ref="BN59:BN62" si="461">IFERROR(Q59/$C$1,0)</f>
        <v>0</v>
      </c>
      <c r="BO59" s="4504">
        <f t="shared" ref="BO59:BO62" si="462">IFERROR(R59/$C$1,0)</f>
        <v>0</v>
      </c>
      <c r="BP59" s="3"/>
      <c r="BQ59" s="3"/>
      <c r="BR59" s="4504">
        <f t="shared" ref="BR59:BR62" si="463">IFERROR(U59/$C$1,0)</f>
        <v>0</v>
      </c>
      <c r="BS59" s="4504">
        <f t="shared" ref="BS59:BS62" si="464">IFERROR(V59/$C$1,0)</f>
        <v>0</v>
      </c>
      <c r="BT59" s="4504">
        <f t="shared" ref="BT59:BT62" si="465">IFERROR(W59/$C$1,0)</f>
        <v>0</v>
      </c>
      <c r="BU59" s="4504">
        <f t="shared" ref="BU59:BU62" si="466">IFERROR(X59/$C$1,0)</f>
        <v>0</v>
      </c>
      <c r="BV59" s="4504">
        <f t="shared" ref="BV59:BV62" si="467">IFERROR(Y59/$C$1,0)</f>
        <v>0</v>
      </c>
      <c r="BW59" s="4504">
        <f t="shared" ref="BW59:BW62" si="468">IFERROR(Z59/$C$1,0)</f>
        <v>0</v>
      </c>
      <c r="BX59" s="3"/>
      <c r="BY59" s="3"/>
      <c r="BZ59" s="4504">
        <f t="shared" ref="BZ59:BZ62" si="469">IFERROR(AC59/$C$1,0)</f>
        <v>0</v>
      </c>
      <c r="CA59" s="4504">
        <f t="shared" ref="CA59:CA62" si="470">IFERROR(AD59/$C$1,0)</f>
        <v>0</v>
      </c>
      <c r="CB59" s="4504">
        <f t="shared" ref="CB59:CB62" si="471">IFERROR(AE59/$C$1,0)</f>
        <v>0</v>
      </c>
      <c r="CC59" s="4504">
        <f t="shared" ref="CC59:CC62" si="472">IFERROR(AF59/$C$1,0)</f>
        <v>0</v>
      </c>
      <c r="CD59" s="4504">
        <f t="shared" ref="CD59:CD62" si="473">IFERROR(AG59/$C$1,0)</f>
        <v>0</v>
      </c>
      <c r="CE59" s="4504">
        <f t="shared" ref="CE59:CE62" si="474">IFERROR(AH59/$C$1,0)</f>
        <v>0</v>
      </c>
      <c r="CF59" s="3"/>
      <c r="CG59" s="3"/>
      <c r="CH59" s="4504">
        <f t="shared" ref="CH59:CH62" si="475">IFERROR(AK59/$C$1,0)</f>
        <v>0</v>
      </c>
      <c r="CI59" s="4504">
        <f t="shared" ref="CI59:CI62" si="476">IFERROR(AL59/$C$1,0)</f>
        <v>0</v>
      </c>
      <c r="CJ59" s="4504">
        <f t="shared" ref="CJ59:CJ62" si="477">IFERROR(AM59/$C$1,0)</f>
        <v>0</v>
      </c>
      <c r="CK59" s="4504">
        <f t="shared" ref="CK59:CK62" si="478">IFERROR(AN59/$C$1,0)</f>
        <v>0</v>
      </c>
      <c r="CL59" s="4504">
        <f t="shared" ref="CL59:CL62" si="479">IFERROR(AO59/$C$1,0)</f>
        <v>0</v>
      </c>
      <c r="CM59" s="4504">
        <f t="shared" ref="CM59:CM62" si="480">IFERROR(AP59/$C$1,0)</f>
        <v>0</v>
      </c>
      <c r="CN59" s="3"/>
      <c r="CO59" s="3"/>
      <c r="CP59" s="4504">
        <f t="shared" ref="CP59:CP62" si="481">IFERROR(AS59/$C$1,0)</f>
        <v>0</v>
      </c>
      <c r="CQ59" s="4504">
        <f t="shared" ref="CQ59:CQ62" si="482">IFERROR(AT59/$C$1,0)</f>
        <v>0</v>
      </c>
      <c r="CR59" s="4504">
        <f t="shared" ref="CR59:CR62" si="483">IFERROR(AU59/$C$1,0)</f>
        <v>0</v>
      </c>
      <c r="CS59" s="4504">
        <f t="shared" ref="CS59:CS62" si="484">IFERROR(AV59/$C$1,0)</f>
        <v>0</v>
      </c>
      <c r="CT59" s="4504">
        <f t="shared" ref="CT59:CT62" si="485">IFERROR(AW59/$C$1,0)</f>
        <v>0</v>
      </c>
      <c r="CU59" s="4504">
        <f t="shared" ref="CU59:CU62" si="486">IFERROR(AX59/$C$1,0)</f>
        <v>0</v>
      </c>
    </row>
    <row r="60" spans="1:99" s="1" customFormat="1">
      <c r="A60" s="3888" t="s">
        <v>969</v>
      </c>
      <c r="B60" s="2480" t="s">
        <v>196</v>
      </c>
      <c r="C60" s="390"/>
      <c r="D60" s="4187"/>
      <c r="E60" s="2481">
        <f>+'9.Инвестиционна програма'!Y140</f>
        <v>0</v>
      </c>
      <c r="F60" s="2481">
        <f>+'9.Инвестиционна програма'!Z140</f>
        <v>0</v>
      </c>
      <c r="G60" s="2481">
        <f>+'9.Инвестиционна програма'!AA140</f>
        <v>0</v>
      </c>
      <c r="H60" s="2481">
        <f>+'9.Инвестиционна програма'!AB140</f>
        <v>0</v>
      </c>
      <c r="I60" s="2481">
        <f>+'9.Инвестиционна програма'!AC140</f>
        <v>0</v>
      </c>
      <c r="J60" s="2482">
        <f>+'9.Инвестиционна програма'!AD140</f>
        <v>0</v>
      </c>
      <c r="K60" s="390"/>
      <c r="L60" s="4187"/>
      <c r="M60" s="2481">
        <f>+'9.Инвестиционна програма'!Y141</f>
        <v>0</v>
      </c>
      <c r="N60" s="2481">
        <f>+'9.Инвестиционна програма'!Z141</f>
        <v>0</v>
      </c>
      <c r="O60" s="2481">
        <f>+'9.Инвестиционна програма'!AA141</f>
        <v>0</v>
      </c>
      <c r="P60" s="2481">
        <f>+'9.Инвестиционна програма'!AB141</f>
        <v>0</v>
      </c>
      <c r="Q60" s="2481">
        <f>+'9.Инвестиционна програма'!AC141</f>
        <v>0</v>
      </c>
      <c r="R60" s="2481">
        <f>+'9.Инвестиционна програма'!AD141</f>
        <v>0</v>
      </c>
      <c r="S60" s="390"/>
      <c r="T60" s="4187"/>
      <c r="U60" s="2481">
        <f>+'9.Инвестиционна програма'!Y142</f>
        <v>0</v>
      </c>
      <c r="V60" s="2481">
        <f>+'9.Инвестиционна програма'!Z142</f>
        <v>0</v>
      </c>
      <c r="W60" s="2481">
        <f>+'9.Инвестиционна програма'!AA142</f>
        <v>0</v>
      </c>
      <c r="X60" s="2481">
        <f>+'9.Инвестиционна програма'!AB142</f>
        <v>0</v>
      </c>
      <c r="Y60" s="2481">
        <f>+'9.Инвестиционна програма'!AC142</f>
        <v>0</v>
      </c>
      <c r="Z60" s="2481">
        <f>+'9.Инвестиционна програма'!AD142</f>
        <v>0</v>
      </c>
      <c r="AA60" s="390"/>
      <c r="AB60" s="4187"/>
      <c r="AC60" s="2481">
        <f>+'9.Инвестиционна програма'!Y143</f>
        <v>0</v>
      </c>
      <c r="AD60" s="2481">
        <f>+'9.Инвестиционна програма'!Z143</f>
        <v>0</v>
      </c>
      <c r="AE60" s="2481">
        <f>+'9.Инвестиционна програма'!AA143</f>
        <v>0</v>
      </c>
      <c r="AF60" s="2481">
        <f>+'9.Инвестиционна програма'!AB143</f>
        <v>0</v>
      </c>
      <c r="AG60" s="2481">
        <f>+'9.Инвестиционна програма'!AC143</f>
        <v>0</v>
      </c>
      <c r="AH60" s="2481">
        <f>+'9.Инвестиционна програма'!AD143</f>
        <v>0</v>
      </c>
      <c r="AI60" s="390"/>
      <c r="AJ60" s="4187"/>
      <c r="AK60" s="2481">
        <f>+'9.Инвестиционна програма'!Y144</f>
        <v>0</v>
      </c>
      <c r="AL60" s="2481">
        <f>+'9.Инвестиционна програма'!Z144</f>
        <v>0</v>
      </c>
      <c r="AM60" s="2481">
        <f>+'9.Инвестиционна програма'!AA144</f>
        <v>0</v>
      </c>
      <c r="AN60" s="2481">
        <f>+'9.Инвестиционна програма'!AB144</f>
        <v>0</v>
      </c>
      <c r="AO60" s="2481">
        <f>+'9.Инвестиционна програма'!AC144</f>
        <v>0</v>
      </c>
      <c r="AP60" s="2481">
        <f>+'9.Инвестиционна програма'!AD144</f>
        <v>0</v>
      </c>
      <c r="AQ60" s="390"/>
      <c r="AR60" s="4187"/>
      <c r="AS60" s="2481">
        <f t="shared" ref="AS60:AX60" si="487">E60+M60+U60+AC60+AK60</f>
        <v>0</v>
      </c>
      <c r="AT60" s="2481">
        <f t="shared" si="487"/>
        <v>0</v>
      </c>
      <c r="AU60" s="2481">
        <f t="shared" si="487"/>
        <v>0</v>
      </c>
      <c r="AV60" s="2481">
        <f t="shared" si="487"/>
        <v>0</v>
      </c>
      <c r="AW60" s="2481">
        <f t="shared" si="487"/>
        <v>0</v>
      </c>
      <c r="AX60" s="2482">
        <f t="shared" si="487"/>
        <v>0</v>
      </c>
      <c r="AY60" s="4488"/>
      <c r="AZ60" s="3"/>
      <c r="BA60" s="3"/>
      <c r="BB60" s="4504">
        <f t="shared" si="452"/>
        <v>0</v>
      </c>
      <c r="BC60" s="4504">
        <f t="shared" si="452"/>
        <v>0</v>
      </c>
      <c r="BD60" s="4504">
        <f t="shared" si="453"/>
        <v>0</v>
      </c>
      <c r="BE60" s="4504">
        <f t="shared" si="454"/>
        <v>0</v>
      </c>
      <c r="BF60" s="4504">
        <f t="shared" si="455"/>
        <v>0</v>
      </c>
      <c r="BG60" s="4504">
        <f t="shared" si="456"/>
        <v>0</v>
      </c>
      <c r="BH60" s="3"/>
      <c r="BI60" s="3"/>
      <c r="BJ60" s="4504">
        <f t="shared" si="457"/>
        <v>0</v>
      </c>
      <c r="BK60" s="4504">
        <f t="shared" si="458"/>
        <v>0</v>
      </c>
      <c r="BL60" s="4504">
        <f t="shared" si="459"/>
        <v>0</v>
      </c>
      <c r="BM60" s="4504">
        <f t="shared" si="460"/>
        <v>0</v>
      </c>
      <c r="BN60" s="4504">
        <f t="shared" si="461"/>
        <v>0</v>
      </c>
      <c r="BO60" s="4504">
        <f t="shared" si="462"/>
        <v>0</v>
      </c>
      <c r="BP60" s="3"/>
      <c r="BQ60" s="3"/>
      <c r="BR60" s="4504">
        <f t="shared" si="463"/>
        <v>0</v>
      </c>
      <c r="BS60" s="4504">
        <f t="shared" si="464"/>
        <v>0</v>
      </c>
      <c r="BT60" s="4504">
        <f t="shared" si="465"/>
        <v>0</v>
      </c>
      <c r="BU60" s="4504">
        <f t="shared" si="466"/>
        <v>0</v>
      </c>
      <c r="BV60" s="4504">
        <f t="shared" si="467"/>
        <v>0</v>
      </c>
      <c r="BW60" s="4504">
        <f t="shared" si="468"/>
        <v>0</v>
      </c>
      <c r="BX60" s="3"/>
      <c r="BY60" s="3"/>
      <c r="BZ60" s="4504">
        <f t="shared" si="469"/>
        <v>0</v>
      </c>
      <c r="CA60" s="4504">
        <f t="shared" si="470"/>
        <v>0</v>
      </c>
      <c r="CB60" s="4504">
        <f t="shared" si="471"/>
        <v>0</v>
      </c>
      <c r="CC60" s="4504">
        <f t="shared" si="472"/>
        <v>0</v>
      </c>
      <c r="CD60" s="4504">
        <f t="shared" si="473"/>
        <v>0</v>
      </c>
      <c r="CE60" s="4504">
        <f t="shared" si="474"/>
        <v>0</v>
      </c>
      <c r="CF60" s="3"/>
      <c r="CG60" s="3"/>
      <c r="CH60" s="4504">
        <f t="shared" si="475"/>
        <v>0</v>
      </c>
      <c r="CI60" s="4504">
        <f t="shared" si="476"/>
        <v>0</v>
      </c>
      <c r="CJ60" s="4504">
        <f t="shared" si="477"/>
        <v>0</v>
      </c>
      <c r="CK60" s="4504">
        <f t="shared" si="478"/>
        <v>0</v>
      </c>
      <c r="CL60" s="4504">
        <f t="shared" si="479"/>
        <v>0</v>
      </c>
      <c r="CM60" s="4504">
        <f t="shared" si="480"/>
        <v>0</v>
      </c>
      <c r="CN60" s="3"/>
      <c r="CO60" s="3"/>
      <c r="CP60" s="4504">
        <f t="shared" si="481"/>
        <v>0</v>
      </c>
      <c r="CQ60" s="4504">
        <f t="shared" si="482"/>
        <v>0</v>
      </c>
      <c r="CR60" s="4504">
        <f t="shared" si="483"/>
        <v>0</v>
      </c>
      <c r="CS60" s="4504">
        <f t="shared" si="484"/>
        <v>0</v>
      </c>
      <c r="CT60" s="4504">
        <f t="shared" si="485"/>
        <v>0</v>
      </c>
      <c r="CU60" s="4504">
        <f t="shared" si="486"/>
        <v>0</v>
      </c>
    </row>
    <row r="61" spans="1:99" s="1" customFormat="1">
      <c r="A61" s="3888" t="s">
        <v>970</v>
      </c>
      <c r="B61" s="2480" t="s">
        <v>197</v>
      </c>
      <c r="C61" s="390"/>
      <c r="D61" s="4187"/>
      <c r="E61" s="2481">
        <f>IFERROR(E60/$AS60*$AS61,0)</f>
        <v>0</v>
      </c>
      <c r="F61" s="2481">
        <f>IFERROR(SUM($E60:F60)/SUM($AS60:AT60)*AT61,0)</f>
        <v>0</v>
      </c>
      <c r="G61" s="2481">
        <f>IFERROR(SUM($E60:G60)/SUM($AS60:AU60)*AU61,0)</f>
        <v>0</v>
      </c>
      <c r="H61" s="2481">
        <f>IFERROR(SUM($E60:H60)/SUM($AS60:AV60)*AV61,0)</f>
        <v>0</v>
      </c>
      <c r="I61" s="2481">
        <f>IFERROR(SUM($E60:I60)/SUM($AS60:AW60)*AW61,0)</f>
        <v>0</v>
      </c>
      <c r="J61" s="2481">
        <f>IFERROR(SUM($E60:J60)/SUM($AS60:AX60)*AX61,0)</f>
        <v>0</v>
      </c>
      <c r="K61" s="390"/>
      <c r="L61" s="4187"/>
      <c r="M61" s="2481">
        <f>IFERROR(M60/$AS60*$AS61,0)</f>
        <v>0</v>
      </c>
      <c r="N61" s="2481">
        <f>IFERROR(SUM($M60:N60)/SUM($AS60:AT60)*AT61,0)</f>
        <v>0</v>
      </c>
      <c r="O61" s="2481">
        <f>IFERROR(SUM($M60:O60)/SUM($AS60:AU60)*AU61,0)</f>
        <v>0</v>
      </c>
      <c r="P61" s="2481">
        <f>IFERROR(SUM($M60:P60)/SUM($AS60:AV60)*AV61,0)</f>
        <v>0</v>
      </c>
      <c r="Q61" s="2481">
        <f>IFERROR(SUM($M60:Q60)/SUM($AS60:AW60)*AW61,0)</f>
        <v>0</v>
      </c>
      <c r="R61" s="2481">
        <f>IFERROR(SUM($M60:R60)/SUM($AS60:AX60)*AX61,0)</f>
        <v>0</v>
      </c>
      <c r="S61" s="390"/>
      <c r="T61" s="4187"/>
      <c r="U61" s="2481">
        <f>IFERROR(U60/$AS60*$AS61,0)</f>
        <v>0</v>
      </c>
      <c r="V61" s="2481">
        <f>IFERROR(SUM($U60:V60)/SUM($AS60:AT60)*AT61,0)</f>
        <v>0</v>
      </c>
      <c r="W61" s="2481">
        <f>IFERROR(SUM($U60:W60)/SUM($AS60:AU60)*AU61,0)</f>
        <v>0</v>
      </c>
      <c r="X61" s="2481">
        <f>IFERROR(SUM($U60:X60)/SUM($AS60:AV60)*AV61,0)</f>
        <v>0</v>
      </c>
      <c r="Y61" s="2481">
        <f>IFERROR(SUM($U60:Y60)/SUM($AS60:AW60)*AW61,0)</f>
        <v>0</v>
      </c>
      <c r="Z61" s="2481">
        <f>IFERROR(SUM($U60:Z60)/SUM($AS60:AX60)*AX61,0)</f>
        <v>0</v>
      </c>
      <c r="AA61" s="390"/>
      <c r="AB61" s="4187"/>
      <c r="AC61" s="2481">
        <f>IFERROR(AC60/$AS60*$AS61,0)</f>
        <v>0</v>
      </c>
      <c r="AD61" s="2481">
        <f>IFERROR(SUM($AC60:AD60)/SUM($AS60:AT60)*AT61,0)</f>
        <v>0</v>
      </c>
      <c r="AE61" s="2481">
        <f>IFERROR(SUM($AC60:AE60)/SUM($AS60:AU60)*AU61,0)</f>
        <v>0</v>
      </c>
      <c r="AF61" s="2481">
        <f>IFERROR(SUM($AC60:AF60)/SUM($AS60:AV60)*AV61,0)</f>
        <v>0</v>
      </c>
      <c r="AG61" s="2481">
        <f>IFERROR(SUM($AC60:AG60)/SUM($AS60:AW60)*AW61,0)</f>
        <v>0</v>
      </c>
      <c r="AH61" s="2481">
        <f>IFERROR(SUM($AC60:AH60)/SUM($AS60:AX60)*AX61,0)</f>
        <v>0</v>
      </c>
      <c r="AI61" s="390"/>
      <c r="AJ61" s="4187"/>
      <c r="AK61" s="2481">
        <f>IFERROR(AK60/$AS60*$AS61,0)</f>
        <v>0</v>
      </c>
      <c r="AL61" s="2481">
        <f>IFERROR(SUM($AK60:AL60)/SUM($AS60:AT60)*AT61,0)</f>
        <v>0</v>
      </c>
      <c r="AM61" s="2481">
        <f>IFERROR(SUM($AK60:AM60)/SUM($AS60:AU60)*AU61,0)</f>
        <v>0</v>
      </c>
      <c r="AN61" s="2481">
        <f>IFERROR(SUM($AK60:AN60)/SUM($AS60:AV60)*AV61,0)</f>
        <v>0</v>
      </c>
      <c r="AO61" s="2481">
        <f>IFERROR(SUM($AK60:AO60)/SUM($AS60:AW60)*AW61,0)</f>
        <v>0</v>
      </c>
      <c r="AP61" s="2481">
        <f>IFERROR(SUM($AK60:AP60)/SUM($AS60:AX60)*AX61,0)</f>
        <v>0</v>
      </c>
      <c r="AQ61" s="390"/>
      <c r="AR61" s="4187"/>
      <c r="AS61" s="413"/>
      <c r="AT61" s="413"/>
      <c r="AU61" s="413"/>
      <c r="AV61" s="413"/>
      <c r="AW61" s="413"/>
      <c r="AX61" s="414"/>
      <c r="AY61" s="4488"/>
      <c r="AZ61" s="3"/>
      <c r="BA61" s="3"/>
      <c r="BB61" s="4504">
        <f t="shared" si="452"/>
        <v>0</v>
      </c>
      <c r="BC61" s="4504">
        <f t="shared" si="452"/>
        <v>0</v>
      </c>
      <c r="BD61" s="4504">
        <f t="shared" si="453"/>
        <v>0</v>
      </c>
      <c r="BE61" s="4504">
        <f t="shared" si="454"/>
        <v>0</v>
      </c>
      <c r="BF61" s="4504">
        <f t="shared" si="455"/>
        <v>0</v>
      </c>
      <c r="BG61" s="4504">
        <f t="shared" si="456"/>
        <v>0</v>
      </c>
      <c r="BH61" s="3"/>
      <c r="BI61" s="3"/>
      <c r="BJ61" s="4504">
        <f t="shared" si="457"/>
        <v>0</v>
      </c>
      <c r="BK61" s="4504">
        <f t="shared" si="458"/>
        <v>0</v>
      </c>
      <c r="BL61" s="4504">
        <f t="shared" si="459"/>
        <v>0</v>
      </c>
      <c r="BM61" s="4504">
        <f t="shared" si="460"/>
        <v>0</v>
      </c>
      <c r="BN61" s="4504">
        <f t="shared" si="461"/>
        <v>0</v>
      </c>
      <c r="BO61" s="4504">
        <f t="shared" si="462"/>
        <v>0</v>
      </c>
      <c r="BP61" s="3"/>
      <c r="BQ61" s="3"/>
      <c r="BR61" s="4504">
        <f t="shared" si="463"/>
        <v>0</v>
      </c>
      <c r="BS61" s="4504">
        <f t="shared" si="464"/>
        <v>0</v>
      </c>
      <c r="BT61" s="4504">
        <f t="shared" si="465"/>
        <v>0</v>
      </c>
      <c r="BU61" s="4504">
        <f t="shared" si="466"/>
        <v>0</v>
      </c>
      <c r="BV61" s="4504">
        <f t="shared" si="467"/>
        <v>0</v>
      </c>
      <c r="BW61" s="4504">
        <f t="shared" si="468"/>
        <v>0</v>
      </c>
      <c r="BX61" s="3"/>
      <c r="BY61" s="3"/>
      <c r="BZ61" s="4504">
        <f t="shared" si="469"/>
        <v>0</v>
      </c>
      <c r="CA61" s="4504">
        <f t="shared" si="470"/>
        <v>0</v>
      </c>
      <c r="CB61" s="4504">
        <f t="shared" si="471"/>
        <v>0</v>
      </c>
      <c r="CC61" s="4504">
        <f t="shared" si="472"/>
        <v>0</v>
      </c>
      <c r="CD61" s="4504">
        <f t="shared" si="473"/>
        <v>0</v>
      </c>
      <c r="CE61" s="4504">
        <f t="shared" si="474"/>
        <v>0</v>
      </c>
      <c r="CF61" s="3"/>
      <c r="CG61" s="3"/>
      <c r="CH61" s="4504">
        <f t="shared" si="475"/>
        <v>0</v>
      </c>
      <c r="CI61" s="4504">
        <f t="shared" si="476"/>
        <v>0</v>
      </c>
      <c r="CJ61" s="4504">
        <f t="shared" si="477"/>
        <v>0</v>
      </c>
      <c r="CK61" s="4504">
        <f t="shared" si="478"/>
        <v>0</v>
      </c>
      <c r="CL61" s="4504">
        <f t="shared" si="479"/>
        <v>0</v>
      </c>
      <c r="CM61" s="4504">
        <f t="shared" si="480"/>
        <v>0</v>
      </c>
      <c r="CN61" s="3"/>
      <c r="CO61" s="3"/>
      <c r="CP61" s="4504">
        <f t="shared" si="481"/>
        <v>0</v>
      </c>
      <c r="CQ61" s="4504">
        <f t="shared" si="482"/>
        <v>0</v>
      </c>
      <c r="CR61" s="4504">
        <f t="shared" si="483"/>
        <v>0</v>
      </c>
      <c r="CS61" s="4504">
        <f t="shared" si="484"/>
        <v>0</v>
      </c>
      <c r="CT61" s="4504">
        <f t="shared" si="485"/>
        <v>0</v>
      </c>
      <c r="CU61" s="4504">
        <f t="shared" si="486"/>
        <v>0</v>
      </c>
    </row>
    <row r="62" spans="1:99" s="1" customFormat="1">
      <c r="A62" s="3888" t="s">
        <v>971</v>
      </c>
      <c r="B62" s="2480" t="s">
        <v>198</v>
      </c>
      <c r="C62" s="390"/>
      <c r="D62" s="4187"/>
      <c r="E62" s="2481">
        <f>+(E65+E59+E60)/2*E63</f>
        <v>0</v>
      </c>
      <c r="F62" s="2481">
        <f t="shared" ref="F62:J62" si="488">+(F65+F59+F60)/2*F63</f>
        <v>0</v>
      </c>
      <c r="G62" s="2481">
        <f t="shared" si="488"/>
        <v>0</v>
      </c>
      <c r="H62" s="2481">
        <f t="shared" si="488"/>
        <v>0</v>
      </c>
      <c r="I62" s="2481">
        <f>+(I65+I59+I60)/2*I63</f>
        <v>0</v>
      </c>
      <c r="J62" s="2481">
        <f t="shared" si="488"/>
        <v>0</v>
      </c>
      <c r="K62" s="390"/>
      <c r="L62" s="4187"/>
      <c r="M62" s="2481">
        <f>+(M65+M59+M60)/2*M63</f>
        <v>0</v>
      </c>
      <c r="N62" s="2481">
        <f t="shared" ref="N62:R62" si="489">+(N65+N59+N60)/2*N63</f>
        <v>0</v>
      </c>
      <c r="O62" s="2481">
        <f t="shared" si="489"/>
        <v>0</v>
      </c>
      <c r="P62" s="2481">
        <f t="shared" si="489"/>
        <v>0</v>
      </c>
      <c r="Q62" s="2481">
        <f t="shared" si="489"/>
        <v>0</v>
      </c>
      <c r="R62" s="2481">
        <f t="shared" si="489"/>
        <v>0</v>
      </c>
      <c r="S62" s="390"/>
      <c r="T62" s="4187"/>
      <c r="U62" s="2481">
        <f t="shared" ref="U62:Z62" si="490">+(U65+U59+U60)/2*U63</f>
        <v>0</v>
      </c>
      <c r="V62" s="2481">
        <f t="shared" si="490"/>
        <v>0</v>
      </c>
      <c r="W62" s="2481">
        <f t="shared" si="490"/>
        <v>0</v>
      </c>
      <c r="X62" s="2481">
        <f t="shared" si="490"/>
        <v>0</v>
      </c>
      <c r="Y62" s="2481">
        <f t="shared" si="490"/>
        <v>0</v>
      </c>
      <c r="Z62" s="2481">
        <f t="shared" si="490"/>
        <v>0</v>
      </c>
      <c r="AA62" s="390"/>
      <c r="AB62" s="4187"/>
      <c r="AC62" s="2481">
        <f t="shared" ref="AC62:AH62" si="491">+(AC65+AC59+AC60)/2*AC63</f>
        <v>0</v>
      </c>
      <c r="AD62" s="2481">
        <f t="shared" si="491"/>
        <v>0</v>
      </c>
      <c r="AE62" s="2481">
        <f t="shared" si="491"/>
        <v>0</v>
      </c>
      <c r="AF62" s="2481">
        <f t="shared" si="491"/>
        <v>0</v>
      </c>
      <c r="AG62" s="2481">
        <f t="shared" si="491"/>
        <v>0</v>
      </c>
      <c r="AH62" s="2481">
        <f t="shared" si="491"/>
        <v>0</v>
      </c>
      <c r="AI62" s="390"/>
      <c r="AJ62" s="4187"/>
      <c r="AK62" s="2481">
        <f t="shared" ref="AK62:AP62" si="492">+(AK65+AK59+AK60)/2*AK63</f>
        <v>0</v>
      </c>
      <c r="AL62" s="2481">
        <f t="shared" si="492"/>
        <v>0</v>
      </c>
      <c r="AM62" s="2481">
        <f t="shared" si="492"/>
        <v>0</v>
      </c>
      <c r="AN62" s="2481">
        <f t="shared" si="492"/>
        <v>0</v>
      </c>
      <c r="AO62" s="2481">
        <f t="shared" si="492"/>
        <v>0</v>
      </c>
      <c r="AP62" s="2481">
        <f t="shared" si="492"/>
        <v>0</v>
      </c>
      <c r="AQ62" s="390"/>
      <c r="AR62" s="4187"/>
      <c r="AS62" s="413"/>
      <c r="AT62" s="413"/>
      <c r="AU62" s="413"/>
      <c r="AV62" s="413"/>
      <c r="AW62" s="413"/>
      <c r="AX62" s="414"/>
      <c r="AY62" s="4488"/>
      <c r="AZ62" s="3"/>
      <c r="BA62" s="3"/>
      <c r="BB62" s="4504">
        <f t="shared" si="452"/>
        <v>0</v>
      </c>
      <c r="BC62" s="4504">
        <f t="shared" si="452"/>
        <v>0</v>
      </c>
      <c r="BD62" s="4504">
        <f t="shared" si="453"/>
        <v>0</v>
      </c>
      <c r="BE62" s="4504">
        <f t="shared" si="454"/>
        <v>0</v>
      </c>
      <c r="BF62" s="4504">
        <f t="shared" si="455"/>
        <v>0</v>
      </c>
      <c r="BG62" s="4504">
        <f t="shared" si="456"/>
        <v>0</v>
      </c>
      <c r="BH62" s="3"/>
      <c r="BI62" s="3"/>
      <c r="BJ62" s="4504">
        <f t="shared" si="457"/>
        <v>0</v>
      </c>
      <c r="BK62" s="4504">
        <f t="shared" si="458"/>
        <v>0</v>
      </c>
      <c r="BL62" s="4504">
        <f t="shared" si="459"/>
        <v>0</v>
      </c>
      <c r="BM62" s="4504">
        <f t="shared" si="460"/>
        <v>0</v>
      </c>
      <c r="BN62" s="4504">
        <f t="shared" si="461"/>
        <v>0</v>
      </c>
      <c r="BO62" s="4504">
        <f t="shared" si="462"/>
        <v>0</v>
      </c>
      <c r="BP62" s="3"/>
      <c r="BQ62" s="3"/>
      <c r="BR62" s="4504">
        <f t="shared" si="463"/>
        <v>0</v>
      </c>
      <c r="BS62" s="4504">
        <f t="shared" si="464"/>
        <v>0</v>
      </c>
      <c r="BT62" s="4504">
        <f t="shared" si="465"/>
        <v>0</v>
      </c>
      <c r="BU62" s="4504">
        <f t="shared" si="466"/>
        <v>0</v>
      </c>
      <c r="BV62" s="4504">
        <f t="shared" si="467"/>
        <v>0</v>
      </c>
      <c r="BW62" s="4504">
        <f t="shared" si="468"/>
        <v>0</v>
      </c>
      <c r="BX62" s="3"/>
      <c r="BY62" s="3"/>
      <c r="BZ62" s="4504">
        <f t="shared" si="469"/>
        <v>0</v>
      </c>
      <c r="CA62" s="4504">
        <f t="shared" si="470"/>
        <v>0</v>
      </c>
      <c r="CB62" s="4504">
        <f t="shared" si="471"/>
        <v>0</v>
      </c>
      <c r="CC62" s="4504">
        <f t="shared" si="472"/>
        <v>0</v>
      </c>
      <c r="CD62" s="4504">
        <f t="shared" si="473"/>
        <v>0</v>
      </c>
      <c r="CE62" s="4504">
        <f t="shared" si="474"/>
        <v>0</v>
      </c>
      <c r="CF62" s="3"/>
      <c r="CG62" s="3"/>
      <c r="CH62" s="4504">
        <f t="shared" si="475"/>
        <v>0</v>
      </c>
      <c r="CI62" s="4504">
        <f t="shared" si="476"/>
        <v>0</v>
      </c>
      <c r="CJ62" s="4504">
        <f t="shared" si="477"/>
        <v>0</v>
      </c>
      <c r="CK62" s="4504">
        <f t="shared" si="478"/>
        <v>0</v>
      </c>
      <c r="CL62" s="4504">
        <f t="shared" si="479"/>
        <v>0</v>
      </c>
      <c r="CM62" s="4504">
        <f t="shared" si="480"/>
        <v>0</v>
      </c>
      <c r="CN62" s="3"/>
      <c r="CO62" s="3"/>
      <c r="CP62" s="4504">
        <f t="shared" si="481"/>
        <v>0</v>
      </c>
      <c r="CQ62" s="4504">
        <f t="shared" si="482"/>
        <v>0</v>
      </c>
      <c r="CR62" s="4504">
        <f t="shared" si="483"/>
        <v>0</v>
      </c>
      <c r="CS62" s="4504">
        <f t="shared" si="484"/>
        <v>0</v>
      </c>
      <c r="CT62" s="4504">
        <f t="shared" si="485"/>
        <v>0</v>
      </c>
      <c r="CU62" s="4504">
        <f t="shared" si="486"/>
        <v>0</v>
      </c>
    </row>
    <row r="63" spans="1:99" s="1" customFormat="1">
      <c r="A63" s="3888" t="s">
        <v>972</v>
      </c>
      <c r="B63" s="2480" t="s">
        <v>199</v>
      </c>
      <c r="C63" s="390"/>
      <c r="D63" s="4187"/>
      <c r="E63" s="1399">
        <f>+AS63</f>
        <v>0</v>
      </c>
      <c r="F63" s="1399">
        <f t="shared" ref="F63:J63" si="493">+AT63</f>
        <v>0</v>
      </c>
      <c r="G63" s="1399">
        <f t="shared" si="493"/>
        <v>0</v>
      </c>
      <c r="H63" s="1399">
        <f t="shared" si="493"/>
        <v>0</v>
      </c>
      <c r="I63" s="1399">
        <f t="shared" si="493"/>
        <v>0</v>
      </c>
      <c r="J63" s="1399">
        <f t="shared" si="493"/>
        <v>0</v>
      </c>
      <c r="K63" s="390"/>
      <c r="L63" s="4187"/>
      <c r="M63" s="1399">
        <f>+AS63</f>
        <v>0</v>
      </c>
      <c r="N63" s="1399">
        <f t="shared" ref="N63:R63" si="494">+AT63</f>
        <v>0</v>
      </c>
      <c r="O63" s="1399">
        <f t="shared" si="494"/>
        <v>0</v>
      </c>
      <c r="P63" s="1399">
        <f t="shared" si="494"/>
        <v>0</v>
      </c>
      <c r="Q63" s="1399">
        <f t="shared" si="494"/>
        <v>0</v>
      </c>
      <c r="R63" s="1399">
        <f t="shared" si="494"/>
        <v>0</v>
      </c>
      <c r="S63" s="390"/>
      <c r="T63" s="4187"/>
      <c r="U63" s="1399">
        <f>+AS63</f>
        <v>0</v>
      </c>
      <c r="V63" s="1399">
        <f t="shared" ref="V63:Z63" si="495">+AT63</f>
        <v>0</v>
      </c>
      <c r="W63" s="1399">
        <f t="shared" si="495"/>
        <v>0</v>
      </c>
      <c r="X63" s="1399">
        <f t="shared" si="495"/>
        <v>0</v>
      </c>
      <c r="Y63" s="1399">
        <f t="shared" si="495"/>
        <v>0</v>
      </c>
      <c r="Z63" s="1399">
        <f t="shared" si="495"/>
        <v>0</v>
      </c>
      <c r="AA63" s="390"/>
      <c r="AB63" s="4187"/>
      <c r="AC63" s="1399">
        <f>+AS63</f>
        <v>0</v>
      </c>
      <c r="AD63" s="1399">
        <f t="shared" ref="AD63:AH63" si="496">+AT63</f>
        <v>0</v>
      </c>
      <c r="AE63" s="1399">
        <f t="shared" si="496"/>
        <v>0</v>
      </c>
      <c r="AF63" s="1399">
        <f t="shared" si="496"/>
        <v>0</v>
      </c>
      <c r="AG63" s="1399">
        <f t="shared" si="496"/>
        <v>0</v>
      </c>
      <c r="AH63" s="1399">
        <f t="shared" si="496"/>
        <v>0</v>
      </c>
      <c r="AI63" s="390"/>
      <c r="AJ63" s="4187"/>
      <c r="AK63" s="1399">
        <f>+AS63</f>
        <v>0</v>
      </c>
      <c r="AL63" s="1399">
        <f t="shared" ref="AL63:AP63" si="497">+AT63</f>
        <v>0</v>
      </c>
      <c r="AM63" s="1399">
        <f t="shared" si="497"/>
        <v>0</v>
      </c>
      <c r="AN63" s="1399">
        <f t="shared" si="497"/>
        <v>0</v>
      </c>
      <c r="AO63" s="1399">
        <f t="shared" si="497"/>
        <v>0</v>
      </c>
      <c r="AP63" s="1399">
        <f t="shared" si="497"/>
        <v>0</v>
      </c>
      <c r="AQ63" s="390"/>
      <c r="AR63" s="4187"/>
      <c r="AS63" s="1399">
        <f t="shared" ref="AS63:AX63" si="498">IF(AND(AS59=0,AS60=0),0,AS62/((AS59+AS60+AS65)/2))</f>
        <v>0</v>
      </c>
      <c r="AT63" s="1399">
        <f t="shared" si="498"/>
        <v>0</v>
      </c>
      <c r="AU63" s="1399">
        <f t="shared" si="498"/>
        <v>0</v>
      </c>
      <c r="AV63" s="1399">
        <f t="shared" si="498"/>
        <v>0</v>
      </c>
      <c r="AW63" s="1399">
        <f t="shared" si="498"/>
        <v>0</v>
      </c>
      <c r="AX63" s="1400">
        <f t="shared" si="498"/>
        <v>0</v>
      </c>
      <c r="AY63" s="4488"/>
    </row>
    <row r="64" spans="1:99" s="1" customFormat="1">
      <c r="A64" s="3888" t="s">
        <v>973</v>
      </c>
      <c r="B64" s="2480" t="s">
        <v>200</v>
      </c>
      <c r="C64" s="390"/>
      <c r="D64" s="4187"/>
      <c r="E64" s="2488">
        <f t="shared" ref="E64:J64" si="499">E61+E62</f>
        <v>0</v>
      </c>
      <c r="F64" s="2488">
        <f t="shared" si="499"/>
        <v>0</v>
      </c>
      <c r="G64" s="2488">
        <f t="shared" si="499"/>
        <v>0</v>
      </c>
      <c r="H64" s="2488">
        <f t="shared" si="499"/>
        <v>0</v>
      </c>
      <c r="I64" s="2488">
        <f t="shared" si="499"/>
        <v>0</v>
      </c>
      <c r="J64" s="2489">
        <f t="shared" si="499"/>
        <v>0</v>
      </c>
      <c r="K64" s="390"/>
      <c r="L64" s="4187"/>
      <c r="M64" s="2488">
        <f t="shared" ref="M64:R64" si="500">M61+M62</f>
        <v>0</v>
      </c>
      <c r="N64" s="2488">
        <f t="shared" si="500"/>
        <v>0</v>
      </c>
      <c r="O64" s="2488">
        <f t="shared" si="500"/>
        <v>0</v>
      </c>
      <c r="P64" s="2488">
        <f t="shared" si="500"/>
        <v>0</v>
      </c>
      <c r="Q64" s="2488">
        <f t="shared" si="500"/>
        <v>0</v>
      </c>
      <c r="R64" s="2489">
        <f t="shared" si="500"/>
        <v>0</v>
      </c>
      <c r="S64" s="390"/>
      <c r="T64" s="4187"/>
      <c r="U64" s="2488">
        <f t="shared" ref="U64:Z64" si="501">U61+U62</f>
        <v>0</v>
      </c>
      <c r="V64" s="2488">
        <f t="shared" si="501"/>
        <v>0</v>
      </c>
      <c r="W64" s="2488">
        <f t="shared" si="501"/>
        <v>0</v>
      </c>
      <c r="X64" s="2488">
        <f t="shared" si="501"/>
        <v>0</v>
      </c>
      <c r="Y64" s="2488">
        <f t="shared" si="501"/>
        <v>0</v>
      </c>
      <c r="Z64" s="2489">
        <f t="shared" si="501"/>
        <v>0</v>
      </c>
      <c r="AA64" s="390"/>
      <c r="AB64" s="4187"/>
      <c r="AC64" s="2488">
        <f t="shared" ref="AC64:AH64" si="502">AC61+AC62</f>
        <v>0</v>
      </c>
      <c r="AD64" s="2488">
        <f t="shared" si="502"/>
        <v>0</v>
      </c>
      <c r="AE64" s="2488">
        <f t="shared" si="502"/>
        <v>0</v>
      </c>
      <c r="AF64" s="2488">
        <f t="shared" si="502"/>
        <v>0</v>
      </c>
      <c r="AG64" s="2488">
        <f t="shared" si="502"/>
        <v>0</v>
      </c>
      <c r="AH64" s="2489">
        <f t="shared" si="502"/>
        <v>0</v>
      </c>
      <c r="AI64" s="390"/>
      <c r="AJ64" s="4187"/>
      <c r="AK64" s="2488">
        <f t="shared" ref="AK64:AP64" si="503">AK61+AK62</f>
        <v>0</v>
      </c>
      <c r="AL64" s="2488">
        <f t="shared" si="503"/>
        <v>0</v>
      </c>
      <c r="AM64" s="2488">
        <f t="shared" si="503"/>
        <v>0</v>
      </c>
      <c r="AN64" s="2488">
        <f t="shared" si="503"/>
        <v>0</v>
      </c>
      <c r="AO64" s="2488">
        <f t="shared" si="503"/>
        <v>0</v>
      </c>
      <c r="AP64" s="2489">
        <f t="shared" si="503"/>
        <v>0</v>
      </c>
      <c r="AQ64" s="390"/>
      <c r="AR64" s="4187"/>
      <c r="AS64" s="2488">
        <f t="shared" ref="AS64:AX64" si="504">AS61+AS62</f>
        <v>0</v>
      </c>
      <c r="AT64" s="2488">
        <f t="shared" si="504"/>
        <v>0</v>
      </c>
      <c r="AU64" s="2488">
        <f t="shared" si="504"/>
        <v>0</v>
      </c>
      <c r="AV64" s="2488">
        <f t="shared" si="504"/>
        <v>0</v>
      </c>
      <c r="AW64" s="2488">
        <f t="shared" si="504"/>
        <v>0</v>
      </c>
      <c r="AX64" s="2489">
        <f t="shared" si="504"/>
        <v>0</v>
      </c>
      <c r="AY64" s="4488"/>
      <c r="AZ64" s="3"/>
      <c r="BA64" s="3"/>
      <c r="BB64" s="4504">
        <f t="shared" ref="BB64:BC65" si="505">IFERROR(E64/$C$1,0)</f>
        <v>0</v>
      </c>
      <c r="BC64" s="4504">
        <f t="shared" si="505"/>
        <v>0</v>
      </c>
      <c r="BD64" s="4504">
        <f t="shared" ref="BD64:BD65" si="506">IFERROR(G64/$C$1,0)</f>
        <v>0</v>
      </c>
      <c r="BE64" s="4504">
        <f t="shared" ref="BE64:BE65" si="507">IFERROR(H64/$C$1,0)</f>
        <v>0</v>
      </c>
      <c r="BF64" s="4504">
        <f t="shared" ref="BF64:BF65" si="508">IFERROR(I64/$C$1,0)</f>
        <v>0</v>
      </c>
      <c r="BG64" s="4504">
        <f t="shared" ref="BG64:BG65" si="509">IFERROR(J64/$C$1,0)</f>
        <v>0</v>
      </c>
      <c r="BH64" s="3"/>
      <c r="BI64" s="3"/>
      <c r="BJ64" s="4504">
        <f t="shared" ref="BJ64:BJ65" si="510">IFERROR(M64/$C$1,0)</f>
        <v>0</v>
      </c>
      <c r="BK64" s="4504">
        <f t="shared" ref="BK64:BK65" si="511">IFERROR(N64/$C$1,0)</f>
        <v>0</v>
      </c>
      <c r="BL64" s="4504">
        <f t="shared" ref="BL64:BL65" si="512">IFERROR(O64/$C$1,0)</f>
        <v>0</v>
      </c>
      <c r="BM64" s="4504">
        <f t="shared" ref="BM64:BM65" si="513">IFERROR(P64/$C$1,0)</f>
        <v>0</v>
      </c>
      <c r="BN64" s="4504">
        <f t="shared" ref="BN64:BN65" si="514">IFERROR(Q64/$C$1,0)</f>
        <v>0</v>
      </c>
      <c r="BO64" s="4504">
        <f t="shared" ref="BO64:BO65" si="515">IFERROR(R64/$C$1,0)</f>
        <v>0</v>
      </c>
      <c r="BP64" s="3"/>
      <c r="BQ64" s="3"/>
      <c r="BR64" s="4504">
        <f t="shared" ref="BR64:BR65" si="516">IFERROR(U64/$C$1,0)</f>
        <v>0</v>
      </c>
      <c r="BS64" s="4504">
        <f t="shared" ref="BS64:BS65" si="517">IFERROR(V64/$C$1,0)</f>
        <v>0</v>
      </c>
      <c r="BT64" s="4504">
        <f t="shared" ref="BT64:BT65" si="518">IFERROR(W64/$C$1,0)</f>
        <v>0</v>
      </c>
      <c r="BU64" s="4504">
        <f t="shared" ref="BU64:BU65" si="519">IFERROR(X64/$C$1,0)</f>
        <v>0</v>
      </c>
      <c r="BV64" s="4504">
        <f t="shared" ref="BV64:BV65" si="520">IFERROR(Y64/$C$1,0)</f>
        <v>0</v>
      </c>
      <c r="BW64" s="4504">
        <f t="shared" ref="BW64:BW65" si="521">IFERROR(Z64/$C$1,0)</f>
        <v>0</v>
      </c>
      <c r="BX64" s="3"/>
      <c r="BY64" s="3"/>
      <c r="BZ64" s="4504">
        <f t="shared" ref="BZ64:BZ65" si="522">IFERROR(AC64/$C$1,0)</f>
        <v>0</v>
      </c>
      <c r="CA64" s="4504">
        <f t="shared" ref="CA64:CA65" si="523">IFERROR(AD64/$C$1,0)</f>
        <v>0</v>
      </c>
      <c r="CB64" s="4504">
        <f t="shared" ref="CB64:CB65" si="524">IFERROR(AE64/$C$1,0)</f>
        <v>0</v>
      </c>
      <c r="CC64" s="4504">
        <f t="shared" ref="CC64:CC65" si="525">IFERROR(AF64/$C$1,0)</f>
        <v>0</v>
      </c>
      <c r="CD64" s="4504">
        <f t="shared" ref="CD64:CD65" si="526">IFERROR(AG64/$C$1,0)</f>
        <v>0</v>
      </c>
      <c r="CE64" s="4504">
        <f t="shared" ref="CE64:CE65" si="527">IFERROR(AH64/$C$1,0)</f>
        <v>0</v>
      </c>
      <c r="CF64" s="3"/>
      <c r="CG64" s="3"/>
      <c r="CH64" s="4504">
        <f t="shared" ref="CH64:CH65" si="528">IFERROR(AK64/$C$1,0)</f>
        <v>0</v>
      </c>
      <c r="CI64" s="4504">
        <f t="shared" ref="CI64:CI65" si="529">IFERROR(AL64/$C$1,0)</f>
        <v>0</v>
      </c>
      <c r="CJ64" s="4504">
        <f t="shared" ref="CJ64:CJ65" si="530">IFERROR(AM64/$C$1,0)</f>
        <v>0</v>
      </c>
      <c r="CK64" s="4504">
        <f t="shared" ref="CK64:CK65" si="531">IFERROR(AN64/$C$1,0)</f>
        <v>0</v>
      </c>
      <c r="CL64" s="4504">
        <f t="shared" ref="CL64:CL65" si="532">IFERROR(AO64/$C$1,0)</f>
        <v>0</v>
      </c>
      <c r="CM64" s="4504">
        <f t="shared" ref="CM64:CM65" si="533">IFERROR(AP64/$C$1,0)</f>
        <v>0</v>
      </c>
      <c r="CN64" s="3"/>
      <c r="CO64" s="3"/>
      <c r="CP64" s="4504">
        <f t="shared" ref="CP64:CP65" si="534">IFERROR(AS64/$C$1,0)</f>
        <v>0</v>
      </c>
      <c r="CQ64" s="4504">
        <f t="shared" ref="CQ64:CQ65" si="535">IFERROR(AT64/$C$1,0)</f>
        <v>0</v>
      </c>
      <c r="CR64" s="4504">
        <f t="shared" ref="CR64:CR65" si="536">IFERROR(AU64/$C$1,0)</f>
        <v>0</v>
      </c>
      <c r="CS64" s="4504">
        <f t="shared" ref="CS64:CS65" si="537">IFERROR(AV64/$C$1,0)</f>
        <v>0</v>
      </c>
      <c r="CT64" s="4504">
        <f t="shared" ref="CT64:CT65" si="538">IFERROR(AW64/$C$1,0)</f>
        <v>0</v>
      </c>
      <c r="CU64" s="4504">
        <f t="shared" ref="CU64:CU65" si="539">IFERROR(AX64/$C$1,0)</f>
        <v>0</v>
      </c>
    </row>
    <row r="65" spans="1:99" s="1" customFormat="1">
      <c r="A65" s="3892" t="s">
        <v>974</v>
      </c>
      <c r="B65" s="3891" t="s">
        <v>201</v>
      </c>
      <c r="C65" s="390"/>
      <c r="D65" s="4187"/>
      <c r="E65" s="2496">
        <f t="shared" ref="E65:J65" si="540">E59+E60-E61</f>
        <v>0</v>
      </c>
      <c r="F65" s="2496">
        <f t="shared" si="540"/>
        <v>0</v>
      </c>
      <c r="G65" s="2496">
        <f t="shared" si="540"/>
        <v>0</v>
      </c>
      <c r="H65" s="2496">
        <f t="shared" si="540"/>
        <v>0</v>
      </c>
      <c r="I65" s="2496">
        <f t="shared" si="540"/>
        <v>0</v>
      </c>
      <c r="J65" s="2497">
        <f t="shared" si="540"/>
        <v>0</v>
      </c>
      <c r="K65" s="390"/>
      <c r="L65" s="4187"/>
      <c r="M65" s="2496">
        <f t="shared" ref="M65:R65" si="541">M59+M60-M61</f>
        <v>0</v>
      </c>
      <c r="N65" s="2496">
        <f t="shared" si="541"/>
        <v>0</v>
      </c>
      <c r="O65" s="2496">
        <f t="shared" si="541"/>
        <v>0</v>
      </c>
      <c r="P65" s="2496">
        <f t="shared" si="541"/>
        <v>0</v>
      </c>
      <c r="Q65" s="2496">
        <f t="shared" si="541"/>
        <v>0</v>
      </c>
      <c r="R65" s="2497">
        <f t="shared" si="541"/>
        <v>0</v>
      </c>
      <c r="S65" s="390"/>
      <c r="T65" s="4187"/>
      <c r="U65" s="2496">
        <f t="shared" ref="U65:Z65" si="542">U59+U60-U61</f>
        <v>0</v>
      </c>
      <c r="V65" s="2496">
        <f t="shared" si="542"/>
        <v>0</v>
      </c>
      <c r="W65" s="2496">
        <f t="shared" si="542"/>
        <v>0</v>
      </c>
      <c r="X65" s="2496">
        <f t="shared" si="542"/>
        <v>0</v>
      </c>
      <c r="Y65" s="2496">
        <f t="shared" si="542"/>
        <v>0</v>
      </c>
      <c r="Z65" s="2497">
        <f t="shared" si="542"/>
        <v>0</v>
      </c>
      <c r="AA65" s="390"/>
      <c r="AB65" s="4187"/>
      <c r="AC65" s="2496">
        <f>AC59+AC60-AC61</f>
        <v>0</v>
      </c>
      <c r="AD65" s="2496">
        <f t="shared" ref="AD65:AH65" si="543">AD59+AD60-AD61</f>
        <v>0</v>
      </c>
      <c r="AE65" s="2496">
        <f t="shared" si="543"/>
        <v>0</v>
      </c>
      <c r="AF65" s="2496">
        <f t="shared" si="543"/>
        <v>0</v>
      </c>
      <c r="AG65" s="2496">
        <f t="shared" si="543"/>
        <v>0</v>
      </c>
      <c r="AH65" s="2497">
        <f t="shared" si="543"/>
        <v>0</v>
      </c>
      <c r="AI65" s="390"/>
      <c r="AJ65" s="4187"/>
      <c r="AK65" s="2496">
        <f t="shared" ref="AK65:AP65" si="544">AK59+AK60-AK61</f>
        <v>0</v>
      </c>
      <c r="AL65" s="2496">
        <f t="shared" si="544"/>
        <v>0</v>
      </c>
      <c r="AM65" s="2496">
        <f t="shared" si="544"/>
        <v>0</v>
      </c>
      <c r="AN65" s="2496">
        <f t="shared" si="544"/>
        <v>0</v>
      </c>
      <c r="AO65" s="2496">
        <f t="shared" si="544"/>
        <v>0</v>
      </c>
      <c r="AP65" s="2497">
        <f t="shared" si="544"/>
        <v>0</v>
      </c>
      <c r="AQ65" s="390"/>
      <c r="AR65" s="4187"/>
      <c r="AS65" s="2496">
        <f t="shared" ref="AS65:AX65" si="545">AS59+AS60-AS61</f>
        <v>0</v>
      </c>
      <c r="AT65" s="2496">
        <f t="shared" si="545"/>
        <v>0</v>
      </c>
      <c r="AU65" s="2496">
        <f t="shared" si="545"/>
        <v>0</v>
      </c>
      <c r="AV65" s="2496">
        <f t="shared" si="545"/>
        <v>0</v>
      </c>
      <c r="AW65" s="2496">
        <f t="shared" si="545"/>
        <v>0</v>
      </c>
      <c r="AX65" s="2497">
        <f t="shared" si="545"/>
        <v>0</v>
      </c>
      <c r="AY65" s="4488"/>
      <c r="AZ65" s="3"/>
      <c r="BA65" s="3"/>
      <c r="BB65" s="4504">
        <f t="shared" si="505"/>
        <v>0</v>
      </c>
      <c r="BC65" s="4504">
        <f t="shared" si="505"/>
        <v>0</v>
      </c>
      <c r="BD65" s="4504">
        <f t="shared" si="506"/>
        <v>0</v>
      </c>
      <c r="BE65" s="4504">
        <f t="shared" si="507"/>
        <v>0</v>
      </c>
      <c r="BF65" s="4504">
        <f t="shared" si="508"/>
        <v>0</v>
      </c>
      <c r="BG65" s="4504">
        <f t="shared" si="509"/>
        <v>0</v>
      </c>
      <c r="BH65" s="3"/>
      <c r="BI65" s="3"/>
      <c r="BJ65" s="4504">
        <f t="shared" si="510"/>
        <v>0</v>
      </c>
      <c r="BK65" s="4504">
        <f t="shared" si="511"/>
        <v>0</v>
      </c>
      <c r="BL65" s="4504">
        <f t="shared" si="512"/>
        <v>0</v>
      </c>
      <c r="BM65" s="4504">
        <f t="shared" si="513"/>
        <v>0</v>
      </c>
      <c r="BN65" s="4504">
        <f t="shared" si="514"/>
        <v>0</v>
      </c>
      <c r="BO65" s="4504">
        <f t="shared" si="515"/>
        <v>0</v>
      </c>
      <c r="BP65" s="3"/>
      <c r="BQ65" s="3"/>
      <c r="BR65" s="4504">
        <f t="shared" si="516"/>
        <v>0</v>
      </c>
      <c r="BS65" s="4504">
        <f t="shared" si="517"/>
        <v>0</v>
      </c>
      <c r="BT65" s="4504">
        <f t="shared" si="518"/>
        <v>0</v>
      </c>
      <c r="BU65" s="4504">
        <f t="shared" si="519"/>
        <v>0</v>
      </c>
      <c r="BV65" s="4504">
        <f t="shared" si="520"/>
        <v>0</v>
      </c>
      <c r="BW65" s="4504">
        <f t="shared" si="521"/>
        <v>0</v>
      </c>
      <c r="BX65" s="3"/>
      <c r="BY65" s="3"/>
      <c r="BZ65" s="4504">
        <f t="shared" si="522"/>
        <v>0</v>
      </c>
      <c r="CA65" s="4504">
        <f t="shared" si="523"/>
        <v>0</v>
      </c>
      <c r="CB65" s="4504">
        <f t="shared" si="524"/>
        <v>0</v>
      </c>
      <c r="CC65" s="4504">
        <f t="shared" si="525"/>
        <v>0</v>
      </c>
      <c r="CD65" s="4504">
        <f t="shared" si="526"/>
        <v>0</v>
      </c>
      <c r="CE65" s="4504">
        <f t="shared" si="527"/>
        <v>0</v>
      </c>
      <c r="CF65" s="3"/>
      <c r="CG65" s="3"/>
      <c r="CH65" s="4504">
        <f t="shared" si="528"/>
        <v>0</v>
      </c>
      <c r="CI65" s="4504">
        <f t="shared" si="529"/>
        <v>0</v>
      </c>
      <c r="CJ65" s="4504">
        <f t="shared" si="530"/>
        <v>0</v>
      </c>
      <c r="CK65" s="4504">
        <f t="shared" si="531"/>
        <v>0</v>
      </c>
      <c r="CL65" s="4504">
        <f t="shared" si="532"/>
        <v>0</v>
      </c>
      <c r="CM65" s="4504">
        <f t="shared" si="533"/>
        <v>0</v>
      </c>
      <c r="CN65" s="3"/>
      <c r="CO65" s="3"/>
      <c r="CP65" s="4504">
        <f t="shared" si="534"/>
        <v>0</v>
      </c>
      <c r="CQ65" s="4504">
        <f t="shared" si="535"/>
        <v>0</v>
      </c>
      <c r="CR65" s="4504">
        <f t="shared" si="536"/>
        <v>0</v>
      </c>
      <c r="CS65" s="4504">
        <f t="shared" si="537"/>
        <v>0</v>
      </c>
      <c r="CT65" s="4504">
        <f t="shared" si="538"/>
        <v>0</v>
      </c>
      <c r="CU65" s="4504">
        <f t="shared" si="539"/>
        <v>0</v>
      </c>
    </row>
    <row r="66" spans="1:99" s="1" customFormat="1">
      <c r="A66" s="3888" t="s">
        <v>1384</v>
      </c>
      <c r="B66" s="2480" t="s">
        <v>1381</v>
      </c>
      <c r="C66" s="390"/>
      <c r="D66" s="4187"/>
      <c r="E66" s="2506">
        <f>IFERROR('9.Инвестиционна програма'!Y147/E60,0)</f>
        <v>0</v>
      </c>
      <c r="F66" s="2506">
        <f>IFERROR(SUM('9.Инвестиционна програма'!$Y147:Z147)/SUM($E60:F60),0)</f>
        <v>0</v>
      </c>
      <c r="G66" s="2506">
        <f>IFERROR(SUM('9.Инвестиционна програма'!$Y147:AA147)/SUM($E60:G60),0)</f>
        <v>0</v>
      </c>
      <c r="H66" s="2506">
        <f>IFERROR(SUM('9.Инвестиционна програма'!$Y147:AB147)/SUM($E60:H60),0)</f>
        <v>0</v>
      </c>
      <c r="I66" s="2506">
        <f>IFERROR(SUM('9.Инвестиционна програма'!$Y147:AC147)/SUM($E60:I60),0)</f>
        <v>0</v>
      </c>
      <c r="J66" s="2507">
        <f>IFERROR(SUM('9.Инвестиционна програма'!$Y147:AD147)/SUM($E60:J60),0)</f>
        <v>0</v>
      </c>
      <c r="K66" s="1401"/>
      <c r="L66" s="4193"/>
      <c r="M66" s="2506">
        <f>IFERROR('9.Инвестиционна програма'!Y148/M60,0)</f>
        <v>0</v>
      </c>
      <c r="N66" s="2506">
        <f>IFERROR(SUM('9.Инвестиционна програма'!$Y148:Z148)/SUM($M60:N60),0)</f>
        <v>0</v>
      </c>
      <c r="O66" s="2506">
        <f>IFERROR(SUM('9.Инвестиционна програма'!$Y148:AA148)/SUM($M60:O60),0)</f>
        <v>0</v>
      </c>
      <c r="P66" s="2506">
        <f>IFERROR(SUM('9.Инвестиционна програма'!$Y148:AB148)/SUM($M60:P60),0)</f>
        <v>0</v>
      </c>
      <c r="Q66" s="2506">
        <f>IFERROR(SUM('9.Инвестиционна програма'!$Y148:AC148)/SUM($M60:Q60),0)</f>
        <v>0</v>
      </c>
      <c r="R66" s="2507">
        <f>IFERROR(SUM('9.Инвестиционна програма'!$Y148:AD148)/SUM($M60:R60),0)</f>
        <v>0</v>
      </c>
      <c r="S66" s="1401"/>
      <c r="T66" s="4193"/>
      <c r="U66" s="2506">
        <f>IFERROR('9.Инвестиционна програма'!Y149/U60,0)</f>
        <v>0</v>
      </c>
      <c r="V66" s="2506">
        <f>IFERROR(SUM('9.Инвестиционна програма'!$Y149:Z149)/SUM($U60:V60),0)</f>
        <v>0</v>
      </c>
      <c r="W66" s="2506">
        <f>IFERROR(SUM('9.Инвестиционна програма'!$Y149:AA149)/SUM($U60:W60),0)</f>
        <v>0</v>
      </c>
      <c r="X66" s="2506">
        <f>IFERROR(SUM('9.Инвестиционна програма'!$Y149:AB149)/SUM($U60:X60),0)</f>
        <v>0</v>
      </c>
      <c r="Y66" s="2506">
        <f>IFERROR(SUM('9.Инвестиционна програма'!$Y149:AC149)/SUM($U60:Y60),0)</f>
        <v>0</v>
      </c>
      <c r="Z66" s="2507">
        <f>IFERROR(SUM('9.Инвестиционна програма'!$Y149:AD149)/SUM($U60:Z60),0)</f>
        <v>0</v>
      </c>
      <c r="AA66" s="1401"/>
      <c r="AB66" s="4193"/>
      <c r="AC66" s="2506">
        <f>IFERROR('9.Инвестиционна програма'!Y150/AC60,0)</f>
        <v>0</v>
      </c>
      <c r="AD66" s="2506">
        <f>IFERROR(SUM('9.Инвестиционна програма'!$Y150:Z150)/SUM($AC60:AD60),0)</f>
        <v>0</v>
      </c>
      <c r="AE66" s="2506">
        <f>IFERROR(SUM('9.Инвестиционна програма'!$Y150:AA150)/SUM($AC60:AE60),0)</f>
        <v>0</v>
      </c>
      <c r="AF66" s="2506">
        <f>IFERROR(SUM('9.Инвестиционна програма'!$Y150:AB150)/SUM($AC60:AF60),0)</f>
        <v>0</v>
      </c>
      <c r="AG66" s="2506">
        <f>IFERROR(SUM('9.Инвестиционна програма'!$Y150:AC150)/SUM($AC60:AG60),0)</f>
        <v>0</v>
      </c>
      <c r="AH66" s="2507">
        <f>IFERROR(SUM('9.Инвестиционна програма'!$Y150:AD150)/SUM($AC60:AH60),0)</f>
        <v>0</v>
      </c>
      <c r="AI66" s="1401"/>
      <c r="AJ66" s="4193"/>
      <c r="AK66" s="2506">
        <f>IFERROR('9.Инвестиционна програма'!Y151/AK60,0)</f>
        <v>0</v>
      </c>
      <c r="AL66" s="2506">
        <f>IFERROR(SUM('9.Инвестиционна програма'!$Y151:Z151)/SUM($AK60:AL60),0)</f>
        <v>0</v>
      </c>
      <c r="AM66" s="2506">
        <f>IFERROR(SUM('9.Инвестиционна програма'!$Y151:AA151)/SUM($AK60:AM60),0)</f>
        <v>0</v>
      </c>
      <c r="AN66" s="2506">
        <f>IFERROR(SUM('9.Инвестиционна програма'!$Y151:AB151)/SUM($AK60:AN60),0)</f>
        <v>0</v>
      </c>
      <c r="AO66" s="2506">
        <f>IFERROR(SUM('9.Инвестиционна програма'!$Y151:AC151)/SUM($AK60:AO60),0)</f>
        <v>0</v>
      </c>
      <c r="AP66" s="2507">
        <f>IFERROR(SUM('9.Инвестиционна програма'!$Y151:AD151)/SUM($AK60:AP60),0)</f>
        <v>0</v>
      </c>
      <c r="AQ66" s="1401"/>
      <c r="AR66" s="4193"/>
      <c r="AS66" s="2506">
        <f>IFERROR((SUM(E60*E66,M60*M66,U60*U66,AC60*AC66,AK60*AK66)/AS60),0)</f>
        <v>0</v>
      </c>
      <c r="AT66" s="2506">
        <f>IFERROR(((SUM($E60:F60)*F66+SUM($M60:N60)*N66+SUM($U60:V60)*V66+SUM($AC60:AD60)*AD66+SUM($AK60:AL60)*AL66)/SUM($AS60:AT60)),0)</f>
        <v>0</v>
      </c>
      <c r="AU66" s="2506">
        <f>IFERROR(((SUM($E60:G60)*G66+SUM($M60:O60)*O66+SUM($U60:W60)*W66+SUM($AC60:AE60)*AE66+SUM($AK60:AM60)*AM66)/SUM($AS60:AU60)),0)</f>
        <v>0</v>
      </c>
      <c r="AV66" s="2506">
        <f>IFERROR(((SUM($E60:H60)*H66+SUM($M60:P60)*P66+SUM($U60:X60)*X66+SUM($AC60:AF60)*AF66+SUM($AK60:AN60)*AN66)/SUM($AS60:AV60)),0)</f>
        <v>0</v>
      </c>
      <c r="AW66" s="2506">
        <f>IFERROR(((SUM($E60:I60)*I66+SUM($M60:Q60)*Q66+SUM($U60:Y60)*Y66+SUM($AC60:AG60)*AG66+SUM($AK60:AO60)*AO66)/SUM($AS60:AW60)),0)</f>
        <v>0</v>
      </c>
      <c r="AX66" s="2507">
        <f>IFERROR(((SUM($E60:J60)*J66+SUM($M60:R60)*R66+SUM($U60:Z60)*Z66+SUM($AC60:AH60)*AH66+SUM($AK60:AP60)*AP66)/SUM($AS60:AX60)),0)</f>
        <v>0</v>
      </c>
      <c r="AY66" s="4488"/>
    </row>
    <row r="67" spans="1:99" s="1" customFormat="1" ht="13.8" thickBot="1">
      <c r="A67" s="3890" t="s">
        <v>1385</v>
      </c>
      <c r="B67" s="2499" t="s">
        <v>1383</v>
      </c>
      <c r="C67" s="390"/>
      <c r="D67" s="4187"/>
      <c r="E67" s="2508">
        <f>IF(E60&gt;0,1-E66,0)</f>
        <v>0</v>
      </c>
      <c r="F67" s="2508">
        <f>IF(SUM($E60:F60)&gt;0,1-F66,0)</f>
        <v>0</v>
      </c>
      <c r="G67" s="2508">
        <f>IF(SUM($E60:G60)&gt;0,1-G66,0)</f>
        <v>0</v>
      </c>
      <c r="H67" s="2508">
        <f>IF(SUM($E60:H60)&gt;0,1-H66,0)</f>
        <v>0</v>
      </c>
      <c r="I67" s="2508">
        <f>IF(SUM($E60:I60)&gt;0,1-I66,0)</f>
        <v>0</v>
      </c>
      <c r="J67" s="2509">
        <f>IF(SUM($E60:J60)&gt;0,1-J66,0)</f>
        <v>0</v>
      </c>
      <c r="K67" s="1401"/>
      <c r="L67" s="4193"/>
      <c r="M67" s="2508">
        <f>IF(M60&gt;0,1-M66,0)</f>
        <v>0</v>
      </c>
      <c r="N67" s="2508">
        <f>IF(SUM($M60:N60)&gt;0,1-N66,0)</f>
        <v>0</v>
      </c>
      <c r="O67" s="2508">
        <f>IF(SUM($M60:O60)&gt;0,1-O66,0)</f>
        <v>0</v>
      </c>
      <c r="P67" s="2508">
        <f>IF(SUM($M60:P60)&gt;0,1-P66,0)</f>
        <v>0</v>
      </c>
      <c r="Q67" s="2508">
        <f>IF(SUM($M60:Q60)&gt;0,1-Q66,0)</f>
        <v>0</v>
      </c>
      <c r="R67" s="2509">
        <f>IF(SUM($M60:R60)&gt;0,1-R66,0)</f>
        <v>0</v>
      </c>
      <c r="S67" s="1401"/>
      <c r="T67" s="4193"/>
      <c r="U67" s="2508">
        <f>IF(U60&gt;0,1-U66,0)</f>
        <v>0</v>
      </c>
      <c r="V67" s="2508">
        <f>IF(SUM($U60:V60)&gt;0,1-V66,0)</f>
        <v>0</v>
      </c>
      <c r="W67" s="2508">
        <f>IF(SUM($U60:W60)&gt;0,1-W66,0)</f>
        <v>0</v>
      </c>
      <c r="X67" s="2508">
        <f>IF(SUM($U60:X60)&gt;0,1-X66,0)</f>
        <v>0</v>
      </c>
      <c r="Y67" s="2508">
        <f>IF(SUM($U60:Y60)&gt;0,1-Y66,0)</f>
        <v>0</v>
      </c>
      <c r="Z67" s="2509">
        <f>IF(SUM($U60:Z60)&gt;0,1-Z66,0)</f>
        <v>0</v>
      </c>
      <c r="AA67" s="1401"/>
      <c r="AB67" s="4193"/>
      <c r="AC67" s="2508">
        <f>IF(AC60&gt;0,1-AC66,0)</f>
        <v>0</v>
      </c>
      <c r="AD67" s="2508">
        <f>IF(SUM($AC60:AD60)&gt;0,1-AD66,0)</f>
        <v>0</v>
      </c>
      <c r="AE67" s="2508">
        <f>IF(SUM($AC60:AE60)&gt;0,1-AE66,0)</f>
        <v>0</v>
      </c>
      <c r="AF67" s="2508">
        <f>IF(SUM($AC60:AF60)&gt;0,1-AF66,0)</f>
        <v>0</v>
      </c>
      <c r="AG67" s="2508">
        <f>IF(SUM($AC60:AG60)&gt;0,1-AG66,0)</f>
        <v>0</v>
      </c>
      <c r="AH67" s="2509">
        <f>IF(SUM($AC60:AH60)&gt;0,1-AH66,0)</f>
        <v>0</v>
      </c>
      <c r="AI67" s="1401"/>
      <c r="AJ67" s="4193"/>
      <c r="AK67" s="2508">
        <f>IF(AK60&gt;0,1-AK66,0)</f>
        <v>0</v>
      </c>
      <c r="AL67" s="2508">
        <f>IF(SUM($AK60:AL60)&gt;0,1-AL66,0)</f>
        <v>0</v>
      </c>
      <c r="AM67" s="2508">
        <f>IF(SUM($AK60:AM60)&gt;0,1-AM66,0)</f>
        <v>0</v>
      </c>
      <c r="AN67" s="2508">
        <f>IF(SUM($AK60:AN60)&gt;0,1-AN66,0)</f>
        <v>0</v>
      </c>
      <c r="AO67" s="2508">
        <f>IF(SUM($AK60:AO60)&gt;0,1-AO66,0)</f>
        <v>0</v>
      </c>
      <c r="AP67" s="2509">
        <f>IF(SUM($AK60:AP60)&gt;0,1-AP66,0)</f>
        <v>0</v>
      </c>
      <c r="AQ67" s="4014"/>
      <c r="AR67" s="4195"/>
      <c r="AS67" s="2508">
        <f>IF(AS60&gt;0,1-AS66,0)</f>
        <v>0</v>
      </c>
      <c r="AT67" s="2508">
        <f>IF(SUM($AS60:AT60)&gt;0,1-AT66,0)</f>
        <v>0</v>
      </c>
      <c r="AU67" s="2508">
        <f>IF(SUM($AS60:AU60)&gt;0,1-AU66,0)</f>
        <v>0</v>
      </c>
      <c r="AV67" s="2508">
        <f>IF(SUM($AS60:AV60)&gt;0,1-AV66,0)</f>
        <v>0</v>
      </c>
      <c r="AW67" s="2508">
        <f>IF(SUM($AS60:AW60)&gt;0,1-AW66,0)</f>
        <v>0</v>
      </c>
      <c r="AX67" s="2509">
        <f>IF(SUM($AS60:AX60)&gt;0,1-AX66,0)</f>
        <v>0</v>
      </c>
      <c r="AY67" s="4488"/>
    </row>
    <row r="68" spans="1:99" s="1" customFormat="1" ht="13.5" customHeight="1" thickBot="1">
      <c r="A68" s="5323" t="s">
        <v>1854</v>
      </c>
      <c r="B68" s="5336" t="s">
        <v>1855</v>
      </c>
      <c r="C68" s="5318" t="s">
        <v>210</v>
      </c>
      <c r="D68" s="5319"/>
      <c r="E68" s="5319"/>
      <c r="F68" s="5319"/>
      <c r="G68" s="5319"/>
      <c r="H68" s="5319"/>
      <c r="I68" s="5319"/>
      <c r="J68" s="5320"/>
      <c r="K68" s="5318" t="s">
        <v>174</v>
      </c>
      <c r="L68" s="5319"/>
      <c r="M68" s="5319"/>
      <c r="N68" s="5319"/>
      <c r="O68" s="5319"/>
      <c r="P68" s="5319"/>
      <c r="Q68" s="5319"/>
      <c r="R68" s="5320"/>
      <c r="S68" s="5329" t="s">
        <v>184</v>
      </c>
      <c r="T68" s="5330"/>
      <c r="U68" s="5330"/>
      <c r="V68" s="5330"/>
      <c r="W68" s="5330"/>
      <c r="X68" s="5330"/>
      <c r="Y68" s="5330"/>
      <c r="Z68" s="5331"/>
      <c r="AA68" s="5313" t="s">
        <v>1029</v>
      </c>
      <c r="AB68" s="5314"/>
      <c r="AC68" s="5314"/>
      <c r="AD68" s="5314"/>
      <c r="AE68" s="5314"/>
      <c r="AF68" s="5314"/>
      <c r="AG68" s="5314"/>
      <c r="AH68" s="5315"/>
      <c r="AI68" s="5313" t="s">
        <v>1092</v>
      </c>
      <c r="AJ68" s="5314"/>
      <c r="AK68" s="5314"/>
      <c r="AL68" s="5314"/>
      <c r="AM68" s="5314"/>
      <c r="AN68" s="5314"/>
      <c r="AO68" s="5314"/>
      <c r="AP68" s="5315"/>
      <c r="AQ68" s="5313" t="s">
        <v>1249</v>
      </c>
      <c r="AR68" s="5314"/>
      <c r="AS68" s="5314"/>
      <c r="AT68" s="5314"/>
      <c r="AU68" s="5314"/>
      <c r="AV68" s="5314"/>
      <c r="AW68" s="5314"/>
      <c r="AX68" s="5315"/>
      <c r="AY68" s="4488"/>
    </row>
    <row r="69" spans="1:99" s="1" customFormat="1" ht="13.8" thickBot="1">
      <c r="A69" s="5332"/>
      <c r="B69" s="5328"/>
      <c r="C69" s="2503" t="str">
        <f>C36</f>
        <v>2024 г.</v>
      </c>
      <c r="D69" s="4185" t="str">
        <f>D36</f>
        <v>2025 г.</v>
      </c>
      <c r="E69" s="2504" t="str">
        <f t="shared" ref="E69:AX69" si="546">E36</f>
        <v>2026 г.</v>
      </c>
      <c r="F69" s="2504" t="str">
        <f t="shared" si="546"/>
        <v>2027 г.</v>
      </c>
      <c r="G69" s="2504" t="str">
        <f t="shared" si="546"/>
        <v>2028 г.</v>
      </c>
      <c r="H69" s="2504" t="str">
        <f t="shared" si="546"/>
        <v>2029 г.</v>
      </c>
      <c r="I69" s="2504" t="str">
        <f t="shared" si="546"/>
        <v>2030 г.</v>
      </c>
      <c r="J69" s="2505" t="str">
        <f t="shared" si="546"/>
        <v>2031 г.</v>
      </c>
      <c r="K69" s="2503" t="str">
        <f>K36</f>
        <v>2024 г.</v>
      </c>
      <c r="L69" s="4185" t="str">
        <f>L36</f>
        <v>2025 г.</v>
      </c>
      <c r="M69" s="2504" t="str">
        <f t="shared" si="546"/>
        <v>2026 г.</v>
      </c>
      <c r="N69" s="2504" t="str">
        <f t="shared" si="546"/>
        <v>2027 г.</v>
      </c>
      <c r="O69" s="2504" t="str">
        <f t="shared" si="546"/>
        <v>2028 г.</v>
      </c>
      <c r="P69" s="2504" t="str">
        <f t="shared" si="546"/>
        <v>2029 г.</v>
      </c>
      <c r="Q69" s="2504" t="str">
        <f t="shared" si="546"/>
        <v>2030 г.</v>
      </c>
      <c r="R69" s="2505" t="str">
        <f t="shared" si="546"/>
        <v>2031 г.</v>
      </c>
      <c r="S69" s="2503" t="str">
        <f>S36</f>
        <v>2024 г.</v>
      </c>
      <c r="T69" s="4185" t="str">
        <f>T36</f>
        <v>2025 г.</v>
      </c>
      <c r="U69" s="2504" t="str">
        <f t="shared" si="546"/>
        <v>2026 г.</v>
      </c>
      <c r="V69" s="2504" t="str">
        <f t="shared" si="546"/>
        <v>2027 г.</v>
      </c>
      <c r="W69" s="2504" t="str">
        <f t="shared" si="546"/>
        <v>2028 г.</v>
      </c>
      <c r="X69" s="2504" t="str">
        <f t="shared" si="546"/>
        <v>2029 г.</v>
      </c>
      <c r="Y69" s="2504" t="str">
        <f t="shared" si="546"/>
        <v>2030 г.</v>
      </c>
      <c r="Z69" s="2505" t="str">
        <f t="shared" si="546"/>
        <v>2031 г.</v>
      </c>
      <c r="AA69" s="2503" t="str">
        <f>AA36</f>
        <v>2024 г.</v>
      </c>
      <c r="AB69" s="4185" t="str">
        <f>AB36</f>
        <v>2025 г.</v>
      </c>
      <c r="AC69" s="2504" t="str">
        <f t="shared" si="546"/>
        <v>2026 г.</v>
      </c>
      <c r="AD69" s="2504" t="str">
        <f t="shared" si="546"/>
        <v>2027 г.</v>
      </c>
      <c r="AE69" s="2504" t="str">
        <f t="shared" si="546"/>
        <v>2028 г.</v>
      </c>
      <c r="AF69" s="2504" t="str">
        <f t="shared" si="546"/>
        <v>2029 г.</v>
      </c>
      <c r="AG69" s="2504" t="str">
        <f t="shared" si="546"/>
        <v>2030 г.</v>
      </c>
      <c r="AH69" s="2505" t="str">
        <f t="shared" si="546"/>
        <v>2031 г.</v>
      </c>
      <c r="AI69" s="2474" t="str">
        <f>AI36</f>
        <v>2024 г.</v>
      </c>
      <c r="AJ69" s="2477" t="str">
        <f>AJ36</f>
        <v>2025 г.</v>
      </c>
      <c r="AK69" s="2475" t="str">
        <f t="shared" si="546"/>
        <v>2026 г.</v>
      </c>
      <c r="AL69" s="2475" t="str">
        <f t="shared" si="546"/>
        <v>2027 г.</v>
      </c>
      <c r="AM69" s="2475" t="str">
        <f t="shared" si="546"/>
        <v>2028 г.</v>
      </c>
      <c r="AN69" s="2475" t="str">
        <f t="shared" si="546"/>
        <v>2029 г.</v>
      </c>
      <c r="AO69" s="2475" t="str">
        <f t="shared" si="546"/>
        <v>2030 г.</v>
      </c>
      <c r="AP69" s="2476" t="str">
        <f t="shared" si="546"/>
        <v>2031 г.</v>
      </c>
      <c r="AQ69" s="2474" t="str">
        <f>AQ36</f>
        <v>2024 г.</v>
      </c>
      <c r="AR69" s="2477" t="str">
        <f>AR36</f>
        <v>2025 г.</v>
      </c>
      <c r="AS69" s="2475" t="str">
        <f t="shared" si="546"/>
        <v>2026 г.</v>
      </c>
      <c r="AT69" s="2475" t="str">
        <f t="shared" si="546"/>
        <v>2027 г.</v>
      </c>
      <c r="AU69" s="2475" t="str">
        <f t="shared" si="546"/>
        <v>2028 г.</v>
      </c>
      <c r="AV69" s="2475" t="str">
        <f t="shared" si="546"/>
        <v>2029 г.</v>
      </c>
      <c r="AW69" s="2475" t="str">
        <f t="shared" si="546"/>
        <v>2030 г.</v>
      </c>
      <c r="AX69" s="2476" t="str">
        <f t="shared" si="546"/>
        <v>2031 г.</v>
      </c>
      <c r="AY69" s="4488"/>
    </row>
    <row r="70" spans="1:99" s="1" customFormat="1">
      <c r="A70" s="3888" t="s">
        <v>975</v>
      </c>
      <c r="B70" s="2478" t="s">
        <v>195</v>
      </c>
      <c r="C70" s="391"/>
      <c r="D70" s="4186"/>
      <c r="E70" s="1396">
        <f t="shared" ref="E70:J70" si="547">D76</f>
        <v>0</v>
      </c>
      <c r="F70" s="1397">
        <f t="shared" si="547"/>
        <v>0</v>
      </c>
      <c r="G70" s="1397">
        <f t="shared" si="547"/>
        <v>0</v>
      </c>
      <c r="H70" s="1397">
        <f t="shared" si="547"/>
        <v>0</v>
      </c>
      <c r="I70" s="1397">
        <f t="shared" si="547"/>
        <v>0</v>
      </c>
      <c r="J70" s="1398">
        <f t="shared" si="547"/>
        <v>0</v>
      </c>
      <c r="K70" s="391"/>
      <c r="L70" s="4186"/>
      <c r="M70" s="1396">
        <f t="shared" ref="M70:R70" si="548">L76</f>
        <v>0</v>
      </c>
      <c r="N70" s="1397">
        <f t="shared" si="548"/>
        <v>0</v>
      </c>
      <c r="O70" s="1397">
        <f t="shared" si="548"/>
        <v>0</v>
      </c>
      <c r="P70" s="1397">
        <f t="shared" si="548"/>
        <v>0</v>
      </c>
      <c r="Q70" s="1397">
        <f t="shared" si="548"/>
        <v>0</v>
      </c>
      <c r="R70" s="1398">
        <f t="shared" si="548"/>
        <v>0</v>
      </c>
      <c r="S70" s="391"/>
      <c r="T70" s="4186"/>
      <c r="U70" s="1396">
        <f t="shared" ref="U70:Z70" si="549">T76</f>
        <v>0</v>
      </c>
      <c r="V70" s="1397">
        <f t="shared" si="549"/>
        <v>0</v>
      </c>
      <c r="W70" s="1397">
        <f t="shared" si="549"/>
        <v>0</v>
      </c>
      <c r="X70" s="1397">
        <f t="shared" si="549"/>
        <v>0</v>
      </c>
      <c r="Y70" s="1397">
        <f t="shared" si="549"/>
        <v>0</v>
      </c>
      <c r="Z70" s="1398">
        <f t="shared" si="549"/>
        <v>0</v>
      </c>
      <c r="AA70" s="391"/>
      <c r="AB70" s="4186"/>
      <c r="AC70" s="1396">
        <f t="shared" ref="AC70:AH70" si="550">AB76</f>
        <v>0</v>
      </c>
      <c r="AD70" s="1397">
        <f t="shared" si="550"/>
        <v>0</v>
      </c>
      <c r="AE70" s="1397">
        <f t="shared" si="550"/>
        <v>0</v>
      </c>
      <c r="AF70" s="1397">
        <f t="shared" si="550"/>
        <v>0</v>
      </c>
      <c r="AG70" s="1397">
        <f t="shared" si="550"/>
        <v>0</v>
      </c>
      <c r="AH70" s="1398">
        <f t="shared" si="550"/>
        <v>0</v>
      </c>
      <c r="AI70" s="391"/>
      <c r="AJ70" s="4186"/>
      <c r="AK70" s="1396">
        <f t="shared" ref="AK70:AP70" si="551">AJ76</f>
        <v>0</v>
      </c>
      <c r="AL70" s="1397">
        <f t="shared" si="551"/>
        <v>0</v>
      </c>
      <c r="AM70" s="1397">
        <f t="shared" si="551"/>
        <v>0</v>
      </c>
      <c r="AN70" s="1397">
        <f t="shared" si="551"/>
        <v>0</v>
      </c>
      <c r="AO70" s="1397">
        <f t="shared" si="551"/>
        <v>0</v>
      </c>
      <c r="AP70" s="1398">
        <f t="shared" si="551"/>
        <v>0</v>
      </c>
      <c r="AQ70" s="391"/>
      <c r="AR70" s="4186"/>
      <c r="AS70" s="1396">
        <f t="shared" ref="AS70:AX70" si="552">AR76</f>
        <v>0</v>
      </c>
      <c r="AT70" s="1397">
        <f t="shared" si="552"/>
        <v>0</v>
      </c>
      <c r="AU70" s="1397">
        <f t="shared" si="552"/>
        <v>0</v>
      </c>
      <c r="AV70" s="1397">
        <f t="shared" si="552"/>
        <v>0</v>
      </c>
      <c r="AW70" s="1397">
        <f t="shared" si="552"/>
        <v>0</v>
      </c>
      <c r="AX70" s="1398">
        <f t="shared" si="552"/>
        <v>0</v>
      </c>
      <c r="AY70" s="4488"/>
      <c r="AZ70" s="3"/>
      <c r="BA70" s="3"/>
      <c r="BB70" s="4504">
        <f t="shared" ref="BB70:BC73" si="553">IFERROR(E70/$C$1,0)</f>
        <v>0</v>
      </c>
      <c r="BC70" s="4504">
        <f t="shared" si="553"/>
        <v>0</v>
      </c>
      <c r="BD70" s="4504">
        <f t="shared" ref="BD70:BD73" si="554">IFERROR(G70/$C$1,0)</f>
        <v>0</v>
      </c>
      <c r="BE70" s="4504">
        <f t="shared" ref="BE70:BE73" si="555">IFERROR(H70/$C$1,0)</f>
        <v>0</v>
      </c>
      <c r="BF70" s="4504">
        <f t="shared" ref="BF70:BF73" si="556">IFERROR(I70/$C$1,0)</f>
        <v>0</v>
      </c>
      <c r="BG70" s="4504">
        <f t="shared" ref="BG70:BG73" si="557">IFERROR(J70/$C$1,0)</f>
        <v>0</v>
      </c>
      <c r="BH70" s="3"/>
      <c r="BI70" s="3"/>
      <c r="BJ70" s="4504">
        <f t="shared" ref="BJ70:BJ73" si="558">IFERROR(M70/$C$1,0)</f>
        <v>0</v>
      </c>
      <c r="BK70" s="4504">
        <f t="shared" ref="BK70:BK73" si="559">IFERROR(N70/$C$1,0)</f>
        <v>0</v>
      </c>
      <c r="BL70" s="4504">
        <f t="shared" ref="BL70:BL73" si="560">IFERROR(O70/$C$1,0)</f>
        <v>0</v>
      </c>
      <c r="BM70" s="4504">
        <f t="shared" ref="BM70:BM73" si="561">IFERROR(P70/$C$1,0)</f>
        <v>0</v>
      </c>
      <c r="BN70" s="4504">
        <f t="shared" ref="BN70:BN73" si="562">IFERROR(Q70/$C$1,0)</f>
        <v>0</v>
      </c>
      <c r="BO70" s="4504">
        <f t="shared" ref="BO70:BO73" si="563">IFERROR(R70/$C$1,0)</f>
        <v>0</v>
      </c>
      <c r="BP70" s="3"/>
      <c r="BQ70" s="3"/>
      <c r="BR70" s="4504">
        <f t="shared" ref="BR70:BR73" si="564">IFERROR(U70/$C$1,0)</f>
        <v>0</v>
      </c>
      <c r="BS70" s="4504">
        <f t="shared" ref="BS70:BS73" si="565">IFERROR(V70/$C$1,0)</f>
        <v>0</v>
      </c>
      <c r="BT70" s="4504">
        <f t="shared" ref="BT70:BT73" si="566">IFERROR(W70/$C$1,0)</f>
        <v>0</v>
      </c>
      <c r="BU70" s="4504">
        <f t="shared" ref="BU70:BU73" si="567">IFERROR(X70/$C$1,0)</f>
        <v>0</v>
      </c>
      <c r="BV70" s="4504">
        <f t="shared" ref="BV70:BV73" si="568">IFERROR(Y70/$C$1,0)</f>
        <v>0</v>
      </c>
      <c r="BW70" s="4504">
        <f t="shared" ref="BW70:BW73" si="569">IFERROR(Z70/$C$1,0)</f>
        <v>0</v>
      </c>
      <c r="BX70" s="3"/>
      <c r="BY70" s="3"/>
      <c r="BZ70" s="4504">
        <f t="shared" ref="BZ70:BZ73" si="570">IFERROR(AC70/$C$1,0)</f>
        <v>0</v>
      </c>
      <c r="CA70" s="4504">
        <f t="shared" ref="CA70:CA73" si="571">IFERROR(AD70/$C$1,0)</f>
        <v>0</v>
      </c>
      <c r="CB70" s="4504">
        <f t="shared" ref="CB70:CB73" si="572">IFERROR(AE70/$C$1,0)</f>
        <v>0</v>
      </c>
      <c r="CC70" s="4504">
        <f t="shared" ref="CC70:CC73" si="573">IFERROR(AF70/$C$1,0)</f>
        <v>0</v>
      </c>
      <c r="CD70" s="4504">
        <f t="shared" ref="CD70:CD73" si="574">IFERROR(AG70/$C$1,0)</f>
        <v>0</v>
      </c>
      <c r="CE70" s="4504">
        <f t="shared" ref="CE70:CE73" si="575">IFERROR(AH70/$C$1,0)</f>
        <v>0</v>
      </c>
      <c r="CF70" s="3"/>
      <c r="CG70" s="3"/>
      <c r="CH70" s="4504">
        <f t="shared" ref="CH70:CH73" si="576">IFERROR(AK70/$C$1,0)</f>
        <v>0</v>
      </c>
      <c r="CI70" s="4504">
        <f t="shared" ref="CI70:CI73" si="577">IFERROR(AL70/$C$1,0)</f>
        <v>0</v>
      </c>
      <c r="CJ70" s="4504">
        <f t="shared" ref="CJ70:CJ73" si="578">IFERROR(AM70/$C$1,0)</f>
        <v>0</v>
      </c>
      <c r="CK70" s="4504">
        <f t="shared" ref="CK70:CK73" si="579">IFERROR(AN70/$C$1,0)</f>
        <v>0</v>
      </c>
      <c r="CL70" s="4504">
        <f t="shared" ref="CL70:CL73" si="580">IFERROR(AO70/$C$1,0)</f>
        <v>0</v>
      </c>
      <c r="CM70" s="4504">
        <f t="shared" ref="CM70:CM73" si="581">IFERROR(AP70/$C$1,0)</f>
        <v>0</v>
      </c>
      <c r="CN70" s="3"/>
      <c r="CO70" s="3"/>
      <c r="CP70" s="4504">
        <f t="shared" ref="CP70:CP73" si="582">IFERROR(AS70/$C$1,0)</f>
        <v>0</v>
      </c>
      <c r="CQ70" s="4504">
        <f t="shared" ref="CQ70:CQ73" si="583">IFERROR(AT70/$C$1,0)</f>
        <v>0</v>
      </c>
      <c r="CR70" s="4504">
        <f t="shared" ref="CR70:CR73" si="584">IFERROR(AU70/$C$1,0)</f>
        <v>0</v>
      </c>
      <c r="CS70" s="4504">
        <f t="shared" ref="CS70:CS73" si="585">IFERROR(AV70/$C$1,0)</f>
        <v>0</v>
      </c>
      <c r="CT70" s="4504">
        <f t="shared" ref="CT70:CT73" si="586">IFERROR(AW70/$C$1,0)</f>
        <v>0</v>
      </c>
      <c r="CU70" s="4504">
        <f t="shared" ref="CU70:CU73" si="587">IFERROR(AX70/$C$1,0)</f>
        <v>0</v>
      </c>
    </row>
    <row r="71" spans="1:99" s="1" customFormat="1">
      <c r="A71" s="3888" t="s">
        <v>976</v>
      </c>
      <c r="B71" s="2480" t="s">
        <v>196</v>
      </c>
      <c r="C71" s="390"/>
      <c r="D71" s="4187"/>
      <c r="E71" s="2481">
        <f>+'9.Инвестиционна програма'!AG140</f>
        <v>0</v>
      </c>
      <c r="F71" s="2481">
        <f>+'9.Инвестиционна програма'!AH140</f>
        <v>0</v>
      </c>
      <c r="G71" s="2481">
        <f>+'9.Инвестиционна програма'!AI140</f>
        <v>0</v>
      </c>
      <c r="H71" s="2481">
        <f>+'9.Инвестиционна програма'!AJ140</f>
        <v>0</v>
      </c>
      <c r="I71" s="2481">
        <f>+'9.Инвестиционна програма'!AK140</f>
        <v>0</v>
      </c>
      <c r="J71" s="2482">
        <f>+'9.Инвестиционна програма'!AL140</f>
        <v>0</v>
      </c>
      <c r="K71" s="390"/>
      <c r="L71" s="4187"/>
      <c r="M71" s="2481">
        <f>+'9.Инвестиционна програма'!AG141</f>
        <v>0</v>
      </c>
      <c r="N71" s="2481">
        <f>+'9.Инвестиционна програма'!AH141</f>
        <v>0</v>
      </c>
      <c r="O71" s="2481">
        <f>+'9.Инвестиционна програма'!AI141</f>
        <v>0</v>
      </c>
      <c r="P71" s="2481">
        <f>+'9.Инвестиционна програма'!AJ141</f>
        <v>0</v>
      </c>
      <c r="Q71" s="2481">
        <f>+'9.Инвестиционна програма'!AK141</f>
        <v>0</v>
      </c>
      <c r="R71" s="2481">
        <f>+'9.Инвестиционна програма'!AL141</f>
        <v>0</v>
      </c>
      <c r="S71" s="390"/>
      <c r="T71" s="4187"/>
      <c r="U71" s="2481">
        <f>+'9.Инвестиционна програма'!AG142</f>
        <v>0</v>
      </c>
      <c r="V71" s="2481">
        <f>+'9.Инвестиционна програма'!AH142</f>
        <v>0</v>
      </c>
      <c r="W71" s="2481">
        <f>+'9.Инвестиционна програма'!AI142</f>
        <v>0</v>
      </c>
      <c r="X71" s="2481">
        <f>+'9.Инвестиционна програма'!AJ142</f>
        <v>0</v>
      </c>
      <c r="Y71" s="2481">
        <f>+'9.Инвестиционна програма'!AK142</f>
        <v>0</v>
      </c>
      <c r="Z71" s="2481">
        <f>+'9.Инвестиционна програма'!AL142</f>
        <v>0</v>
      </c>
      <c r="AA71" s="390"/>
      <c r="AB71" s="4187"/>
      <c r="AC71" s="2481">
        <f>+'9.Инвестиционна програма'!AG143</f>
        <v>0</v>
      </c>
      <c r="AD71" s="2481">
        <f>+'9.Инвестиционна програма'!AH143</f>
        <v>0</v>
      </c>
      <c r="AE71" s="2481">
        <f>+'9.Инвестиционна програма'!AI143</f>
        <v>0</v>
      </c>
      <c r="AF71" s="2481">
        <f>+'9.Инвестиционна програма'!AJ143</f>
        <v>0</v>
      </c>
      <c r="AG71" s="2481">
        <f>+'9.Инвестиционна програма'!AK143</f>
        <v>0</v>
      </c>
      <c r="AH71" s="2481">
        <f>+'9.Инвестиционна програма'!AL143</f>
        <v>0</v>
      </c>
      <c r="AI71" s="390"/>
      <c r="AJ71" s="4187"/>
      <c r="AK71" s="2481">
        <f>+'9.Инвестиционна програма'!AG144</f>
        <v>0</v>
      </c>
      <c r="AL71" s="2481">
        <f>+'9.Инвестиционна програма'!AH144</f>
        <v>0</v>
      </c>
      <c r="AM71" s="2481">
        <f>+'9.Инвестиционна програма'!AI144</f>
        <v>0</v>
      </c>
      <c r="AN71" s="2481">
        <f>+'9.Инвестиционна програма'!AJ144</f>
        <v>0</v>
      </c>
      <c r="AO71" s="2481">
        <f>+'9.Инвестиционна програма'!AK144</f>
        <v>0</v>
      </c>
      <c r="AP71" s="2481">
        <f>+'9.Инвестиционна програма'!AL144</f>
        <v>0</v>
      </c>
      <c r="AQ71" s="390"/>
      <c r="AR71" s="4187"/>
      <c r="AS71" s="2481">
        <f t="shared" ref="AS71:AX71" si="588">E71+M71+U71+AC71+AK71</f>
        <v>0</v>
      </c>
      <c r="AT71" s="2481">
        <f t="shared" si="588"/>
        <v>0</v>
      </c>
      <c r="AU71" s="2481">
        <f t="shared" si="588"/>
        <v>0</v>
      </c>
      <c r="AV71" s="2481">
        <f t="shared" si="588"/>
        <v>0</v>
      </c>
      <c r="AW71" s="2481">
        <f t="shared" si="588"/>
        <v>0</v>
      </c>
      <c r="AX71" s="2482">
        <f t="shared" si="588"/>
        <v>0</v>
      </c>
      <c r="AY71" s="4488"/>
      <c r="AZ71" s="3"/>
      <c r="BA71" s="3"/>
      <c r="BB71" s="4504">
        <f t="shared" si="553"/>
        <v>0</v>
      </c>
      <c r="BC71" s="4504">
        <f t="shared" si="553"/>
        <v>0</v>
      </c>
      <c r="BD71" s="4504">
        <f t="shared" si="554"/>
        <v>0</v>
      </c>
      <c r="BE71" s="4504">
        <f t="shared" si="555"/>
        <v>0</v>
      </c>
      <c r="BF71" s="4504">
        <f t="shared" si="556"/>
        <v>0</v>
      </c>
      <c r="BG71" s="4504">
        <f t="shared" si="557"/>
        <v>0</v>
      </c>
      <c r="BH71" s="3"/>
      <c r="BI71" s="3"/>
      <c r="BJ71" s="4504">
        <f t="shared" si="558"/>
        <v>0</v>
      </c>
      <c r="BK71" s="4504">
        <f t="shared" si="559"/>
        <v>0</v>
      </c>
      <c r="BL71" s="4504">
        <f t="shared" si="560"/>
        <v>0</v>
      </c>
      <c r="BM71" s="4504">
        <f t="shared" si="561"/>
        <v>0</v>
      </c>
      <c r="BN71" s="4504">
        <f t="shared" si="562"/>
        <v>0</v>
      </c>
      <c r="BO71" s="4504">
        <f t="shared" si="563"/>
        <v>0</v>
      </c>
      <c r="BP71" s="3"/>
      <c r="BQ71" s="3"/>
      <c r="BR71" s="4504">
        <f t="shared" si="564"/>
        <v>0</v>
      </c>
      <c r="BS71" s="4504">
        <f t="shared" si="565"/>
        <v>0</v>
      </c>
      <c r="BT71" s="4504">
        <f t="shared" si="566"/>
        <v>0</v>
      </c>
      <c r="BU71" s="4504">
        <f t="shared" si="567"/>
        <v>0</v>
      </c>
      <c r="BV71" s="4504">
        <f t="shared" si="568"/>
        <v>0</v>
      </c>
      <c r="BW71" s="4504">
        <f t="shared" si="569"/>
        <v>0</v>
      </c>
      <c r="BX71" s="3"/>
      <c r="BY71" s="3"/>
      <c r="BZ71" s="4504">
        <f t="shared" si="570"/>
        <v>0</v>
      </c>
      <c r="CA71" s="4504">
        <f t="shared" si="571"/>
        <v>0</v>
      </c>
      <c r="CB71" s="4504">
        <f t="shared" si="572"/>
        <v>0</v>
      </c>
      <c r="CC71" s="4504">
        <f t="shared" si="573"/>
        <v>0</v>
      </c>
      <c r="CD71" s="4504">
        <f t="shared" si="574"/>
        <v>0</v>
      </c>
      <c r="CE71" s="4504">
        <f t="shared" si="575"/>
        <v>0</v>
      </c>
      <c r="CF71" s="3"/>
      <c r="CG71" s="3"/>
      <c r="CH71" s="4504">
        <f t="shared" si="576"/>
        <v>0</v>
      </c>
      <c r="CI71" s="4504">
        <f t="shared" si="577"/>
        <v>0</v>
      </c>
      <c r="CJ71" s="4504">
        <f t="shared" si="578"/>
        <v>0</v>
      </c>
      <c r="CK71" s="4504">
        <f t="shared" si="579"/>
        <v>0</v>
      </c>
      <c r="CL71" s="4504">
        <f t="shared" si="580"/>
        <v>0</v>
      </c>
      <c r="CM71" s="4504">
        <f t="shared" si="581"/>
        <v>0</v>
      </c>
      <c r="CN71" s="3"/>
      <c r="CO71" s="3"/>
      <c r="CP71" s="4504">
        <f t="shared" si="582"/>
        <v>0</v>
      </c>
      <c r="CQ71" s="4504">
        <f t="shared" si="583"/>
        <v>0</v>
      </c>
      <c r="CR71" s="4504">
        <f t="shared" si="584"/>
        <v>0</v>
      </c>
      <c r="CS71" s="4504">
        <f t="shared" si="585"/>
        <v>0</v>
      </c>
      <c r="CT71" s="4504">
        <f t="shared" si="586"/>
        <v>0</v>
      </c>
      <c r="CU71" s="4504">
        <f t="shared" si="587"/>
        <v>0</v>
      </c>
    </row>
    <row r="72" spans="1:99" s="1" customFormat="1">
      <c r="A72" s="3888" t="s">
        <v>977</v>
      </c>
      <c r="B72" s="2480" t="s">
        <v>197</v>
      </c>
      <c r="C72" s="390"/>
      <c r="D72" s="4187"/>
      <c r="E72" s="2481">
        <f>IFERROR(E71/$AS71*$AS72,0)</f>
        <v>0</v>
      </c>
      <c r="F72" s="2481">
        <f>IFERROR(SUM($E71:F71)/SUM($AS71:AT71)*AT72,0)</f>
        <v>0</v>
      </c>
      <c r="G72" s="2481">
        <f>IFERROR(SUM($E71:G71)/SUM($AS71:AU71)*AU72,0)</f>
        <v>0</v>
      </c>
      <c r="H72" s="2481">
        <f>IFERROR(SUM($E71:H71)/SUM($AS71:AV71)*AV72,0)</f>
        <v>0</v>
      </c>
      <c r="I72" s="2481">
        <f>IFERROR(SUM($E71:I71)/SUM($AS71:AW71)*AW72,0)</f>
        <v>0</v>
      </c>
      <c r="J72" s="2481">
        <f>IFERROR(SUM($E71:J71)/SUM($AS71:AX71)*AX72,0)</f>
        <v>0</v>
      </c>
      <c r="K72" s="390"/>
      <c r="L72" s="4187"/>
      <c r="M72" s="2481">
        <f>IFERROR(M71/$AS71*$AS72,0)</f>
        <v>0</v>
      </c>
      <c r="N72" s="2481">
        <f>IFERROR(SUM($M71:N71)/SUM($AS71:AT71)*AT72,0)</f>
        <v>0</v>
      </c>
      <c r="O72" s="2481">
        <f>IFERROR(SUM($M71:O71)/SUM($AS71:AU71)*AU72,0)</f>
        <v>0</v>
      </c>
      <c r="P72" s="2481">
        <f>IFERROR(SUM($M71:P71)/SUM($AS71:AV71)*AV72,0)</f>
        <v>0</v>
      </c>
      <c r="Q72" s="2481">
        <f>IFERROR(SUM($M71:Q71)/SUM($AS71:AW71)*AW72,0)</f>
        <v>0</v>
      </c>
      <c r="R72" s="2481">
        <f>IFERROR(SUM($M71:R71)/SUM($AS71:AX71)*AX72,0)</f>
        <v>0</v>
      </c>
      <c r="S72" s="390"/>
      <c r="T72" s="4187"/>
      <c r="U72" s="2481">
        <f>IFERROR(U71/$AS71*$AS72,0)</f>
        <v>0</v>
      </c>
      <c r="V72" s="2481">
        <f>IFERROR(SUM($U71:V71)/SUM($AS71:AT71)*AT72,0)</f>
        <v>0</v>
      </c>
      <c r="W72" s="2481">
        <f>IFERROR(SUM($U71:W71)/SUM($AS71:AU71)*AU72,0)</f>
        <v>0</v>
      </c>
      <c r="X72" s="2481">
        <f>IFERROR(SUM($U71:X71)/SUM($AS71:AV71)*AV72,0)</f>
        <v>0</v>
      </c>
      <c r="Y72" s="2481">
        <f>IFERROR(SUM($U71:Y71)/SUM($AS71:AW71)*AW72,0)</f>
        <v>0</v>
      </c>
      <c r="Z72" s="2481">
        <f>IFERROR(SUM($U71:Z71)/SUM($AS71:AX71)*AX72,0)</f>
        <v>0</v>
      </c>
      <c r="AA72" s="390"/>
      <c r="AB72" s="4187"/>
      <c r="AC72" s="2481">
        <f>IFERROR(AC71/$AS71*$AS72,0)</f>
        <v>0</v>
      </c>
      <c r="AD72" s="2481">
        <f>IFERROR(SUM($AC71:AD71)/SUM($AS71:AT71)*AT72,0)</f>
        <v>0</v>
      </c>
      <c r="AE72" s="2481">
        <f>IFERROR(SUM($AC71:AE71)/SUM($AS71:AU71)*AU72,0)</f>
        <v>0</v>
      </c>
      <c r="AF72" s="2481">
        <f>IFERROR(SUM($AC71:AF71)/SUM($AS71:AV71)*AV72,0)</f>
        <v>0</v>
      </c>
      <c r="AG72" s="2481">
        <f>IFERROR(SUM($AC71:AG71)/SUM($AS71:AW71)*AW72,0)</f>
        <v>0</v>
      </c>
      <c r="AH72" s="2481">
        <f>IFERROR(SUM($AC71:AH71)/SUM($AS71:AX71)*AX72,0)</f>
        <v>0</v>
      </c>
      <c r="AI72" s="390"/>
      <c r="AJ72" s="4187"/>
      <c r="AK72" s="2481">
        <f>IFERROR(AK71/$AS71*$AS72,0)</f>
        <v>0</v>
      </c>
      <c r="AL72" s="2481">
        <f>IFERROR(SUM($AK71:AL71)/SUM($AS71:AT71)*AT72,0)</f>
        <v>0</v>
      </c>
      <c r="AM72" s="2481">
        <f>IFERROR(SUM($AK71:AM71)/SUM($AS71:AU71)*AU72,0)</f>
        <v>0</v>
      </c>
      <c r="AN72" s="2481">
        <f>IFERROR(SUM($AK71:AN71)/SUM($AS71:AV71)*AV72,0)</f>
        <v>0</v>
      </c>
      <c r="AO72" s="2481">
        <f>IFERROR(SUM($AK71:AO71)/SUM($AS71:AW71)*AW72,0)</f>
        <v>0</v>
      </c>
      <c r="AP72" s="2481">
        <f>IFERROR(SUM($AK71:AP71)/SUM($AS71:AX71)*AX72,0)</f>
        <v>0</v>
      </c>
      <c r="AQ72" s="390"/>
      <c r="AR72" s="4187"/>
      <c r="AS72" s="413"/>
      <c r="AT72" s="413"/>
      <c r="AU72" s="413"/>
      <c r="AV72" s="413"/>
      <c r="AW72" s="413"/>
      <c r="AX72" s="414"/>
      <c r="AY72" s="4488"/>
      <c r="AZ72" s="3"/>
      <c r="BA72" s="3"/>
      <c r="BB72" s="4504">
        <f t="shared" si="553"/>
        <v>0</v>
      </c>
      <c r="BC72" s="4504">
        <f t="shared" si="553"/>
        <v>0</v>
      </c>
      <c r="BD72" s="4504">
        <f t="shared" si="554"/>
        <v>0</v>
      </c>
      <c r="BE72" s="4504">
        <f t="shared" si="555"/>
        <v>0</v>
      </c>
      <c r="BF72" s="4504">
        <f t="shared" si="556"/>
        <v>0</v>
      </c>
      <c r="BG72" s="4504">
        <f t="shared" si="557"/>
        <v>0</v>
      </c>
      <c r="BH72" s="3"/>
      <c r="BI72" s="3"/>
      <c r="BJ72" s="4504">
        <f t="shared" si="558"/>
        <v>0</v>
      </c>
      <c r="BK72" s="4504">
        <f t="shared" si="559"/>
        <v>0</v>
      </c>
      <c r="BL72" s="4504">
        <f t="shared" si="560"/>
        <v>0</v>
      </c>
      <c r="BM72" s="4504">
        <f t="shared" si="561"/>
        <v>0</v>
      </c>
      <c r="BN72" s="4504">
        <f t="shared" si="562"/>
        <v>0</v>
      </c>
      <c r="BO72" s="4504">
        <f t="shared" si="563"/>
        <v>0</v>
      </c>
      <c r="BP72" s="3"/>
      <c r="BQ72" s="3"/>
      <c r="BR72" s="4504">
        <f t="shared" si="564"/>
        <v>0</v>
      </c>
      <c r="BS72" s="4504">
        <f t="shared" si="565"/>
        <v>0</v>
      </c>
      <c r="BT72" s="4504">
        <f t="shared" si="566"/>
        <v>0</v>
      </c>
      <c r="BU72" s="4504">
        <f t="shared" si="567"/>
        <v>0</v>
      </c>
      <c r="BV72" s="4504">
        <f t="shared" si="568"/>
        <v>0</v>
      </c>
      <c r="BW72" s="4504">
        <f t="shared" si="569"/>
        <v>0</v>
      </c>
      <c r="BX72" s="3"/>
      <c r="BY72" s="3"/>
      <c r="BZ72" s="4504">
        <f t="shared" si="570"/>
        <v>0</v>
      </c>
      <c r="CA72" s="4504">
        <f t="shared" si="571"/>
        <v>0</v>
      </c>
      <c r="CB72" s="4504">
        <f t="shared" si="572"/>
        <v>0</v>
      </c>
      <c r="CC72" s="4504">
        <f t="shared" si="573"/>
        <v>0</v>
      </c>
      <c r="CD72" s="4504">
        <f t="shared" si="574"/>
        <v>0</v>
      </c>
      <c r="CE72" s="4504">
        <f t="shared" si="575"/>
        <v>0</v>
      </c>
      <c r="CF72" s="3"/>
      <c r="CG72" s="3"/>
      <c r="CH72" s="4504">
        <f t="shared" si="576"/>
        <v>0</v>
      </c>
      <c r="CI72" s="4504">
        <f t="shared" si="577"/>
        <v>0</v>
      </c>
      <c r="CJ72" s="4504">
        <f t="shared" si="578"/>
        <v>0</v>
      </c>
      <c r="CK72" s="4504">
        <f t="shared" si="579"/>
        <v>0</v>
      </c>
      <c r="CL72" s="4504">
        <f t="shared" si="580"/>
        <v>0</v>
      </c>
      <c r="CM72" s="4504">
        <f t="shared" si="581"/>
        <v>0</v>
      </c>
      <c r="CN72" s="3"/>
      <c r="CO72" s="3"/>
      <c r="CP72" s="4504">
        <f t="shared" si="582"/>
        <v>0</v>
      </c>
      <c r="CQ72" s="4504">
        <f t="shared" si="583"/>
        <v>0</v>
      </c>
      <c r="CR72" s="4504">
        <f t="shared" si="584"/>
        <v>0</v>
      </c>
      <c r="CS72" s="4504">
        <f t="shared" si="585"/>
        <v>0</v>
      </c>
      <c r="CT72" s="4504">
        <f t="shared" si="586"/>
        <v>0</v>
      </c>
      <c r="CU72" s="4504">
        <f t="shared" si="587"/>
        <v>0</v>
      </c>
    </row>
    <row r="73" spans="1:99" s="1" customFormat="1">
      <c r="A73" s="3888" t="s">
        <v>978</v>
      </c>
      <c r="B73" s="2480" t="s">
        <v>198</v>
      </c>
      <c r="C73" s="390"/>
      <c r="D73" s="4187"/>
      <c r="E73" s="2481">
        <f>+(E76+E70+E71)/2*E74</f>
        <v>0</v>
      </c>
      <c r="F73" s="2481">
        <f t="shared" ref="F73:H73" si="589">+(F76+F70+F71)/2*F74</f>
        <v>0</v>
      </c>
      <c r="G73" s="2481">
        <f t="shared" si="589"/>
        <v>0</v>
      </c>
      <c r="H73" s="2481">
        <f t="shared" si="589"/>
        <v>0</v>
      </c>
      <c r="I73" s="2481">
        <f>+(I76+I70+I71)/2*I74</f>
        <v>0</v>
      </c>
      <c r="J73" s="2481">
        <f t="shared" ref="J73" si="590">+(J76+J70+J71)/2*J74</f>
        <v>0</v>
      </c>
      <c r="K73" s="390"/>
      <c r="L73" s="4187"/>
      <c r="M73" s="2481">
        <f>+(M76+M70+M71)/2*M74</f>
        <v>0</v>
      </c>
      <c r="N73" s="2481">
        <f t="shared" ref="N73:R73" si="591">+(N76+N70+N71)/2*N74</f>
        <v>0</v>
      </c>
      <c r="O73" s="2481">
        <f t="shared" si="591"/>
        <v>0</v>
      </c>
      <c r="P73" s="2481">
        <f t="shared" si="591"/>
        <v>0</v>
      </c>
      <c r="Q73" s="2481">
        <f t="shared" si="591"/>
        <v>0</v>
      </c>
      <c r="R73" s="2481">
        <f t="shared" si="591"/>
        <v>0</v>
      </c>
      <c r="S73" s="390"/>
      <c r="T73" s="4187"/>
      <c r="U73" s="2481">
        <f t="shared" ref="U73:Z73" si="592">+(U76+U70+U71)/2*U74</f>
        <v>0</v>
      </c>
      <c r="V73" s="2481">
        <f t="shared" si="592"/>
        <v>0</v>
      </c>
      <c r="W73" s="2481">
        <f t="shared" si="592"/>
        <v>0</v>
      </c>
      <c r="X73" s="2481">
        <f t="shared" si="592"/>
        <v>0</v>
      </c>
      <c r="Y73" s="2481">
        <f t="shared" si="592"/>
        <v>0</v>
      </c>
      <c r="Z73" s="2481">
        <f t="shared" si="592"/>
        <v>0</v>
      </c>
      <c r="AA73" s="390"/>
      <c r="AB73" s="4187"/>
      <c r="AC73" s="2481">
        <f t="shared" ref="AC73:AH73" si="593">+(AC76+AC70+AC71)/2*AC74</f>
        <v>0</v>
      </c>
      <c r="AD73" s="2481">
        <f t="shared" si="593"/>
        <v>0</v>
      </c>
      <c r="AE73" s="2481">
        <f t="shared" si="593"/>
        <v>0</v>
      </c>
      <c r="AF73" s="2481">
        <f t="shared" si="593"/>
        <v>0</v>
      </c>
      <c r="AG73" s="2481">
        <f t="shared" si="593"/>
        <v>0</v>
      </c>
      <c r="AH73" s="2481">
        <f t="shared" si="593"/>
        <v>0</v>
      </c>
      <c r="AI73" s="390"/>
      <c r="AJ73" s="4187"/>
      <c r="AK73" s="2481">
        <f t="shared" ref="AK73:AP73" si="594">+(AK76+AK70+AK71)/2*AK74</f>
        <v>0</v>
      </c>
      <c r="AL73" s="2481">
        <f t="shared" si="594"/>
        <v>0</v>
      </c>
      <c r="AM73" s="2481">
        <f t="shared" si="594"/>
        <v>0</v>
      </c>
      <c r="AN73" s="2481">
        <f t="shared" si="594"/>
        <v>0</v>
      </c>
      <c r="AO73" s="2481">
        <f t="shared" si="594"/>
        <v>0</v>
      </c>
      <c r="AP73" s="2481">
        <f t="shared" si="594"/>
        <v>0</v>
      </c>
      <c r="AQ73" s="390"/>
      <c r="AR73" s="4187"/>
      <c r="AS73" s="413"/>
      <c r="AT73" s="413"/>
      <c r="AU73" s="413"/>
      <c r="AV73" s="413"/>
      <c r="AW73" s="413"/>
      <c r="AX73" s="414"/>
      <c r="AY73" s="4488"/>
      <c r="AZ73" s="3"/>
      <c r="BA73" s="3"/>
      <c r="BB73" s="4504">
        <f t="shared" si="553"/>
        <v>0</v>
      </c>
      <c r="BC73" s="4504">
        <f t="shared" si="553"/>
        <v>0</v>
      </c>
      <c r="BD73" s="4504">
        <f t="shared" si="554"/>
        <v>0</v>
      </c>
      <c r="BE73" s="4504">
        <f t="shared" si="555"/>
        <v>0</v>
      </c>
      <c r="BF73" s="4504">
        <f t="shared" si="556"/>
        <v>0</v>
      </c>
      <c r="BG73" s="4504">
        <f t="shared" si="557"/>
        <v>0</v>
      </c>
      <c r="BH73" s="3"/>
      <c r="BI73" s="3"/>
      <c r="BJ73" s="4504">
        <f t="shared" si="558"/>
        <v>0</v>
      </c>
      <c r="BK73" s="4504">
        <f t="shared" si="559"/>
        <v>0</v>
      </c>
      <c r="BL73" s="4504">
        <f t="shared" si="560"/>
        <v>0</v>
      </c>
      <c r="BM73" s="4504">
        <f t="shared" si="561"/>
        <v>0</v>
      </c>
      <c r="BN73" s="4504">
        <f t="shared" si="562"/>
        <v>0</v>
      </c>
      <c r="BO73" s="4504">
        <f t="shared" si="563"/>
        <v>0</v>
      </c>
      <c r="BP73" s="3"/>
      <c r="BQ73" s="3"/>
      <c r="BR73" s="4504">
        <f t="shared" si="564"/>
        <v>0</v>
      </c>
      <c r="BS73" s="4504">
        <f t="shared" si="565"/>
        <v>0</v>
      </c>
      <c r="BT73" s="4504">
        <f t="shared" si="566"/>
        <v>0</v>
      </c>
      <c r="BU73" s="4504">
        <f t="shared" si="567"/>
        <v>0</v>
      </c>
      <c r="BV73" s="4504">
        <f t="shared" si="568"/>
        <v>0</v>
      </c>
      <c r="BW73" s="4504">
        <f t="shared" si="569"/>
        <v>0</v>
      </c>
      <c r="BX73" s="3"/>
      <c r="BY73" s="3"/>
      <c r="BZ73" s="4504">
        <f t="shared" si="570"/>
        <v>0</v>
      </c>
      <c r="CA73" s="4504">
        <f t="shared" si="571"/>
        <v>0</v>
      </c>
      <c r="CB73" s="4504">
        <f t="shared" si="572"/>
        <v>0</v>
      </c>
      <c r="CC73" s="4504">
        <f t="shared" si="573"/>
        <v>0</v>
      </c>
      <c r="CD73" s="4504">
        <f t="shared" si="574"/>
        <v>0</v>
      </c>
      <c r="CE73" s="4504">
        <f t="shared" si="575"/>
        <v>0</v>
      </c>
      <c r="CF73" s="3"/>
      <c r="CG73" s="3"/>
      <c r="CH73" s="4504">
        <f t="shared" si="576"/>
        <v>0</v>
      </c>
      <c r="CI73" s="4504">
        <f t="shared" si="577"/>
        <v>0</v>
      </c>
      <c r="CJ73" s="4504">
        <f t="shared" si="578"/>
        <v>0</v>
      </c>
      <c r="CK73" s="4504">
        <f t="shared" si="579"/>
        <v>0</v>
      </c>
      <c r="CL73" s="4504">
        <f t="shared" si="580"/>
        <v>0</v>
      </c>
      <c r="CM73" s="4504">
        <f t="shared" si="581"/>
        <v>0</v>
      </c>
      <c r="CN73" s="3"/>
      <c r="CO73" s="3"/>
      <c r="CP73" s="4504">
        <f t="shared" si="582"/>
        <v>0</v>
      </c>
      <c r="CQ73" s="4504">
        <f t="shared" si="583"/>
        <v>0</v>
      </c>
      <c r="CR73" s="4504">
        <f t="shared" si="584"/>
        <v>0</v>
      </c>
      <c r="CS73" s="4504">
        <f t="shared" si="585"/>
        <v>0</v>
      </c>
      <c r="CT73" s="4504">
        <f t="shared" si="586"/>
        <v>0</v>
      </c>
      <c r="CU73" s="4504">
        <f t="shared" si="587"/>
        <v>0</v>
      </c>
    </row>
    <row r="74" spans="1:99" s="1" customFormat="1">
      <c r="A74" s="3888" t="s">
        <v>979</v>
      </c>
      <c r="B74" s="2480" t="s">
        <v>199</v>
      </c>
      <c r="C74" s="390"/>
      <c r="D74" s="4187"/>
      <c r="E74" s="1399">
        <f>+AS74</f>
        <v>0</v>
      </c>
      <c r="F74" s="1399">
        <f t="shared" ref="F74:J74" si="595">+AT74</f>
        <v>0</v>
      </c>
      <c r="G74" s="1399">
        <f t="shared" si="595"/>
        <v>0</v>
      </c>
      <c r="H74" s="1399">
        <f t="shared" si="595"/>
        <v>0</v>
      </c>
      <c r="I74" s="1399">
        <f t="shared" si="595"/>
        <v>0</v>
      </c>
      <c r="J74" s="1399">
        <f t="shared" si="595"/>
        <v>0</v>
      </c>
      <c r="K74" s="390"/>
      <c r="L74" s="4187"/>
      <c r="M74" s="1399">
        <f>+AS74</f>
        <v>0</v>
      </c>
      <c r="N74" s="1399">
        <f t="shared" ref="N74:R74" si="596">+AT74</f>
        <v>0</v>
      </c>
      <c r="O74" s="1399">
        <f t="shared" si="596"/>
        <v>0</v>
      </c>
      <c r="P74" s="1399">
        <f t="shared" si="596"/>
        <v>0</v>
      </c>
      <c r="Q74" s="1399">
        <f t="shared" si="596"/>
        <v>0</v>
      </c>
      <c r="R74" s="1399">
        <f t="shared" si="596"/>
        <v>0</v>
      </c>
      <c r="S74" s="390"/>
      <c r="T74" s="4187"/>
      <c r="U74" s="1399">
        <f>+AS74</f>
        <v>0</v>
      </c>
      <c r="V74" s="1399">
        <f t="shared" ref="V74:Z74" si="597">+AT74</f>
        <v>0</v>
      </c>
      <c r="W74" s="1399">
        <f t="shared" si="597"/>
        <v>0</v>
      </c>
      <c r="X74" s="1399">
        <f t="shared" si="597"/>
        <v>0</v>
      </c>
      <c r="Y74" s="1399">
        <f t="shared" si="597"/>
        <v>0</v>
      </c>
      <c r="Z74" s="1399">
        <f t="shared" si="597"/>
        <v>0</v>
      </c>
      <c r="AA74" s="390"/>
      <c r="AB74" s="4187"/>
      <c r="AC74" s="1399">
        <f>+AS74</f>
        <v>0</v>
      </c>
      <c r="AD74" s="1399">
        <f t="shared" ref="AD74:AH74" si="598">+AT74</f>
        <v>0</v>
      </c>
      <c r="AE74" s="1399">
        <f t="shared" si="598"/>
        <v>0</v>
      </c>
      <c r="AF74" s="1399">
        <f t="shared" si="598"/>
        <v>0</v>
      </c>
      <c r="AG74" s="1399">
        <f t="shared" si="598"/>
        <v>0</v>
      </c>
      <c r="AH74" s="1399">
        <f t="shared" si="598"/>
        <v>0</v>
      </c>
      <c r="AI74" s="390"/>
      <c r="AJ74" s="4187"/>
      <c r="AK74" s="1399">
        <f>+AS74</f>
        <v>0</v>
      </c>
      <c r="AL74" s="1399">
        <f t="shared" ref="AL74:AP74" si="599">+AT74</f>
        <v>0</v>
      </c>
      <c r="AM74" s="1399">
        <f t="shared" si="599"/>
        <v>0</v>
      </c>
      <c r="AN74" s="1399">
        <f t="shared" si="599"/>
        <v>0</v>
      </c>
      <c r="AO74" s="1399">
        <f t="shared" si="599"/>
        <v>0</v>
      </c>
      <c r="AP74" s="1399">
        <f t="shared" si="599"/>
        <v>0</v>
      </c>
      <c r="AQ74" s="390"/>
      <c r="AR74" s="4187"/>
      <c r="AS74" s="1399">
        <f t="shared" ref="AS74:AX74" si="600">IF(AND(AS70=0,AS71=0),0,AS73/((AS70+AS71+AS76)/2))</f>
        <v>0</v>
      </c>
      <c r="AT74" s="1399">
        <f t="shared" si="600"/>
        <v>0</v>
      </c>
      <c r="AU74" s="1399">
        <f t="shared" si="600"/>
        <v>0</v>
      </c>
      <c r="AV74" s="1399">
        <f t="shared" si="600"/>
        <v>0</v>
      </c>
      <c r="AW74" s="1399">
        <f t="shared" si="600"/>
        <v>0</v>
      </c>
      <c r="AX74" s="1400">
        <f t="shared" si="600"/>
        <v>0</v>
      </c>
      <c r="AY74" s="4488"/>
    </row>
    <row r="75" spans="1:99" s="1" customFormat="1">
      <c r="A75" s="3888" t="s">
        <v>980</v>
      </c>
      <c r="B75" s="2480" t="s">
        <v>200</v>
      </c>
      <c r="C75" s="390"/>
      <c r="D75" s="4187"/>
      <c r="E75" s="2488">
        <f t="shared" ref="E75:J75" si="601">E72+E73</f>
        <v>0</v>
      </c>
      <c r="F75" s="2488">
        <f t="shared" si="601"/>
        <v>0</v>
      </c>
      <c r="G75" s="2488">
        <f t="shared" si="601"/>
        <v>0</v>
      </c>
      <c r="H75" s="2488">
        <f t="shared" si="601"/>
        <v>0</v>
      </c>
      <c r="I75" s="2488">
        <f t="shared" si="601"/>
        <v>0</v>
      </c>
      <c r="J75" s="2489">
        <f t="shared" si="601"/>
        <v>0</v>
      </c>
      <c r="K75" s="390"/>
      <c r="L75" s="4187"/>
      <c r="M75" s="2488">
        <f t="shared" ref="M75:R75" si="602">M72+M73</f>
        <v>0</v>
      </c>
      <c r="N75" s="2488">
        <f t="shared" si="602"/>
        <v>0</v>
      </c>
      <c r="O75" s="2488">
        <f t="shared" si="602"/>
        <v>0</v>
      </c>
      <c r="P75" s="2488">
        <f t="shared" si="602"/>
        <v>0</v>
      </c>
      <c r="Q75" s="2488">
        <f t="shared" si="602"/>
        <v>0</v>
      </c>
      <c r="R75" s="2489">
        <f t="shared" si="602"/>
        <v>0</v>
      </c>
      <c r="S75" s="390"/>
      <c r="T75" s="4187"/>
      <c r="U75" s="2488">
        <f t="shared" ref="U75:Z75" si="603">U72+U73</f>
        <v>0</v>
      </c>
      <c r="V75" s="2488">
        <f t="shared" si="603"/>
        <v>0</v>
      </c>
      <c r="W75" s="2488">
        <f t="shared" si="603"/>
        <v>0</v>
      </c>
      <c r="X75" s="2488">
        <f t="shared" si="603"/>
        <v>0</v>
      </c>
      <c r="Y75" s="2488">
        <f t="shared" si="603"/>
        <v>0</v>
      </c>
      <c r="Z75" s="2489">
        <f t="shared" si="603"/>
        <v>0</v>
      </c>
      <c r="AA75" s="390"/>
      <c r="AB75" s="4187"/>
      <c r="AC75" s="2488">
        <f t="shared" ref="AC75:AH75" si="604">AC72+AC73</f>
        <v>0</v>
      </c>
      <c r="AD75" s="2488">
        <f t="shared" si="604"/>
        <v>0</v>
      </c>
      <c r="AE75" s="2488">
        <f t="shared" si="604"/>
        <v>0</v>
      </c>
      <c r="AF75" s="2488">
        <f t="shared" si="604"/>
        <v>0</v>
      </c>
      <c r="AG75" s="2488">
        <f t="shared" si="604"/>
        <v>0</v>
      </c>
      <c r="AH75" s="2489">
        <f t="shared" si="604"/>
        <v>0</v>
      </c>
      <c r="AI75" s="390"/>
      <c r="AJ75" s="4187"/>
      <c r="AK75" s="2488">
        <f t="shared" ref="AK75:AP75" si="605">AK72+AK73</f>
        <v>0</v>
      </c>
      <c r="AL75" s="2488">
        <f t="shared" si="605"/>
        <v>0</v>
      </c>
      <c r="AM75" s="2488">
        <f t="shared" si="605"/>
        <v>0</v>
      </c>
      <c r="AN75" s="2488">
        <f t="shared" si="605"/>
        <v>0</v>
      </c>
      <c r="AO75" s="2488">
        <f t="shared" si="605"/>
        <v>0</v>
      </c>
      <c r="AP75" s="2489">
        <f t="shared" si="605"/>
        <v>0</v>
      </c>
      <c r="AQ75" s="390"/>
      <c r="AR75" s="4187"/>
      <c r="AS75" s="2488">
        <f t="shared" ref="AS75:AX75" si="606">AS72+AS73</f>
        <v>0</v>
      </c>
      <c r="AT75" s="2488">
        <f t="shared" si="606"/>
        <v>0</v>
      </c>
      <c r="AU75" s="2488">
        <f t="shared" si="606"/>
        <v>0</v>
      </c>
      <c r="AV75" s="2488">
        <f t="shared" si="606"/>
        <v>0</v>
      </c>
      <c r="AW75" s="2488">
        <f t="shared" si="606"/>
        <v>0</v>
      </c>
      <c r="AX75" s="2489">
        <f t="shared" si="606"/>
        <v>0</v>
      </c>
      <c r="AY75" s="4488"/>
      <c r="AZ75" s="3"/>
      <c r="BA75" s="3"/>
      <c r="BB75" s="4504">
        <f t="shared" ref="BB75:BC76" si="607">IFERROR(E75/$C$1,0)</f>
        <v>0</v>
      </c>
      <c r="BC75" s="4504">
        <f t="shared" si="607"/>
        <v>0</v>
      </c>
      <c r="BD75" s="4504">
        <f t="shared" ref="BD75:BD76" si="608">IFERROR(G75/$C$1,0)</f>
        <v>0</v>
      </c>
      <c r="BE75" s="4504">
        <f t="shared" ref="BE75:BE76" si="609">IFERROR(H75/$C$1,0)</f>
        <v>0</v>
      </c>
      <c r="BF75" s="4504">
        <f t="shared" ref="BF75:BF76" si="610">IFERROR(I75/$C$1,0)</f>
        <v>0</v>
      </c>
      <c r="BG75" s="4504">
        <f t="shared" ref="BG75:BG76" si="611">IFERROR(J75/$C$1,0)</f>
        <v>0</v>
      </c>
      <c r="BH75" s="3"/>
      <c r="BI75" s="3"/>
      <c r="BJ75" s="4504">
        <f t="shared" ref="BJ75:BJ76" si="612">IFERROR(M75/$C$1,0)</f>
        <v>0</v>
      </c>
      <c r="BK75" s="4504">
        <f t="shared" ref="BK75:BK76" si="613">IFERROR(N75/$C$1,0)</f>
        <v>0</v>
      </c>
      <c r="BL75" s="4504">
        <f t="shared" ref="BL75:BL76" si="614">IFERROR(O75/$C$1,0)</f>
        <v>0</v>
      </c>
      <c r="BM75" s="4504">
        <f t="shared" ref="BM75:BM76" si="615">IFERROR(P75/$C$1,0)</f>
        <v>0</v>
      </c>
      <c r="BN75" s="4504">
        <f t="shared" ref="BN75:BN76" si="616">IFERROR(Q75/$C$1,0)</f>
        <v>0</v>
      </c>
      <c r="BO75" s="4504">
        <f t="shared" ref="BO75:BO76" si="617">IFERROR(R75/$C$1,0)</f>
        <v>0</v>
      </c>
      <c r="BP75" s="3"/>
      <c r="BQ75" s="3"/>
      <c r="BR75" s="4504">
        <f t="shared" ref="BR75:BR76" si="618">IFERROR(U75/$C$1,0)</f>
        <v>0</v>
      </c>
      <c r="BS75" s="4504">
        <f t="shared" ref="BS75:BS76" si="619">IFERROR(V75/$C$1,0)</f>
        <v>0</v>
      </c>
      <c r="BT75" s="4504">
        <f t="shared" ref="BT75:BT76" si="620">IFERROR(W75/$C$1,0)</f>
        <v>0</v>
      </c>
      <c r="BU75" s="4504">
        <f t="shared" ref="BU75:BU76" si="621">IFERROR(X75/$C$1,0)</f>
        <v>0</v>
      </c>
      <c r="BV75" s="4504">
        <f t="shared" ref="BV75:BV76" si="622">IFERROR(Y75/$C$1,0)</f>
        <v>0</v>
      </c>
      <c r="BW75" s="4504">
        <f t="shared" ref="BW75:BW76" si="623">IFERROR(Z75/$C$1,0)</f>
        <v>0</v>
      </c>
      <c r="BX75" s="3"/>
      <c r="BY75" s="3"/>
      <c r="BZ75" s="4504">
        <f t="shared" ref="BZ75:BZ76" si="624">IFERROR(AC75/$C$1,0)</f>
        <v>0</v>
      </c>
      <c r="CA75" s="4504">
        <f t="shared" ref="CA75:CA76" si="625">IFERROR(AD75/$C$1,0)</f>
        <v>0</v>
      </c>
      <c r="CB75" s="4504">
        <f t="shared" ref="CB75:CB76" si="626">IFERROR(AE75/$C$1,0)</f>
        <v>0</v>
      </c>
      <c r="CC75" s="4504">
        <f t="shared" ref="CC75:CC76" si="627">IFERROR(AF75/$C$1,0)</f>
        <v>0</v>
      </c>
      <c r="CD75" s="4504">
        <f t="shared" ref="CD75:CD76" si="628">IFERROR(AG75/$C$1,0)</f>
        <v>0</v>
      </c>
      <c r="CE75" s="4504">
        <f t="shared" ref="CE75:CE76" si="629">IFERROR(AH75/$C$1,0)</f>
        <v>0</v>
      </c>
      <c r="CF75" s="3"/>
      <c r="CG75" s="3"/>
      <c r="CH75" s="4504">
        <f t="shared" ref="CH75:CH76" si="630">IFERROR(AK75/$C$1,0)</f>
        <v>0</v>
      </c>
      <c r="CI75" s="4504">
        <f t="shared" ref="CI75:CI76" si="631">IFERROR(AL75/$C$1,0)</f>
        <v>0</v>
      </c>
      <c r="CJ75" s="4504">
        <f t="shared" ref="CJ75:CJ76" si="632">IFERROR(AM75/$C$1,0)</f>
        <v>0</v>
      </c>
      <c r="CK75" s="4504">
        <f t="shared" ref="CK75:CK76" si="633">IFERROR(AN75/$C$1,0)</f>
        <v>0</v>
      </c>
      <c r="CL75" s="4504">
        <f t="shared" ref="CL75:CL76" si="634">IFERROR(AO75/$C$1,0)</f>
        <v>0</v>
      </c>
      <c r="CM75" s="4504">
        <f t="shared" ref="CM75:CM76" si="635">IFERROR(AP75/$C$1,0)</f>
        <v>0</v>
      </c>
      <c r="CN75" s="3"/>
      <c r="CO75" s="3"/>
      <c r="CP75" s="4504">
        <f t="shared" ref="CP75:CP76" si="636">IFERROR(AS75/$C$1,0)</f>
        <v>0</v>
      </c>
      <c r="CQ75" s="4504">
        <f t="shared" ref="CQ75:CQ76" si="637">IFERROR(AT75/$C$1,0)</f>
        <v>0</v>
      </c>
      <c r="CR75" s="4504">
        <f t="shared" ref="CR75:CR76" si="638">IFERROR(AU75/$C$1,0)</f>
        <v>0</v>
      </c>
      <c r="CS75" s="4504">
        <f t="shared" ref="CS75:CS76" si="639">IFERROR(AV75/$C$1,0)</f>
        <v>0</v>
      </c>
      <c r="CT75" s="4504">
        <f t="shared" ref="CT75:CT76" si="640">IFERROR(AW75/$C$1,0)</f>
        <v>0</v>
      </c>
      <c r="CU75" s="4504">
        <f t="shared" ref="CU75:CU76" si="641">IFERROR(AX75/$C$1,0)</f>
        <v>0</v>
      </c>
    </row>
    <row r="76" spans="1:99" s="1" customFormat="1">
      <c r="A76" s="3888" t="s">
        <v>981</v>
      </c>
      <c r="B76" s="2480" t="s">
        <v>201</v>
      </c>
      <c r="C76" s="390"/>
      <c r="D76" s="4187"/>
      <c r="E76" s="2488">
        <f t="shared" ref="E76:J76" si="642">E70+E71-E72</f>
        <v>0</v>
      </c>
      <c r="F76" s="2488">
        <f t="shared" si="642"/>
        <v>0</v>
      </c>
      <c r="G76" s="2488">
        <f t="shared" si="642"/>
        <v>0</v>
      </c>
      <c r="H76" s="2488">
        <f t="shared" si="642"/>
        <v>0</v>
      </c>
      <c r="I76" s="2488">
        <f t="shared" si="642"/>
        <v>0</v>
      </c>
      <c r="J76" s="2489">
        <f t="shared" si="642"/>
        <v>0</v>
      </c>
      <c r="K76" s="390"/>
      <c r="L76" s="4187"/>
      <c r="M76" s="2488">
        <f t="shared" ref="M76:R76" si="643">M70+M71-M72</f>
        <v>0</v>
      </c>
      <c r="N76" s="2488">
        <f t="shared" si="643"/>
        <v>0</v>
      </c>
      <c r="O76" s="2488">
        <f t="shared" si="643"/>
        <v>0</v>
      </c>
      <c r="P76" s="2488">
        <f t="shared" si="643"/>
        <v>0</v>
      </c>
      <c r="Q76" s="2488">
        <f t="shared" si="643"/>
        <v>0</v>
      </c>
      <c r="R76" s="2489">
        <f t="shared" si="643"/>
        <v>0</v>
      </c>
      <c r="S76" s="390"/>
      <c r="T76" s="4187"/>
      <c r="U76" s="2488">
        <f t="shared" ref="U76:Z76" si="644">U70+U71-U72</f>
        <v>0</v>
      </c>
      <c r="V76" s="2488">
        <f t="shared" si="644"/>
        <v>0</v>
      </c>
      <c r="W76" s="2488">
        <f t="shared" si="644"/>
        <v>0</v>
      </c>
      <c r="X76" s="2488">
        <f t="shared" si="644"/>
        <v>0</v>
      </c>
      <c r="Y76" s="2488">
        <f t="shared" si="644"/>
        <v>0</v>
      </c>
      <c r="Z76" s="2489">
        <f t="shared" si="644"/>
        <v>0</v>
      </c>
      <c r="AA76" s="390"/>
      <c r="AB76" s="4187"/>
      <c r="AC76" s="2488">
        <f t="shared" ref="AC76:AH76" si="645">AC70+AC71-AC72</f>
        <v>0</v>
      </c>
      <c r="AD76" s="2488">
        <f t="shared" si="645"/>
        <v>0</v>
      </c>
      <c r="AE76" s="2488">
        <f t="shared" si="645"/>
        <v>0</v>
      </c>
      <c r="AF76" s="2488">
        <f t="shared" si="645"/>
        <v>0</v>
      </c>
      <c r="AG76" s="2488">
        <f t="shared" si="645"/>
        <v>0</v>
      </c>
      <c r="AH76" s="2489">
        <f t="shared" si="645"/>
        <v>0</v>
      </c>
      <c r="AI76" s="390"/>
      <c r="AJ76" s="4187"/>
      <c r="AK76" s="2488">
        <f t="shared" ref="AK76:AP76" si="646">AK70+AK71-AK72</f>
        <v>0</v>
      </c>
      <c r="AL76" s="2488">
        <f t="shared" si="646"/>
        <v>0</v>
      </c>
      <c r="AM76" s="2488">
        <f t="shared" si="646"/>
        <v>0</v>
      </c>
      <c r="AN76" s="2488">
        <f t="shared" si="646"/>
        <v>0</v>
      </c>
      <c r="AO76" s="2488">
        <f t="shared" si="646"/>
        <v>0</v>
      </c>
      <c r="AP76" s="2489">
        <f t="shared" si="646"/>
        <v>0</v>
      </c>
      <c r="AQ76" s="390"/>
      <c r="AR76" s="4187"/>
      <c r="AS76" s="2488">
        <f t="shared" ref="AS76:AX76" si="647">AS70+AS71-AS72</f>
        <v>0</v>
      </c>
      <c r="AT76" s="2488">
        <f t="shared" si="647"/>
        <v>0</v>
      </c>
      <c r="AU76" s="2488">
        <f t="shared" si="647"/>
        <v>0</v>
      </c>
      <c r="AV76" s="2488">
        <f t="shared" si="647"/>
        <v>0</v>
      </c>
      <c r="AW76" s="2488">
        <f t="shared" si="647"/>
        <v>0</v>
      </c>
      <c r="AX76" s="2489">
        <f t="shared" si="647"/>
        <v>0</v>
      </c>
      <c r="AY76" s="4488"/>
      <c r="AZ76" s="3"/>
      <c r="BA76" s="3"/>
      <c r="BB76" s="4504">
        <f t="shared" si="607"/>
        <v>0</v>
      </c>
      <c r="BC76" s="4504">
        <f t="shared" si="607"/>
        <v>0</v>
      </c>
      <c r="BD76" s="4504">
        <f t="shared" si="608"/>
        <v>0</v>
      </c>
      <c r="BE76" s="4504">
        <f t="shared" si="609"/>
        <v>0</v>
      </c>
      <c r="BF76" s="4504">
        <f t="shared" si="610"/>
        <v>0</v>
      </c>
      <c r="BG76" s="4504">
        <f t="shared" si="611"/>
        <v>0</v>
      </c>
      <c r="BH76" s="3"/>
      <c r="BI76" s="3"/>
      <c r="BJ76" s="4504">
        <f t="shared" si="612"/>
        <v>0</v>
      </c>
      <c r="BK76" s="4504">
        <f t="shared" si="613"/>
        <v>0</v>
      </c>
      <c r="BL76" s="4504">
        <f t="shared" si="614"/>
        <v>0</v>
      </c>
      <c r="BM76" s="4504">
        <f t="shared" si="615"/>
        <v>0</v>
      </c>
      <c r="BN76" s="4504">
        <f t="shared" si="616"/>
        <v>0</v>
      </c>
      <c r="BO76" s="4504">
        <f t="shared" si="617"/>
        <v>0</v>
      </c>
      <c r="BP76" s="3"/>
      <c r="BQ76" s="3"/>
      <c r="BR76" s="4504">
        <f t="shared" si="618"/>
        <v>0</v>
      </c>
      <c r="BS76" s="4504">
        <f t="shared" si="619"/>
        <v>0</v>
      </c>
      <c r="BT76" s="4504">
        <f t="shared" si="620"/>
        <v>0</v>
      </c>
      <c r="BU76" s="4504">
        <f t="shared" si="621"/>
        <v>0</v>
      </c>
      <c r="BV76" s="4504">
        <f t="shared" si="622"/>
        <v>0</v>
      </c>
      <c r="BW76" s="4504">
        <f t="shared" si="623"/>
        <v>0</v>
      </c>
      <c r="BX76" s="3"/>
      <c r="BY76" s="3"/>
      <c r="BZ76" s="4504">
        <f t="shared" si="624"/>
        <v>0</v>
      </c>
      <c r="CA76" s="4504">
        <f t="shared" si="625"/>
        <v>0</v>
      </c>
      <c r="CB76" s="4504">
        <f t="shared" si="626"/>
        <v>0</v>
      </c>
      <c r="CC76" s="4504">
        <f t="shared" si="627"/>
        <v>0</v>
      </c>
      <c r="CD76" s="4504">
        <f t="shared" si="628"/>
        <v>0</v>
      </c>
      <c r="CE76" s="4504">
        <f t="shared" si="629"/>
        <v>0</v>
      </c>
      <c r="CF76" s="3"/>
      <c r="CG76" s="3"/>
      <c r="CH76" s="4504">
        <f t="shared" si="630"/>
        <v>0</v>
      </c>
      <c r="CI76" s="4504">
        <f t="shared" si="631"/>
        <v>0</v>
      </c>
      <c r="CJ76" s="4504">
        <f t="shared" si="632"/>
        <v>0</v>
      </c>
      <c r="CK76" s="4504">
        <f t="shared" si="633"/>
        <v>0</v>
      </c>
      <c r="CL76" s="4504">
        <f t="shared" si="634"/>
        <v>0</v>
      </c>
      <c r="CM76" s="4504">
        <f t="shared" si="635"/>
        <v>0</v>
      </c>
      <c r="CN76" s="3"/>
      <c r="CO76" s="3"/>
      <c r="CP76" s="4504">
        <f t="shared" si="636"/>
        <v>0</v>
      </c>
      <c r="CQ76" s="4504">
        <f t="shared" si="637"/>
        <v>0</v>
      </c>
      <c r="CR76" s="4504">
        <f t="shared" si="638"/>
        <v>0</v>
      </c>
      <c r="CS76" s="4504">
        <f t="shared" si="639"/>
        <v>0</v>
      </c>
      <c r="CT76" s="4504">
        <f t="shared" si="640"/>
        <v>0</v>
      </c>
      <c r="CU76" s="4504">
        <f t="shared" si="641"/>
        <v>0</v>
      </c>
    </row>
    <row r="77" spans="1:99" s="1" customFormat="1">
      <c r="A77" s="3889" t="s">
        <v>1386</v>
      </c>
      <c r="B77" s="2478" t="s">
        <v>1381</v>
      </c>
      <c r="C77" s="4011"/>
      <c r="D77" s="4188"/>
      <c r="E77" s="2510">
        <f>IFERROR('9.Инвестиционна програма'!AG147/E71,0)</f>
        <v>0</v>
      </c>
      <c r="F77" s="2510">
        <f>IFERROR(SUM('9.Инвестиционна програма'!$AG147:AH147)/SUM($E71:F71),0)</f>
        <v>0</v>
      </c>
      <c r="G77" s="2510">
        <f>IFERROR(SUM('9.Инвестиционна програма'!$AG147:AI147)/SUM($E71:G71),0)</f>
        <v>0</v>
      </c>
      <c r="H77" s="2510">
        <f>IFERROR(SUM('9.Инвестиционна програма'!$AG147:AJ147)/SUM($E71:H71),0)</f>
        <v>0</v>
      </c>
      <c r="I77" s="2510">
        <f>IFERROR(SUM('9.Инвестиционна програма'!$AG147:AK147)/SUM($E71:I71),0)</f>
        <v>0</v>
      </c>
      <c r="J77" s="2511">
        <f>IFERROR(SUM('9.Инвестиционна програма'!$AG147:AL147)/SUM($E71:J71),0)</f>
        <v>0</v>
      </c>
      <c r="K77" s="4012"/>
      <c r="L77" s="4194"/>
      <c r="M77" s="2510">
        <f>IFERROR('9.Инвестиционна програма'!AG148/M71,0)</f>
        <v>0</v>
      </c>
      <c r="N77" s="2510">
        <f>IFERROR(SUM('9.Инвестиционна програма'!$AG148:AH148)/SUM($M71:N71),0)</f>
        <v>0</v>
      </c>
      <c r="O77" s="2510">
        <f>IFERROR(SUM('9.Инвестиционна програма'!$AG148:AI148)/SUM($M71:O71),0)</f>
        <v>0</v>
      </c>
      <c r="P77" s="2510">
        <f>IFERROR(SUM('9.Инвестиционна програма'!$AG148:AJ148)/SUM($M71:P71),0)</f>
        <v>0</v>
      </c>
      <c r="Q77" s="2510">
        <f>IFERROR(SUM('9.Инвестиционна програма'!$AG148:AK148)/SUM($M71:Q71),0)</f>
        <v>0</v>
      </c>
      <c r="R77" s="2511">
        <f>IFERROR(SUM('9.Инвестиционна програма'!$AG148:AL148)/SUM($M71:R71),0)</f>
        <v>0</v>
      </c>
      <c r="S77" s="4012"/>
      <c r="T77" s="4194"/>
      <c r="U77" s="2510">
        <f>IFERROR('9.Инвестиционна програма'!AG149/U71,0)</f>
        <v>0</v>
      </c>
      <c r="V77" s="2510">
        <f>IFERROR(SUM('9.Инвестиционна програма'!$AG149:AH149)/SUM($U71:V71),0)</f>
        <v>0</v>
      </c>
      <c r="W77" s="2510">
        <f>IFERROR(SUM('9.Инвестиционна програма'!$AG149:AI149)/SUM($U71:W71),0)</f>
        <v>0</v>
      </c>
      <c r="X77" s="2510">
        <f>IFERROR(SUM('9.Инвестиционна програма'!$AG149:AJ149)/SUM($U71:X71),0)</f>
        <v>0</v>
      </c>
      <c r="Y77" s="2510">
        <f>IFERROR(SUM('9.Инвестиционна програма'!$AG149:AK149)/SUM($U71:Y71),0)</f>
        <v>0</v>
      </c>
      <c r="Z77" s="2511">
        <f>IFERROR(SUM('9.Инвестиционна програма'!$AG149:AL149)/SUM($U71:Z71),0)</f>
        <v>0</v>
      </c>
      <c r="AA77" s="4012"/>
      <c r="AB77" s="4194"/>
      <c r="AC77" s="2510">
        <f>IFERROR('9.Инвестиционна програма'!AG150/AC71,0)</f>
        <v>0</v>
      </c>
      <c r="AD77" s="2510">
        <f>IFERROR(SUM('9.Инвестиционна програма'!$AG150:AH150)/SUM($AC71:AD71),0)</f>
        <v>0</v>
      </c>
      <c r="AE77" s="2510">
        <f>IFERROR(SUM('9.Инвестиционна програма'!$AG150:AI150)/SUM($AC71:AE71),0)</f>
        <v>0</v>
      </c>
      <c r="AF77" s="2510">
        <f>IFERROR(SUM('9.Инвестиционна програма'!$AG150:AJ150)/SUM($AC71:AF71),0)</f>
        <v>0</v>
      </c>
      <c r="AG77" s="2510">
        <f>IFERROR(SUM('9.Инвестиционна програма'!$AG150:AK150)/SUM($AC71:AG71),0)</f>
        <v>0</v>
      </c>
      <c r="AH77" s="2511">
        <f>IFERROR(SUM('9.Инвестиционна програма'!$AG150:AL150)/SUM($AC71:AH71),0)</f>
        <v>0</v>
      </c>
      <c r="AI77" s="4012"/>
      <c r="AJ77" s="4194"/>
      <c r="AK77" s="2510">
        <f>IFERROR('9.Инвестиционна програма'!AG151/AK71,0)</f>
        <v>0</v>
      </c>
      <c r="AL77" s="2510">
        <f>IFERROR(SUM('9.Инвестиционна програма'!$AG151:AH151)/SUM($AK71:AL71),0)</f>
        <v>0</v>
      </c>
      <c r="AM77" s="2510">
        <f>IFERROR(SUM('9.Инвестиционна програма'!$AG151:AI151)/SUM($AK71:AM71),0)</f>
        <v>0</v>
      </c>
      <c r="AN77" s="2510">
        <f>IFERROR(SUM('9.Инвестиционна програма'!$AG151:AJ151)/SUM($AK71:AN71),0)</f>
        <v>0</v>
      </c>
      <c r="AO77" s="2510">
        <f>IFERROR(SUM('9.Инвестиционна програма'!$AG151:AK151)/SUM($AK71:AO71),0)</f>
        <v>0</v>
      </c>
      <c r="AP77" s="2511">
        <f>IFERROR(SUM('9.Инвестиционна програма'!$AG151:AL151)/SUM($AK71:AP71),0)</f>
        <v>0</v>
      </c>
      <c r="AQ77" s="4012"/>
      <c r="AR77" s="4194"/>
      <c r="AS77" s="2506">
        <f>IFERROR((SUM(E71*E77,M71*M77,U71*U77,AC71*AC77,AK71*AK77)/AS71),0)</f>
        <v>0</v>
      </c>
      <c r="AT77" s="2506">
        <f>IFERROR(((SUM($E71:F71)*F77+SUM($M71:N71)*N77+SUM($U71:V71)*V77+SUM($AC71:AD71)*AD77+SUM($AK71:AL71)*AL77)/SUM($AS71:AT71)),0)</f>
        <v>0</v>
      </c>
      <c r="AU77" s="2506">
        <f>IFERROR(((SUM($E71:G71)*G77+SUM($M71:O71)*O77+SUM($U71:W71)*W77+SUM($AC71:AE71)*AE77+SUM($AK71:AM71)*AM77)/SUM($AS71:AU71)),0)</f>
        <v>0</v>
      </c>
      <c r="AV77" s="2506">
        <f>IFERROR(((SUM($E71:H71)*H77+SUM($M71:P71)*P77+SUM($U71:X71)*X77+SUM($AC71:AF71)*AF77+SUM($AK71:AN71)*AN77)/SUM($AS71:AV71)),0)</f>
        <v>0</v>
      </c>
      <c r="AW77" s="2506">
        <f>IFERROR(((SUM($E71:I71)*I77+SUM($M71:Q71)*Q77+SUM($U71:Y71)*Y77+SUM($AC71:AG71)*AG77+SUM($AK71:AO71)*AO77)/SUM($AS71:AW71)),0)</f>
        <v>0</v>
      </c>
      <c r="AX77" s="2507">
        <f>IFERROR(((SUM($E71:J71)*J77+SUM($M71:R71)*R77+SUM($U71:Z71)*Z77+SUM($AC71:AH71)*AH77+SUM($AK71:AP71)*AP77)/SUM($AS71:AX71)),0)</f>
        <v>0</v>
      </c>
      <c r="AY77" s="4488"/>
    </row>
    <row r="78" spans="1:99" s="1" customFormat="1" ht="13.8" thickBot="1">
      <c r="A78" s="3890" t="s">
        <v>1387</v>
      </c>
      <c r="B78" s="2499" t="s">
        <v>1383</v>
      </c>
      <c r="C78" s="4013"/>
      <c r="D78" s="4189"/>
      <c r="E78" s="2508">
        <f>IF(E71&gt;0,1-E77,0)</f>
        <v>0</v>
      </c>
      <c r="F78" s="2508">
        <f>IF(SUM($E71:F71)&gt;0,1-F77,0)</f>
        <v>0</v>
      </c>
      <c r="G78" s="2508">
        <f>IF(SUM($E71:G71)&gt;0,1-G77,0)</f>
        <v>0</v>
      </c>
      <c r="H78" s="2508">
        <f>IF(SUM($E71:H71)&gt;0,1-H77,0)</f>
        <v>0</v>
      </c>
      <c r="I78" s="2508">
        <f>IF(SUM($E71:I71)&gt;0,1-I77,0)</f>
        <v>0</v>
      </c>
      <c r="J78" s="2509">
        <f>IF(SUM($E71:J71)&gt;0,1-J77,0)</f>
        <v>0</v>
      </c>
      <c r="K78" s="4014"/>
      <c r="L78" s="4195"/>
      <c r="M78" s="2508">
        <f>IF(M71&gt;0,1-M77,0)</f>
        <v>0</v>
      </c>
      <c r="N78" s="2508">
        <f>IF(SUM($M71:N71)&gt;0,1-N77,0)</f>
        <v>0</v>
      </c>
      <c r="O78" s="2508">
        <f>IF(SUM($M71:O71)&gt;0,1-O77,0)</f>
        <v>0</v>
      </c>
      <c r="P78" s="2508">
        <f>IF(SUM($M71:P71)&gt;0,1-P77,0)</f>
        <v>0</v>
      </c>
      <c r="Q78" s="2508">
        <f>IF(SUM($M71:Q71)&gt;0,1-Q77,0)</f>
        <v>0</v>
      </c>
      <c r="R78" s="2509">
        <f>IF(SUM($M71:R71)&gt;0,1-R77,0)</f>
        <v>0</v>
      </c>
      <c r="S78" s="4014"/>
      <c r="T78" s="4195"/>
      <c r="U78" s="2508">
        <f>IF(U71&gt;0,1-U77,0)</f>
        <v>0</v>
      </c>
      <c r="V78" s="2508">
        <f>IF(SUM($U71:V71)&gt;0,1-V77,0)</f>
        <v>0</v>
      </c>
      <c r="W78" s="2508">
        <f>IF(SUM($U71:W71)&gt;0,1-W77,0)</f>
        <v>0</v>
      </c>
      <c r="X78" s="2508">
        <f>IF(SUM($U71:X71)&gt;0,1-X77,0)</f>
        <v>0</v>
      </c>
      <c r="Y78" s="2508">
        <f>IF(SUM($U71:Y71)&gt;0,1-Y77,0)</f>
        <v>0</v>
      </c>
      <c r="Z78" s="2509">
        <f>IF(SUM($U71:Z71)&gt;0,1-Z77,0)</f>
        <v>0</v>
      </c>
      <c r="AA78" s="4014"/>
      <c r="AB78" s="4195"/>
      <c r="AC78" s="2508">
        <f>IF(AC71&gt;0,1-AC77,0)</f>
        <v>0</v>
      </c>
      <c r="AD78" s="2508">
        <f>IF(SUM($AC71:AD71)&gt;0,1-AD77,0)</f>
        <v>0</v>
      </c>
      <c r="AE78" s="2508">
        <f>IF(SUM($AC71:AE71)&gt;0,1-AE77,0)</f>
        <v>0</v>
      </c>
      <c r="AF78" s="2508">
        <f>IF(SUM($AC71:AF71)&gt;0,1-AF77,0)</f>
        <v>0</v>
      </c>
      <c r="AG78" s="2508">
        <f>IF(SUM($AC71:AG71)&gt;0,1-AG77,0)</f>
        <v>0</v>
      </c>
      <c r="AH78" s="2509">
        <f>IF(SUM($AC71:AH71)&gt;0,1-AH77,0)</f>
        <v>0</v>
      </c>
      <c r="AI78" s="4014"/>
      <c r="AJ78" s="4195"/>
      <c r="AK78" s="2508">
        <f>IF(AK71&gt;0,1-AK77,0)</f>
        <v>0</v>
      </c>
      <c r="AL78" s="2508">
        <f>IF(SUM($AK71:AL71)&gt;0,1-AL77,0)</f>
        <v>0</v>
      </c>
      <c r="AM78" s="2508">
        <f>IF(SUM($AK71:AM71)&gt;0,1-AM77,0)</f>
        <v>0</v>
      </c>
      <c r="AN78" s="2508">
        <f>IF(SUM($AK71:AN71)&gt;0,1-AN77,0)</f>
        <v>0</v>
      </c>
      <c r="AO78" s="2508">
        <f>IF(SUM($AK71:AO71)&gt;0,1-AO77,0)</f>
        <v>0</v>
      </c>
      <c r="AP78" s="2509">
        <f>IF(SUM($AK71:AP71)&gt;0,1-AP77,0)</f>
        <v>0</v>
      </c>
      <c r="AQ78" s="4014"/>
      <c r="AR78" s="4195"/>
      <c r="AS78" s="2508">
        <f>IF(AS71&gt;0,1-AS77,0)</f>
        <v>0</v>
      </c>
      <c r="AT78" s="2508">
        <f>IF(SUM($AS71:AT71)&gt;0,1-AT77,0)</f>
        <v>0</v>
      </c>
      <c r="AU78" s="2508">
        <f>IF(SUM($AS71:AU71)&gt;0,1-AU77,0)</f>
        <v>0</v>
      </c>
      <c r="AV78" s="2508">
        <f>IF(SUM($AS71:AV71)&gt;0,1-AV77,0)</f>
        <v>0</v>
      </c>
      <c r="AW78" s="2508">
        <f>IF(SUM($AS71:AW71)&gt;0,1-AW77,0)</f>
        <v>0</v>
      </c>
      <c r="AX78" s="2509">
        <f>IF(SUM($AS71:AX71)&gt;0,1-AX77,0)</f>
        <v>0</v>
      </c>
      <c r="AY78" s="4488"/>
    </row>
    <row r="79" spans="1:99">
      <c r="B79" s="2512"/>
      <c r="E79" s="4015"/>
      <c r="F79" s="4015"/>
      <c r="G79" s="4015"/>
      <c r="H79" s="4015"/>
      <c r="I79" s="4015"/>
      <c r="J79" s="4015"/>
      <c r="K79" s="4016"/>
      <c r="L79" s="4016"/>
      <c r="M79" s="4015"/>
      <c r="N79" s="4015"/>
      <c r="O79" s="4015"/>
      <c r="P79" s="4015"/>
      <c r="Q79" s="4015"/>
      <c r="R79" s="4015"/>
      <c r="S79" s="4016"/>
      <c r="T79" s="4016"/>
      <c r="U79" s="4015"/>
      <c r="V79" s="4015"/>
      <c r="W79" s="4015"/>
      <c r="X79" s="4015"/>
      <c r="Y79" s="4015"/>
      <c r="Z79" s="4015"/>
      <c r="AC79" s="3381"/>
      <c r="AD79" s="3381"/>
      <c r="AE79" s="3381"/>
      <c r="AF79" s="3381"/>
      <c r="AG79" s="3381"/>
      <c r="AH79" s="3381"/>
      <c r="AK79" s="3381"/>
      <c r="AL79" s="3381"/>
      <c r="AM79" s="3381"/>
      <c r="AN79" s="3381"/>
      <c r="AO79" s="3381"/>
      <c r="AP79" s="3381"/>
      <c r="AS79" s="3381"/>
      <c r="AT79" s="3381"/>
      <c r="AU79" s="3381"/>
      <c r="AV79" s="3381"/>
      <c r="AW79" s="3381"/>
      <c r="AX79" s="3381"/>
    </row>
    <row r="80" spans="1:99">
      <c r="B80" s="1716"/>
      <c r="C80" s="2513" t="str">
        <f>'Приложение '!B82</f>
        <v>Дата: 16.03.2026</v>
      </c>
      <c r="E80" s="4015"/>
      <c r="F80" s="4015"/>
      <c r="G80" s="4015"/>
      <c r="H80" s="4015"/>
      <c r="I80" s="4015"/>
      <c r="J80" s="4015"/>
      <c r="K80" s="4016"/>
      <c r="L80" s="4016"/>
      <c r="M80" s="4015"/>
      <c r="N80" s="4015"/>
      <c r="O80" s="4015"/>
      <c r="P80" s="4015"/>
      <c r="Q80" s="4015"/>
      <c r="R80" s="4015"/>
      <c r="S80" s="4016"/>
      <c r="T80" s="4016"/>
      <c r="U80" s="4015"/>
      <c r="V80" s="4015"/>
      <c r="W80" s="4015"/>
      <c r="X80" s="4015"/>
      <c r="Y80" s="4015"/>
      <c r="Z80" s="4015"/>
      <c r="AC80" s="3381"/>
      <c r="AD80" s="3381"/>
      <c r="AE80" s="3381"/>
      <c r="AF80" s="3381"/>
      <c r="AG80" s="3381"/>
      <c r="AH80" s="3381"/>
      <c r="AK80" s="3381"/>
      <c r="AL80" s="3381"/>
      <c r="AM80" s="3381"/>
      <c r="AN80" s="3381"/>
      <c r="AO80" s="3381"/>
      <c r="AP80" s="3381"/>
      <c r="AS80" s="3560"/>
      <c r="AT80" s="3560"/>
      <c r="AU80" s="3560"/>
      <c r="AV80" s="3560"/>
      <c r="AW80" s="3560"/>
      <c r="AX80" s="3560"/>
    </row>
    <row r="81" spans="1:50">
      <c r="C81" s="2514"/>
      <c r="D81" s="2514"/>
      <c r="E81" s="4017"/>
      <c r="F81" s="4017"/>
      <c r="G81" s="4017"/>
      <c r="H81" s="4017"/>
      <c r="I81" s="4017"/>
      <c r="J81" s="4017"/>
      <c r="K81" s="4016"/>
      <c r="L81" s="4016"/>
      <c r="M81" s="4017"/>
      <c r="N81" s="4017"/>
      <c r="O81" s="4017"/>
      <c r="P81" s="4017"/>
      <c r="Q81" s="4017"/>
      <c r="R81" s="4017"/>
      <c r="S81" s="4016"/>
      <c r="T81" s="4016"/>
      <c r="U81" s="4017"/>
      <c r="V81" s="4017"/>
      <c r="W81" s="4017"/>
      <c r="X81" s="4017"/>
      <c r="Y81" s="4017"/>
      <c r="Z81" s="4017"/>
      <c r="AM81" s="1717"/>
      <c r="AN81" s="1"/>
      <c r="AO81" s="1"/>
      <c r="AP81" s="1"/>
      <c r="AS81" s="4017"/>
      <c r="AT81" s="4017"/>
      <c r="AU81" s="4017"/>
      <c r="AV81" s="4017"/>
      <c r="AW81" s="4017"/>
      <c r="AX81" s="4017"/>
    </row>
    <row r="82" spans="1:50" ht="13.8">
      <c r="B82" s="667"/>
      <c r="C82" s="4408" t="s">
        <v>187</v>
      </c>
      <c r="F82" s="667"/>
      <c r="G82" s="667"/>
      <c r="H82" s="667"/>
      <c r="I82" s="667"/>
      <c r="J82" s="667"/>
      <c r="K82" s="667"/>
      <c r="L82" s="667"/>
      <c r="M82" s="667"/>
      <c r="AM82" s="2515"/>
      <c r="AO82" s="2516"/>
      <c r="AP82" s="1"/>
    </row>
    <row r="83" spans="1:50">
      <c r="B83" s="3730"/>
      <c r="C83" s="1782" t="s">
        <v>188</v>
      </c>
      <c r="F83" s="3730"/>
      <c r="G83" s="3730"/>
      <c r="H83" s="3730"/>
      <c r="I83" s="3730"/>
      <c r="J83" s="3730"/>
      <c r="K83" s="3730"/>
      <c r="L83" s="3730"/>
      <c r="M83" s="3730"/>
      <c r="AM83" s="2515"/>
      <c r="AO83" s="2516"/>
      <c r="AP83" s="1"/>
    </row>
    <row r="84" spans="1:50" ht="12.75" customHeight="1">
      <c r="B84" s="3743"/>
      <c r="C84" s="1782" t="s">
        <v>1862</v>
      </c>
      <c r="F84" s="1782"/>
      <c r="G84" s="1782"/>
      <c r="H84" s="1782"/>
      <c r="I84" s="1782"/>
      <c r="J84" s="1782"/>
      <c r="K84" s="1782"/>
      <c r="L84" s="1782"/>
      <c r="M84" s="1782"/>
      <c r="AM84" s="1717"/>
      <c r="AN84" s="1"/>
      <c r="AO84" s="1"/>
      <c r="AP84" s="1"/>
    </row>
    <row r="85" spans="1:50" ht="12.75" customHeight="1">
      <c r="B85" s="3743"/>
      <c r="C85" s="1782" t="s">
        <v>1863</v>
      </c>
      <c r="F85" s="1782"/>
      <c r="G85" s="1782"/>
      <c r="H85" s="1782"/>
      <c r="I85" s="1782"/>
      <c r="J85" s="1782"/>
      <c r="K85" s="1782"/>
      <c r="L85" s="1782"/>
      <c r="M85" s="1782"/>
      <c r="AM85" s="2517"/>
      <c r="AO85" s="2516"/>
    </row>
    <row r="86" spans="1:50" ht="27" customHeight="1">
      <c r="B86" s="3743"/>
      <c r="C86" s="5337" t="s">
        <v>1864</v>
      </c>
      <c r="D86" s="5337"/>
      <c r="E86" s="5337"/>
      <c r="F86" s="5337"/>
      <c r="G86" s="5337"/>
      <c r="H86" s="5337"/>
      <c r="I86" s="5337"/>
      <c r="J86" s="5337"/>
      <c r="K86" s="5337"/>
      <c r="L86" s="5337"/>
      <c r="M86" s="5337"/>
      <c r="N86" s="5337"/>
      <c r="O86" s="5337"/>
      <c r="P86" s="5337"/>
      <c r="Q86" s="5337"/>
      <c r="R86" s="5337"/>
      <c r="S86" s="5337"/>
      <c r="T86" s="5337"/>
      <c r="U86" s="5337"/>
      <c r="V86" s="1782"/>
      <c r="W86" s="1782"/>
      <c r="X86" s="1782"/>
      <c r="Y86" s="1782"/>
      <c r="Z86" s="1782"/>
    </row>
    <row r="87" spans="1:50">
      <c r="B87" s="3743"/>
      <c r="C87" s="1782" t="s">
        <v>1865</v>
      </c>
      <c r="D87" s="4371"/>
      <c r="E87" s="4371"/>
      <c r="F87" s="4371"/>
      <c r="G87" s="4371"/>
      <c r="H87" s="4371"/>
      <c r="I87" s="4371"/>
      <c r="J87" s="4371"/>
      <c r="K87" s="4371"/>
      <c r="L87" s="4371"/>
      <c r="M87" s="4371"/>
      <c r="N87" s="4371"/>
      <c r="O87" s="4371"/>
      <c r="P87" s="4371"/>
      <c r="Q87" s="4371"/>
      <c r="R87" s="4371"/>
      <c r="S87" s="4371"/>
      <c r="T87" s="4371"/>
      <c r="U87" s="4371"/>
      <c r="V87" s="4371"/>
      <c r="W87" s="4371"/>
      <c r="X87" s="4371"/>
      <c r="Y87" s="4371"/>
      <c r="Z87" s="4371"/>
    </row>
    <row r="88" spans="1:50" s="4016" customFormat="1">
      <c r="A88" s="4450"/>
      <c r="E88" s="4451"/>
      <c r="F88" s="4451"/>
      <c r="G88" s="4451"/>
      <c r="H88" s="4451"/>
      <c r="I88" s="4451"/>
      <c r="J88" s="4451"/>
      <c r="M88" s="4451"/>
      <c r="N88" s="4451"/>
      <c r="O88" s="4451"/>
      <c r="P88" s="4451"/>
      <c r="Q88" s="4451"/>
      <c r="R88" s="4451"/>
      <c r="U88" s="4451"/>
      <c r="V88" s="4451"/>
      <c r="W88" s="4451"/>
      <c r="X88" s="4451"/>
      <c r="Y88" s="4451"/>
      <c r="Z88" s="4451"/>
      <c r="AC88" s="4451"/>
      <c r="AD88" s="4451"/>
      <c r="AE88" s="4451"/>
      <c r="AF88" s="4451"/>
      <c r="AG88" s="4451"/>
      <c r="AH88" s="4451"/>
      <c r="AK88" s="4451"/>
      <c r="AL88" s="4451"/>
      <c r="AM88" s="4451"/>
      <c r="AN88" s="4451"/>
      <c r="AO88" s="4451"/>
      <c r="AP88" s="4451"/>
      <c r="AS88" s="4451"/>
      <c r="AT88" s="4451"/>
      <c r="AU88" s="4451"/>
      <c r="AV88" s="4451"/>
      <c r="AW88" s="4451"/>
      <c r="AX88" s="4451"/>
    </row>
    <row r="89" spans="1:50" ht="12.75" customHeight="1">
      <c r="A89" s="655"/>
      <c r="N89" s="3743"/>
      <c r="O89" s="3743"/>
      <c r="P89" s="3743"/>
      <c r="Q89" s="3743"/>
      <c r="R89" s="3743"/>
      <c r="S89" s="3743"/>
      <c r="T89" s="3743"/>
      <c r="U89" s="3743"/>
      <c r="V89" s="3743"/>
      <c r="W89" s="3743"/>
      <c r="X89" s="3743"/>
      <c r="Y89" s="3743"/>
    </row>
    <row r="90" spans="1:50">
      <c r="A90" s="655"/>
      <c r="N90" s="3743"/>
      <c r="O90" s="3743"/>
      <c r="P90" s="3743"/>
      <c r="Q90" s="3743"/>
      <c r="R90" s="3743"/>
      <c r="S90" s="3743"/>
      <c r="T90" s="3743"/>
      <c r="U90" s="3743"/>
      <c r="V90" s="3743"/>
      <c r="W90" s="3743"/>
      <c r="X90" s="3743"/>
      <c r="Y90" s="3743"/>
    </row>
    <row r="91" spans="1:50">
      <c r="A91" s="655"/>
      <c r="N91" s="3743"/>
      <c r="O91" s="3743"/>
      <c r="P91" s="3743"/>
      <c r="Q91" s="3743"/>
      <c r="R91" s="3743"/>
      <c r="S91" s="3743"/>
      <c r="T91" s="3743"/>
      <c r="U91" s="3743"/>
      <c r="V91" s="3743"/>
      <c r="W91" s="3743"/>
      <c r="X91" s="3743"/>
      <c r="Y91" s="3743"/>
    </row>
    <row r="92" spans="1:50">
      <c r="A92" s="667"/>
      <c r="N92" s="3743"/>
      <c r="O92" s="3743"/>
      <c r="P92" s="3743"/>
      <c r="Q92" s="3743"/>
      <c r="R92" s="3743"/>
      <c r="S92" s="3743"/>
      <c r="T92" s="3743"/>
      <c r="U92" s="3743"/>
      <c r="V92" s="3743"/>
      <c r="W92" s="3743"/>
      <c r="X92" s="3743"/>
      <c r="Y92" s="3743"/>
    </row>
  </sheetData>
  <sheetProtection algorithmName="SHA-512" hashValue="SJe6/EWcr/wKraIyA87yTS0vAnT/ac08OS7xYyEDS5BUjKTzxqkz/4qF5WmgljkTwpYzMyys9ZGoM0IQMlhzbA==" saltValue="h5weoVzudlWHLSdnD5K5LQ==" spinCount="100000" sheet="1" formatCells="0" formatColumns="0" formatRows="0"/>
  <mergeCells count="53">
    <mergeCell ref="C86:U86"/>
    <mergeCell ref="C57:J57"/>
    <mergeCell ref="C68:J68"/>
    <mergeCell ref="S46:Z46"/>
    <mergeCell ref="S57:Z57"/>
    <mergeCell ref="S68:Z68"/>
    <mergeCell ref="K46:R46"/>
    <mergeCell ref="K57:R57"/>
    <mergeCell ref="K68:R68"/>
    <mergeCell ref="A57:A58"/>
    <mergeCell ref="B57:B58"/>
    <mergeCell ref="A46:A47"/>
    <mergeCell ref="B46:B47"/>
    <mergeCell ref="A68:A69"/>
    <mergeCell ref="B68:B69"/>
    <mergeCell ref="AA35:AH35"/>
    <mergeCell ref="AQ7:AX7"/>
    <mergeCell ref="AQ35:AX35"/>
    <mergeCell ref="A7:A8"/>
    <mergeCell ref="A35:A36"/>
    <mergeCell ref="B7:B8"/>
    <mergeCell ref="B35:B36"/>
    <mergeCell ref="C7:J7"/>
    <mergeCell ref="C35:J35"/>
    <mergeCell ref="K7:R7"/>
    <mergeCell ref="S7:Z7"/>
    <mergeCell ref="K35:R35"/>
    <mergeCell ref="S35:Z35"/>
    <mergeCell ref="AQ46:AX46"/>
    <mergeCell ref="AQ57:AX57"/>
    <mergeCell ref="AQ68:AX68"/>
    <mergeCell ref="C2:R2"/>
    <mergeCell ref="C3:R3"/>
    <mergeCell ref="C4:R4"/>
    <mergeCell ref="C5:R5"/>
    <mergeCell ref="C46:J46"/>
    <mergeCell ref="AA46:AH46"/>
    <mergeCell ref="AA57:AH57"/>
    <mergeCell ref="AA68:AH68"/>
    <mergeCell ref="AI7:AP7"/>
    <mergeCell ref="AI35:AP35"/>
    <mergeCell ref="AI46:AP46"/>
    <mergeCell ref="AI57:AP57"/>
    <mergeCell ref="AI68:AP68"/>
    <mergeCell ref="BX7:CE7"/>
    <mergeCell ref="CF7:CM7"/>
    <mergeCell ref="CN7:CU7"/>
    <mergeCell ref="A1:B1"/>
    <mergeCell ref="C1:D1"/>
    <mergeCell ref="AZ7:BG7"/>
    <mergeCell ref="BH7:BO7"/>
    <mergeCell ref="BP7:BW7"/>
    <mergeCell ref="AA7:AH7"/>
  </mergeCells>
  <conditionalFormatting sqref="F29:J29 N29:R29 V29:Z29">
    <cfRule type="cellIs" dxfId="81" priority="30" operator="lessThan">
      <formula>0</formula>
    </cfRule>
  </conditionalFormatting>
  <conditionalFormatting sqref="F32:J32 N32:R32 V32:Z32">
    <cfRule type="cellIs" dxfId="80" priority="29" operator="greaterThan">
      <formula>1</formula>
    </cfRule>
  </conditionalFormatting>
  <conditionalFormatting sqref="F33:J33 N33:R33 V33:Z33">
    <cfRule type="cellIs" dxfId="79" priority="28" operator="greaterThan">
      <formula>0</formula>
    </cfRule>
  </conditionalFormatting>
  <conditionalFormatting sqref="AD29:AH29">
    <cfRule type="cellIs" dxfId="78" priority="27" operator="lessThan">
      <formula>0</formula>
    </cfRule>
  </conditionalFormatting>
  <conditionalFormatting sqref="AD32:AH32">
    <cfRule type="cellIs" dxfId="77" priority="26" operator="greaterThan">
      <formula>1</formula>
    </cfRule>
  </conditionalFormatting>
  <conditionalFormatting sqref="AD33:AH33">
    <cfRule type="cellIs" dxfId="76" priority="25" operator="greaterThan">
      <formula>0</formula>
    </cfRule>
  </conditionalFormatting>
  <conditionalFormatting sqref="AL29:AP29">
    <cfRule type="cellIs" dxfId="75" priority="24" operator="lessThan">
      <formula>0</formula>
    </cfRule>
  </conditionalFormatting>
  <conditionalFormatting sqref="AL32:AP32">
    <cfRule type="cellIs" dxfId="74" priority="23" operator="greaterThan">
      <formula>1</formula>
    </cfRule>
  </conditionalFormatting>
  <conditionalFormatting sqref="AL33:AP33">
    <cfRule type="cellIs" dxfId="73" priority="22" operator="greaterThan">
      <formula>0</formula>
    </cfRule>
  </conditionalFormatting>
  <conditionalFormatting sqref="AT29:AX29">
    <cfRule type="cellIs" dxfId="72" priority="21" operator="lessThan">
      <formula>0</formula>
    </cfRule>
  </conditionalFormatting>
  <conditionalFormatting sqref="AT32:AX32">
    <cfRule type="cellIs" dxfId="71" priority="20" operator="greaterThan">
      <formula>1</formula>
    </cfRule>
  </conditionalFormatting>
  <conditionalFormatting sqref="AT33:AX33">
    <cfRule type="cellIs" dxfId="70" priority="19" operator="greaterThan">
      <formula>0</formula>
    </cfRule>
  </conditionalFormatting>
  <printOptions horizontalCentered="1"/>
  <pageMargins left="0" right="0" top="0.39370078740157483" bottom="0.27559055118110237" header="0.19685039370078741" footer="0.19685039370078741"/>
  <pageSetup paperSize="9" scale="69" pageOrder="overThenDown" orientation="landscape" r:id="rId1"/>
  <headerFooter alignWithMargins="0">
    <oddFooter>&amp;C&amp;A&amp;RСтр. &amp;P от &amp;N</oddFooter>
  </headerFooter>
  <rowBreaks count="2" manualBreakCount="2">
    <brk id="45" max="49" man="1"/>
    <brk id="87" max="43" man="1"/>
  </rowBreaks>
  <colBreaks count="1" manualBreakCount="1">
    <brk id="26" max="86" man="1"/>
  </colBreak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BCF6C6"/>
  </sheetPr>
  <dimension ref="A1:BY301"/>
  <sheetViews>
    <sheetView showGridLines="0" zoomScale="120" zoomScaleNormal="120" zoomScaleSheetLayoutView="136" workbookViewId="0">
      <pane xSplit="4" ySplit="8" topLeftCell="AR9" activePane="bottomRight" state="frozen"/>
      <selection pane="topRight" activeCell="E1" sqref="E1"/>
      <selection pane="bottomLeft" activeCell="A9" sqref="A9"/>
      <selection pane="bottomRight" activeCell="D13" sqref="D13"/>
    </sheetView>
  </sheetViews>
  <sheetFormatPr defaultColWidth="9.109375" defaultRowHeight="13.2"/>
  <cols>
    <col min="1" max="1" width="3.33203125" style="180" customWidth="1"/>
    <col min="2" max="2" width="8.44140625" style="181" customWidth="1"/>
    <col min="3" max="3" width="6.33203125" style="181" customWidth="1"/>
    <col min="4" max="4" width="33.109375" style="181" customWidth="1"/>
    <col min="5" max="5" width="7.33203125" style="180" customWidth="1"/>
    <col min="6" max="11" width="7.33203125" style="181" customWidth="1"/>
    <col min="12" max="12" width="7.33203125" style="180" customWidth="1"/>
    <col min="13" max="18" width="7.33203125" style="181" customWidth="1"/>
    <col min="19" max="19" width="7.33203125" style="180" customWidth="1"/>
    <col min="20" max="25" width="7.33203125" style="181" customWidth="1"/>
    <col min="26" max="26" width="7.33203125" style="180" customWidth="1"/>
    <col min="27" max="32" width="7.33203125" style="181" customWidth="1"/>
    <col min="33" max="33" width="7.33203125" style="180" customWidth="1"/>
    <col min="34" max="39" width="7.33203125" style="181" customWidth="1"/>
    <col min="40" max="40" width="1.44140625" style="1322" customWidth="1"/>
    <col min="41" max="41" width="8.33203125" style="181" customWidth="1"/>
    <col min="42" max="42" width="2.5546875" style="181" customWidth="1"/>
    <col min="43" max="16384" width="9.109375" style="1322"/>
  </cols>
  <sheetData>
    <row r="1" spans="1:77" ht="26.4" customHeight="1" thickBot="1">
      <c r="A1" s="5285" t="str">
        <f>+'1. Обща информация'!B40</f>
        <v>Фиксиран курс на лева към 1 евро</v>
      </c>
      <c r="B1" s="5286"/>
      <c r="C1" s="5287"/>
      <c r="D1" s="4508">
        <f>+'1. Обща информация'!$C$40</f>
        <v>1.95583</v>
      </c>
      <c r="F1" s="2518"/>
      <c r="Y1" s="3739" t="s">
        <v>189</v>
      </c>
      <c r="AF1" s="3739"/>
      <c r="AM1" s="3739"/>
      <c r="AO1" s="1323"/>
      <c r="AP1" s="1323"/>
    </row>
    <row r="2" spans="1:77" ht="18">
      <c r="A2" s="5339" t="s">
        <v>1404</v>
      </c>
      <c r="B2" s="5339"/>
      <c r="C2" s="5339"/>
      <c r="D2" s="5339"/>
      <c r="E2" s="5339"/>
      <c r="F2" s="5339"/>
      <c r="G2" s="5339"/>
      <c r="H2" s="5339"/>
      <c r="I2" s="5339"/>
      <c r="J2" s="5339"/>
      <c r="K2" s="5339"/>
      <c r="L2" s="5339"/>
      <c r="M2" s="5339"/>
      <c r="N2" s="5339"/>
      <c r="O2" s="5339"/>
      <c r="P2" s="5339"/>
      <c r="Q2" s="5339"/>
      <c r="R2" s="5339"/>
      <c r="S2" s="5339"/>
      <c r="T2" s="5339"/>
      <c r="U2" s="5339"/>
      <c r="V2" s="5339"/>
      <c r="W2" s="5339"/>
      <c r="X2" s="5339"/>
      <c r="Y2" s="5339"/>
      <c r="Z2" s="3745"/>
      <c r="AA2" s="3745"/>
      <c r="AB2" s="3745"/>
      <c r="AC2" s="3745"/>
      <c r="AD2" s="3745"/>
      <c r="AE2" s="3745"/>
      <c r="AF2" s="3745"/>
      <c r="AG2" s="3745"/>
      <c r="AH2" s="3745"/>
      <c r="AI2" s="3745"/>
      <c r="AJ2" s="3745"/>
      <c r="AK2" s="3745"/>
      <c r="AL2" s="3745"/>
      <c r="AM2" s="3745"/>
      <c r="AN2" s="2519"/>
      <c r="AO2" s="1323"/>
      <c r="AP2" s="1323"/>
    </row>
    <row r="3" spans="1:77" ht="18">
      <c r="A3" s="5339" t="s">
        <v>1405</v>
      </c>
      <c r="B3" s="5339"/>
      <c r="C3" s="5339"/>
      <c r="D3" s="5339"/>
      <c r="E3" s="5339"/>
      <c r="F3" s="5339"/>
      <c r="G3" s="5339"/>
      <c r="H3" s="5339"/>
      <c r="I3" s="5339"/>
      <c r="J3" s="5339"/>
      <c r="K3" s="5339"/>
      <c r="L3" s="5339"/>
      <c r="M3" s="5339"/>
      <c r="N3" s="5339"/>
      <c r="O3" s="5339"/>
      <c r="P3" s="5339"/>
      <c r="Q3" s="5339"/>
      <c r="R3" s="5339"/>
      <c r="S3" s="5339"/>
      <c r="T3" s="5339"/>
      <c r="U3" s="5339"/>
      <c r="V3" s="5339"/>
      <c r="W3" s="5339"/>
      <c r="X3" s="5339"/>
      <c r="Y3" s="5339"/>
      <c r="Z3" s="3745"/>
      <c r="AA3" s="3745"/>
      <c r="AB3" s="3745"/>
      <c r="AC3" s="3745"/>
      <c r="AD3" s="3745"/>
      <c r="AE3" s="3745"/>
      <c r="AF3" s="3745"/>
      <c r="AG3" s="3745"/>
      <c r="AH3" s="3745"/>
      <c r="AI3" s="3745"/>
      <c r="AJ3" s="3745"/>
      <c r="AK3" s="3745"/>
      <c r="AL3" s="3745"/>
      <c r="AM3" s="3745"/>
      <c r="AN3" s="2519"/>
      <c r="AO3" s="1323"/>
      <c r="AP3" s="1323"/>
    </row>
    <row r="4" spans="1:77" ht="15.6">
      <c r="A4" s="5348" t="str">
        <f>'1. Обща информация'!A4:D4</f>
        <v>на "В И К" АД, гр. Ловеч</v>
      </c>
      <c r="B4" s="5348"/>
      <c r="C4" s="5348"/>
      <c r="D4" s="5348"/>
      <c r="E4" s="5348"/>
      <c r="F4" s="5348"/>
      <c r="G4" s="5348"/>
      <c r="H4" s="5348"/>
      <c r="I4" s="5348"/>
      <c r="J4" s="5348"/>
      <c r="K4" s="5348"/>
      <c r="L4" s="5348"/>
      <c r="M4" s="5348"/>
      <c r="N4" s="5348"/>
      <c r="O4" s="5348"/>
      <c r="P4" s="5348"/>
      <c r="Q4" s="5348"/>
      <c r="R4" s="5348"/>
      <c r="S4" s="5348"/>
      <c r="T4" s="5348"/>
      <c r="U4" s="5348"/>
      <c r="V4" s="5348"/>
      <c r="W4" s="5348"/>
      <c r="X4" s="5348"/>
      <c r="Y4" s="5348"/>
      <c r="Z4" s="3744"/>
      <c r="AA4" s="3744"/>
      <c r="AB4" s="3744"/>
      <c r="AC4" s="3744"/>
      <c r="AD4" s="3744"/>
      <c r="AE4" s="3744"/>
      <c r="AF4" s="3744"/>
      <c r="AG4" s="3744"/>
      <c r="AH4" s="3744"/>
      <c r="AI4" s="3744"/>
      <c r="AJ4" s="3744"/>
      <c r="AK4" s="3744"/>
      <c r="AL4" s="3744"/>
      <c r="AM4" s="3744"/>
      <c r="AN4" s="179"/>
      <c r="AO4" s="2520"/>
      <c r="AP4" s="179"/>
      <c r="AQ4" s="179"/>
      <c r="AR4" s="179"/>
      <c r="AS4" s="179"/>
    </row>
    <row r="5" spans="1:77" ht="15.6">
      <c r="A5" s="5348" t="str">
        <f>'1. Обща информация'!A5:D5</f>
        <v>ЕИК по БУЛСТАТ: 110549443</v>
      </c>
      <c r="B5" s="5348"/>
      <c r="C5" s="5348"/>
      <c r="D5" s="5348"/>
      <c r="E5" s="5348"/>
      <c r="F5" s="5348"/>
      <c r="G5" s="5348"/>
      <c r="H5" s="5348"/>
      <c r="I5" s="5348"/>
      <c r="J5" s="5348"/>
      <c r="K5" s="5348"/>
      <c r="L5" s="5348"/>
      <c r="M5" s="5348"/>
      <c r="N5" s="5348"/>
      <c r="O5" s="5348"/>
      <c r="P5" s="5348"/>
      <c r="Q5" s="5348"/>
      <c r="R5" s="5348"/>
      <c r="S5" s="5348"/>
      <c r="T5" s="5348"/>
      <c r="U5" s="5348"/>
      <c r="V5" s="5348"/>
      <c r="W5" s="5348"/>
      <c r="X5" s="5348"/>
      <c r="Y5" s="5348"/>
      <c r="Z5" s="3744"/>
      <c r="AA5" s="3744"/>
      <c r="AB5" s="3744"/>
      <c r="AC5" s="3744"/>
      <c r="AD5" s="3744"/>
      <c r="AE5" s="3744"/>
      <c r="AF5" s="3744"/>
      <c r="AG5" s="3744"/>
      <c r="AH5" s="3744"/>
      <c r="AI5" s="3744"/>
      <c r="AJ5" s="3744"/>
      <c r="AK5" s="3744"/>
      <c r="AL5" s="3744"/>
      <c r="AM5" s="3744"/>
      <c r="AN5" s="179"/>
      <c r="AO5" s="2520"/>
      <c r="AP5" s="179"/>
      <c r="AQ5" s="179"/>
      <c r="AR5" s="179"/>
      <c r="AS5" s="179"/>
    </row>
    <row r="6" spans="1:77" ht="16.2" thickBot="1">
      <c r="A6" s="3744"/>
      <c r="B6" s="3744"/>
      <c r="C6" s="3744"/>
      <c r="D6" s="3744"/>
      <c r="E6" s="3744"/>
      <c r="F6" s="3744"/>
      <c r="G6" s="3744"/>
      <c r="H6" s="3744"/>
      <c r="I6" s="3744"/>
      <c r="J6" s="3744"/>
      <c r="K6" s="3744"/>
      <c r="L6" s="3744"/>
      <c r="M6" s="3744"/>
      <c r="N6" s="3744"/>
      <c r="O6" s="3744"/>
      <c r="P6" s="3744"/>
      <c r="Q6" s="3744"/>
      <c r="R6" s="3744"/>
      <c r="S6" s="3744"/>
      <c r="T6" s="3744"/>
      <c r="U6" s="3744"/>
      <c r="V6" s="3744"/>
      <c r="W6" s="3744"/>
      <c r="X6" s="3744"/>
      <c r="Y6" s="3744"/>
      <c r="Z6" s="3744"/>
      <c r="AA6" s="3744"/>
      <c r="AB6" s="3744"/>
      <c r="AC6" s="3744"/>
      <c r="AD6" s="3744"/>
      <c r="AE6" s="3744"/>
      <c r="AF6" s="3744"/>
      <c r="AG6" s="3744"/>
      <c r="AH6" s="3744"/>
      <c r="AI6" s="3744"/>
      <c r="AJ6" s="3744"/>
      <c r="AK6" s="3744"/>
      <c r="AL6" s="3744"/>
      <c r="AM6" s="660" t="s">
        <v>190</v>
      </c>
      <c r="AN6" s="179"/>
      <c r="AO6" s="2520"/>
      <c r="AP6" s="179"/>
      <c r="AQ6" s="179"/>
      <c r="AR6" s="179"/>
      <c r="AS6" s="179"/>
      <c r="BY6" s="660" t="s">
        <v>1889</v>
      </c>
    </row>
    <row r="7" spans="1:77" ht="13.95" customHeight="1" thickBot="1">
      <c r="A7" s="5340" t="s">
        <v>1</v>
      </c>
      <c r="B7" s="5344" t="s">
        <v>1044</v>
      </c>
      <c r="C7" s="5344" t="s">
        <v>1043</v>
      </c>
      <c r="D7" s="5340" t="s">
        <v>87</v>
      </c>
      <c r="E7" s="5340" t="s">
        <v>210</v>
      </c>
      <c r="F7" s="5342"/>
      <c r="G7" s="5342"/>
      <c r="H7" s="5342"/>
      <c r="I7" s="5342"/>
      <c r="J7" s="5342"/>
      <c r="K7" s="5343"/>
      <c r="L7" s="5340" t="s">
        <v>174</v>
      </c>
      <c r="M7" s="5342"/>
      <c r="N7" s="5342"/>
      <c r="O7" s="5342"/>
      <c r="P7" s="5342"/>
      <c r="Q7" s="5342"/>
      <c r="R7" s="5343"/>
      <c r="S7" s="5340" t="s">
        <v>184</v>
      </c>
      <c r="T7" s="5342"/>
      <c r="U7" s="5342"/>
      <c r="V7" s="5342"/>
      <c r="W7" s="5342"/>
      <c r="X7" s="5342"/>
      <c r="Y7" s="5343"/>
      <c r="Z7" s="5340" t="s">
        <v>1029</v>
      </c>
      <c r="AA7" s="5342"/>
      <c r="AB7" s="5342"/>
      <c r="AC7" s="5342"/>
      <c r="AD7" s="5342"/>
      <c r="AE7" s="5342"/>
      <c r="AF7" s="5343"/>
      <c r="AG7" s="5340" t="s">
        <v>1092</v>
      </c>
      <c r="AH7" s="5342"/>
      <c r="AI7" s="5342"/>
      <c r="AJ7" s="5342"/>
      <c r="AK7" s="5342"/>
      <c r="AL7" s="5342"/>
      <c r="AM7" s="5343"/>
      <c r="AN7" s="2521"/>
      <c r="AO7" s="5346" t="s">
        <v>680</v>
      </c>
      <c r="AP7" s="4488"/>
      <c r="AQ7" s="5338" t="s">
        <v>210</v>
      </c>
      <c r="AR7" s="5338"/>
      <c r="AS7" s="5338"/>
      <c r="AT7" s="5338"/>
      <c r="AU7" s="5338"/>
      <c r="AV7" s="5338"/>
      <c r="AW7" s="5338"/>
      <c r="AX7" s="5338" t="s">
        <v>174</v>
      </c>
      <c r="AY7" s="5338"/>
      <c r="AZ7" s="5338"/>
      <c r="BA7" s="5338"/>
      <c r="BB7" s="5338"/>
      <c r="BC7" s="5338"/>
      <c r="BD7" s="5338"/>
      <c r="BE7" s="5338" t="s">
        <v>184</v>
      </c>
      <c r="BF7" s="5338"/>
      <c r="BG7" s="5338"/>
      <c r="BH7" s="5338"/>
      <c r="BI7" s="5338"/>
      <c r="BJ7" s="5338"/>
      <c r="BK7" s="5338"/>
      <c r="BL7" s="5338" t="s">
        <v>1029</v>
      </c>
      <c r="BM7" s="5338"/>
      <c r="BN7" s="5338"/>
      <c r="BO7" s="5338"/>
      <c r="BP7" s="5338"/>
      <c r="BQ7" s="5338"/>
      <c r="BR7" s="5338"/>
      <c r="BS7" s="5338" t="s">
        <v>1092</v>
      </c>
      <c r="BT7" s="5338"/>
      <c r="BU7" s="5338"/>
      <c r="BV7" s="5338"/>
      <c r="BW7" s="5338"/>
      <c r="BX7" s="5338"/>
      <c r="BY7" s="5338"/>
    </row>
    <row r="8" spans="1:77" ht="32.25" customHeight="1" thickBot="1">
      <c r="A8" s="5341"/>
      <c r="B8" s="5345"/>
      <c r="C8" s="5345"/>
      <c r="D8" s="5341"/>
      <c r="E8" s="2522" t="str">
        <f>(LEFT('11. Амортиз. план'!F8,4)-1)&amp;" г."</f>
        <v>2025 г.</v>
      </c>
      <c r="F8" s="2523" t="str">
        <f>'Приложение '!C13</f>
        <v>2026 г.</v>
      </c>
      <c r="G8" s="2524" t="str">
        <f>'Приложение '!C14</f>
        <v>2027 г.</v>
      </c>
      <c r="H8" s="2524" t="str">
        <f>'Приложение '!C15</f>
        <v>2028 г.</v>
      </c>
      <c r="I8" s="2524" t="str">
        <f>'Приложение '!C16</f>
        <v>2029 г.</v>
      </c>
      <c r="J8" s="2524" t="str">
        <f>'Приложение '!C17</f>
        <v>2030 г.</v>
      </c>
      <c r="K8" s="2525" t="str">
        <f>'Приложение '!C18</f>
        <v>2031 г.</v>
      </c>
      <c r="L8" s="2522" t="str">
        <f>E8</f>
        <v>2025 г.</v>
      </c>
      <c r="M8" s="2523" t="str">
        <f>F8</f>
        <v>2026 г.</v>
      </c>
      <c r="N8" s="2524" t="str">
        <f>G8</f>
        <v>2027 г.</v>
      </c>
      <c r="O8" s="2524" t="str">
        <f>H8</f>
        <v>2028 г.</v>
      </c>
      <c r="P8" s="2526" t="str">
        <f>I8</f>
        <v>2029 г.</v>
      </c>
      <c r="Q8" s="2524" t="str">
        <f t="shared" ref="Q8:AM8" si="0">J8</f>
        <v>2030 г.</v>
      </c>
      <c r="R8" s="2525" t="str">
        <f t="shared" si="0"/>
        <v>2031 г.</v>
      </c>
      <c r="S8" s="2527" t="str">
        <f t="shared" si="0"/>
        <v>2025 г.</v>
      </c>
      <c r="T8" s="2526" t="str">
        <f t="shared" si="0"/>
        <v>2026 г.</v>
      </c>
      <c r="U8" s="2524" t="str">
        <f t="shared" si="0"/>
        <v>2027 г.</v>
      </c>
      <c r="V8" s="2524" t="str">
        <f t="shared" si="0"/>
        <v>2028 г.</v>
      </c>
      <c r="W8" s="2526" t="str">
        <f t="shared" si="0"/>
        <v>2029 г.</v>
      </c>
      <c r="X8" s="2524" t="str">
        <f t="shared" si="0"/>
        <v>2030 г.</v>
      </c>
      <c r="Y8" s="2525" t="str">
        <f t="shared" si="0"/>
        <v>2031 г.</v>
      </c>
      <c r="Z8" s="2527" t="str">
        <f t="shared" si="0"/>
        <v>2025 г.</v>
      </c>
      <c r="AA8" s="2526" t="str">
        <f t="shared" si="0"/>
        <v>2026 г.</v>
      </c>
      <c r="AB8" s="2524" t="str">
        <f t="shared" si="0"/>
        <v>2027 г.</v>
      </c>
      <c r="AC8" s="2524" t="str">
        <f t="shared" si="0"/>
        <v>2028 г.</v>
      </c>
      <c r="AD8" s="2526" t="str">
        <f t="shared" si="0"/>
        <v>2029 г.</v>
      </c>
      <c r="AE8" s="2524" t="str">
        <f t="shared" si="0"/>
        <v>2030 г.</v>
      </c>
      <c r="AF8" s="2525" t="str">
        <f t="shared" si="0"/>
        <v>2031 г.</v>
      </c>
      <c r="AG8" s="2527" t="str">
        <f t="shared" si="0"/>
        <v>2025 г.</v>
      </c>
      <c r="AH8" s="2526" t="str">
        <f t="shared" si="0"/>
        <v>2026 г.</v>
      </c>
      <c r="AI8" s="2524" t="str">
        <f t="shared" si="0"/>
        <v>2027 г.</v>
      </c>
      <c r="AJ8" s="2524" t="str">
        <f t="shared" si="0"/>
        <v>2028 г.</v>
      </c>
      <c r="AK8" s="2526" t="str">
        <f t="shared" si="0"/>
        <v>2029 г.</v>
      </c>
      <c r="AL8" s="2524" t="str">
        <f t="shared" si="0"/>
        <v>2030 г.</v>
      </c>
      <c r="AM8" s="2525" t="str">
        <f t="shared" si="0"/>
        <v>2031 г.</v>
      </c>
      <c r="AN8" s="2521"/>
      <c r="AO8" s="5347"/>
      <c r="AP8" s="4488"/>
      <c r="AQ8" s="4509" t="str">
        <f>+E8</f>
        <v>2025 г.</v>
      </c>
      <c r="AR8" s="4509" t="str">
        <f t="shared" ref="AR8:AW8" si="1">+F8</f>
        <v>2026 г.</v>
      </c>
      <c r="AS8" s="4509" t="str">
        <f t="shared" si="1"/>
        <v>2027 г.</v>
      </c>
      <c r="AT8" s="4509" t="str">
        <f t="shared" si="1"/>
        <v>2028 г.</v>
      </c>
      <c r="AU8" s="4509" t="str">
        <f t="shared" si="1"/>
        <v>2029 г.</v>
      </c>
      <c r="AV8" s="4509" t="str">
        <f t="shared" si="1"/>
        <v>2030 г.</v>
      </c>
      <c r="AW8" s="4509" t="str">
        <f t="shared" si="1"/>
        <v>2031 г.</v>
      </c>
      <c r="AX8" s="4509" t="str">
        <f>AQ8</f>
        <v>2025 г.</v>
      </c>
      <c r="AY8" s="4509" t="str">
        <f>AR8</f>
        <v>2026 г.</v>
      </c>
      <c r="AZ8" s="4509" t="str">
        <f>AS8</f>
        <v>2027 г.</v>
      </c>
      <c r="BA8" s="4509" t="str">
        <f>AT8</f>
        <v>2028 г.</v>
      </c>
      <c r="BB8" s="4509" t="str">
        <f>AU8</f>
        <v>2029 г.</v>
      </c>
      <c r="BC8" s="4509" t="str">
        <f t="shared" ref="BC8" si="2">AV8</f>
        <v>2030 г.</v>
      </c>
      <c r="BD8" s="4509" t="str">
        <f t="shared" ref="BD8" si="3">AW8</f>
        <v>2031 г.</v>
      </c>
      <c r="BE8" s="4509" t="str">
        <f t="shared" ref="BE8" si="4">AX8</f>
        <v>2025 г.</v>
      </c>
      <c r="BF8" s="4509" t="str">
        <f t="shared" ref="BF8" si="5">AY8</f>
        <v>2026 г.</v>
      </c>
      <c r="BG8" s="4509" t="str">
        <f t="shared" ref="BG8" si="6">AZ8</f>
        <v>2027 г.</v>
      </c>
      <c r="BH8" s="4509" t="str">
        <f t="shared" ref="BH8" si="7">BA8</f>
        <v>2028 г.</v>
      </c>
      <c r="BI8" s="4509" t="str">
        <f t="shared" ref="BI8" si="8">BB8</f>
        <v>2029 г.</v>
      </c>
      <c r="BJ8" s="4509" t="str">
        <f t="shared" ref="BJ8" si="9">BC8</f>
        <v>2030 г.</v>
      </c>
      <c r="BK8" s="4509" t="str">
        <f t="shared" ref="BK8" si="10">BD8</f>
        <v>2031 г.</v>
      </c>
      <c r="BL8" s="4509" t="str">
        <f t="shared" ref="BL8" si="11">BE8</f>
        <v>2025 г.</v>
      </c>
      <c r="BM8" s="4509" t="str">
        <f t="shared" ref="BM8" si="12">BF8</f>
        <v>2026 г.</v>
      </c>
      <c r="BN8" s="4509" t="str">
        <f t="shared" ref="BN8" si="13">BG8</f>
        <v>2027 г.</v>
      </c>
      <c r="BO8" s="4509" t="str">
        <f t="shared" ref="BO8" si="14">BH8</f>
        <v>2028 г.</v>
      </c>
      <c r="BP8" s="4509" t="str">
        <f t="shared" ref="BP8" si="15">BI8</f>
        <v>2029 г.</v>
      </c>
      <c r="BQ8" s="4509" t="str">
        <f t="shared" ref="BQ8" si="16">BJ8</f>
        <v>2030 г.</v>
      </c>
      <c r="BR8" s="4509" t="str">
        <f t="shared" ref="BR8" si="17">BK8</f>
        <v>2031 г.</v>
      </c>
      <c r="BS8" s="4509" t="str">
        <f t="shared" ref="BS8" si="18">BL8</f>
        <v>2025 г.</v>
      </c>
      <c r="BT8" s="4509" t="str">
        <f t="shared" ref="BT8" si="19">BM8</f>
        <v>2026 г.</v>
      </c>
      <c r="BU8" s="4509" t="str">
        <f t="shared" ref="BU8" si="20">BN8</f>
        <v>2027 г.</v>
      </c>
      <c r="BV8" s="4509" t="str">
        <f t="shared" ref="BV8" si="21">BO8</f>
        <v>2028 г.</v>
      </c>
      <c r="BW8" s="4509" t="str">
        <f t="shared" ref="BW8" si="22">BP8</f>
        <v>2029 г.</v>
      </c>
      <c r="BX8" s="4509" t="str">
        <f t="shared" ref="BX8" si="23">BQ8</f>
        <v>2030 г.</v>
      </c>
      <c r="BY8" s="4509" t="str">
        <f t="shared" ref="BY8" si="24">BR8</f>
        <v>2031 г.</v>
      </c>
    </row>
    <row r="9" spans="1:77" ht="14.4" thickBot="1">
      <c r="A9" s="2528" t="s">
        <v>402</v>
      </c>
      <c r="B9" s="2528"/>
      <c r="C9" s="2528"/>
      <c r="D9" s="2529" t="s">
        <v>403</v>
      </c>
      <c r="E9" s="2530"/>
      <c r="F9" s="2531"/>
      <c r="G9" s="2532"/>
      <c r="H9" s="2533"/>
      <c r="I9" s="2532"/>
      <c r="J9" s="2532"/>
      <c r="K9" s="2534"/>
      <c r="L9" s="2535"/>
      <c r="M9" s="2536"/>
      <c r="N9" s="2532"/>
      <c r="O9" s="2532"/>
      <c r="P9" s="2532"/>
      <c r="Q9" s="2532"/>
      <c r="R9" s="2534"/>
      <c r="S9" s="2530"/>
      <c r="T9" s="2531"/>
      <c r="U9" s="2532"/>
      <c r="V9" s="2532"/>
      <c r="W9" s="2532"/>
      <c r="X9" s="2532"/>
      <c r="Y9" s="2534"/>
      <c r="Z9" s="2530"/>
      <c r="AA9" s="2531"/>
      <c r="AB9" s="2532"/>
      <c r="AC9" s="2532"/>
      <c r="AD9" s="2532"/>
      <c r="AE9" s="2532"/>
      <c r="AF9" s="2534"/>
      <c r="AG9" s="2530"/>
      <c r="AH9" s="2531"/>
      <c r="AI9" s="2532"/>
      <c r="AJ9" s="2532"/>
      <c r="AK9" s="2532"/>
      <c r="AL9" s="2532"/>
      <c r="AM9" s="2534"/>
      <c r="AN9" s="2537"/>
      <c r="AO9" s="2538"/>
      <c r="AP9" s="4488"/>
    </row>
    <row r="10" spans="1:77" ht="13.8" thickBot="1">
      <c r="A10" s="2539" t="s">
        <v>205</v>
      </c>
      <c r="B10" s="2540"/>
      <c r="C10" s="2540"/>
      <c r="D10" s="2540" t="s">
        <v>334</v>
      </c>
      <c r="E10" s="2541">
        <f>SUM(E11:E34)-E13-E19</f>
        <v>6975.7070999604475</v>
      </c>
      <c r="F10" s="2542">
        <f t="shared" ref="F10:Y10" si="25">SUM(F11:F34)-F13-F19</f>
        <v>7010.0404332937806</v>
      </c>
      <c r="G10" s="2543">
        <f t="shared" si="25"/>
        <v>7021.0404332937806</v>
      </c>
      <c r="H10" s="2543">
        <f t="shared" si="25"/>
        <v>7030.0404332937806</v>
      </c>
      <c r="I10" s="2543">
        <f t="shared" si="25"/>
        <v>7045.3737666271127</v>
      </c>
      <c r="J10" s="2543">
        <f t="shared" si="25"/>
        <v>7058.7070999604448</v>
      </c>
      <c r="K10" s="2544">
        <f t="shared" si="25"/>
        <v>7067.7070999604484</v>
      </c>
      <c r="L10" s="2545">
        <f t="shared" ref="L10" si="26">SUM(L11:L34)-L13-L19</f>
        <v>1249.2554026325101</v>
      </c>
      <c r="M10" s="2542">
        <f t="shared" si="25"/>
        <v>1281.5887359658434</v>
      </c>
      <c r="N10" s="2543">
        <f t="shared" si="25"/>
        <v>1293.5887359658434</v>
      </c>
      <c r="O10" s="2543">
        <f t="shared" si="25"/>
        <v>1303.5887359658429</v>
      </c>
      <c r="P10" s="2543">
        <f t="shared" si="25"/>
        <v>1319.9220692991769</v>
      </c>
      <c r="Q10" s="2543">
        <f t="shared" si="25"/>
        <v>1334.2554026325099</v>
      </c>
      <c r="R10" s="2544">
        <f t="shared" si="25"/>
        <v>1344.2554026325099</v>
      </c>
      <c r="S10" s="2545">
        <f t="shared" ref="S10" si="27">SUM(S11:S34)-S13-S19</f>
        <v>1091.7487870295749</v>
      </c>
      <c r="T10" s="2542">
        <f t="shared" si="25"/>
        <v>1124.082120362908</v>
      </c>
      <c r="U10" s="2543">
        <f t="shared" si="25"/>
        <v>1135.082120362908</v>
      </c>
      <c r="V10" s="2543">
        <f t="shared" si="25"/>
        <v>1144.082120362908</v>
      </c>
      <c r="W10" s="2543">
        <f t="shared" si="25"/>
        <v>1159.4154536962415</v>
      </c>
      <c r="X10" s="2543">
        <f t="shared" si="25"/>
        <v>1172.7487870295749</v>
      </c>
      <c r="Y10" s="2544">
        <f t="shared" si="25"/>
        <v>1181.7487870295745</v>
      </c>
      <c r="Z10" s="2541">
        <f t="shared" ref="Z10" si="28">SUM(Z11:Z34)-Z13-Z19</f>
        <v>0</v>
      </c>
      <c r="AA10" s="2542">
        <f t="shared" ref="AA10:AM10" si="29">SUM(AA11:AA34)-AA13-AA19</f>
        <v>0</v>
      </c>
      <c r="AB10" s="2543">
        <f t="shared" si="29"/>
        <v>0</v>
      </c>
      <c r="AC10" s="2543">
        <f t="shared" si="29"/>
        <v>0</v>
      </c>
      <c r="AD10" s="2543">
        <f t="shared" si="29"/>
        <v>0</v>
      </c>
      <c r="AE10" s="2543">
        <f t="shared" si="29"/>
        <v>0</v>
      </c>
      <c r="AF10" s="2544">
        <f t="shared" si="29"/>
        <v>0</v>
      </c>
      <c r="AG10" s="2545">
        <f t="shared" si="29"/>
        <v>656.93143043071859</v>
      </c>
      <c r="AH10" s="2542">
        <f t="shared" si="29"/>
        <v>666.93143043071859</v>
      </c>
      <c r="AI10" s="2543">
        <f t="shared" si="29"/>
        <v>672.93143043071859</v>
      </c>
      <c r="AJ10" s="2543">
        <f t="shared" si="29"/>
        <v>678.93143043071859</v>
      </c>
      <c r="AK10" s="2543">
        <f t="shared" si="29"/>
        <v>684.93143043071859</v>
      </c>
      <c r="AL10" s="2543">
        <f t="shared" si="29"/>
        <v>690.93143043071859</v>
      </c>
      <c r="AM10" s="2544">
        <f t="shared" si="29"/>
        <v>696.93143043071859</v>
      </c>
      <c r="AN10" s="2546"/>
      <c r="AO10" s="4077">
        <f>((K10-E10)+(R10-L10)+(Y10-S10)+(AF10-Z10)+(AM10-AG10)+(K111-E111)+(R111-L111)+(Y111-S111)+(AF111-Z111)+(AM111-AG111))-('9.Инвестиционна програма'!N139+'9.Инвестиционна програма'!H139)*'11.1.Амортиз.нови активи'!E6</f>
        <v>0</v>
      </c>
      <c r="AP10" s="4488"/>
      <c r="AQ10" s="4504">
        <f>IFERROR(E10/$D$1,0)</f>
        <v>3566.6224058125949</v>
      </c>
      <c r="AR10" s="4504">
        <f t="shared" ref="AR10:BY10" si="30">IFERROR(F10/$D$1,0)</f>
        <v>3584.1767604003317</v>
      </c>
      <c r="AS10" s="4504">
        <f t="shared" si="30"/>
        <v>3589.8009710934903</v>
      </c>
      <c r="AT10" s="4504">
        <f t="shared" si="30"/>
        <v>3594.4025980242559</v>
      </c>
      <c r="AU10" s="4504">
        <f t="shared" si="30"/>
        <v>3602.242406869264</v>
      </c>
      <c r="AV10" s="4504">
        <f t="shared" si="30"/>
        <v>3609.05963195188</v>
      </c>
      <c r="AW10" s="4504">
        <f t="shared" si="30"/>
        <v>3613.6612588826474</v>
      </c>
      <c r="AX10" s="4504">
        <f t="shared" si="30"/>
        <v>638.73414490651544</v>
      </c>
      <c r="AY10" s="4504">
        <f t="shared" si="30"/>
        <v>655.26591573185988</v>
      </c>
      <c r="AZ10" s="4504">
        <f t="shared" si="30"/>
        <v>661.40141830621451</v>
      </c>
      <c r="BA10" s="4504">
        <f t="shared" si="30"/>
        <v>666.5143371181764</v>
      </c>
      <c r="BB10" s="4504">
        <f t="shared" si="30"/>
        <v>674.86543784438163</v>
      </c>
      <c r="BC10" s="4504">
        <f t="shared" si="30"/>
        <v>682.19395480819389</v>
      </c>
      <c r="BD10" s="4504">
        <f t="shared" si="30"/>
        <v>687.30687362015613</v>
      </c>
      <c r="BE10" s="4504">
        <f t="shared" si="30"/>
        <v>558.20229111404103</v>
      </c>
      <c r="BF10" s="4504">
        <f t="shared" si="30"/>
        <v>574.73406193938536</v>
      </c>
      <c r="BG10" s="4504">
        <f t="shared" si="30"/>
        <v>580.35827263254373</v>
      </c>
      <c r="BH10" s="4504">
        <f t="shared" si="30"/>
        <v>584.9598995633097</v>
      </c>
      <c r="BI10" s="4504">
        <f t="shared" si="30"/>
        <v>592.79970840831845</v>
      </c>
      <c r="BJ10" s="4504">
        <f t="shared" si="30"/>
        <v>599.6169334909348</v>
      </c>
      <c r="BK10" s="4504">
        <f t="shared" si="30"/>
        <v>604.21856042170054</v>
      </c>
      <c r="BL10" s="4504">
        <f t="shared" si="30"/>
        <v>0</v>
      </c>
      <c r="BM10" s="4504">
        <f t="shared" si="30"/>
        <v>0</v>
      </c>
      <c r="BN10" s="4504">
        <f t="shared" si="30"/>
        <v>0</v>
      </c>
      <c r="BO10" s="4504">
        <f t="shared" si="30"/>
        <v>0</v>
      </c>
      <c r="BP10" s="4504">
        <f t="shared" si="30"/>
        <v>0</v>
      </c>
      <c r="BQ10" s="4504">
        <f t="shared" si="30"/>
        <v>0</v>
      </c>
      <c r="BR10" s="4504">
        <f t="shared" si="30"/>
        <v>0</v>
      </c>
      <c r="BS10" s="4504">
        <f t="shared" si="30"/>
        <v>335.88370688184483</v>
      </c>
      <c r="BT10" s="4504">
        <f t="shared" si="30"/>
        <v>340.996625693807</v>
      </c>
      <c r="BU10" s="4504">
        <f t="shared" si="30"/>
        <v>344.06437698098432</v>
      </c>
      <c r="BV10" s="4504">
        <f t="shared" si="30"/>
        <v>347.13212826816164</v>
      </c>
      <c r="BW10" s="4504">
        <f t="shared" si="30"/>
        <v>350.19987955533895</v>
      </c>
      <c r="BX10" s="4504">
        <f t="shared" si="30"/>
        <v>353.26763084251627</v>
      </c>
      <c r="BY10" s="4504">
        <f t="shared" si="30"/>
        <v>356.33538212969358</v>
      </c>
    </row>
    <row r="11" spans="1:77">
      <c r="A11" s="2547">
        <v>1</v>
      </c>
      <c r="B11" s="2548">
        <v>20101</v>
      </c>
      <c r="C11" s="2549">
        <v>0</v>
      </c>
      <c r="D11" s="2550" t="s">
        <v>556</v>
      </c>
      <c r="E11" s="4452">
        <f>+'11.3. ДА Базова година'!H12</f>
        <v>22.536523787844654</v>
      </c>
      <c r="F11" s="2640">
        <f>E11+SUMIF('11.1.Амортиз.нови активи'!$B$12:$B$59,$B11,'11.1.Амортиз.нови активи'!F$12:F$59)+('9.Инвестиционна програма'!H$130*SUMIF('11.1.Амортиз.нови активи'!$B$12:$B$59,$B11,'11.1.Амортиз.нови активи'!AO$12:AO$59))</f>
        <v>22.536523787844654</v>
      </c>
      <c r="G11" s="2641">
        <f>F11+SUMIF('11.1.Амортиз.нови активи'!$B$12:$B$59,$B11,'11.1.Амортиз.нови активи'!G$12:G$59)+('9.Инвестиционна програма'!I$130*SUMIF('11.1.Амортиз.нови активи'!$B$12:$B$59,$B11,'11.1.Амортиз.нови активи'!AP$12:AP$59))</f>
        <v>22.536523787844654</v>
      </c>
      <c r="H11" s="2641">
        <f>G11+SUMIF('11.1.Амортиз.нови активи'!$B$12:$B$59,$B11,'11.1.Амортиз.нови активи'!H$12:H$59)+('9.Инвестиционна програма'!J$130*SUMIF('11.1.Амортиз.нови активи'!$B$12:$B$59,$B11,'11.1.Амортиз.нови активи'!AQ$12:AQ$59))</f>
        <v>22.536523787844654</v>
      </c>
      <c r="I11" s="2641">
        <f>H11+SUMIF('11.1.Амортиз.нови активи'!$B$12:$B$59,$B11,'11.1.Амортиз.нови активи'!I$12:I$59)+('9.Инвестиционна програма'!K$130*SUMIF('11.1.Амортиз.нови активи'!$B$12:$B$59,$B11,'11.1.Амортиз.нови активи'!AR$12:AR$59))</f>
        <v>22.536523787844654</v>
      </c>
      <c r="J11" s="2641">
        <f>I11+SUMIF('11.1.Амортиз.нови активи'!$B$12:$B$59,$B11,'11.1.Амортиз.нови активи'!J$12:J$59)+('9.Инвестиционна програма'!L$130*SUMIF('11.1.Амортиз.нови активи'!$B$12:$B$59,$B11,'11.1.Амортиз.нови активи'!AS$12:AS$59))</f>
        <v>22.536523787844654</v>
      </c>
      <c r="K11" s="2642">
        <f>J11+SUMIF('11.1.Амортиз.нови активи'!$B$12:$B$59,$B11,'11.1.Амортиз.нови активи'!K$12:K$59)+('9.Инвестиционна програма'!M$130*SUMIF('11.1.Амортиз.нови активи'!$B$12:$B$59,$B11,'11.1.Амортиз.нови активи'!AT$12:AT$59))</f>
        <v>22.536523787844654</v>
      </c>
      <c r="L11" s="4452">
        <f>+'11.3. ДА Базова година'!L12</f>
        <v>5.3750598480652947</v>
      </c>
      <c r="M11" s="2643">
        <f>L11+SUMIF('11.1.Амортиз.нови активи'!$B$12:$B$59,$B11,'11.1.Амортиз.нови активи'!M$12:M$59)+('9.Инвестиционна програма'!H$131*SUMIF('11.1.Амортиз.нови активи'!$B$12:$B$59,$B11,'11.1.Амортиз.нови активи'!AO$12:AO$59))</f>
        <v>5.3750598480652947</v>
      </c>
      <c r="N11" s="2641">
        <f>M11+SUMIF('11.1.Амортиз.нови активи'!$B$12:$B$59,$B11,'11.1.Амортиз.нови активи'!N$12:N$59)+('9.Инвестиционна програма'!I$131*SUMIF('11.1.Амортиз.нови активи'!$B$12:$B$59,$B11,'11.1.Амортиз.нови активи'!AP$12:AP$59))</f>
        <v>5.3750598480652947</v>
      </c>
      <c r="O11" s="2641">
        <f>N11+SUMIF('11.1.Амортиз.нови активи'!$B$12:$B$59,$B11,'11.1.Амортиз.нови активи'!O$12:O$59)+('9.Инвестиционна програма'!J$131*SUMIF('11.1.Амортиз.нови активи'!$B$12:$B$59,$B11,'11.1.Амортиз.нови активи'!AQ$12:AQ$59))</f>
        <v>5.3750598480652947</v>
      </c>
      <c r="P11" s="2641">
        <f>O11+SUMIF('11.1.Амортиз.нови активи'!$B$12:$B$59,$B11,'11.1.Амортиз.нови активи'!P$12:P$59)+('9.Инвестиционна програма'!K$131*SUMIF('11.1.Амортиз.нови активи'!$B$12:$B$59,$B11,'11.1.Амортиз.нови активи'!AR$12:AR$59))</f>
        <v>5.3750598480652947</v>
      </c>
      <c r="Q11" s="2641">
        <f>P11+SUMIF('11.1.Амортиз.нови активи'!$B$12:$B$59,$B11,'11.1.Амортиз.нови активи'!Q$12:Q$59)+('9.Инвестиционна програма'!L$131*SUMIF('11.1.Амортиз.нови активи'!$B$12:$B$59,$B11,'11.1.Амортиз.нови активи'!AS$12:AS$59))</f>
        <v>5.3750598480652947</v>
      </c>
      <c r="R11" s="2642">
        <f>Q11+SUMIF('11.1.Амортиз.нови активи'!$B$12:$B$59,$B11,'11.1.Амортиз.нови активи'!R$12:R$59)+('9.Инвестиционна програма'!M$131*SUMIF('11.1.Амортиз.нови активи'!$B$12:$B$59,$B11,'11.1.Амортиз.нови активи'!AT$12:AT$59))</f>
        <v>5.3750598480652947</v>
      </c>
      <c r="S11" s="4452">
        <f>+'11.3. ДА Базова година'!P12</f>
        <v>2.367113286516366</v>
      </c>
      <c r="T11" s="2643">
        <f>S11+SUMIF('11.1.Амортиз.нови активи'!$B$12:$B$59,$B11,'11.1.Амортиз.нови активи'!T$12:T$59)+('9.Инвестиционна програма'!H$132*SUMIF('11.1.Амортиз.нови активи'!$B$12:$B$59,$B11,'11.1.Амортиз.нови активи'!AO$12:AO$59))</f>
        <v>2.367113286516366</v>
      </c>
      <c r="U11" s="2641">
        <f>T11+SUMIF('11.1.Амортиз.нови активи'!$B$12:$B$59,$B11,'11.1.Амортиз.нови активи'!U$12:U$59)+('9.Инвестиционна програма'!I$132*SUMIF('11.1.Амортиз.нови активи'!$B$12:$B$59,$B11,'11.1.Амортиз.нови активи'!AP$12:AP$59))</f>
        <v>2.367113286516366</v>
      </c>
      <c r="V11" s="2641">
        <f>U11+SUMIF('11.1.Амортиз.нови активи'!$B$12:$B$59,$B11,'11.1.Амортиз.нови активи'!V$12:V$59)+('9.Инвестиционна програма'!J$132*SUMIF('11.1.Амортиз.нови активи'!$B$12:$B$59,$B11,'11.1.Амортиз.нови активи'!AQ$12:AQ$59))</f>
        <v>2.367113286516366</v>
      </c>
      <c r="W11" s="2641">
        <f>V11+SUMIF('11.1.Амортиз.нови активи'!$B$12:$B$59,$B11,'11.1.Амортиз.нови активи'!W$12:W$59)+('9.Инвестиционна програма'!K$132*SUMIF('11.1.Амортиз.нови активи'!$B$12:$B$59,$B11,'11.1.Амортиз.нови активи'!AR$12:AR$59))</f>
        <v>2.367113286516366</v>
      </c>
      <c r="X11" s="2641">
        <f>W11+SUMIF('11.1.Амортиз.нови активи'!$B$12:$B$59,$B11,'11.1.Амортиз.нови активи'!X$12:X$59)+('9.Инвестиционна програма'!L$132*SUMIF('11.1.Амортиз.нови активи'!$B$12:$B$59,$B11,'11.1.Амортиз.нови активи'!AS$12:AS$59))</f>
        <v>2.367113286516366</v>
      </c>
      <c r="Y11" s="2642">
        <f>X11+SUMIF('11.1.Амортиз.нови активи'!$B$12:$B$59,$B11,'11.1.Амортиз.нови активи'!Y$12:Y$59)+('9.Инвестиционна програма'!M$132*SUMIF('11.1.Амортиз.нови активи'!$B$12:$B$59,$B11,'11.1.Амортиз.нови активи'!AT$12:AT$59))</f>
        <v>2.367113286516366</v>
      </c>
      <c r="Z11" s="4452">
        <f>+'11.3. ДА Базова година'!T12</f>
        <v>0</v>
      </c>
      <c r="AA11" s="2643">
        <f>Z11+SUMIF('11.1.Амортиз.нови активи'!$B$12:$B$59,$B11,'11.1.Амортиз.нови активи'!AA$12:AA$59)</f>
        <v>0</v>
      </c>
      <c r="AB11" s="2641">
        <f>AA11+SUMIF('11.1.Амортиз.нови активи'!$B$12:$B$59,$B11,'11.1.Амортиз.нови активи'!AB$12:AB$59)</f>
        <v>0</v>
      </c>
      <c r="AC11" s="2641">
        <f>AB11+SUMIF('11.1.Амортиз.нови активи'!$B$12:$B$59,$B11,'11.1.Амортиз.нови активи'!AC$12:AC$59)</f>
        <v>0</v>
      </c>
      <c r="AD11" s="2641">
        <f>AC11+SUMIF('11.1.Амортиз.нови активи'!$B$12:$B$59,$B11,'11.1.Амортиз.нови активи'!AD$12:AD$59)</f>
        <v>0</v>
      </c>
      <c r="AE11" s="2641">
        <f>AD11+SUMIF('11.1.Амортиз.нови активи'!$B$12:$B$59,$B11,'11.1.Амортиз.нови активи'!AE$12:AE$59)</f>
        <v>0</v>
      </c>
      <c r="AF11" s="2642">
        <f>AE11+SUMIF('11.1.Амортиз.нови активи'!$B$12:$B$59,$B11,'11.1.Амортиз.нови активи'!AF$12:AF$59)</f>
        <v>0</v>
      </c>
      <c r="AG11" s="4452">
        <f>+'11.3. ДА Базова година'!X12</f>
        <v>0.14830307757368388</v>
      </c>
      <c r="AH11" s="2643">
        <f>AG11+SUMIF('11.1.Амортиз.нови активи'!$B$12:$B$59,$B11,'11.1.Амортиз.нови активи'!AH$12:AH$59)</f>
        <v>0.14830307757368388</v>
      </c>
      <c r="AI11" s="2641">
        <f>AH11+SUMIF('11.1.Амортиз.нови активи'!$B$12:$B$59,$B11,'11.1.Амортиз.нови активи'!AI$12:AI$59)</f>
        <v>0.14830307757368388</v>
      </c>
      <c r="AJ11" s="2641">
        <f>AI11+SUMIF('11.1.Амортиз.нови активи'!$B$12:$B$59,$B11,'11.1.Амортиз.нови активи'!AJ$12:AJ$59)</f>
        <v>0.14830307757368388</v>
      </c>
      <c r="AK11" s="2641">
        <f>AJ11+SUMIF('11.1.Амортиз.нови активи'!$B$12:$B$59,$B11,'11.1.Амортиз.нови активи'!AK$12:AK$59)</f>
        <v>0.14830307757368388</v>
      </c>
      <c r="AL11" s="2641">
        <f>AK11+SUMIF('11.1.Амортиз.нови активи'!$B$12:$B$59,$B11,'11.1.Амортиз.нови активи'!AL$12:AL$59)</f>
        <v>0.14830307757368388</v>
      </c>
      <c r="AM11" s="2642">
        <f>AL11+SUMIF('11.1.Амортиз.нови активи'!$B$12:$B$59,$B11,'11.1.Амортиз.нови активи'!AM$12:AM$59)</f>
        <v>0.14830307757368388</v>
      </c>
      <c r="AN11" s="2551"/>
      <c r="AO11" s="2552"/>
      <c r="AP11" s="4488"/>
      <c r="AQ11" s="4504">
        <f t="shared" ref="AQ11:AQ74" si="31">IFERROR(E11/$D$1,0)</f>
        <v>11.522741643110422</v>
      </c>
      <c r="AR11" s="4504">
        <f t="shared" ref="AR11:AR74" si="32">IFERROR(F11/$D$1,0)</f>
        <v>11.522741643110422</v>
      </c>
      <c r="AS11" s="4504">
        <f t="shared" ref="AS11:AS74" si="33">IFERROR(G11/$D$1,0)</f>
        <v>11.522741643110422</v>
      </c>
      <c r="AT11" s="4504">
        <f t="shared" ref="AT11:AT74" si="34">IFERROR(H11/$D$1,0)</f>
        <v>11.522741643110422</v>
      </c>
      <c r="AU11" s="4504">
        <f t="shared" ref="AU11:AU74" si="35">IFERROR(I11/$D$1,0)</f>
        <v>11.522741643110422</v>
      </c>
      <c r="AV11" s="4504">
        <f t="shared" ref="AV11:AV74" si="36">IFERROR(J11/$D$1,0)</f>
        <v>11.522741643110422</v>
      </c>
      <c r="AW11" s="4504">
        <f t="shared" ref="AW11:AW74" si="37">IFERROR(K11/$D$1,0)</f>
        <v>11.522741643110422</v>
      </c>
      <c r="AX11" s="4504">
        <f t="shared" ref="AX11:AX74" si="38">IFERROR(L11/$D$1,0)</f>
        <v>2.7482244612595648</v>
      </c>
      <c r="AY11" s="4504">
        <f t="shared" ref="AY11:AY74" si="39">IFERROR(M11/$D$1,0)</f>
        <v>2.7482244612595648</v>
      </c>
      <c r="AZ11" s="4504">
        <f t="shared" ref="AZ11:AZ74" si="40">IFERROR(N11/$D$1,0)</f>
        <v>2.7482244612595648</v>
      </c>
      <c r="BA11" s="4504">
        <f t="shared" ref="BA11:BA74" si="41">IFERROR(O11/$D$1,0)</f>
        <v>2.7482244612595648</v>
      </c>
      <c r="BB11" s="4504">
        <f t="shared" ref="BB11:BB74" si="42">IFERROR(P11/$D$1,0)</f>
        <v>2.7482244612595648</v>
      </c>
      <c r="BC11" s="4504">
        <f t="shared" ref="BC11:BC74" si="43">IFERROR(Q11/$D$1,0)</f>
        <v>2.7482244612595648</v>
      </c>
      <c r="BD11" s="4504">
        <f t="shared" ref="BD11:BD74" si="44">IFERROR(R11/$D$1,0)</f>
        <v>2.7482244612595648</v>
      </c>
      <c r="BE11" s="4504">
        <f t="shared" ref="BE11:BE74" si="45">IFERROR(S11/$D$1,0)</f>
        <v>1.2102858052675161</v>
      </c>
      <c r="BF11" s="4504">
        <f t="shared" ref="BF11:BF74" si="46">IFERROR(T11/$D$1,0)</f>
        <v>1.2102858052675161</v>
      </c>
      <c r="BG11" s="4504">
        <f t="shared" ref="BG11:BG74" si="47">IFERROR(U11/$D$1,0)</f>
        <v>1.2102858052675161</v>
      </c>
      <c r="BH11" s="4504">
        <f t="shared" ref="BH11:BH74" si="48">IFERROR(V11/$D$1,0)</f>
        <v>1.2102858052675161</v>
      </c>
      <c r="BI11" s="4504">
        <f t="shared" ref="BI11:BI74" si="49">IFERROR(W11/$D$1,0)</f>
        <v>1.2102858052675161</v>
      </c>
      <c r="BJ11" s="4504">
        <f t="shared" ref="BJ11:BJ74" si="50">IFERROR(X11/$D$1,0)</f>
        <v>1.2102858052675161</v>
      </c>
      <c r="BK11" s="4504">
        <f t="shared" ref="BK11:BK74" si="51">IFERROR(Y11/$D$1,0)</f>
        <v>1.2102858052675161</v>
      </c>
      <c r="BL11" s="4504">
        <f t="shared" ref="BL11:BL74" si="52">IFERROR(Z11/$D$1,0)</f>
        <v>0</v>
      </c>
      <c r="BM11" s="4504">
        <f t="shared" ref="BM11:BM74" si="53">IFERROR(AA11/$D$1,0)</f>
        <v>0</v>
      </c>
      <c r="BN11" s="4504">
        <f t="shared" ref="BN11:BN74" si="54">IFERROR(AB11/$D$1,0)</f>
        <v>0</v>
      </c>
      <c r="BO11" s="4504">
        <f t="shared" ref="BO11:BO74" si="55">IFERROR(AC11/$D$1,0)</f>
        <v>0</v>
      </c>
      <c r="BP11" s="4504">
        <f t="shared" ref="BP11:BP74" si="56">IFERROR(AD11/$D$1,0)</f>
        <v>0</v>
      </c>
      <c r="BQ11" s="4504">
        <f t="shared" ref="BQ11:BQ74" si="57">IFERROR(AE11/$D$1,0)</f>
        <v>0</v>
      </c>
      <c r="BR11" s="4504">
        <f t="shared" ref="BR11:BR74" si="58">IFERROR(AF11/$D$1,0)</f>
        <v>0</v>
      </c>
      <c r="BS11" s="4504">
        <f t="shared" ref="BS11:BS74" si="59">IFERROR(AG11/$D$1,0)</f>
        <v>7.5826159519837552E-2</v>
      </c>
      <c r="BT11" s="4504">
        <f t="shared" ref="BT11:BT74" si="60">IFERROR(AH11/$D$1,0)</f>
        <v>7.5826159519837552E-2</v>
      </c>
      <c r="BU11" s="4504">
        <f t="shared" ref="BU11:BU74" si="61">IFERROR(AI11/$D$1,0)</f>
        <v>7.5826159519837552E-2</v>
      </c>
      <c r="BV11" s="4504">
        <f t="shared" ref="BV11:BV74" si="62">IFERROR(AJ11/$D$1,0)</f>
        <v>7.5826159519837552E-2</v>
      </c>
      <c r="BW11" s="4504">
        <f t="shared" ref="BW11:BW74" si="63">IFERROR(AK11/$D$1,0)</f>
        <v>7.5826159519837552E-2</v>
      </c>
      <c r="BX11" s="4504">
        <f t="shared" ref="BX11:BX74" si="64">IFERROR(AL11/$D$1,0)</f>
        <v>7.5826159519837552E-2</v>
      </c>
      <c r="BY11" s="4504">
        <f t="shared" ref="BY11:BY74" si="65">IFERROR(AM11/$D$1,0)</f>
        <v>7.5826159519837552E-2</v>
      </c>
    </row>
    <row r="12" spans="1:77">
      <c r="A12" s="2553">
        <v>2</v>
      </c>
      <c r="B12" s="2554">
        <v>20201</v>
      </c>
      <c r="C12" s="2555">
        <v>0.03</v>
      </c>
      <c r="D12" s="2556" t="s">
        <v>425</v>
      </c>
      <c r="E12" s="4453">
        <f>+'11.3. ДА Базова година'!H13</f>
        <v>632.43418607361195</v>
      </c>
      <c r="F12" s="908">
        <f>E12+SUMIF('11.1.Амортиз.нови активи'!$B$12:$B$59,$B12,'11.1.Амортиз.нови активи'!F$12:F$59)+('9.Инвестиционна програма'!H$130*SUMIF('11.1.Амортиз.нови активи'!$B$12:$B$59,$B12,'11.1.Амортиз.нови активи'!AO$12:AO$59))</f>
        <v>634.10085274027858</v>
      </c>
      <c r="G12" s="1224">
        <f>F12+SUMIF('11.1.Амортиз.нови активи'!$B$12:$B$59,$B12,'11.1.Амортиз.нови активи'!G$12:G$59)+('9.Инвестиционна програма'!I$130*SUMIF('11.1.Амортиз.нови активи'!$B$12:$B$59,$B12,'11.1.Амортиз.нови активи'!AP$12:AP$59))</f>
        <v>635.43418607361195</v>
      </c>
      <c r="H12" s="1224">
        <f>G12+SUMIF('11.1.Амортиз.нови активи'!$B$12:$B$59,$B12,'11.1.Амортиз.нови активи'!H$12:H$59)+('9.Инвестиционна програма'!J$130*SUMIF('11.1.Амортиз.нови активи'!$B$12:$B$59,$B12,'11.1.Амортиз.нови активи'!AQ$12:AQ$59))</f>
        <v>636.76751940694533</v>
      </c>
      <c r="I12" s="1224">
        <f>H12+SUMIF('11.1.Амортиз.нови активи'!$B$12:$B$59,$B12,'11.1.Амортиз.нови активи'!I$12:I$59)+('9.Инвестиционна програма'!K$130*SUMIF('11.1.Амортиз.нови активи'!$B$12:$B$59,$B12,'11.1.Амортиз.нови активи'!AR$12:AR$59))</f>
        <v>638.1008527402787</v>
      </c>
      <c r="J12" s="1224">
        <f>I12+SUMIF('11.1.Амортиз.нови активи'!$B$12:$B$59,$B12,'11.1.Амортиз.нови активи'!J$12:J$59)+('9.Инвестиционна програма'!L$130*SUMIF('11.1.Амортиз.нови активи'!$B$12:$B$59,$B12,'11.1.Амортиз.нови активи'!AS$12:AS$59))</f>
        <v>639.43418607361207</v>
      </c>
      <c r="K12" s="1229">
        <f>J12+SUMIF('11.1.Амортиз.нови активи'!$B$12:$B$59,$B12,'11.1.Амортиз.нови активи'!K$12:K$59)+('9.Инвестиционна програма'!M$130*SUMIF('11.1.Амортиз.нови активи'!$B$12:$B$59,$B12,'11.1.Амортиз.нови активи'!AT$12:AT$59))</f>
        <v>640.76751940694544</v>
      </c>
      <c r="L12" s="4453">
        <f>+'11.3. ДА Базова година'!L13</f>
        <v>288.62486909412888</v>
      </c>
      <c r="M12" s="1228">
        <f>L12+SUMIF('11.1.Амортиз.нови активи'!$B$12:$B$59,$B12,'11.1.Амортиз.нови активи'!M$12:M$59)+('9.Инвестиционна програма'!H$131*SUMIF('11.1.Амортиз.нови активи'!$B$12:$B$59,$B12,'11.1.Амортиз.нови активи'!AO$12:AO$59))</f>
        <v>290.29153576079557</v>
      </c>
      <c r="N12" s="1224">
        <f>M12+SUMIF('11.1.Амортиз.нови активи'!$B$12:$B$59,$B12,'11.1.Амортиз.нови активи'!N$12:N$59)+('9.Инвестиционна програма'!I$131*SUMIF('11.1.Амортиз.нови активи'!$B$12:$B$59,$B12,'11.1.Амортиз.нови активи'!AP$12:AP$59))</f>
        <v>291.62486909412888</v>
      </c>
      <c r="O12" s="1224">
        <f>N12+SUMIF('11.1.Амортиз.нови активи'!$B$12:$B$59,$B12,'11.1.Амортиз.нови активи'!O$12:O$59)+('9.Инвестиционна програма'!J$131*SUMIF('11.1.Амортиз.нови активи'!$B$12:$B$59,$B12,'11.1.Амортиз.нови активи'!AQ$12:AQ$59))</f>
        <v>292.9582024274622</v>
      </c>
      <c r="P12" s="1224">
        <f>O12+SUMIF('11.1.Амортиз.нови активи'!$B$12:$B$59,$B12,'11.1.Амортиз.нови активи'!P$12:P$59)+('9.Инвестиционна програма'!K$131*SUMIF('11.1.Амортиз.нови активи'!$B$12:$B$59,$B12,'11.1.Амортиз.нови активи'!AR$12:AR$59))</f>
        <v>294.29153576079551</v>
      </c>
      <c r="Q12" s="1224">
        <f>P12+SUMIF('11.1.Амортиз.нови активи'!$B$12:$B$59,$B12,'11.1.Амортиз.нови активи'!Q$12:Q$59)+('9.Инвестиционна програма'!L$131*SUMIF('11.1.Амортиз.нови активи'!$B$12:$B$59,$B12,'11.1.Амортиз.нови активи'!AS$12:AS$59))</f>
        <v>295.62486909412883</v>
      </c>
      <c r="R12" s="1229">
        <f>Q12+SUMIF('11.1.Амортиз.нови активи'!$B$12:$B$59,$B12,'11.1.Амортиз.нови активи'!R$12:R$59)+('9.Инвестиционна програма'!M$131*SUMIF('11.1.Амортиз.нови активи'!$B$12:$B$59,$B12,'11.1.Амортиз.нови активи'!AT$12:AT$59))</f>
        <v>296.95820242746214</v>
      </c>
      <c r="S12" s="4453">
        <f>+'11.3. ДА Базова година'!P13</f>
        <v>420.04103643960991</v>
      </c>
      <c r="T12" s="1228">
        <f>S12+SUMIF('11.1.Амортиз.нови активи'!$B$12:$B$59,$B12,'11.1.Амортиз.нови активи'!T$12:T$59)+('9.Инвестиционна програма'!H$132*SUMIF('11.1.Амортиз.нови активи'!$B$12:$B$59,$B12,'11.1.Амортиз.нови активи'!AO$12:AO$59))</f>
        <v>421.7077031062766</v>
      </c>
      <c r="U12" s="1224">
        <f>T12+SUMIF('11.1.Амортиз.нови активи'!$B$12:$B$59,$B12,'11.1.Амортиз.нови активи'!U$12:U$59)+('9.Инвестиционна програма'!I$132*SUMIF('11.1.Амортиз.нови активи'!$B$12:$B$59,$B12,'11.1.Амортиз.нови активи'!AP$12:AP$59))</f>
        <v>423.04103643960991</v>
      </c>
      <c r="V12" s="1224">
        <f>U12+SUMIF('11.1.Амортиз.нови активи'!$B$12:$B$59,$B12,'11.1.Амортиз.нови активи'!V$12:V$59)+('9.Инвестиционна програма'!J$132*SUMIF('11.1.Амортиз.нови активи'!$B$12:$B$59,$B12,'11.1.Амортиз.нови активи'!AQ$12:AQ$59))</f>
        <v>424.37436977294323</v>
      </c>
      <c r="W12" s="1224">
        <f>V12+SUMIF('11.1.Амортиз.нови активи'!$B$12:$B$59,$B12,'11.1.Амортиз.нови активи'!W$12:W$59)+('9.Инвестиционна програма'!K$132*SUMIF('11.1.Амортиз.нови активи'!$B$12:$B$59,$B12,'11.1.Амортиз.нови активи'!AR$12:AR$59))</f>
        <v>425.70770310627654</v>
      </c>
      <c r="X12" s="1224">
        <f>W12+SUMIF('11.1.Амортиз.нови активи'!$B$12:$B$59,$B12,'11.1.Амортиз.нови активи'!X$12:X$59)+('9.Инвестиционна програма'!L$132*SUMIF('11.1.Амортиз.нови активи'!$B$12:$B$59,$B12,'11.1.Амортиз.нови активи'!AS$12:AS$59))</f>
        <v>427.04103643960985</v>
      </c>
      <c r="Y12" s="1229">
        <f>X12+SUMIF('11.1.Амортиз.нови активи'!$B$12:$B$59,$B12,'11.1.Амортиз.нови активи'!Y$12:Y$59)+('9.Инвестиционна програма'!M$132*SUMIF('11.1.Амортиз.нови активи'!$B$12:$B$59,$B12,'11.1.Амортиз.нови активи'!AT$12:AT$59))</f>
        <v>428.37436977294317</v>
      </c>
      <c r="Z12" s="4453">
        <f>+'11.3. ДА Базова година'!T13</f>
        <v>0</v>
      </c>
      <c r="AA12" s="1228">
        <f>Z12+SUMIF('11.1.Амортиз.нови активи'!$B$12:$B$59,$B12,'11.1.Амортиз.нови активи'!AA$12:AA$59)</f>
        <v>0</v>
      </c>
      <c r="AB12" s="1224">
        <f>AA12+SUMIF('11.1.Амортиз.нови активи'!$B$12:$B$59,$B12,'11.1.Амортиз.нови активи'!AB$12:AB$59)</f>
        <v>0</v>
      </c>
      <c r="AC12" s="1224">
        <f>AB12+SUMIF('11.1.Амортиз.нови активи'!$B$12:$B$59,$B12,'11.1.Амортиз.нови активи'!AC$12:AC$59)</f>
        <v>0</v>
      </c>
      <c r="AD12" s="1224">
        <f>AC12+SUMIF('11.1.Амортиз.нови активи'!$B$12:$B$59,$B12,'11.1.Амортиз.нови активи'!AD$12:AD$59)</f>
        <v>0</v>
      </c>
      <c r="AE12" s="1224">
        <f>AD12+SUMIF('11.1.Амортиз.нови активи'!$B$12:$B$59,$B12,'11.1.Амортиз.нови активи'!AE$12:AE$59)</f>
        <v>0</v>
      </c>
      <c r="AF12" s="1229">
        <f>AE12+SUMIF('11.1.Амортиз.нови активи'!$B$12:$B$59,$B12,'11.1.Амортиз.нови активи'!AF$12:AF$59)</f>
        <v>0</v>
      </c>
      <c r="AG12" s="4453">
        <f>+'11.3. ДА Базова година'!X13</f>
        <v>11.904143274970304</v>
      </c>
      <c r="AH12" s="1228">
        <f>AG12+SUMIF('11.1.Амортиз.нови активи'!$B$12:$B$59,$B12,'11.1.Амортиз.нови активи'!AH$12:AH$59)</f>
        <v>11.904143274970304</v>
      </c>
      <c r="AI12" s="1224">
        <f>AH12+SUMIF('11.1.Амортиз.нови активи'!$B$12:$B$59,$B12,'11.1.Амортиз.нови активи'!AI$12:AI$59)</f>
        <v>11.904143274970304</v>
      </c>
      <c r="AJ12" s="1224">
        <f>AI12+SUMIF('11.1.Амортиз.нови активи'!$B$12:$B$59,$B12,'11.1.Амортиз.нови активи'!AJ$12:AJ$59)</f>
        <v>11.904143274970304</v>
      </c>
      <c r="AK12" s="1224">
        <f>AJ12+SUMIF('11.1.Амортиз.нови активи'!$B$12:$B$59,$B12,'11.1.Амортиз.нови активи'!AK$12:AK$59)</f>
        <v>11.904143274970304</v>
      </c>
      <c r="AL12" s="1224">
        <f>AK12+SUMIF('11.1.Амортиз.нови активи'!$B$12:$B$59,$B12,'11.1.Амортиз.нови активи'!AL$12:AL$59)</f>
        <v>11.904143274970304</v>
      </c>
      <c r="AM12" s="1229">
        <f>AL12+SUMIF('11.1.Амортиз.нови активи'!$B$12:$B$59,$B12,'11.1.Амортиз.нови активи'!AM$12:AM$59)</f>
        <v>11.904143274970304</v>
      </c>
      <c r="AN12" s="2551"/>
      <c r="AO12" s="2557"/>
      <c r="AP12" s="4488"/>
      <c r="AQ12" s="4504">
        <f t="shared" si="31"/>
        <v>323.35846473037634</v>
      </c>
      <c r="AR12" s="4504">
        <f t="shared" si="32"/>
        <v>324.21061786570334</v>
      </c>
      <c r="AS12" s="4504">
        <f t="shared" si="33"/>
        <v>324.892340373965</v>
      </c>
      <c r="AT12" s="4504">
        <f t="shared" si="34"/>
        <v>325.57406288222666</v>
      </c>
      <c r="AU12" s="4504">
        <f t="shared" si="35"/>
        <v>326.25578539048831</v>
      </c>
      <c r="AV12" s="4504">
        <f t="shared" si="36"/>
        <v>326.93750789874991</v>
      </c>
      <c r="AW12" s="4504">
        <f t="shared" si="37"/>
        <v>327.61923040701157</v>
      </c>
      <c r="AX12" s="4504">
        <f t="shared" si="38"/>
        <v>147.57155227914947</v>
      </c>
      <c r="AY12" s="4504">
        <f t="shared" si="39"/>
        <v>148.4237054144765</v>
      </c>
      <c r="AZ12" s="4504">
        <f t="shared" si="40"/>
        <v>149.10542792273813</v>
      </c>
      <c r="BA12" s="4504">
        <f t="shared" si="41"/>
        <v>149.78715043099973</v>
      </c>
      <c r="BB12" s="4504">
        <f t="shared" si="42"/>
        <v>150.46887293926136</v>
      </c>
      <c r="BC12" s="4504">
        <f t="shared" si="43"/>
        <v>151.15059544752296</v>
      </c>
      <c r="BD12" s="4504">
        <f t="shared" si="44"/>
        <v>151.83231795578459</v>
      </c>
      <c r="BE12" s="4504">
        <f t="shared" si="45"/>
        <v>214.76357170081752</v>
      </c>
      <c r="BF12" s="4504">
        <f t="shared" si="46"/>
        <v>215.61572483614455</v>
      </c>
      <c r="BG12" s="4504">
        <f t="shared" si="47"/>
        <v>216.29744734440618</v>
      </c>
      <c r="BH12" s="4504">
        <f t="shared" si="48"/>
        <v>216.97916985266778</v>
      </c>
      <c r="BI12" s="4504">
        <f t="shared" si="49"/>
        <v>217.66089236092941</v>
      </c>
      <c r="BJ12" s="4504">
        <f t="shared" si="50"/>
        <v>218.34261486919101</v>
      </c>
      <c r="BK12" s="4504">
        <f t="shared" si="51"/>
        <v>219.02433737745264</v>
      </c>
      <c r="BL12" s="4504">
        <f t="shared" si="52"/>
        <v>0</v>
      </c>
      <c r="BM12" s="4504">
        <f t="shared" si="53"/>
        <v>0</v>
      </c>
      <c r="BN12" s="4504">
        <f t="shared" si="54"/>
        <v>0</v>
      </c>
      <c r="BO12" s="4504">
        <f t="shared" si="55"/>
        <v>0</v>
      </c>
      <c r="BP12" s="4504">
        <f t="shared" si="56"/>
        <v>0</v>
      </c>
      <c r="BQ12" s="4504">
        <f t="shared" si="57"/>
        <v>0</v>
      </c>
      <c r="BR12" s="4504">
        <f t="shared" si="58"/>
        <v>0</v>
      </c>
      <c r="BS12" s="4504">
        <f t="shared" si="59"/>
        <v>6.08649180908888</v>
      </c>
      <c r="BT12" s="4504">
        <f t="shared" si="60"/>
        <v>6.08649180908888</v>
      </c>
      <c r="BU12" s="4504">
        <f t="shared" si="61"/>
        <v>6.08649180908888</v>
      </c>
      <c r="BV12" s="4504">
        <f t="shared" si="62"/>
        <v>6.08649180908888</v>
      </c>
      <c r="BW12" s="4504">
        <f t="shared" si="63"/>
        <v>6.08649180908888</v>
      </c>
      <c r="BX12" s="4504">
        <f t="shared" si="64"/>
        <v>6.08649180908888</v>
      </c>
      <c r="BY12" s="4504">
        <f t="shared" si="65"/>
        <v>6.08649180908888</v>
      </c>
    </row>
    <row r="13" spans="1:77" ht="24">
      <c r="A13" s="2553">
        <v>3</v>
      </c>
      <c r="B13" s="2554">
        <v>203</v>
      </c>
      <c r="C13" s="2555"/>
      <c r="D13" s="2558" t="s">
        <v>405</v>
      </c>
      <c r="E13" s="4124">
        <f>SUM(E14:E17)</f>
        <v>2471.5584968638364</v>
      </c>
      <c r="F13" s="2645">
        <f>SUM(F14:F17)</f>
        <v>2499.2251635305029</v>
      </c>
      <c r="G13" s="2646">
        <f t="shared" ref="G13:Y13" si="66">SUM(G14:G17)</f>
        <v>2501.2251635305029</v>
      </c>
      <c r="H13" s="2646">
        <f t="shared" si="66"/>
        <v>2503.2251635305029</v>
      </c>
      <c r="I13" s="2646">
        <f t="shared" si="66"/>
        <v>2505.2251635305029</v>
      </c>
      <c r="J13" s="2646">
        <f t="shared" si="66"/>
        <v>2507.2251635305029</v>
      </c>
      <c r="K13" s="2647">
        <f t="shared" si="66"/>
        <v>2509.2251635305029</v>
      </c>
      <c r="L13" s="4124">
        <f>SUM(L14:L17)</f>
        <v>524.74784626995074</v>
      </c>
      <c r="M13" s="2645">
        <f t="shared" si="66"/>
        <v>550.41451293661737</v>
      </c>
      <c r="N13" s="2646">
        <f t="shared" si="66"/>
        <v>550.41451293661737</v>
      </c>
      <c r="O13" s="2646">
        <f t="shared" si="66"/>
        <v>550.41451293661737</v>
      </c>
      <c r="P13" s="2646">
        <f t="shared" si="66"/>
        <v>550.41451293661737</v>
      </c>
      <c r="Q13" s="2646">
        <f t="shared" si="66"/>
        <v>550.41451293661737</v>
      </c>
      <c r="R13" s="2646">
        <f t="shared" si="66"/>
        <v>550.41451293661737</v>
      </c>
      <c r="S13" s="4124">
        <f>SUM(S14:S17)</f>
        <v>139.49571851646928</v>
      </c>
      <c r="T13" s="2645">
        <f t="shared" si="66"/>
        <v>165.16238518313594</v>
      </c>
      <c r="U13" s="2646">
        <f t="shared" si="66"/>
        <v>165.16238518313594</v>
      </c>
      <c r="V13" s="2646">
        <f t="shared" si="66"/>
        <v>165.16238518313594</v>
      </c>
      <c r="W13" s="2646">
        <f t="shared" si="66"/>
        <v>165.16238518313594</v>
      </c>
      <c r="X13" s="2646">
        <f t="shared" si="66"/>
        <v>165.16238518313594</v>
      </c>
      <c r="Y13" s="2647">
        <f t="shared" si="66"/>
        <v>165.16238518313594</v>
      </c>
      <c r="Z13" s="4124">
        <f>SUM(Z14:Z17)</f>
        <v>0</v>
      </c>
      <c r="AA13" s="2645">
        <f t="shared" ref="AA13:AF13" si="67">SUM(AA14:AA17)</f>
        <v>0</v>
      </c>
      <c r="AB13" s="2646">
        <f t="shared" si="67"/>
        <v>0</v>
      </c>
      <c r="AC13" s="2646">
        <f t="shared" si="67"/>
        <v>0</v>
      </c>
      <c r="AD13" s="2646">
        <f t="shared" si="67"/>
        <v>0</v>
      </c>
      <c r="AE13" s="2646">
        <f t="shared" si="67"/>
        <v>0</v>
      </c>
      <c r="AF13" s="2647">
        <f t="shared" si="67"/>
        <v>0</v>
      </c>
      <c r="AG13" s="4124">
        <f>SUM(AG14:AG17)</f>
        <v>425.09642824604913</v>
      </c>
      <c r="AH13" s="2645">
        <f t="shared" ref="AH13:AM13" si="68">SUM(AH14:AH17)</f>
        <v>432.09642824604913</v>
      </c>
      <c r="AI13" s="2646">
        <f t="shared" si="68"/>
        <v>436.09642824604913</v>
      </c>
      <c r="AJ13" s="2646">
        <f t="shared" si="68"/>
        <v>440.09642824604913</v>
      </c>
      <c r="AK13" s="2646">
        <f t="shared" si="68"/>
        <v>444.09642824604913</v>
      </c>
      <c r="AL13" s="2646">
        <f t="shared" si="68"/>
        <v>448.09642824604913</v>
      </c>
      <c r="AM13" s="2647">
        <f t="shared" si="68"/>
        <v>452.09642824604913</v>
      </c>
      <c r="AN13" s="2551"/>
      <c r="AO13" s="2559"/>
      <c r="AP13" s="4488"/>
      <c r="AQ13" s="4504">
        <f t="shared" si="31"/>
        <v>1263.6877933480089</v>
      </c>
      <c r="AR13" s="4504">
        <f t="shared" si="32"/>
        <v>1277.8335353944376</v>
      </c>
      <c r="AS13" s="4504">
        <f t="shared" si="33"/>
        <v>1278.8561191568301</v>
      </c>
      <c r="AT13" s="4504">
        <f t="shared" si="34"/>
        <v>1279.8787029192224</v>
      </c>
      <c r="AU13" s="4504">
        <f t="shared" si="35"/>
        <v>1280.9012866816149</v>
      </c>
      <c r="AV13" s="4504">
        <f t="shared" si="36"/>
        <v>1281.9238704440074</v>
      </c>
      <c r="AW13" s="4504">
        <f t="shared" si="37"/>
        <v>1282.9464542063997</v>
      </c>
      <c r="AX13" s="4504">
        <f t="shared" si="38"/>
        <v>268.29931347302715</v>
      </c>
      <c r="AY13" s="4504">
        <f t="shared" si="39"/>
        <v>281.42247175706342</v>
      </c>
      <c r="AZ13" s="4504">
        <f t="shared" si="40"/>
        <v>281.42247175706342</v>
      </c>
      <c r="BA13" s="4504">
        <f t="shared" si="41"/>
        <v>281.42247175706342</v>
      </c>
      <c r="BB13" s="4504">
        <f t="shared" si="42"/>
        <v>281.42247175706342</v>
      </c>
      <c r="BC13" s="4504">
        <f t="shared" si="43"/>
        <v>281.42247175706342</v>
      </c>
      <c r="BD13" s="4504">
        <f t="shared" si="44"/>
        <v>281.42247175706342</v>
      </c>
      <c r="BE13" s="4504">
        <f t="shared" si="45"/>
        <v>71.323028339103743</v>
      </c>
      <c r="BF13" s="4504">
        <f t="shared" si="46"/>
        <v>84.446186623140022</v>
      </c>
      <c r="BG13" s="4504">
        <f t="shared" si="47"/>
        <v>84.446186623140022</v>
      </c>
      <c r="BH13" s="4504">
        <f t="shared" si="48"/>
        <v>84.446186623140022</v>
      </c>
      <c r="BI13" s="4504">
        <f t="shared" si="49"/>
        <v>84.446186623140022</v>
      </c>
      <c r="BJ13" s="4504">
        <f t="shared" si="50"/>
        <v>84.446186623140022</v>
      </c>
      <c r="BK13" s="4504">
        <f t="shared" si="51"/>
        <v>84.446186623140022</v>
      </c>
      <c r="BL13" s="4504">
        <f t="shared" si="52"/>
        <v>0</v>
      </c>
      <c r="BM13" s="4504">
        <f t="shared" si="53"/>
        <v>0</v>
      </c>
      <c r="BN13" s="4504">
        <f t="shared" si="54"/>
        <v>0</v>
      </c>
      <c r="BO13" s="4504">
        <f t="shared" si="55"/>
        <v>0</v>
      </c>
      <c r="BP13" s="4504">
        <f t="shared" si="56"/>
        <v>0</v>
      </c>
      <c r="BQ13" s="4504">
        <f t="shared" si="57"/>
        <v>0</v>
      </c>
      <c r="BR13" s="4504">
        <f t="shared" si="58"/>
        <v>0</v>
      </c>
      <c r="BS13" s="4504">
        <f t="shared" si="59"/>
        <v>217.34835248771577</v>
      </c>
      <c r="BT13" s="4504">
        <f t="shared" si="60"/>
        <v>220.92739565608929</v>
      </c>
      <c r="BU13" s="4504">
        <f t="shared" si="61"/>
        <v>222.97256318087418</v>
      </c>
      <c r="BV13" s="4504">
        <f t="shared" si="62"/>
        <v>225.01773070565906</v>
      </c>
      <c r="BW13" s="4504">
        <f t="shared" si="63"/>
        <v>227.06289823044392</v>
      </c>
      <c r="BX13" s="4504">
        <f t="shared" si="64"/>
        <v>229.10806575522881</v>
      </c>
      <c r="BY13" s="4504">
        <f t="shared" si="65"/>
        <v>231.15323328001367</v>
      </c>
    </row>
    <row r="14" spans="1:77">
      <c r="A14" s="2553"/>
      <c r="B14" s="2554">
        <v>20301</v>
      </c>
      <c r="C14" s="2560">
        <v>0.1</v>
      </c>
      <c r="D14" s="2561" t="s">
        <v>427</v>
      </c>
      <c r="E14" s="4453">
        <f>+'11.3. ДА Базова година'!H15</f>
        <v>390.07514348508715</v>
      </c>
      <c r="F14" s="908">
        <f>E14+SUMIF('11.1.Амортиз.нови активи'!$B$12:$B$59,$B14,'11.1.Амортиз.нови активи'!F$12:F$59)+('9.Инвестиционна програма'!H$130*SUMIF('11.1.Амортиз.нови активи'!$B$12:$B$59,$B14,'11.1.Амортиз.нови активи'!AO$12:AO$59))</f>
        <v>390.07514348508715</v>
      </c>
      <c r="G14" s="1224">
        <f>F14+SUMIF('11.1.Амортиз.нови активи'!$B$12:$B$59,$B14,'11.1.Амортиз.нови активи'!G$12:G$59)+('9.Инвестиционна програма'!I$130*SUMIF('11.1.Амортиз.нови активи'!$B$12:$B$59,$B14,'11.1.Амортиз.нови активи'!AP$12:AP$59))</f>
        <v>390.07514348508715</v>
      </c>
      <c r="H14" s="1224">
        <f>G14+SUMIF('11.1.Амортиз.нови активи'!$B$12:$B$59,$B14,'11.1.Амортиз.нови активи'!H$12:H$59)+('9.Инвестиционна програма'!J$130*SUMIF('11.1.Амортиз.нови активи'!$B$12:$B$59,$B14,'11.1.Амортиз.нови активи'!AQ$12:AQ$59))</f>
        <v>390.07514348508715</v>
      </c>
      <c r="I14" s="1224">
        <f>H14+SUMIF('11.1.Амортиз.нови активи'!$B$12:$B$59,$B14,'11.1.Амортиз.нови активи'!I$12:I$59)+('9.Инвестиционна програма'!K$130*SUMIF('11.1.Амортиз.нови активи'!$B$12:$B$59,$B14,'11.1.Амортиз.нови активи'!AR$12:AR$59))</f>
        <v>390.07514348508715</v>
      </c>
      <c r="J14" s="1224">
        <f>I14+SUMIF('11.1.Амортиз.нови активи'!$B$12:$B$59,$B14,'11.1.Амортиз.нови активи'!J$12:J$59)+('9.Инвестиционна програма'!L$130*SUMIF('11.1.Амортиз.нови активи'!$B$12:$B$59,$B14,'11.1.Амортиз.нови активи'!AS$12:AS$59))</f>
        <v>390.07514348508715</v>
      </c>
      <c r="K14" s="1229">
        <f>J14+SUMIF('11.1.Амортиз.нови активи'!$B$12:$B$59,$B14,'11.1.Амортиз.нови активи'!K$12:K$59)+('9.Инвестиционна програма'!M$130*SUMIF('11.1.Амортиз.нови активи'!$B$12:$B$59,$B14,'11.1.Амортиз.нови активи'!AT$12:AT$59))</f>
        <v>390.07514348508715</v>
      </c>
      <c r="L14" s="4453">
        <f>+'11.3. ДА Базова година'!L15</f>
        <v>19.254882665770733</v>
      </c>
      <c r="M14" s="1228">
        <f>L14+SUMIF('11.1.Амортиз.нови активи'!$B$12:$B$59,$B14,'11.1.Амортиз.нови активи'!M$12:M$59)+('9.Инвестиционна програма'!H$131*SUMIF('11.1.Амортиз.нови активи'!$B$12:$B$59,$B14,'11.1.Амортиз.нови активи'!AO$12:AO$59))</f>
        <v>19.254882665770733</v>
      </c>
      <c r="N14" s="1224">
        <f>M14+SUMIF('11.1.Амортиз.нови активи'!$B$12:$B$59,$B14,'11.1.Амортиз.нови активи'!N$12:N$59)+('9.Инвестиционна програма'!I$131*SUMIF('11.1.Амортиз.нови активи'!$B$12:$B$59,$B14,'11.1.Амортиз.нови активи'!AP$12:AP$59))</f>
        <v>19.254882665770733</v>
      </c>
      <c r="O14" s="1224">
        <f>N14+SUMIF('11.1.Амортиз.нови активи'!$B$12:$B$59,$B14,'11.1.Амортиз.нови активи'!O$12:O$59)+('9.Инвестиционна програма'!J$131*SUMIF('11.1.Амортиз.нови активи'!$B$12:$B$59,$B14,'11.1.Амортиз.нови активи'!AQ$12:AQ$59))</f>
        <v>19.254882665770733</v>
      </c>
      <c r="P14" s="1224">
        <f>O14+SUMIF('11.1.Амортиз.нови активи'!$B$12:$B$59,$B14,'11.1.Амортиз.нови активи'!P$12:P$59)+('9.Инвестиционна програма'!K$131*SUMIF('11.1.Амортиз.нови активи'!$B$12:$B$59,$B14,'11.1.Амортиз.нови активи'!AR$12:AR$59))</f>
        <v>19.254882665770733</v>
      </c>
      <c r="Q14" s="1224">
        <f>P14+SUMIF('11.1.Амортиз.нови активи'!$B$12:$B$59,$B14,'11.1.Амортиз.нови активи'!Q$12:Q$59)+('9.Инвестиционна програма'!L$131*SUMIF('11.1.Амортиз.нови активи'!$B$12:$B$59,$B14,'11.1.Амортиз.нови активи'!AS$12:AS$59))</f>
        <v>19.254882665770733</v>
      </c>
      <c r="R14" s="1229">
        <f>Q14+SUMIF('11.1.Амортиз.нови активи'!$B$12:$B$59,$B14,'11.1.Амортиз.нови активи'!R$12:R$59)+('9.Инвестиционна програма'!M$131*SUMIF('11.1.Амортиз.нови активи'!$B$12:$B$59,$B14,'11.1.Амортиз.нови активи'!AT$12:AT$59))</f>
        <v>19.254882665770733</v>
      </c>
      <c r="S14" s="4453">
        <f>+'11.3. ДА Базова година'!P15</f>
        <v>5.1375007135452062</v>
      </c>
      <c r="T14" s="1228">
        <f>S14+SUMIF('11.1.Амортиз.нови активи'!$B$12:$B$59,$B14,'11.1.Амортиз.нови активи'!T$12:T$59)+('9.Инвестиционна програма'!H$132*SUMIF('11.1.Амортиз.нови активи'!$B$12:$B$59,$B14,'11.1.Амортиз.нови активи'!AO$12:AO$59))</f>
        <v>5.1375007135452062</v>
      </c>
      <c r="U14" s="1224">
        <f>T14+SUMIF('11.1.Амортиз.нови активи'!$B$12:$B$59,$B14,'11.1.Амортиз.нови активи'!U$12:U$59)+('9.Инвестиционна програма'!I$132*SUMIF('11.1.Амортиз.нови активи'!$B$12:$B$59,$B14,'11.1.Амортиз.нови активи'!AP$12:AP$59))</f>
        <v>5.1375007135452062</v>
      </c>
      <c r="V14" s="1224">
        <f>U14+SUMIF('11.1.Амортиз.нови активи'!$B$12:$B$59,$B14,'11.1.Амортиз.нови активи'!V$12:V$59)+('9.Инвестиционна програма'!J$132*SUMIF('11.1.Амортиз.нови активи'!$B$12:$B$59,$B14,'11.1.Амортиз.нови активи'!AQ$12:AQ$59))</f>
        <v>5.1375007135452062</v>
      </c>
      <c r="W14" s="1224">
        <f>V14+SUMIF('11.1.Амортиз.нови активи'!$B$12:$B$59,$B14,'11.1.Амортиз.нови активи'!W$12:W$59)+('9.Инвестиционна програма'!K$132*SUMIF('11.1.Амортиз.нови активи'!$B$12:$B$59,$B14,'11.1.Амортиз.нови активи'!AR$12:AR$59))</f>
        <v>5.1375007135452062</v>
      </c>
      <c r="X14" s="1224">
        <f>W14+SUMIF('11.1.Амортиз.нови активи'!$B$12:$B$59,$B14,'11.1.Амортиз.нови активи'!X$12:X$59)+('9.Инвестиционна програма'!L$132*SUMIF('11.1.Амортиз.нови активи'!$B$12:$B$59,$B14,'11.1.Амортиз.нови активи'!AS$12:AS$59))</f>
        <v>5.1375007135452062</v>
      </c>
      <c r="Y14" s="1229">
        <f>X14+SUMIF('11.1.Амортиз.нови активи'!$B$12:$B$59,$B14,'11.1.Амортиз.нови активи'!Y$12:Y$59)+('9.Инвестиционна програма'!M$132*SUMIF('11.1.Амортиз.нови активи'!$B$12:$B$59,$B14,'11.1.Амортиз.нови активи'!AT$12:AT$59))</f>
        <v>5.1375007135452062</v>
      </c>
      <c r="Z14" s="4453">
        <f>+'11.3. ДА Базова година'!T15</f>
        <v>0</v>
      </c>
      <c r="AA14" s="1228">
        <f>Z14+SUMIF('11.1.Амортиз.нови активи'!$B$12:$B$59,$B14,'11.1.Амортиз.нови активи'!AA$12:AA$59)</f>
        <v>0</v>
      </c>
      <c r="AB14" s="1224">
        <f>AA14+SUMIF('11.1.Амортиз.нови активи'!$B$12:$B$59,$B14,'11.1.Амортиз.нови активи'!AB$12:AB$59)</f>
        <v>0</v>
      </c>
      <c r="AC14" s="1224">
        <f>AB14+SUMIF('11.1.Амортиз.нови активи'!$B$12:$B$59,$B14,'11.1.Амортиз.нови активи'!AC$12:AC$59)</f>
        <v>0</v>
      </c>
      <c r="AD14" s="1224">
        <f>AC14+SUMIF('11.1.Амортиз.нови активи'!$B$12:$B$59,$B14,'11.1.Амортиз.нови активи'!AD$12:AD$59)</f>
        <v>0</v>
      </c>
      <c r="AE14" s="1224">
        <f>AD14+SUMIF('11.1.Амортиз.нови активи'!$B$12:$B$59,$B14,'11.1.Амортиз.нови активи'!AE$12:AE$59)</f>
        <v>0</v>
      </c>
      <c r="AF14" s="1229">
        <f>AE14+SUMIF('11.1.Амортиз.нови активи'!$B$12:$B$59,$B14,'11.1.Амортиз.нови активи'!AF$12:AF$59)</f>
        <v>0</v>
      </c>
      <c r="AG14" s="4453">
        <f>+'11.3. ДА Базова година'!X15</f>
        <v>13.932430425947357</v>
      </c>
      <c r="AH14" s="1228">
        <f>AG14+SUMIF('11.1.Амортиз.нови активи'!$B$12:$B$59,$B14,'11.1.Амортиз.нови активи'!AH$12:AH$59)</f>
        <v>13.932430425947357</v>
      </c>
      <c r="AI14" s="1224">
        <f>AH14+SUMIF('11.1.Амортиз.нови активи'!$B$12:$B$59,$B14,'11.1.Амортиз.нови активи'!AI$12:AI$59)</f>
        <v>13.932430425947357</v>
      </c>
      <c r="AJ14" s="1224">
        <f>AI14+SUMIF('11.1.Амортиз.нови активи'!$B$12:$B$59,$B14,'11.1.Амортиз.нови активи'!AJ$12:AJ$59)</f>
        <v>13.932430425947357</v>
      </c>
      <c r="AK14" s="1224">
        <f>AJ14+SUMIF('11.1.Амортиз.нови активи'!$B$12:$B$59,$B14,'11.1.Амортиз.нови активи'!AK$12:AK$59)</f>
        <v>13.932430425947357</v>
      </c>
      <c r="AL14" s="1224">
        <f>AK14+SUMIF('11.1.Амортиз.нови активи'!$B$12:$B$59,$B14,'11.1.Амортиз.нови активи'!AL$12:AL$59)</f>
        <v>13.932430425947357</v>
      </c>
      <c r="AM14" s="1229">
        <f>AL14+SUMIF('11.1.Амортиз.нови активи'!$B$12:$B$59,$B14,'11.1.Амортиз.нови активи'!AM$12:AM$59)</f>
        <v>13.932430425947357</v>
      </c>
      <c r="AN14" s="2562"/>
      <c r="AO14" s="2559"/>
      <c r="AP14" s="4488"/>
      <c r="AQ14" s="4504">
        <f t="shared" si="31"/>
        <v>199.44225392037507</v>
      </c>
      <c r="AR14" s="4504">
        <f t="shared" si="32"/>
        <v>199.44225392037507</v>
      </c>
      <c r="AS14" s="4504">
        <f t="shared" si="33"/>
        <v>199.44225392037507</v>
      </c>
      <c r="AT14" s="4504">
        <f t="shared" si="34"/>
        <v>199.44225392037507</v>
      </c>
      <c r="AU14" s="4504">
        <f t="shared" si="35"/>
        <v>199.44225392037507</v>
      </c>
      <c r="AV14" s="4504">
        <f t="shared" si="36"/>
        <v>199.44225392037507</v>
      </c>
      <c r="AW14" s="4504">
        <f t="shared" si="37"/>
        <v>199.44225392037507</v>
      </c>
      <c r="AX14" s="4504">
        <f t="shared" si="38"/>
        <v>9.8448651803943772</v>
      </c>
      <c r="AY14" s="4504">
        <f t="shared" si="39"/>
        <v>9.8448651803943772</v>
      </c>
      <c r="AZ14" s="4504">
        <f t="shared" si="40"/>
        <v>9.8448651803943772</v>
      </c>
      <c r="BA14" s="4504">
        <f t="shared" si="41"/>
        <v>9.8448651803943772</v>
      </c>
      <c r="BB14" s="4504">
        <f t="shared" si="42"/>
        <v>9.8448651803943772</v>
      </c>
      <c r="BC14" s="4504">
        <f t="shared" si="43"/>
        <v>9.8448651803943772</v>
      </c>
      <c r="BD14" s="4504">
        <f t="shared" si="44"/>
        <v>9.8448651803943772</v>
      </c>
      <c r="BE14" s="4504">
        <f t="shared" si="45"/>
        <v>2.6267624044754432</v>
      </c>
      <c r="BF14" s="4504">
        <f t="shared" si="46"/>
        <v>2.6267624044754432</v>
      </c>
      <c r="BG14" s="4504">
        <f t="shared" si="47"/>
        <v>2.6267624044754432</v>
      </c>
      <c r="BH14" s="4504">
        <f t="shared" si="48"/>
        <v>2.6267624044754432</v>
      </c>
      <c r="BI14" s="4504">
        <f t="shared" si="49"/>
        <v>2.6267624044754432</v>
      </c>
      <c r="BJ14" s="4504">
        <f t="shared" si="50"/>
        <v>2.6267624044754432</v>
      </c>
      <c r="BK14" s="4504">
        <f t="shared" si="51"/>
        <v>2.6267624044754432</v>
      </c>
      <c r="BL14" s="4504">
        <f t="shared" si="52"/>
        <v>0</v>
      </c>
      <c r="BM14" s="4504">
        <f t="shared" si="53"/>
        <v>0</v>
      </c>
      <c r="BN14" s="4504">
        <f t="shared" si="54"/>
        <v>0</v>
      </c>
      <c r="BO14" s="4504">
        <f t="shared" si="55"/>
        <v>0</v>
      </c>
      <c r="BP14" s="4504">
        <f t="shared" si="56"/>
        <v>0</v>
      </c>
      <c r="BQ14" s="4504">
        <f t="shared" si="57"/>
        <v>0</v>
      </c>
      <c r="BR14" s="4504">
        <f t="shared" si="58"/>
        <v>0</v>
      </c>
      <c r="BS14" s="4504">
        <f t="shared" si="59"/>
        <v>7.123538562118056</v>
      </c>
      <c r="BT14" s="4504">
        <f t="shared" si="60"/>
        <v>7.123538562118056</v>
      </c>
      <c r="BU14" s="4504">
        <f t="shared" si="61"/>
        <v>7.123538562118056</v>
      </c>
      <c r="BV14" s="4504">
        <f t="shared" si="62"/>
        <v>7.123538562118056</v>
      </c>
      <c r="BW14" s="4504">
        <f t="shared" si="63"/>
        <v>7.123538562118056</v>
      </c>
      <c r="BX14" s="4504">
        <f t="shared" si="64"/>
        <v>7.123538562118056</v>
      </c>
      <c r="BY14" s="4504">
        <f t="shared" si="65"/>
        <v>7.123538562118056</v>
      </c>
    </row>
    <row r="15" spans="1:77">
      <c r="A15" s="2553"/>
      <c r="B15" s="2554">
        <v>20302</v>
      </c>
      <c r="C15" s="2560">
        <v>0.1</v>
      </c>
      <c r="D15" s="2561" t="s">
        <v>428</v>
      </c>
      <c r="E15" s="4453">
        <f>+'11.3. ДА Базова година'!H16</f>
        <v>108.6592895528338</v>
      </c>
      <c r="F15" s="908">
        <f>E15+SUMIF('11.1.Амортиз.нови активи'!$B$12:$B$59,$B15,'11.1.Амортиз.нови активи'!F$12:F$59)+('9.Инвестиционна програма'!H$130*SUMIF('11.1.Амортиз.нови активи'!$B$12:$B$59,$B15,'11.1.Амортиз.нови активи'!AO$12:AO$59))</f>
        <v>108.6592895528338</v>
      </c>
      <c r="G15" s="1224">
        <f>F15+SUMIF('11.1.Амортиз.нови активи'!$B$12:$B$59,$B15,'11.1.Амортиз.нови активи'!G$12:G$59)+('9.Инвестиционна програма'!I$130*SUMIF('11.1.Амортиз.нови активи'!$B$12:$B$59,$B15,'11.1.Амортиз.нови активи'!AP$12:AP$59))</f>
        <v>108.6592895528338</v>
      </c>
      <c r="H15" s="1224">
        <f>G15+SUMIF('11.1.Амортиз.нови активи'!$B$12:$B$59,$B15,'11.1.Амортиз.нови активи'!H$12:H$59)+('9.Инвестиционна програма'!J$130*SUMIF('11.1.Амортиз.нови активи'!$B$12:$B$59,$B15,'11.1.Амортиз.нови активи'!AQ$12:AQ$59))</f>
        <v>108.6592895528338</v>
      </c>
      <c r="I15" s="1224">
        <f>H15+SUMIF('11.1.Амортиз.нови активи'!$B$12:$B$59,$B15,'11.1.Амортиз.нови активи'!I$12:I$59)+('9.Инвестиционна програма'!K$130*SUMIF('11.1.Амортиз.нови активи'!$B$12:$B$59,$B15,'11.1.Амортиз.нови активи'!AR$12:AR$59))</f>
        <v>108.6592895528338</v>
      </c>
      <c r="J15" s="1224">
        <f>I15+SUMIF('11.1.Амортиз.нови активи'!$B$12:$B$59,$B15,'11.1.Амортиз.нови активи'!J$12:J$59)+('9.Инвестиционна програма'!L$130*SUMIF('11.1.Амортиз.нови активи'!$B$12:$B$59,$B15,'11.1.Амортиз.нови активи'!AS$12:AS$59))</f>
        <v>108.6592895528338</v>
      </c>
      <c r="K15" s="1229">
        <f>J15+SUMIF('11.1.Амортиз.нови активи'!$B$12:$B$59,$B15,'11.1.Амортиз.нови активи'!K$12:K$59)+('9.Инвестиционна програма'!M$130*SUMIF('11.1.Амортиз.нови активи'!$B$12:$B$59,$B15,'11.1.Амортиз.нови активи'!AT$12:AT$59))</f>
        <v>108.6592895528338</v>
      </c>
      <c r="L15" s="4453">
        <f>+'11.3. ДА Базова година'!L16</f>
        <v>40.687391513049199</v>
      </c>
      <c r="M15" s="1228">
        <f>L15+SUMIF('11.1.Амортиз.нови активи'!$B$12:$B$59,$B15,'11.1.Амортиз.нови активи'!M$12:M$59)+('9.Инвестиционна програма'!H$131*SUMIF('11.1.Амортиз.нови активи'!$B$12:$B$59,$B15,'11.1.Амортиз.нови активи'!AO$12:AO$59))</f>
        <v>40.687391513049199</v>
      </c>
      <c r="N15" s="1224">
        <f>M15+SUMIF('11.1.Амортиз.нови активи'!$B$12:$B$59,$B15,'11.1.Амортиз.нови активи'!N$12:N$59)+('9.Инвестиционна програма'!I$131*SUMIF('11.1.Амортиз.нови активи'!$B$12:$B$59,$B15,'11.1.Амортиз.нови активи'!AP$12:AP$59))</f>
        <v>40.687391513049199</v>
      </c>
      <c r="O15" s="1224">
        <f>N15+SUMIF('11.1.Амортиз.нови активи'!$B$12:$B$59,$B15,'11.1.Амортиз.нови активи'!O$12:O$59)+('9.Инвестиционна програма'!J$131*SUMIF('11.1.Амортиз.нови активи'!$B$12:$B$59,$B15,'11.1.Амортиз.нови активи'!AQ$12:AQ$59))</f>
        <v>40.687391513049199</v>
      </c>
      <c r="P15" s="1224">
        <f>O15+SUMIF('11.1.Амортиз.нови активи'!$B$12:$B$59,$B15,'11.1.Амортиз.нови активи'!P$12:P$59)+('9.Инвестиционна програма'!K$131*SUMIF('11.1.Амортиз.нови активи'!$B$12:$B$59,$B15,'11.1.Амортиз.нови активи'!AR$12:AR$59))</f>
        <v>40.687391513049199</v>
      </c>
      <c r="Q15" s="1224">
        <f>P15+SUMIF('11.1.Амортиз.нови активи'!$B$12:$B$59,$B15,'11.1.Амортиз.нови активи'!Q$12:Q$59)+('9.Инвестиционна програма'!L$131*SUMIF('11.1.Амортиз.нови активи'!$B$12:$B$59,$B15,'11.1.Амортиз.нови активи'!AS$12:AS$59))</f>
        <v>40.687391513049199</v>
      </c>
      <c r="R15" s="1229">
        <f>Q15+SUMIF('11.1.Амортиз.нови активи'!$B$12:$B$59,$B15,'11.1.Амортиз.нови активи'!R$12:R$59)+('9.Инвестиционна програма'!M$131*SUMIF('11.1.Амортиз.нови активи'!$B$12:$B$59,$B15,'11.1.Амортиз.нови активи'!AT$12:AT$59))</f>
        <v>40.687391513049199</v>
      </c>
      <c r="S15" s="4453">
        <f>+'11.3. ДА Базова година'!P16</f>
        <v>78.335188028294553</v>
      </c>
      <c r="T15" s="1228">
        <f>S15+SUMIF('11.1.Амортиз.нови активи'!$B$12:$B$59,$B15,'11.1.Амортиз.нови активи'!T$12:T$59)+('9.Инвестиционна програма'!H$132*SUMIF('11.1.Амортиз.нови активи'!$B$12:$B$59,$B15,'11.1.Амортиз.нови активи'!AO$12:AO$59))</f>
        <v>78.335188028294553</v>
      </c>
      <c r="U15" s="1224">
        <f>T15+SUMIF('11.1.Амортиз.нови активи'!$B$12:$B$59,$B15,'11.1.Амортиз.нови активи'!U$12:U$59)+('9.Инвестиционна програма'!I$132*SUMIF('11.1.Амортиз.нови активи'!$B$12:$B$59,$B15,'11.1.Амортиз.нови активи'!AP$12:AP$59))</f>
        <v>78.335188028294553</v>
      </c>
      <c r="V15" s="1224">
        <f>U15+SUMIF('11.1.Амортиз.нови активи'!$B$12:$B$59,$B15,'11.1.Амортиз.нови активи'!V$12:V$59)+('9.Инвестиционна програма'!J$132*SUMIF('11.1.Амортиз.нови активи'!$B$12:$B$59,$B15,'11.1.Амортиз.нови активи'!AQ$12:AQ$59))</f>
        <v>78.335188028294553</v>
      </c>
      <c r="W15" s="1224">
        <f>V15+SUMIF('11.1.Амортиз.нови активи'!$B$12:$B$59,$B15,'11.1.Амортиз.нови активи'!W$12:W$59)+('9.Инвестиционна програма'!K$132*SUMIF('11.1.Амортиз.нови активи'!$B$12:$B$59,$B15,'11.1.Амортиз.нови активи'!AR$12:AR$59))</f>
        <v>78.335188028294553</v>
      </c>
      <c r="X15" s="1224">
        <f>W15+SUMIF('11.1.Амортиз.нови активи'!$B$12:$B$59,$B15,'11.1.Амортиз.нови активи'!X$12:X$59)+('9.Инвестиционна програма'!L$132*SUMIF('11.1.Амортиз.нови активи'!$B$12:$B$59,$B15,'11.1.Амортиз.нови активи'!AS$12:AS$59))</f>
        <v>78.335188028294553</v>
      </c>
      <c r="Y15" s="1229">
        <f>X15+SUMIF('11.1.Амортиз.нови активи'!$B$12:$B$59,$B15,'11.1.Амортиз.нови активи'!Y$12:Y$59)+('9.Инвестиционна програма'!M$132*SUMIF('11.1.Амортиз.нови активи'!$B$12:$B$59,$B15,'11.1.Амортиз.нови активи'!AT$12:AT$59))</f>
        <v>78.335188028294553</v>
      </c>
      <c r="Z15" s="4453">
        <f>+'11.3. ДА Базова година'!T16</f>
        <v>0</v>
      </c>
      <c r="AA15" s="1228">
        <f>Z15+SUMIF('11.1.Амортиз.нови активи'!$B$12:$B$59,$B15,'11.1.Амортиз.нови активи'!AA$12:AA$59)</f>
        <v>0</v>
      </c>
      <c r="AB15" s="1224">
        <f>AA15+SUMIF('11.1.Амортиз.нови активи'!$B$12:$B$59,$B15,'11.1.Амортиз.нови активи'!AB$12:AB$59)</f>
        <v>0</v>
      </c>
      <c r="AC15" s="1224">
        <f>AB15+SUMIF('11.1.Амортиз.нови активи'!$B$12:$B$59,$B15,'11.1.Амортиз.нови активи'!AC$12:AC$59)</f>
        <v>0</v>
      </c>
      <c r="AD15" s="1224">
        <f>AC15+SUMIF('11.1.Амортиз.нови активи'!$B$12:$B$59,$B15,'11.1.Амортиз.нови активи'!AD$12:AD$59)</f>
        <v>0</v>
      </c>
      <c r="AE15" s="1224">
        <f>AD15+SUMIF('11.1.Амортиз.нови активи'!$B$12:$B$59,$B15,'11.1.Амортиз.нови активи'!AE$12:AE$59)</f>
        <v>0</v>
      </c>
      <c r="AF15" s="1229">
        <f>AE15+SUMIF('11.1.Амортиз.нови активи'!$B$12:$B$59,$B15,'11.1.Амортиз.нови активи'!AF$12:AF$59)</f>
        <v>0</v>
      </c>
      <c r="AG15" s="4453">
        <f>+'11.3. ДА Базова година'!X16</f>
        <v>15.184989255061822</v>
      </c>
      <c r="AH15" s="1228">
        <f>AG15+SUMIF('11.1.Амортиз.нови активи'!$B$12:$B$59,$B15,'11.1.Амортиз.нови активи'!AH$12:AH$59)</f>
        <v>15.184989255061822</v>
      </c>
      <c r="AI15" s="1224">
        <f>AH15+SUMIF('11.1.Амортиз.нови активи'!$B$12:$B$59,$B15,'11.1.Амортиз.нови активи'!AI$12:AI$59)</f>
        <v>15.184989255061822</v>
      </c>
      <c r="AJ15" s="1224">
        <f>AI15+SUMIF('11.1.Амортиз.нови активи'!$B$12:$B$59,$B15,'11.1.Амортиз.нови активи'!AJ$12:AJ$59)</f>
        <v>15.184989255061822</v>
      </c>
      <c r="AK15" s="1224">
        <f>AJ15+SUMIF('11.1.Амортиз.нови активи'!$B$12:$B$59,$B15,'11.1.Амортиз.нови активи'!AK$12:AK$59)</f>
        <v>15.184989255061822</v>
      </c>
      <c r="AL15" s="1224">
        <f>AK15+SUMIF('11.1.Амортиз.нови активи'!$B$12:$B$59,$B15,'11.1.Амортиз.нови активи'!AL$12:AL$59)</f>
        <v>15.184989255061822</v>
      </c>
      <c r="AM15" s="1229">
        <f>AL15+SUMIF('11.1.Амортиз.нови активи'!$B$12:$B$59,$B15,'11.1.Амортиз.нови активи'!AM$12:AM$59)</f>
        <v>15.184989255061822</v>
      </c>
      <c r="AN15" s="2562"/>
      <c r="AO15" s="2559"/>
      <c r="AP15" s="4488"/>
      <c r="AQ15" s="4504">
        <f t="shared" si="31"/>
        <v>55.556612564913003</v>
      </c>
      <c r="AR15" s="4504">
        <f t="shared" si="32"/>
        <v>55.556612564913003</v>
      </c>
      <c r="AS15" s="4504">
        <f t="shared" si="33"/>
        <v>55.556612564913003</v>
      </c>
      <c r="AT15" s="4504">
        <f t="shared" si="34"/>
        <v>55.556612564913003</v>
      </c>
      <c r="AU15" s="4504">
        <f t="shared" si="35"/>
        <v>55.556612564913003</v>
      </c>
      <c r="AV15" s="4504">
        <f t="shared" si="36"/>
        <v>55.556612564913003</v>
      </c>
      <c r="AW15" s="4504">
        <f t="shared" si="37"/>
        <v>55.556612564913003</v>
      </c>
      <c r="AX15" s="4504">
        <f t="shared" si="38"/>
        <v>20.80313294767398</v>
      </c>
      <c r="AY15" s="4504">
        <f t="shared" si="39"/>
        <v>20.80313294767398</v>
      </c>
      <c r="AZ15" s="4504">
        <f t="shared" si="40"/>
        <v>20.80313294767398</v>
      </c>
      <c r="BA15" s="4504">
        <f t="shared" si="41"/>
        <v>20.80313294767398</v>
      </c>
      <c r="BB15" s="4504">
        <f t="shared" si="42"/>
        <v>20.80313294767398</v>
      </c>
      <c r="BC15" s="4504">
        <f t="shared" si="43"/>
        <v>20.80313294767398</v>
      </c>
      <c r="BD15" s="4504">
        <f t="shared" si="44"/>
        <v>20.80313294767398</v>
      </c>
      <c r="BE15" s="4504">
        <f t="shared" si="45"/>
        <v>40.052145650846214</v>
      </c>
      <c r="BF15" s="4504">
        <f t="shared" si="46"/>
        <v>40.052145650846214</v>
      </c>
      <c r="BG15" s="4504">
        <f t="shared" si="47"/>
        <v>40.052145650846214</v>
      </c>
      <c r="BH15" s="4504">
        <f t="shared" si="48"/>
        <v>40.052145650846214</v>
      </c>
      <c r="BI15" s="4504">
        <f t="shared" si="49"/>
        <v>40.052145650846214</v>
      </c>
      <c r="BJ15" s="4504">
        <f t="shared" si="50"/>
        <v>40.052145650846214</v>
      </c>
      <c r="BK15" s="4504">
        <f t="shared" si="51"/>
        <v>40.052145650846214</v>
      </c>
      <c r="BL15" s="4504">
        <f t="shared" si="52"/>
        <v>0</v>
      </c>
      <c r="BM15" s="4504">
        <f t="shared" si="53"/>
        <v>0</v>
      </c>
      <c r="BN15" s="4504">
        <f t="shared" si="54"/>
        <v>0</v>
      </c>
      <c r="BO15" s="4504">
        <f t="shared" si="55"/>
        <v>0</v>
      </c>
      <c r="BP15" s="4504">
        <f t="shared" si="56"/>
        <v>0</v>
      </c>
      <c r="BQ15" s="4504">
        <f t="shared" si="57"/>
        <v>0</v>
      </c>
      <c r="BR15" s="4504">
        <f t="shared" si="58"/>
        <v>0</v>
      </c>
      <c r="BS15" s="4504">
        <f t="shared" si="59"/>
        <v>7.7639617221649235</v>
      </c>
      <c r="BT15" s="4504">
        <f t="shared" si="60"/>
        <v>7.7639617221649235</v>
      </c>
      <c r="BU15" s="4504">
        <f t="shared" si="61"/>
        <v>7.7639617221649235</v>
      </c>
      <c r="BV15" s="4504">
        <f t="shared" si="62"/>
        <v>7.7639617221649235</v>
      </c>
      <c r="BW15" s="4504">
        <f t="shared" si="63"/>
        <v>7.7639617221649235</v>
      </c>
      <c r="BX15" s="4504">
        <f t="shared" si="64"/>
        <v>7.7639617221649235</v>
      </c>
      <c r="BY15" s="4504">
        <f t="shared" si="65"/>
        <v>7.7639617221649235</v>
      </c>
    </row>
    <row r="16" spans="1:77">
      <c r="A16" s="2553"/>
      <c r="B16" s="2554">
        <v>20303</v>
      </c>
      <c r="C16" s="2555">
        <v>0.1</v>
      </c>
      <c r="D16" s="2561" t="s">
        <v>406</v>
      </c>
      <c r="E16" s="4453">
        <f>+'11.3. ДА Базова година'!H17</f>
        <v>1933.0931834251505</v>
      </c>
      <c r="F16" s="908">
        <f>E16+SUMIF('11.1.Амортиз.нови активи'!$B$12:$B$59,$B16,'11.1.Амортиз.нови активи'!F$12:F$59)+('9.Инвестиционна програма'!H$130*SUMIF('11.1.Амортиз.нови активи'!$B$12:$B$59,$B16,'11.1.Амортиз.нови активи'!AO$12:AO$59))</f>
        <v>1936.4265167584838</v>
      </c>
      <c r="G16" s="1224">
        <f>F16+SUMIF('11.1.Амортиз.нови активи'!$B$12:$B$59,$B16,'11.1.Амортиз.нови активи'!G$12:G$59)+('9.Инвестиционна програма'!I$130*SUMIF('11.1.Амортиз.нови активи'!$B$12:$B$59,$B16,'11.1.Амортиз.нови активи'!AP$12:AP$59))</f>
        <v>1938.4265167584838</v>
      </c>
      <c r="H16" s="1224">
        <f>G16+SUMIF('11.1.Амортиз.нови активи'!$B$12:$B$59,$B16,'11.1.Амортиз.нови активи'!H$12:H$59)+('9.Инвестиционна програма'!J$130*SUMIF('11.1.Амортиз.нови активи'!$B$12:$B$59,$B16,'11.1.Амортиз.нови активи'!AQ$12:AQ$59))</f>
        <v>1940.4265167584838</v>
      </c>
      <c r="I16" s="1224">
        <f>H16+SUMIF('11.1.Амортиз.нови активи'!$B$12:$B$59,$B16,'11.1.Амортиз.нови активи'!I$12:I$59)+('9.Инвестиционна програма'!K$130*SUMIF('11.1.Амортиз.нови активи'!$B$12:$B$59,$B16,'11.1.Амортиз.нови активи'!AR$12:AR$59))</f>
        <v>1942.4265167584838</v>
      </c>
      <c r="J16" s="1224">
        <f>I16+SUMIF('11.1.Амортиз.нови активи'!$B$12:$B$59,$B16,'11.1.Амортиз.нови активи'!J$12:J$59)+('9.Инвестиционна програма'!L$130*SUMIF('11.1.Амортиз.нови активи'!$B$12:$B$59,$B16,'11.1.Амортиз.нови активи'!AS$12:AS$59))</f>
        <v>1944.4265167584838</v>
      </c>
      <c r="K16" s="1229">
        <f>J16+SUMIF('11.1.Амортиз.нови активи'!$B$12:$B$59,$B16,'11.1.Амортиз.нови активи'!K$12:K$59)+('9.Инвестиционна програма'!M$130*SUMIF('11.1.Амортиз.нови активи'!$B$12:$B$59,$B16,'11.1.Амортиз.нови активи'!AT$12:AT$59))</f>
        <v>1946.4265167584838</v>
      </c>
      <c r="L16" s="4453">
        <f>+'11.3. ДА Базова година'!L17</f>
        <v>464.18741861595879</v>
      </c>
      <c r="M16" s="1228">
        <f>L16+SUMIF('11.1.Амортиз.нови активи'!$B$12:$B$59,$B16,'11.1.Амортиз.нови активи'!M$12:M$59)+('9.Инвестиционна програма'!H$131*SUMIF('11.1.Амортиз.нови активи'!$B$12:$B$59,$B16,'11.1.Амортиз.нови активи'!AO$12:AO$59))</f>
        <v>465.52075194929211</v>
      </c>
      <c r="N16" s="1224">
        <f>M16+SUMIF('11.1.Амортиз.нови активи'!$B$12:$B$59,$B16,'11.1.Амортиз.нови активи'!N$12:N$59)+('9.Инвестиционна програма'!I$131*SUMIF('11.1.Амортиз.нови активи'!$B$12:$B$59,$B16,'11.1.Амортиз.нови активи'!AP$12:AP$59))</f>
        <v>465.52075194929211</v>
      </c>
      <c r="O16" s="1224">
        <f>N16+SUMIF('11.1.Амортиз.нови активи'!$B$12:$B$59,$B16,'11.1.Амортиз.нови активи'!O$12:O$59)+('9.Инвестиционна програма'!J$131*SUMIF('11.1.Амортиз.нови активи'!$B$12:$B$59,$B16,'11.1.Амортиз.нови активи'!AQ$12:AQ$59))</f>
        <v>465.52075194929211</v>
      </c>
      <c r="P16" s="1224">
        <f>O16+SUMIF('11.1.Амортиз.нови активи'!$B$12:$B$59,$B16,'11.1.Амортиз.нови активи'!P$12:P$59)+('9.Инвестиционна програма'!K$131*SUMIF('11.1.Амортиз.нови активи'!$B$12:$B$59,$B16,'11.1.Амортиз.нови активи'!AR$12:AR$59))</f>
        <v>465.52075194929211</v>
      </c>
      <c r="Q16" s="1224">
        <f>P16+SUMIF('11.1.Амортиз.нови активи'!$B$12:$B$59,$B16,'11.1.Амортиз.нови активи'!Q$12:Q$59)+('9.Инвестиционна програма'!L$131*SUMIF('11.1.Амортиз.нови активи'!$B$12:$B$59,$B16,'11.1.Амортиз.нови активи'!AS$12:AS$59))</f>
        <v>465.52075194929211</v>
      </c>
      <c r="R16" s="1229">
        <f>Q16+SUMIF('11.1.Амортиз.нови активи'!$B$12:$B$59,$B16,'11.1.Амортиз.нови активи'!R$12:R$59)+('9.Инвестиционна програма'!M$131*SUMIF('11.1.Амортиз.нови активи'!$B$12:$B$59,$B16,'11.1.Амортиз.нови активи'!AT$12:AT$59))</f>
        <v>465.52075194929211</v>
      </c>
      <c r="S16" s="4453">
        <f>+'11.3. ДА Базова година'!P17</f>
        <v>51.074192263929447</v>
      </c>
      <c r="T16" s="1228">
        <f>S16+SUMIF('11.1.Амортиз.нови активи'!$B$12:$B$59,$B16,'11.1.Амортиз.нови активи'!T$12:T$59)+('9.Инвестиционна програма'!H$132*SUMIF('11.1.Амортиз.нови активи'!$B$12:$B$59,$B16,'11.1.Амортиз.нови активи'!AO$12:AO$59))</f>
        <v>52.407525597262783</v>
      </c>
      <c r="U16" s="1224">
        <f>T16+SUMIF('11.1.Амортиз.нови активи'!$B$12:$B$59,$B16,'11.1.Амортиз.нови активи'!U$12:U$59)+('9.Инвестиционна програма'!I$132*SUMIF('11.1.Амортиз.нови активи'!$B$12:$B$59,$B16,'11.1.Амортиз.нови активи'!AP$12:AP$59))</f>
        <v>52.407525597262783</v>
      </c>
      <c r="V16" s="1224">
        <f>U16+SUMIF('11.1.Амортиз.нови активи'!$B$12:$B$59,$B16,'11.1.Амортиз.нови активи'!V$12:V$59)+('9.Инвестиционна програма'!J$132*SUMIF('11.1.Амортиз.нови активи'!$B$12:$B$59,$B16,'11.1.Амортиз.нови активи'!AQ$12:AQ$59))</f>
        <v>52.407525597262783</v>
      </c>
      <c r="W16" s="1224">
        <f>V16+SUMIF('11.1.Амортиз.нови активи'!$B$12:$B$59,$B16,'11.1.Амортиз.нови активи'!W$12:W$59)+('9.Инвестиционна програма'!K$132*SUMIF('11.1.Амортиз.нови активи'!$B$12:$B$59,$B16,'11.1.Амортиз.нови активи'!AR$12:AR$59))</f>
        <v>52.407525597262783</v>
      </c>
      <c r="X16" s="1224">
        <f>W16+SUMIF('11.1.Амортиз.нови активи'!$B$12:$B$59,$B16,'11.1.Амортиз.нови активи'!X$12:X$59)+('9.Инвестиционна програма'!L$132*SUMIF('11.1.Амортиз.нови активи'!$B$12:$B$59,$B16,'11.1.Амортиз.нови активи'!AS$12:AS$59))</f>
        <v>52.407525597262783</v>
      </c>
      <c r="Y16" s="1229">
        <f>X16+SUMIF('11.1.Амортиз.нови активи'!$B$12:$B$59,$B16,'11.1.Амортиз.нови активи'!Y$12:Y$59)+('9.Инвестиционна програма'!M$132*SUMIF('11.1.Амортиз.нови активи'!$B$12:$B$59,$B16,'11.1.Амортиз.нови активи'!AT$12:AT$59))</f>
        <v>52.407525597262783</v>
      </c>
      <c r="Z16" s="4453">
        <f>+'11.3. ДА Базова година'!T17</f>
        <v>0</v>
      </c>
      <c r="AA16" s="1228">
        <f>Z16+SUMIF('11.1.Амортиз.нови активи'!$B$12:$B$59,$B16,'11.1.Амортиз.нови активи'!AA$12:AA$59)</f>
        <v>0</v>
      </c>
      <c r="AB16" s="1224">
        <f>AA16+SUMIF('11.1.Амортиз.нови активи'!$B$12:$B$59,$B16,'11.1.Амортиз.нови активи'!AB$12:AB$59)</f>
        <v>0</v>
      </c>
      <c r="AC16" s="1224">
        <f>AB16+SUMIF('11.1.Амортиз.нови активи'!$B$12:$B$59,$B16,'11.1.Амортиз.нови активи'!AC$12:AC$59)</f>
        <v>0</v>
      </c>
      <c r="AD16" s="1224">
        <f>AC16+SUMIF('11.1.Амортиз.нови активи'!$B$12:$B$59,$B16,'11.1.Амортиз.нови активи'!AD$12:AD$59)</f>
        <v>0</v>
      </c>
      <c r="AE16" s="1224">
        <f>AD16+SUMIF('11.1.Амортиз.нови активи'!$B$12:$B$59,$B16,'11.1.Амортиз.нови активи'!AE$12:AE$59)</f>
        <v>0</v>
      </c>
      <c r="AF16" s="1229">
        <f>AE16+SUMIF('11.1.Амортиз.нови активи'!$B$12:$B$59,$B16,'11.1.Амортиз.нови активи'!AF$12:AF$59)</f>
        <v>0</v>
      </c>
      <c r="AG16" s="4453">
        <f>+'11.3. ДА Базова година'!X17</f>
        <v>393.98788569496116</v>
      </c>
      <c r="AH16" s="1228">
        <f>AG16+SUMIF('11.1.Амортиз.нови активи'!$B$12:$B$59,$B16,'11.1.Амортиз.нови активи'!AH$12:AH$59)</f>
        <v>398.98788569496116</v>
      </c>
      <c r="AI16" s="1224">
        <f>AH16+SUMIF('11.1.Амортиз.нови активи'!$B$12:$B$59,$B16,'11.1.Амортиз.нови активи'!AI$12:AI$59)</f>
        <v>402.98788569496116</v>
      </c>
      <c r="AJ16" s="1224">
        <f>AI16+SUMIF('11.1.Амортиз.нови активи'!$B$12:$B$59,$B16,'11.1.Амортиз.нови активи'!AJ$12:AJ$59)</f>
        <v>406.98788569496116</v>
      </c>
      <c r="AK16" s="1224">
        <f>AJ16+SUMIF('11.1.Амортиз.нови активи'!$B$12:$B$59,$B16,'11.1.Амортиз.нови активи'!AK$12:AK$59)</f>
        <v>410.98788569496116</v>
      </c>
      <c r="AL16" s="1224">
        <f>AK16+SUMIF('11.1.Амортиз.нови активи'!$B$12:$B$59,$B16,'11.1.Амортиз.нови активи'!AL$12:AL$59)</f>
        <v>414.98788569496116</v>
      </c>
      <c r="AM16" s="1229">
        <f>AL16+SUMIF('11.1.Амортиз.нови активи'!$B$12:$B$59,$B16,'11.1.Амортиз.нови активи'!AM$12:AM$59)</f>
        <v>418.98788569496116</v>
      </c>
      <c r="AN16" s="2562"/>
      <c r="AO16" s="2559"/>
      <c r="AP16" s="4488"/>
      <c r="AQ16" s="4504">
        <f t="shared" si="31"/>
        <v>988.37485028103185</v>
      </c>
      <c r="AR16" s="4504">
        <f t="shared" si="32"/>
        <v>990.07915655168586</v>
      </c>
      <c r="AS16" s="4504">
        <f t="shared" si="33"/>
        <v>991.10174031407837</v>
      </c>
      <c r="AT16" s="4504">
        <f t="shared" si="34"/>
        <v>992.12432407647077</v>
      </c>
      <c r="AU16" s="4504">
        <f t="shared" si="35"/>
        <v>993.14690783886317</v>
      </c>
      <c r="AV16" s="4504">
        <f t="shared" si="36"/>
        <v>994.16949160125569</v>
      </c>
      <c r="AW16" s="4504">
        <f t="shared" si="37"/>
        <v>995.19207536364809</v>
      </c>
      <c r="AX16" s="4504">
        <f t="shared" si="38"/>
        <v>237.33525849177013</v>
      </c>
      <c r="AY16" s="4504">
        <f t="shared" si="39"/>
        <v>238.01698100003176</v>
      </c>
      <c r="AZ16" s="4504">
        <f t="shared" si="40"/>
        <v>238.01698100003176</v>
      </c>
      <c r="BA16" s="4504">
        <f t="shared" si="41"/>
        <v>238.01698100003176</v>
      </c>
      <c r="BB16" s="4504">
        <f t="shared" si="42"/>
        <v>238.01698100003176</v>
      </c>
      <c r="BC16" s="4504">
        <f t="shared" si="43"/>
        <v>238.01698100003176</v>
      </c>
      <c r="BD16" s="4504">
        <f t="shared" si="44"/>
        <v>238.01698100003176</v>
      </c>
      <c r="BE16" s="4504">
        <f t="shared" si="45"/>
        <v>26.113819843201838</v>
      </c>
      <c r="BF16" s="4504">
        <f t="shared" si="46"/>
        <v>26.795542351463464</v>
      </c>
      <c r="BG16" s="4504">
        <f t="shared" si="47"/>
        <v>26.795542351463464</v>
      </c>
      <c r="BH16" s="4504">
        <f t="shared" si="48"/>
        <v>26.795542351463464</v>
      </c>
      <c r="BI16" s="4504">
        <f t="shared" si="49"/>
        <v>26.795542351463464</v>
      </c>
      <c r="BJ16" s="4504">
        <f t="shared" si="50"/>
        <v>26.795542351463464</v>
      </c>
      <c r="BK16" s="4504">
        <f t="shared" si="51"/>
        <v>26.795542351463464</v>
      </c>
      <c r="BL16" s="4504">
        <f t="shared" si="52"/>
        <v>0</v>
      </c>
      <c r="BM16" s="4504">
        <f t="shared" si="53"/>
        <v>0</v>
      </c>
      <c r="BN16" s="4504">
        <f t="shared" si="54"/>
        <v>0</v>
      </c>
      <c r="BO16" s="4504">
        <f t="shared" si="55"/>
        <v>0</v>
      </c>
      <c r="BP16" s="4504">
        <f t="shared" si="56"/>
        <v>0</v>
      </c>
      <c r="BQ16" s="4504">
        <f t="shared" si="57"/>
        <v>0</v>
      </c>
      <c r="BR16" s="4504">
        <f t="shared" si="58"/>
        <v>0</v>
      </c>
      <c r="BS16" s="4504">
        <f t="shared" si="59"/>
        <v>201.44280724549739</v>
      </c>
      <c r="BT16" s="4504">
        <f t="shared" si="60"/>
        <v>203.99926665147848</v>
      </c>
      <c r="BU16" s="4504">
        <f t="shared" si="61"/>
        <v>206.04443417626337</v>
      </c>
      <c r="BV16" s="4504">
        <f t="shared" si="62"/>
        <v>208.08960170104822</v>
      </c>
      <c r="BW16" s="4504">
        <f t="shared" si="63"/>
        <v>210.13476922583311</v>
      </c>
      <c r="BX16" s="4504">
        <f t="shared" si="64"/>
        <v>212.179936750618</v>
      </c>
      <c r="BY16" s="4504">
        <f t="shared" si="65"/>
        <v>214.22510427540286</v>
      </c>
    </row>
    <row r="17" spans="1:77">
      <c r="A17" s="2553"/>
      <c r="B17" s="2554">
        <v>20306</v>
      </c>
      <c r="C17" s="2555">
        <v>0.1</v>
      </c>
      <c r="D17" s="2561" t="s">
        <v>409</v>
      </c>
      <c r="E17" s="4453">
        <f>+'11.3. ДА Базова година'!H18</f>
        <v>39.730880400765002</v>
      </c>
      <c r="F17" s="908">
        <f>E17+SUMIF('11.1.Амортиз.нови активи'!$B$12:$B$59,$B17,'11.1.Амортиз.нови активи'!F$12:F$59)+('9.Инвестиционна програма'!H$130*SUMIF('11.1.Амортиз.нови активи'!$B$12:$B$59,$B17,'11.1.Амортиз.нови активи'!AO$12:AO$59))</f>
        <v>64.064213734098331</v>
      </c>
      <c r="G17" s="1224">
        <f>F17+SUMIF('11.1.Амортиз.нови активи'!$B$12:$B$59,$B17,'11.1.Амортиз.нови активи'!G$12:G$59)+('9.Инвестиционна програма'!I$130*SUMIF('11.1.Амортиз.нови активи'!$B$12:$B$59,$B17,'11.1.Амортиз.нови активи'!AP$12:AP$59))</f>
        <v>64.064213734098331</v>
      </c>
      <c r="H17" s="1224">
        <f>G17+SUMIF('11.1.Амортиз.нови активи'!$B$12:$B$59,$B17,'11.1.Амортиз.нови активи'!H$12:H$59)+('9.Инвестиционна програма'!J$130*SUMIF('11.1.Амортиз.нови активи'!$B$12:$B$59,$B17,'11.1.Амортиз.нови активи'!AQ$12:AQ$59))</f>
        <v>64.064213734098331</v>
      </c>
      <c r="I17" s="1224">
        <f>H17+SUMIF('11.1.Амортиз.нови активи'!$B$12:$B$59,$B17,'11.1.Амортиз.нови активи'!I$12:I$59)+('9.Инвестиционна програма'!K$130*SUMIF('11.1.Амортиз.нови активи'!$B$12:$B$59,$B17,'11.1.Амортиз.нови активи'!AR$12:AR$59))</f>
        <v>64.064213734098331</v>
      </c>
      <c r="J17" s="1224">
        <f>I17+SUMIF('11.1.Амортиз.нови активи'!$B$12:$B$59,$B17,'11.1.Амортиз.нови активи'!J$12:J$59)+('9.Инвестиционна програма'!L$130*SUMIF('11.1.Амортиз.нови активи'!$B$12:$B$59,$B17,'11.1.Амортиз.нови активи'!AS$12:AS$59))</f>
        <v>64.064213734098331</v>
      </c>
      <c r="K17" s="1229">
        <f>J17+SUMIF('11.1.Амортиз.нови активи'!$B$12:$B$59,$B17,'11.1.Амортиз.нови активи'!K$12:K$59)+('9.Инвестиционна програма'!M$130*SUMIF('11.1.Амортиз.нови активи'!$B$12:$B$59,$B17,'11.1.Амортиз.нови активи'!AT$12:AT$59))</f>
        <v>64.064213734098331</v>
      </c>
      <c r="L17" s="4453">
        <f>+'11.3. ДА Базова година'!L18</f>
        <v>0.61815347517200059</v>
      </c>
      <c r="M17" s="1228">
        <f>L17+SUMIF('11.1.Амортиз.нови активи'!$B$12:$B$59,$B17,'11.1.Амортиз.нови активи'!M$12:M$59)+('9.Инвестиционна програма'!H$131*SUMIF('11.1.Амортиз.нови активи'!$B$12:$B$59,$B17,'11.1.Амортиз.нови активи'!AO$12:AO$59))</f>
        <v>24.951486808505333</v>
      </c>
      <c r="N17" s="1224">
        <f>M17+SUMIF('11.1.Амортиз.нови активи'!$B$12:$B$59,$B17,'11.1.Амортиз.нови активи'!N$12:N$59)+('9.Инвестиционна програма'!I$131*SUMIF('11.1.Амортиз.нови активи'!$B$12:$B$59,$B17,'11.1.Амортиз.нови активи'!AP$12:AP$59))</f>
        <v>24.951486808505333</v>
      </c>
      <c r="O17" s="1224">
        <f>N17+SUMIF('11.1.Амортиз.нови активи'!$B$12:$B$59,$B17,'11.1.Амортиз.нови активи'!O$12:O$59)+('9.Инвестиционна програма'!J$131*SUMIF('11.1.Амортиз.нови активи'!$B$12:$B$59,$B17,'11.1.Амортиз.нови активи'!AQ$12:AQ$59))</f>
        <v>24.951486808505333</v>
      </c>
      <c r="P17" s="1224">
        <f>O17+SUMIF('11.1.Амортиз.нови активи'!$B$12:$B$59,$B17,'11.1.Амортиз.нови активи'!P$12:P$59)+('9.Инвестиционна програма'!K$131*SUMIF('11.1.Амортиз.нови активи'!$B$12:$B$59,$B17,'11.1.Амортиз.нови активи'!AR$12:AR$59))</f>
        <v>24.951486808505333</v>
      </c>
      <c r="Q17" s="1224">
        <f>P17+SUMIF('11.1.Амортиз.нови активи'!$B$12:$B$59,$B17,'11.1.Амортиз.нови активи'!Q$12:Q$59)+('9.Инвестиционна програма'!L$131*SUMIF('11.1.Амортиз.нови активи'!$B$12:$B$59,$B17,'11.1.Амортиз.нови активи'!AS$12:AS$59))</f>
        <v>24.951486808505333</v>
      </c>
      <c r="R17" s="1229">
        <f>Q17+SUMIF('11.1.Амортиз.нови активи'!$B$12:$B$59,$B17,'11.1.Амортиз.нови активи'!R$12:R$59)+('9.Инвестиционна програма'!M$131*SUMIF('11.1.Амортиз.нови активи'!$B$12:$B$59,$B17,'11.1.Амортиз.нови активи'!AT$12:AT$59))</f>
        <v>24.951486808505333</v>
      </c>
      <c r="S17" s="4453">
        <f>+'11.3. ДА Базова година'!P18</f>
        <v>4.9488375107000779</v>
      </c>
      <c r="T17" s="1228">
        <f>S17+SUMIF('11.1.Амортиз.нови активи'!$B$12:$B$59,$B17,'11.1.Амортиз.нови активи'!T$12:T$59)+('9.Инвестиционна програма'!H$132*SUMIF('11.1.Амортиз.нови активи'!$B$12:$B$59,$B17,'11.1.Амортиз.нови активи'!AO$12:AO$59))</f>
        <v>29.282170844033409</v>
      </c>
      <c r="U17" s="1224">
        <f>T17+SUMIF('11.1.Амортиз.нови активи'!$B$12:$B$59,$B17,'11.1.Амортиз.нови активи'!U$12:U$59)+('9.Инвестиционна програма'!I$132*SUMIF('11.1.Амортиз.нови активи'!$B$12:$B$59,$B17,'11.1.Амортиз.нови активи'!AP$12:AP$59))</f>
        <v>29.282170844033409</v>
      </c>
      <c r="V17" s="1224">
        <f>U17+SUMIF('11.1.Амортиз.нови активи'!$B$12:$B$59,$B17,'11.1.Амортиз.нови активи'!V$12:V$59)+('9.Инвестиционна програма'!J$132*SUMIF('11.1.Амортиз.нови активи'!$B$12:$B$59,$B17,'11.1.Амортиз.нови активи'!AQ$12:AQ$59))</f>
        <v>29.282170844033409</v>
      </c>
      <c r="W17" s="1224">
        <f>V17+SUMIF('11.1.Амортиз.нови активи'!$B$12:$B$59,$B17,'11.1.Амортиз.нови активи'!W$12:W$59)+('9.Инвестиционна програма'!K$132*SUMIF('11.1.Амортиз.нови активи'!$B$12:$B$59,$B17,'11.1.Амортиз.нови активи'!AR$12:AR$59))</f>
        <v>29.282170844033409</v>
      </c>
      <c r="X17" s="1224">
        <f>W17+SUMIF('11.1.Амортиз.нови активи'!$B$12:$B$59,$B17,'11.1.Амортиз.нови активи'!X$12:X$59)+('9.Инвестиционна програма'!L$132*SUMIF('11.1.Амортиз.нови активи'!$B$12:$B$59,$B17,'11.1.Амортиз.нови активи'!AS$12:AS$59))</f>
        <v>29.282170844033409</v>
      </c>
      <c r="Y17" s="1229">
        <f>X17+SUMIF('11.1.Амортиз.нови активи'!$B$12:$B$59,$B17,'11.1.Амортиз.нови активи'!Y$12:Y$59)+('9.Инвестиционна програма'!M$132*SUMIF('11.1.Амортиз.нови активи'!$B$12:$B$59,$B17,'11.1.Амортиз.нови активи'!AT$12:AT$59))</f>
        <v>29.282170844033409</v>
      </c>
      <c r="Z17" s="4453">
        <f>+'11.3. ДА Базова година'!T18</f>
        <v>0</v>
      </c>
      <c r="AA17" s="1228">
        <f>Z17+SUMIF('11.1.Амортиз.нови активи'!$B$12:$B$59,$B17,'11.1.Амортиз.нови активи'!AA$12:AA$59)</f>
        <v>0</v>
      </c>
      <c r="AB17" s="1224">
        <f>AA17+SUMIF('11.1.Амортиз.нови активи'!$B$12:$B$59,$B17,'11.1.Амортиз.нови активи'!AB$12:AB$59)</f>
        <v>0</v>
      </c>
      <c r="AC17" s="1224">
        <f>AB17+SUMIF('11.1.Амортиз.нови активи'!$B$12:$B$59,$B17,'11.1.Амортиз.нови активи'!AC$12:AC$59)</f>
        <v>0</v>
      </c>
      <c r="AD17" s="1224">
        <f>AC17+SUMIF('11.1.Амортиз.нови активи'!$B$12:$B$59,$B17,'11.1.Амортиз.нови активи'!AD$12:AD$59)</f>
        <v>0</v>
      </c>
      <c r="AE17" s="1224">
        <f>AD17+SUMIF('11.1.Амортиз.нови активи'!$B$12:$B$59,$B17,'11.1.Амортиз.нови активи'!AE$12:AE$59)</f>
        <v>0</v>
      </c>
      <c r="AF17" s="1229">
        <f>AE17+SUMIF('11.1.Амортиз.нови активи'!$B$12:$B$59,$B17,'11.1.Амортиз.нови активи'!AF$12:AF$59)</f>
        <v>0</v>
      </c>
      <c r="AG17" s="4453">
        <f>+'11.3. ДА Базова година'!X18</f>
        <v>1.9911228700787564</v>
      </c>
      <c r="AH17" s="1228">
        <f>AG17+SUMIF('11.1.Амортиз.нови активи'!$B$12:$B$59,$B17,'11.1.Амортиз.нови активи'!AH$12:AH$59)</f>
        <v>3.9911228700787564</v>
      </c>
      <c r="AI17" s="1224">
        <f>AH17+SUMIF('11.1.Амортиз.нови активи'!$B$12:$B$59,$B17,'11.1.Амортиз.нови активи'!AI$12:AI$59)</f>
        <v>3.9911228700787564</v>
      </c>
      <c r="AJ17" s="1224">
        <f>AI17+SUMIF('11.1.Амортиз.нови активи'!$B$12:$B$59,$B17,'11.1.Амортиз.нови активи'!AJ$12:AJ$59)</f>
        <v>3.9911228700787564</v>
      </c>
      <c r="AK17" s="1224">
        <f>AJ17+SUMIF('11.1.Амортиз.нови активи'!$B$12:$B$59,$B17,'11.1.Амортиз.нови активи'!AK$12:AK$59)</f>
        <v>3.9911228700787564</v>
      </c>
      <c r="AL17" s="1224">
        <f>AK17+SUMIF('11.1.Амортиз.нови активи'!$B$12:$B$59,$B17,'11.1.Амортиз.нови активи'!AL$12:AL$59)</f>
        <v>3.9911228700787564</v>
      </c>
      <c r="AM17" s="1229">
        <f>AL17+SUMIF('11.1.Амортиз.нови активи'!$B$12:$B$59,$B17,'11.1.Амортиз.нови активи'!AM$12:AM$59)</f>
        <v>3.9911228700787564</v>
      </c>
      <c r="AN17" s="2562"/>
      <c r="AO17" s="2559"/>
      <c r="AP17" s="4488"/>
      <c r="AQ17" s="4504">
        <f t="shared" si="31"/>
        <v>20.314076581689104</v>
      </c>
      <c r="AR17" s="4504">
        <f t="shared" si="32"/>
        <v>32.755512357463751</v>
      </c>
      <c r="AS17" s="4504">
        <f t="shared" si="33"/>
        <v>32.755512357463751</v>
      </c>
      <c r="AT17" s="4504">
        <f t="shared" si="34"/>
        <v>32.755512357463751</v>
      </c>
      <c r="AU17" s="4504">
        <f t="shared" si="35"/>
        <v>32.755512357463751</v>
      </c>
      <c r="AV17" s="4504">
        <f t="shared" si="36"/>
        <v>32.755512357463751</v>
      </c>
      <c r="AW17" s="4504">
        <f t="shared" si="37"/>
        <v>32.755512357463751</v>
      </c>
      <c r="AX17" s="4504">
        <f t="shared" si="38"/>
        <v>0.3160568531886721</v>
      </c>
      <c r="AY17" s="4504">
        <f t="shared" si="39"/>
        <v>12.757492628963321</v>
      </c>
      <c r="AZ17" s="4504">
        <f t="shared" si="40"/>
        <v>12.757492628963321</v>
      </c>
      <c r="BA17" s="4504">
        <f t="shared" si="41"/>
        <v>12.757492628963321</v>
      </c>
      <c r="BB17" s="4504">
        <f t="shared" si="42"/>
        <v>12.757492628963321</v>
      </c>
      <c r="BC17" s="4504">
        <f t="shared" si="43"/>
        <v>12.757492628963321</v>
      </c>
      <c r="BD17" s="4504">
        <f t="shared" si="44"/>
        <v>12.757492628963321</v>
      </c>
      <c r="BE17" s="4504">
        <f t="shared" si="45"/>
        <v>2.5303004405802541</v>
      </c>
      <c r="BF17" s="4504">
        <f t="shared" si="46"/>
        <v>14.971736216354904</v>
      </c>
      <c r="BG17" s="4504">
        <f t="shared" si="47"/>
        <v>14.971736216354904</v>
      </c>
      <c r="BH17" s="4504">
        <f t="shared" si="48"/>
        <v>14.971736216354904</v>
      </c>
      <c r="BI17" s="4504">
        <f t="shared" si="49"/>
        <v>14.971736216354904</v>
      </c>
      <c r="BJ17" s="4504">
        <f t="shared" si="50"/>
        <v>14.971736216354904</v>
      </c>
      <c r="BK17" s="4504">
        <f t="shared" si="51"/>
        <v>14.971736216354904</v>
      </c>
      <c r="BL17" s="4504">
        <f t="shared" si="52"/>
        <v>0</v>
      </c>
      <c r="BM17" s="4504">
        <f t="shared" si="53"/>
        <v>0</v>
      </c>
      <c r="BN17" s="4504">
        <f t="shared" si="54"/>
        <v>0</v>
      </c>
      <c r="BO17" s="4504">
        <f t="shared" si="55"/>
        <v>0</v>
      </c>
      <c r="BP17" s="4504">
        <f t="shared" si="56"/>
        <v>0</v>
      </c>
      <c r="BQ17" s="4504">
        <f t="shared" si="57"/>
        <v>0</v>
      </c>
      <c r="BR17" s="4504">
        <f t="shared" si="58"/>
        <v>0</v>
      </c>
      <c r="BS17" s="4504">
        <f t="shared" si="59"/>
        <v>1.0180449579353812</v>
      </c>
      <c r="BT17" s="4504">
        <f t="shared" si="60"/>
        <v>2.0406287203278182</v>
      </c>
      <c r="BU17" s="4504">
        <f t="shared" si="61"/>
        <v>2.0406287203278182</v>
      </c>
      <c r="BV17" s="4504">
        <f t="shared" si="62"/>
        <v>2.0406287203278182</v>
      </c>
      <c r="BW17" s="4504">
        <f t="shared" si="63"/>
        <v>2.0406287203278182</v>
      </c>
      <c r="BX17" s="4504">
        <f t="shared" si="64"/>
        <v>2.0406287203278182</v>
      </c>
      <c r="BY17" s="4504">
        <f t="shared" si="65"/>
        <v>2.0406287203278182</v>
      </c>
    </row>
    <row r="18" spans="1:77">
      <c r="A18" s="2553">
        <v>4</v>
      </c>
      <c r="B18" s="2554">
        <v>20403</v>
      </c>
      <c r="C18" s="2560">
        <v>0.04</v>
      </c>
      <c r="D18" s="2563" t="s">
        <v>434</v>
      </c>
      <c r="E18" s="4453">
        <f>+'11.3. ДА Базова година'!H19</f>
        <v>36.906165638704863</v>
      </c>
      <c r="F18" s="908">
        <f>E18+SUMIF('11.1.Амортиз.нови активи'!$B$12:$B$59,$B18,'11.1.Амортиз.нови активи'!F$12:F$59)+('9.Инвестиционна програма'!H$130*SUMIF('11.1.Амортиз.нови активи'!$B$12:$B$59,$B18,'11.1.Амортиз.нови активи'!AO$12:AO$59))</f>
        <v>36.906165638704863</v>
      </c>
      <c r="G18" s="1224">
        <f>F18+SUMIF('11.1.Амортиз.нови активи'!$B$12:$B$59,$B18,'11.1.Амортиз.нови активи'!G$12:G$59)+('9.Инвестиционна програма'!I$130*SUMIF('11.1.Амортиз.нови активи'!$B$12:$B$59,$B18,'11.1.Амортиз.нови активи'!AP$12:AP$59))</f>
        <v>36.906165638704863</v>
      </c>
      <c r="H18" s="1224">
        <f>G18+SUMIF('11.1.Амортиз.нови активи'!$B$12:$B$59,$B18,'11.1.Амортиз.нови активи'!H$12:H$59)+('9.Инвестиционна програма'!J$130*SUMIF('11.1.Амортиз.нови активи'!$B$12:$B$59,$B18,'11.1.Амортиз.нови активи'!AQ$12:AQ$59))</f>
        <v>36.906165638704863</v>
      </c>
      <c r="I18" s="1224">
        <f>H18+SUMIF('11.1.Амортиз.нови активи'!$B$12:$B$59,$B18,'11.1.Амортиз.нови активи'!I$12:I$59)+('9.Инвестиционна програма'!K$130*SUMIF('11.1.Амортиз.нови активи'!$B$12:$B$59,$B18,'11.1.Амортиз.нови активи'!AR$12:AR$59))</f>
        <v>36.906165638704863</v>
      </c>
      <c r="J18" s="1224">
        <f>I18+SUMIF('11.1.Амортиз.нови активи'!$B$12:$B$59,$B18,'11.1.Амортиз.нови активи'!J$12:J$59)+('9.Инвестиционна програма'!L$130*SUMIF('11.1.Амортиз.нови активи'!$B$12:$B$59,$B18,'11.1.Амортиз.нови активи'!AS$12:AS$59))</f>
        <v>36.906165638704863</v>
      </c>
      <c r="K18" s="1229">
        <f>J18+SUMIF('11.1.Амортиз.нови активи'!$B$12:$B$59,$B18,'11.1.Амортиз.нови активи'!K$12:K$59)+('9.Инвестиционна програма'!M$130*SUMIF('11.1.Амортиз.нови активи'!$B$12:$B$59,$B18,'11.1.Амортиз.нови активи'!AT$12:AT$59))</f>
        <v>36.906165638704863</v>
      </c>
      <c r="L18" s="4453">
        <f>+'11.3. ДА Базова година'!L19</f>
        <v>6.7179576309725508</v>
      </c>
      <c r="M18" s="1228">
        <f>L18+SUMIF('11.1.Амортиз.нови активи'!$B$12:$B$59,$B18,'11.1.Амортиз.нови активи'!M$12:M$59)+('9.Инвестиционна програма'!H$131*SUMIF('11.1.Амортиз.нови активи'!$B$12:$B$59,$B18,'11.1.Амортиз.нови активи'!AO$12:AO$59))</f>
        <v>6.7179576309725508</v>
      </c>
      <c r="N18" s="1224">
        <f>M18+SUMIF('11.1.Амортиз.нови активи'!$B$12:$B$59,$B18,'11.1.Амортиз.нови активи'!N$12:N$59)+('9.Инвестиционна програма'!I$131*SUMIF('11.1.Амортиз.нови активи'!$B$12:$B$59,$B18,'11.1.Амортиз.нови активи'!AP$12:AP$59))</f>
        <v>6.7179576309725508</v>
      </c>
      <c r="O18" s="1224">
        <f>N18+SUMIF('11.1.Амортиз.нови активи'!$B$12:$B$59,$B18,'11.1.Амортиз.нови активи'!O$12:O$59)+('9.Инвестиционна програма'!J$131*SUMIF('11.1.Амортиз.нови активи'!$B$12:$B$59,$B18,'11.1.Амортиз.нови активи'!AQ$12:AQ$59))</f>
        <v>6.7179576309725508</v>
      </c>
      <c r="P18" s="1224">
        <f>O18+SUMIF('11.1.Амортиз.нови активи'!$B$12:$B$59,$B18,'11.1.Амортиз.нови активи'!P$12:P$59)+('9.Инвестиционна програма'!K$131*SUMIF('11.1.Амортиз.нови активи'!$B$12:$B$59,$B18,'11.1.Амортиз.нови активи'!AR$12:AR$59))</f>
        <v>6.7179576309725508</v>
      </c>
      <c r="Q18" s="1224">
        <f>P18+SUMIF('11.1.Амортиз.нови активи'!$B$12:$B$59,$B18,'11.1.Амортиз.нови активи'!Q$12:Q$59)+('9.Инвестиционна програма'!L$131*SUMIF('11.1.Амортиз.нови активи'!$B$12:$B$59,$B18,'11.1.Амортиз.нови активи'!AS$12:AS$59))</f>
        <v>6.7179576309725508</v>
      </c>
      <c r="R18" s="1229">
        <f>Q18+SUMIF('11.1.Амортиз.нови активи'!$B$12:$B$59,$B18,'11.1.Амортиз.нови активи'!R$12:R$59)+('9.Инвестиционна програма'!M$131*SUMIF('11.1.Амортиз.нови активи'!$B$12:$B$59,$B18,'11.1.Амортиз.нови активи'!AT$12:AT$59))</f>
        <v>6.7179576309725508</v>
      </c>
      <c r="S18" s="4453">
        <f>+'11.3. ДА Базова година'!P19</f>
        <v>10.30584477413398</v>
      </c>
      <c r="T18" s="1228">
        <f>S18+SUMIF('11.1.Амортиз.нови активи'!$B$12:$B$59,$B18,'11.1.Амортиз.нови активи'!T$12:T$59)+('9.Инвестиционна програма'!H$132*SUMIF('11.1.Амортиз.нови активи'!$B$12:$B$59,$B18,'11.1.Амортиз.нови активи'!AO$12:AO$59))</f>
        <v>10.30584477413398</v>
      </c>
      <c r="U18" s="1224">
        <f>T18+SUMIF('11.1.Амортиз.нови активи'!$B$12:$B$59,$B18,'11.1.Амортиз.нови активи'!U$12:U$59)+('9.Инвестиционна програма'!I$132*SUMIF('11.1.Амортиз.нови активи'!$B$12:$B$59,$B18,'11.1.Амортиз.нови активи'!AP$12:AP$59))</f>
        <v>10.30584477413398</v>
      </c>
      <c r="V18" s="1224">
        <f>U18+SUMIF('11.1.Амортиз.нови активи'!$B$12:$B$59,$B18,'11.1.Амортиз.нови активи'!V$12:V$59)+('9.Инвестиционна програма'!J$132*SUMIF('11.1.Амортиз.нови активи'!$B$12:$B$59,$B18,'11.1.Амортиз.нови активи'!AQ$12:AQ$59))</f>
        <v>10.30584477413398</v>
      </c>
      <c r="W18" s="1224">
        <f>V18+SUMIF('11.1.Амортиз.нови активи'!$B$12:$B$59,$B18,'11.1.Амортиз.нови активи'!W$12:W$59)+('9.Инвестиционна програма'!K$132*SUMIF('11.1.Амортиз.нови активи'!$B$12:$B$59,$B18,'11.1.Амортиз.нови активи'!AR$12:AR$59))</f>
        <v>10.30584477413398</v>
      </c>
      <c r="X18" s="1224">
        <f>W18+SUMIF('11.1.Амортиз.нови активи'!$B$12:$B$59,$B18,'11.1.Амортиз.нови активи'!X$12:X$59)+('9.Инвестиционна програма'!L$132*SUMIF('11.1.Амортиз.нови активи'!$B$12:$B$59,$B18,'11.1.Амортиз.нови активи'!AS$12:AS$59))</f>
        <v>10.30584477413398</v>
      </c>
      <c r="Y18" s="1229">
        <f>X18+SUMIF('11.1.Амортиз.нови активи'!$B$12:$B$59,$B18,'11.1.Амортиз.нови активи'!Y$12:Y$59)+('9.Инвестиционна програма'!M$132*SUMIF('11.1.Амортиз.нови активи'!$B$12:$B$59,$B18,'11.1.Амортиз.нови активи'!AT$12:AT$59))</f>
        <v>10.30584477413398</v>
      </c>
      <c r="Z18" s="4453">
        <f>+'11.3. ДА Базова година'!T19</f>
        <v>0</v>
      </c>
      <c r="AA18" s="1228">
        <f>Z18+SUMIF('11.1.Амортиз.нови активи'!$B$12:$B$59,$B18,'11.1.Амортиз.нови активи'!AA$12:AA$59)</f>
        <v>0</v>
      </c>
      <c r="AB18" s="1224">
        <f>AA18+SUMIF('11.1.Амортиз.нови активи'!$B$12:$B$59,$B18,'11.1.Амортиз.нови активи'!AB$12:AB$59)</f>
        <v>0</v>
      </c>
      <c r="AC18" s="1224">
        <f>AB18+SUMIF('11.1.Амортиз.нови активи'!$B$12:$B$59,$B18,'11.1.Амортиз.нови активи'!AC$12:AC$59)</f>
        <v>0</v>
      </c>
      <c r="AD18" s="1224">
        <f>AC18+SUMIF('11.1.Амортиз.нови активи'!$B$12:$B$59,$B18,'11.1.Амортиз.нови активи'!AD$12:AD$59)</f>
        <v>0</v>
      </c>
      <c r="AE18" s="1224">
        <f>AD18+SUMIF('11.1.Амортиз.нови активи'!$B$12:$B$59,$B18,'11.1.Амортиз.нови активи'!AE$12:AE$59)</f>
        <v>0</v>
      </c>
      <c r="AF18" s="1229">
        <f>AE18+SUMIF('11.1.Амортиз.нови активи'!$B$12:$B$59,$B18,'11.1.Амортиз.нови активи'!AF$12:AF$59)</f>
        <v>0</v>
      </c>
      <c r="AG18" s="4453">
        <f>+'11.3. ДА Базова година'!X19</f>
        <v>0.28555198969367607</v>
      </c>
      <c r="AH18" s="1228">
        <f>AG18+SUMIF('11.1.Амортиз.нови активи'!$B$12:$B$59,$B18,'11.1.Амортиз.нови активи'!AH$12:AH$59)</f>
        <v>0.28555198969367607</v>
      </c>
      <c r="AI18" s="1224">
        <f>AH18+SUMIF('11.1.Амортиз.нови активи'!$B$12:$B$59,$B18,'11.1.Амортиз.нови активи'!AI$12:AI$59)</f>
        <v>0.28555198969367607</v>
      </c>
      <c r="AJ18" s="1224">
        <f>AI18+SUMIF('11.1.Амортиз.нови активи'!$B$12:$B$59,$B18,'11.1.Амортиз.нови активи'!AJ$12:AJ$59)</f>
        <v>0.28555198969367607</v>
      </c>
      <c r="AK18" s="1224">
        <f>AJ18+SUMIF('11.1.Амортиз.нови активи'!$B$12:$B$59,$B18,'11.1.Амортиз.нови активи'!AK$12:AK$59)</f>
        <v>0.28555198969367607</v>
      </c>
      <c r="AL18" s="1224">
        <f>AK18+SUMIF('11.1.Амортиз.нови активи'!$B$12:$B$59,$B18,'11.1.Амортиз.нови активи'!AL$12:AL$59)</f>
        <v>0.28555198969367607</v>
      </c>
      <c r="AM18" s="1229">
        <f>AL18+SUMIF('11.1.Амортиз.нови активи'!$B$12:$B$59,$B18,'11.1.Амортиз.нови активи'!AM$12:AM$59)</f>
        <v>0.28555198969367607</v>
      </c>
      <c r="AN18" s="2562"/>
      <c r="AO18" s="2559"/>
      <c r="AP18" s="4488"/>
      <c r="AQ18" s="4504">
        <f t="shared" si="31"/>
        <v>18.869822857152649</v>
      </c>
      <c r="AR18" s="4504">
        <f t="shared" si="32"/>
        <v>18.869822857152649</v>
      </c>
      <c r="AS18" s="4504">
        <f t="shared" si="33"/>
        <v>18.869822857152649</v>
      </c>
      <c r="AT18" s="4504">
        <f t="shared" si="34"/>
        <v>18.869822857152649</v>
      </c>
      <c r="AU18" s="4504">
        <f t="shared" si="35"/>
        <v>18.869822857152649</v>
      </c>
      <c r="AV18" s="4504">
        <f t="shared" si="36"/>
        <v>18.869822857152649</v>
      </c>
      <c r="AW18" s="4504">
        <f t="shared" si="37"/>
        <v>18.869822857152649</v>
      </c>
      <c r="AX18" s="4504">
        <f t="shared" si="38"/>
        <v>3.4348371949364469</v>
      </c>
      <c r="AY18" s="4504">
        <f t="shared" si="39"/>
        <v>3.4348371949364469</v>
      </c>
      <c r="AZ18" s="4504">
        <f t="shared" si="40"/>
        <v>3.4348371949364469</v>
      </c>
      <c r="BA18" s="4504">
        <f t="shared" si="41"/>
        <v>3.4348371949364469</v>
      </c>
      <c r="BB18" s="4504">
        <f t="shared" si="42"/>
        <v>3.4348371949364469</v>
      </c>
      <c r="BC18" s="4504">
        <f t="shared" si="43"/>
        <v>3.4348371949364469</v>
      </c>
      <c r="BD18" s="4504">
        <f t="shared" si="44"/>
        <v>3.4348371949364469</v>
      </c>
      <c r="BE18" s="4504">
        <f t="shared" si="45"/>
        <v>5.26929476188318</v>
      </c>
      <c r="BF18" s="4504">
        <f t="shared" si="46"/>
        <v>5.26929476188318</v>
      </c>
      <c r="BG18" s="4504">
        <f t="shared" si="47"/>
        <v>5.26929476188318</v>
      </c>
      <c r="BH18" s="4504">
        <f t="shared" si="48"/>
        <v>5.26929476188318</v>
      </c>
      <c r="BI18" s="4504">
        <f t="shared" si="49"/>
        <v>5.26929476188318</v>
      </c>
      <c r="BJ18" s="4504">
        <f t="shared" si="50"/>
        <v>5.26929476188318</v>
      </c>
      <c r="BK18" s="4504">
        <f t="shared" si="51"/>
        <v>5.26929476188318</v>
      </c>
      <c r="BL18" s="4504">
        <f t="shared" si="52"/>
        <v>0</v>
      </c>
      <c r="BM18" s="4504">
        <f t="shared" si="53"/>
        <v>0</v>
      </c>
      <c r="BN18" s="4504">
        <f t="shared" si="54"/>
        <v>0</v>
      </c>
      <c r="BO18" s="4504">
        <f t="shared" si="55"/>
        <v>0</v>
      </c>
      <c r="BP18" s="4504">
        <f t="shared" si="56"/>
        <v>0</v>
      </c>
      <c r="BQ18" s="4504">
        <f t="shared" si="57"/>
        <v>0</v>
      </c>
      <c r="BR18" s="4504">
        <f t="shared" si="58"/>
        <v>0</v>
      </c>
      <c r="BS18" s="4504">
        <f t="shared" si="59"/>
        <v>0.14600041398980282</v>
      </c>
      <c r="BT18" s="4504">
        <f t="shared" si="60"/>
        <v>0.14600041398980282</v>
      </c>
      <c r="BU18" s="4504">
        <f t="shared" si="61"/>
        <v>0.14600041398980282</v>
      </c>
      <c r="BV18" s="4504">
        <f t="shared" si="62"/>
        <v>0.14600041398980282</v>
      </c>
      <c r="BW18" s="4504">
        <f t="shared" si="63"/>
        <v>0.14600041398980282</v>
      </c>
      <c r="BX18" s="4504">
        <f t="shared" si="64"/>
        <v>0.14600041398980282</v>
      </c>
      <c r="BY18" s="4504">
        <f t="shared" si="65"/>
        <v>0.14600041398980282</v>
      </c>
    </row>
    <row r="19" spans="1:77">
      <c r="A19" s="2553">
        <v>5</v>
      </c>
      <c r="B19" s="2554">
        <v>205</v>
      </c>
      <c r="C19" s="2554"/>
      <c r="D19" s="2558" t="s">
        <v>212</v>
      </c>
      <c r="E19" s="4125">
        <f>SUM(E20:E23)</f>
        <v>1968.0102345074936</v>
      </c>
      <c r="F19" s="2649">
        <f>SUM(F20:F23)</f>
        <v>1969.3435678408268</v>
      </c>
      <c r="G19" s="2650">
        <f>SUM(G20:G23)</f>
        <v>1969.3435678408268</v>
      </c>
      <c r="H19" s="2650">
        <f t="shared" ref="H19:K19" si="69">SUM(H20:H23)</f>
        <v>1969.3435678408268</v>
      </c>
      <c r="I19" s="2650">
        <f t="shared" si="69"/>
        <v>1969.3435678408268</v>
      </c>
      <c r="J19" s="2650">
        <f t="shared" si="69"/>
        <v>1969.3435678408268</v>
      </c>
      <c r="K19" s="2650">
        <f t="shared" si="69"/>
        <v>1969.3435678408268</v>
      </c>
      <c r="L19" s="4125">
        <f>SUM(L20:L23)</f>
        <v>181.06006477536076</v>
      </c>
      <c r="M19" s="2649">
        <f>SUM(M20:M23)</f>
        <v>182.3933981086941</v>
      </c>
      <c r="N19" s="2650">
        <f>SUM(N20:N23)</f>
        <v>185.3933981086941</v>
      </c>
      <c r="O19" s="2650">
        <f t="shared" ref="O19:R19" si="70">SUM(O20:O23)</f>
        <v>188.3933981086941</v>
      </c>
      <c r="P19" s="2650">
        <f t="shared" si="70"/>
        <v>191.3933981086941</v>
      </c>
      <c r="Q19" s="2650">
        <f t="shared" si="70"/>
        <v>194.3933981086941</v>
      </c>
      <c r="R19" s="2650">
        <f t="shared" si="70"/>
        <v>197.3933981086941</v>
      </c>
      <c r="S19" s="4125">
        <f>SUM(S20:S23)</f>
        <v>308.27518841052853</v>
      </c>
      <c r="T19" s="2649">
        <f>SUM(T20:T23)</f>
        <v>309.60852174386184</v>
      </c>
      <c r="U19" s="2650">
        <f>SUM(U20:U23)</f>
        <v>311.60852174386184</v>
      </c>
      <c r="V19" s="2650">
        <f t="shared" ref="V19:Y19" si="71">SUM(V20:V23)</f>
        <v>313.60852174386184</v>
      </c>
      <c r="W19" s="2650">
        <f t="shared" si="71"/>
        <v>315.60852174386184</v>
      </c>
      <c r="X19" s="2650">
        <f t="shared" si="71"/>
        <v>317.60852174386184</v>
      </c>
      <c r="Y19" s="2651">
        <f t="shared" si="71"/>
        <v>319.60852174386184</v>
      </c>
      <c r="Z19" s="4125">
        <f>SUM(Z20:Z23)</f>
        <v>0</v>
      </c>
      <c r="AA19" s="2649">
        <f>SUM(AA20:AA23)</f>
        <v>0</v>
      </c>
      <c r="AB19" s="2650">
        <f>SUM(AB20:AB23)</f>
        <v>0</v>
      </c>
      <c r="AC19" s="2650">
        <f t="shared" ref="AC19:AF19" si="72">SUM(AC20:AC23)</f>
        <v>0</v>
      </c>
      <c r="AD19" s="2650">
        <f t="shared" si="72"/>
        <v>0</v>
      </c>
      <c r="AE19" s="2650">
        <f t="shared" si="72"/>
        <v>0</v>
      </c>
      <c r="AF19" s="2651">
        <f t="shared" si="72"/>
        <v>0</v>
      </c>
      <c r="AG19" s="4125">
        <f>SUM(AG20:AG23)</f>
        <v>186.61364644174745</v>
      </c>
      <c r="AH19" s="2649">
        <f>SUM(AH20:AH23)</f>
        <v>189.61364644174745</v>
      </c>
      <c r="AI19" s="2650">
        <f>SUM(AI20:AI23)</f>
        <v>191.61364644174745</v>
      </c>
      <c r="AJ19" s="2650">
        <f t="shared" ref="AJ19:AM19" si="73">SUM(AJ20:AJ23)</f>
        <v>193.61364644174745</v>
      </c>
      <c r="AK19" s="2650">
        <f t="shared" si="73"/>
        <v>195.61364644174745</v>
      </c>
      <c r="AL19" s="2650">
        <f t="shared" si="73"/>
        <v>197.61364644174745</v>
      </c>
      <c r="AM19" s="2651">
        <f t="shared" si="73"/>
        <v>199.61364644174745</v>
      </c>
      <c r="AN19" s="2551"/>
      <c r="AO19" s="2559"/>
      <c r="AP19" s="4488"/>
      <c r="AQ19" s="4504">
        <f t="shared" si="31"/>
        <v>1006.2276550147475</v>
      </c>
      <c r="AR19" s="4504">
        <f t="shared" si="32"/>
        <v>1006.9093775230091</v>
      </c>
      <c r="AS19" s="4504">
        <f t="shared" si="33"/>
        <v>1006.9093775230091</v>
      </c>
      <c r="AT19" s="4504">
        <f t="shared" si="34"/>
        <v>1006.9093775230091</v>
      </c>
      <c r="AU19" s="4504">
        <f t="shared" si="35"/>
        <v>1006.9093775230091</v>
      </c>
      <c r="AV19" s="4504">
        <f t="shared" si="36"/>
        <v>1006.9093775230091</v>
      </c>
      <c r="AW19" s="4504">
        <f t="shared" si="37"/>
        <v>1006.9093775230091</v>
      </c>
      <c r="AX19" s="4504">
        <f t="shared" si="38"/>
        <v>92.574541128503384</v>
      </c>
      <c r="AY19" s="4504">
        <f t="shared" si="39"/>
        <v>93.256263636765013</v>
      </c>
      <c r="AZ19" s="4504">
        <f t="shared" si="40"/>
        <v>94.790139280353657</v>
      </c>
      <c r="BA19" s="4504">
        <f t="shared" si="41"/>
        <v>96.324014923942315</v>
      </c>
      <c r="BB19" s="4504">
        <f t="shared" si="42"/>
        <v>97.857890567530973</v>
      </c>
      <c r="BC19" s="4504">
        <f t="shared" si="43"/>
        <v>99.391766211119631</v>
      </c>
      <c r="BD19" s="4504">
        <f t="shared" si="44"/>
        <v>100.92564185470829</v>
      </c>
      <c r="BE19" s="4504">
        <f t="shared" si="45"/>
        <v>157.61860100853784</v>
      </c>
      <c r="BF19" s="4504">
        <f t="shared" si="46"/>
        <v>158.30032351679944</v>
      </c>
      <c r="BG19" s="4504">
        <f t="shared" si="47"/>
        <v>159.32290727919187</v>
      </c>
      <c r="BH19" s="4504">
        <f t="shared" si="48"/>
        <v>160.34549104158432</v>
      </c>
      <c r="BI19" s="4504">
        <f t="shared" si="49"/>
        <v>161.36807480397675</v>
      </c>
      <c r="BJ19" s="4504">
        <f t="shared" si="50"/>
        <v>162.39065856636918</v>
      </c>
      <c r="BK19" s="4504">
        <f t="shared" si="51"/>
        <v>163.41324232876161</v>
      </c>
      <c r="BL19" s="4504">
        <f t="shared" si="52"/>
        <v>0</v>
      </c>
      <c r="BM19" s="4504">
        <f t="shared" si="53"/>
        <v>0</v>
      </c>
      <c r="BN19" s="4504">
        <f t="shared" si="54"/>
        <v>0</v>
      </c>
      <c r="BO19" s="4504">
        <f t="shared" si="55"/>
        <v>0</v>
      </c>
      <c r="BP19" s="4504">
        <f t="shared" si="56"/>
        <v>0</v>
      </c>
      <c r="BQ19" s="4504">
        <f t="shared" si="57"/>
        <v>0</v>
      </c>
      <c r="BR19" s="4504">
        <f t="shared" si="58"/>
        <v>0</v>
      </c>
      <c r="BS19" s="4504">
        <f t="shared" si="59"/>
        <v>95.414042346087058</v>
      </c>
      <c r="BT19" s="4504">
        <f t="shared" si="60"/>
        <v>96.947917989675716</v>
      </c>
      <c r="BU19" s="4504">
        <f t="shared" si="61"/>
        <v>97.970501752068145</v>
      </c>
      <c r="BV19" s="4504">
        <f t="shared" si="62"/>
        <v>98.993085514460589</v>
      </c>
      <c r="BW19" s="4504">
        <f t="shared" si="63"/>
        <v>100.01566927685303</v>
      </c>
      <c r="BX19" s="4504">
        <f t="shared" si="64"/>
        <v>101.03825303924546</v>
      </c>
      <c r="BY19" s="4504">
        <f t="shared" si="65"/>
        <v>102.0608368016379</v>
      </c>
    </row>
    <row r="20" spans="1:77">
      <c r="A20" s="2564"/>
      <c r="B20" s="2565">
        <v>20501</v>
      </c>
      <c r="C20" s="2560">
        <v>0.08</v>
      </c>
      <c r="D20" s="2566" t="s">
        <v>410</v>
      </c>
      <c r="E20" s="4453">
        <f>+'11.3. ДА Базова година'!H21</f>
        <v>938.90944030333947</v>
      </c>
      <c r="F20" s="908">
        <f>E20+SUMIF('11.1.Амортиз.нови активи'!$B$12:$B$59,$B20,'11.1.Амортиз.нови активи'!F$12:F$59)+('9.Инвестиционна програма'!H$130*SUMIF('11.1.Амортиз.нови активи'!$B$12:$B$59,$B20,'11.1.Амортиз.нови активи'!AO$12:AO$59))</f>
        <v>938.90944030333947</v>
      </c>
      <c r="G20" s="1224">
        <f>F20+SUMIF('11.1.Амортиз.нови активи'!$B$12:$B$59,$B20,'11.1.Амортиз.нови активи'!G$12:G$59)+('9.Инвестиционна програма'!I$130*SUMIF('11.1.Амортиз.нови активи'!$B$12:$B$59,$B20,'11.1.Амортиз.нови активи'!AP$12:AP$59))</f>
        <v>938.90944030333947</v>
      </c>
      <c r="H20" s="1224">
        <f>G20+SUMIF('11.1.Амортиз.нови активи'!$B$12:$B$59,$B20,'11.1.Амортиз.нови активи'!H$12:H$59)+('9.Инвестиционна програма'!J$130*SUMIF('11.1.Амортиз.нови активи'!$B$12:$B$59,$B20,'11.1.Амортиз.нови активи'!AQ$12:AQ$59))</f>
        <v>938.90944030333947</v>
      </c>
      <c r="I20" s="1224">
        <f>H20+SUMIF('11.1.Амортиз.нови активи'!$B$12:$B$59,$B20,'11.1.Амортиз.нови активи'!I$12:I$59)+('9.Инвестиционна програма'!K$130*SUMIF('11.1.Амортиз.нови активи'!$B$12:$B$59,$B20,'11.1.Амортиз.нови активи'!AR$12:AR$59))</f>
        <v>938.90944030333947</v>
      </c>
      <c r="J20" s="1224">
        <f>I20+SUMIF('11.1.Амортиз.нови активи'!$B$12:$B$59,$B20,'11.1.Амортиз.нови активи'!J$12:J$59)+('9.Инвестиционна програма'!L$130*SUMIF('11.1.Амортиз.нови активи'!$B$12:$B$59,$B20,'11.1.Амортиз.нови активи'!AS$12:AS$59))</f>
        <v>938.90944030333947</v>
      </c>
      <c r="K20" s="1229">
        <f>J20+SUMIF('11.1.Амортиз.нови активи'!$B$12:$B$59,$B20,'11.1.Амортиз.нови активи'!K$12:K$59)+('9.Инвестиционна програма'!M$130*SUMIF('11.1.Амортиз.нови активи'!$B$12:$B$59,$B20,'11.1.Амортиз.нови активи'!AT$12:AT$59))</f>
        <v>938.90944030333947</v>
      </c>
      <c r="L20" s="4453">
        <f>+'11.3. ДА Базова година'!L21</f>
        <v>26.271287167938102</v>
      </c>
      <c r="M20" s="1228">
        <f>L20+SUMIF('11.1.Амортиз.нови активи'!$B$12:$B$59,$B20,'11.1.Амортиз.нови активи'!M$12:M$59)+('9.Инвестиционна програма'!H$131*SUMIF('11.1.Амортиз.нови активи'!$B$12:$B$59,$B20,'11.1.Амортиз.нови активи'!AO$12:AO$59))</f>
        <v>26.271287167938102</v>
      </c>
      <c r="N20" s="1224">
        <f>M20+SUMIF('11.1.Амортиз.нови активи'!$B$12:$B$59,$B20,'11.1.Амортиз.нови активи'!N$12:N$59)+('9.Инвестиционна програма'!I$131*SUMIF('11.1.Амортиз.нови активи'!$B$12:$B$59,$B20,'11.1.Амортиз.нови активи'!AP$12:AP$59))</f>
        <v>26.271287167938102</v>
      </c>
      <c r="O20" s="1224">
        <f>N20+SUMIF('11.1.Амортиз.нови активи'!$B$12:$B$59,$B20,'11.1.Амортиз.нови активи'!O$12:O$59)+('9.Инвестиционна програма'!J$131*SUMIF('11.1.Амортиз.нови активи'!$B$12:$B$59,$B20,'11.1.Амортиз.нови активи'!AQ$12:AQ$59))</f>
        <v>26.271287167938102</v>
      </c>
      <c r="P20" s="1224">
        <f>O20+SUMIF('11.1.Амортиз.нови активи'!$B$12:$B$59,$B20,'11.1.Амортиз.нови активи'!P$12:P$59)+('9.Инвестиционна програма'!K$131*SUMIF('11.1.Амортиз.нови активи'!$B$12:$B$59,$B20,'11.1.Амортиз.нови активи'!AR$12:AR$59))</f>
        <v>26.271287167938102</v>
      </c>
      <c r="Q20" s="1224">
        <f>P20+SUMIF('11.1.Амортиз.нови активи'!$B$12:$B$59,$B20,'11.1.Амортиз.нови активи'!Q$12:Q$59)+('9.Инвестиционна програма'!L$131*SUMIF('11.1.Амортиз.нови активи'!$B$12:$B$59,$B20,'11.1.Амортиз.нови активи'!AS$12:AS$59))</f>
        <v>26.271287167938102</v>
      </c>
      <c r="R20" s="1229">
        <f>Q20+SUMIF('11.1.Амортиз.нови активи'!$B$12:$B$59,$B20,'11.1.Амортиз.нови активи'!R$12:R$59)+('9.Инвестиционна програма'!M$131*SUMIF('11.1.Амортиз.нови активи'!$B$12:$B$59,$B20,'11.1.Амортиз.нови активи'!AT$12:AT$59))</f>
        <v>26.271287167938102</v>
      </c>
      <c r="S20" s="4453">
        <f>+'11.3. ДА Базова година'!P21</f>
        <v>40.302101091142511</v>
      </c>
      <c r="T20" s="1228">
        <f>S20+SUMIF('11.1.Амортиз.нови активи'!$B$12:$B$59,$B20,'11.1.Амортиз.нови активи'!T$12:T$59)+('9.Инвестиционна програма'!H$132*SUMIF('11.1.Амортиз.нови активи'!$B$12:$B$59,$B20,'11.1.Амортиз.нови активи'!AO$12:AO$59))</f>
        <v>40.302101091142511</v>
      </c>
      <c r="U20" s="1224">
        <f>T20+SUMIF('11.1.Амортиз.нови активи'!$B$12:$B$59,$B20,'11.1.Амортиз.нови активи'!U$12:U$59)+('9.Инвестиционна програма'!I$132*SUMIF('11.1.Амортиз.нови активи'!$B$12:$B$59,$B20,'11.1.Амортиз.нови активи'!AP$12:AP$59))</f>
        <v>40.302101091142511</v>
      </c>
      <c r="V20" s="1224">
        <f>U20+SUMIF('11.1.Амортиз.нови активи'!$B$12:$B$59,$B20,'11.1.Амортиз.нови активи'!V$12:V$59)+('9.Инвестиционна програма'!J$132*SUMIF('11.1.Амортиз.нови активи'!$B$12:$B$59,$B20,'11.1.Амортиз.нови активи'!AQ$12:AQ$59))</f>
        <v>40.302101091142511</v>
      </c>
      <c r="W20" s="1224">
        <f>V20+SUMIF('11.1.Амортиз.нови активи'!$B$12:$B$59,$B20,'11.1.Амортиз.нови активи'!W$12:W$59)+('9.Инвестиционна програма'!K$132*SUMIF('11.1.Амортиз.нови активи'!$B$12:$B$59,$B20,'11.1.Амортиз.нови активи'!AR$12:AR$59))</f>
        <v>40.302101091142511</v>
      </c>
      <c r="X20" s="1224">
        <f>W20+SUMIF('11.1.Амортиз.нови активи'!$B$12:$B$59,$B20,'11.1.Амортиз.нови активи'!X$12:X$59)+('9.Инвестиционна програма'!L$132*SUMIF('11.1.Амортиз.нови активи'!$B$12:$B$59,$B20,'11.1.Амортиз.нови активи'!AS$12:AS$59))</f>
        <v>40.302101091142511</v>
      </c>
      <c r="Y20" s="1229">
        <f>X20+SUMIF('11.1.Амортиз.нови активи'!$B$12:$B$59,$B20,'11.1.Амортиз.нови активи'!Y$12:Y$59)+('9.Инвестиционна програма'!M$132*SUMIF('11.1.Амортиз.нови активи'!$B$12:$B$59,$B20,'11.1.Амортиз.нови активи'!AT$12:AT$59))</f>
        <v>40.302101091142511</v>
      </c>
      <c r="Z20" s="4453">
        <f>+'11.3. ДА Базова година'!T21</f>
        <v>0</v>
      </c>
      <c r="AA20" s="1228">
        <f>Z20+SUMIF('11.1.Амортиз.нови активи'!$B$12:$B$59,$B20,'11.1.Амортиз.нови активи'!AA$12:AA$59)</f>
        <v>0</v>
      </c>
      <c r="AB20" s="1224">
        <f>AA20+SUMIF('11.1.Амортиз.нови активи'!$B$12:$B$59,$B20,'11.1.Амортиз.нови активи'!AB$12:AB$59)</f>
        <v>0</v>
      </c>
      <c r="AC20" s="1224">
        <f>AB20+SUMIF('11.1.Амортиз.нови активи'!$B$12:$B$59,$B20,'11.1.Амортиз.нови активи'!AC$12:AC$59)</f>
        <v>0</v>
      </c>
      <c r="AD20" s="1224">
        <f>AC20+SUMIF('11.1.Амортиз.нови активи'!$B$12:$B$59,$B20,'11.1.Амортиз.нови активи'!AD$12:AD$59)</f>
        <v>0</v>
      </c>
      <c r="AE20" s="1224">
        <f>AD20+SUMIF('11.1.Амортиз.нови активи'!$B$12:$B$59,$B20,'11.1.Амортиз.нови активи'!AE$12:AE$59)</f>
        <v>0</v>
      </c>
      <c r="AF20" s="1229">
        <f>AE20+SUMIF('11.1.Амортиз.нови активи'!$B$12:$B$59,$B20,'11.1.Амортиз.нови активи'!AF$12:AF$59)</f>
        <v>0</v>
      </c>
      <c r="AG20" s="4453">
        <f>+'11.3. ДА Базова година'!X21</f>
        <v>108.70676143757984</v>
      </c>
      <c r="AH20" s="1228">
        <f>AG20+SUMIF('11.1.Амортиз.нови активи'!$B$12:$B$59,$B20,'11.1.Амортиз.нови активи'!AH$12:AH$59)</f>
        <v>110.70676143757984</v>
      </c>
      <c r="AI20" s="1224">
        <f>AH20+SUMIF('11.1.Амортиз.нови активи'!$B$12:$B$59,$B20,'11.1.Амортиз.нови активи'!AI$12:AI$59)</f>
        <v>110.70676143757984</v>
      </c>
      <c r="AJ20" s="1224">
        <f>AI20+SUMIF('11.1.Амортиз.нови активи'!$B$12:$B$59,$B20,'11.1.Амортиз.нови активи'!AJ$12:AJ$59)</f>
        <v>110.70676143757984</v>
      </c>
      <c r="AK20" s="1224">
        <f>AJ20+SUMIF('11.1.Амортиз.нови активи'!$B$12:$B$59,$B20,'11.1.Амортиз.нови активи'!AK$12:AK$59)</f>
        <v>110.70676143757984</v>
      </c>
      <c r="AL20" s="1224">
        <f>AK20+SUMIF('11.1.Амортиз.нови активи'!$B$12:$B$59,$B20,'11.1.Амортиз.нови активи'!AL$12:AL$59)</f>
        <v>110.70676143757984</v>
      </c>
      <c r="AM20" s="1229">
        <f>AL20+SUMIF('11.1.Амортиз.нови активи'!$B$12:$B$59,$B20,'11.1.Амортиз.нови активи'!AM$12:AM$59)</f>
        <v>110.70676143757984</v>
      </c>
      <c r="AN20" s="2551"/>
      <c r="AO20" s="2559"/>
      <c r="AP20" s="4488"/>
      <c r="AQ20" s="4504">
        <f t="shared" si="31"/>
        <v>480.05677400558307</v>
      </c>
      <c r="AR20" s="4504">
        <f t="shared" si="32"/>
        <v>480.05677400558307</v>
      </c>
      <c r="AS20" s="4504">
        <f t="shared" si="33"/>
        <v>480.05677400558307</v>
      </c>
      <c r="AT20" s="4504">
        <f t="shared" si="34"/>
        <v>480.05677400558307</v>
      </c>
      <c r="AU20" s="4504">
        <f t="shared" si="35"/>
        <v>480.05677400558307</v>
      </c>
      <c r="AV20" s="4504">
        <f t="shared" si="36"/>
        <v>480.05677400558307</v>
      </c>
      <c r="AW20" s="4504">
        <f t="shared" si="37"/>
        <v>480.05677400558307</v>
      </c>
      <c r="AX20" s="4504">
        <f t="shared" si="38"/>
        <v>13.432295837541147</v>
      </c>
      <c r="AY20" s="4504">
        <f t="shared" si="39"/>
        <v>13.432295837541147</v>
      </c>
      <c r="AZ20" s="4504">
        <f t="shared" si="40"/>
        <v>13.432295837541147</v>
      </c>
      <c r="BA20" s="4504">
        <f t="shared" si="41"/>
        <v>13.432295837541147</v>
      </c>
      <c r="BB20" s="4504">
        <f t="shared" si="42"/>
        <v>13.432295837541147</v>
      </c>
      <c r="BC20" s="4504">
        <f t="shared" si="43"/>
        <v>13.432295837541147</v>
      </c>
      <c r="BD20" s="4504">
        <f t="shared" si="44"/>
        <v>13.432295837541147</v>
      </c>
      <c r="BE20" s="4504">
        <f t="shared" si="45"/>
        <v>20.606137083050424</v>
      </c>
      <c r="BF20" s="4504">
        <f t="shared" si="46"/>
        <v>20.606137083050424</v>
      </c>
      <c r="BG20" s="4504">
        <f t="shared" si="47"/>
        <v>20.606137083050424</v>
      </c>
      <c r="BH20" s="4504">
        <f t="shared" si="48"/>
        <v>20.606137083050424</v>
      </c>
      <c r="BI20" s="4504">
        <f t="shared" si="49"/>
        <v>20.606137083050424</v>
      </c>
      <c r="BJ20" s="4504">
        <f t="shared" si="50"/>
        <v>20.606137083050424</v>
      </c>
      <c r="BK20" s="4504">
        <f t="shared" si="51"/>
        <v>20.606137083050424</v>
      </c>
      <c r="BL20" s="4504">
        <f t="shared" si="52"/>
        <v>0</v>
      </c>
      <c r="BM20" s="4504">
        <f t="shared" si="53"/>
        <v>0</v>
      </c>
      <c r="BN20" s="4504">
        <f t="shared" si="54"/>
        <v>0</v>
      </c>
      <c r="BO20" s="4504">
        <f t="shared" si="55"/>
        <v>0</v>
      </c>
      <c r="BP20" s="4504">
        <f t="shared" si="56"/>
        <v>0</v>
      </c>
      <c r="BQ20" s="4504">
        <f t="shared" si="57"/>
        <v>0</v>
      </c>
      <c r="BR20" s="4504">
        <f t="shared" si="58"/>
        <v>0</v>
      </c>
      <c r="BS20" s="4504">
        <f t="shared" si="59"/>
        <v>55.58088455416874</v>
      </c>
      <c r="BT20" s="4504">
        <f t="shared" si="60"/>
        <v>56.603468316561177</v>
      </c>
      <c r="BU20" s="4504">
        <f t="shared" si="61"/>
        <v>56.603468316561177</v>
      </c>
      <c r="BV20" s="4504">
        <f t="shared" si="62"/>
        <v>56.603468316561177</v>
      </c>
      <c r="BW20" s="4504">
        <f t="shared" si="63"/>
        <v>56.603468316561177</v>
      </c>
      <c r="BX20" s="4504">
        <f t="shared" si="64"/>
        <v>56.603468316561177</v>
      </c>
      <c r="BY20" s="4504">
        <f t="shared" si="65"/>
        <v>56.603468316561177</v>
      </c>
    </row>
    <row r="21" spans="1:77">
      <c r="A21" s="2564"/>
      <c r="B21" s="2565">
        <v>20502</v>
      </c>
      <c r="C21" s="2560">
        <v>0.1</v>
      </c>
      <c r="D21" s="2566" t="s">
        <v>411</v>
      </c>
      <c r="E21" s="4453">
        <f>+'11.3. ДА Базова година'!H22</f>
        <v>940.27576676039928</v>
      </c>
      <c r="F21" s="908">
        <f>E21+SUMIF('11.1.Амортиз.нови активи'!$B$12:$B$59,$B21,'11.1.Амортиз.нови активи'!F$12:F$59)+('9.Инвестиционна програма'!H$130*SUMIF('11.1.Амортиз.нови активи'!$B$12:$B$59,$B21,'11.1.Амортиз.нови активи'!AO$12:AO$59))</f>
        <v>940.94243342706591</v>
      </c>
      <c r="G21" s="1224">
        <f>F21+SUMIF('11.1.Амортиз.нови активи'!$B$12:$B$59,$B21,'11.1.Амортиз.нови активи'!G$12:G$59)+('9.Инвестиционна програма'!I$130*SUMIF('11.1.Амортиз.нови активи'!$B$12:$B$59,$B21,'11.1.Амортиз.нови активи'!AP$12:AP$59))</f>
        <v>940.94243342706591</v>
      </c>
      <c r="H21" s="1224">
        <f>G21+SUMIF('11.1.Амортиз.нови активи'!$B$12:$B$59,$B21,'11.1.Амортиз.нови активи'!H$12:H$59)+('9.Инвестиционна програма'!J$130*SUMIF('11.1.Амортиз.нови активи'!$B$12:$B$59,$B21,'11.1.Амортиз.нови активи'!AQ$12:AQ$59))</f>
        <v>940.94243342706591</v>
      </c>
      <c r="I21" s="1224">
        <f>H21+SUMIF('11.1.Амортиз.нови активи'!$B$12:$B$59,$B21,'11.1.Амортиз.нови активи'!I$12:I$59)+('9.Инвестиционна програма'!K$130*SUMIF('11.1.Амортиз.нови активи'!$B$12:$B$59,$B21,'11.1.Амортиз.нови активи'!AR$12:AR$59))</f>
        <v>940.94243342706591</v>
      </c>
      <c r="J21" s="1224">
        <f>I21+SUMIF('11.1.Амортиз.нови активи'!$B$12:$B$59,$B21,'11.1.Амортиз.нови активи'!J$12:J$59)+('9.Инвестиционна програма'!L$130*SUMIF('11.1.Амортиз.нови активи'!$B$12:$B$59,$B21,'11.1.Амортиз.нови активи'!AS$12:AS$59))</f>
        <v>940.94243342706591</v>
      </c>
      <c r="K21" s="1229">
        <f>J21+SUMIF('11.1.Амортиз.нови активи'!$B$12:$B$59,$B21,'11.1.Амортиз.нови активи'!K$12:K$59)+('9.Инвестиционна програма'!M$130*SUMIF('11.1.Амортиз.нови активи'!$B$12:$B$59,$B21,'11.1.Амортиз.нови активи'!AT$12:AT$59))</f>
        <v>940.94243342706591</v>
      </c>
      <c r="L21" s="4453">
        <f>+'11.3. ДА Базова година'!L22</f>
        <v>110.87333870670881</v>
      </c>
      <c r="M21" s="1228">
        <f>L21+SUMIF('11.1.Амортиз.нови активи'!$B$12:$B$59,$B21,'11.1.Амортиз.нови активи'!M$12:M$59)+('9.Инвестиционна програма'!H$131*SUMIF('11.1.Амортиз.нови активи'!$B$12:$B$59,$B21,'11.1.Амортиз.нови активи'!AO$12:AO$59))</f>
        <v>111.54000537337548</v>
      </c>
      <c r="N21" s="1224">
        <f>M21+SUMIF('11.1.Амортиз.нови активи'!$B$12:$B$59,$B21,'11.1.Амортиз.нови активи'!N$12:N$59)+('9.Инвестиционна програма'!I$131*SUMIF('11.1.Амортиз.нови активи'!$B$12:$B$59,$B21,'11.1.Амортиз.нови активи'!AP$12:AP$59))</f>
        <v>111.54000537337548</v>
      </c>
      <c r="O21" s="1224">
        <f>N21+SUMIF('11.1.Амортиз.нови активи'!$B$12:$B$59,$B21,'11.1.Амортиз.нови активи'!O$12:O$59)+('9.Инвестиционна програма'!J$131*SUMIF('11.1.Амортиз.нови активи'!$B$12:$B$59,$B21,'11.1.Амортиз.нови активи'!AQ$12:AQ$59))</f>
        <v>111.54000537337548</v>
      </c>
      <c r="P21" s="1224">
        <f>O21+SUMIF('11.1.Амортиз.нови активи'!$B$12:$B$59,$B21,'11.1.Амортиз.нови активи'!P$12:P$59)+('9.Инвестиционна програма'!K$131*SUMIF('11.1.Амортиз.нови активи'!$B$12:$B$59,$B21,'11.1.Амортиз.нови активи'!AR$12:AR$59))</f>
        <v>111.54000537337548</v>
      </c>
      <c r="Q21" s="1224">
        <f>P21+SUMIF('11.1.Амортиз.нови активи'!$B$12:$B$59,$B21,'11.1.Амортиз.нови активи'!Q$12:Q$59)+('9.Инвестиционна програма'!L$131*SUMIF('11.1.Амортиз.нови активи'!$B$12:$B$59,$B21,'11.1.Амортиз.нови активи'!AS$12:AS$59))</f>
        <v>111.54000537337548</v>
      </c>
      <c r="R21" s="1229">
        <f>Q21+SUMIF('11.1.Амортиз.нови активи'!$B$12:$B$59,$B21,'11.1.Амортиз.нови активи'!R$12:R$59)+('9.Инвестиционна програма'!M$131*SUMIF('11.1.Амортиз.нови активи'!$B$12:$B$59,$B21,'11.1.Амортиз.нови активи'!AT$12:AT$59))</f>
        <v>111.54000537337548</v>
      </c>
      <c r="S21" s="4453">
        <f>+'11.3. ДА Базова година'!P22</f>
        <v>131.57678012371872</v>
      </c>
      <c r="T21" s="1228">
        <f>S21+SUMIF('11.1.Амортиз.нови активи'!$B$12:$B$59,$B21,'11.1.Амортиз.нови активи'!T$12:T$59)+('9.Инвестиционна програма'!H$132*SUMIF('11.1.Амортиз.нови активи'!$B$12:$B$59,$B21,'11.1.Амортиз.нови активи'!AO$12:AO$59))</f>
        <v>132.24344679038538</v>
      </c>
      <c r="U21" s="1224">
        <f>T21+SUMIF('11.1.Амортиз.нови активи'!$B$12:$B$59,$B21,'11.1.Амортиз.нови активи'!U$12:U$59)+('9.Инвестиционна програма'!I$132*SUMIF('11.1.Амортиз.нови активи'!$B$12:$B$59,$B21,'11.1.Амортиз.нови активи'!AP$12:AP$59))</f>
        <v>132.24344679038538</v>
      </c>
      <c r="V21" s="1224">
        <f>U21+SUMIF('11.1.Амортиз.нови активи'!$B$12:$B$59,$B21,'11.1.Амортиз.нови активи'!V$12:V$59)+('9.Инвестиционна програма'!J$132*SUMIF('11.1.Амортиз.нови активи'!$B$12:$B$59,$B21,'11.1.Амортиз.нови активи'!AQ$12:AQ$59))</f>
        <v>132.24344679038538</v>
      </c>
      <c r="W21" s="1224">
        <f>V21+SUMIF('11.1.Амортиз.нови активи'!$B$12:$B$59,$B21,'11.1.Амортиз.нови активи'!W$12:W$59)+('9.Инвестиционна програма'!K$132*SUMIF('11.1.Амортиз.нови активи'!$B$12:$B$59,$B21,'11.1.Амортиз.нови активи'!AR$12:AR$59))</f>
        <v>132.24344679038538</v>
      </c>
      <c r="X21" s="1224">
        <f>W21+SUMIF('11.1.Амортиз.нови активи'!$B$12:$B$59,$B21,'11.1.Амортиз.нови активи'!X$12:X$59)+('9.Инвестиционна програма'!L$132*SUMIF('11.1.Амортиз.нови активи'!$B$12:$B$59,$B21,'11.1.Амортиз.нови активи'!AS$12:AS$59))</f>
        <v>132.24344679038538</v>
      </c>
      <c r="Y21" s="1229">
        <f>X21+SUMIF('11.1.Амортиз.нови активи'!$B$12:$B$59,$B21,'11.1.Амортиз.нови активи'!Y$12:Y$59)+('9.Инвестиционна програма'!M$132*SUMIF('11.1.Амортиз.нови активи'!$B$12:$B$59,$B21,'11.1.Амортиз.нови активи'!AT$12:AT$59))</f>
        <v>132.24344679038538</v>
      </c>
      <c r="Z21" s="4453">
        <f>+'11.3. ДА Базова година'!T22</f>
        <v>0</v>
      </c>
      <c r="AA21" s="1228">
        <f>Z21+SUMIF('11.1.Амортиз.нови активи'!$B$12:$B$59,$B21,'11.1.Амортиз.нови активи'!AA$12:AA$59)</f>
        <v>0</v>
      </c>
      <c r="AB21" s="1224">
        <f>AA21+SUMIF('11.1.Амортиз.нови активи'!$B$12:$B$59,$B21,'11.1.Амортиз.нови активи'!AB$12:AB$59)</f>
        <v>0</v>
      </c>
      <c r="AC21" s="1224">
        <f>AB21+SUMIF('11.1.Амортиз.нови активи'!$B$12:$B$59,$B21,'11.1.Амортиз.нови активи'!AC$12:AC$59)</f>
        <v>0</v>
      </c>
      <c r="AD21" s="1224">
        <f>AC21+SUMIF('11.1.Амортиз.нови активи'!$B$12:$B$59,$B21,'11.1.Амортиз.нови активи'!AD$12:AD$59)</f>
        <v>0</v>
      </c>
      <c r="AE21" s="1224">
        <f>AD21+SUMIF('11.1.Амортиз.нови активи'!$B$12:$B$59,$B21,'11.1.Амортиз.нови активи'!AE$12:AE$59)</f>
        <v>0</v>
      </c>
      <c r="AF21" s="1229">
        <f>AE21+SUMIF('11.1.Амортиз.нови активи'!$B$12:$B$59,$B21,'11.1.Амортиз.нови активи'!AF$12:AF$59)</f>
        <v>0</v>
      </c>
      <c r="AG21" s="4453">
        <f>+'11.3. ДА Базова година'!X22</f>
        <v>27.423388123045818</v>
      </c>
      <c r="AH21" s="1228">
        <f>AG21+SUMIF('11.1.Амортиз.нови активи'!$B$12:$B$59,$B21,'11.1.Амортиз.нови активи'!AH$12:AH$59)</f>
        <v>28.423388123045818</v>
      </c>
      <c r="AI21" s="1224">
        <f>AH21+SUMIF('11.1.Амортиз.нови активи'!$B$12:$B$59,$B21,'11.1.Амортиз.нови активи'!AI$12:AI$59)</f>
        <v>28.423388123045818</v>
      </c>
      <c r="AJ21" s="1224">
        <f>AI21+SUMIF('11.1.Амортиз.нови активи'!$B$12:$B$59,$B21,'11.1.Амортиз.нови активи'!AJ$12:AJ$59)</f>
        <v>28.423388123045818</v>
      </c>
      <c r="AK21" s="1224">
        <f>AJ21+SUMIF('11.1.Амортиз.нови активи'!$B$12:$B$59,$B21,'11.1.Амортиз.нови активи'!AK$12:AK$59)</f>
        <v>28.423388123045818</v>
      </c>
      <c r="AL21" s="1224">
        <f>AK21+SUMIF('11.1.Амортиз.нови активи'!$B$12:$B$59,$B21,'11.1.Амортиз.нови активи'!AL$12:AL$59)</f>
        <v>28.423388123045818</v>
      </c>
      <c r="AM21" s="1229">
        <f>AL21+SUMIF('11.1.Амортиз.нови активи'!$B$12:$B$59,$B21,'11.1.Амортиз.нови активи'!AM$12:AM$59)</f>
        <v>28.423388123045818</v>
      </c>
      <c r="AN21" s="2551"/>
      <c r="AO21" s="2559"/>
      <c r="AP21" s="4488"/>
      <c r="AQ21" s="4504">
        <f t="shared" si="31"/>
        <v>480.75536563014134</v>
      </c>
      <c r="AR21" s="4504">
        <f t="shared" si="32"/>
        <v>481.09622688427214</v>
      </c>
      <c r="AS21" s="4504">
        <f t="shared" si="33"/>
        <v>481.09622688427214</v>
      </c>
      <c r="AT21" s="4504">
        <f t="shared" si="34"/>
        <v>481.09622688427214</v>
      </c>
      <c r="AU21" s="4504">
        <f t="shared" si="35"/>
        <v>481.09622688427214</v>
      </c>
      <c r="AV21" s="4504">
        <f t="shared" si="36"/>
        <v>481.09622688427214</v>
      </c>
      <c r="AW21" s="4504">
        <f t="shared" si="37"/>
        <v>481.09622688427214</v>
      </c>
      <c r="AX21" s="4504">
        <f t="shared" si="38"/>
        <v>56.68863792185865</v>
      </c>
      <c r="AY21" s="4504">
        <f t="shared" si="39"/>
        <v>57.029499175989471</v>
      </c>
      <c r="AZ21" s="4504">
        <f t="shared" si="40"/>
        <v>57.029499175989471</v>
      </c>
      <c r="BA21" s="4504">
        <f t="shared" si="41"/>
        <v>57.029499175989471</v>
      </c>
      <c r="BB21" s="4504">
        <f t="shared" si="42"/>
        <v>57.029499175989471</v>
      </c>
      <c r="BC21" s="4504">
        <f t="shared" si="43"/>
        <v>57.029499175989471</v>
      </c>
      <c r="BD21" s="4504">
        <f t="shared" si="44"/>
        <v>57.029499175989471</v>
      </c>
      <c r="BE21" s="4504">
        <f t="shared" si="45"/>
        <v>67.274139431197355</v>
      </c>
      <c r="BF21" s="4504">
        <f t="shared" si="46"/>
        <v>67.61500068532817</v>
      </c>
      <c r="BG21" s="4504">
        <f t="shared" si="47"/>
        <v>67.61500068532817</v>
      </c>
      <c r="BH21" s="4504">
        <f t="shared" si="48"/>
        <v>67.61500068532817</v>
      </c>
      <c r="BI21" s="4504">
        <f t="shared" si="49"/>
        <v>67.61500068532817</v>
      </c>
      <c r="BJ21" s="4504">
        <f t="shared" si="50"/>
        <v>67.61500068532817</v>
      </c>
      <c r="BK21" s="4504">
        <f t="shared" si="51"/>
        <v>67.61500068532817</v>
      </c>
      <c r="BL21" s="4504">
        <f t="shared" si="52"/>
        <v>0</v>
      </c>
      <c r="BM21" s="4504">
        <f t="shared" si="53"/>
        <v>0</v>
      </c>
      <c r="BN21" s="4504">
        <f t="shared" si="54"/>
        <v>0</v>
      </c>
      <c r="BO21" s="4504">
        <f t="shared" si="55"/>
        <v>0</v>
      </c>
      <c r="BP21" s="4504">
        <f t="shared" si="56"/>
        <v>0</v>
      </c>
      <c r="BQ21" s="4504">
        <f t="shared" si="57"/>
        <v>0</v>
      </c>
      <c r="BR21" s="4504">
        <f t="shared" si="58"/>
        <v>0</v>
      </c>
      <c r="BS21" s="4504">
        <f t="shared" si="59"/>
        <v>14.021355702206131</v>
      </c>
      <c r="BT21" s="4504">
        <f t="shared" si="60"/>
        <v>14.532647583402349</v>
      </c>
      <c r="BU21" s="4504">
        <f t="shared" si="61"/>
        <v>14.532647583402349</v>
      </c>
      <c r="BV21" s="4504">
        <f t="shared" si="62"/>
        <v>14.532647583402349</v>
      </c>
      <c r="BW21" s="4504">
        <f t="shared" si="63"/>
        <v>14.532647583402349</v>
      </c>
      <c r="BX21" s="4504">
        <f t="shared" si="64"/>
        <v>14.532647583402349</v>
      </c>
      <c r="BY21" s="4504">
        <f t="shared" si="65"/>
        <v>14.532647583402349</v>
      </c>
    </row>
    <row r="22" spans="1:77">
      <c r="A22" s="2564"/>
      <c r="B22" s="2565">
        <v>20503</v>
      </c>
      <c r="C22" s="2560">
        <v>0.1</v>
      </c>
      <c r="D22" s="2561" t="s">
        <v>412</v>
      </c>
      <c r="E22" s="4453">
        <f>+'11.3. ДА Базова година'!H23</f>
        <v>67.977625920811121</v>
      </c>
      <c r="F22" s="908">
        <f>E22+SUMIF('11.1.Амортиз.нови активи'!$B$12:$B$59,$B22,'11.1.Амортиз.нови активи'!F$12:F$59)+('9.Инвестиционна програма'!H$130*SUMIF('11.1.Амортиз.нови активи'!$B$12:$B$59,$B22,'11.1.Амортиз.нови активи'!AO$12:AO$59))</f>
        <v>68.644292587477793</v>
      </c>
      <c r="G22" s="1224">
        <f>F22+SUMIF('11.1.Амортиз.нови активи'!$B$12:$B$59,$B22,'11.1.Амортиз.нови активи'!G$12:G$59)+('9.Инвестиционна програма'!I$130*SUMIF('11.1.Амортиз.нови активи'!$B$12:$B$59,$B22,'11.1.Амортиз.нови активи'!AP$12:AP$59))</f>
        <v>68.644292587477793</v>
      </c>
      <c r="H22" s="1224">
        <f>G22+SUMIF('11.1.Амортиз.нови активи'!$B$12:$B$59,$B22,'11.1.Амортиз.нови активи'!H$12:H$59)+('9.Инвестиционна програма'!J$130*SUMIF('11.1.Амортиз.нови активи'!$B$12:$B$59,$B22,'11.1.Амортиз.нови активи'!AQ$12:AQ$59))</f>
        <v>68.644292587477793</v>
      </c>
      <c r="I22" s="1224">
        <f>H22+SUMIF('11.1.Амортиз.нови активи'!$B$12:$B$59,$B22,'11.1.Амортиз.нови активи'!I$12:I$59)+('9.Инвестиционна програма'!K$130*SUMIF('11.1.Амортиз.нови активи'!$B$12:$B$59,$B22,'11.1.Амортиз.нови активи'!AR$12:AR$59))</f>
        <v>68.644292587477793</v>
      </c>
      <c r="J22" s="1224">
        <f>I22+SUMIF('11.1.Амортиз.нови активи'!$B$12:$B$59,$B22,'11.1.Амортиз.нови активи'!J$12:J$59)+('9.Инвестиционна програма'!L$130*SUMIF('11.1.Амортиз.нови активи'!$B$12:$B$59,$B22,'11.1.Амортиз.нови активи'!AS$12:AS$59))</f>
        <v>68.644292587477793</v>
      </c>
      <c r="K22" s="1229">
        <f>J22+SUMIF('11.1.Амортиз.нови активи'!$B$12:$B$59,$B22,'11.1.Амортиз.нови активи'!K$12:K$59)+('9.Инвестиционна програма'!M$130*SUMIF('11.1.Амортиз.нови активи'!$B$12:$B$59,$B22,'11.1.Амортиз.нови активи'!AT$12:AT$59))</f>
        <v>68.644292587477793</v>
      </c>
      <c r="L22" s="4453">
        <f>+'11.3. ДА Базова година'!L23</f>
        <v>39.395234256175527</v>
      </c>
      <c r="M22" s="1228">
        <f>L22+SUMIF('11.1.Амортиз.нови активи'!$B$12:$B$59,$B22,'11.1.Амортиз.нови активи'!M$12:M$59)+('9.Инвестиционна програма'!H$131*SUMIF('11.1.Амортиз.нови активи'!$B$12:$B$59,$B22,'11.1.Амортиз.нови активи'!AO$12:AO$59))</f>
        <v>40.061900922842192</v>
      </c>
      <c r="N22" s="1224">
        <f>M22+SUMIF('11.1.Амортиз.нови активи'!$B$12:$B$59,$B22,'11.1.Амортиз.нови активи'!N$12:N$59)+('9.Инвестиционна програма'!I$131*SUMIF('11.1.Амортиз.нови активи'!$B$12:$B$59,$B22,'11.1.Амортиз.нови активи'!AP$12:AP$59))</f>
        <v>43.061900922842192</v>
      </c>
      <c r="O22" s="1224">
        <f>N22+SUMIF('11.1.Амортиз.нови активи'!$B$12:$B$59,$B22,'11.1.Амортиз.нови активи'!O$12:O$59)+('9.Инвестиционна програма'!J$131*SUMIF('11.1.Амортиз.нови активи'!$B$12:$B$59,$B22,'11.1.Амортиз.нови активи'!AQ$12:AQ$59))</f>
        <v>46.061900922842192</v>
      </c>
      <c r="P22" s="1224">
        <f>O22+SUMIF('11.1.Амортиз.нови активи'!$B$12:$B$59,$B22,'11.1.Амортиз.нови активи'!P$12:P$59)+('9.Инвестиционна програма'!K$131*SUMIF('11.1.Амортиз.нови активи'!$B$12:$B$59,$B22,'11.1.Амортиз.нови активи'!AR$12:AR$59))</f>
        <v>49.061900922842192</v>
      </c>
      <c r="Q22" s="1224">
        <f>P22+SUMIF('11.1.Амортиз.нови активи'!$B$12:$B$59,$B22,'11.1.Амортиз.нови активи'!Q$12:Q$59)+('9.Инвестиционна програма'!L$131*SUMIF('11.1.Амортиз.нови активи'!$B$12:$B$59,$B22,'11.1.Амортиз.нови активи'!AS$12:AS$59))</f>
        <v>52.061900922842192</v>
      </c>
      <c r="R22" s="1229">
        <f>Q22+SUMIF('11.1.Амортиз.нови активи'!$B$12:$B$59,$B22,'11.1.Амортиз.нови активи'!R$12:R$59)+('9.Инвестиционна програма'!M$131*SUMIF('11.1.Амортиз.нови активи'!$B$12:$B$59,$B22,'11.1.Амортиз.нови активи'!AT$12:AT$59))</f>
        <v>55.061900922842192</v>
      </c>
      <c r="S22" s="4453">
        <f>+'11.3. ДА Базова година'!P23</f>
        <v>99.349538345607613</v>
      </c>
      <c r="T22" s="1228">
        <f>S22+SUMIF('11.1.Амортиз.нови активи'!$B$12:$B$59,$B22,'11.1.Амортиз.нови активи'!T$12:T$59)+('9.Инвестиционна програма'!H$132*SUMIF('11.1.Амортиз.нови активи'!$B$12:$B$59,$B22,'11.1.Амортиз.нови активи'!AO$12:AO$59))</f>
        <v>100.01620501227428</v>
      </c>
      <c r="U22" s="1224">
        <f>T22+SUMIF('11.1.Амортиз.нови активи'!$B$12:$B$59,$B22,'11.1.Амортиз.нови активи'!U$12:U$59)+('9.Инвестиционна програма'!I$132*SUMIF('11.1.Амортиз.нови активи'!$B$12:$B$59,$B22,'11.1.Амортиз.нови активи'!AP$12:AP$59))</f>
        <v>102.01620501227428</v>
      </c>
      <c r="V22" s="1224">
        <f>U22+SUMIF('11.1.Амортиз.нови активи'!$B$12:$B$59,$B22,'11.1.Амортиз.нови активи'!V$12:V$59)+('9.Инвестиционна програма'!J$132*SUMIF('11.1.Амортиз.нови активи'!$B$12:$B$59,$B22,'11.1.Амортиз.нови активи'!AQ$12:AQ$59))</f>
        <v>104.01620501227428</v>
      </c>
      <c r="W22" s="1224">
        <f>V22+SUMIF('11.1.Амортиз.нови активи'!$B$12:$B$59,$B22,'11.1.Амортиз.нови активи'!W$12:W$59)+('9.Инвестиционна програма'!K$132*SUMIF('11.1.Амортиз.нови активи'!$B$12:$B$59,$B22,'11.1.Амортиз.нови активи'!AR$12:AR$59))</f>
        <v>106.01620501227428</v>
      </c>
      <c r="X22" s="1224">
        <f>W22+SUMIF('11.1.Амортиз.нови активи'!$B$12:$B$59,$B22,'11.1.Амортиз.нови активи'!X$12:X$59)+('9.Инвестиционна програма'!L$132*SUMIF('11.1.Амортиз.нови активи'!$B$12:$B$59,$B22,'11.1.Амортиз.нови активи'!AS$12:AS$59))</f>
        <v>108.01620501227428</v>
      </c>
      <c r="Y22" s="1229">
        <f>X22+SUMIF('11.1.Амортиз.нови активи'!$B$12:$B$59,$B22,'11.1.Амортиз.нови активи'!Y$12:Y$59)+('9.Инвестиционна програма'!M$132*SUMIF('11.1.Амортиз.нови активи'!$B$12:$B$59,$B22,'11.1.Амортиз.нови активи'!AT$12:AT$59))</f>
        <v>110.01620501227428</v>
      </c>
      <c r="Z22" s="4453">
        <f>+'11.3. ДА Базова година'!T23</f>
        <v>0</v>
      </c>
      <c r="AA22" s="1228">
        <f>Z22+SUMIF('11.1.Амортиз.нови активи'!$B$12:$B$59,$B22,'11.1.Амортиз.нови активи'!AA$12:AA$59)</f>
        <v>0</v>
      </c>
      <c r="AB22" s="1224">
        <f>AA22+SUMIF('11.1.Амортиз.нови активи'!$B$12:$B$59,$B22,'11.1.Амортиз.нови активи'!AB$12:AB$59)</f>
        <v>0</v>
      </c>
      <c r="AC22" s="1224">
        <f>AB22+SUMIF('11.1.Амортиз.нови активи'!$B$12:$B$59,$B22,'11.1.Амортиз.нови активи'!AC$12:AC$59)</f>
        <v>0</v>
      </c>
      <c r="AD22" s="1224">
        <f>AC22+SUMIF('11.1.Амортиз.нови активи'!$B$12:$B$59,$B22,'11.1.Амортиз.нови активи'!AD$12:AD$59)</f>
        <v>0</v>
      </c>
      <c r="AE22" s="1224">
        <f>AD22+SUMIF('11.1.Амортиз.нови активи'!$B$12:$B$59,$B22,'11.1.Амортиз.нови активи'!AE$12:AE$59)</f>
        <v>0</v>
      </c>
      <c r="AF22" s="1229">
        <f>AE22+SUMIF('11.1.Амортиз.нови активи'!$B$12:$B$59,$B22,'11.1.Амортиз.нови активи'!AF$12:AF$59)</f>
        <v>0</v>
      </c>
      <c r="AG22" s="4453">
        <f>+'11.3. ДА Базова година'!X23</f>
        <v>34.631171898663474</v>
      </c>
      <c r="AH22" s="1228">
        <f>AG22+SUMIF('11.1.Амортиз.нови активи'!$B$12:$B$59,$B22,'11.1.Амортиз.нови активи'!AH$12:AH$59)</f>
        <v>34.631171898663474</v>
      </c>
      <c r="AI22" s="1224">
        <f>AH22+SUMIF('11.1.Амортиз.нови активи'!$B$12:$B$59,$B22,'11.1.Амортиз.нови активи'!AI$12:AI$59)</f>
        <v>36.631171898663474</v>
      </c>
      <c r="AJ22" s="1224">
        <f>AI22+SUMIF('11.1.Амортиз.нови активи'!$B$12:$B$59,$B22,'11.1.Амортиз.нови активи'!AJ$12:AJ$59)</f>
        <v>38.631171898663474</v>
      </c>
      <c r="AK22" s="1224">
        <f>AJ22+SUMIF('11.1.Амортиз.нови активи'!$B$12:$B$59,$B22,'11.1.Амортиз.нови активи'!AK$12:AK$59)</f>
        <v>40.631171898663474</v>
      </c>
      <c r="AL22" s="1224">
        <f>AK22+SUMIF('11.1.Амортиз.нови активи'!$B$12:$B$59,$B22,'11.1.Амортиз.нови активи'!AL$12:AL$59)</f>
        <v>42.631171898663474</v>
      </c>
      <c r="AM22" s="1229">
        <f>AL22+SUMIF('11.1.Амортиз.нови активи'!$B$12:$B$59,$B22,'11.1.Амортиз.нови активи'!AM$12:AM$59)</f>
        <v>44.631171898663474</v>
      </c>
      <c r="AN22" s="2551"/>
      <c r="AO22" s="2559"/>
      <c r="AP22" s="4488"/>
      <c r="AQ22" s="4504">
        <f t="shared" si="31"/>
        <v>34.756408236304345</v>
      </c>
      <c r="AR22" s="4504">
        <f t="shared" si="32"/>
        <v>35.09726949043516</v>
      </c>
      <c r="AS22" s="4504">
        <f t="shared" si="33"/>
        <v>35.09726949043516</v>
      </c>
      <c r="AT22" s="4504">
        <f t="shared" si="34"/>
        <v>35.09726949043516</v>
      </c>
      <c r="AU22" s="4504">
        <f t="shared" si="35"/>
        <v>35.09726949043516</v>
      </c>
      <c r="AV22" s="4504">
        <f t="shared" si="36"/>
        <v>35.09726949043516</v>
      </c>
      <c r="AW22" s="4504">
        <f t="shared" si="37"/>
        <v>35.09726949043516</v>
      </c>
      <c r="AX22" s="4504">
        <f t="shared" si="38"/>
        <v>20.142463433005695</v>
      </c>
      <c r="AY22" s="4504">
        <f t="shared" si="39"/>
        <v>20.483324687136506</v>
      </c>
      <c r="AZ22" s="4504">
        <f t="shared" si="40"/>
        <v>22.01720033072516</v>
      </c>
      <c r="BA22" s="4504">
        <f t="shared" si="41"/>
        <v>23.551075974313818</v>
      </c>
      <c r="BB22" s="4504">
        <f t="shared" si="42"/>
        <v>25.084951617902473</v>
      </c>
      <c r="BC22" s="4504">
        <f t="shared" si="43"/>
        <v>26.618827261491127</v>
      </c>
      <c r="BD22" s="4504">
        <f t="shared" si="44"/>
        <v>28.152702905079785</v>
      </c>
      <c r="BE22" s="4504">
        <f t="shared" si="45"/>
        <v>50.796612356701559</v>
      </c>
      <c r="BF22" s="4504">
        <f t="shared" si="46"/>
        <v>51.137473610832373</v>
      </c>
      <c r="BG22" s="4504">
        <f t="shared" si="47"/>
        <v>52.160057373224817</v>
      </c>
      <c r="BH22" s="4504">
        <f t="shared" si="48"/>
        <v>53.182641135617253</v>
      </c>
      <c r="BI22" s="4504">
        <f t="shared" si="49"/>
        <v>54.205224898009689</v>
      </c>
      <c r="BJ22" s="4504">
        <f t="shared" si="50"/>
        <v>55.227808660402125</v>
      </c>
      <c r="BK22" s="4504">
        <f t="shared" si="51"/>
        <v>56.250392422794562</v>
      </c>
      <c r="BL22" s="4504">
        <f t="shared" si="52"/>
        <v>0</v>
      </c>
      <c r="BM22" s="4504">
        <f t="shared" si="53"/>
        <v>0</v>
      </c>
      <c r="BN22" s="4504">
        <f t="shared" si="54"/>
        <v>0</v>
      </c>
      <c r="BO22" s="4504">
        <f t="shared" si="55"/>
        <v>0</v>
      </c>
      <c r="BP22" s="4504">
        <f t="shared" si="56"/>
        <v>0</v>
      </c>
      <c r="BQ22" s="4504">
        <f t="shared" si="57"/>
        <v>0</v>
      </c>
      <c r="BR22" s="4504">
        <f t="shared" si="58"/>
        <v>0</v>
      </c>
      <c r="BS22" s="4504">
        <f t="shared" si="59"/>
        <v>17.706637028097266</v>
      </c>
      <c r="BT22" s="4504">
        <f t="shared" si="60"/>
        <v>17.706637028097266</v>
      </c>
      <c r="BU22" s="4504">
        <f t="shared" si="61"/>
        <v>18.729220790489702</v>
      </c>
      <c r="BV22" s="4504">
        <f t="shared" si="62"/>
        <v>19.751804552882138</v>
      </c>
      <c r="BW22" s="4504">
        <f t="shared" si="63"/>
        <v>20.774388315274578</v>
      </c>
      <c r="BX22" s="4504">
        <f t="shared" si="64"/>
        <v>21.796972077667014</v>
      </c>
      <c r="BY22" s="4504">
        <f t="shared" si="65"/>
        <v>22.819555840059451</v>
      </c>
    </row>
    <row r="23" spans="1:77">
      <c r="A23" s="2564"/>
      <c r="B23" s="2565">
        <v>20504</v>
      </c>
      <c r="C23" s="2560">
        <v>0.1</v>
      </c>
      <c r="D23" s="2561" t="s">
        <v>557</v>
      </c>
      <c r="E23" s="4453">
        <f>+'11.3. ДА Базова година'!H24</f>
        <v>20.847401522943674</v>
      </c>
      <c r="F23" s="908">
        <f>E23+SUMIF('11.1.Амортиз.нови активи'!$B$12:$B$59,$B23,'11.1.Амортиз.нови активи'!F$12:F$59)+('9.Инвестиционна програма'!H$130*SUMIF('11.1.Амортиз.нови активи'!$B$12:$B$59,$B23,'11.1.Амортиз.нови активи'!AO$12:AO$59))</f>
        <v>20.847401522943674</v>
      </c>
      <c r="G23" s="1224">
        <f>F23+SUMIF('11.1.Амортиз.нови активи'!$B$12:$B$59,$B23,'11.1.Амортиз.нови активи'!G$12:G$59)+('9.Инвестиционна програма'!I$130*SUMIF('11.1.Амортиз.нови активи'!$B$12:$B$59,$B23,'11.1.Амортиз.нови активи'!AP$12:AP$59))</f>
        <v>20.847401522943674</v>
      </c>
      <c r="H23" s="1224">
        <f>G23+SUMIF('11.1.Амортиз.нови активи'!$B$12:$B$59,$B23,'11.1.Амортиз.нови активи'!H$12:H$59)+('9.Инвестиционна програма'!J$130*SUMIF('11.1.Амортиз.нови активи'!$B$12:$B$59,$B23,'11.1.Амортиз.нови активи'!AQ$12:AQ$59))</f>
        <v>20.847401522943674</v>
      </c>
      <c r="I23" s="1224">
        <f>H23+SUMIF('11.1.Амортиз.нови активи'!$B$12:$B$59,$B23,'11.1.Амортиз.нови активи'!I$12:I$59)+('9.Инвестиционна програма'!K$130*SUMIF('11.1.Амортиз.нови активи'!$B$12:$B$59,$B23,'11.1.Амортиз.нови активи'!AR$12:AR$59))</f>
        <v>20.847401522943674</v>
      </c>
      <c r="J23" s="1224">
        <f>I23+SUMIF('11.1.Амортиз.нови активи'!$B$12:$B$59,$B23,'11.1.Амортиз.нови активи'!J$12:J$59)+('9.Инвестиционна програма'!L$130*SUMIF('11.1.Амортиз.нови активи'!$B$12:$B$59,$B23,'11.1.Амортиз.нови активи'!AS$12:AS$59))</f>
        <v>20.847401522943674</v>
      </c>
      <c r="K23" s="1229">
        <f>J23+SUMIF('11.1.Амортиз.нови активи'!$B$12:$B$59,$B23,'11.1.Амортиз.нови активи'!K$12:K$59)+('9.Инвестиционна програма'!M$130*SUMIF('11.1.Амортиз.нови активи'!$B$12:$B$59,$B23,'11.1.Амортиз.нови активи'!AT$12:AT$59))</f>
        <v>20.847401522943674</v>
      </c>
      <c r="L23" s="4453">
        <f>+'11.3. ДА Базова година'!L24</f>
        <v>4.5202046445383308</v>
      </c>
      <c r="M23" s="1228">
        <f>L23+SUMIF('11.1.Амортиз.нови активи'!$B$12:$B$59,$B23,'11.1.Амортиз.нови активи'!M$12:M$59)+('9.Инвестиционна програма'!H$131*SUMIF('11.1.Амортиз.нови активи'!$B$12:$B$59,$B23,'11.1.Амортиз.нови активи'!AO$12:AO$59))</f>
        <v>4.5202046445383308</v>
      </c>
      <c r="N23" s="1224">
        <f>M23+SUMIF('11.1.Амортиз.нови активи'!$B$12:$B$59,$B23,'11.1.Амортиз.нови активи'!N$12:N$59)+('9.Инвестиционна програма'!I$131*SUMIF('11.1.Амортиз.нови активи'!$B$12:$B$59,$B23,'11.1.Амортиз.нови активи'!AP$12:AP$59))</f>
        <v>4.5202046445383308</v>
      </c>
      <c r="O23" s="1224">
        <f>N23+SUMIF('11.1.Амортиз.нови активи'!$B$12:$B$59,$B23,'11.1.Амортиз.нови активи'!O$12:O$59)+('9.Инвестиционна програма'!J$131*SUMIF('11.1.Амортиз.нови активи'!$B$12:$B$59,$B23,'11.1.Амортиз.нови активи'!AQ$12:AQ$59))</f>
        <v>4.5202046445383308</v>
      </c>
      <c r="P23" s="1224">
        <f>O23+SUMIF('11.1.Амортиз.нови активи'!$B$12:$B$59,$B23,'11.1.Амортиз.нови активи'!P$12:P$59)+('9.Инвестиционна програма'!K$131*SUMIF('11.1.Амортиз.нови активи'!$B$12:$B$59,$B23,'11.1.Амортиз.нови активи'!AR$12:AR$59))</f>
        <v>4.5202046445383308</v>
      </c>
      <c r="Q23" s="1224">
        <f>P23+SUMIF('11.1.Амортиз.нови активи'!$B$12:$B$59,$B23,'11.1.Амортиз.нови активи'!Q$12:Q$59)+('9.Инвестиционна програма'!L$131*SUMIF('11.1.Амортиз.нови активи'!$B$12:$B$59,$B23,'11.1.Амортиз.нови активи'!AS$12:AS$59))</f>
        <v>4.5202046445383308</v>
      </c>
      <c r="R23" s="1229">
        <f>Q23+SUMIF('11.1.Амортиз.нови активи'!$B$12:$B$59,$B23,'11.1.Амортиз.нови активи'!R$12:R$59)+('9.Инвестиционна програма'!M$131*SUMIF('11.1.Амортиз.нови активи'!$B$12:$B$59,$B23,'11.1.Амортиз.нови активи'!AT$12:AT$59))</f>
        <v>4.5202046445383308</v>
      </c>
      <c r="S23" s="4453">
        <f>+'11.3. ДА Базова година'!P24</f>
        <v>37.046768850059678</v>
      </c>
      <c r="T23" s="1228">
        <f>S23+SUMIF('11.1.Амортиз.нови активи'!$B$12:$B$59,$B23,'11.1.Амортиз.нови активи'!T$12:T$59)+('9.Инвестиционна програма'!H$132*SUMIF('11.1.Амортиз.нови активи'!$B$12:$B$59,$B23,'11.1.Амортиз.нови активи'!AO$12:AO$59))</f>
        <v>37.046768850059678</v>
      </c>
      <c r="U23" s="1224">
        <f>T23+SUMIF('11.1.Амортиз.нови активи'!$B$12:$B$59,$B23,'11.1.Амортиз.нови активи'!U$12:U$59)+('9.Инвестиционна програма'!I$132*SUMIF('11.1.Амортиз.нови активи'!$B$12:$B$59,$B23,'11.1.Амортиз.нови активи'!AP$12:AP$59))</f>
        <v>37.046768850059678</v>
      </c>
      <c r="V23" s="1224">
        <f>U23+SUMIF('11.1.Амортиз.нови активи'!$B$12:$B$59,$B23,'11.1.Амортиз.нови активи'!V$12:V$59)+('9.Инвестиционна програма'!J$132*SUMIF('11.1.Амортиз.нови активи'!$B$12:$B$59,$B23,'11.1.Амортиз.нови активи'!AQ$12:AQ$59))</f>
        <v>37.046768850059678</v>
      </c>
      <c r="W23" s="1224">
        <f>V23+SUMIF('11.1.Амортиз.нови активи'!$B$12:$B$59,$B23,'11.1.Амортиз.нови активи'!W$12:W$59)+('9.Инвестиционна програма'!K$132*SUMIF('11.1.Амортиз.нови активи'!$B$12:$B$59,$B23,'11.1.Амортиз.нови активи'!AR$12:AR$59))</f>
        <v>37.046768850059678</v>
      </c>
      <c r="X23" s="1224">
        <f>W23+SUMIF('11.1.Амортиз.нови активи'!$B$12:$B$59,$B23,'11.1.Амортиз.нови активи'!X$12:X$59)+('9.Инвестиционна програма'!L$132*SUMIF('11.1.Амортиз.нови активи'!$B$12:$B$59,$B23,'11.1.Амортиз.нови активи'!AS$12:AS$59))</f>
        <v>37.046768850059678</v>
      </c>
      <c r="Y23" s="1229">
        <f>X23+SUMIF('11.1.Амортиз.нови активи'!$B$12:$B$59,$B23,'11.1.Амортиз.нови активи'!Y$12:Y$59)+('9.Инвестиционна програма'!M$132*SUMIF('11.1.Амортиз.нови активи'!$B$12:$B$59,$B23,'11.1.Амортиз.нови активи'!AT$12:AT$59))</f>
        <v>37.046768850059678</v>
      </c>
      <c r="Z23" s="4453">
        <f>+'11.3. ДА Базова година'!T24</f>
        <v>0</v>
      </c>
      <c r="AA23" s="1228">
        <f>Z23+SUMIF('11.1.Амортиз.нови активи'!$B$12:$B$59,$B23,'11.1.Амортиз.нови активи'!AA$12:AA$59)</f>
        <v>0</v>
      </c>
      <c r="AB23" s="1224">
        <f>AA23+SUMIF('11.1.Амортиз.нови активи'!$B$12:$B$59,$B23,'11.1.Амортиз.нови активи'!AB$12:AB$59)</f>
        <v>0</v>
      </c>
      <c r="AC23" s="1224">
        <f>AB23+SUMIF('11.1.Амортиз.нови активи'!$B$12:$B$59,$B23,'11.1.Амортиз.нови активи'!AC$12:AC$59)</f>
        <v>0</v>
      </c>
      <c r="AD23" s="1224">
        <f>AC23+SUMIF('11.1.Амортиз.нови активи'!$B$12:$B$59,$B23,'11.1.Амортиз.нови активи'!AD$12:AD$59)</f>
        <v>0</v>
      </c>
      <c r="AE23" s="1224">
        <f>AD23+SUMIF('11.1.Амортиз.нови активи'!$B$12:$B$59,$B23,'11.1.Амортиз.нови активи'!AE$12:AE$59)</f>
        <v>0</v>
      </c>
      <c r="AF23" s="1229">
        <f>AE23+SUMIF('11.1.Амортиз.нови активи'!$B$12:$B$59,$B23,'11.1.Амортиз.нови активи'!AF$12:AF$59)</f>
        <v>0</v>
      </c>
      <c r="AG23" s="4453">
        <f>+'11.3. ДА Базова година'!X24</f>
        <v>15.852324982458322</v>
      </c>
      <c r="AH23" s="1228">
        <f>AG23+SUMIF('11.1.Амортиз.нови активи'!$B$12:$B$59,$B23,'11.1.Амортиз.нови активи'!AH$12:AH$59)</f>
        <v>15.852324982458322</v>
      </c>
      <c r="AI23" s="1224">
        <f>AH23+SUMIF('11.1.Амортиз.нови активи'!$B$12:$B$59,$B23,'11.1.Амортиз.нови активи'!AI$12:AI$59)</f>
        <v>15.852324982458322</v>
      </c>
      <c r="AJ23" s="1224">
        <f>AI23+SUMIF('11.1.Амортиз.нови активи'!$B$12:$B$59,$B23,'11.1.Амортиз.нови активи'!AJ$12:AJ$59)</f>
        <v>15.852324982458322</v>
      </c>
      <c r="AK23" s="1224">
        <f>AJ23+SUMIF('11.1.Амортиз.нови активи'!$B$12:$B$59,$B23,'11.1.Амортиз.нови активи'!AK$12:AK$59)</f>
        <v>15.852324982458322</v>
      </c>
      <c r="AL23" s="1224">
        <f>AK23+SUMIF('11.1.Амортиз.нови активи'!$B$12:$B$59,$B23,'11.1.Амортиз.нови активи'!AL$12:AL$59)</f>
        <v>15.852324982458322</v>
      </c>
      <c r="AM23" s="1229">
        <f>AL23+SUMIF('11.1.Амортиз.нови активи'!$B$12:$B$59,$B23,'11.1.Амортиз.нови активи'!AM$12:AM$59)</f>
        <v>15.852324982458322</v>
      </c>
      <c r="AN23" s="2551"/>
      <c r="AO23" s="2559"/>
      <c r="AP23" s="4488"/>
      <c r="AQ23" s="4504">
        <f t="shared" si="31"/>
        <v>10.659107142718781</v>
      </c>
      <c r="AR23" s="4504">
        <f t="shared" si="32"/>
        <v>10.659107142718781</v>
      </c>
      <c r="AS23" s="4504">
        <f t="shared" si="33"/>
        <v>10.659107142718781</v>
      </c>
      <c r="AT23" s="4504">
        <f t="shared" si="34"/>
        <v>10.659107142718781</v>
      </c>
      <c r="AU23" s="4504">
        <f t="shared" si="35"/>
        <v>10.659107142718781</v>
      </c>
      <c r="AV23" s="4504">
        <f t="shared" si="36"/>
        <v>10.659107142718781</v>
      </c>
      <c r="AW23" s="4504">
        <f t="shared" si="37"/>
        <v>10.659107142718781</v>
      </c>
      <c r="AX23" s="4504">
        <f t="shared" si="38"/>
        <v>2.3111439360978872</v>
      </c>
      <c r="AY23" s="4504">
        <f t="shared" si="39"/>
        <v>2.3111439360978872</v>
      </c>
      <c r="AZ23" s="4504">
        <f t="shared" si="40"/>
        <v>2.3111439360978872</v>
      </c>
      <c r="BA23" s="4504">
        <f t="shared" si="41"/>
        <v>2.3111439360978872</v>
      </c>
      <c r="BB23" s="4504">
        <f t="shared" si="42"/>
        <v>2.3111439360978872</v>
      </c>
      <c r="BC23" s="4504">
        <f t="shared" si="43"/>
        <v>2.3111439360978872</v>
      </c>
      <c r="BD23" s="4504">
        <f t="shared" si="44"/>
        <v>2.3111439360978872</v>
      </c>
      <c r="BE23" s="4504">
        <f t="shared" si="45"/>
        <v>18.941712137588482</v>
      </c>
      <c r="BF23" s="4504">
        <f t="shared" si="46"/>
        <v>18.941712137588482</v>
      </c>
      <c r="BG23" s="4504">
        <f t="shared" si="47"/>
        <v>18.941712137588482</v>
      </c>
      <c r="BH23" s="4504">
        <f t="shared" si="48"/>
        <v>18.941712137588482</v>
      </c>
      <c r="BI23" s="4504">
        <f t="shared" si="49"/>
        <v>18.941712137588482</v>
      </c>
      <c r="BJ23" s="4504">
        <f t="shared" si="50"/>
        <v>18.941712137588482</v>
      </c>
      <c r="BK23" s="4504">
        <f t="shared" si="51"/>
        <v>18.941712137588482</v>
      </c>
      <c r="BL23" s="4504">
        <f t="shared" si="52"/>
        <v>0</v>
      </c>
      <c r="BM23" s="4504">
        <f t="shared" si="53"/>
        <v>0</v>
      </c>
      <c r="BN23" s="4504">
        <f t="shared" si="54"/>
        <v>0</v>
      </c>
      <c r="BO23" s="4504">
        <f t="shared" si="55"/>
        <v>0</v>
      </c>
      <c r="BP23" s="4504">
        <f t="shared" si="56"/>
        <v>0</v>
      </c>
      <c r="BQ23" s="4504">
        <f t="shared" si="57"/>
        <v>0</v>
      </c>
      <c r="BR23" s="4504">
        <f t="shared" si="58"/>
        <v>0</v>
      </c>
      <c r="BS23" s="4504">
        <f t="shared" si="59"/>
        <v>8.105165061614926</v>
      </c>
      <c r="BT23" s="4504">
        <f t="shared" si="60"/>
        <v>8.105165061614926</v>
      </c>
      <c r="BU23" s="4504">
        <f t="shared" si="61"/>
        <v>8.105165061614926</v>
      </c>
      <c r="BV23" s="4504">
        <f t="shared" si="62"/>
        <v>8.105165061614926</v>
      </c>
      <c r="BW23" s="4504">
        <f t="shared" si="63"/>
        <v>8.105165061614926</v>
      </c>
      <c r="BX23" s="4504">
        <f t="shared" si="64"/>
        <v>8.105165061614926</v>
      </c>
      <c r="BY23" s="4504">
        <f t="shared" si="65"/>
        <v>8.105165061614926</v>
      </c>
    </row>
    <row r="24" spans="1:77">
      <c r="A24" s="2564">
        <v>6</v>
      </c>
      <c r="B24" s="2565">
        <v>208</v>
      </c>
      <c r="C24" s="2560">
        <v>0.2</v>
      </c>
      <c r="D24" s="2567" t="s">
        <v>413</v>
      </c>
      <c r="E24" s="4453">
        <f>+'11.3. ДА Базова година'!H25</f>
        <v>54.572278738827748</v>
      </c>
      <c r="F24" s="908">
        <f>E24+SUMIF('11.1.Амортиз.нови активи'!$B$12:$B$59,$B24,'11.1.Амортиз.нови активи'!F$12:F$59)+('9.Инвестиционна програма'!H$130*SUMIF('11.1.Амортиз.нови активи'!$B$12:$B$59,$B24,'11.1.Амортиз.нови активи'!AO$12:AO$59))</f>
        <v>56.905612072161084</v>
      </c>
      <c r="G24" s="1224">
        <f>F24+SUMIF('11.1.Амортиз.нови активи'!$B$12:$B$59,$B24,'11.1.Амортиз.нови активи'!G$12:G$59)+('9.Инвестиционна програма'!I$130*SUMIF('11.1.Амортиз.нови активи'!$B$12:$B$59,$B24,'11.1.Амортиз.нови активи'!AP$12:AP$59))</f>
        <v>57.572278738827748</v>
      </c>
      <c r="H24" s="1224">
        <f>G24+SUMIF('11.1.Амортиз.нови активи'!$B$12:$B$59,$B24,'11.1.Амортиз.нови активи'!H$12:H$59)+('9.Инвестиционна програма'!J$130*SUMIF('11.1.Амортиз.нови активи'!$B$12:$B$59,$B24,'11.1.Амортиз.нови активи'!AQ$12:AQ$59))</f>
        <v>58.238945405494412</v>
      </c>
      <c r="I24" s="1224">
        <f>H24+SUMIF('11.1.Амортиз.нови активи'!$B$12:$B$59,$B24,'11.1.Амортиз.нови активи'!I$12:I$59)+('9.Инвестиционна програма'!K$130*SUMIF('11.1.Амортиз.нови активи'!$B$12:$B$59,$B24,'11.1.Амортиз.нови активи'!AR$12:AR$59))</f>
        <v>58.905612072161077</v>
      </c>
      <c r="J24" s="1224">
        <f>I24+SUMIF('11.1.Амортиз.нови активи'!$B$12:$B$59,$B24,'11.1.Амортиз.нови активи'!J$12:J$59)+('9.Инвестиционна програма'!L$130*SUMIF('11.1.Амортиз.нови активи'!$B$12:$B$59,$B24,'11.1.Амортиз.нови активи'!AS$12:AS$59))</f>
        <v>59.572278738827741</v>
      </c>
      <c r="K24" s="1229">
        <f>J24+SUMIF('11.1.Амортиз.нови активи'!$B$12:$B$59,$B24,'11.1.Амортиз.нови активи'!K$12:K$59)+('9.Инвестиционна програма'!M$130*SUMIF('11.1.Амортиз.нови активи'!$B$12:$B$59,$B24,'11.1.Амортиз.нови активи'!AT$12:AT$59))</f>
        <v>60.238945405494405</v>
      </c>
      <c r="L24" s="4453">
        <f>+'11.3. ДА Базова година'!L25</f>
        <v>24.70086643849649</v>
      </c>
      <c r="M24" s="1228">
        <f>L24+SUMIF('11.1.Амортиз.нови активи'!$B$12:$B$59,$B24,'11.1.Амортиз.нови активи'!M$12:M$59)+('9.Инвестиционна програма'!H$131*SUMIF('11.1.Амортиз.нови активи'!$B$12:$B$59,$B24,'11.1.Амортиз.нови активи'!AO$12:AO$59))</f>
        <v>27.034199771829822</v>
      </c>
      <c r="N24" s="1224">
        <f>M24+SUMIF('11.1.Амортиз.нови активи'!$B$12:$B$59,$B24,'11.1.Амортиз.нови активи'!N$12:N$59)+('9.Инвестиционна програма'!I$131*SUMIF('11.1.Амортиз.нови активи'!$B$12:$B$59,$B24,'11.1.Амортиз.нови активи'!AP$12:AP$59))</f>
        <v>27.70086643849649</v>
      </c>
      <c r="O24" s="1224">
        <f>N24+SUMIF('11.1.Амортиз.нови активи'!$B$12:$B$59,$B24,'11.1.Амортиз.нови активи'!O$12:O$59)+('9.Инвестиционна програма'!J$131*SUMIF('11.1.Амортиз.нови активи'!$B$12:$B$59,$B24,'11.1.Амортиз.нови активи'!AQ$12:AQ$59))</f>
        <v>28.367533105163158</v>
      </c>
      <c r="P24" s="1224">
        <f>O24+SUMIF('11.1.Амортиз.нови активи'!$B$12:$B$59,$B24,'11.1.Амортиз.нови активи'!P$12:P$59)+('9.Инвестиционна програма'!K$131*SUMIF('11.1.Амортиз.нови активи'!$B$12:$B$59,$B24,'11.1.Амортиз.нови активи'!AR$12:AR$59))</f>
        <v>29.034199771829826</v>
      </c>
      <c r="Q24" s="1224">
        <f>P24+SUMIF('11.1.Амортиз.нови активи'!$B$12:$B$59,$B24,'11.1.Амортиз.нови активи'!Q$12:Q$59)+('9.Инвестиционна програма'!L$131*SUMIF('11.1.Амортиз.нови активи'!$B$12:$B$59,$B24,'11.1.Амортиз.нови активи'!AS$12:AS$59))</f>
        <v>29.700866438496494</v>
      </c>
      <c r="R24" s="1229">
        <f>Q24+SUMIF('11.1.Амортиз.нови активи'!$B$12:$B$59,$B24,'11.1.Амортиз.нови активи'!R$12:R$59)+('9.Инвестиционна програма'!M$131*SUMIF('11.1.Амортиз.нови активи'!$B$12:$B$59,$B24,'11.1.Амортиз.нови активи'!AT$12:AT$59))</f>
        <v>30.367533105163162</v>
      </c>
      <c r="S24" s="4453">
        <f>+'11.3. ДА Базова година'!P25</f>
        <v>46.017089837075154</v>
      </c>
      <c r="T24" s="1228">
        <f>S24+SUMIF('11.1.Амортиз.нови активи'!$B$12:$B$59,$B24,'11.1.Амортиз.нови активи'!T$12:T$59)+('9.Инвестиционна програма'!H$132*SUMIF('11.1.Амортиз.нови активи'!$B$12:$B$59,$B24,'11.1.Амортиз.нови активи'!AO$12:AO$59))</f>
        <v>48.35042317040849</v>
      </c>
      <c r="U24" s="1224">
        <f>T24+SUMIF('11.1.Амортиз.нови активи'!$B$12:$B$59,$B24,'11.1.Амортиз.нови активи'!U$12:U$59)+('9.Инвестиционна програма'!I$132*SUMIF('11.1.Амортиз.нови активи'!$B$12:$B$59,$B24,'11.1.Амортиз.нови активи'!AP$12:AP$59))</f>
        <v>49.017089837075154</v>
      </c>
      <c r="V24" s="1224">
        <f>U24+SUMIF('11.1.Амортиз.нови активи'!$B$12:$B$59,$B24,'11.1.Амортиз.нови активи'!V$12:V$59)+('9.Инвестиционна програма'!J$132*SUMIF('11.1.Амортиз.нови активи'!$B$12:$B$59,$B24,'11.1.Амортиз.нови активи'!AQ$12:AQ$59))</f>
        <v>49.683756503741819</v>
      </c>
      <c r="W24" s="1224">
        <f>V24+SUMIF('11.1.Амортиз.нови активи'!$B$12:$B$59,$B24,'11.1.Амортиз.нови активи'!W$12:W$59)+('9.Инвестиционна програма'!K$132*SUMIF('11.1.Амортиз.нови активи'!$B$12:$B$59,$B24,'11.1.Амортиз.нови активи'!AR$12:AR$59))</f>
        <v>50.350423170408483</v>
      </c>
      <c r="X24" s="1224">
        <f>W24+SUMIF('11.1.Амортиз.нови активи'!$B$12:$B$59,$B24,'11.1.Амортиз.нови активи'!X$12:X$59)+('9.Инвестиционна програма'!L$132*SUMIF('11.1.Амортиз.нови активи'!$B$12:$B$59,$B24,'11.1.Амортиз.нови активи'!AS$12:AS$59))</f>
        <v>51.017089837075147</v>
      </c>
      <c r="Y24" s="1229">
        <f>X24+SUMIF('11.1.Амортиз.нови активи'!$B$12:$B$59,$B24,'11.1.Амортиз.нови активи'!Y$12:Y$59)+('9.Инвестиционна програма'!M$132*SUMIF('11.1.Амортиз.нови активи'!$B$12:$B$59,$B24,'11.1.Амортиз.нови активи'!AT$12:AT$59))</f>
        <v>51.683756503741812</v>
      </c>
      <c r="Z24" s="4453">
        <f>+'11.3. ДА Базова година'!T25</f>
        <v>0</v>
      </c>
      <c r="AA24" s="1228">
        <f>Z24+SUMIF('11.1.Амортиз.нови активи'!$B$12:$B$59,$B24,'11.1.Амортиз.нови активи'!AA$12:AA$59)</f>
        <v>0</v>
      </c>
      <c r="AB24" s="1224">
        <f>AA24+SUMIF('11.1.Амортиз.нови активи'!$B$12:$B$59,$B24,'11.1.Амортиз.нови активи'!AB$12:AB$59)</f>
        <v>0</v>
      </c>
      <c r="AC24" s="1224">
        <f>AB24+SUMIF('11.1.Амортиз.нови активи'!$B$12:$B$59,$B24,'11.1.Амортиз.нови активи'!AC$12:AC$59)</f>
        <v>0</v>
      </c>
      <c r="AD24" s="1224">
        <f>AC24+SUMIF('11.1.Амортиз.нови активи'!$B$12:$B$59,$B24,'11.1.Амортиз.нови активи'!AD$12:AD$59)</f>
        <v>0</v>
      </c>
      <c r="AE24" s="1224">
        <f>AD24+SUMIF('11.1.Амортиз.нови активи'!$B$12:$B$59,$B24,'11.1.Амортиз.нови активи'!AE$12:AE$59)</f>
        <v>0</v>
      </c>
      <c r="AF24" s="1229">
        <f>AE24+SUMIF('11.1.Амортиз.нови активи'!$B$12:$B$59,$B24,'11.1.Амортиз.нови активи'!AF$12:AF$59)</f>
        <v>0</v>
      </c>
      <c r="AG24" s="4453">
        <f>+'11.3. ДА Базова година'!X25</f>
        <v>1.2886483759315124</v>
      </c>
      <c r="AH24" s="1228">
        <f>AG24+SUMIF('11.1.Амортиз.нови активи'!$B$12:$B$59,$B24,'11.1.Амортиз.нови активи'!AH$12:AH$59)</f>
        <v>1.2886483759315124</v>
      </c>
      <c r="AI24" s="1224">
        <f>AH24+SUMIF('11.1.Амортиз.нови активи'!$B$12:$B$59,$B24,'11.1.Амортиз.нови активи'!AI$12:AI$59)</f>
        <v>1.2886483759315124</v>
      </c>
      <c r="AJ24" s="1224">
        <f>AI24+SUMIF('11.1.Амортиз.нови активи'!$B$12:$B$59,$B24,'11.1.Амортиз.нови активи'!AJ$12:AJ$59)</f>
        <v>1.2886483759315124</v>
      </c>
      <c r="AK24" s="1224">
        <f>AJ24+SUMIF('11.1.Амортиз.нови активи'!$B$12:$B$59,$B24,'11.1.Амортиз.нови активи'!AK$12:AK$59)</f>
        <v>1.2886483759315124</v>
      </c>
      <c r="AL24" s="1224">
        <f>AK24+SUMIF('11.1.Амортиз.нови активи'!$B$12:$B$59,$B24,'11.1.Амортиз.нови активи'!AL$12:AL$59)</f>
        <v>1.2886483759315124</v>
      </c>
      <c r="AM24" s="1229">
        <f>AL24+SUMIF('11.1.Амортиз.нови активи'!$B$12:$B$59,$B24,'11.1.Амортиз.нови активи'!AM$12:AM$59)</f>
        <v>1.2886483759315124</v>
      </c>
      <c r="AN24" s="2551"/>
      <c r="AO24" s="2559"/>
      <c r="AP24" s="4488"/>
      <c r="AQ24" s="4504">
        <f t="shared" si="31"/>
        <v>27.902363057539638</v>
      </c>
      <c r="AR24" s="4504">
        <f t="shared" si="32"/>
        <v>29.095377446997482</v>
      </c>
      <c r="AS24" s="4504">
        <f t="shared" si="33"/>
        <v>29.436238701128293</v>
      </c>
      <c r="AT24" s="4504">
        <f t="shared" si="34"/>
        <v>29.777099955259104</v>
      </c>
      <c r="AU24" s="4504">
        <f t="shared" si="35"/>
        <v>30.117961209389915</v>
      </c>
      <c r="AV24" s="4504">
        <f t="shared" si="36"/>
        <v>30.458822463520725</v>
      </c>
      <c r="AW24" s="4504">
        <f t="shared" si="37"/>
        <v>30.799683717651536</v>
      </c>
      <c r="AX24" s="4504">
        <f t="shared" si="38"/>
        <v>12.629352468515409</v>
      </c>
      <c r="AY24" s="4504">
        <f t="shared" si="39"/>
        <v>13.82236685797325</v>
      </c>
      <c r="AZ24" s="4504">
        <f t="shared" si="40"/>
        <v>14.163228112104063</v>
      </c>
      <c r="BA24" s="4504">
        <f t="shared" si="41"/>
        <v>14.504089366234876</v>
      </c>
      <c r="BB24" s="4504">
        <f t="shared" si="42"/>
        <v>14.84495062036569</v>
      </c>
      <c r="BC24" s="4504">
        <f t="shared" si="43"/>
        <v>15.185811874496503</v>
      </c>
      <c r="BD24" s="4504">
        <f t="shared" si="44"/>
        <v>15.526673128627316</v>
      </c>
      <c r="BE24" s="4504">
        <f t="shared" si="45"/>
        <v>23.528164429973543</v>
      </c>
      <c r="BF24" s="4504">
        <f t="shared" si="46"/>
        <v>24.721178819431387</v>
      </c>
      <c r="BG24" s="4504">
        <f t="shared" si="47"/>
        <v>25.062040073562198</v>
      </c>
      <c r="BH24" s="4504">
        <f t="shared" si="48"/>
        <v>25.402901327693009</v>
      </c>
      <c r="BI24" s="4504">
        <f t="shared" si="49"/>
        <v>25.74376258182382</v>
      </c>
      <c r="BJ24" s="4504">
        <f t="shared" si="50"/>
        <v>26.084623835954631</v>
      </c>
      <c r="BK24" s="4504">
        <f t="shared" si="51"/>
        <v>26.425485090085445</v>
      </c>
      <c r="BL24" s="4504">
        <f t="shared" si="52"/>
        <v>0</v>
      </c>
      <c r="BM24" s="4504">
        <f t="shared" si="53"/>
        <v>0</v>
      </c>
      <c r="BN24" s="4504">
        <f t="shared" si="54"/>
        <v>0</v>
      </c>
      <c r="BO24" s="4504">
        <f t="shared" si="55"/>
        <v>0</v>
      </c>
      <c r="BP24" s="4504">
        <f t="shared" si="56"/>
        <v>0</v>
      </c>
      <c r="BQ24" s="4504">
        <f t="shared" si="57"/>
        <v>0</v>
      </c>
      <c r="BR24" s="4504">
        <f t="shared" si="58"/>
        <v>0</v>
      </c>
      <c r="BS24" s="4504">
        <f t="shared" si="59"/>
        <v>0.65887545233047473</v>
      </c>
      <c r="BT24" s="4504">
        <f t="shared" si="60"/>
        <v>0.65887545233047473</v>
      </c>
      <c r="BU24" s="4504">
        <f t="shared" si="61"/>
        <v>0.65887545233047473</v>
      </c>
      <c r="BV24" s="4504">
        <f t="shared" si="62"/>
        <v>0.65887545233047473</v>
      </c>
      <c r="BW24" s="4504">
        <f t="shared" si="63"/>
        <v>0.65887545233047473</v>
      </c>
      <c r="BX24" s="4504">
        <f t="shared" si="64"/>
        <v>0.65887545233047473</v>
      </c>
      <c r="BY24" s="4504">
        <f t="shared" si="65"/>
        <v>0.65887545233047473</v>
      </c>
    </row>
    <row r="25" spans="1:77">
      <c r="A25" s="2564">
        <v>7</v>
      </c>
      <c r="B25" s="2568">
        <v>20601</v>
      </c>
      <c r="C25" s="2560">
        <v>0.1</v>
      </c>
      <c r="D25" s="2567" t="s">
        <v>564</v>
      </c>
      <c r="E25" s="4453">
        <f>+'11.3. ДА Базова година'!H26</f>
        <v>7.3612001325768706</v>
      </c>
      <c r="F25" s="908">
        <f>E25+SUMIF('11.1.Амортиз.нови активи'!$B$12:$B$59,$B25,'11.1.Амортиз.нови активи'!F$12:F$59)+('9.Инвестиционна програма'!H$130*SUMIF('11.1.Амортиз.нови активи'!$B$12:$B$59,$B25,'11.1.Амортиз.нови активи'!AO$12:AO$59))</f>
        <v>8.6945334659102045</v>
      </c>
      <c r="G25" s="1224">
        <f>F25+SUMIF('11.1.Амортиз.нови активи'!$B$12:$B$59,$B25,'11.1.Амортиз.нови активи'!G$12:G$59)+('9.Инвестиционна програма'!I$130*SUMIF('11.1.Амортиз.нови активи'!$B$12:$B$59,$B25,'11.1.Амортиз.нови активи'!AP$12:AP$59))</f>
        <v>9.3612001325768706</v>
      </c>
      <c r="H25" s="1224">
        <f>G25+SUMIF('11.1.Амортиз.нови активи'!$B$12:$B$59,$B25,'11.1.Амортиз.нови активи'!H$12:H$59)+('9.Инвестиционна програма'!J$130*SUMIF('11.1.Амортиз.нови активи'!$B$12:$B$59,$B25,'11.1.Амортиз.нови активи'!AQ$12:AQ$59))</f>
        <v>10.027866799243537</v>
      </c>
      <c r="I25" s="1224">
        <f>H25+SUMIF('11.1.Амортиз.нови активи'!$B$12:$B$59,$B25,'11.1.Амортиз.нови активи'!I$12:I$59)+('9.Инвестиционна програма'!K$130*SUMIF('11.1.Амортиз.нови активи'!$B$12:$B$59,$B25,'11.1.Амортиз.нови активи'!AR$12:AR$59))</f>
        <v>10.694533465910203</v>
      </c>
      <c r="J25" s="1224">
        <f>I25+SUMIF('11.1.Амортиз.нови активи'!$B$12:$B$59,$B25,'11.1.Амортиз.нови активи'!J$12:J$59)+('9.Инвестиционна програма'!L$130*SUMIF('11.1.Амортиз.нови активи'!$B$12:$B$59,$B25,'11.1.Амортиз.нови активи'!AS$12:AS$59))</f>
        <v>11.361200132576869</v>
      </c>
      <c r="K25" s="1229">
        <f>J25+SUMIF('11.1.Амортиз.нови активи'!$B$12:$B$59,$B25,'11.1.Амортиз.нови активи'!K$12:K$59)+('9.Инвестиционна програма'!M$130*SUMIF('11.1.Амортиз.нови активи'!$B$12:$B$59,$B25,'11.1.Амортиз.нови активи'!AT$12:AT$59))</f>
        <v>12.027866799243535</v>
      </c>
      <c r="L25" s="4453">
        <f>+'11.3. ДА Базова година'!L26</f>
        <v>1.034211616434213</v>
      </c>
      <c r="M25" s="1228">
        <f>L25+SUMIF('11.1.Амортиз.нови активи'!$B$12:$B$59,$B25,'11.1.Амортиз.нови активи'!M$12:M$59)+('9.Инвестиционна програма'!H$131*SUMIF('11.1.Амортиз.нови активи'!$B$12:$B$59,$B25,'11.1.Амортиз.нови активи'!AO$12:AO$59))</f>
        <v>2.367544949767546</v>
      </c>
      <c r="N25" s="1224">
        <f>M25+SUMIF('11.1.Амортиз.нови активи'!$B$12:$B$59,$B25,'11.1.Амортиз.нови активи'!N$12:N$59)+('9.Инвестиционна програма'!I$131*SUMIF('11.1.Амортиз.нови активи'!$B$12:$B$59,$B25,'11.1.Амортиз.нови активи'!AP$12:AP$59))</f>
        <v>3.0342116164342126</v>
      </c>
      <c r="O25" s="1224">
        <f>N25+SUMIF('11.1.Амортиз.нови активи'!$B$12:$B$59,$B25,'11.1.Амортиз.нови активи'!O$12:O$59)+('9.Инвестиционна програма'!J$131*SUMIF('11.1.Амортиз.нови активи'!$B$12:$B$59,$B25,'11.1.Амортиз.нови активи'!AQ$12:AQ$59))</f>
        <v>3.7008782831008791</v>
      </c>
      <c r="P25" s="1224">
        <f>O25+SUMIF('11.1.Амортиз.нови активи'!$B$12:$B$59,$B25,'11.1.Амортиз.нови активи'!P$12:P$59)+('9.Инвестиционна програма'!K$131*SUMIF('11.1.Амортиз.нови активи'!$B$12:$B$59,$B25,'11.1.Амортиз.нови активи'!AR$12:AR$59))</f>
        <v>4.367544949767546</v>
      </c>
      <c r="Q25" s="1224">
        <f>P25+SUMIF('11.1.Амортиз.нови активи'!$B$12:$B$59,$B25,'11.1.Амортиз.нови активи'!Q$12:Q$59)+('9.Инвестиционна програма'!L$131*SUMIF('11.1.Амортиз.нови активи'!$B$12:$B$59,$B25,'11.1.Амортиз.нови активи'!AS$12:AS$59))</f>
        <v>5.034211616434213</v>
      </c>
      <c r="R25" s="1229">
        <f>Q25+SUMIF('11.1.Амортиз.нови активи'!$B$12:$B$59,$B25,'11.1.Амортиз.нови активи'!R$12:R$59)+('9.Инвестиционна програма'!M$131*SUMIF('11.1.Амортиз.нови активи'!$B$12:$B$59,$B25,'11.1.Амортиз.нови активи'!AT$12:AT$59))</f>
        <v>5.70087828310088</v>
      </c>
      <c r="S25" s="4453">
        <f>+'11.3. ДА Базова година'!P26</f>
        <v>2.9690009719195953</v>
      </c>
      <c r="T25" s="1228">
        <f>S25+SUMIF('11.1.Амортиз.нови активи'!$B$12:$B$59,$B25,'11.1.Амортиз.нови активи'!T$12:T$59)+('9.Инвестиционна програма'!H$132*SUMIF('11.1.Амортиз.нови активи'!$B$12:$B$59,$B25,'11.1.Амортиз.нови активи'!AO$12:AO$59))</f>
        <v>4.3023343052529288</v>
      </c>
      <c r="U25" s="1224">
        <f>T25+SUMIF('11.1.Амортиз.нови активи'!$B$12:$B$59,$B25,'11.1.Амортиз.нови активи'!U$12:U$59)+('9.Инвестиционна програма'!I$132*SUMIF('11.1.Амортиз.нови активи'!$B$12:$B$59,$B25,'11.1.Амортиз.нови активи'!AP$12:AP$59))</f>
        <v>4.9690009719195958</v>
      </c>
      <c r="V25" s="1224">
        <f>U25+SUMIF('11.1.Амортиз.нови активи'!$B$12:$B$59,$B25,'11.1.Амортиз.нови активи'!V$12:V$59)+('9.Инвестиционна програма'!J$132*SUMIF('11.1.Амортиз.нови активи'!$B$12:$B$59,$B25,'11.1.Амортиз.нови активи'!AQ$12:AQ$59))</f>
        <v>5.6356676385862627</v>
      </c>
      <c r="W25" s="1224">
        <f>V25+SUMIF('11.1.Амортиз.нови активи'!$B$12:$B$59,$B25,'11.1.Амортиз.нови активи'!W$12:W$59)+('9.Инвестиционна програма'!K$132*SUMIF('11.1.Амортиз.нови активи'!$B$12:$B$59,$B25,'11.1.Амортиз.нови активи'!AR$12:AR$59))</f>
        <v>6.3023343052529297</v>
      </c>
      <c r="X25" s="1224">
        <f>W25+SUMIF('11.1.Амортиз.нови активи'!$B$12:$B$59,$B25,'11.1.Амортиз.нови активи'!X$12:X$59)+('9.Инвестиционна програма'!L$132*SUMIF('11.1.Амортиз.нови активи'!$B$12:$B$59,$B25,'11.1.Амортиз.нови активи'!AS$12:AS$59))</f>
        <v>6.9690009719195967</v>
      </c>
      <c r="Y25" s="1229">
        <f>X25+SUMIF('11.1.Амортиз.нови активи'!$B$12:$B$59,$B25,'11.1.Амортиз.нови активи'!Y$12:Y$59)+('9.Инвестиционна програма'!M$132*SUMIF('11.1.Амортиз.нови активи'!$B$12:$B$59,$B25,'11.1.Амортиз.нови активи'!AT$12:AT$59))</f>
        <v>7.6356676385862636</v>
      </c>
      <c r="Z25" s="4453">
        <f>+'11.3. ДА Базова година'!T26</f>
        <v>0</v>
      </c>
      <c r="AA25" s="1228">
        <f>Z25+SUMIF('11.1.Амортиз.нови активи'!$B$12:$B$59,$B25,'11.1.Амортиз.нови активи'!AA$12:AA$59)</f>
        <v>0</v>
      </c>
      <c r="AB25" s="1224">
        <f>AA25+SUMIF('11.1.Амортиз.нови активи'!$B$12:$B$59,$B25,'11.1.Амортиз.нови активи'!AB$12:AB$59)</f>
        <v>0</v>
      </c>
      <c r="AC25" s="1224">
        <f>AB25+SUMIF('11.1.Амортиз.нови активи'!$B$12:$B$59,$B25,'11.1.Амортиз.нови активи'!AC$12:AC$59)</f>
        <v>0</v>
      </c>
      <c r="AD25" s="1224">
        <f>AC25+SUMIF('11.1.Амортиз.нови активи'!$B$12:$B$59,$B25,'11.1.Амортиз.нови активи'!AD$12:AD$59)</f>
        <v>0</v>
      </c>
      <c r="AE25" s="1224">
        <f>AD25+SUMIF('11.1.Амортиз.нови активи'!$B$12:$B$59,$B25,'11.1.Амортиз.нови активи'!AE$12:AE$59)</f>
        <v>0</v>
      </c>
      <c r="AF25" s="1229">
        <f>AE25+SUMIF('11.1.Амортиз.нови активи'!$B$12:$B$59,$B25,'11.1.Амортиз.нови активи'!AF$12:AF$59)</f>
        <v>0</v>
      </c>
      <c r="AG25" s="4453">
        <f>+'11.3. ДА Базова година'!X26</f>
        <v>2.5941625829607282E-2</v>
      </c>
      <c r="AH25" s="1228">
        <f>AG25+SUMIF('11.1.Амортиз.нови активи'!$B$12:$B$59,$B25,'11.1.Амортиз.нови активи'!AH$12:AH$59)</f>
        <v>2.5941625829607282E-2</v>
      </c>
      <c r="AI25" s="1224">
        <f>AH25+SUMIF('11.1.Амортиз.нови активи'!$B$12:$B$59,$B25,'11.1.Амортиз.нови активи'!AI$12:AI$59)</f>
        <v>2.5941625829607282E-2</v>
      </c>
      <c r="AJ25" s="1224">
        <f>AI25+SUMIF('11.1.Амортиз.нови активи'!$B$12:$B$59,$B25,'11.1.Амортиз.нови активи'!AJ$12:AJ$59)</f>
        <v>2.5941625829607282E-2</v>
      </c>
      <c r="AK25" s="1224">
        <f>AJ25+SUMIF('11.1.Амортиз.нови активи'!$B$12:$B$59,$B25,'11.1.Амортиз.нови активи'!AK$12:AK$59)</f>
        <v>2.5941625829607282E-2</v>
      </c>
      <c r="AL25" s="1224">
        <f>AK25+SUMIF('11.1.Амортиз.нови активи'!$B$12:$B$59,$B25,'11.1.Амортиз.нови активи'!AL$12:AL$59)</f>
        <v>2.5941625829607282E-2</v>
      </c>
      <c r="AM25" s="1229">
        <f>AL25+SUMIF('11.1.Амортиз.нови активи'!$B$12:$B$59,$B25,'11.1.Амортиз.нови активи'!AM$12:AM$59)</f>
        <v>2.5941625829607282E-2</v>
      </c>
      <c r="AN25" s="2551"/>
      <c r="AO25" s="2559"/>
      <c r="AP25" s="4488"/>
      <c r="AQ25" s="4504">
        <f t="shared" si="31"/>
        <v>3.7637218636470813</v>
      </c>
      <c r="AR25" s="4504">
        <f t="shared" si="32"/>
        <v>4.4454443719087058</v>
      </c>
      <c r="AS25" s="4504">
        <f t="shared" si="33"/>
        <v>4.7863056260395185</v>
      </c>
      <c r="AT25" s="4504">
        <f t="shared" si="34"/>
        <v>5.1271668801703303</v>
      </c>
      <c r="AU25" s="4504">
        <f t="shared" si="35"/>
        <v>5.4680281343011421</v>
      </c>
      <c r="AV25" s="4504">
        <f t="shared" si="36"/>
        <v>5.8088893884319539</v>
      </c>
      <c r="AW25" s="4504">
        <f t="shared" si="37"/>
        <v>6.1497506425627666</v>
      </c>
      <c r="AX25" s="4504">
        <f t="shared" si="38"/>
        <v>0.52878400292163075</v>
      </c>
      <c r="AY25" s="4504">
        <f t="shared" si="39"/>
        <v>1.2105065111832551</v>
      </c>
      <c r="AZ25" s="4504">
        <f t="shared" si="40"/>
        <v>1.5513677653140674</v>
      </c>
      <c r="BA25" s="4504">
        <f t="shared" si="41"/>
        <v>1.8922290194448796</v>
      </c>
      <c r="BB25" s="4504">
        <f t="shared" si="42"/>
        <v>2.2330902735756921</v>
      </c>
      <c r="BC25" s="4504">
        <f t="shared" si="43"/>
        <v>2.5739515277065048</v>
      </c>
      <c r="BD25" s="4504">
        <f t="shared" si="44"/>
        <v>2.9148127818373171</v>
      </c>
      <c r="BE25" s="4504">
        <f t="shared" si="45"/>
        <v>1.518026092206171</v>
      </c>
      <c r="BF25" s="4504">
        <f t="shared" si="46"/>
        <v>2.1997486004677955</v>
      </c>
      <c r="BG25" s="4504">
        <f t="shared" si="47"/>
        <v>2.5406098545986082</v>
      </c>
      <c r="BH25" s="4504">
        <f t="shared" si="48"/>
        <v>2.8814711087294205</v>
      </c>
      <c r="BI25" s="4504">
        <f t="shared" si="49"/>
        <v>3.2223323628602332</v>
      </c>
      <c r="BJ25" s="4504">
        <f t="shared" si="50"/>
        <v>3.5631936169910459</v>
      </c>
      <c r="BK25" s="4504">
        <f t="shared" si="51"/>
        <v>3.9040548711218581</v>
      </c>
      <c r="BL25" s="4504">
        <f t="shared" si="52"/>
        <v>0</v>
      </c>
      <c r="BM25" s="4504">
        <f t="shared" si="53"/>
        <v>0</v>
      </c>
      <c r="BN25" s="4504">
        <f t="shared" si="54"/>
        <v>0</v>
      </c>
      <c r="BO25" s="4504">
        <f t="shared" si="55"/>
        <v>0</v>
      </c>
      <c r="BP25" s="4504">
        <f t="shared" si="56"/>
        <v>0</v>
      </c>
      <c r="BQ25" s="4504">
        <f t="shared" si="57"/>
        <v>0</v>
      </c>
      <c r="BR25" s="4504">
        <f t="shared" si="58"/>
        <v>0</v>
      </c>
      <c r="BS25" s="4504">
        <f t="shared" si="59"/>
        <v>1.3263742671708319E-2</v>
      </c>
      <c r="BT25" s="4504">
        <f t="shared" si="60"/>
        <v>1.3263742671708319E-2</v>
      </c>
      <c r="BU25" s="4504">
        <f t="shared" si="61"/>
        <v>1.3263742671708319E-2</v>
      </c>
      <c r="BV25" s="4504">
        <f t="shared" si="62"/>
        <v>1.3263742671708319E-2</v>
      </c>
      <c r="BW25" s="4504">
        <f t="shared" si="63"/>
        <v>1.3263742671708319E-2</v>
      </c>
      <c r="BX25" s="4504">
        <f t="shared" si="64"/>
        <v>1.3263742671708319E-2</v>
      </c>
      <c r="BY25" s="4504">
        <f t="shared" si="65"/>
        <v>1.3263742671708319E-2</v>
      </c>
    </row>
    <row r="26" spans="1:77">
      <c r="A26" s="2569">
        <v>8</v>
      </c>
      <c r="B26" s="2568">
        <v>20602</v>
      </c>
      <c r="C26" s="2560">
        <v>0.1</v>
      </c>
      <c r="D26" s="2567" t="s">
        <v>435</v>
      </c>
      <c r="E26" s="4453">
        <f>+'11.3. ДА Базова година'!H27</f>
        <v>40.2630361305796</v>
      </c>
      <c r="F26" s="908">
        <f>E26+SUMIF('11.1.Амортиз.нови активи'!$B$12:$B$59,$B26,'11.1.Амортиз.нови активи'!F$12:F$59)+('9.Инвестиционна програма'!H$130*SUMIF('11.1.Амортиз.нови активи'!$B$12:$B$59,$B26,'11.1.Амортиз.нови активи'!AO$12:AO$59))</f>
        <v>40.2630361305796</v>
      </c>
      <c r="G26" s="1224">
        <f>F26+SUMIF('11.1.Амортиз.нови активи'!$B$12:$B$59,$B26,'11.1.Амортиз.нови активи'!G$12:G$59)+('9.Инвестиционна програма'!I$130*SUMIF('11.1.Амортиз.нови активи'!$B$12:$B$59,$B26,'11.1.Амортиз.нови активи'!AP$12:AP$59))</f>
        <v>40.2630361305796</v>
      </c>
      <c r="H26" s="1224">
        <f>G26+SUMIF('11.1.Амортиз.нови активи'!$B$12:$B$59,$B26,'11.1.Амортиз.нови активи'!H$12:H$59)+('9.Инвестиционна програма'!J$130*SUMIF('11.1.Амортиз.нови активи'!$B$12:$B$59,$B26,'11.1.Амортиз.нови активи'!AQ$12:AQ$59))</f>
        <v>40.2630361305796</v>
      </c>
      <c r="I26" s="1224">
        <f>H26+SUMIF('11.1.Амортиз.нови активи'!$B$12:$B$59,$B26,'11.1.Амортиз.нови активи'!I$12:I$59)+('9.Инвестиционна програма'!K$130*SUMIF('11.1.Амортиз.нови активи'!$B$12:$B$59,$B26,'11.1.Амортиз.нови активи'!AR$12:AR$59))</f>
        <v>40.2630361305796</v>
      </c>
      <c r="J26" s="1224">
        <f>I26+SUMIF('11.1.Амортиз.нови активи'!$B$12:$B$59,$B26,'11.1.Амортиз.нови активи'!J$12:J$59)+('9.Инвестиционна програма'!L$130*SUMIF('11.1.Амортиз.нови активи'!$B$12:$B$59,$B26,'11.1.Амортиз.нови активи'!AS$12:AS$59))</f>
        <v>40.2630361305796</v>
      </c>
      <c r="K26" s="1229">
        <f>J26+SUMIF('11.1.Амортиз.нови активи'!$B$12:$B$59,$B26,'11.1.Амортиз.нови активи'!K$12:K$59)+('9.Инвестиционна програма'!M$130*SUMIF('11.1.Амортиз.нови активи'!$B$12:$B$59,$B26,'11.1.Амортиз.нови активи'!AT$12:AT$59))</f>
        <v>40.2630361305796</v>
      </c>
      <c r="L26" s="4453">
        <f>+'11.3. ДА Базова година'!L27</f>
        <v>7.4749984170938264</v>
      </c>
      <c r="M26" s="1228">
        <f>L26+SUMIF('11.1.Амортиз.нови активи'!$B$12:$B$59,$B26,'11.1.Амортиз.нови активи'!M$12:M$59)+('9.Инвестиционна програма'!H$131*SUMIF('11.1.Амортиз.нови активи'!$B$12:$B$59,$B26,'11.1.Амортиз.нови активи'!AO$12:AO$59))</f>
        <v>7.4749984170938264</v>
      </c>
      <c r="N26" s="1224">
        <f>M26+SUMIF('11.1.Амортиз.нови активи'!$B$12:$B$59,$B26,'11.1.Амортиз.нови активи'!N$12:N$59)+('9.Инвестиционна програма'!I$131*SUMIF('11.1.Амортиз.нови активи'!$B$12:$B$59,$B26,'11.1.Амортиз.нови активи'!AP$12:AP$59))</f>
        <v>7.4749984170938264</v>
      </c>
      <c r="O26" s="1224">
        <f>N26+SUMIF('11.1.Амортиз.нови активи'!$B$12:$B$59,$B26,'11.1.Амортиз.нови активи'!O$12:O$59)+('9.Инвестиционна програма'!J$131*SUMIF('11.1.Амортиз.нови активи'!$B$12:$B$59,$B26,'11.1.Амортиз.нови активи'!AQ$12:AQ$59))</f>
        <v>7.4749984170938264</v>
      </c>
      <c r="P26" s="1224">
        <f>O26+SUMIF('11.1.Амортиз.нови активи'!$B$12:$B$59,$B26,'11.1.Амортиз.нови активи'!P$12:P$59)+('9.Инвестиционна програма'!K$131*SUMIF('11.1.Амортиз.нови активи'!$B$12:$B$59,$B26,'11.1.Амортиз.нови активи'!AR$12:AR$59))</f>
        <v>7.4749984170938264</v>
      </c>
      <c r="Q26" s="1224">
        <f>P26+SUMIF('11.1.Амортиз.нови активи'!$B$12:$B$59,$B26,'11.1.Амортиз.нови активи'!Q$12:Q$59)+('9.Инвестиционна програма'!L$131*SUMIF('11.1.Амортиз.нови активи'!$B$12:$B$59,$B26,'11.1.Амортиз.нови активи'!AS$12:AS$59))</f>
        <v>7.4749984170938264</v>
      </c>
      <c r="R26" s="1229">
        <f>Q26+SUMIF('11.1.Амортиз.нови активи'!$B$12:$B$59,$B26,'11.1.Амортиз.нови активи'!R$12:R$59)+('9.Инвестиционна програма'!M$131*SUMIF('11.1.Амортиз.нови активи'!$B$12:$B$59,$B26,'11.1.Амортиз.нови активи'!AT$12:AT$59))</f>
        <v>7.4749984170938264</v>
      </c>
      <c r="S26" s="4453">
        <f>+'11.3. ДА Базова година'!P27</f>
        <v>8.2271920678083177</v>
      </c>
      <c r="T26" s="1228">
        <f>S26+SUMIF('11.1.Амортиз.нови активи'!$B$12:$B$59,$B26,'11.1.Амортиз.нови активи'!T$12:T$59)+('9.Инвестиционна програма'!H$132*SUMIF('11.1.Амортиз.нови активи'!$B$12:$B$59,$B26,'11.1.Амортиз.нови активи'!AO$12:AO$59))</f>
        <v>8.2271920678083177</v>
      </c>
      <c r="U26" s="1224">
        <f>T26+SUMIF('11.1.Амортиз.нови активи'!$B$12:$B$59,$B26,'11.1.Амортиз.нови активи'!U$12:U$59)+('9.Инвестиционна програма'!I$132*SUMIF('11.1.Амортиз.нови активи'!$B$12:$B$59,$B26,'11.1.Амортиз.нови активи'!AP$12:AP$59))</f>
        <v>8.2271920678083177</v>
      </c>
      <c r="V26" s="1224">
        <f>U26+SUMIF('11.1.Амортиз.нови активи'!$B$12:$B$59,$B26,'11.1.Амортиз.нови активи'!V$12:V$59)+('9.Инвестиционна програма'!J$132*SUMIF('11.1.Амортиз.нови активи'!$B$12:$B$59,$B26,'11.1.Амортиз.нови активи'!AQ$12:AQ$59))</f>
        <v>8.2271920678083177</v>
      </c>
      <c r="W26" s="1224">
        <f>V26+SUMIF('11.1.Амортиз.нови активи'!$B$12:$B$59,$B26,'11.1.Амортиз.нови активи'!W$12:W$59)+('9.Инвестиционна програма'!K$132*SUMIF('11.1.Амортиз.нови активи'!$B$12:$B$59,$B26,'11.1.Амортиз.нови активи'!AR$12:AR$59))</f>
        <v>8.2271920678083177</v>
      </c>
      <c r="X26" s="1224">
        <f>W26+SUMIF('11.1.Амортиз.нови активи'!$B$12:$B$59,$B26,'11.1.Амортиз.нови активи'!X$12:X$59)+('9.Инвестиционна програма'!L$132*SUMIF('11.1.Амортиз.нови активи'!$B$12:$B$59,$B26,'11.1.Амортиз.нови активи'!AS$12:AS$59))</f>
        <v>8.2271920678083177</v>
      </c>
      <c r="Y26" s="1229">
        <f>X26+SUMIF('11.1.Амортиз.нови активи'!$B$12:$B$59,$B26,'11.1.Амортиз.нови активи'!Y$12:Y$59)+('9.Инвестиционна програма'!M$132*SUMIF('11.1.Амортиз.нови активи'!$B$12:$B$59,$B26,'11.1.Амортиз.нови активи'!AT$12:AT$59))</f>
        <v>8.2271920678083177</v>
      </c>
      <c r="Z26" s="4453">
        <f>+'11.3. ДА Базова година'!T27</f>
        <v>0</v>
      </c>
      <c r="AA26" s="1228">
        <f>Z26+SUMIF('11.1.Амортиз.нови активи'!$B$12:$B$59,$B26,'11.1.Амортиз.нови активи'!AA$12:AA$59)</f>
        <v>0</v>
      </c>
      <c r="AB26" s="1224">
        <f>AA26+SUMIF('11.1.Амортиз.нови активи'!$B$12:$B$59,$B26,'11.1.Амортиз.нови активи'!AB$12:AB$59)</f>
        <v>0</v>
      </c>
      <c r="AC26" s="1224">
        <f>AB26+SUMIF('11.1.Амортиз.нови активи'!$B$12:$B$59,$B26,'11.1.Амортиз.нови активи'!AC$12:AC$59)</f>
        <v>0</v>
      </c>
      <c r="AD26" s="1224">
        <f>AC26+SUMIF('11.1.Амортиз.нови активи'!$B$12:$B$59,$B26,'11.1.Амортиз.нови активи'!AD$12:AD$59)</f>
        <v>0</v>
      </c>
      <c r="AE26" s="1224">
        <f>AD26+SUMIF('11.1.Амортиз.нови активи'!$B$12:$B$59,$B26,'11.1.Амортиз.нови активи'!AE$12:AE$59)</f>
        <v>0</v>
      </c>
      <c r="AF26" s="1229">
        <f>AE26+SUMIF('11.1.Амортиз.нови активи'!$B$12:$B$59,$B26,'11.1.Амортиз.нови активи'!AF$12:AF$59)</f>
        <v>0</v>
      </c>
      <c r="AG26" s="4453">
        <f>+'11.3. ДА Базова година'!X27</f>
        <v>0.30809187195292953</v>
      </c>
      <c r="AH26" s="1228">
        <f>AG26+SUMIF('11.1.Амортиз.нови активи'!$B$12:$B$59,$B26,'11.1.Амортиз.нови активи'!AH$12:AH$59)</f>
        <v>0.30809187195292953</v>
      </c>
      <c r="AI26" s="1224">
        <f>AH26+SUMIF('11.1.Амортиз.нови активи'!$B$12:$B$59,$B26,'11.1.Амортиз.нови активи'!AI$12:AI$59)</f>
        <v>0.30809187195292953</v>
      </c>
      <c r="AJ26" s="1224">
        <f>AI26+SUMIF('11.1.Амортиз.нови активи'!$B$12:$B$59,$B26,'11.1.Амортиз.нови активи'!AJ$12:AJ$59)</f>
        <v>0.30809187195292953</v>
      </c>
      <c r="AK26" s="1224">
        <f>AJ26+SUMIF('11.1.Амортиз.нови активи'!$B$12:$B$59,$B26,'11.1.Амортиз.нови активи'!AK$12:AK$59)</f>
        <v>0.30809187195292953</v>
      </c>
      <c r="AL26" s="1224">
        <f>AK26+SUMIF('11.1.Амортиз.нови активи'!$B$12:$B$59,$B26,'11.1.Амортиз.нови активи'!AL$12:AL$59)</f>
        <v>0.30809187195292953</v>
      </c>
      <c r="AM26" s="1229">
        <f>AL26+SUMIF('11.1.Амортиз.нови активи'!$B$12:$B$59,$B26,'11.1.Амортиз.нови активи'!AM$12:AM$59)</f>
        <v>0.30809187195292953</v>
      </c>
      <c r="AN26" s="2551"/>
      <c r="AO26" s="2559"/>
      <c r="AP26" s="4488"/>
      <c r="AQ26" s="4504">
        <f t="shared" si="31"/>
        <v>20.586163485875357</v>
      </c>
      <c r="AR26" s="4504">
        <f t="shared" si="32"/>
        <v>20.586163485875357</v>
      </c>
      <c r="AS26" s="4504">
        <f t="shared" si="33"/>
        <v>20.586163485875357</v>
      </c>
      <c r="AT26" s="4504">
        <f t="shared" si="34"/>
        <v>20.586163485875357</v>
      </c>
      <c r="AU26" s="4504">
        <f t="shared" si="35"/>
        <v>20.586163485875357</v>
      </c>
      <c r="AV26" s="4504">
        <f t="shared" si="36"/>
        <v>20.586163485875357</v>
      </c>
      <c r="AW26" s="4504">
        <f t="shared" si="37"/>
        <v>20.586163485875357</v>
      </c>
      <c r="AX26" s="4504">
        <f t="shared" si="38"/>
        <v>3.8219060026146581</v>
      </c>
      <c r="AY26" s="4504">
        <f t="shared" si="39"/>
        <v>3.8219060026146581</v>
      </c>
      <c r="AZ26" s="4504">
        <f t="shared" si="40"/>
        <v>3.8219060026146581</v>
      </c>
      <c r="BA26" s="4504">
        <f t="shared" si="41"/>
        <v>3.8219060026146581</v>
      </c>
      <c r="BB26" s="4504">
        <f t="shared" si="42"/>
        <v>3.8219060026146581</v>
      </c>
      <c r="BC26" s="4504">
        <f t="shared" si="43"/>
        <v>3.8219060026146581</v>
      </c>
      <c r="BD26" s="4504">
        <f t="shared" si="44"/>
        <v>3.8219060026146581</v>
      </c>
      <c r="BE26" s="4504">
        <f t="shared" si="45"/>
        <v>4.2064965093123217</v>
      </c>
      <c r="BF26" s="4504">
        <f t="shared" si="46"/>
        <v>4.2064965093123217</v>
      </c>
      <c r="BG26" s="4504">
        <f t="shared" si="47"/>
        <v>4.2064965093123217</v>
      </c>
      <c r="BH26" s="4504">
        <f t="shared" si="48"/>
        <v>4.2064965093123217</v>
      </c>
      <c r="BI26" s="4504">
        <f t="shared" si="49"/>
        <v>4.2064965093123217</v>
      </c>
      <c r="BJ26" s="4504">
        <f t="shared" si="50"/>
        <v>4.2064965093123217</v>
      </c>
      <c r="BK26" s="4504">
        <f t="shared" si="51"/>
        <v>4.2064965093123217</v>
      </c>
      <c r="BL26" s="4504">
        <f t="shared" si="52"/>
        <v>0</v>
      </c>
      <c r="BM26" s="4504">
        <f t="shared" si="53"/>
        <v>0</v>
      </c>
      <c r="BN26" s="4504">
        <f t="shared" si="54"/>
        <v>0</v>
      </c>
      <c r="BO26" s="4504">
        <f t="shared" si="55"/>
        <v>0</v>
      </c>
      <c r="BP26" s="4504">
        <f t="shared" si="56"/>
        <v>0</v>
      </c>
      <c r="BQ26" s="4504">
        <f t="shared" si="57"/>
        <v>0</v>
      </c>
      <c r="BR26" s="4504">
        <f t="shared" si="58"/>
        <v>0</v>
      </c>
      <c r="BS26" s="4504">
        <f t="shared" si="59"/>
        <v>0.1575248727920778</v>
      </c>
      <c r="BT26" s="4504">
        <f t="shared" si="60"/>
        <v>0.1575248727920778</v>
      </c>
      <c r="BU26" s="4504">
        <f t="shared" si="61"/>
        <v>0.1575248727920778</v>
      </c>
      <c r="BV26" s="4504">
        <f t="shared" si="62"/>
        <v>0.1575248727920778</v>
      </c>
      <c r="BW26" s="4504">
        <f t="shared" si="63"/>
        <v>0.1575248727920778</v>
      </c>
      <c r="BX26" s="4504">
        <f t="shared" si="64"/>
        <v>0.1575248727920778</v>
      </c>
      <c r="BY26" s="4504">
        <f t="shared" si="65"/>
        <v>0.1575248727920778</v>
      </c>
    </row>
    <row r="27" spans="1:77">
      <c r="A27" s="2569">
        <v>9</v>
      </c>
      <c r="B27" s="2565">
        <v>20603</v>
      </c>
      <c r="C27" s="2560">
        <v>0.5</v>
      </c>
      <c r="D27" s="2567" t="s">
        <v>1015</v>
      </c>
      <c r="E27" s="4453">
        <f>+'11.3. ДА Базова година'!H28</f>
        <v>0</v>
      </c>
      <c r="F27" s="908">
        <f>E27+SUMIF('11.1.Амортиз.нови активи'!$B$12:$B$59,$B27,'11.1.Амортиз.нови активи'!F$12:F$59)+('9.Инвестиционна програма'!H$130*SUMIF('11.1.Амортиз.нови активи'!$B$12:$B$59,$B27,'11.1.Амортиз.нови активи'!AO$12:AO$59))</f>
        <v>0</v>
      </c>
      <c r="G27" s="1224">
        <f>F27+SUMIF('11.1.Амортиз.нови активи'!$B$12:$B$59,$B27,'11.1.Амортиз.нови активи'!G$12:G$59)+('9.Инвестиционна програма'!I$130*SUMIF('11.1.Амортиз.нови активи'!$B$12:$B$59,$B27,'11.1.Амортиз.нови активи'!AP$12:AP$59))</f>
        <v>0</v>
      </c>
      <c r="H27" s="1224">
        <f>G27+SUMIF('11.1.Амортиз.нови активи'!$B$12:$B$59,$B27,'11.1.Амортиз.нови активи'!H$12:H$59)+('9.Инвестиционна програма'!J$130*SUMIF('11.1.Амортиз.нови активи'!$B$12:$B$59,$B27,'11.1.Амортиз.нови активи'!AQ$12:AQ$59))</f>
        <v>0</v>
      </c>
      <c r="I27" s="1224">
        <f>H27+SUMIF('11.1.Амортиз.нови активи'!$B$12:$B$59,$B27,'11.1.Амортиз.нови активи'!I$12:I$59)+('9.Инвестиционна програма'!K$130*SUMIF('11.1.Амортиз.нови активи'!$B$12:$B$59,$B27,'11.1.Амортиз.нови активи'!AR$12:AR$59))</f>
        <v>0</v>
      </c>
      <c r="J27" s="1224">
        <f>I27+SUMIF('11.1.Амортиз.нови активи'!$B$12:$B$59,$B27,'11.1.Амортиз.нови активи'!J$12:J$59)+('9.Инвестиционна програма'!L$130*SUMIF('11.1.Амортиз.нови активи'!$B$12:$B$59,$B27,'11.1.Амортиз.нови активи'!AS$12:AS$59))</f>
        <v>0</v>
      </c>
      <c r="K27" s="1229">
        <f>J27+SUMIF('11.1.Амортиз.нови активи'!$B$12:$B$59,$B27,'11.1.Амортиз.нови активи'!K$12:K$59)+('9.Инвестиционна програма'!M$130*SUMIF('11.1.Амортиз.нови активи'!$B$12:$B$59,$B27,'11.1.Амортиз.нови активи'!AT$12:AT$59))</f>
        <v>0</v>
      </c>
      <c r="L27" s="4453">
        <f>+'11.3. ДА Базова година'!L28</f>
        <v>0</v>
      </c>
      <c r="M27" s="1228">
        <f>L27+SUMIF('11.1.Амортиз.нови активи'!$B$12:$B$59,$B27,'11.1.Амортиз.нови активи'!M$12:M$59)+('9.Инвестиционна програма'!H$131*SUMIF('11.1.Амортиз.нови активи'!$B$12:$B$59,$B27,'11.1.Амортиз.нови активи'!AO$12:AO$59))</f>
        <v>0</v>
      </c>
      <c r="N27" s="1224">
        <f>M27+SUMIF('11.1.Амортиз.нови активи'!$B$12:$B$59,$B27,'11.1.Амортиз.нови активи'!N$12:N$59)+('9.Инвестиционна програма'!I$131*SUMIF('11.1.Амортиз.нови активи'!$B$12:$B$59,$B27,'11.1.Амортиз.нови активи'!AP$12:AP$59))</f>
        <v>0</v>
      </c>
      <c r="O27" s="1224">
        <f>N27+SUMIF('11.1.Амортиз.нови активи'!$B$12:$B$59,$B27,'11.1.Амортиз.нови активи'!O$12:O$59)+('9.Инвестиционна програма'!J$131*SUMIF('11.1.Амортиз.нови активи'!$B$12:$B$59,$B27,'11.1.Амортиз.нови активи'!AQ$12:AQ$59))</f>
        <v>0</v>
      </c>
      <c r="P27" s="1224">
        <f>O27+SUMIF('11.1.Амортиз.нови активи'!$B$12:$B$59,$B27,'11.1.Амортиз.нови активи'!P$12:P$59)+('9.Инвестиционна програма'!K$131*SUMIF('11.1.Амортиз.нови активи'!$B$12:$B$59,$B27,'11.1.Амортиз.нови активи'!AR$12:AR$59))</f>
        <v>0</v>
      </c>
      <c r="Q27" s="1224">
        <f>P27+SUMIF('11.1.Амортиз.нови активи'!$B$12:$B$59,$B27,'11.1.Амортиз.нови активи'!Q$12:Q$59)+('9.Инвестиционна програма'!L$131*SUMIF('11.1.Амортиз.нови активи'!$B$12:$B$59,$B27,'11.1.Амортиз.нови активи'!AS$12:AS$59))</f>
        <v>0</v>
      </c>
      <c r="R27" s="1229">
        <f>Q27+SUMIF('11.1.Амортиз.нови активи'!$B$12:$B$59,$B27,'11.1.Амортиз.нови активи'!R$12:R$59)+('9.Инвестиционна програма'!M$131*SUMIF('11.1.Амортиз.нови активи'!$B$12:$B$59,$B27,'11.1.Амортиз.нови активи'!AT$12:AT$59))</f>
        <v>0</v>
      </c>
      <c r="S27" s="4453">
        <f>+'11.3. ДА Базова година'!P28</f>
        <v>0</v>
      </c>
      <c r="T27" s="1228">
        <f>S27+SUMIF('11.1.Амортиз.нови активи'!$B$12:$B$59,$B27,'11.1.Амортиз.нови активи'!T$12:T$59)+('9.Инвестиционна програма'!H$132*SUMIF('11.1.Амортиз.нови активи'!$B$12:$B$59,$B27,'11.1.Амортиз.нови активи'!AO$12:AO$59))</f>
        <v>0</v>
      </c>
      <c r="U27" s="1224">
        <f>T27+SUMIF('11.1.Амортиз.нови активи'!$B$12:$B$59,$B27,'11.1.Амортиз.нови активи'!U$12:U$59)+('9.Инвестиционна програма'!I$132*SUMIF('11.1.Амортиз.нови активи'!$B$12:$B$59,$B27,'11.1.Амортиз.нови активи'!AP$12:AP$59))</f>
        <v>0</v>
      </c>
      <c r="V27" s="1224">
        <f>U27+SUMIF('11.1.Амортиз.нови активи'!$B$12:$B$59,$B27,'11.1.Амортиз.нови активи'!V$12:V$59)+('9.Инвестиционна програма'!J$132*SUMIF('11.1.Амортиз.нови активи'!$B$12:$B$59,$B27,'11.1.Амортиз.нови активи'!AQ$12:AQ$59))</f>
        <v>0</v>
      </c>
      <c r="W27" s="1224">
        <f>V27+SUMIF('11.1.Амортиз.нови активи'!$B$12:$B$59,$B27,'11.1.Амортиз.нови активи'!W$12:W$59)+('9.Инвестиционна програма'!K$132*SUMIF('11.1.Амортиз.нови активи'!$B$12:$B$59,$B27,'11.1.Амортиз.нови активи'!AR$12:AR$59))</f>
        <v>0</v>
      </c>
      <c r="X27" s="1224">
        <f>W27+SUMIF('11.1.Амортиз.нови активи'!$B$12:$B$59,$B27,'11.1.Амортиз.нови активи'!X$12:X$59)+('9.Инвестиционна програма'!L$132*SUMIF('11.1.Амортиз.нови активи'!$B$12:$B$59,$B27,'11.1.Амортиз.нови активи'!AS$12:AS$59))</f>
        <v>0</v>
      </c>
      <c r="Y27" s="1229">
        <f>X27+SUMIF('11.1.Амортиз.нови активи'!$B$12:$B$59,$B27,'11.1.Амортиз.нови активи'!Y$12:Y$59)+('9.Инвестиционна програма'!M$132*SUMIF('11.1.Амортиз.нови активи'!$B$12:$B$59,$B27,'11.1.Амортиз.нови активи'!AT$12:AT$59))</f>
        <v>0</v>
      </c>
      <c r="Z27" s="4453">
        <f>+'11.3. ДА Базова година'!T28</f>
        <v>0</v>
      </c>
      <c r="AA27" s="1228">
        <f>Z27+SUMIF('11.1.Амортиз.нови активи'!$B$12:$B$59,$B27,'11.1.Амортиз.нови активи'!AA$12:AA$59)</f>
        <v>0</v>
      </c>
      <c r="AB27" s="1224">
        <f>AA27+SUMIF('11.1.Амортиз.нови активи'!$B$12:$B$59,$B27,'11.1.Амортиз.нови активи'!AB$12:AB$59)</f>
        <v>0</v>
      </c>
      <c r="AC27" s="1224">
        <f>AB27+SUMIF('11.1.Амортиз.нови активи'!$B$12:$B$59,$B27,'11.1.Амортиз.нови активи'!AC$12:AC$59)</f>
        <v>0</v>
      </c>
      <c r="AD27" s="1224">
        <f>AC27+SUMIF('11.1.Амортиз.нови активи'!$B$12:$B$59,$B27,'11.1.Амортиз.нови активи'!AD$12:AD$59)</f>
        <v>0</v>
      </c>
      <c r="AE27" s="1224">
        <f>AD27+SUMIF('11.1.Амортиз.нови активи'!$B$12:$B$59,$B27,'11.1.Амортиз.нови активи'!AE$12:AE$59)</f>
        <v>0</v>
      </c>
      <c r="AF27" s="1229">
        <f>AE27+SUMIF('11.1.Амортиз.нови активи'!$B$12:$B$59,$B27,'11.1.Амортиз.нови активи'!AF$12:AF$59)</f>
        <v>0</v>
      </c>
      <c r="AG27" s="4453">
        <f>+'11.3. ДА Базова година'!X28</f>
        <v>0</v>
      </c>
      <c r="AH27" s="1228">
        <f>AG27+SUMIF('11.1.Амортиз.нови активи'!$B$12:$B$59,$B27,'11.1.Амортиз.нови активи'!AH$12:AH$59)</f>
        <v>0</v>
      </c>
      <c r="AI27" s="1224">
        <f>AH27+SUMIF('11.1.Амортиз.нови активи'!$B$12:$B$59,$B27,'11.1.Амортиз.нови активи'!AI$12:AI$59)</f>
        <v>0</v>
      </c>
      <c r="AJ27" s="1224">
        <f>AI27+SUMIF('11.1.Амортиз.нови активи'!$B$12:$B$59,$B27,'11.1.Амортиз.нови активи'!AJ$12:AJ$59)</f>
        <v>0</v>
      </c>
      <c r="AK27" s="1224">
        <f>AJ27+SUMIF('11.1.Амортиз.нови активи'!$B$12:$B$59,$B27,'11.1.Амортиз.нови активи'!AK$12:AK$59)</f>
        <v>0</v>
      </c>
      <c r="AL27" s="1224">
        <f>AK27+SUMIF('11.1.Амортиз.нови активи'!$B$12:$B$59,$B27,'11.1.Амортиз.нови активи'!AL$12:AL$59)</f>
        <v>0</v>
      </c>
      <c r="AM27" s="1229">
        <f>AL27+SUMIF('11.1.Амортиз.нови активи'!$B$12:$B$59,$B27,'11.1.Амортиз.нови активи'!AM$12:AM$59)</f>
        <v>0</v>
      </c>
      <c r="AN27" s="2551"/>
      <c r="AO27" s="2559"/>
      <c r="AP27" s="4488"/>
      <c r="AQ27" s="4504">
        <f t="shared" si="31"/>
        <v>0</v>
      </c>
      <c r="AR27" s="4504">
        <f t="shared" si="32"/>
        <v>0</v>
      </c>
      <c r="AS27" s="4504">
        <f t="shared" si="33"/>
        <v>0</v>
      </c>
      <c r="AT27" s="4504">
        <f t="shared" si="34"/>
        <v>0</v>
      </c>
      <c r="AU27" s="4504">
        <f t="shared" si="35"/>
        <v>0</v>
      </c>
      <c r="AV27" s="4504">
        <f t="shared" si="36"/>
        <v>0</v>
      </c>
      <c r="AW27" s="4504">
        <f t="shared" si="37"/>
        <v>0</v>
      </c>
      <c r="AX27" s="4504">
        <f t="shared" si="38"/>
        <v>0</v>
      </c>
      <c r="AY27" s="4504">
        <f t="shared" si="39"/>
        <v>0</v>
      </c>
      <c r="AZ27" s="4504">
        <f t="shared" si="40"/>
        <v>0</v>
      </c>
      <c r="BA27" s="4504">
        <f t="shared" si="41"/>
        <v>0</v>
      </c>
      <c r="BB27" s="4504">
        <f t="shared" si="42"/>
        <v>0</v>
      </c>
      <c r="BC27" s="4504">
        <f t="shared" si="43"/>
        <v>0</v>
      </c>
      <c r="BD27" s="4504">
        <f t="shared" si="44"/>
        <v>0</v>
      </c>
      <c r="BE27" s="4504">
        <f t="shared" si="45"/>
        <v>0</v>
      </c>
      <c r="BF27" s="4504">
        <f t="shared" si="46"/>
        <v>0</v>
      </c>
      <c r="BG27" s="4504">
        <f t="shared" si="47"/>
        <v>0</v>
      </c>
      <c r="BH27" s="4504">
        <f t="shared" si="48"/>
        <v>0</v>
      </c>
      <c r="BI27" s="4504">
        <f t="shared" si="49"/>
        <v>0</v>
      </c>
      <c r="BJ27" s="4504">
        <f t="shared" si="50"/>
        <v>0</v>
      </c>
      <c r="BK27" s="4504">
        <f t="shared" si="51"/>
        <v>0</v>
      </c>
      <c r="BL27" s="4504">
        <f t="shared" si="52"/>
        <v>0</v>
      </c>
      <c r="BM27" s="4504">
        <f t="shared" si="53"/>
        <v>0</v>
      </c>
      <c r="BN27" s="4504">
        <f t="shared" si="54"/>
        <v>0</v>
      </c>
      <c r="BO27" s="4504">
        <f t="shared" si="55"/>
        <v>0</v>
      </c>
      <c r="BP27" s="4504">
        <f t="shared" si="56"/>
        <v>0</v>
      </c>
      <c r="BQ27" s="4504">
        <f t="shared" si="57"/>
        <v>0</v>
      </c>
      <c r="BR27" s="4504">
        <f t="shared" si="58"/>
        <v>0</v>
      </c>
      <c r="BS27" s="4504">
        <f t="shared" si="59"/>
        <v>0</v>
      </c>
      <c r="BT27" s="4504">
        <f t="shared" si="60"/>
        <v>0</v>
      </c>
      <c r="BU27" s="4504">
        <f t="shared" si="61"/>
        <v>0</v>
      </c>
      <c r="BV27" s="4504">
        <f t="shared" si="62"/>
        <v>0</v>
      </c>
      <c r="BW27" s="4504">
        <f t="shared" si="63"/>
        <v>0</v>
      </c>
      <c r="BX27" s="4504">
        <f t="shared" si="64"/>
        <v>0</v>
      </c>
      <c r="BY27" s="4504">
        <f t="shared" si="65"/>
        <v>0</v>
      </c>
    </row>
    <row r="28" spans="1:77">
      <c r="A28" s="2569">
        <v>10</v>
      </c>
      <c r="B28" s="2565">
        <v>209</v>
      </c>
      <c r="C28" s="2560">
        <v>0.1</v>
      </c>
      <c r="D28" s="2567" t="s">
        <v>213</v>
      </c>
      <c r="E28" s="4453">
        <f>+'11.3. ДА Базова година'!H29</f>
        <v>0</v>
      </c>
      <c r="F28" s="908">
        <f>E28+SUMIF('11.1.Амортиз.нови активи'!$B$12:$B$59,$B28,'11.1.Амортиз.нови активи'!F$12:F$59)+('9.Инвестиционна програма'!H$130*SUMIF('11.1.Амортиз.нови активи'!$B$12:$B$59,$B28,'11.1.Амортиз.нови активи'!AO$12:AO$59))</f>
        <v>0</v>
      </c>
      <c r="G28" s="1224">
        <f>F28+SUMIF('11.1.Амортиз.нови активи'!$B$12:$B$59,$B28,'11.1.Амортиз.нови активи'!G$12:G$59)+('9.Инвестиционна програма'!I$130*SUMIF('11.1.Амортиз.нови активи'!$B$12:$B$59,$B28,'11.1.Амортиз.нови активи'!AP$12:AP$59))</f>
        <v>0</v>
      </c>
      <c r="H28" s="1224">
        <f>G28+SUMIF('11.1.Амортиз.нови активи'!$B$12:$B$59,$B28,'11.1.Амортиз.нови активи'!H$12:H$59)+('9.Инвестиционна програма'!J$130*SUMIF('11.1.Амортиз.нови активи'!$B$12:$B$59,$B28,'11.1.Амортиз.нови активи'!AQ$12:AQ$59))</f>
        <v>0</v>
      </c>
      <c r="I28" s="1224">
        <f>H28+SUMIF('11.1.Амортиз.нови активи'!$B$12:$B$59,$B28,'11.1.Амортиз.нови активи'!I$12:I$59)+('9.Инвестиционна програма'!K$130*SUMIF('11.1.Амортиз.нови активи'!$B$12:$B$59,$B28,'11.1.Амортиз.нови активи'!AR$12:AR$59))</f>
        <v>0</v>
      </c>
      <c r="J28" s="1224">
        <f>I28+SUMIF('11.1.Амортиз.нови активи'!$B$12:$B$59,$B28,'11.1.Амортиз.нови активи'!J$12:J$59)+('9.Инвестиционна програма'!L$130*SUMIF('11.1.Амортиз.нови активи'!$B$12:$B$59,$B28,'11.1.Амортиз.нови активи'!AS$12:AS$59))</f>
        <v>0</v>
      </c>
      <c r="K28" s="1229">
        <f>J28+SUMIF('11.1.Амортиз.нови активи'!$B$12:$B$59,$B28,'11.1.Амортиз.нови активи'!K$12:K$59)+('9.Инвестиционна програма'!M$130*SUMIF('11.1.Амортиз.нови активи'!$B$12:$B$59,$B28,'11.1.Амортиз.нови активи'!AT$12:AT$59))</f>
        <v>0</v>
      </c>
      <c r="L28" s="4453">
        <f>+'11.3. ДА Базова година'!L29</f>
        <v>0</v>
      </c>
      <c r="M28" s="1228">
        <f>L28+SUMIF('11.1.Амортиз.нови активи'!$B$12:$B$59,$B28,'11.1.Амортиз.нови активи'!M$12:M$59)+('9.Инвестиционна програма'!H$131*SUMIF('11.1.Амортиз.нови активи'!$B$12:$B$59,$B28,'11.1.Амортиз.нови активи'!AO$12:AO$59))</f>
        <v>0</v>
      </c>
      <c r="N28" s="1224">
        <f>M28+SUMIF('11.1.Амортиз.нови активи'!$B$12:$B$59,$B28,'11.1.Амортиз.нови активи'!N$12:N$59)+('9.Инвестиционна програма'!I$131*SUMIF('11.1.Амортиз.нови активи'!$B$12:$B$59,$B28,'11.1.Амортиз.нови активи'!AP$12:AP$59))</f>
        <v>0</v>
      </c>
      <c r="O28" s="1224">
        <f>N28+SUMIF('11.1.Амортиз.нови активи'!$B$12:$B$59,$B28,'11.1.Амортиз.нови активи'!O$12:O$59)+('9.Инвестиционна програма'!J$131*SUMIF('11.1.Амортиз.нови активи'!$B$12:$B$59,$B28,'11.1.Амортиз.нови активи'!AQ$12:AQ$59))</f>
        <v>0</v>
      </c>
      <c r="P28" s="1224">
        <f>O28+SUMIF('11.1.Амортиз.нови активи'!$B$12:$B$59,$B28,'11.1.Амортиз.нови активи'!P$12:P$59)+('9.Инвестиционна програма'!K$131*SUMIF('11.1.Амортиз.нови активи'!$B$12:$B$59,$B28,'11.1.Амортиз.нови активи'!AR$12:AR$59))</f>
        <v>0</v>
      </c>
      <c r="Q28" s="1224">
        <f>P28+SUMIF('11.1.Амортиз.нови активи'!$B$12:$B$59,$B28,'11.1.Амортиз.нови активи'!Q$12:Q$59)+('9.Инвестиционна програма'!L$131*SUMIF('11.1.Амортиз.нови активи'!$B$12:$B$59,$B28,'11.1.Амортиз.нови активи'!AS$12:AS$59))</f>
        <v>0</v>
      </c>
      <c r="R28" s="1229">
        <f>Q28+SUMIF('11.1.Амортиз.нови активи'!$B$12:$B$59,$B28,'11.1.Амортиз.нови активи'!R$12:R$59)+('9.Инвестиционна програма'!M$131*SUMIF('11.1.Амортиз.нови активи'!$B$12:$B$59,$B28,'11.1.Амортиз.нови активи'!AT$12:AT$59))</f>
        <v>0</v>
      </c>
      <c r="S28" s="4453">
        <f>+'11.3. ДА Базова година'!P29</f>
        <v>0</v>
      </c>
      <c r="T28" s="1228">
        <f>S28+SUMIF('11.1.Амортиз.нови активи'!$B$12:$B$59,$B28,'11.1.Амортиз.нови активи'!T$12:T$59)+('9.Инвестиционна програма'!H$132*SUMIF('11.1.Амортиз.нови активи'!$B$12:$B$59,$B28,'11.1.Амортиз.нови активи'!AO$12:AO$59))</f>
        <v>0</v>
      </c>
      <c r="U28" s="1224">
        <f>T28+SUMIF('11.1.Амортиз.нови активи'!$B$12:$B$59,$B28,'11.1.Амортиз.нови активи'!U$12:U$59)+('9.Инвестиционна програма'!I$132*SUMIF('11.1.Амортиз.нови активи'!$B$12:$B$59,$B28,'11.1.Амортиз.нови активи'!AP$12:AP$59))</f>
        <v>0</v>
      </c>
      <c r="V28" s="1224">
        <f>U28+SUMIF('11.1.Амортиз.нови активи'!$B$12:$B$59,$B28,'11.1.Амортиз.нови активи'!V$12:V$59)+('9.Инвестиционна програма'!J$132*SUMIF('11.1.Амортиз.нови активи'!$B$12:$B$59,$B28,'11.1.Амортиз.нови активи'!AQ$12:AQ$59))</f>
        <v>0</v>
      </c>
      <c r="W28" s="1224">
        <f>V28+SUMIF('11.1.Амортиз.нови активи'!$B$12:$B$59,$B28,'11.1.Амортиз.нови активи'!W$12:W$59)+('9.Инвестиционна програма'!K$132*SUMIF('11.1.Амортиз.нови активи'!$B$12:$B$59,$B28,'11.1.Амортиз.нови активи'!AR$12:AR$59))</f>
        <v>0</v>
      </c>
      <c r="X28" s="1224">
        <f>W28+SUMIF('11.1.Амортиз.нови активи'!$B$12:$B$59,$B28,'11.1.Амортиз.нови активи'!X$12:X$59)+('9.Инвестиционна програма'!L$132*SUMIF('11.1.Амортиз.нови активи'!$B$12:$B$59,$B28,'11.1.Амортиз.нови активи'!AS$12:AS$59))</f>
        <v>0</v>
      </c>
      <c r="Y28" s="1229">
        <f>X28+SUMIF('11.1.Амортиз.нови активи'!$B$12:$B$59,$B28,'11.1.Амортиз.нови активи'!Y$12:Y$59)+('9.Инвестиционна програма'!M$132*SUMIF('11.1.Амортиз.нови активи'!$B$12:$B$59,$B28,'11.1.Амортиз.нови активи'!AT$12:AT$59))</f>
        <v>0</v>
      </c>
      <c r="Z28" s="4453">
        <f>+'11.3. ДА Базова година'!T29</f>
        <v>0</v>
      </c>
      <c r="AA28" s="1228">
        <f>Z28+SUMIF('11.1.Амортиз.нови активи'!$B$12:$B$59,$B28,'11.1.Амортиз.нови активи'!AA$12:AA$59)</f>
        <v>0</v>
      </c>
      <c r="AB28" s="1224">
        <f>AA28+SUMIF('11.1.Амортиз.нови активи'!$B$12:$B$59,$B28,'11.1.Амортиз.нови активи'!AB$12:AB$59)</f>
        <v>0</v>
      </c>
      <c r="AC28" s="1224">
        <f>AB28+SUMIF('11.1.Амортиз.нови активи'!$B$12:$B$59,$B28,'11.1.Амортиз.нови активи'!AC$12:AC$59)</f>
        <v>0</v>
      </c>
      <c r="AD28" s="1224">
        <f>AC28+SUMIF('11.1.Амортиз.нови активи'!$B$12:$B$59,$B28,'11.1.Амортиз.нови активи'!AD$12:AD$59)</f>
        <v>0</v>
      </c>
      <c r="AE28" s="1224">
        <f>AD28+SUMIF('11.1.Амортиз.нови активи'!$B$12:$B$59,$B28,'11.1.Амортиз.нови активи'!AE$12:AE$59)</f>
        <v>0</v>
      </c>
      <c r="AF28" s="1229">
        <f>AE28+SUMIF('11.1.Амортиз.нови активи'!$B$12:$B$59,$B28,'11.1.Амортиз.нови активи'!AF$12:AF$59)</f>
        <v>0</v>
      </c>
      <c r="AG28" s="4453">
        <f>+'11.3. ДА Базова година'!X29</f>
        <v>0</v>
      </c>
      <c r="AH28" s="1228">
        <f>AG28+SUMIF('11.1.Амортиз.нови активи'!$B$12:$B$59,$B28,'11.1.Амортиз.нови активи'!AH$12:AH$59)</f>
        <v>0</v>
      </c>
      <c r="AI28" s="1224">
        <f>AH28+SUMIF('11.1.Амортиз.нови активи'!$B$12:$B$59,$B28,'11.1.Амортиз.нови активи'!AI$12:AI$59)</f>
        <v>0</v>
      </c>
      <c r="AJ28" s="1224">
        <f>AI28+SUMIF('11.1.Амортиз.нови активи'!$B$12:$B$59,$B28,'11.1.Амортиз.нови активи'!AJ$12:AJ$59)</f>
        <v>0</v>
      </c>
      <c r="AK28" s="1224">
        <f>AJ28+SUMIF('11.1.Амортиз.нови активи'!$B$12:$B$59,$B28,'11.1.Амортиз.нови активи'!AK$12:AK$59)</f>
        <v>0</v>
      </c>
      <c r="AL28" s="1224">
        <f>AK28+SUMIF('11.1.Амортиз.нови активи'!$B$12:$B$59,$B28,'11.1.Амортиз.нови активи'!AL$12:AL$59)</f>
        <v>0</v>
      </c>
      <c r="AM28" s="1229">
        <f>AL28+SUMIF('11.1.Амортиз.нови активи'!$B$12:$B$59,$B28,'11.1.Амортиз.нови активи'!AM$12:AM$59)</f>
        <v>0</v>
      </c>
      <c r="AN28" s="2551"/>
      <c r="AO28" s="2559"/>
      <c r="AP28" s="4488"/>
      <c r="AQ28" s="4504">
        <f t="shared" si="31"/>
        <v>0</v>
      </c>
      <c r="AR28" s="4504">
        <f t="shared" si="32"/>
        <v>0</v>
      </c>
      <c r="AS28" s="4504">
        <f t="shared" si="33"/>
        <v>0</v>
      </c>
      <c r="AT28" s="4504">
        <f t="shared" si="34"/>
        <v>0</v>
      </c>
      <c r="AU28" s="4504">
        <f t="shared" si="35"/>
        <v>0</v>
      </c>
      <c r="AV28" s="4504">
        <f t="shared" si="36"/>
        <v>0</v>
      </c>
      <c r="AW28" s="4504">
        <f t="shared" si="37"/>
        <v>0</v>
      </c>
      <c r="AX28" s="4504">
        <f t="shared" si="38"/>
        <v>0</v>
      </c>
      <c r="AY28" s="4504">
        <f t="shared" si="39"/>
        <v>0</v>
      </c>
      <c r="AZ28" s="4504">
        <f t="shared" si="40"/>
        <v>0</v>
      </c>
      <c r="BA28" s="4504">
        <f t="shared" si="41"/>
        <v>0</v>
      </c>
      <c r="BB28" s="4504">
        <f t="shared" si="42"/>
        <v>0</v>
      </c>
      <c r="BC28" s="4504">
        <f t="shared" si="43"/>
        <v>0</v>
      </c>
      <c r="BD28" s="4504">
        <f t="shared" si="44"/>
        <v>0</v>
      </c>
      <c r="BE28" s="4504">
        <f t="shared" si="45"/>
        <v>0</v>
      </c>
      <c r="BF28" s="4504">
        <f t="shared" si="46"/>
        <v>0</v>
      </c>
      <c r="BG28" s="4504">
        <f t="shared" si="47"/>
        <v>0</v>
      </c>
      <c r="BH28" s="4504">
        <f t="shared" si="48"/>
        <v>0</v>
      </c>
      <c r="BI28" s="4504">
        <f t="shared" si="49"/>
        <v>0</v>
      </c>
      <c r="BJ28" s="4504">
        <f t="shared" si="50"/>
        <v>0</v>
      </c>
      <c r="BK28" s="4504">
        <f t="shared" si="51"/>
        <v>0</v>
      </c>
      <c r="BL28" s="4504">
        <f t="shared" si="52"/>
        <v>0</v>
      </c>
      <c r="BM28" s="4504">
        <f t="shared" si="53"/>
        <v>0</v>
      </c>
      <c r="BN28" s="4504">
        <f t="shared" si="54"/>
        <v>0</v>
      </c>
      <c r="BO28" s="4504">
        <f t="shared" si="55"/>
        <v>0</v>
      </c>
      <c r="BP28" s="4504">
        <f t="shared" si="56"/>
        <v>0</v>
      </c>
      <c r="BQ28" s="4504">
        <f t="shared" si="57"/>
        <v>0</v>
      </c>
      <c r="BR28" s="4504">
        <f t="shared" si="58"/>
        <v>0</v>
      </c>
      <c r="BS28" s="4504">
        <f t="shared" si="59"/>
        <v>0</v>
      </c>
      <c r="BT28" s="4504">
        <f t="shared" si="60"/>
        <v>0</v>
      </c>
      <c r="BU28" s="4504">
        <f t="shared" si="61"/>
        <v>0</v>
      </c>
      <c r="BV28" s="4504">
        <f t="shared" si="62"/>
        <v>0</v>
      </c>
      <c r="BW28" s="4504">
        <f t="shared" si="63"/>
        <v>0</v>
      </c>
      <c r="BX28" s="4504">
        <f t="shared" si="64"/>
        <v>0</v>
      </c>
      <c r="BY28" s="4504">
        <f t="shared" si="65"/>
        <v>0</v>
      </c>
    </row>
    <row r="29" spans="1:77" ht="24">
      <c r="A29" s="2569">
        <v>11</v>
      </c>
      <c r="B29" s="2565">
        <v>207</v>
      </c>
      <c r="C29" s="2565" t="s">
        <v>313</v>
      </c>
      <c r="D29" s="2567" t="s">
        <v>414</v>
      </c>
      <c r="E29" s="4453">
        <f>+'11.3. ДА Базова година'!H30</f>
        <v>1197.6389600545422</v>
      </c>
      <c r="F29" s="908">
        <f>E29+SUMIF('11.1.Амортиз.нови активи'!$B$12:$B$59,$B29,'11.1.Амортиз.нови активи'!F$12:F$59)+('9.Инвестиционна програма'!H$130*SUMIF('11.1.Амортиз.нови активи'!$B$12:$B$59,$B29,'11.1.Амортиз.нови активи'!AO$12:AO$59))</f>
        <v>1197.6389600545422</v>
      </c>
      <c r="G29" s="1224">
        <f>F29+SUMIF('11.1.Амортиз.нови активи'!$B$12:$B$59,$B29,'11.1.Амортиз.нови активи'!G$12:G$59)+('9.Инвестиционна програма'!I$130*SUMIF('11.1.Амортиз.нови активи'!$B$12:$B$59,$B29,'11.1.Амортиз.нови активи'!AP$12:AP$59))</f>
        <v>1197.6389600545422</v>
      </c>
      <c r="H29" s="1224">
        <f>G29+SUMIF('11.1.Амортиз.нови активи'!$B$12:$B$59,$B29,'11.1.Амортиз.нови активи'!H$12:H$59)+('9.Инвестиционна програма'!J$130*SUMIF('11.1.Амортиз.нови активи'!$B$12:$B$59,$B29,'11.1.Амортиз.нови активи'!AQ$12:AQ$59))</f>
        <v>1197.6389600545422</v>
      </c>
      <c r="I29" s="1224">
        <f>H29+SUMIF('11.1.Амортиз.нови активи'!$B$12:$B$59,$B29,'11.1.Амортиз.нови активи'!I$12:I$59)+('9.Инвестиционна програма'!K$130*SUMIF('11.1.Амортиз.нови активи'!$B$12:$B$59,$B29,'11.1.Амортиз.нови активи'!AR$12:AR$59))</f>
        <v>1197.6389600545422</v>
      </c>
      <c r="J29" s="1224">
        <f>I29+SUMIF('11.1.Амортиз.нови активи'!$B$12:$B$59,$B29,'11.1.Амортиз.нови активи'!J$12:J$59)+('9.Инвестиционна програма'!L$130*SUMIF('11.1.Амортиз.нови активи'!$B$12:$B$59,$B29,'11.1.Амортиз.нови активи'!AS$12:AS$59))</f>
        <v>1197.6389600545422</v>
      </c>
      <c r="K29" s="1229">
        <f>J29+SUMIF('11.1.Амортиз.нови активи'!$B$12:$B$59,$B29,'11.1.Амортиз.нови активи'!K$12:K$59)+('9.Инвестиционна програма'!M$130*SUMIF('11.1.Амортиз.нови активи'!$B$12:$B$59,$B29,'11.1.Амортиз.нови активи'!AT$12:AT$59))</f>
        <v>1197.6389600545422</v>
      </c>
      <c r="L29" s="4453">
        <f>+'11.3. ДА Базова година'!L30</f>
        <v>176.1291232228424</v>
      </c>
      <c r="M29" s="1228">
        <f>L29+SUMIF('11.1.Амортиз.нови активи'!$B$12:$B$59,$B29,'11.1.Амортиз.нови активи'!M$12:M$59)+('9.Инвестиционна програма'!H$131*SUMIF('11.1.Амортиз.нови активи'!$B$12:$B$59,$B29,'11.1.Амортиз.нови активи'!AO$12:AO$59))</f>
        <v>176.1291232228424</v>
      </c>
      <c r="N29" s="1224">
        <f>M29+SUMIF('11.1.Амортиз.нови активи'!$B$12:$B$59,$B29,'11.1.Амортиз.нови активи'!N$12:N$59)+('9.Инвестиционна програма'!I$131*SUMIF('11.1.Амортиз.нови активи'!$B$12:$B$59,$B29,'11.1.Амортиз.нови активи'!AP$12:AP$59))</f>
        <v>176.1291232228424</v>
      </c>
      <c r="O29" s="1224">
        <f>N29+SUMIF('11.1.Амортиз.нови активи'!$B$12:$B$59,$B29,'11.1.Амортиз.нови активи'!O$12:O$59)+('9.Инвестиционна програма'!J$131*SUMIF('11.1.Амортиз.нови активи'!$B$12:$B$59,$B29,'11.1.Амортиз.нови активи'!AQ$12:AQ$59))</f>
        <v>176.1291232228424</v>
      </c>
      <c r="P29" s="1224">
        <f>O29+SUMIF('11.1.Амортиз.нови активи'!$B$12:$B$59,$B29,'11.1.Амортиз.нови активи'!P$12:P$59)+('9.Инвестиционна програма'!K$131*SUMIF('11.1.Амортиз.нови активи'!$B$12:$B$59,$B29,'11.1.Амортиз.нови активи'!AR$12:AR$59))</f>
        <v>176.1291232228424</v>
      </c>
      <c r="Q29" s="1224">
        <f>P29+SUMIF('11.1.Амортиз.нови активи'!$B$12:$B$59,$B29,'11.1.Амортиз.нови активи'!Q$12:Q$59)+('9.Инвестиционна програма'!L$131*SUMIF('11.1.Амортиз.нови активи'!$B$12:$B$59,$B29,'11.1.Амортиз.нови активи'!AS$12:AS$59))</f>
        <v>176.1291232228424</v>
      </c>
      <c r="R29" s="1229">
        <f>Q29+SUMIF('11.1.Амортиз.нови активи'!$B$12:$B$59,$B29,'11.1.Амортиз.нови активи'!R$12:R$59)+('9.Инвестиционна програма'!M$131*SUMIF('11.1.Амортиз.нови активи'!$B$12:$B$59,$B29,'11.1.Амортиз.нови активи'!AT$12:AT$59))</f>
        <v>176.1291232228424</v>
      </c>
      <c r="S29" s="4453">
        <f>+'11.3. ДА Базова година'!P30</f>
        <v>102.54055197449465</v>
      </c>
      <c r="T29" s="1228">
        <f>S29+SUMIF('11.1.Амортиз.нови активи'!$B$12:$B$59,$B29,'11.1.Амортиз.нови активи'!T$12:T$59)+('9.Инвестиционна програма'!H$132*SUMIF('11.1.Амортиз.нови активи'!$B$12:$B$59,$B29,'11.1.Амортиз.нови активи'!AO$12:AO$59))</f>
        <v>102.54055197449465</v>
      </c>
      <c r="U29" s="1224">
        <f>T29+SUMIF('11.1.Амортиз.нови активи'!$B$12:$B$59,$B29,'11.1.Амортиз.нови активи'!U$12:U$59)+('9.Инвестиционна програма'!I$132*SUMIF('11.1.Амортиз.нови активи'!$B$12:$B$59,$B29,'11.1.Амортиз.нови активи'!AP$12:AP$59))</f>
        <v>102.54055197449465</v>
      </c>
      <c r="V29" s="1224">
        <f>U29+SUMIF('11.1.Амортиз.нови активи'!$B$12:$B$59,$B29,'11.1.Амортиз.нови активи'!V$12:V$59)+('9.Инвестиционна програма'!J$132*SUMIF('11.1.Амортиз.нови активи'!$B$12:$B$59,$B29,'11.1.Амортиз.нови активи'!AQ$12:AQ$59))</f>
        <v>102.54055197449465</v>
      </c>
      <c r="W29" s="1224">
        <f>V29+SUMIF('11.1.Амортиз.нови активи'!$B$12:$B$59,$B29,'11.1.Амортиз.нови активи'!W$12:W$59)+('9.Инвестиционна програма'!K$132*SUMIF('11.1.Амортиз.нови активи'!$B$12:$B$59,$B29,'11.1.Амортиз.нови активи'!AR$12:AR$59))</f>
        <v>102.54055197449465</v>
      </c>
      <c r="X29" s="1224">
        <f>W29+SUMIF('11.1.Амортиз.нови активи'!$B$12:$B$59,$B29,'11.1.Амортиз.нови активи'!X$12:X$59)+('9.Инвестиционна програма'!L$132*SUMIF('11.1.Амортиз.нови активи'!$B$12:$B$59,$B29,'11.1.Амортиз.нови активи'!AS$12:AS$59))</f>
        <v>102.54055197449465</v>
      </c>
      <c r="Y29" s="1229">
        <f>X29+SUMIF('11.1.Амортиз.нови активи'!$B$12:$B$59,$B29,'11.1.Амортиз.нови активи'!Y$12:Y$59)+('9.Инвестиционна програма'!M$132*SUMIF('11.1.Амортиз.нови активи'!$B$12:$B$59,$B29,'11.1.Амортиз.нови активи'!AT$12:AT$59))</f>
        <v>102.54055197449465</v>
      </c>
      <c r="Z29" s="4453">
        <f>+'11.3. ДА Базова година'!T30</f>
        <v>0</v>
      </c>
      <c r="AA29" s="1228">
        <f>Z29+SUMIF('11.1.Амортиз.нови активи'!$B$12:$B$59,$B29,'11.1.Амортиз.нови активи'!AA$12:AA$59)</f>
        <v>0</v>
      </c>
      <c r="AB29" s="1224">
        <f>AA29+SUMIF('11.1.Амортиз.нови активи'!$B$12:$B$59,$B29,'11.1.Амортиз.нови активи'!AB$12:AB$59)</f>
        <v>0</v>
      </c>
      <c r="AC29" s="1224">
        <f>AB29+SUMIF('11.1.Амортиз.нови активи'!$B$12:$B$59,$B29,'11.1.Амортиз.нови активи'!AC$12:AC$59)</f>
        <v>0</v>
      </c>
      <c r="AD29" s="1224">
        <f>AC29+SUMIF('11.1.Амортиз.нови активи'!$B$12:$B$59,$B29,'11.1.Амортиз.нови активи'!AD$12:AD$59)</f>
        <v>0</v>
      </c>
      <c r="AE29" s="1224">
        <f>AD29+SUMIF('11.1.Амортиз.нови активи'!$B$12:$B$59,$B29,'11.1.Амортиз.нови активи'!AE$12:AE$59)</f>
        <v>0</v>
      </c>
      <c r="AF29" s="1229">
        <f>AE29+SUMIF('11.1.Амортиз.нови активи'!$B$12:$B$59,$B29,'11.1.Амортиз.нови активи'!AF$12:AF$59)</f>
        <v>0</v>
      </c>
      <c r="AG29" s="4453">
        <f>+'11.3. ДА Базова година'!X30</f>
        <v>5.1427752714127557</v>
      </c>
      <c r="AH29" s="1228">
        <f>AG29+SUMIF('11.1.Амортиз.нови активи'!$B$12:$B$59,$B29,'11.1.Амортиз.нови активи'!AH$12:AH$59)</f>
        <v>5.1427752714127557</v>
      </c>
      <c r="AI29" s="1224">
        <f>AH29+SUMIF('11.1.Амортиз.нови активи'!$B$12:$B$59,$B29,'11.1.Амортиз.нови активи'!AI$12:AI$59)</f>
        <v>5.1427752714127557</v>
      </c>
      <c r="AJ29" s="1224">
        <f>AI29+SUMIF('11.1.Амортиз.нови активи'!$B$12:$B$59,$B29,'11.1.Амортиз.нови активи'!AJ$12:AJ$59)</f>
        <v>5.1427752714127557</v>
      </c>
      <c r="AK29" s="1224">
        <f>AJ29+SUMIF('11.1.Амортиз.нови активи'!$B$12:$B$59,$B29,'11.1.Амортиз.нови активи'!AK$12:AK$59)</f>
        <v>5.1427752714127557</v>
      </c>
      <c r="AL29" s="1224">
        <f>AK29+SUMIF('11.1.Амортиз.нови активи'!$B$12:$B$59,$B29,'11.1.Амортиз.нови активи'!AL$12:AL$59)</f>
        <v>5.1427752714127557</v>
      </c>
      <c r="AM29" s="1229">
        <f>AL29+SUMIF('11.1.Амортиз.нови активи'!$B$12:$B$59,$B29,'11.1.Амортиз.нови активи'!AM$12:AM$59)</f>
        <v>5.1427752714127557</v>
      </c>
      <c r="AN29" s="2551"/>
      <c r="AO29" s="2559"/>
      <c r="AP29" s="4488"/>
      <c r="AQ29" s="4504">
        <f t="shared" si="31"/>
        <v>612.34307688016963</v>
      </c>
      <c r="AR29" s="4504">
        <f t="shared" si="32"/>
        <v>612.34307688016963</v>
      </c>
      <c r="AS29" s="4504">
        <f t="shared" si="33"/>
        <v>612.34307688016963</v>
      </c>
      <c r="AT29" s="4504">
        <f t="shared" si="34"/>
        <v>612.34307688016963</v>
      </c>
      <c r="AU29" s="4504">
        <f t="shared" si="35"/>
        <v>612.34307688016963</v>
      </c>
      <c r="AV29" s="4504">
        <f t="shared" si="36"/>
        <v>612.34307688016963</v>
      </c>
      <c r="AW29" s="4504">
        <f t="shared" si="37"/>
        <v>612.34307688016963</v>
      </c>
      <c r="AX29" s="4504">
        <f t="shared" si="38"/>
        <v>90.053390746047668</v>
      </c>
      <c r="AY29" s="4504">
        <f t="shared" si="39"/>
        <v>90.053390746047668</v>
      </c>
      <c r="AZ29" s="4504">
        <f t="shared" si="40"/>
        <v>90.053390746047668</v>
      </c>
      <c r="BA29" s="4504">
        <f t="shared" si="41"/>
        <v>90.053390746047668</v>
      </c>
      <c r="BB29" s="4504">
        <f t="shared" si="42"/>
        <v>90.053390746047668</v>
      </c>
      <c r="BC29" s="4504">
        <f t="shared" si="43"/>
        <v>90.053390746047668</v>
      </c>
      <c r="BD29" s="4504">
        <f t="shared" si="44"/>
        <v>90.053390746047668</v>
      </c>
      <c r="BE29" s="4504">
        <f t="shared" si="45"/>
        <v>52.428151717937986</v>
      </c>
      <c r="BF29" s="4504">
        <f t="shared" si="46"/>
        <v>52.428151717937986</v>
      </c>
      <c r="BG29" s="4504">
        <f t="shared" si="47"/>
        <v>52.428151717937986</v>
      </c>
      <c r="BH29" s="4504">
        <f t="shared" si="48"/>
        <v>52.428151717937986</v>
      </c>
      <c r="BI29" s="4504">
        <f t="shared" si="49"/>
        <v>52.428151717937986</v>
      </c>
      <c r="BJ29" s="4504">
        <f t="shared" si="50"/>
        <v>52.428151717937986</v>
      </c>
      <c r="BK29" s="4504">
        <f t="shared" si="51"/>
        <v>52.428151717937986</v>
      </c>
      <c r="BL29" s="4504">
        <f t="shared" si="52"/>
        <v>0</v>
      </c>
      <c r="BM29" s="4504">
        <f t="shared" si="53"/>
        <v>0</v>
      </c>
      <c r="BN29" s="4504">
        <f t="shared" si="54"/>
        <v>0</v>
      </c>
      <c r="BO29" s="4504">
        <f t="shared" si="55"/>
        <v>0</v>
      </c>
      <c r="BP29" s="4504">
        <f t="shared" si="56"/>
        <v>0</v>
      </c>
      <c r="BQ29" s="4504">
        <f t="shared" si="57"/>
        <v>0</v>
      </c>
      <c r="BR29" s="4504">
        <f t="shared" si="58"/>
        <v>0</v>
      </c>
      <c r="BS29" s="4504">
        <f t="shared" si="59"/>
        <v>2.6294592430900212</v>
      </c>
      <c r="BT29" s="4504">
        <f t="shared" si="60"/>
        <v>2.6294592430900212</v>
      </c>
      <c r="BU29" s="4504">
        <f t="shared" si="61"/>
        <v>2.6294592430900212</v>
      </c>
      <c r="BV29" s="4504">
        <f t="shared" si="62"/>
        <v>2.6294592430900212</v>
      </c>
      <c r="BW29" s="4504">
        <f t="shared" si="63"/>
        <v>2.6294592430900212</v>
      </c>
      <c r="BX29" s="4504">
        <f t="shared" si="64"/>
        <v>2.6294592430900212</v>
      </c>
      <c r="BY29" s="4504">
        <f t="shared" si="65"/>
        <v>2.6294592430900212</v>
      </c>
    </row>
    <row r="30" spans="1:77">
      <c r="A30" s="2569">
        <v>12</v>
      </c>
      <c r="B30" s="2565">
        <v>212</v>
      </c>
      <c r="C30" s="2560">
        <v>0.2</v>
      </c>
      <c r="D30" s="2570" t="s">
        <v>214</v>
      </c>
      <c r="E30" s="4453">
        <f>+'11.3. ДА Базова година'!H33</f>
        <v>156.55329979684086</v>
      </c>
      <c r="F30" s="908">
        <f>E30+SUMIF('11.1.Амортиз.нови активи'!$B$12:$B$59,$B30,'11.1.Амортиз.нови активи'!F$12:F$59)+('9.Инвестиционна програма'!H$130*SUMIF('11.1.Амортиз.нови активи'!$B$12:$B$59,$B30,'11.1.Амортиз.нови активи'!AO$12:AO$59))</f>
        <v>156.55329979684086</v>
      </c>
      <c r="G30" s="1224">
        <f>F30+SUMIF('11.1.Амортиз.нови активи'!$B$12:$B$59,$B30,'11.1.Амортиз.нови активи'!G$12:G$59)+('9.Инвестиционна програма'!I$130*SUMIF('11.1.Амортиз.нови активи'!$B$12:$B$59,$B30,'11.1.Амортиз.нови активи'!AP$12:AP$59))</f>
        <v>162.8866331301742</v>
      </c>
      <c r="H30" s="1224">
        <f>G30+SUMIF('11.1.Амортиз.нови активи'!$B$12:$B$59,$B30,'11.1.Амортиз.нови активи'!H$12:H$59)+('9.Инвестиционна програма'!J$130*SUMIF('11.1.Амортиз.нови активи'!$B$12:$B$59,$B30,'11.1.Амортиз.нови активи'!AQ$12:AQ$59))</f>
        <v>167.21996646350755</v>
      </c>
      <c r="I30" s="1224">
        <f>H30+SUMIF('11.1.Амортиз.нови активи'!$B$12:$B$59,$B30,'11.1.Амортиз.нови активи'!I$12:I$59)+('9.Инвестиционна програма'!K$130*SUMIF('11.1.Амортиз.нови активи'!$B$12:$B$59,$B30,'11.1.Амортиз.нови активи'!AR$12:AR$59))</f>
        <v>177.8866331301742</v>
      </c>
      <c r="J30" s="1224">
        <f>I30+SUMIF('11.1.Амортиз.нови активи'!$B$12:$B$59,$B30,'11.1.Амортиз.нови активи'!J$12:J$59)+('9.Инвестиционна програма'!L$130*SUMIF('11.1.Амортиз.нови активи'!$B$12:$B$59,$B30,'11.1.Амортиз.нови активи'!AS$12:AS$59))</f>
        <v>186.55329979684086</v>
      </c>
      <c r="K30" s="1229">
        <f>J30+SUMIF('11.1.Амортиз.нови активи'!$B$12:$B$59,$B30,'11.1.Амортиз.нови активи'!K$12:K$59)+('9.Инвестиционна програма'!M$130*SUMIF('11.1.Амортиз.нови активи'!$B$12:$B$59,$B30,'11.1.Амортиз.нови активи'!AT$12:AT$59))</f>
        <v>190.8866331301742</v>
      </c>
      <c r="L30" s="4453">
        <f>+'11.3. ДА Базова година'!L33</f>
        <v>26.532996726392465</v>
      </c>
      <c r="M30" s="1228">
        <f>L30+SUMIF('11.1.Амортиз.нови активи'!$B$12:$B$59,$B30,'11.1.Амортиз.нови активи'!M$12:M$59)+('9.Инвестиционна програма'!H$131*SUMIF('11.1.Амортиз.нови активи'!$B$12:$B$59,$B30,'11.1.Амортиз.нови активи'!AO$12:AO$59))</f>
        <v>26.532996726392465</v>
      </c>
      <c r="N30" s="1224">
        <f>M30+SUMIF('11.1.Амортиз.нови активи'!$B$12:$B$59,$B30,'11.1.Амортиз.нови активи'!N$12:N$59)+('9.Инвестиционна програма'!I$131*SUMIF('11.1.Амортиз.нови активи'!$B$12:$B$59,$B30,'11.1.Амортиз.нови активи'!AP$12:AP$59))</f>
        <v>32.866330059725797</v>
      </c>
      <c r="O30" s="1224">
        <f>N30+SUMIF('11.1.Амортиз.нови активи'!$B$12:$B$59,$B30,'11.1.Амортиз.нови активи'!O$12:O$59)+('9.Инвестиционна програма'!J$131*SUMIF('11.1.Амортиз.нови активи'!$B$12:$B$59,$B30,'11.1.Амортиз.нови активи'!AQ$12:AQ$59))</f>
        <v>37.199663393059133</v>
      </c>
      <c r="P30" s="1224">
        <f>O30+SUMIF('11.1.Амортиз.нови активи'!$B$12:$B$59,$B30,'11.1.Амортиз.нови активи'!P$12:P$59)+('9.Инвестиционна програма'!K$131*SUMIF('11.1.Амортиз.нови активи'!$B$12:$B$59,$B30,'11.1.Амортиз.нови активи'!AR$12:AR$59))</f>
        <v>47.866330059725797</v>
      </c>
      <c r="Q30" s="1224">
        <f>P30+SUMIF('11.1.Амортиз.нови активи'!$B$12:$B$59,$B30,'11.1.Амортиз.нови активи'!Q$12:Q$59)+('9.Инвестиционна програма'!L$131*SUMIF('11.1.Амортиз.нови активи'!$B$12:$B$59,$B30,'11.1.Амортиз.нови активи'!AS$12:AS$59))</f>
        <v>56.532996726392462</v>
      </c>
      <c r="R30" s="1229">
        <f>Q30+SUMIF('11.1.Амортиз.нови активи'!$B$12:$B$59,$B30,'11.1.Амортиз.нови активи'!R$12:R$59)+('9.Инвестиционна програма'!M$131*SUMIF('11.1.Амортиз.нови активи'!$B$12:$B$59,$B30,'11.1.Амортиз.нови активи'!AT$12:AT$59))</f>
        <v>60.866330059725797</v>
      </c>
      <c r="S30" s="4453">
        <f>+'11.3. ДА Базова година'!P33</f>
        <v>40.990277868840359</v>
      </c>
      <c r="T30" s="1228">
        <f>S30+SUMIF('11.1.Амортиз.нови активи'!$B$12:$B$59,$B30,'11.1.Амортиз.нови активи'!T$12:T$59)+('9.Инвестиционна програма'!H$132*SUMIF('11.1.Амортиз.нови активи'!$B$12:$B$59,$B30,'11.1.Амортиз.нови активи'!AO$12:AO$59))</f>
        <v>40.990277868840359</v>
      </c>
      <c r="U30" s="1224">
        <f>T30+SUMIF('11.1.Амортиз.нови активи'!$B$12:$B$59,$B30,'11.1.Амортиз.нови активи'!U$12:U$59)+('9.Инвестиционна програма'!I$132*SUMIF('11.1.Амортиз.нови активи'!$B$12:$B$59,$B30,'11.1.Амортиз.нови активи'!AP$12:AP$59))</f>
        <v>47.323611202173694</v>
      </c>
      <c r="V30" s="1224">
        <f>U30+SUMIF('11.1.Амортиз.нови активи'!$B$12:$B$59,$B30,'11.1.Амортиз.нови активи'!V$12:V$59)+('9.Инвестиционна програма'!J$132*SUMIF('11.1.Амортиз.нови активи'!$B$12:$B$59,$B30,'11.1.Амортиз.нови активи'!AQ$12:AQ$59))</f>
        <v>51.65694453550703</v>
      </c>
      <c r="W30" s="1224">
        <f>V30+SUMIF('11.1.Амортиз.нови активи'!$B$12:$B$59,$B30,'11.1.Амортиз.нови активи'!W$12:W$59)+('9.Инвестиционна програма'!K$132*SUMIF('11.1.Амортиз.нови активи'!$B$12:$B$59,$B30,'11.1.Амортиз.нови активи'!AR$12:AR$59))</f>
        <v>62.323611202173694</v>
      </c>
      <c r="X30" s="1224">
        <f>W30+SUMIF('11.1.Амортиз.нови активи'!$B$12:$B$59,$B30,'11.1.Амортиз.нови активи'!X$12:X$59)+('9.Инвестиционна програма'!L$132*SUMIF('11.1.Амортиз.нови активи'!$B$12:$B$59,$B30,'11.1.Амортиз.нови активи'!AS$12:AS$59))</f>
        <v>70.990277868840366</v>
      </c>
      <c r="Y30" s="1229">
        <f>X30+SUMIF('11.1.Амортиз.нови активи'!$B$12:$B$59,$B30,'11.1.Амортиз.нови активи'!Y$12:Y$59)+('9.Инвестиционна програма'!M$132*SUMIF('11.1.Амортиз.нови активи'!$B$12:$B$59,$B30,'11.1.Амортиз.нови активи'!AT$12:AT$59))</f>
        <v>75.323611202173694</v>
      </c>
      <c r="Z30" s="4453">
        <f>+'11.3. ДА Базова година'!T33</f>
        <v>0</v>
      </c>
      <c r="AA30" s="1228">
        <f>Z30+SUMIF('11.1.Амортиз.нови активи'!$B$12:$B$59,$B30,'11.1.Амортиз.нови активи'!AA$12:AA$59)</f>
        <v>0</v>
      </c>
      <c r="AB30" s="1224">
        <f>AA30+SUMIF('11.1.Амортиз.нови активи'!$B$12:$B$59,$B30,'11.1.Амортиз.нови активи'!AB$12:AB$59)</f>
        <v>0</v>
      </c>
      <c r="AC30" s="1224">
        <f>AB30+SUMIF('11.1.Амортиз.нови активи'!$B$12:$B$59,$B30,'11.1.Амортиз.нови активи'!AC$12:AC$59)</f>
        <v>0</v>
      </c>
      <c r="AD30" s="1224">
        <f>AC30+SUMIF('11.1.Амортиз.нови активи'!$B$12:$B$59,$B30,'11.1.Амортиз.нови активи'!AD$12:AD$59)</f>
        <v>0</v>
      </c>
      <c r="AE30" s="1224">
        <f>AD30+SUMIF('11.1.Амортиз.нови активи'!$B$12:$B$59,$B30,'11.1.Амортиз.нови активи'!AE$12:AE$59)</f>
        <v>0</v>
      </c>
      <c r="AF30" s="1229">
        <f>AE30+SUMIF('11.1.Амортиз.нови активи'!$B$12:$B$59,$B30,'11.1.Амортиз.нови активи'!AF$12:AF$59)</f>
        <v>0</v>
      </c>
      <c r="AG30" s="4453">
        <f>+'11.3. ДА Базова година'!X33</f>
        <v>0.69320169056253012</v>
      </c>
      <c r="AH30" s="1228">
        <f>AG30+SUMIF('11.1.Амортиз.нови активи'!$B$12:$B$59,$B30,'11.1.Амортиз.нови активи'!AH$12:AH$59)</f>
        <v>0.69320169056253012</v>
      </c>
      <c r="AI30" s="1224">
        <f>AH30+SUMIF('11.1.Амортиз.нови активи'!$B$12:$B$59,$B30,'11.1.Амортиз.нови активи'!AI$12:AI$59)</f>
        <v>0.69320169056253012</v>
      </c>
      <c r="AJ30" s="1224">
        <f>AI30+SUMIF('11.1.Амортиз.нови активи'!$B$12:$B$59,$B30,'11.1.Амортиз.нови активи'!AJ$12:AJ$59)</f>
        <v>0.69320169056253012</v>
      </c>
      <c r="AK30" s="1224">
        <f>AJ30+SUMIF('11.1.Амортиз.нови активи'!$B$12:$B$59,$B30,'11.1.Амортиз.нови активи'!AK$12:AK$59)</f>
        <v>0.69320169056253012</v>
      </c>
      <c r="AL30" s="1224">
        <f>AK30+SUMIF('11.1.Амортиз.нови активи'!$B$12:$B$59,$B30,'11.1.Амортиз.нови активи'!AL$12:AL$59)</f>
        <v>0.69320169056253012</v>
      </c>
      <c r="AM30" s="1229">
        <f>AL30+SUMIF('11.1.Амортиз.нови активи'!$B$12:$B$59,$B30,'11.1.Амортиз.нови активи'!AM$12:AM$59)</f>
        <v>0.69320169056253012</v>
      </c>
      <c r="AN30" s="2551"/>
      <c r="AO30" s="2559"/>
      <c r="AP30" s="4488"/>
      <c r="AQ30" s="4504">
        <f t="shared" si="31"/>
        <v>80.044431160602329</v>
      </c>
      <c r="AR30" s="4504">
        <f t="shared" si="32"/>
        <v>80.044431160602329</v>
      </c>
      <c r="AS30" s="4504">
        <f t="shared" si="33"/>
        <v>83.282613074845059</v>
      </c>
      <c r="AT30" s="4504">
        <f t="shared" si="34"/>
        <v>85.498211226695346</v>
      </c>
      <c r="AU30" s="4504">
        <f t="shared" si="35"/>
        <v>90.951991292788335</v>
      </c>
      <c r="AV30" s="4504">
        <f t="shared" si="36"/>
        <v>95.383187596488895</v>
      </c>
      <c r="AW30" s="4504">
        <f t="shared" si="37"/>
        <v>97.598785748339168</v>
      </c>
      <c r="AX30" s="4504">
        <f t="shared" si="38"/>
        <v>13.56610581001031</v>
      </c>
      <c r="AY30" s="4504">
        <f t="shared" si="39"/>
        <v>13.56610581001031</v>
      </c>
      <c r="AZ30" s="4504">
        <f t="shared" si="40"/>
        <v>16.804287724253026</v>
      </c>
      <c r="BA30" s="4504">
        <f t="shared" si="41"/>
        <v>19.019885876103309</v>
      </c>
      <c r="BB30" s="4504">
        <f t="shared" si="42"/>
        <v>24.473665942196305</v>
      </c>
      <c r="BC30" s="4504">
        <f t="shared" si="43"/>
        <v>28.904862245896865</v>
      </c>
      <c r="BD30" s="4504">
        <f t="shared" si="44"/>
        <v>31.120460397747145</v>
      </c>
      <c r="BE30" s="4504">
        <f t="shared" si="45"/>
        <v>20.957996282315108</v>
      </c>
      <c r="BF30" s="4504">
        <f t="shared" si="46"/>
        <v>20.957996282315108</v>
      </c>
      <c r="BG30" s="4504">
        <f t="shared" si="47"/>
        <v>24.196178196557828</v>
      </c>
      <c r="BH30" s="4504">
        <f t="shared" si="48"/>
        <v>26.411776348408107</v>
      </c>
      <c r="BI30" s="4504">
        <f t="shared" si="49"/>
        <v>31.865556414501103</v>
      </c>
      <c r="BJ30" s="4504">
        <f t="shared" si="50"/>
        <v>36.296752718201667</v>
      </c>
      <c r="BK30" s="4504">
        <f t="shared" si="51"/>
        <v>38.512350870051947</v>
      </c>
      <c r="BL30" s="4504">
        <f t="shared" si="52"/>
        <v>0</v>
      </c>
      <c r="BM30" s="4504">
        <f t="shared" si="53"/>
        <v>0</v>
      </c>
      <c r="BN30" s="4504">
        <f t="shared" si="54"/>
        <v>0</v>
      </c>
      <c r="BO30" s="4504">
        <f t="shared" si="55"/>
        <v>0</v>
      </c>
      <c r="BP30" s="4504">
        <f t="shared" si="56"/>
        <v>0</v>
      </c>
      <c r="BQ30" s="4504">
        <f t="shared" si="57"/>
        <v>0</v>
      </c>
      <c r="BR30" s="4504">
        <f t="shared" si="58"/>
        <v>0</v>
      </c>
      <c r="BS30" s="4504">
        <f t="shared" si="59"/>
        <v>0.35442839641611495</v>
      </c>
      <c r="BT30" s="4504">
        <f t="shared" si="60"/>
        <v>0.35442839641611495</v>
      </c>
      <c r="BU30" s="4504">
        <f t="shared" si="61"/>
        <v>0.35442839641611495</v>
      </c>
      <c r="BV30" s="4504">
        <f t="shared" si="62"/>
        <v>0.35442839641611495</v>
      </c>
      <c r="BW30" s="4504">
        <f t="shared" si="63"/>
        <v>0.35442839641611495</v>
      </c>
      <c r="BX30" s="4504">
        <f t="shared" si="64"/>
        <v>0.35442839641611495</v>
      </c>
      <c r="BY30" s="4504">
        <f t="shared" si="65"/>
        <v>0.35442839641611495</v>
      </c>
    </row>
    <row r="31" spans="1:77">
      <c r="A31" s="2569">
        <v>13</v>
      </c>
      <c r="B31" s="2564">
        <v>213</v>
      </c>
      <c r="C31" s="2571">
        <v>0.2</v>
      </c>
      <c r="D31" s="2558" t="s">
        <v>215</v>
      </c>
      <c r="E31" s="4453">
        <f>+'11.3. ДА Базова година'!H34</f>
        <v>0</v>
      </c>
      <c r="F31" s="908">
        <f>E31+SUMIF('11.1.Амортиз.нови активи'!$B$12:$B$59,$B31,'11.1.Амортиз.нови активи'!F$12:F$59)+('9.Инвестиционна програма'!H$130*SUMIF('11.1.Амортиз.нови активи'!$B$12:$B$59,$B31,'11.1.Амортиз.нови активи'!AO$12:AO$59))</f>
        <v>0</v>
      </c>
      <c r="G31" s="1224">
        <f>F31+SUMIF('11.1.Амортиз.нови активи'!$B$12:$B$59,$B31,'11.1.Амортиз.нови активи'!G$12:G$59)+('9.Инвестиционна програма'!I$130*SUMIF('11.1.Амортиз.нови активи'!$B$12:$B$59,$B31,'11.1.Амортиз.нови активи'!AP$12:AP$59))</f>
        <v>0</v>
      </c>
      <c r="H31" s="1224">
        <f>G31+SUMIF('11.1.Амортиз.нови активи'!$B$12:$B$59,$B31,'11.1.Амортиз.нови активи'!H$12:H$59)+('9.Инвестиционна програма'!J$130*SUMIF('11.1.Амортиз.нови активи'!$B$12:$B$59,$B31,'11.1.Амортиз.нови активи'!AQ$12:AQ$59))</f>
        <v>0</v>
      </c>
      <c r="I31" s="1224">
        <f>H31+SUMIF('11.1.Амортиз.нови активи'!$B$12:$B$59,$B31,'11.1.Амортиз.нови активи'!I$12:I$59)+('9.Инвестиционна програма'!K$130*SUMIF('11.1.Амортиз.нови активи'!$B$12:$B$59,$B31,'11.1.Амортиз.нови активи'!AR$12:AR$59))</f>
        <v>0</v>
      </c>
      <c r="J31" s="1224">
        <f>I31+SUMIF('11.1.Амортиз.нови активи'!$B$12:$B$59,$B31,'11.1.Амортиз.нови активи'!J$12:J$59)+('9.Инвестиционна програма'!L$130*SUMIF('11.1.Амортиз.нови активи'!$B$12:$B$59,$B31,'11.1.Амортиз.нови активи'!AS$12:AS$59))</f>
        <v>0</v>
      </c>
      <c r="K31" s="1229">
        <f>J31+SUMIF('11.1.Амортиз.нови активи'!$B$12:$B$59,$B31,'11.1.Амортиз.нови активи'!K$12:K$59)+('9.Инвестиционна програма'!M$130*SUMIF('11.1.Амортиз.нови активи'!$B$12:$B$59,$B31,'11.1.Амортиз.нови активи'!AT$12:AT$59))</f>
        <v>0</v>
      </c>
      <c r="L31" s="4453">
        <f>+'11.3. ДА Базова година'!L34</f>
        <v>0</v>
      </c>
      <c r="M31" s="1228">
        <f>L31+SUMIF('11.1.Амортиз.нови активи'!$B$12:$B$59,$B31,'11.1.Амортиз.нови активи'!M$12:M$59)+('9.Инвестиционна програма'!H$131*SUMIF('11.1.Амортиз.нови активи'!$B$12:$B$59,$B31,'11.1.Амортиз.нови активи'!AO$12:AO$59))</f>
        <v>0</v>
      </c>
      <c r="N31" s="1224">
        <f>M31+SUMIF('11.1.Амортиз.нови активи'!$B$12:$B$59,$B31,'11.1.Амортиз.нови активи'!N$12:N$59)+('9.Инвестиционна програма'!I$131*SUMIF('11.1.Амортиз.нови активи'!$B$12:$B$59,$B31,'11.1.Амортиз.нови активи'!AP$12:AP$59))</f>
        <v>0</v>
      </c>
      <c r="O31" s="1224">
        <f>N31+SUMIF('11.1.Амортиз.нови активи'!$B$12:$B$59,$B31,'11.1.Амортиз.нови активи'!O$12:O$59)+('9.Инвестиционна програма'!J$131*SUMIF('11.1.Амортиз.нови активи'!$B$12:$B$59,$B31,'11.1.Амортиз.нови активи'!AQ$12:AQ$59))</f>
        <v>0</v>
      </c>
      <c r="P31" s="1224">
        <f>O31+SUMIF('11.1.Амортиз.нови активи'!$B$12:$B$59,$B31,'11.1.Амортиз.нови активи'!P$12:P$59)+('9.Инвестиционна програма'!K$131*SUMIF('11.1.Амортиз.нови активи'!$B$12:$B$59,$B31,'11.1.Амортиз.нови активи'!AR$12:AR$59))</f>
        <v>0</v>
      </c>
      <c r="Q31" s="1224">
        <f>P31+SUMIF('11.1.Амортиз.нови активи'!$B$12:$B$59,$B31,'11.1.Амортиз.нови активи'!Q$12:Q$59)+('9.Инвестиционна програма'!L$131*SUMIF('11.1.Амортиз.нови активи'!$B$12:$B$59,$B31,'11.1.Амортиз.нови активи'!AS$12:AS$59))</f>
        <v>0</v>
      </c>
      <c r="R31" s="1229">
        <f>Q31+SUMIF('11.1.Амортиз.нови активи'!$B$12:$B$59,$B31,'11.1.Амортиз.нови активи'!R$12:R$59)+('9.Инвестиционна програма'!M$131*SUMIF('11.1.Амортиз.нови активи'!$B$12:$B$59,$B31,'11.1.Амортиз.нови активи'!AT$12:AT$59))</f>
        <v>0</v>
      </c>
      <c r="S31" s="4453">
        <f>+'11.3. ДА Базова година'!P34</f>
        <v>0</v>
      </c>
      <c r="T31" s="1228">
        <f>S31+SUMIF('11.1.Амортиз.нови активи'!$B$12:$B$59,$B31,'11.1.Амортиз.нови активи'!T$12:T$59)+('9.Инвестиционна програма'!H$132*SUMIF('11.1.Амортиз.нови активи'!$B$12:$B$59,$B31,'11.1.Амортиз.нови активи'!AO$12:AO$59))</f>
        <v>0</v>
      </c>
      <c r="U31" s="1224">
        <f>T31+SUMIF('11.1.Амортиз.нови активи'!$B$12:$B$59,$B31,'11.1.Амортиз.нови активи'!U$12:U$59)+('9.Инвестиционна програма'!I$132*SUMIF('11.1.Амортиз.нови активи'!$B$12:$B$59,$B31,'11.1.Амортиз.нови активи'!AP$12:AP$59))</f>
        <v>0</v>
      </c>
      <c r="V31" s="1224">
        <f>U31+SUMIF('11.1.Амортиз.нови активи'!$B$12:$B$59,$B31,'11.1.Амортиз.нови активи'!V$12:V$59)+('9.Инвестиционна програма'!J$132*SUMIF('11.1.Амортиз.нови активи'!$B$12:$B$59,$B31,'11.1.Амортиз.нови активи'!AQ$12:AQ$59))</f>
        <v>0</v>
      </c>
      <c r="W31" s="1224">
        <f>V31+SUMIF('11.1.Амортиз.нови активи'!$B$12:$B$59,$B31,'11.1.Амортиз.нови активи'!W$12:W$59)+('9.Инвестиционна програма'!K$132*SUMIF('11.1.Амортиз.нови активи'!$B$12:$B$59,$B31,'11.1.Амортиз.нови активи'!AR$12:AR$59))</f>
        <v>0</v>
      </c>
      <c r="X31" s="1224">
        <f>W31+SUMIF('11.1.Амортиз.нови активи'!$B$12:$B$59,$B31,'11.1.Амортиз.нови активи'!X$12:X$59)+('9.Инвестиционна програма'!L$132*SUMIF('11.1.Амортиз.нови активи'!$B$12:$B$59,$B31,'11.1.Амортиз.нови активи'!AS$12:AS$59))</f>
        <v>0</v>
      </c>
      <c r="Y31" s="1229">
        <f>X31+SUMIF('11.1.Амортиз.нови активи'!$B$12:$B$59,$B31,'11.1.Амортиз.нови активи'!Y$12:Y$59)+('9.Инвестиционна програма'!M$132*SUMIF('11.1.Амортиз.нови активи'!$B$12:$B$59,$B31,'11.1.Амортиз.нови активи'!AT$12:AT$59))</f>
        <v>0</v>
      </c>
      <c r="Z31" s="4453">
        <f>+'11.3. ДА Базова година'!T34</f>
        <v>0</v>
      </c>
      <c r="AA31" s="1228">
        <f>Z31+SUMIF('11.1.Амортиз.нови активи'!$B$12:$B$59,$B31,'11.1.Амортиз.нови активи'!AA$12:AA$59)</f>
        <v>0</v>
      </c>
      <c r="AB31" s="1224">
        <f>AA31+SUMIF('11.1.Амортиз.нови активи'!$B$12:$B$59,$B31,'11.1.Амортиз.нови активи'!AB$12:AB$59)</f>
        <v>0</v>
      </c>
      <c r="AC31" s="1224">
        <f>AB31+SUMIF('11.1.Амортиз.нови активи'!$B$12:$B$59,$B31,'11.1.Амортиз.нови активи'!AC$12:AC$59)</f>
        <v>0</v>
      </c>
      <c r="AD31" s="1224">
        <f>AC31+SUMIF('11.1.Амортиз.нови активи'!$B$12:$B$59,$B31,'11.1.Амортиз.нови активи'!AD$12:AD$59)</f>
        <v>0</v>
      </c>
      <c r="AE31" s="1224">
        <f>AD31+SUMIF('11.1.Амортиз.нови активи'!$B$12:$B$59,$B31,'11.1.Амортиз.нови активи'!AE$12:AE$59)</f>
        <v>0</v>
      </c>
      <c r="AF31" s="1229">
        <f>AE31+SUMIF('11.1.Амортиз.нови активи'!$B$12:$B$59,$B31,'11.1.Амортиз.нови активи'!AF$12:AF$59)</f>
        <v>0</v>
      </c>
      <c r="AG31" s="4453">
        <f>+'11.3. ДА Базова година'!X34</f>
        <v>0</v>
      </c>
      <c r="AH31" s="1228">
        <f>AG31+SUMIF('11.1.Амортиз.нови активи'!$B$12:$B$59,$B31,'11.1.Амортиз.нови активи'!AH$12:AH$59)</f>
        <v>0</v>
      </c>
      <c r="AI31" s="1224">
        <f>AH31+SUMIF('11.1.Амортиз.нови активи'!$B$12:$B$59,$B31,'11.1.Амортиз.нови активи'!AI$12:AI$59)</f>
        <v>0</v>
      </c>
      <c r="AJ31" s="1224">
        <f>AI31+SUMIF('11.1.Амортиз.нови активи'!$B$12:$B$59,$B31,'11.1.Амортиз.нови активи'!AJ$12:AJ$59)</f>
        <v>0</v>
      </c>
      <c r="AK31" s="1224">
        <f>AJ31+SUMIF('11.1.Амортиз.нови активи'!$B$12:$B$59,$B31,'11.1.Амортиз.нови активи'!AK$12:AK$59)</f>
        <v>0</v>
      </c>
      <c r="AL31" s="1224">
        <f>AK31+SUMIF('11.1.Амортиз.нови активи'!$B$12:$B$59,$B31,'11.1.Амортиз.нови активи'!AL$12:AL$59)</f>
        <v>0</v>
      </c>
      <c r="AM31" s="1229">
        <f>AL31+SUMIF('11.1.Амортиз.нови активи'!$B$12:$B$59,$B31,'11.1.Амортиз.нови активи'!AM$12:AM$59)</f>
        <v>0</v>
      </c>
      <c r="AN31" s="2551"/>
      <c r="AO31" s="2559"/>
      <c r="AP31" s="4488"/>
      <c r="AQ31" s="4504">
        <f t="shared" si="31"/>
        <v>0</v>
      </c>
      <c r="AR31" s="4504">
        <f t="shared" si="32"/>
        <v>0</v>
      </c>
      <c r="AS31" s="4504">
        <f t="shared" si="33"/>
        <v>0</v>
      </c>
      <c r="AT31" s="4504">
        <f t="shared" si="34"/>
        <v>0</v>
      </c>
      <c r="AU31" s="4504">
        <f t="shared" si="35"/>
        <v>0</v>
      </c>
      <c r="AV31" s="4504">
        <f t="shared" si="36"/>
        <v>0</v>
      </c>
      <c r="AW31" s="4504">
        <f t="shared" si="37"/>
        <v>0</v>
      </c>
      <c r="AX31" s="4504">
        <f t="shared" si="38"/>
        <v>0</v>
      </c>
      <c r="AY31" s="4504">
        <f t="shared" si="39"/>
        <v>0</v>
      </c>
      <c r="AZ31" s="4504">
        <f t="shared" si="40"/>
        <v>0</v>
      </c>
      <c r="BA31" s="4504">
        <f t="shared" si="41"/>
        <v>0</v>
      </c>
      <c r="BB31" s="4504">
        <f t="shared" si="42"/>
        <v>0</v>
      </c>
      <c r="BC31" s="4504">
        <f t="shared" si="43"/>
        <v>0</v>
      </c>
      <c r="BD31" s="4504">
        <f t="shared" si="44"/>
        <v>0</v>
      </c>
      <c r="BE31" s="4504">
        <f t="shared" si="45"/>
        <v>0</v>
      </c>
      <c r="BF31" s="4504">
        <f t="shared" si="46"/>
        <v>0</v>
      </c>
      <c r="BG31" s="4504">
        <f t="shared" si="47"/>
        <v>0</v>
      </c>
      <c r="BH31" s="4504">
        <f t="shared" si="48"/>
        <v>0</v>
      </c>
      <c r="BI31" s="4504">
        <f t="shared" si="49"/>
        <v>0</v>
      </c>
      <c r="BJ31" s="4504">
        <f t="shared" si="50"/>
        <v>0</v>
      </c>
      <c r="BK31" s="4504">
        <f t="shared" si="51"/>
        <v>0</v>
      </c>
      <c r="BL31" s="4504">
        <f t="shared" si="52"/>
        <v>0</v>
      </c>
      <c r="BM31" s="4504">
        <f t="shared" si="53"/>
        <v>0</v>
      </c>
      <c r="BN31" s="4504">
        <f t="shared" si="54"/>
        <v>0</v>
      </c>
      <c r="BO31" s="4504">
        <f t="shared" si="55"/>
        <v>0</v>
      </c>
      <c r="BP31" s="4504">
        <f t="shared" si="56"/>
        <v>0</v>
      </c>
      <c r="BQ31" s="4504">
        <f t="shared" si="57"/>
        <v>0</v>
      </c>
      <c r="BR31" s="4504">
        <f t="shared" si="58"/>
        <v>0</v>
      </c>
      <c r="BS31" s="4504">
        <f t="shared" si="59"/>
        <v>0</v>
      </c>
      <c r="BT31" s="4504">
        <f t="shared" si="60"/>
        <v>0</v>
      </c>
      <c r="BU31" s="4504">
        <f t="shared" si="61"/>
        <v>0</v>
      </c>
      <c r="BV31" s="4504">
        <f t="shared" si="62"/>
        <v>0</v>
      </c>
      <c r="BW31" s="4504">
        <f t="shared" si="63"/>
        <v>0</v>
      </c>
      <c r="BX31" s="4504">
        <f t="shared" si="64"/>
        <v>0</v>
      </c>
      <c r="BY31" s="4504">
        <f t="shared" si="65"/>
        <v>0</v>
      </c>
    </row>
    <row r="32" spans="1:77">
      <c r="A32" s="2569">
        <v>14</v>
      </c>
      <c r="B32" s="2638"/>
      <c r="C32" s="2638"/>
      <c r="D32" s="2572" t="s">
        <v>628</v>
      </c>
      <c r="E32" s="4453">
        <f>+'11.3. ДА Базова година'!H35</f>
        <v>0</v>
      </c>
      <c r="F32" s="908">
        <f>E32+SUMIF('11.1.Амортиз.нови активи'!$B$12:$B$59,$B32,'11.1.Амортиз.нови активи'!F$12:F$59)+('9.Инвестиционна програма'!H$130*SUMIF('11.1.Амортиз.нови активи'!$B$12:$B$59,$B32,'11.1.Амортиз.нови активи'!AO$12:AO$59))</f>
        <v>0</v>
      </c>
      <c r="G32" s="1224">
        <f>F32+SUMIF('11.1.Амортиз.нови активи'!$B$12:$B$59,$B32,'11.1.Амортиз.нови активи'!G$12:G$59)+('9.Инвестиционна програма'!I$130*SUMIF('11.1.Амортиз.нови активи'!$B$12:$B$59,$B32,'11.1.Амортиз.нови активи'!AP$12:AP$59))</f>
        <v>0</v>
      </c>
      <c r="H32" s="1224">
        <f>G32+SUMIF('11.1.Амортиз.нови активи'!$B$12:$B$59,$B32,'11.1.Амортиз.нови активи'!H$12:H$59)+('9.Инвестиционна програма'!J$130*SUMIF('11.1.Амортиз.нови активи'!$B$12:$B$59,$B32,'11.1.Амортиз.нови активи'!AQ$12:AQ$59))</f>
        <v>0</v>
      </c>
      <c r="I32" s="1224">
        <f>H32+SUMIF('11.1.Амортиз.нови активи'!$B$12:$B$59,$B32,'11.1.Амортиз.нови активи'!I$12:I$59)+('9.Инвестиционна програма'!K$130*SUMIF('11.1.Амортиз.нови активи'!$B$12:$B$59,$B32,'11.1.Амортиз.нови активи'!AR$12:AR$59))</f>
        <v>0</v>
      </c>
      <c r="J32" s="1224">
        <f>I32+SUMIF('11.1.Амортиз.нови активи'!$B$12:$B$59,$B32,'11.1.Амортиз.нови активи'!J$12:J$59)+('9.Инвестиционна програма'!L$130*SUMIF('11.1.Амортиз.нови активи'!$B$12:$B$59,$B32,'11.1.Амортиз.нови активи'!AS$12:AS$59))</f>
        <v>0</v>
      </c>
      <c r="K32" s="1229">
        <f>J32+SUMIF('11.1.Амортиз.нови активи'!$B$12:$B$59,$B32,'11.1.Амортиз.нови активи'!K$12:K$59)+('9.Инвестиционна програма'!M$130*SUMIF('11.1.Амортиз.нови активи'!$B$12:$B$59,$B32,'11.1.Амортиз.нови активи'!AT$12:AT$59))</f>
        <v>0</v>
      </c>
      <c r="L32" s="4453">
        <f>+'11.3. ДА Базова година'!L35</f>
        <v>0</v>
      </c>
      <c r="M32" s="1228">
        <f>L32+SUMIF('11.1.Амортиз.нови активи'!$B$12:$B$59,$B32,'11.1.Амортиз.нови активи'!M$12:M$59)+('9.Инвестиционна програма'!H$131*SUMIF('11.1.Амортиз.нови активи'!$B$12:$B$59,$B32,'11.1.Амортиз.нови активи'!AO$12:AO$59))</f>
        <v>0</v>
      </c>
      <c r="N32" s="1224">
        <f>M32+SUMIF('11.1.Амортиз.нови активи'!$B$12:$B$59,$B32,'11.1.Амортиз.нови активи'!N$12:N$59)+('9.Инвестиционна програма'!I$131*SUMIF('11.1.Амортиз.нови активи'!$B$12:$B$59,$B32,'11.1.Амортиз.нови активи'!AP$12:AP$59))</f>
        <v>0</v>
      </c>
      <c r="O32" s="1224">
        <f>N32+SUMIF('11.1.Амортиз.нови активи'!$B$12:$B$59,$B32,'11.1.Амортиз.нови активи'!O$12:O$59)+('9.Инвестиционна програма'!J$131*SUMIF('11.1.Амортиз.нови активи'!$B$12:$B$59,$B32,'11.1.Амортиз.нови активи'!AQ$12:AQ$59))</f>
        <v>0</v>
      </c>
      <c r="P32" s="1224">
        <f>O32+SUMIF('11.1.Амортиз.нови активи'!$B$12:$B$59,$B32,'11.1.Амортиз.нови активи'!P$12:P$59)+('9.Инвестиционна програма'!K$131*SUMIF('11.1.Амортиз.нови активи'!$B$12:$B$59,$B32,'11.1.Амортиз.нови активи'!AR$12:AR$59))</f>
        <v>0</v>
      </c>
      <c r="Q32" s="1224">
        <f>P32+SUMIF('11.1.Амортиз.нови активи'!$B$12:$B$59,$B32,'11.1.Амортиз.нови активи'!Q$12:Q$59)+('9.Инвестиционна програма'!L$131*SUMIF('11.1.Амортиз.нови активи'!$B$12:$B$59,$B32,'11.1.Амортиз.нови активи'!AS$12:AS$59))</f>
        <v>0</v>
      </c>
      <c r="R32" s="1229">
        <f>Q32+SUMIF('11.1.Амортиз.нови активи'!$B$12:$B$59,$B32,'11.1.Амортиз.нови активи'!R$12:R$59)+('9.Инвестиционна програма'!M$131*SUMIF('11.1.Амортиз.нови активи'!$B$12:$B$59,$B32,'11.1.Амортиз.нови активи'!AT$12:AT$59))</f>
        <v>0</v>
      </c>
      <c r="S32" s="4453">
        <f>+'11.3. ДА Базова година'!P35</f>
        <v>0</v>
      </c>
      <c r="T32" s="1228">
        <f>S32+SUMIF('11.1.Амортиз.нови активи'!$B$12:$B$59,$B32,'11.1.Амортиз.нови активи'!T$12:T$59)+('9.Инвестиционна програма'!H$132*SUMIF('11.1.Амортиз.нови активи'!$B$12:$B$59,$B32,'11.1.Амортиз.нови активи'!AO$12:AO$59))</f>
        <v>0</v>
      </c>
      <c r="U32" s="1224">
        <f>T32+SUMIF('11.1.Амортиз.нови активи'!$B$12:$B$59,$B32,'11.1.Амортиз.нови активи'!U$12:U$59)+('9.Инвестиционна програма'!I$132*SUMIF('11.1.Амортиз.нови активи'!$B$12:$B$59,$B32,'11.1.Амортиз.нови активи'!AP$12:AP$59))</f>
        <v>0</v>
      </c>
      <c r="V32" s="1224">
        <f>U32+SUMIF('11.1.Амортиз.нови активи'!$B$12:$B$59,$B32,'11.1.Амортиз.нови активи'!V$12:V$59)+('9.Инвестиционна програма'!J$132*SUMIF('11.1.Амортиз.нови активи'!$B$12:$B$59,$B32,'11.1.Амортиз.нови активи'!AQ$12:AQ$59))</f>
        <v>0</v>
      </c>
      <c r="W32" s="1224">
        <f>V32+SUMIF('11.1.Амортиз.нови активи'!$B$12:$B$59,$B32,'11.1.Амортиз.нови активи'!W$12:W$59)+('9.Инвестиционна програма'!K$132*SUMIF('11.1.Амортиз.нови активи'!$B$12:$B$59,$B32,'11.1.Амортиз.нови активи'!AR$12:AR$59))</f>
        <v>0</v>
      </c>
      <c r="X32" s="1224">
        <f>W32+SUMIF('11.1.Амортиз.нови активи'!$B$12:$B$59,$B32,'11.1.Амортиз.нови активи'!X$12:X$59)+('9.Инвестиционна програма'!L$132*SUMIF('11.1.Амортиз.нови активи'!$B$12:$B$59,$B32,'11.1.Амортиз.нови активи'!AS$12:AS$59))</f>
        <v>0</v>
      </c>
      <c r="Y32" s="1229">
        <f>X32+SUMIF('11.1.Амортиз.нови активи'!$B$12:$B$59,$B32,'11.1.Амортиз.нови активи'!Y$12:Y$59)+('9.Инвестиционна програма'!M$132*SUMIF('11.1.Амортиз.нови активи'!$B$12:$B$59,$B32,'11.1.Амортиз.нови активи'!AT$12:AT$59))</f>
        <v>0</v>
      </c>
      <c r="Z32" s="4453">
        <f>+'11.3. ДА Базова година'!T35</f>
        <v>0</v>
      </c>
      <c r="AA32" s="1228">
        <f>Z32+SUMIF('11.1.Амортиз.нови активи'!$B$12:$B$59,$B32,'11.1.Амортиз.нови активи'!AA$12:AA$59)</f>
        <v>0</v>
      </c>
      <c r="AB32" s="1224">
        <f>AA32+SUMIF('11.1.Амортиз.нови активи'!$B$12:$B$59,$B32,'11.1.Амортиз.нови активи'!AB$12:AB$59)</f>
        <v>0</v>
      </c>
      <c r="AC32" s="1224">
        <f>AB32+SUMIF('11.1.Амортиз.нови активи'!$B$12:$B$59,$B32,'11.1.Амортиз.нови активи'!AC$12:AC$59)</f>
        <v>0</v>
      </c>
      <c r="AD32" s="1224">
        <f>AC32+SUMIF('11.1.Амортиз.нови активи'!$B$12:$B$59,$B32,'11.1.Амортиз.нови активи'!AD$12:AD$59)</f>
        <v>0</v>
      </c>
      <c r="AE32" s="1224">
        <f>AD32+SUMIF('11.1.Амортиз.нови активи'!$B$12:$B$59,$B32,'11.1.Амортиз.нови активи'!AE$12:AE$59)</f>
        <v>0</v>
      </c>
      <c r="AF32" s="1229">
        <f>AE32+SUMIF('11.1.Амортиз.нови активи'!$B$12:$B$59,$B32,'11.1.Амортиз.нови активи'!AF$12:AF$59)</f>
        <v>0</v>
      </c>
      <c r="AG32" s="4453">
        <f>+'11.3. ДА Базова година'!X35</f>
        <v>0</v>
      </c>
      <c r="AH32" s="1228">
        <f>AG32+SUMIF('11.1.Амортиз.нови активи'!$B$12:$B$59,$B32,'11.1.Амортиз.нови активи'!AH$12:AH$59)</f>
        <v>0</v>
      </c>
      <c r="AI32" s="1224">
        <f>AH32+SUMIF('11.1.Амортиз.нови активи'!$B$12:$B$59,$B32,'11.1.Амортиз.нови активи'!AI$12:AI$59)</f>
        <v>0</v>
      </c>
      <c r="AJ32" s="1224">
        <f>AI32+SUMIF('11.1.Амортиз.нови активи'!$B$12:$B$59,$B32,'11.1.Амортиз.нови активи'!AJ$12:AJ$59)</f>
        <v>0</v>
      </c>
      <c r="AK32" s="1224">
        <f>AJ32+SUMIF('11.1.Амортиз.нови активи'!$B$12:$B$59,$B32,'11.1.Амортиз.нови активи'!AK$12:AK$59)</f>
        <v>0</v>
      </c>
      <c r="AL32" s="1224">
        <f>AK32+SUMIF('11.1.Амортиз.нови активи'!$B$12:$B$59,$B32,'11.1.Амортиз.нови активи'!AL$12:AL$59)</f>
        <v>0</v>
      </c>
      <c r="AM32" s="1229">
        <f>AL32+SUMIF('11.1.Амортиз.нови активи'!$B$12:$B$59,$B32,'11.1.Амортиз.нови активи'!AM$12:AM$59)</f>
        <v>0</v>
      </c>
      <c r="AN32" s="2551"/>
      <c r="AO32" s="2559"/>
      <c r="AP32" s="4488"/>
      <c r="AQ32" s="4504">
        <f t="shared" si="31"/>
        <v>0</v>
      </c>
      <c r="AR32" s="4504">
        <f t="shared" si="32"/>
        <v>0</v>
      </c>
      <c r="AS32" s="4504">
        <f t="shared" si="33"/>
        <v>0</v>
      </c>
      <c r="AT32" s="4504">
        <f t="shared" si="34"/>
        <v>0</v>
      </c>
      <c r="AU32" s="4504">
        <f t="shared" si="35"/>
        <v>0</v>
      </c>
      <c r="AV32" s="4504">
        <f t="shared" si="36"/>
        <v>0</v>
      </c>
      <c r="AW32" s="4504">
        <f t="shared" si="37"/>
        <v>0</v>
      </c>
      <c r="AX32" s="4504">
        <f t="shared" si="38"/>
        <v>0</v>
      </c>
      <c r="AY32" s="4504">
        <f t="shared" si="39"/>
        <v>0</v>
      </c>
      <c r="AZ32" s="4504">
        <f t="shared" si="40"/>
        <v>0</v>
      </c>
      <c r="BA32" s="4504">
        <f t="shared" si="41"/>
        <v>0</v>
      </c>
      <c r="BB32" s="4504">
        <f t="shared" si="42"/>
        <v>0</v>
      </c>
      <c r="BC32" s="4504">
        <f t="shared" si="43"/>
        <v>0</v>
      </c>
      <c r="BD32" s="4504">
        <f t="shared" si="44"/>
        <v>0</v>
      </c>
      <c r="BE32" s="4504">
        <f t="shared" si="45"/>
        <v>0</v>
      </c>
      <c r="BF32" s="4504">
        <f t="shared" si="46"/>
        <v>0</v>
      </c>
      <c r="BG32" s="4504">
        <f t="shared" si="47"/>
        <v>0</v>
      </c>
      <c r="BH32" s="4504">
        <f t="shared" si="48"/>
        <v>0</v>
      </c>
      <c r="BI32" s="4504">
        <f t="shared" si="49"/>
        <v>0</v>
      </c>
      <c r="BJ32" s="4504">
        <f t="shared" si="50"/>
        <v>0</v>
      </c>
      <c r="BK32" s="4504">
        <f t="shared" si="51"/>
        <v>0</v>
      </c>
      <c r="BL32" s="4504">
        <f t="shared" si="52"/>
        <v>0</v>
      </c>
      <c r="BM32" s="4504">
        <f t="shared" si="53"/>
        <v>0</v>
      </c>
      <c r="BN32" s="4504">
        <f t="shared" si="54"/>
        <v>0</v>
      </c>
      <c r="BO32" s="4504">
        <f t="shared" si="55"/>
        <v>0</v>
      </c>
      <c r="BP32" s="4504">
        <f t="shared" si="56"/>
        <v>0</v>
      </c>
      <c r="BQ32" s="4504">
        <f t="shared" si="57"/>
        <v>0</v>
      </c>
      <c r="BR32" s="4504">
        <f t="shared" si="58"/>
        <v>0</v>
      </c>
      <c r="BS32" s="4504">
        <f t="shared" si="59"/>
        <v>0</v>
      </c>
      <c r="BT32" s="4504">
        <f t="shared" si="60"/>
        <v>0</v>
      </c>
      <c r="BU32" s="4504">
        <f t="shared" si="61"/>
        <v>0</v>
      </c>
      <c r="BV32" s="4504">
        <f t="shared" si="62"/>
        <v>0</v>
      </c>
      <c r="BW32" s="4504">
        <f t="shared" si="63"/>
        <v>0</v>
      </c>
      <c r="BX32" s="4504">
        <f t="shared" si="64"/>
        <v>0</v>
      </c>
      <c r="BY32" s="4504">
        <f t="shared" si="65"/>
        <v>0</v>
      </c>
    </row>
    <row r="33" spans="1:77" ht="24">
      <c r="A33" s="2569">
        <v>15</v>
      </c>
      <c r="B33" s="2564">
        <v>207</v>
      </c>
      <c r="C33" s="2564" t="s">
        <v>313</v>
      </c>
      <c r="D33" s="2573" t="s">
        <v>415</v>
      </c>
      <c r="E33" s="4453">
        <f>+'11.3. ДА Базова година'!H36</f>
        <v>69.633070000000018</v>
      </c>
      <c r="F33" s="908">
        <f>E33+SUMIF('11.1.Амортиз.нови активи'!$B$12:$B$59,$B33,'11.1.Амортиз.нови активи'!F$12:F$59)+('9.Инвестиционна програма'!H$130*SUMIF('11.1.Амортиз.нови активи'!$B$12:$B$59,$B33,'11.1.Амортиз.нови активи'!AO$12:AO$59))</f>
        <v>69.633070000000018</v>
      </c>
      <c r="G33" s="1224">
        <f>F33+SUMIF('11.1.Амортиз.нови активи'!$B$12:$B$59,$B33,'11.1.Амортиз.нови активи'!G$12:G$59)+('9.Инвестиционна програма'!I$130*SUMIF('11.1.Амортиз.нови активи'!$B$12:$B$59,$B33,'11.1.Амортиз.нови активи'!AP$12:AP$59))</f>
        <v>69.633070000000018</v>
      </c>
      <c r="H33" s="1224">
        <f>G33+SUMIF('11.1.Амортиз.нови активи'!$B$12:$B$59,$B33,'11.1.Амортиз.нови активи'!H$12:H$59)+('9.Инвестиционна програма'!J$130*SUMIF('11.1.Амортиз.нови активи'!$B$12:$B$59,$B33,'11.1.Амортиз.нови активи'!AQ$12:AQ$59))</f>
        <v>69.633070000000018</v>
      </c>
      <c r="I33" s="1224">
        <f>H33+SUMIF('11.1.Амортиз.нови активи'!$B$12:$B$59,$B33,'11.1.Амортиз.нови активи'!I$12:I$59)+('9.Инвестиционна програма'!K$130*SUMIF('11.1.Амортиз.нови активи'!$B$12:$B$59,$B33,'11.1.Амортиз.нови активи'!AR$12:AR$59))</f>
        <v>69.633070000000018</v>
      </c>
      <c r="J33" s="1224">
        <f>I33+SUMIF('11.1.Амортиз.нови активи'!$B$12:$B$59,$B33,'11.1.Амортиз.нови активи'!J$12:J$59)+('9.Инвестиционна програма'!L$130*SUMIF('11.1.Амортиз.нови активи'!$B$12:$B$59,$B33,'11.1.Амортиз.нови активи'!AS$12:AS$59))</f>
        <v>69.633070000000018</v>
      </c>
      <c r="K33" s="1229">
        <f>J33+SUMIF('11.1.Амортиз.нови активи'!$B$12:$B$59,$B33,'11.1.Амортиз.нови активи'!K$12:K$59)+('9.Инвестиционна програма'!M$130*SUMIF('11.1.Амортиз.нови активи'!$B$12:$B$59,$B33,'11.1.Амортиз.нови активи'!AT$12:AT$59))</f>
        <v>69.633070000000018</v>
      </c>
      <c r="L33" s="4453">
        <f>+'11.3. ДА Базова година'!L36</f>
        <v>0</v>
      </c>
      <c r="M33" s="1228">
        <f>L33+SUMIF('11.1.Амортиз.нови активи'!$B$12:$B$59,$B33,'11.1.Амортиз.нови активи'!M$12:M$59)+('9.Инвестиционна програма'!H$131*SUMIF('11.1.Амортиз.нови активи'!$B$12:$B$59,$B33,'11.1.Амортиз.нови активи'!AO$12:AO$59))</f>
        <v>0</v>
      </c>
      <c r="N33" s="1224">
        <f>M33+SUMIF('11.1.Амортиз.нови активи'!$B$12:$B$59,$B33,'11.1.Амортиз.нови активи'!N$12:N$59)+('9.Инвестиционна програма'!I$131*SUMIF('11.1.Амортиз.нови активи'!$B$12:$B$59,$B33,'11.1.Амортиз.нови активи'!AP$12:AP$59))</f>
        <v>0</v>
      </c>
      <c r="O33" s="1224">
        <f>N33+SUMIF('11.1.Амортиз.нови активи'!$B$12:$B$59,$B33,'11.1.Амортиз.нови активи'!O$12:O$59)+('9.Инвестиционна програма'!J$131*SUMIF('11.1.Амортиз.нови активи'!$B$12:$B$59,$B33,'11.1.Амортиз.нови активи'!AQ$12:AQ$59))</f>
        <v>0</v>
      </c>
      <c r="P33" s="1224">
        <f>O33+SUMIF('11.1.Амортиз.нови активи'!$B$12:$B$59,$B33,'11.1.Амортиз.нови активи'!P$12:P$59)+('9.Инвестиционна програма'!K$131*SUMIF('11.1.Амортиз.нови активи'!$B$12:$B$59,$B33,'11.1.Амортиз.нови активи'!AR$12:AR$59))</f>
        <v>0</v>
      </c>
      <c r="Q33" s="1224">
        <f>P33+SUMIF('11.1.Амортиз.нови активи'!$B$12:$B$59,$B33,'11.1.Амортиз.нови активи'!Q$12:Q$59)+('9.Инвестиционна програма'!L$131*SUMIF('11.1.Амортиз.нови активи'!$B$12:$B$59,$B33,'11.1.Амортиз.нови активи'!AS$12:AS$59))</f>
        <v>0</v>
      </c>
      <c r="R33" s="1229">
        <f>Q33+SUMIF('11.1.Амортиз.нови активи'!$B$12:$B$59,$B33,'11.1.Амортиз.нови активи'!R$12:R$59)+('9.Инвестиционна програма'!M$131*SUMIF('11.1.Амортиз.нови активи'!$B$12:$B$59,$B33,'11.1.Амортиз.нови активи'!AT$12:AT$59))</f>
        <v>0</v>
      </c>
      <c r="S33" s="4453">
        <f>+'11.3. ДА Базова година'!P36</f>
        <v>0</v>
      </c>
      <c r="T33" s="1228">
        <f>S33+SUMIF('11.1.Амортиз.нови активи'!$B$12:$B$59,$B33,'11.1.Амортиз.нови активи'!T$12:T$59)+('9.Инвестиционна програма'!H$132*SUMIF('11.1.Амортиз.нови активи'!$B$12:$B$59,$B33,'11.1.Амортиз.нови активи'!AO$12:AO$59))</f>
        <v>0</v>
      </c>
      <c r="U33" s="1224">
        <f>T33+SUMIF('11.1.Амортиз.нови активи'!$B$12:$B$59,$B33,'11.1.Амортиз.нови активи'!U$12:U$59)+('9.Инвестиционна програма'!I$132*SUMIF('11.1.Амортиз.нови активи'!$B$12:$B$59,$B33,'11.1.Амортиз.нови активи'!AP$12:AP$59))</f>
        <v>0</v>
      </c>
      <c r="V33" s="1224">
        <f>U33+SUMIF('11.1.Амортиз.нови активи'!$B$12:$B$59,$B33,'11.1.Амортиз.нови активи'!V$12:V$59)+('9.Инвестиционна програма'!J$132*SUMIF('11.1.Амортиз.нови активи'!$B$12:$B$59,$B33,'11.1.Амортиз.нови активи'!AQ$12:AQ$59))</f>
        <v>0</v>
      </c>
      <c r="W33" s="1224">
        <f>V33+SUMIF('11.1.Амортиз.нови активи'!$B$12:$B$59,$B33,'11.1.Амортиз.нови активи'!W$12:W$59)+('9.Инвестиционна програма'!K$132*SUMIF('11.1.Амортиз.нови активи'!$B$12:$B$59,$B33,'11.1.Амортиз.нови активи'!AR$12:AR$59))</f>
        <v>0</v>
      </c>
      <c r="X33" s="1224">
        <f>W33+SUMIF('11.1.Амортиз.нови активи'!$B$12:$B$59,$B33,'11.1.Амортиз.нови активи'!X$12:X$59)+('9.Инвестиционна програма'!L$132*SUMIF('11.1.Амортиз.нови активи'!$B$12:$B$59,$B33,'11.1.Амортиз.нови активи'!AS$12:AS$59))</f>
        <v>0</v>
      </c>
      <c r="Y33" s="1229">
        <f>X33+SUMIF('11.1.Амортиз.нови активи'!$B$12:$B$59,$B33,'11.1.Амортиз.нови активи'!Y$12:Y$59)+('9.Инвестиционна програма'!M$132*SUMIF('11.1.Амортиз.нови активи'!$B$12:$B$59,$B33,'11.1.Амортиз.нови активи'!AT$12:AT$59))</f>
        <v>0</v>
      </c>
      <c r="Z33" s="4453">
        <f>+'11.3. ДА Базова година'!T36</f>
        <v>0</v>
      </c>
      <c r="AA33" s="1228">
        <f>Z33+SUMIF('11.1.Амортиз.нови активи'!$B$12:$B$59,$B33,'11.1.Амортиз.нови активи'!AA$12:AA$59)</f>
        <v>0</v>
      </c>
      <c r="AB33" s="1224">
        <f>AA33+SUMIF('11.1.Амортиз.нови активи'!$B$12:$B$59,$B33,'11.1.Амортиз.нови активи'!AB$12:AB$59)</f>
        <v>0</v>
      </c>
      <c r="AC33" s="1224">
        <f>AB33+SUMIF('11.1.Амортиз.нови активи'!$B$12:$B$59,$B33,'11.1.Амортиз.нови активи'!AC$12:AC$59)</f>
        <v>0</v>
      </c>
      <c r="AD33" s="1224">
        <f>AC33+SUMIF('11.1.Амортиз.нови активи'!$B$12:$B$59,$B33,'11.1.Амортиз.нови активи'!AD$12:AD$59)</f>
        <v>0</v>
      </c>
      <c r="AE33" s="1224">
        <f>AD33+SUMIF('11.1.Амортиз.нови активи'!$B$12:$B$59,$B33,'11.1.Амортиз.нови активи'!AE$12:AE$59)</f>
        <v>0</v>
      </c>
      <c r="AF33" s="1229">
        <f>AE33+SUMIF('11.1.Амортиз.нови активи'!$B$12:$B$59,$B33,'11.1.Амортиз.нови активи'!AF$12:AF$59)</f>
        <v>0</v>
      </c>
      <c r="AG33" s="4453">
        <f>+'11.3. ДА Базова година'!X36</f>
        <v>0.8</v>
      </c>
      <c r="AH33" s="1228">
        <f>AG33+SUMIF('11.1.Амортиз.нови активи'!$B$12:$B$59,$B33,'11.1.Амортиз.нови активи'!AH$12:AH$59)</f>
        <v>0.8</v>
      </c>
      <c r="AI33" s="1224">
        <f>AH33+SUMIF('11.1.Амортиз.нови активи'!$B$12:$B$59,$B33,'11.1.Амортиз.нови активи'!AI$12:AI$59)</f>
        <v>0.8</v>
      </c>
      <c r="AJ33" s="1224">
        <f>AI33+SUMIF('11.1.Амортиз.нови активи'!$B$12:$B$59,$B33,'11.1.Амортиз.нови активи'!AJ$12:AJ$59)</f>
        <v>0.8</v>
      </c>
      <c r="AK33" s="1224">
        <f>AJ33+SUMIF('11.1.Амортиз.нови активи'!$B$12:$B$59,$B33,'11.1.Амортиз.нови активи'!AK$12:AK$59)</f>
        <v>0.8</v>
      </c>
      <c r="AL33" s="1224">
        <f>AK33+SUMIF('11.1.Амортиз.нови активи'!$B$12:$B$59,$B33,'11.1.Амортиз.нови активи'!AL$12:AL$59)</f>
        <v>0.8</v>
      </c>
      <c r="AM33" s="1229">
        <f>AL33+SUMIF('11.1.Амортиз.нови активи'!$B$12:$B$59,$B33,'11.1.Амортиз.нови активи'!AM$12:AM$59)</f>
        <v>0.8</v>
      </c>
      <c r="AN33" s="2551"/>
      <c r="AO33" s="2559"/>
      <c r="AP33" s="4488"/>
      <c r="AQ33" s="4504">
        <f t="shared" si="31"/>
        <v>35.602823353767974</v>
      </c>
      <c r="AR33" s="4504">
        <f t="shared" si="32"/>
        <v>35.602823353767974</v>
      </c>
      <c r="AS33" s="4504">
        <f t="shared" si="33"/>
        <v>35.602823353767974</v>
      </c>
      <c r="AT33" s="4504">
        <f t="shared" si="34"/>
        <v>35.602823353767974</v>
      </c>
      <c r="AU33" s="4504">
        <f t="shared" si="35"/>
        <v>35.602823353767974</v>
      </c>
      <c r="AV33" s="4504">
        <f t="shared" si="36"/>
        <v>35.602823353767974</v>
      </c>
      <c r="AW33" s="4504">
        <f t="shared" si="37"/>
        <v>35.602823353767974</v>
      </c>
      <c r="AX33" s="4504">
        <f t="shared" si="38"/>
        <v>0</v>
      </c>
      <c r="AY33" s="4504">
        <f t="shared" si="39"/>
        <v>0</v>
      </c>
      <c r="AZ33" s="4504">
        <f t="shared" si="40"/>
        <v>0</v>
      </c>
      <c r="BA33" s="4504">
        <f t="shared" si="41"/>
        <v>0</v>
      </c>
      <c r="BB33" s="4504">
        <f t="shared" si="42"/>
        <v>0</v>
      </c>
      <c r="BC33" s="4504">
        <f t="shared" si="43"/>
        <v>0</v>
      </c>
      <c r="BD33" s="4504">
        <f t="shared" si="44"/>
        <v>0</v>
      </c>
      <c r="BE33" s="4504">
        <f t="shared" si="45"/>
        <v>0</v>
      </c>
      <c r="BF33" s="4504">
        <f t="shared" si="46"/>
        <v>0</v>
      </c>
      <c r="BG33" s="4504">
        <f t="shared" si="47"/>
        <v>0</v>
      </c>
      <c r="BH33" s="4504">
        <f t="shared" si="48"/>
        <v>0</v>
      </c>
      <c r="BI33" s="4504">
        <f t="shared" si="49"/>
        <v>0</v>
      </c>
      <c r="BJ33" s="4504">
        <f t="shared" si="50"/>
        <v>0</v>
      </c>
      <c r="BK33" s="4504">
        <f t="shared" si="51"/>
        <v>0</v>
      </c>
      <c r="BL33" s="4504">
        <f t="shared" si="52"/>
        <v>0</v>
      </c>
      <c r="BM33" s="4504">
        <f t="shared" si="53"/>
        <v>0</v>
      </c>
      <c r="BN33" s="4504">
        <f t="shared" si="54"/>
        <v>0</v>
      </c>
      <c r="BO33" s="4504">
        <f t="shared" si="55"/>
        <v>0</v>
      </c>
      <c r="BP33" s="4504">
        <f t="shared" si="56"/>
        <v>0</v>
      </c>
      <c r="BQ33" s="4504">
        <f t="shared" si="57"/>
        <v>0</v>
      </c>
      <c r="BR33" s="4504">
        <f t="shared" si="58"/>
        <v>0</v>
      </c>
      <c r="BS33" s="4504">
        <f t="shared" si="59"/>
        <v>0.40903350495697482</v>
      </c>
      <c r="BT33" s="4504">
        <f t="shared" si="60"/>
        <v>0.40903350495697482</v>
      </c>
      <c r="BU33" s="4504">
        <f t="shared" si="61"/>
        <v>0.40903350495697482</v>
      </c>
      <c r="BV33" s="4504">
        <f t="shared" si="62"/>
        <v>0.40903350495697482</v>
      </c>
      <c r="BW33" s="4504">
        <f t="shared" si="63"/>
        <v>0.40903350495697482</v>
      </c>
      <c r="BX33" s="4504">
        <f t="shared" si="64"/>
        <v>0.40903350495697482</v>
      </c>
      <c r="BY33" s="4504">
        <f t="shared" si="65"/>
        <v>0.40903350495697482</v>
      </c>
    </row>
    <row r="34" spans="1:77" ht="13.8" thickBot="1">
      <c r="A34" s="2569">
        <v>16</v>
      </c>
      <c r="B34" s="2574">
        <v>219</v>
      </c>
      <c r="C34" s="2575">
        <v>0.1</v>
      </c>
      <c r="D34" s="2576" t="s">
        <v>216</v>
      </c>
      <c r="E34" s="4454">
        <f>+'11.3. ДА Базова година'!H39</f>
        <v>318.23964823558731</v>
      </c>
      <c r="F34" s="908">
        <f>E34+SUMIF('11.1.Амортиз.нови активи'!$B$12:$B$59,$B34,'11.1.Амортиз.нови активи'!F$12:F$59)+('9.Инвестиционна програма'!H$130*SUMIF('11.1.Амортиз.нови активи'!$B$12:$B$59,$B34,'11.1.Амортиз.нови активи'!AO$12:AO$59))</f>
        <v>318.23964823558731</v>
      </c>
      <c r="G34" s="1224">
        <f>F34+SUMIF('11.1.Амортиз.нови активи'!$B$12:$B$59,$B34,'11.1.Амортиз.нови активи'!G$12:G$59)+('9.Инвестиционна програма'!I$130*SUMIF('11.1.Амортиз.нови активи'!$B$12:$B$59,$B34,'11.1.Амортиз.нови активи'!AP$12:AP$59))</f>
        <v>318.23964823558731</v>
      </c>
      <c r="H34" s="1224">
        <f>G34+SUMIF('11.1.Амортиз.нови активи'!$B$12:$B$59,$B34,'11.1.Амортиз.нови активи'!H$12:H$59)+('9.Инвестиционна програма'!J$130*SUMIF('11.1.Амортиз.нови активи'!$B$12:$B$59,$B34,'11.1.Амортиз.нови активи'!AQ$12:AQ$59))</f>
        <v>318.23964823558731</v>
      </c>
      <c r="I34" s="1224">
        <f>H34+SUMIF('11.1.Амортиз.нови активи'!$B$12:$B$59,$B34,'11.1.Амортиз.нови активи'!I$12:I$59)+('9.Инвестиционна програма'!K$130*SUMIF('11.1.Амортиз.нови активи'!$B$12:$B$59,$B34,'11.1.Амортиз.нови активи'!AR$12:AR$59))</f>
        <v>318.23964823558731</v>
      </c>
      <c r="J34" s="1224">
        <f>I34+SUMIF('11.1.Амортиз.нови активи'!$B$12:$B$59,$B34,'11.1.Амортиз.нови активи'!J$12:J$59)+('9.Инвестиционна програма'!L$130*SUMIF('11.1.Амортиз.нови активи'!$B$12:$B$59,$B34,'11.1.Амортиз.нови активи'!AS$12:AS$59))</f>
        <v>318.23964823558731</v>
      </c>
      <c r="K34" s="1229">
        <f>J34+SUMIF('11.1.Амортиз.нови активи'!$B$12:$B$59,$B34,'11.1.Амортиз.нови активи'!K$12:K$59)+('9.Инвестиционна програма'!M$130*SUMIF('11.1.Амортиз.нови активи'!$B$12:$B$59,$B34,'11.1.Амортиз.нови активи'!AT$12:AT$59))</f>
        <v>318.23964823558731</v>
      </c>
      <c r="L34" s="4454">
        <f>+'11.3. ДА Базова година'!L39</f>
        <v>6.8574085927728019</v>
      </c>
      <c r="M34" s="1228">
        <f>L34+SUMIF('11.1.Амортиз.нови активи'!$B$12:$B$59,$B34,'11.1.Амортиз.нови активи'!M$12:M$59)+('9.Инвестиционна програма'!H$131*SUMIF('11.1.Амортиз.нови активи'!$B$12:$B$59,$B34,'11.1.Амортиз.нови активи'!AO$12:AO$59))</f>
        <v>6.8574085927728019</v>
      </c>
      <c r="N34" s="1224">
        <f>M34+SUMIF('11.1.Амортиз.нови активи'!$B$12:$B$59,$B34,'11.1.Амортиз.нови активи'!N$12:N$59)+('9.Инвестиционна програма'!I$131*SUMIF('11.1.Амортиз.нови активи'!$B$12:$B$59,$B34,'11.1.Амортиз.нови активи'!AP$12:AP$59))</f>
        <v>6.8574085927728019</v>
      </c>
      <c r="O34" s="1224">
        <f>N34+SUMIF('11.1.Амортиз.нови активи'!$B$12:$B$59,$B34,'11.1.Амортиз.нови активи'!O$12:O$59)+('9.Инвестиционна програма'!J$131*SUMIF('11.1.Амортиз.нови активи'!$B$12:$B$59,$B34,'11.1.Амортиз.нови активи'!AQ$12:AQ$59))</f>
        <v>6.8574085927728019</v>
      </c>
      <c r="P34" s="1224">
        <f>O34+SUMIF('11.1.Амортиз.нови активи'!$B$12:$B$59,$B34,'11.1.Амортиз.нови активи'!P$12:P$59)+('9.Инвестиционна програма'!K$131*SUMIF('11.1.Амортиз.нови активи'!$B$12:$B$59,$B34,'11.1.Амортиз.нови активи'!AR$12:AR$59))</f>
        <v>6.8574085927728019</v>
      </c>
      <c r="Q34" s="1224">
        <f>P34+SUMIF('11.1.Амортиз.нови активи'!$B$12:$B$59,$B34,'11.1.Амортиз.нови активи'!Q$12:Q$59)+('9.Инвестиционна програма'!L$131*SUMIF('11.1.Амортиз.нови активи'!$B$12:$B$59,$B34,'11.1.Амортиз.нови активи'!AS$12:AS$59))</f>
        <v>6.8574085927728019</v>
      </c>
      <c r="R34" s="1229">
        <f>Q34+SUMIF('11.1.Амортиз.нови активи'!$B$12:$B$59,$B34,'11.1.Амортиз.нови активи'!R$12:R$59)+('9.Инвестиционна програма'!M$131*SUMIF('11.1.Амортиз.нови активи'!$B$12:$B$59,$B34,'11.1.Амортиз.нови активи'!AT$12:AT$59))</f>
        <v>6.8574085927728019</v>
      </c>
      <c r="S34" s="4454">
        <f>+'11.3. ДА Базова година'!P39</f>
        <v>10.519772882178481</v>
      </c>
      <c r="T34" s="1228">
        <f>S34+SUMIF('11.1.Амортиз.нови активи'!$B$12:$B$59,$B34,'11.1.Амортиз.нови активи'!T$12:T$59)+('9.Инвестиционна програма'!H$132*SUMIF('11.1.Амортиз.нови активи'!$B$12:$B$59,$B34,'11.1.Амортиз.нови активи'!AO$12:AO$59))</f>
        <v>10.519772882178481</v>
      </c>
      <c r="U34" s="1224">
        <f>T34+SUMIF('11.1.Амортиз.нови активи'!$B$12:$B$59,$B34,'11.1.Амортиз.нови активи'!U$12:U$59)+('9.Инвестиционна програма'!I$132*SUMIF('11.1.Амортиз.нови активи'!$B$12:$B$59,$B34,'11.1.Амортиз.нови активи'!AP$12:AP$59))</f>
        <v>10.519772882178481</v>
      </c>
      <c r="V34" s="1224">
        <f>U34+SUMIF('11.1.Амортиз.нови активи'!$B$12:$B$59,$B34,'11.1.Амортиз.нови активи'!V$12:V$59)+('9.Инвестиционна програма'!J$132*SUMIF('11.1.Амортиз.нови активи'!$B$12:$B$59,$B34,'11.1.Амортиз.нови активи'!AQ$12:AQ$59))</f>
        <v>10.519772882178481</v>
      </c>
      <c r="W34" s="1224">
        <f>V34+SUMIF('11.1.Амортиз.нови активи'!$B$12:$B$59,$B34,'11.1.Амортиз.нови активи'!W$12:W$59)+('9.Инвестиционна програма'!K$132*SUMIF('11.1.Амортиз.нови активи'!$B$12:$B$59,$B34,'11.1.Амортиз.нови активи'!AR$12:AR$59))</f>
        <v>10.519772882178481</v>
      </c>
      <c r="X34" s="1224">
        <f>W34+SUMIF('11.1.Амортиз.нови активи'!$B$12:$B$59,$B34,'11.1.Амортиз.нови активи'!X$12:X$59)+('9.Инвестиционна програма'!L$132*SUMIF('11.1.Амортиз.нови активи'!$B$12:$B$59,$B34,'11.1.Амортиз.нови активи'!AS$12:AS$59))</f>
        <v>10.519772882178481</v>
      </c>
      <c r="Y34" s="1229">
        <f>X34+SUMIF('11.1.Амортиз.нови активи'!$B$12:$B$59,$B34,'11.1.Амортиз.нови активи'!Y$12:Y$59)+('9.Инвестиционна програма'!M$132*SUMIF('11.1.Амортиз.нови активи'!$B$12:$B$59,$B34,'11.1.Амортиз.нови активи'!AT$12:AT$59))</f>
        <v>10.519772882178481</v>
      </c>
      <c r="Z34" s="4454">
        <f>+'11.3. ДА Базова година'!T39</f>
        <v>0</v>
      </c>
      <c r="AA34" s="1228">
        <f>Z34+SUMIF('11.1.Амортиз.нови активи'!$B$12:$B$59,$B34,'11.1.Амортиз.нови активи'!AA$12:AA$59)</f>
        <v>0</v>
      </c>
      <c r="AB34" s="1224">
        <f>AA34+SUMIF('11.1.Амортиз.нови активи'!$B$12:$B$59,$B34,'11.1.Амортиз.нови активи'!AB$12:AB$59)</f>
        <v>0</v>
      </c>
      <c r="AC34" s="1224">
        <f>AB34+SUMIF('11.1.Амортиз.нови активи'!$B$12:$B$59,$B34,'11.1.Амортиз.нови активи'!AC$12:AC$59)</f>
        <v>0</v>
      </c>
      <c r="AD34" s="1224">
        <f>AC34+SUMIF('11.1.Амортиз.нови активи'!$B$12:$B$59,$B34,'11.1.Амортиз.нови активи'!AD$12:AD$59)</f>
        <v>0</v>
      </c>
      <c r="AE34" s="1224">
        <f>AD34+SUMIF('11.1.Амортиз.нови активи'!$B$12:$B$59,$B34,'11.1.Амортиз.нови активи'!AE$12:AE$59)</f>
        <v>0</v>
      </c>
      <c r="AF34" s="1229">
        <f>AE34+SUMIF('11.1.Амортиз.нови активи'!$B$12:$B$59,$B34,'11.1.Амортиз.нови активи'!AF$12:AF$59)</f>
        <v>0</v>
      </c>
      <c r="AG34" s="4454">
        <f>+'11.3. ДА Базова година'!X39</f>
        <v>24.624698564994748</v>
      </c>
      <c r="AH34" s="1228">
        <f>AG34+SUMIF('11.1.Амортиз.нови активи'!$B$12:$B$59,$B34,'11.1.Амортиз.нови активи'!AH$12:AH$59)</f>
        <v>24.624698564994748</v>
      </c>
      <c r="AI34" s="1224">
        <f>AH34+SUMIF('11.1.Амортиз.нови активи'!$B$12:$B$59,$B34,'11.1.Амортиз.нови активи'!AI$12:AI$59)</f>
        <v>24.624698564994748</v>
      </c>
      <c r="AJ34" s="1224">
        <f>AI34+SUMIF('11.1.Амортиз.нови активи'!$B$12:$B$59,$B34,'11.1.Амортиз.нови активи'!AJ$12:AJ$59)</f>
        <v>24.624698564994748</v>
      </c>
      <c r="AK34" s="1224">
        <f>AJ34+SUMIF('11.1.Амортиз.нови активи'!$B$12:$B$59,$B34,'11.1.Амортиз.нови активи'!AK$12:AK$59)</f>
        <v>24.624698564994748</v>
      </c>
      <c r="AL34" s="1224">
        <f>AK34+SUMIF('11.1.Амортиз.нови активи'!$B$12:$B$59,$B34,'11.1.Амортиз.нови активи'!AL$12:AL$59)</f>
        <v>24.624698564994748</v>
      </c>
      <c r="AM34" s="1229">
        <f>AL34+SUMIF('11.1.Амортиз.нови активи'!$B$12:$B$59,$B34,'11.1.Амортиз.нови активи'!AM$12:AM$59)</f>
        <v>24.624698564994748</v>
      </c>
      <c r="AN34" s="2551"/>
      <c r="AO34" s="2559"/>
      <c r="AP34" s="4488"/>
      <c r="AQ34" s="4504">
        <f t="shared" si="31"/>
        <v>162.71334841759628</v>
      </c>
      <c r="AR34" s="4504">
        <f t="shared" si="32"/>
        <v>162.71334841759628</v>
      </c>
      <c r="AS34" s="4504">
        <f t="shared" si="33"/>
        <v>162.71334841759628</v>
      </c>
      <c r="AT34" s="4504">
        <f t="shared" si="34"/>
        <v>162.71334841759628</v>
      </c>
      <c r="AU34" s="4504">
        <f t="shared" si="35"/>
        <v>162.71334841759628</v>
      </c>
      <c r="AV34" s="4504">
        <f t="shared" si="36"/>
        <v>162.71334841759628</v>
      </c>
      <c r="AW34" s="4504">
        <f t="shared" si="37"/>
        <v>162.71334841759628</v>
      </c>
      <c r="AX34" s="4504">
        <f t="shared" si="38"/>
        <v>3.5061373395299191</v>
      </c>
      <c r="AY34" s="4504">
        <f t="shared" si="39"/>
        <v>3.5061373395299191</v>
      </c>
      <c r="AZ34" s="4504">
        <f t="shared" si="40"/>
        <v>3.5061373395299191</v>
      </c>
      <c r="BA34" s="4504">
        <f t="shared" si="41"/>
        <v>3.5061373395299191</v>
      </c>
      <c r="BB34" s="4504">
        <f t="shared" si="42"/>
        <v>3.5061373395299191</v>
      </c>
      <c r="BC34" s="4504">
        <f t="shared" si="43"/>
        <v>3.5061373395299191</v>
      </c>
      <c r="BD34" s="4504">
        <f t="shared" si="44"/>
        <v>3.5061373395299191</v>
      </c>
      <c r="BE34" s="4504">
        <f t="shared" si="45"/>
        <v>5.3786744666860011</v>
      </c>
      <c r="BF34" s="4504">
        <f t="shared" si="46"/>
        <v>5.3786744666860011</v>
      </c>
      <c r="BG34" s="4504">
        <f t="shared" si="47"/>
        <v>5.3786744666860011</v>
      </c>
      <c r="BH34" s="4504">
        <f t="shared" si="48"/>
        <v>5.3786744666860011</v>
      </c>
      <c r="BI34" s="4504">
        <f t="shared" si="49"/>
        <v>5.3786744666860011</v>
      </c>
      <c r="BJ34" s="4504">
        <f t="shared" si="50"/>
        <v>5.3786744666860011</v>
      </c>
      <c r="BK34" s="4504">
        <f t="shared" si="51"/>
        <v>5.3786744666860011</v>
      </c>
      <c r="BL34" s="4504">
        <f t="shared" si="52"/>
        <v>0</v>
      </c>
      <c r="BM34" s="4504">
        <f t="shared" si="53"/>
        <v>0</v>
      </c>
      <c r="BN34" s="4504">
        <f t="shared" si="54"/>
        <v>0</v>
      </c>
      <c r="BO34" s="4504">
        <f t="shared" si="55"/>
        <v>0</v>
      </c>
      <c r="BP34" s="4504">
        <f t="shared" si="56"/>
        <v>0</v>
      </c>
      <c r="BQ34" s="4504">
        <f t="shared" si="57"/>
        <v>0</v>
      </c>
      <c r="BR34" s="4504">
        <f t="shared" si="58"/>
        <v>0</v>
      </c>
      <c r="BS34" s="4504">
        <f t="shared" si="59"/>
        <v>12.590408453185987</v>
      </c>
      <c r="BT34" s="4504">
        <f t="shared" si="60"/>
        <v>12.590408453185987</v>
      </c>
      <c r="BU34" s="4504">
        <f t="shared" si="61"/>
        <v>12.590408453185987</v>
      </c>
      <c r="BV34" s="4504">
        <f t="shared" si="62"/>
        <v>12.590408453185987</v>
      </c>
      <c r="BW34" s="4504">
        <f t="shared" si="63"/>
        <v>12.590408453185987</v>
      </c>
      <c r="BX34" s="4504">
        <f t="shared" si="64"/>
        <v>12.590408453185987</v>
      </c>
      <c r="BY34" s="4504">
        <f t="shared" si="65"/>
        <v>12.590408453185987</v>
      </c>
    </row>
    <row r="35" spans="1:77" ht="13.8" thickBot="1">
      <c r="A35" s="3746" t="s">
        <v>206</v>
      </c>
      <c r="B35" s="2577"/>
      <c r="C35" s="2577"/>
      <c r="D35" s="2540" t="s">
        <v>218</v>
      </c>
      <c r="E35" s="2545">
        <f t="shared" ref="E35" si="74">SUM(E36:E59)-E38-E44</f>
        <v>94.807717711711689</v>
      </c>
      <c r="F35" s="2542">
        <f t="shared" ref="F35:Z35" si="75">SUM(F36:F59)-F38-F44</f>
        <v>145.31220831482759</v>
      </c>
      <c r="G35" s="2543">
        <f t="shared" si="75"/>
        <v>152.54794037861484</v>
      </c>
      <c r="H35" s="2543">
        <f t="shared" si="75"/>
        <v>156.32859616207406</v>
      </c>
      <c r="I35" s="2543">
        <f t="shared" si="75"/>
        <v>161.35061836025824</v>
      </c>
      <c r="J35" s="2543">
        <f t="shared" si="75"/>
        <v>167.60469068723475</v>
      </c>
      <c r="K35" s="2544">
        <f t="shared" si="75"/>
        <v>172.05254154020071</v>
      </c>
      <c r="L35" s="2545">
        <f t="shared" si="75"/>
        <v>15.713491932866761</v>
      </c>
      <c r="M35" s="2542">
        <f t="shared" si="75"/>
        <v>17.721093560719151</v>
      </c>
      <c r="N35" s="2543">
        <f t="shared" si="75"/>
        <v>17.945983481185962</v>
      </c>
      <c r="O35" s="2543">
        <f t="shared" si="75"/>
        <v>18.321887427440771</v>
      </c>
      <c r="P35" s="2543">
        <f t="shared" si="75"/>
        <v>18.712718545833184</v>
      </c>
      <c r="Q35" s="2543">
        <f t="shared" si="75"/>
        <v>19.119385316511654</v>
      </c>
      <c r="R35" s="2544">
        <f t="shared" si="75"/>
        <v>19.501823691510772</v>
      </c>
      <c r="S35" s="2545">
        <f t="shared" si="75"/>
        <v>15.515842339827399</v>
      </c>
      <c r="T35" s="2542">
        <f t="shared" si="75"/>
        <v>17.83377090503134</v>
      </c>
      <c r="U35" s="2543">
        <f t="shared" si="75"/>
        <v>18.108148920777261</v>
      </c>
      <c r="V35" s="2543">
        <f t="shared" si="75"/>
        <v>18.571589191063225</v>
      </c>
      <c r="W35" s="2543">
        <f t="shared" si="75"/>
        <v>19.078735874486608</v>
      </c>
      <c r="X35" s="2543">
        <f t="shared" si="75"/>
        <v>19.63799677683166</v>
      </c>
      <c r="Y35" s="2544">
        <f t="shared" si="75"/>
        <v>20.127707548866596</v>
      </c>
      <c r="Z35" s="2545">
        <f t="shared" si="75"/>
        <v>0</v>
      </c>
      <c r="AA35" s="2542">
        <f t="shared" ref="AA35:AM35" si="76">SUM(AA36:AA59)-AA38-AA44</f>
        <v>0</v>
      </c>
      <c r="AB35" s="2543">
        <f t="shared" si="76"/>
        <v>0</v>
      </c>
      <c r="AC35" s="2543">
        <f t="shared" si="76"/>
        <v>0</v>
      </c>
      <c r="AD35" s="2543">
        <f t="shared" si="76"/>
        <v>0</v>
      </c>
      <c r="AE35" s="2543">
        <f t="shared" si="76"/>
        <v>0</v>
      </c>
      <c r="AF35" s="2544">
        <f t="shared" si="76"/>
        <v>0</v>
      </c>
      <c r="AG35" s="2545">
        <f t="shared" si="76"/>
        <v>12.329727495048909</v>
      </c>
      <c r="AH35" s="2542">
        <f t="shared" si="76"/>
        <v>22.094057870592884</v>
      </c>
      <c r="AI35" s="2543">
        <f t="shared" si="76"/>
        <v>22.874057870592878</v>
      </c>
      <c r="AJ35" s="2543">
        <f t="shared" si="76"/>
        <v>23.474057870592876</v>
      </c>
      <c r="AK35" s="2543">
        <f t="shared" si="76"/>
        <v>24.074057870592881</v>
      </c>
      <c r="AL35" s="2543">
        <f t="shared" si="76"/>
        <v>24.674057870592872</v>
      </c>
      <c r="AM35" s="2544">
        <f t="shared" si="76"/>
        <v>25.274057870592888</v>
      </c>
      <c r="AN35" s="2546"/>
      <c r="AO35" s="2578">
        <f>(SUM(F$35:Y$35)-L$35-S$35)+(SUM(F$131:Y$131)-L$131-S$131)+(SUM(F$214:Y$214)-L$214-S$214)-((K$60-E$60)+(R$60-L$60)+(Y$60-S$60)+(K$151-E$151)+(R$151-L$151)+(Y$151-S$151)+(K$236-E$236)+(R$236-L$236)+(Y$236-S$236))</f>
        <v>0</v>
      </c>
      <c r="AP35" s="4488"/>
      <c r="AQ35" s="4504">
        <f t="shared" si="31"/>
        <v>48.474416340741115</v>
      </c>
      <c r="AR35" s="4504">
        <f t="shared" si="32"/>
        <v>74.296952350064984</v>
      </c>
      <c r="AS35" s="4504">
        <f t="shared" si="33"/>
        <v>77.996523408790566</v>
      </c>
      <c r="AT35" s="4504">
        <f t="shared" si="34"/>
        <v>79.929542016470791</v>
      </c>
      <c r="AU35" s="4504">
        <f t="shared" si="35"/>
        <v>82.497261193589551</v>
      </c>
      <c r="AV35" s="4504">
        <f t="shared" si="36"/>
        <v>85.694917598786574</v>
      </c>
      <c r="AW35" s="4504">
        <f t="shared" si="37"/>
        <v>87.969067628679753</v>
      </c>
      <c r="AX35" s="4504">
        <f t="shared" si="38"/>
        <v>8.0341808505170498</v>
      </c>
      <c r="AY35" s="4504">
        <f t="shared" si="39"/>
        <v>9.0606512635142895</v>
      </c>
      <c r="AZ35" s="4504">
        <f t="shared" si="40"/>
        <v>9.1756356540118329</v>
      </c>
      <c r="BA35" s="4504">
        <f t="shared" si="41"/>
        <v>9.3678322898415356</v>
      </c>
      <c r="BB35" s="4504">
        <f t="shared" si="42"/>
        <v>9.5676610675944147</v>
      </c>
      <c r="BC35" s="4504">
        <f t="shared" si="43"/>
        <v>9.7755864857946015</v>
      </c>
      <c r="BD35" s="4504">
        <f t="shared" si="44"/>
        <v>9.9711241219895257</v>
      </c>
      <c r="BE35" s="4504">
        <f t="shared" si="45"/>
        <v>7.9331242182742878</v>
      </c>
      <c r="BF35" s="4504">
        <f t="shared" si="46"/>
        <v>9.1182622748558622</v>
      </c>
      <c r="BG35" s="4504">
        <f t="shared" si="47"/>
        <v>9.2585495266854796</v>
      </c>
      <c r="BH35" s="4504">
        <f t="shared" si="48"/>
        <v>9.4955027743020732</v>
      </c>
      <c r="BI35" s="4504">
        <f t="shared" si="49"/>
        <v>9.7548027561120385</v>
      </c>
      <c r="BJ35" s="4504">
        <f t="shared" si="50"/>
        <v>10.040748314951534</v>
      </c>
      <c r="BK35" s="4504">
        <f t="shared" si="51"/>
        <v>10.29113345682733</v>
      </c>
      <c r="BL35" s="4504">
        <f t="shared" si="52"/>
        <v>0</v>
      </c>
      <c r="BM35" s="4504">
        <f t="shared" si="53"/>
        <v>0</v>
      </c>
      <c r="BN35" s="4504">
        <f t="shared" si="54"/>
        <v>0</v>
      </c>
      <c r="BO35" s="4504">
        <f t="shared" si="55"/>
        <v>0</v>
      </c>
      <c r="BP35" s="4504">
        <f t="shared" si="56"/>
        <v>0</v>
      </c>
      <c r="BQ35" s="4504">
        <f t="shared" si="57"/>
        <v>0</v>
      </c>
      <c r="BR35" s="4504">
        <f t="shared" si="58"/>
        <v>0</v>
      </c>
      <c r="BS35" s="4504">
        <f t="shared" si="59"/>
        <v>6.3040895655802949</v>
      </c>
      <c r="BT35" s="4504">
        <f t="shared" si="60"/>
        <v>11.296512411913554</v>
      </c>
      <c r="BU35" s="4504">
        <f t="shared" si="61"/>
        <v>11.695320079246601</v>
      </c>
      <c r="BV35" s="4504">
        <f t="shared" si="62"/>
        <v>12.002095207964331</v>
      </c>
      <c r="BW35" s="4504">
        <f t="shared" si="63"/>
        <v>12.308870336682064</v>
      </c>
      <c r="BX35" s="4504">
        <f t="shared" si="64"/>
        <v>12.61564546539979</v>
      </c>
      <c r="BY35" s="4504">
        <f t="shared" si="65"/>
        <v>12.922420594117529</v>
      </c>
    </row>
    <row r="36" spans="1:77">
      <c r="A36" s="2547">
        <v>1</v>
      </c>
      <c r="B36" s="2579">
        <v>20101</v>
      </c>
      <c r="C36" s="2549">
        <v>0</v>
      </c>
      <c r="D36" s="2580" t="s">
        <v>556</v>
      </c>
      <c r="E36" s="4453">
        <f>+'11.3. ДА Базова година'!F41</f>
        <v>0</v>
      </c>
      <c r="F36" s="2652">
        <f>$E36-SUMIF('11.2. ДА за периода'!$B$61:$B$108,$B36,'11.2. ДА за периода'!$E$61:$E$108)+SUMIF('11.2. ДА за периода'!$B$61:$B$108,$B36,'11.2. ДА за периода'!F$61:F$108)+SUMIF('11.1.Амортиз.нови активи'!$B$61:$B$108,$B36,'11.1.Амортиз.нови активи'!F$61:F$108)+('11.1.Амортиз.нови активи'!F$110*SUMIF('11.1.Амортиз.нови активи'!$B$61:$B$108,$B36,'11.1.Амортиз.нови активи'!AO$61:AO$108))</f>
        <v>0</v>
      </c>
      <c r="G36" s="1145">
        <f>$E36-SUMIF('11.2. ДА за периода'!$B$61:$B$108,$B36,'11.2. ДА за периода'!$E$61:$E$108)+SUMIF('11.2. ДА за периода'!$B$61:$B$108,$B36,'11.2. ДА за периода'!G$61:G$108)+SUMIF('11.1.Амортиз.нови активи'!$B$61:$B$108,$B36,'11.1.Амортиз.нови активи'!G$61:G$108)+('11.1.Амортиз.нови активи'!G$110*SUMIF('11.1.Амортиз.нови активи'!$B$61:$B$108,$B36,'11.1.Амортиз.нови активи'!AP$61:AP$108))</f>
        <v>0</v>
      </c>
      <c r="H36" s="1145">
        <f>$E36-SUMIF('11.2. ДА за периода'!$B$61:$B$108,$B36,'11.2. ДА за периода'!$E$61:$E$108)+SUMIF('11.2. ДА за периода'!$B$61:$B$108,$B36,'11.2. ДА за периода'!H$61:H$108)+SUMIF('11.1.Амортиз.нови активи'!$B$61:$B$108,$B36,'11.1.Амортиз.нови активи'!H$61:H$108)+('11.1.Амортиз.нови активи'!H$110*SUMIF('11.1.Амортиз.нови активи'!$B$61:$B$108,$B36,'11.1.Амортиз.нови активи'!AQ$61:AQ$108))</f>
        <v>0</v>
      </c>
      <c r="I36" s="1145">
        <f>$E36-SUMIF('11.2. ДА за периода'!$B$61:$B$108,$B36,'11.2. ДА за периода'!$E$61:$E$108)+SUMIF('11.2. ДА за периода'!$B$61:$B$108,$B36,'11.2. ДА за периода'!I$61:I$108)+SUMIF('11.1.Амортиз.нови активи'!$B$61:$B$108,$B36,'11.1.Амортиз.нови активи'!I$61:I$108)+('11.1.Амортиз.нови активи'!I$110*SUMIF('11.1.Амортиз.нови активи'!$B$61:$B$108,$B36,'11.1.Амортиз.нови активи'!AR$61:AR$108))</f>
        <v>0</v>
      </c>
      <c r="J36" s="1145">
        <f>$E36-SUMIF('11.2. ДА за периода'!$B$61:$B$108,$B36,'11.2. ДА за периода'!$E$61:$E$108)+SUMIF('11.2. ДА за периода'!$B$61:$B$108,$B36,'11.2. ДА за периода'!J$61:J$108)+SUMIF('11.1.Амортиз.нови активи'!$B$61:$B$108,$B36,'11.1.Амортиз.нови активи'!J$61:J$108)+('11.1.Амортиз.нови активи'!J$110*SUMIF('11.1.Амортиз.нови активи'!$B$61:$B$108,$B36,'11.1.Амортиз.нови активи'!AS$61:AS$108))</f>
        <v>0</v>
      </c>
      <c r="K36" s="2653">
        <f>$E36-SUMIF('11.2. ДА за периода'!$B$61:$B$108,$B36,'11.2. ДА за периода'!$E$61:$E$108)+SUMIF('11.2. ДА за периода'!$B$61:$B$108,$B36,'11.2. ДА за периода'!K$61:K$108)+SUMIF('11.1.Амортиз.нови активи'!$B$61:$B$108,$B36,'11.1.Амортиз.нови активи'!K$61:K$108)+('11.1.Амортиз.нови активи'!K$110*SUMIF('11.1.Амортиз.нови активи'!$B$61:$B$108,$B36,'11.1.Амортиз.нови активи'!AT$61:AT$108))</f>
        <v>0</v>
      </c>
      <c r="L36" s="4453">
        <f>+'11.3. ДА Базова година'!J41</f>
        <v>0</v>
      </c>
      <c r="M36" s="2652">
        <f>$L36-SUMIF('11.2. ДА за периода'!$B$61:$B$108,$B36,'11.2. ДА за периода'!$L$61:$L$108)+SUMIF('11.2. ДА за периода'!$B$61:$B$108,$B36,'11.2. ДА за периода'!M$61:M$108)+SUMIF('11.1.Амортиз.нови активи'!$B$61:$B$108,$B36,'11.1.Амортиз.нови активи'!M$61:M$108)+('11.1.Амортиз.нови активи'!F$111*SUMIF('11.1.Амортиз.нови активи'!$B$61:$B$108,$B36,'11.1.Амортиз.нови активи'!AO$61:AO$108))</f>
        <v>0</v>
      </c>
      <c r="N36" s="1145">
        <f>$L36-SUMIF('11.2. ДА за периода'!$B$61:$B$108,$B36,'11.2. ДА за периода'!$L$61:$L$108)+SUMIF('11.2. ДА за периода'!$B$61:$B$108,$B36,'11.2. ДА за периода'!N$61:N$108)+SUMIF('11.1.Амортиз.нови активи'!$B$61:$B$108,$B36,'11.1.Амортиз.нови активи'!N$61:N$108)+('11.1.Амортиз.нови активи'!G$111*SUMIF('11.1.Амортиз.нови активи'!$B$61:$B$108,$B36,'11.1.Амортиз.нови активи'!AP$61:AP$108))</f>
        <v>0</v>
      </c>
      <c r="O36" s="1145">
        <f>$L36-SUMIF('11.2. ДА за периода'!$B$61:$B$108,$B36,'11.2. ДА за периода'!$L$61:$L$108)+SUMIF('11.2. ДА за периода'!$B$61:$B$108,$B36,'11.2. ДА за периода'!O$61:O$108)+SUMIF('11.1.Амортиз.нови активи'!$B$61:$B$108,$B36,'11.1.Амортиз.нови активи'!O$61:O$108)+('11.1.Амортиз.нови активи'!H$111*SUMIF('11.1.Амортиз.нови активи'!$B$61:$B$108,$B36,'11.1.Амортиз.нови активи'!AQ$61:AQ$108))</f>
        <v>0</v>
      </c>
      <c r="P36" s="1145">
        <f>$L36-SUMIF('11.2. ДА за периода'!$B$61:$B$108,$B36,'11.2. ДА за периода'!$L$61:$L$108)+SUMIF('11.2. ДА за периода'!$B$61:$B$108,$B36,'11.2. ДА за периода'!P$61:P$108)+SUMIF('11.1.Амортиз.нови активи'!$B$61:$B$108,$B36,'11.1.Амортиз.нови активи'!P$61:P$108)+('11.1.Амортиз.нови активи'!I$111*SUMIF('11.1.Амортиз.нови активи'!$B$61:$B$108,$B36,'11.1.Амортиз.нови активи'!AR$61:AR$108))</f>
        <v>0</v>
      </c>
      <c r="Q36" s="1145">
        <f>$L36-SUMIF('11.2. ДА за периода'!$B$61:$B$108,$B36,'11.2. ДА за периода'!$L$61:$L$108)+SUMIF('11.2. ДА за периода'!$B$61:$B$108,$B36,'11.2. ДА за периода'!Q$61:Q$108)+SUMIF('11.1.Амортиз.нови активи'!$B$61:$B$108,$B36,'11.1.Амортиз.нови активи'!Q$61:Q$108)+('11.1.Амортиз.нови активи'!J$111*SUMIF('11.1.Амортиз.нови активи'!$B$61:$B$108,$B36,'11.1.Амортиз.нови активи'!AS$61:AS$108))</f>
        <v>0</v>
      </c>
      <c r="R36" s="2653">
        <f>$L36-SUMIF('11.2. ДА за периода'!$B$61:$B$108,$B36,'11.2. ДА за периода'!$L$61:$L$108)+SUMIF('11.2. ДА за периода'!$B$61:$B$108,$B36,'11.2. ДА за периода'!R$61:R$108)+SUMIF('11.1.Амортиз.нови активи'!$B$61:$B$108,$B36,'11.1.Амортиз.нови активи'!R$61:R$108)+('11.1.Амортиз.нови активи'!K$111*SUMIF('11.1.Амортиз.нови активи'!$B$61:$B$108,$B36,'11.1.Амортиз.нови активи'!AT$61:AT$108))</f>
        <v>0</v>
      </c>
      <c r="S36" s="4453">
        <f>+'11.3. ДА Базова година'!N41</f>
        <v>0</v>
      </c>
      <c r="T36" s="2652">
        <f>$S36-SUMIF('11.2. ДА за периода'!$B$61:$B$108,$B36,'11.2. ДА за периода'!$S$61:$S$108)+SUMIF('11.2. ДА за периода'!$B$61:$B$108,$B36,'11.2. ДА за периода'!T$61:T$108)+SUMIF('11.1.Амортиз.нови активи'!$B$61:$B$108,$B36,'11.1.Амортиз.нови активи'!T$61:T$108)+('11.1.Амортиз.нови активи'!F$112*SUMIF('11.1.Амортиз.нови активи'!$B$61:$B$108,$B36,'11.1.Амортиз.нови активи'!AO$61:AO$108))</f>
        <v>0</v>
      </c>
      <c r="U36" s="1145">
        <f>$S36-SUMIF('11.2. ДА за периода'!$B$61:$B$108,$B36,'11.2. ДА за периода'!$S$61:$S$108)+SUMIF('11.2. ДА за периода'!$B$61:$B$108,$B36,'11.2. ДА за периода'!U$61:U$108)+SUMIF('11.1.Амортиз.нови активи'!$B$61:$B$108,$B36,'11.1.Амортиз.нови активи'!U$61:U$108)+('11.1.Амортиз.нови активи'!G$112*SUMIF('11.1.Амортиз.нови активи'!$B$61:$B$108,$B36,'11.1.Амортиз.нови активи'!AP$61:AP$108))</f>
        <v>0</v>
      </c>
      <c r="V36" s="1145">
        <f>$S36-SUMIF('11.2. ДА за периода'!$B$61:$B$108,$B36,'11.2. ДА за периода'!$S$61:$S$108)+SUMIF('11.2. ДА за периода'!$B$61:$B$108,$B36,'11.2. ДА за периода'!V$61:V$108)+SUMIF('11.1.Амортиз.нови активи'!$B$61:$B$108,$B36,'11.1.Амортиз.нови активи'!V$61:V$108)+('11.1.Амортиз.нови активи'!H$112*SUMIF('11.1.Амортиз.нови активи'!$B$61:$B$108,$B36,'11.1.Амортиз.нови активи'!AQ$61:AQ$108))</f>
        <v>0</v>
      </c>
      <c r="W36" s="1145">
        <f>$S36-SUMIF('11.2. ДА за периода'!$B$61:$B$108,$B36,'11.2. ДА за периода'!$S$61:$S$108)+SUMIF('11.2. ДА за периода'!$B$61:$B$108,$B36,'11.2. ДА за периода'!W$61:W$108)+SUMIF('11.1.Амортиз.нови активи'!$B$61:$B$108,$B36,'11.1.Амортиз.нови активи'!W$61:W$108)+('11.1.Амортиз.нови активи'!I$112*SUMIF('11.1.Амортиз.нови активи'!$B$61:$B$108,$B36,'11.1.Амортиз.нови активи'!AR$61:AR$108))</f>
        <v>0</v>
      </c>
      <c r="X36" s="1145">
        <f>$S36-SUMIF('11.2. ДА за периода'!$B$61:$B$108,$B36,'11.2. ДА за периода'!$S$61:$S$108)+SUMIF('11.2. ДА за периода'!$B$61:$B$108,$B36,'11.2. ДА за периода'!X$61:X$108)+SUMIF('11.1.Амортиз.нови активи'!$B$61:$B$108,$B36,'11.1.Амортиз.нови активи'!X$61:X$108)+('11.1.Амортиз.нови активи'!J$112*SUMIF('11.1.Амортиз.нови активи'!$B$61:$B$108,$B36,'11.1.Амортиз.нови активи'!AS$61:AS$108))</f>
        <v>0</v>
      </c>
      <c r="Y36" s="2653">
        <f>$S36-SUMIF('11.2. ДА за периода'!$B$61:$B$108,$B36,'11.2. ДА за периода'!$S$61:$S$108)+SUMIF('11.2. ДА за периода'!$B$61:$B$108,$B36,'11.2. ДА за периода'!Y$61:Y$108)+SUMIF('11.1.Амортиз.нови активи'!$B$61:$B$108,$B36,'11.1.Амортиз.нови активи'!Y$61:Y$108)+('11.1.Амортиз.нови активи'!K$112*SUMIF('11.1.Амортиз.нови активи'!$B$61:$B$108,$B36,'11.1.Амортиз.нови активи'!AT$61:AT$108))</f>
        <v>0</v>
      </c>
      <c r="Z36" s="4453">
        <f>+'11.3. ДА Базова година'!R41</f>
        <v>0</v>
      </c>
      <c r="AA36" s="2652">
        <f>$Z36-SUMIF('11.2. ДА за периода'!$B$61:$B$108,$B36,'11.2. ДА за периода'!$Z$61:$Z$108)+SUMIF('11.2. ДА за периода'!$B$61:$B$108,$B36,'11.2. ДА за периода'!AA$61:AA$108)+SUMIF('11.1.Амортиз.нови активи'!$B$61:$B$108,$B36,'11.1.Амортиз.нови активи'!AA$61:AA$108)</f>
        <v>0</v>
      </c>
      <c r="AB36" s="1145">
        <f>$Z36-SUMIF('11.2. ДА за периода'!$B$61:$B$108,$B36,'11.2. ДА за периода'!$Z$61:$Z$108)+SUMIF('11.2. ДА за периода'!$B$61:$B$108,$B36,'11.2. ДА за периода'!AB$61:AB$108)+SUMIF('11.1.Амортиз.нови активи'!$B$61:$B$108,$B36,'11.1.Амортиз.нови активи'!AB$61:AB$108)</f>
        <v>0</v>
      </c>
      <c r="AC36" s="1145">
        <f>$Z36-SUMIF('11.2. ДА за периода'!$B$61:$B$108,$B36,'11.2. ДА за периода'!$Z$61:$Z$108)+SUMIF('11.2. ДА за периода'!$B$61:$B$108,$B36,'11.2. ДА за периода'!AC$61:AC$108)+SUMIF('11.1.Амортиз.нови активи'!$B$61:$B$108,$B36,'11.1.Амортиз.нови активи'!AC$61:AC$108)</f>
        <v>0</v>
      </c>
      <c r="AD36" s="1145">
        <f>$Z36-SUMIF('11.2. ДА за периода'!$B$61:$B$108,$B36,'11.2. ДА за периода'!$Z$61:$Z$108)+SUMIF('11.2. ДА за периода'!$B$61:$B$108,$B36,'11.2. ДА за периода'!AD$61:AD$108)+SUMIF('11.1.Амортиз.нови активи'!$B$61:$B$108,$B36,'11.1.Амортиз.нови активи'!AD$61:AD$108)</f>
        <v>0</v>
      </c>
      <c r="AE36" s="1145">
        <f>$Z36-SUMIF('11.2. ДА за периода'!$B$61:$B$108,$B36,'11.2. ДА за периода'!$Z$61:$Z$108)+SUMIF('11.2. ДА за периода'!$B$61:$B$108,$B36,'11.2. ДА за периода'!AE$61:AE$108)+SUMIF('11.1.Амортиз.нови активи'!$B$61:$B$108,$B36,'11.1.Амортиз.нови активи'!AE$61:AE$108)</f>
        <v>0</v>
      </c>
      <c r="AF36" s="2653">
        <f>$Z36-SUMIF('11.2. ДА за периода'!$B$61:$B$108,$B36,'11.2. ДА за периода'!$Z$61:$Z$108)+SUMIF('11.2. ДА за периода'!$B$61:$B$108,$B36,'11.2. ДА за периода'!AF$61:AF$108)+SUMIF('11.1.Амортиз.нови активи'!$B$61:$B$108,$B36,'11.1.Амортиз.нови активи'!AF$61:AF$108)</f>
        <v>0</v>
      </c>
      <c r="AG36" s="4453">
        <f>+'11.3. ДА Базова година'!V41</f>
        <v>0</v>
      </c>
      <c r="AH36" s="2652">
        <f>$AG36-SUMIF('11.2. ДА за периода'!$B$61:$B$108,$B36,'11.2. ДА за периода'!$AG$61:$AG$108)+SUMIF('11.2. ДА за периода'!$B$61:$B$108,$B36,'11.2. ДА за периода'!AH$61:AH$108)+SUMIF('11.1.Амортиз.нови активи'!$B$61:$B$108,$B36,'11.1.Амортиз.нови активи'!AH$61:AH$108)+('11.1.Амортиз.нови активи'!T$112*SUMIF('11.1.Амортиз.нови активи'!$B$61:$B$108,$B36,'11.1.Амортиз.нови активи'!BB$61:BB$108))</f>
        <v>0</v>
      </c>
      <c r="AI36" s="1145">
        <f>$AG36-SUMIF('11.2. ДА за периода'!$B$61:$B$108,$B36,'11.2. ДА за периода'!$AG$61:$AG$108)+SUMIF('11.2. ДА за периода'!$B$61:$B$108,$B36,'11.2. ДА за периода'!AI$61:AI$108)+SUMIF('11.1.Амортиз.нови активи'!$B$61:$B$108,$B36,'11.1.Амортиз.нови активи'!AI$61:AI$108)+('11.1.Амортиз.нови активи'!U$112*SUMIF('11.1.Амортиз.нови активи'!$B$61:$B$108,$B36,'11.1.Амортиз.нови активи'!BC$61:BC$108))</f>
        <v>0</v>
      </c>
      <c r="AJ36" s="1145">
        <f>$AG36-SUMIF('11.2. ДА за периода'!$B$61:$B$108,$B36,'11.2. ДА за периода'!$AG$61:$AG$108)+SUMIF('11.2. ДА за периода'!$B$61:$B$108,$B36,'11.2. ДА за периода'!AJ$61:AJ$108)+SUMIF('11.1.Амортиз.нови активи'!$B$61:$B$108,$B36,'11.1.Амортиз.нови активи'!AJ$61:AJ$108)+('11.1.Амортиз.нови активи'!V$112*SUMIF('11.1.Амортиз.нови активи'!$B$61:$B$108,$B36,'11.1.Амортиз.нови активи'!BD$61:BD$108))</f>
        <v>0</v>
      </c>
      <c r="AK36" s="1145">
        <f>$AG36-SUMIF('11.2. ДА за периода'!$B$61:$B$108,$B36,'11.2. ДА за периода'!$AG$61:$AG$108)+SUMIF('11.2. ДА за периода'!$B$61:$B$108,$B36,'11.2. ДА за периода'!AK$61:AK$108)+SUMIF('11.1.Амортиз.нови активи'!$B$61:$B$108,$B36,'11.1.Амортиз.нови активи'!AK$61:AK$108)+('11.1.Амортиз.нови активи'!W$112*SUMIF('11.1.Амортиз.нови активи'!$B$61:$B$108,$B36,'11.1.Амортиз.нови активи'!BE$61:BE$108))</f>
        <v>0</v>
      </c>
      <c r="AL36" s="1145">
        <f>$AG36-SUMIF('11.2. ДА за периода'!$B$61:$B$108,$B36,'11.2. ДА за периода'!$AG$61:$AG$108)+SUMIF('11.2. ДА за периода'!$B$61:$B$108,$B36,'11.2. ДА за периода'!AL$61:AL$108)+SUMIF('11.1.Амортиз.нови активи'!$B$61:$B$108,$B36,'11.1.Амортиз.нови активи'!AL$61:AL$108)+('11.1.Амортиз.нови активи'!X$112*SUMIF('11.1.Амортиз.нови активи'!$B$61:$B$108,$B36,'11.1.Амортиз.нови активи'!BF$61:BF$108))</f>
        <v>0</v>
      </c>
      <c r="AM36" s="2653">
        <f>$AG36-SUMIF('11.2. ДА за периода'!$B$61:$B$108,$B36,'11.2. ДА за периода'!$AG$61:$AG$108)+SUMIF('11.2. ДА за периода'!$B$61:$B$108,$B36,'11.2. ДА за периода'!AM$61:AM$108)+SUMIF('11.1.Амортиз.нови активи'!$B$61:$B$108,$B36,'11.1.Амортиз.нови активи'!AM$61:AM$108)+('11.1.Амортиз.нови активи'!Y$112*SUMIF('11.1.Амортиз.нови активи'!$B$61:$B$108,$B36,'11.1.Амортиз.нови активи'!BG$61:BG$108))</f>
        <v>0</v>
      </c>
      <c r="AN36" s="2581"/>
      <c r="AO36" s="2582"/>
      <c r="AP36" s="4488"/>
      <c r="AQ36" s="4504">
        <f t="shared" si="31"/>
        <v>0</v>
      </c>
      <c r="AR36" s="4504">
        <f t="shared" si="32"/>
        <v>0</v>
      </c>
      <c r="AS36" s="4504">
        <f t="shared" si="33"/>
        <v>0</v>
      </c>
      <c r="AT36" s="4504">
        <f t="shared" si="34"/>
        <v>0</v>
      </c>
      <c r="AU36" s="4504">
        <f t="shared" si="35"/>
        <v>0</v>
      </c>
      <c r="AV36" s="4504">
        <f t="shared" si="36"/>
        <v>0</v>
      </c>
      <c r="AW36" s="4504">
        <f t="shared" si="37"/>
        <v>0</v>
      </c>
      <c r="AX36" s="4504">
        <f t="shared" si="38"/>
        <v>0</v>
      </c>
      <c r="AY36" s="4504">
        <f t="shared" si="39"/>
        <v>0</v>
      </c>
      <c r="AZ36" s="4504">
        <f t="shared" si="40"/>
        <v>0</v>
      </c>
      <c r="BA36" s="4504">
        <f t="shared" si="41"/>
        <v>0</v>
      </c>
      <c r="BB36" s="4504">
        <f t="shared" si="42"/>
        <v>0</v>
      </c>
      <c r="BC36" s="4504">
        <f t="shared" si="43"/>
        <v>0</v>
      </c>
      <c r="BD36" s="4504">
        <f t="shared" si="44"/>
        <v>0</v>
      </c>
      <c r="BE36" s="4504">
        <f t="shared" si="45"/>
        <v>0</v>
      </c>
      <c r="BF36" s="4504">
        <f t="shared" si="46"/>
        <v>0</v>
      </c>
      <c r="BG36" s="4504">
        <f t="shared" si="47"/>
        <v>0</v>
      </c>
      <c r="BH36" s="4504">
        <f t="shared" si="48"/>
        <v>0</v>
      </c>
      <c r="BI36" s="4504">
        <f t="shared" si="49"/>
        <v>0</v>
      </c>
      <c r="BJ36" s="4504">
        <f t="shared" si="50"/>
        <v>0</v>
      </c>
      <c r="BK36" s="4504">
        <f t="shared" si="51"/>
        <v>0</v>
      </c>
      <c r="BL36" s="4504">
        <f t="shared" si="52"/>
        <v>0</v>
      </c>
      <c r="BM36" s="4504">
        <f t="shared" si="53"/>
        <v>0</v>
      </c>
      <c r="BN36" s="4504">
        <f t="shared" si="54"/>
        <v>0</v>
      </c>
      <c r="BO36" s="4504">
        <f t="shared" si="55"/>
        <v>0</v>
      </c>
      <c r="BP36" s="4504">
        <f t="shared" si="56"/>
        <v>0</v>
      </c>
      <c r="BQ36" s="4504">
        <f t="shared" si="57"/>
        <v>0</v>
      </c>
      <c r="BR36" s="4504">
        <f t="shared" si="58"/>
        <v>0</v>
      </c>
      <c r="BS36" s="4504">
        <f t="shared" si="59"/>
        <v>0</v>
      </c>
      <c r="BT36" s="4504">
        <f t="shared" si="60"/>
        <v>0</v>
      </c>
      <c r="BU36" s="4504">
        <f t="shared" si="61"/>
        <v>0</v>
      </c>
      <c r="BV36" s="4504">
        <f t="shared" si="62"/>
        <v>0</v>
      </c>
      <c r="BW36" s="4504">
        <f t="shared" si="63"/>
        <v>0</v>
      </c>
      <c r="BX36" s="4504">
        <f t="shared" si="64"/>
        <v>0</v>
      </c>
      <c r="BY36" s="4504">
        <f t="shared" si="65"/>
        <v>0</v>
      </c>
    </row>
    <row r="37" spans="1:77">
      <c r="A37" s="2553">
        <v>2</v>
      </c>
      <c r="B37" s="2583">
        <v>20201</v>
      </c>
      <c r="C37" s="2555">
        <v>0.03</v>
      </c>
      <c r="D37" s="2584" t="s">
        <v>425</v>
      </c>
      <c r="E37" s="2679">
        <f>+'11.3. ДА Базова година'!F42</f>
        <v>12.565055923473434</v>
      </c>
      <c r="F37" s="2655">
        <f>$E37-SUMIF('11.2. ДА за периода'!$B$61:$B$108,$B37,'11.2. ДА за периода'!$E$61:$E$108)+SUMIF('11.2. ДА за периода'!$B$61:$B$108,$B37,'11.2. ДА за периода'!F$61:F$108)+SUMIF('11.1.Амортиз.нови активи'!$B$61:$B$108,$B37,'11.1.Амортиз.нови активи'!F$61:F$108)+('11.1.Амортиз.нови активи'!F$110*SUMIF('11.1.Амортиз.нови активи'!$B$61:$B$108,$B37,'11.1.Амортиз.нови активи'!AO$61:AO$108))</f>
        <v>12.684133892445999</v>
      </c>
      <c r="G37" s="1136">
        <f>$E37-SUMIF('11.2. ДА за периода'!$B$61:$B$108,$B37,'11.2. ДА за периода'!$E$61:$E$108)+SUMIF('11.2. ДА за периода'!$B$61:$B$108,$B37,'11.2. ДА за периода'!G$61:G$108)+SUMIF('11.1.Амортиз.нови активи'!$B$61:$B$108,$B37,'11.1.Амортиз.нови активи'!G$61:G$108)+('11.1.Амортиз.нови активи'!G$110*SUMIF('11.1.Амортиз.нови активи'!$B$61:$B$108,$B37,'11.1.Амортиз.нови активи'!AP$61:AP$108))</f>
        <v>12.814715643848837</v>
      </c>
      <c r="H37" s="1136">
        <f>$E37-SUMIF('11.2. ДА за периода'!$B$61:$B$108,$B37,'11.2. ДА за периода'!$E$61:$E$108)+SUMIF('11.2. ДА за периода'!$B$61:$B$108,$B37,'11.2. ДА за периода'!H$61:H$108)+SUMIF('11.1.Амортиз.нови активи'!$B$61:$B$108,$B37,'11.1.Амортиз.нови активи'!H$61:H$108)+('11.1.Амортиз.нови активи'!H$110*SUMIF('11.1.Амортиз.нови активи'!$B$61:$B$108,$B37,'11.1.Амортиз.нови активи'!AQ$61:AQ$108))</f>
        <v>12.926745389979946</v>
      </c>
      <c r="I37" s="1136">
        <f>$E37-SUMIF('11.2. ДА за периода'!$B$61:$B$108,$B37,'11.2. ДА за периода'!$E$61:$E$108)+SUMIF('11.2. ДА за периода'!$B$61:$B$108,$B37,'11.2. ДА за периода'!I$61:I$108)+SUMIF('11.1.Амортиз.нови активи'!$B$61:$B$108,$B37,'11.1.Амортиз.нови активи'!I$61:I$108)+('11.1.Амортиз.нови активи'!I$110*SUMIF('11.1.Амортиз.нови активи'!$B$61:$B$108,$B37,'11.1.Амортиз.нови активи'!AR$61:AR$108))</f>
        <v>13.037965533297653</v>
      </c>
      <c r="J37" s="1136">
        <f>$E37-SUMIF('11.2. ДА за периода'!$B$61:$B$108,$B37,'11.2. ДА за периода'!$E$61:$E$108)+SUMIF('11.2. ДА за периода'!$B$61:$B$108,$B37,'11.2. ДА за периода'!J$61:J$108)+SUMIF('11.1.Амортиз.нови активи'!$B$61:$B$108,$B37,'11.1.Амортиз.нови активи'!J$61:J$108)+('11.1.Амортиз.нови активи'!J$110*SUMIF('11.1.Амортиз.нови активи'!$B$61:$B$108,$B37,'11.1.Амортиз.нови активи'!AS$61:AS$108))</f>
        <v>13.149109053688916</v>
      </c>
      <c r="K37" s="2656">
        <f>$E37-SUMIF('11.2. ДА за периода'!$B$61:$B$108,$B37,'11.2. ДА за периода'!$E$61:$E$108)+SUMIF('11.2. ДА за периода'!$B$61:$B$108,$B37,'11.2. ДА за периода'!K$61:K$108)+SUMIF('11.1.Амортиз.нови активи'!$B$61:$B$108,$B37,'11.1.Амортиз.нови активи'!K$61:K$108)+('11.1.Амортиз.нови активи'!K$110*SUMIF('11.1.Амортиз.нови активи'!$B$61:$B$108,$B37,'11.1.Амортиз.нови активи'!AT$61:AT$108))</f>
        <v>13.260016111835476</v>
      </c>
      <c r="L37" s="2679">
        <f>+'11.3. ДА Базова година'!J42</f>
        <v>7.4401575920858365</v>
      </c>
      <c r="M37" s="2655">
        <f>$L37-SUMIF('11.2. ДА за периода'!$B$61:$B$108,$B37,'11.2. ДА за периода'!$L$61:$L$108)+SUMIF('11.2. ДА за периода'!$B$61:$B$108,$B37,'11.2. ДА за периода'!M$61:M$108)+SUMIF('11.1.Амортиз.нови активи'!$B$61:$B$108,$B37,'11.1.Амортиз.нови активи'!M$61:M$108)+('11.1.Амортиз.нови активи'!F$111*SUMIF('11.1.Амортиз.нови активи'!$B$61:$B$108,$B37,'11.1.Амортиз.нови активи'!AO$61:AO$108))</f>
        <v>7.4505774681659362</v>
      </c>
      <c r="N37" s="1136">
        <f>$L37-SUMIF('11.2. ДА за периода'!$B$61:$B$108,$B37,'11.2. ДА за периода'!$L$61:$L$108)+SUMIF('11.2. ДА за периода'!$B$61:$B$108,$B37,'11.2. ДА за периода'!N$61:N$108)+SUMIF('11.1.Амортиз.нови активи'!$B$61:$B$108,$B37,'11.1.Амортиз.нови активи'!N$61:N$108)+('11.1.Амортиз.нови активи'!G$111*SUMIF('11.1.Амортиз.нови активи'!$B$61:$B$108,$B37,'11.1.Амортиз.нови активи'!AP$61:AP$108))</f>
        <v>7.4519304523208012</v>
      </c>
      <c r="O37" s="1136">
        <f>$L37-SUMIF('11.2. ДА за периода'!$B$61:$B$108,$B37,'11.2. ДА за периода'!$L$61:$L$108)+SUMIF('11.2. ДА за периода'!$B$61:$B$108,$B37,'11.2. ДА за периода'!O$61:O$108)+SUMIF('11.1.Амортиз.нови активи'!$B$61:$B$108,$B37,'11.1.Амортиз.нови активи'!O$61:O$108)+('11.1.Амортиз.нови активи'!H$111*SUMIF('11.1.Амортиз.нови активи'!$B$61:$B$108,$B37,'11.1.Амортиз.нови активи'!AQ$61:AQ$108))</f>
        <v>7.4538346163162554</v>
      </c>
      <c r="P37" s="1136">
        <f>$L37-SUMIF('11.2. ДА за периода'!$B$61:$B$108,$B37,'11.2. ДА за периода'!$L$61:$L$108)+SUMIF('11.2. ДА за периода'!$B$61:$B$108,$B37,'11.2. ДА за периода'!P$61:P$108)+SUMIF('11.1.Амортиз.нови активи'!$B$61:$B$108,$B37,'11.1.Амортиз.нови активи'!P$61:P$108)+('11.1.Амортиз.нови активи'!I$111*SUMIF('11.1.Амортиз.нови активи'!$B$61:$B$108,$B37,'11.1.Амортиз.нови активи'!AR$61:AR$108))</f>
        <v>7.4558604637039467</v>
      </c>
      <c r="Q37" s="1136">
        <f>$L37-SUMIF('11.2. ДА за периода'!$B$61:$B$108,$B37,'11.2. ДА за периода'!$L$61:$L$108)+SUMIF('11.2. ДА за периода'!$B$61:$B$108,$B37,'11.2. ДА за периода'!Q$61:Q$108)+SUMIF('11.1.Амортиз.нови активи'!$B$61:$B$108,$B37,'11.1.Амортиз.нови активи'!Q$61:Q$108)+('11.1.Амортиз.нови активи'!J$111*SUMIF('11.1.Амортиз.нови активи'!$B$61:$B$108,$B37,'11.1.Амортиз.нови активи'!AS$61:AS$108))</f>
        <v>7.4578680319854751</v>
      </c>
      <c r="R37" s="2656">
        <f>$L37-SUMIF('11.2. ДА за периода'!$B$61:$B$108,$B37,'11.2. ДА за периода'!$L$61:$L$108)+SUMIF('11.2. ДА за периода'!$B$61:$B$108,$B37,'11.2. ДА за периода'!R$61:R$108)+SUMIF('11.1.Амортиз.нови активи'!$B$61:$B$108,$B37,'11.1.Амортиз.нови активи'!R$61:R$108)+('11.1.Амортиз.нови активи'!K$111*SUMIF('11.1.Амортиз.нови активи'!$B$61:$B$108,$B37,'11.1.Амортиз.нови активи'!AT$61:AT$108))</f>
        <v>7.4599177110478312</v>
      </c>
      <c r="S37" s="2679">
        <f>+'11.3. ДА Базова година'!N42</f>
        <v>8.859899164287663</v>
      </c>
      <c r="T37" s="2655">
        <f>$S37-SUMIF('11.2. ДА за периода'!$B$61:$B$108,$B37,'11.2. ДА за периода'!$S$61:$S$108)+SUMIF('11.2. ДА за периода'!$B$61:$B$108,$B37,'11.2. ДА за периода'!T$61:T$108)+SUMIF('11.1.Амортиз.нови активи'!$B$61:$B$108,$B37,'11.1.Амортиз.нови активи'!T$61:T$108)+('11.1.Амортиз.нови активи'!F$112*SUMIF('11.1.Амортиз.нови активи'!$B$61:$B$108,$B37,'11.1.Амортиз.нови активи'!AO$61:AO$108))</f>
        <v>8.8726026692350004</v>
      </c>
      <c r="U37" s="1136">
        <f>$S37-SUMIF('11.2. ДА за периода'!$B$61:$B$108,$B37,'11.2. ДА за периода'!$S$61:$S$108)+SUMIF('11.2. ДА за периода'!$B$61:$B$108,$B37,'11.2. ДА за периода'!U$61:U$108)+SUMIF('11.1.Амортиз.нови активи'!$B$61:$B$108,$B37,'11.1.Амортиз.нови активи'!U$61:U$108)+('11.1.Амортиз.нови активи'!G$112*SUMIF('11.1.Амортиз.нови активи'!$B$61:$B$108,$B37,'11.1.Амортиз.нови активи'!AP$61:AP$108))</f>
        <v>8.8756679336772972</v>
      </c>
      <c r="V37" s="1136">
        <f>$S37-SUMIF('11.2. ДА за периода'!$B$61:$B$108,$B37,'11.2. ДА за периода'!$S$61:$S$108)+SUMIF('11.2. ДА за периода'!$B$61:$B$108,$B37,'11.2. ДА за периода'!V$61:V$108)+SUMIF('11.1.Амортиз.нови активи'!$B$61:$B$108,$B37,'11.1.Амортиз.нови активи'!V$61:V$108)+('11.1.Амортиз.нови активи'!H$112*SUMIF('11.1.Амортиз.нови активи'!$B$61:$B$108,$B37,'11.1.Амортиз.нови активи'!AQ$61:AQ$108))</f>
        <v>8.8817340235507345</v>
      </c>
      <c r="W37" s="1136">
        <f>$S37-SUMIF('11.2. ДА за периода'!$B$61:$B$108,$B37,'11.2. ДА за периода'!$S$61:$S$108)+SUMIF('11.2. ДА за периода'!$B$61:$B$108,$B37,'11.2. ДА за периода'!W$61:W$108)+SUMIF('11.1.Амортиз.нови активи'!$B$61:$B$108,$B37,'11.1.Амортиз.нови активи'!W$61:W$108)+('11.1.Амортиз.нови активи'!I$112*SUMIF('11.1.Амортиз.нови активи'!$B$61:$B$108,$B37,'11.1.Амортиз.нови активи'!AR$61:AR$108))</f>
        <v>8.888488032845336</v>
      </c>
      <c r="X37" s="1136">
        <f>$S37-SUMIF('11.2. ДА за периода'!$B$61:$B$108,$B37,'11.2. ДА за периода'!$S$61:$S$108)+SUMIF('11.2. ДА за периода'!$B$61:$B$108,$B37,'11.2. ДА за периода'!X$61:X$108)+SUMIF('11.1.Амортиз.нови активи'!$B$61:$B$108,$B37,'11.1.Амортиз.нови активи'!X$61:X$108)+('11.1.Амортиз.нови активи'!J$112*SUMIF('11.1.Амортиз.нови активи'!$B$61:$B$108,$B37,'11.1.Амортиз.нови активи'!AS$61:AS$108))</f>
        <v>8.8953369441725449</v>
      </c>
      <c r="Y37" s="2656">
        <f>$S37-SUMIF('11.2. ДА за периода'!$B$61:$B$108,$B37,'11.2. ДА за периода'!$S$61:$S$108)+SUMIF('11.2. ДА за периода'!$B$61:$B$108,$B37,'11.2. ДА за периода'!Y$61:Y$108)+SUMIF('11.1.Амортиз.нови активи'!$B$61:$B$108,$B37,'11.1.Амортиз.нови активи'!Y$61:Y$108)+('11.1.Амортиз.нови активи'!K$112*SUMIF('11.1.Амортиз.нови активи'!$B$61:$B$108,$B37,'11.1.Амортиз.нови активи'!AT$61:AT$108))</f>
        <v>8.9023802069636293</v>
      </c>
      <c r="Z37" s="2679">
        <f>+'11.3. ДА Базова година'!R42</f>
        <v>0</v>
      </c>
      <c r="AA37" s="2655">
        <f>$Z37-SUMIF('11.2. ДА за периода'!$B$61:$B$108,$B37,'11.2. ДА за периода'!$Z$61:$Z$108)+SUMIF('11.2. ДА за периода'!$B$61:$B$108,$B37,'11.2. ДА за периода'!AA$61:AA$108)+SUMIF('11.1.Амортиз.нови активи'!$B$61:$B$108,$B37,'11.1.Амортиз.нови активи'!AA$61:AA$108)</f>
        <v>0</v>
      </c>
      <c r="AB37" s="1136">
        <f>$Z37-SUMIF('11.2. ДА за периода'!$B$61:$B$108,$B37,'11.2. ДА за периода'!$Z$61:$Z$108)+SUMIF('11.2. ДА за периода'!$B$61:$B$108,$B37,'11.2. ДА за периода'!AB$61:AB$108)+SUMIF('11.1.Амортиз.нови активи'!$B$61:$B$108,$B37,'11.1.Амортиз.нови активи'!AB$61:AB$108)</f>
        <v>0</v>
      </c>
      <c r="AC37" s="1136">
        <f>$Z37-SUMIF('11.2. ДА за периода'!$B$61:$B$108,$B37,'11.2. ДА за периода'!$Z$61:$Z$108)+SUMIF('11.2. ДА за периода'!$B$61:$B$108,$B37,'11.2. ДА за периода'!AC$61:AC$108)+SUMIF('11.1.Амортиз.нови активи'!$B$61:$B$108,$B37,'11.1.Амортиз.нови активи'!AC$61:AC$108)</f>
        <v>0</v>
      </c>
      <c r="AD37" s="1136">
        <f>$Z37-SUMIF('11.2. ДА за периода'!$B$61:$B$108,$B37,'11.2. ДА за периода'!$Z$61:$Z$108)+SUMIF('11.2. ДА за периода'!$B$61:$B$108,$B37,'11.2. ДА за периода'!AD$61:AD$108)+SUMIF('11.1.Амортиз.нови активи'!$B$61:$B$108,$B37,'11.1.Амортиз.нови активи'!AD$61:AD$108)</f>
        <v>0</v>
      </c>
      <c r="AE37" s="1136">
        <f>$Z37-SUMIF('11.2. ДА за периода'!$B$61:$B$108,$B37,'11.2. ДА за периода'!$Z$61:$Z$108)+SUMIF('11.2. ДА за периода'!$B$61:$B$108,$B37,'11.2. ДА за периода'!AE$61:AE$108)+SUMIF('11.1.Амортиз.нови активи'!$B$61:$B$108,$B37,'11.1.Амортиз.нови активи'!AE$61:AE$108)</f>
        <v>0</v>
      </c>
      <c r="AF37" s="2656">
        <f>$Z37-SUMIF('11.2. ДА за периода'!$B$61:$B$108,$B37,'11.2. ДА за периода'!$Z$61:$Z$108)+SUMIF('11.2. ДА за периода'!$B$61:$B$108,$B37,'11.2. ДА за периода'!AF$61:AF$108)+SUMIF('11.1.Амортиз.нови активи'!$B$61:$B$108,$B37,'11.1.Амортиз.нови активи'!AF$61:AF$108)</f>
        <v>0</v>
      </c>
      <c r="AG37" s="2679">
        <f>+'11.3. ДА Базова година'!V42</f>
        <v>0.42531445429636716</v>
      </c>
      <c r="AH37" s="2655">
        <f>$AG37-SUMIF('11.2. ДА за периода'!$B$61:$B$108,$B37,'11.2. ДА за периода'!$AG$61:$AG$108)+SUMIF('11.2. ДА за периода'!$B$61:$B$108,$B37,'11.2. ДА за периода'!AH$61:AH$108)+SUMIF('11.1.Амортиз.нови активи'!$B$61:$B$108,$B37,'11.1.Амортиз.нови активи'!AH$61:AH$108)+('11.1.Амортиз.нови активи'!T$112*SUMIF('11.1.Амортиз.нови активи'!$B$61:$B$108,$B37,'11.1.Амортиз.нови активи'!BB$61:BB$108))</f>
        <v>0.42531445429636716</v>
      </c>
      <c r="AI37" s="1136">
        <f>$AG37-SUMIF('11.2. ДА за периода'!$B$61:$B$108,$B37,'11.2. ДА за периода'!$AG$61:$AG$108)+SUMIF('11.2. ДА за периода'!$B$61:$B$108,$B37,'11.2. ДА за периода'!AI$61:AI$108)+SUMIF('11.1.Амортиз.нови активи'!$B$61:$B$108,$B37,'11.1.Амортиз.нови активи'!AI$61:AI$108)+('11.1.Амортиз.нови активи'!U$112*SUMIF('11.1.Амортиз.нови активи'!$B$61:$B$108,$B37,'11.1.Амортиз.нови активи'!BC$61:BC$108))</f>
        <v>0.42531445429636716</v>
      </c>
      <c r="AJ37" s="1136">
        <f>$AG37-SUMIF('11.2. ДА за периода'!$B$61:$B$108,$B37,'11.2. ДА за периода'!$AG$61:$AG$108)+SUMIF('11.2. ДА за периода'!$B$61:$B$108,$B37,'11.2. ДА за периода'!AJ$61:AJ$108)+SUMIF('11.1.Амортиз.нови активи'!$B$61:$B$108,$B37,'11.1.Амортиз.нови активи'!AJ$61:AJ$108)+('11.1.Амортиз.нови активи'!V$112*SUMIF('11.1.Амортиз.нови активи'!$B$61:$B$108,$B37,'11.1.Амортиз.нови активи'!BD$61:BD$108))</f>
        <v>0.42531445429636716</v>
      </c>
      <c r="AK37" s="1136">
        <f>$AG37-SUMIF('11.2. ДА за периода'!$B$61:$B$108,$B37,'11.2. ДА за периода'!$AG$61:$AG$108)+SUMIF('11.2. ДА за периода'!$B$61:$B$108,$B37,'11.2. ДА за периода'!AK$61:AK$108)+SUMIF('11.1.Амортиз.нови активи'!$B$61:$B$108,$B37,'11.1.Амортиз.нови активи'!AK$61:AK$108)+('11.1.Амортиз.нови активи'!W$112*SUMIF('11.1.Амортиз.нови активи'!$B$61:$B$108,$B37,'11.1.Амортиз.нови активи'!BE$61:BE$108))</f>
        <v>0.42531445429636716</v>
      </c>
      <c r="AL37" s="1136">
        <f>$AG37-SUMIF('11.2. ДА за периода'!$B$61:$B$108,$B37,'11.2. ДА за периода'!$AG$61:$AG$108)+SUMIF('11.2. ДА за периода'!$B$61:$B$108,$B37,'11.2. ДА за периода'!AL$61:AL$108)+SUMIF('11.1.Амортиз.нови активи'!$B$61:$B$108,$B37,'11.1.Амортиз.нови активи'!AL$61:AL$108)+('11.1.Амортиз.нови активи'!X$112*SUMIF('11.1.Амортиз.нови активи'!$B$61:$B$108,$B37,'11.1.Амортиз.нови активи'!BF$61:BF$108))</f>
        <v>0.42531445429636716</v>
      </c>
      <c r="AM37" s="2656">
        <f>$AG37-SUMIF('11.2. ДА за периода'!$B$61:$B$108,$B37,'11.2. ДА за периода'!$AG$61:$AG$108)+SUMIF('11.2. ДА за периода'!$B$61:$B$108,$B37,'11.2. ДА за периода'!AM$61:AM$108)+SUMIF('11.1.Амортиз.нови активи'!$B$61:$B$108,$B37,'11.1.Амортиз.нови активи'!AM$61:AM$108)+('11.1.Амортиз.нови активи'!Y$112*SUMIF('11.1.Амортиз.нови активи'!$B$61:$B$108,$B37,'11.1.Амортиз.нови активи'!BG$61:BG$108))</f>
        <v>0.42531445429636716</v>
      </c>
      <c r="AN37" s="2581"/>
      <c r="AO37" s="2557"/>
      <c r="AP37" s="4488"/>
      <c r="AQ37" s="4504">
        <f t="shared" si="31"/>
        <v>6.4244110804484205</v>
      </c>
      <c r="AR37" s="4504">
        <f t="shared" si="32"/>
        <v>6.4852946792134283</v>
      </c>
      <c r="AS37" s="4504">
        <f t="shared" si="33"/>
        <v>6.5520600685380819</v>
      </c>
      <c r="AT37" s="4504">
        <f t="shared" si="34"/>
        <v>6.6093399681873919</v>
      </c>
      <c r="AU37" s="4504">
        <f t="shared" si="35"/>
        <v>6.6662059244912149</v>
      </c>
      <c r="AV37" s="4504">
        <f t="shared" si="36"/>
        <v>6.7230327041148339</v>
      </c>
      <c r="AW37" s="4504">
        <f t="shared" si="37"/>
        <v>6.7797385825125271</v>
      </c>
      <c r="AX37" s="4504">
        <f t="shared" si="38"/>
        <v>3.8040921716538945</v>
      </c>
      <c r="AY37" s="4504">
        <f t="shared" si="39"/>
        <v>3.8094197696967202</v>
      </c>
      <c r="AZ37" s="4504">
        <f t="shared" si="40"/>
        <v>3.8101115395104896</v>
      </c>
      <c r="BA37" s="4504">
        <f t="shared" si="41"/>
        <v>3.8110851231018317</v>
      </c>
      <c r="BB37" s="4504">
        <f t="shared" si="42"/>
        <v>3.8121209224237007</v>
      </c>
      <c r="BC37" s="4504">
        <f t="shared" si="43"/>
        <v>3.8131473757869934</v>
      </c>
      <c r="BD37" s="4504">
        <f t="shared" si="44"/>
        <v>3.814195360050634</v>
      </c>
      <c r="BE37" s="4504">
        <f t="shared" si="45"/>
        <v>4.5299945109174438</v>
      </c>
      <c r="BF37" s="4504">
        <f t="shared" si="46"/>
        <v>4.5364897098597528</v>
      </c>
      <c r="BG37" s="4504">
        <f t="shared" si="47"/>
        <v>4.5380569546828191</v>
      </c>
      <c r="BH37" s="4504">
        <f t="shared" si="48"/>
        <v>4.5411584971857142</v>
      </c>
      <c r="BI37" s="4504">
        <f t="shared" si="49"/>
        <v>4.5446117673035671</v>
      </c>
      <c r="BJ37" s="4504">
        <f t="shared" si="50"/>
        <v>4.5481135600602025</v>
      </c>
      <c r="BK37" s="4504">
        <f t="shared" si="51"/>
        <v>4.5517147231424149</v>
      </c>
      <c r="BL37" s="4504">
        <f t="shared" si="52"/>
        <v>0</v>
      </c>
      <c r="BM37" s="4504">
        <f t="shared" si="53"/>
        <v>0</v>
      </c>
      <c r="BN37" s="4504">
        <f t="shared" si="54"/>
        <v>0</v>
      </c>
      <c r="BO37" s="4504">
        <f t="shared" si="55"/>
        <v>0</v>
      </c>
      <c r="BP37" s="4504">
        <f t="shared" si="56"/>
        <v>0</v>
      </c>
      <c r="BQ37" s="4504">
        <f t="shared" si="57"/>
        <v>0</v>
      </c>
      <c r="BR37" s="4504">
        <f t="shared" si="58"/>
        <v>0</v>
      </c>
      <c r="BS37" s="4504">
        <f t="shared" si="59"/>
        <v>0.21745982743713266</v>
      </c>
      <c r="BT37" s="4504">
        <f t="shared" si="60"/>
        <v>0.21745982743713266</v>
      </c>
      <c r="BU37" s="4504">
        <f t="shared" si="61"/>
        <v>0.21745982743713266</v>
      </c>
      <c r="BV37" s="4504">
        <f t="shared" si="62"/>
        <v>0.21745982743713266</v>
      </c>
      <c r="BW37" s="4504">
        <f t="shared" si="63"/>
        <v>0.21745982743713266</v>
      </c>
      <c r="BX37" s="4504">
        <f t="shared" si="64"/>
        <v>0.21745982743713266</v>
      </c>
      <c r="BY37" s="4504">
        <f t="shared" si="65"/>
        <v>0.21745982743713266</v>
      </c>
    </row>
    <row r="38" spans="1:77" ht="24">
      <c r="A38" s="2553">
        <v>3</v>
      </c>
      <c r="B38" s="2583">
        <v>203</v>
      </c>
      <c r="C38" s="2549"/>
      <c r="D38" s="2585" t="s">
        <v>405</v>
      </c>
      <c r="E38" s="4125">
        <f>SUM(E39:E42)</f>
        <v>42.4581115825316</v>
      </c>
      <c r="F38" s="2645">
        <f t="shared" ref="F38:Y38" si="77">SUM(F39:F42)</f>
        <v>80.765924698329357</v>
      </c>
      <c r="G38" s="2646">
        <f t="shared" si="77"/>
        <v>84.670942029986577</v>
      </c>
      <c r="H38" s="2646">
        <f t="shared" si="77"/>
        <v>84.759351948480429</v>
      </c>
      <c r="I38" s="2646">
        <f t="shared" si="77"/>
        <v>84.893423373414919</v>
      </c>
      <c r="J38" s="2646">
        <f t="shared" si="77"/>
        <v>85.054219116739063</v>
      </c>
      <c r="K38" s="2646">
        <f t="shared" si="77"/>
        <v>85.226012341683486</v>
      </c>
      <c r="L38" s="4125">
        <f>SUM(L39:L42)</f>
        <v>2.3435567917468947</v>
      </c>
      <c r="M38" s="2645">
        <f t="shared" si="77"/>
        <v>2.7380088139387668</v>
      </c>
      <c r="N38" s="2646">
        <f t="shared" si="77"/>
        <v>2.7798819692142054</v>
      </c>
      <c r="O38" s="2646">
        <f t="shared" si="77"/>
        <v>2.7992397066769708</v>
      </c>
      <c r="P38" s="2646">
        <f t="shared" si="77"/>
        <v>2.8103554555378865</v>
      </c>
      <c r="Q38" s="2646">
        <f t="shared" si="77"/>
        <v>2.8165439608126954</v>
      </c>
      <c r="R38" s="2646">
        <f t="shared" si="77"/>
        <v>2.8210498744156514</v>
      </c>
      <c r="S38" s="4125">
        <f>SUM(S39:S42)</f>
        <v>1.2419855377000801</v>
      </c>
      <c r="T38" s="2658">
        <f t="shared" si="77"/>
        <v>1.5917439319260667</v>
      </c>
      <c r="U38" s="2646">
        <f t="shared" si="77"/>
        <v>1.6948534449934036</v>
      </c>
      <c r="V38" s="2646">
        <f t="shared" si="77"/>
        <v>1.7870857890367864</v>
      </c>
      <c r="W38" s="2646">
        <f t="shared" si="77"/>
        <v>1.8418986152413677</v>
      </c>
      <c r="X38" s="2646">
        <f t="shared" si="77"/>
        <v>1.8749143666424151</v>
      </c>
      <c r="Y38" s="2647">
        <f t="shared" si="77"/>
        <v>1.8986152280950388</v>
      </c>
      <c r="Z38" s="4125">
        <f>SUM(Z39:Z42)</f>
        <v>0</v>
      </c>
      <c r="AA38" s="2658">
        <f t="shared" ref="AA38:AF38" si="78">SUM(AA39:AA42)</f>
        <v>0</v>
      </c>
      <c r="AB38" s="2646">
        <f t="shared" si="78"/>
        <v>0</v>
      </c>
      <c r="AC38" s="2646">
        <f t="shared" si="78"/>
        <v>0</v>
      </c>
      <c r="AD38" s="2646">
        <f t="shared" si="78"/>
        <v>0</v>
      </c>
      <c r="AE38" s="2646">
        <f t="shared" si="78"/>
        <v>0</v>
      </c>
      <c r="AF38" s="2647">
        <f t="shared" si="78"/>
        <v>0</v>
      </c>
      <c r="AG38" s="4125">
        <f>SUM(AG39:AG42)</f>
        <v>10.100790430620481</v>
      </c>
      <c r="AH38" s="2658">
        <f t="shared" ref="AH38:AM38" si="79">SUM(AH39:AH42)</f>
        <v>19.602862111240668</v>
      </c>
      <c r="AI38" s="2646">
        <f t="shared" si="79"/>
        <v>20.152862111240665</v>
      </c>
      <c r="AJ38" s="2646">
        <f t="shared" si="79"/>
        <v>20.552862111240668</v>
      </c>
      <c r="AK38" s="2646">
        <f t="shared" si="79"/>
        <v>20.952862111240666</v>
      </c>
      <c r="AL38" s="2646">
        <f t="shared" si="79"/>
        <v>21.352862111240665</v>
      </c>
      <c r="AM38" s="2647">
        <f t="shared" si="79"/>
        <v>21.752862111240667</v>
      </c>
      <c r="AN38" s="2586"/>
      <c r="AO38" s="2587"/>
      <c r="AP38" s="4488"/>
      <c r="AQ38" s="4504">
        <f t="shared" si="31"/>
        <v>21.708487743071537</v>
      </c>
      <c r="AR38" s="4504">
        <f t="shared" si="32"/>
        <v>41.29496157556094</v>
      </c>
      <c r="AS38" s="4504">
        <f t="shared" si="33"/>
        <v>43.291565233167802</v>
      </c>
      <c r="AT38" s="4504">
        <f t="shared" si="34"/>
        <v>43.336768506710925</v>
      </c>
      <c r="AU38" s="4504">
        <f t="shared" si="35"/>
        <v>43.405318137780341</v>
      </c>
      <c r="AV38" s="4504">
        <f t="shared" si="36"/>
        <v>43.487531695872882</v>
      </c>
      <c r="AW38" s="4504">
        <f t="shared" si="37"/>
        <v>43.575368177031486</v>
      </c>
      <c r="AX38" s="4504">
        <f t="shared" si="38"/>
        <v>1.1982415607424441</v>
      </c>
      <c r="AY38" s="4504">
        <f t="shared" si="39"/>
        <v>1.3999216772105791</v>
      </c>
      <c r="AZ38" s="4504">
        <f t="shared" si="40"/>
        <v>1.4213310815429794</v>
      </c>
      <c r="BA38" s="4504">
        <f t="shared" si="41"/>
        <v>1.4312285355460193</v>
      </c>
      <c r="BB38" s="4504">
        <f t="shared" si="42"/>
        <v>1.4369119276920215</v>
      </c>
      <c r="BC38" s="4504">
        <f t="shared" si="43"/>
        <v>1.4400760601957714</v>
      </c>
      <c r="BD38" s="4504">
        <f t="shared" si="44"/>
        <v>1.4423798972383344</v>
      </c>
      <c r="BE38" s="4504">
        <f t="shared" si="45"/>
        <v>0.63501712198917093</v>
      </c>
      <c r="BF38" s="4504">
        <f t="shared" si="46"/>
        <v>0.81384574933714415</v>
      </c>
      <c r="BG38" s="4504">
        <f t="shared" si="47"/>
        <v>0.86656480624256893</v>
      </c>
      <c r="BH38" s="4504">
        <f t="shared" si="48"/>
        <v>0.91372245493564697</v>
      </c>
      <c r="BI38" s="4504">
        <f t="shared" si="49"/>
        <v>0.94174780795946877</v>
      </c>
      <c r="BJ38" s="4504">
        <f t="shared" si="50"/>
        <v>0.95862849360241698</v>
      </c>
      <c r="BK38" s="4504">
        <f t="shared" si="51"/>
        <v>0.97074655164049983</v>
      </c>
      <c r="BL38" s="4504">
        <f t="shared" si="52"/>
        <v>0</v>
      </c>
      <c r="BM38" s="4504">
        <f t="shared" si="53"/>
        <v>0</v>
      </c>
      <c r="BN38" s="4504">
        <f t="shared" si="54"/>
        <v>0</v>
      </c>
      <c r="BO38" s="4504">
        <f t="shared" si="55"/>
        <v>0</v>
      </c>
      <c r="BP38" s="4504">
        <f t="shared" si="56"/>
        <v>0</v>
      </c>
      <c r="BQ38" s="4504">
        <f t="shared" si="57"/>
        <v>0</v>
      </c>
      <c r="BR38" s="4504">
        <f t="shared" si="58"/>
        <v>0</v>
      </c>
      <c r="BS38" s="4504">
        <f t="shared" si="59"/>
        <v>5.1644521408407078</v>
      </c>
      <c r="BT38" s="4504">
        <f t="shared" si="60"/>
        <v>10.022784245686317</v>
      </c>
      <c r="BU38" s="4504">
        <f t="shared" si="61"/>
        <v>10.303994780344235</v>
      </c>
      <c r="BV38" s="4504">
        <f t="shared" si="62"/>
        <v>10.508511532822723</v>
      </c>
      <c r="BW38" s="4504">
        <f t="shared" si="63"/>
        <v>10.71302828530121</v>
      </c>
      <c r="BX38" s="4504">
        <f t="shared" si="64"/>
        <v>10.917545037779696</v>
      </c>
      <c r="BY38" s="4504">
        <f t="shared" si="65"/>
        <v>11.122061790258186</v>
      </c>
    </row>
    <row r="39" spans="1:77">
      <c r="A39" s="2553"/>
      <c r="B39" s="2554">
        <v>20301</v>
      </c>
      <c r="C39" s="2560">
        <v>0.1</v>
      </c>
      <c r="D39" s="2588" t="s">
        <v>427</v>
      </c>
      <c r="E39" s="2679">
        <f>+'11.3. ДА Базова година'!F44</f>
        <v>14.75882450426149</v>
      </c>
      <c r="F39" s="2655">
        <f>$E39-SUMIF('11.2. ДА за периода'!$B$61:$B$108,$B39,'11.2. ДА за периода'!$E$61:$E$108)+SUMIF('11.2. ДА за периода'!$B$61:$B$108,$B39,'11.2. ДА за периода'!F$61:F$108)+SUMIF('11.1.Амортиз.нови активи'!$B$61:$B$108,$B39,'11.1.Амортиз.нови активи'!F$61:F$108)+('11.1.Амортиз.нови активи'!F$110*SUMIF('11.1.Амортиз.нови активи'!$B$61:$B$108,$B39,'11.1.Амортиз.нови активи'!AO$61:AO$108))</f>
        <v>16.099316004261489</v>
      </c>
      <c r="G39" s="1136">
        <f>$E39-SUMIF('11.2. ДА за периода'!$B$61:$B$108,$B39,'11.2. ДА за периода'!$E$61:$E$108)+SUMIF('11.2. ДА за периода'!$B$61:$B$108,$B39,'11.2. ДА за периода'!G$61:G$108)+SUMIF('11.1.Амортиз.нови активи'!$B$61:$B$108,$B39,'11.1.Амортиз.нови активи'!G$61:G$108)+('11.1.Амортиз.нови активи'!G$110*SUMIF('11.1.Амортиз.нови активи'!$B$61:$B$108,$B39,'11.1.Амортиз.нови активи'!AP$61:AP$108))</f>
        <v>16.099316004261489</v>
      </c>
      <c r="H39" s="1136">
        <f>$E39-SUMIF('11.2. ДА за периода'!$B$61:$B$108,$B39,'11.2. ДА за периода'!$E$61:$E$108)+SUMIF('11.2. ДА за периода'!$B$61:$B$108,$B39,'11.2. ДА за периода'!H$61:H$108)+SUMIF('11.1.Амортиз.нови активи'!$B$61:$B$108,$B39,'11.1.Амортиз.нови активи'!H$61:H$108)+('11.1.Амортиз.нови активи'!H$110*SUMIF('11.1.Амортиз.нови активи'!$B$61:$B$108,$B39,'11.1.Амортиз.нови активи'!AQ$61:AQ$108))</f>
        <v>16.099316004261489</v>
      </c>
      <c r="I39" s="1136">
        <f>$E39-SUMIF('11.2. ДА за периода'!$B$61:$B$108,$B39,'11.2. ДА за периода'!$E$61:$E$108)+SUMIF('11.2. ДА за периода'!$B$61:$B$108,$B39,'11.2. ДА за периода'!I$61:I$108)+SUMIF('11.1.Амортиз.нови активи'!$B$61:$B$108,$B39,'11.1.Амортиз.нови активи'!I$61:I$108)+('11.1.Амортиз.нови активи'!I$110*SUMIF('11.1.Амортиз.нови активи'!$B$61:$B$108,$B39,'11.1.Амортиз.нови активи'!AR$61:AR$108))</f>
        <v>16.099316004261489</v>
      </c>
      <c r="J39" s="1136">
        <f>$E39-SUMIF('11.2. ДА за периода'!$B$61:$B$108,$B39,'11.2. ДА за периода'!$E$61:$E$108)+SUMIF('11.2. ДА за периода'!$B$61:$B$108,$B39,'11.2. ДА за периода'!J$61:J$108)+SUMIF('11.1.Амортиз.нови активи'!$B$61:$B$108,$B39,'11.1.Амортиз.нови активи'!J$61:J$108)+('11.1.Амортиз.нови активи'!J$110*SUMIF('11.1.Амортиз.нови активи'!$B$61:$B$108,$B39,'11.1.Амортиз.нови активи'!AS$61:AS$108))</f>
        <v>16.099316004261489</v>
      </c>
      <c r="K39" s="2656">
        <f>$E39-SUMIF('11.2. ДА за периода'!$B$61:$B$108,$B39,'11.2. ДА за периода'!$E$61:$E$108)+SUMIF('11.2. ДА за периода'!$B$61:$B$108,$B39,'11.2. ДА за периода'!K$61:K$108)+SUMIF('11.1.Амортиз.нови активи'!$B$61:$B$108,$B39,'11.1.Амортиз.нови активи'!K$61:K$108)+('11.1.Амортиз.нови активи'!K$110*SUMIF('11.1.Амортиз.нови активи'!$B$61:$B$108,$B39,'11.1.Амортиз.нови активи'!AT$61:AT$108))</f>
        <v>16.099316004261489</v>
      </c>
      <c r="L39" s="2679">
        <f>+'11.3. ДА Базова година'!J44</f>
        <v>0</v>
      </c>
      <c r="M39" s="2655">
        <f>$L39-SUMIF('11.2. ДА за периода'!$B$61:$B$108,$B39,'11.2. ДА за периода'!$L$61:$L$108)+SUMIF('11.2. ДА за периода'!$B$61:$B$108,$B39,'11.2. ДА за периода'!M$61:M$108)+SUMIF('11.1.Амортиз.нови активи'!$B$61:$B$108,$B39,'11.1.Амортиз.нови активи'!M$61:M$108)+('11.1.Амортиз.нови активи'!F$111*SUMIF('11.1.Амортиз.нови активи'!$B$61:$B$108,$B39,'11.1.Амортиз.нови активи'!AO$61:AO$108))</f>
        <v>0</v>
      </c>
      <c r="N39" s="1136">
        <f>$L39-SUMIF('11.2. ДА за периода'!$B$61:$B$108,$B39,'11.2. ДА за периода'!$L$61:$L$108)+SUMIF('11.2. ДА за периода'!$B$61:$B$108,$B39,'11.2. ДА за периода'!N$61:N$108)+SUMIF('11.1.Амортиз.нови активи'!$B$61:$B$108,$B39,'11.1.Амортиз.нови активи'!N$61:N$108)+('11.1.Амортиз.нови активи'!G$111*SUMIF('11.1.Амортиз.нови активи'!$B$61:$B$108,$B39,'11.1.Амортиз.нови активи'!AP$61:AP$108))</f>
        <v>0</v>
      </c>
      <c r="O39" s="1136">
        <f>$L39-SUMIF('11.2. ДА за периода'!$B$61:$B$108,$B39,'11.2. ДА за периода'!$L$61:$L$108)+SUMIF('11.2. ДА за периода'!$B$61:$B$108,$B39,'11.2. ДА за периода'!O$61:O$108)+SUMIF('11.1.Амортиз.нови активи'!$B$61:$B$108,$B39,'11.1.Амортиз.нови активи'!O$61:O$108)+('11.1.Амортиз.нови активи'!H$111*SUMIF('11.1.Амортиз.нови активи'!$B$61:$B$108,$B39,'11.1.Амортиз.нови активи'!AQ$61:AQ$108))</f>
        <v>0</v>
      </c>
      <c r="P39" s="1136">
        <f>$L39-SUMIF('11.2. ДА за периода'!$B$61:$B$108,$B39,'11.2. ДА за периода'!$L$61:$L$108)+SUMIF('11.2. ДА за периода'!$B$61:$B$108,$B39,'11.2. ДА за периода'!P$61:P$108)+SUMIF('11.1.Амортиз.нови активи'!$B$61:$B$108,$B39,'11.1.Амортиз.нови активи'!P$61:P$108)+('11.1.Амортиз.нови активи'!I$111*SUMIF('11.1.Амортиз.нови активи'!$B$61:$B$108,$B39,'11.1.Амортиз.нови активи'!AR$61:AR$108))</f>
        <v>0</v>
      </c>
      <c r="Q39" s="1136">
        <f>$L39-SUMIF('11.2. ДА за периода'!$B$61:$B$108,$B39,'11.2. ДА за периода'!$L$61:$L$108)+SUMIF('11.2. ДА за периода'!$B$61:$B$108,$B39,'11.2. ДА за периода'!Q$61:Q$108)+SUMIF('11.1.Амортиз.нови активи'!$B$61:$B$108,$B39,'11.1.Амортиз.нови активи'!Q$61:Q$108)+('11.1.Амортиз.нови активи'!J$111*SUMIF('11.1.Амортиз.нови активи'!$B$61:$B$108,$B39,'11.1.Амортиз.нови активи'!AS$61:AS$108))</f>
        <v>0</v>
      </c>
      <c r="R39" s="2656">
        <f>$L39-SUMIF('11.2. ДА за периода'!$B$61:$B$108,$B39,'11.2. ДА за периода'!$L$61:$L$108)+SUMIF('11.2. ДА за периода'!$B$61:$B$108,$B39,'11.2. ДА за периода'!R$61:R$108)+SUMIF('11.1.Амортиз.нови активи'!$B$61:$B$108,$B39,'11.1.Амортиз.нови активи'!R$61:R$108)+('11.1.Амортиз.нови активи'!K$111*SUMIF('11.1.Амортиз.нови активи'!$B$61:$B$108,$B39,'11.1.Амортиз.нови активи'!AT$61:AT$108))</f>
        <v>0</v>
      </c>
      <c r="S39" s="2679">
        <f>+'11.3. ДА Базова година'!N44</f>
        <v>0.25631999999999999</v>
      </c>
      <c r="T39" s="2655">
        <f>$S39-SUMIF('11.2. ДА за периода'!$B$61:$B$108,$B39,'11.2. ДА за периода'!$S$61:$S$108)+SUMIF('11.2. ДА за периода'!$B$61:$B$108,$B39,'11.2. ДА за периода'!T$61:T$108)+SUMIF('11.1.Амортиз.нови активи'!$B$61:$B$108,$B39,'11.1.Амортиз.нови активи'!T$61:T$108)+('11.1.Амортиз.нови активи'!F$112*SUMIF('11.1.Амортиз.нови активи'!$B$61:$B$108,$B39,'11.1.Амортиз.нови активи'!AO$61:AO$108))</f>
        <v>0.25631999999999999</v>
      </c>
      <c r="U39" s="1136">
        <f>$S39-SUMIF('11.2. ДА за периода'!$B$61:$B$108,$B39,'11.2. ДА за периода'!$S$61:$S$108)+SUMIF('11.2. ДА за периода'!$B$61:$B$108,$B39,'11.2. ДА за периода'!U$61:U$108)+SUMIF('11.1.Амортиз.нови активи'!$B$61:$B$108,$B39,'11.1.Амортиз.нови активи'!U$61:U$108)+('11.1.Амортиз.нови активи'!G$112*SUMIF('11.1.Амортиз.нови активи'!$B$61:$B$108,$B39,'11.1.Амортиз.нови активи'!AP$61:AP$108))</f>
        <v>0.25631999999999999</v>
      </c>
      <c r="V39" s="1136">
        <f>$S39-SUMIF('11.2. ДА за периода'!$B$61:$B$108,$B39,'11.2. ДА за периода'!$S$61:$S$108)+SUMIF('11.2. ДА за периода'!$B$61:$B$108,$B39,'11.2. ДА за периода'!V$61:V$108)+SUMIF('11.1.Амортиз.нови активи'!$B$61:$B$108,$B39,'11.1.Амортиз.нови активи'!V$61:V$108)+('11.1.Амортиз.нови активи'!H$112*SUMIF('11.1.Амортиз.нови активи'!$B$61:$B$108,$B39,'11.1.Амортиз.нови активи'!AQ$61:AQ$108))</f>
        <v>0.25631999999999999</v>
      </c>
      <c r="W39" s="1136">
        <f>$S39-SUMIF('11.2. ДА за периода'!$B$61:$B$108,$B39,'11.2. ДА за периода'!$S$61:$S$108)+SUMIF('11.2. ДА за периода'!$B$61:$B$108,$B39,'11.2. ДА за периода'!W$61:W$108)+SUMIF('11.1.Амортиз.нови активи'!$B$61:$B$108,$B39,'11.1.Амортиз.нови активи'!W$61:W$108)+('11.1.Амортиз.нови активи'!I$112*SUMIF('11.1.Амортиз.нови активи'!$B$61:$B$108,$B39,'11.1.Амортиз.нови активи'!AR$61:AR$108))</f>
        <v>0.25631999999999999</v>
      </c>
      <c r="X39" s="1136">
        <f>$S39-SUMIF('11.2. ДА за периода'!$B$61:$B$108,$B39,'11.2. ДА за периода'!$S$61:$S$108)+SUMIF('11.2. ДА за периода'!$B$61:$B$108,$B39,'11.2. ДА за периода'!X$61:X$108)+SUMIF('11.1.Амортиз.нови активи'!$B$61:$B$108,$B39,'11.1.Амортиз.нови активи'!X$61:X$108)+('11.1.Амортиз.нови активи'!J$112*SUMIF('11.1.Амортиз.нови активи'!$B$61:$B$108,$B39,'11.1.Амортиз.нови активи'!AS$61:AS$108))</f>
        <v>0.25631999999999999</v>
      </c>
      <c r="Y39" s="2656">
        <f>$S39-SUMIF('11.2. ДА за периода'!$B$61:$B$108,$B39,'11.2. ДА за периода'!$S$61:$S$108)+SUMIF('11.2. ДА за периода'!$B$61:$B$108,$B39,'11.2. ДА за периода'!Y$61:Y$108)+SUMIF('11.1.Амортиз.нови активи'!$B$61:$B$108,$B39,'11.1.Амортиз.нови активи'!Y$61:Y$108)+('11.1.Амортиз.нови активи'!K$112*SUMIF('11.1.Амортиз.нови активи'!$B$61:$B$108,$B39,'11.1.Амортиз.нови активи'!AT$61:AT$108))</f>
        <v>0.25631999999999999</v>
      </c>
      <c r="Z39" s="4453">
        <f>+'11.3. ДА Базова година'!R44</f>
        <v>0</v>
      </c>
      <c r="AA39" s="2655">
        <f>$Z39-SUMIF('11.2. ДА за периода'!$B$61:$B$108,$B39,'11.2. ДА за периода'!$Z$61:$Z$108)+SUMIF('11.2. ДА за периода'!$B$61:$B$108,$B39,'11.2. ДА за периода'!AA$61:AA$108)+SUMIF('11.1.Амортиз.нови активи'!$B$61:$B$108,$B39,'11.1.Амортиз.нови активи'!AA$61:AA$108)</f>
        <v>0</v>
      </c>
      <c r="AB39" s="1136">
        <f>$Z39-SUMIF('11.2. ДА за периода'!$B$61:$B$108,$B39,'11.2. ДА за периода'!$Z$61:$Z$108)+SUMIF('11.2. ДА за периода'!$B$61:$B$108,$B39,'11.2. ДА за периода'!AB$61:AB$108)+SUMIF('11.1.Амортиз.нови активи'!$B$61:$B$108,$B39,'11.1.Амортиз.нови активи'!AB$61:AB$108)</f>
        <v>0</v>
      </c>
      <c r="AC39" s="1136">
        <f>$Z39-SUMIF('11.2. ДА за периода'!$B$61:$B$108,$B39,'11.2. ДА за периода'!$Z$61:$Z$108)+SUMIF('11.2. ДА за периода'!$B$61:$B$108,$B39,'11.2. ДА за периода'!AC$61:AC$108)+SUMIF('11.1.Амортиз.нови активи'!$B$61:$B$108,$B39,'11.1.Амортиз.нови активи'!AC$61:AC$108)</f>
        <v>0</v>
      </c>
      <c r="AD39" s="1136">
        <f>$Z39-SUMIF('11.2. ДА за периода'!$B$61:$B$108,$B39,'11.2. ДА за периода'!$Z$61:$Z$108)+SUMIF('11.2. ДА за периода'!$B$61:$B$108,$B39,'11.2. ДА за периода'!AD$61:AD$108)+SUMIF('11.1.Амортиз.нови активи'!$B$61:$B$108,$B39,'11.1.Амортиз.нови активи'!AD$61:AD$108)</f>
        <v>0</v>
      </c>
      <c r="AE39" s="1136">
        <f>$Z39-SUMIF('11.2. ДА за периода'!$B$61:$B$108,$B39,'11.2. ДА за периода'!$Z$61:$Z$108)+SUMIF('11.2. ДА за периода'!$B$61:$B$108,$B39,'11.2. ДА за периода'!AE$61:AE$108)+SUMIF('11.1.Амортиз.нови активи'!$B$61:$B$108,$B39,'11.1.Амортиз.нови активи'!AE$61:AE$108)</f>
        <v>0</v>
      </c>
      <c r="AF39" s="2656">
        <f>$Z39-SUMIF('11.2. ДА за периода'!$B$61:$B$108,$B39,'11.2. ДА за периода'!$Z$61:$Z$108)+SUMIF('11.2. ДА за периода'!$B$61:$B$108,$B39,'11.2. ДА за периода'!AF$61:AF$108)+SUMIF('11.1.Амортиз.нови активи'!$B$61:$B$108,$B39,'11.1.Амортиз.нови активи'!AF$61:AF$108)</f>
        <v>0</v>
      </c>
      <c r="AG39" s="2679">
        <f>+'11.3. ДА Базова година'!V44</f>
        <v>0.32203549573851281</v>
      </c>
      <c r="AH39" s="2655">
        <f>$AG39-SUMIF('11.2. ДА за периода'!$B$61:$B$108,$B39,'11.2. ДА за периода'!$AG$61:$AG$108)+SUMIF('11.2. ДА за периода'!$B$61:$B$108,$B39,'11.2. ДА за периода'!AH$61:AH$108)+SUMIF('11.1.Амортиз.нови активи'!$B$61:$B$108,$B39,'11.1.Амортиз.нови активи'!AH$61:AH$108)+('11.1.Амортиз.нови активи'!T$112*SUMIF('11.1.Амортиз.нови активи'!$B$61:$B$108,$B39,'11.1.Амортиз.нови активи'!BB$61:BB$108))</f>
        <v>0.32203549573851281</v>
      </c>
      <c r="AI39" s="1136">
        <f>$AG39-SUMIF('11.2. ДА за периода'!$B$61:$B$108,$B39,'11.2. ДА за периода'!$AG$61:$AG$108)+SUMIF('11.2. ДА за периода'!$B$61:$B$108,$B39,'11.2. ДА за периода'!AI$61:AI$108)+SUMIF('11.1.Амортиз.нови активи'!$B$61:$B$108,$B39,'11.1.Амортиз.нови активи'!AI$61:AI$108)+('11.1.Амортиз.нови активи'!U$112*SUMIF('11.1.Амортиз.нови активи'!$B$61:$B$108,$B39,'11.1.Амортиз.нови активи'!BC$61:BC$108))</f>
        <v>0.32203549573851281</v>
      </c>
      <c r="AJ39" s="1136">
        <f>$AG39-SUMIF('11.2. ДА за периода'!$B$61:$B$108,$B39,'11.2. ДА за периода'!$AG$61:$AG$108)+SUMIF('11.2. ДА за периода'!$B$61:$B$108,$B39,'11.2. ДА за периода'!AJ$61:AJ$108)+SUMIF('11.1.Амортиз.нови активи'!$B$61:$B$108,$B39,'11.1.Амортиз.нови активи'!AJ$61:AJ$108)+('11.1.Амортиз.нови активи'!V$112*SUMIF('11.1.Амортиз.нови активи'!$B$61:$B$108,$B39,'11.1.Амортиз.нови активи'!BD$61:BD$108))</f>
        <v>0.32203549573851281</v>
      </c>
      <c r="AK39" s="1136">
        <f>$AG39-SUMIF('11.2. ДА за периода'!$B$61:$B$108,$B39,'11.2. ДА за периода'!$AG$61:$AG$108)+SUMIF('11.2. ДА за периода'!$B$61:$B$108,$B39,'11.2. ДА за периода'!AK$61:AK$108)+SUMIF('11.1.Амортиз.нови активи'!$B$61:$B$108,$B39,'11.1.Амортиз.нови активи'!AK$61:AK$108)+('11.1.Амортиз.нови активи'!W$112*SUMIF('11.1.Амортиз.нови активи'!$B$61:$B$108,$B39,'11.1.Амортиз.нови активи'!BE$61:BE$108))</f>
        <v>0.32203549573851281</v>
      </c>
      <c r="AL39" s="1136">
        <f>$AG39-SUMIF('11.2. ДА за периода'!$B$61:$B$108,$B39,'11.2. ДА за периода'!$AG$61:$AG$108)+SUMIF('11.2. ДА за периода'!$B$61:$B$108,$B39,'11.2. ДА за периода'!AL$61:AL$108)+SUMIF('11.1.Амортиз.нови активи'!$B$61:$B$108,$B39,'11.1.Амортиз.нови активи'!AL$61:AL$108)+('11.1.Амортиз.нови активи'!X$112*SUMIF('11.1.Амортиз.нови активи'!$B$61:$B$108,$B39,'11.1.Амортиз.нови активи'!BF$61:BF$108))</f>
        <v>0.32203549573851281</v>
      </c>
      <c r="AM39" s="2656">
        <f>$AG39-SUMIF('11.2. ДА за периода'!$B$61:$B$108,$B39,'11.2. ДА за периода'!$AG$61:$AG$108)+SUMIF('11.2. ДА за периода'!$B$61:$B$108,$B39,'11.2. ДА за периода'!AM$61:AM$108)+SUMIF('11.1.Амортиз.нови активи'!$B$61:$B$108,$B39,'11.1.Амортиз.нови активи'!AM$61:AM$108)+('11.1.Амортиз.нови активи'!Y$112*SUMIF('11.1.Амортиз.нови активи'!$B$61:$B$108,$B39,'11.1.Амортиз.нови активи'!BG$61:BG$108))</f>
        <v>0.32203549573851281</v>
      </c>
      <c r="AN39" s="2551"/>
      <c r="AO39" s="2587"/>
      <c r="AP39" s="4488"/>
      <c r="AQ39" s="4504">
        <f t="shared" si="31"/>
        <v>7.5460671450287045</v>
      </c>
      <c r="AR39" s="4504">
        <f t="shared" si="32"/>
        <v>8.2314495657912445</v>
      </c>
      <c r="AS39" s="4504">
        <f t="shared" si="33"/>
        <v>8.2314495657912445</v>
      </c>
      <c r="AT39" s="4504">
        <f t="shared" si="34"/>
        <v>8.2314495657912445</v>
      </c>
      <c r="AU39" s="4504">
        <f t="shared" si="35"/>
        <v>8.2314495657912445</v>
      </c>
      <c r="AV39" s="4504">
        <f t="shared" si="36"/>
        <v>8.2314495657912445</v>
      </c>
      <c r="AW39" s="4504">
        <f t="shared" si="37"/>
        <v>8.2314495657912445</v>
      </c>
      <c r="AX39" s="4504">
        <f t="shared" si="38"/>
        <v>0</v>
      </c>
      <c r="AY39" s="4504">
        <f t="shared" si="39"/>
        <v>0</v>
      </c>
      <c r="AZ39" s="4504">
        <f t="shared" si="40"/>
        <v>0</v>
      </c>
      <c r="BA39" s="4504">
        <f t="shared" si="41"/>
        <v>0</v>
      </c>
      <c r="BB39" s="4504">
        <f t="shared" si="42"/>
        <v>0</v>
      </c>
      <c r="BC39" s="4504">
        <f t="shared" si="43"/>
        <v>0</v>
      </c>
      <c r="BD39" s="4504">
        <f t="shared" si="44"/>
        <v>0</v>
      </c>
      <c r="BE39" s="4504">
        <f t="shared" si="45"/>
        <v>0.13105433498821473</v>
      </c>
      <c r="BF39" s="4504">
        <f t="shared" si="46"/>
        <v>0.13105433498821473</v>
      </c>
      <c r="BG39" s="4504">
        <f t="shared" si="47"/>
        <v>0.13105433498821473</v>
      </c>
      <c r="BH39" s="4504">
        <f t="shared" si="48"/>
        <v>0.13105433498821473</v>
      </c>
      <c r="BI39" s="4504">
        <f t="shared" si="49"/>
        <v>0.13105433498821473</v>
      </c>
      <c r="BJ39" s="4504">
        <f t="shared" si="50"/>
        <v>0.13105433498821473</v>
      </c>
      <c r="BK39" s="4504">
        <f t="shared" si="51"/>
        <v>0.13105433498821473</v>
      </c>
      <c r="BL39" s="4504">
        <f t="shared" si="52"/>
        <v>0</v>
      </c>
      <c r="BM39" s="4504">
        <f t="shared" si="53"/>
        <v>0</v>
      </c>
      <c r="BN39" s="4504">
        <f t="shared" si="54"/>
        <v>0</v>
      </c>
      <c r="BO39" s="4504">
        <f t="shared" si="55"/>
        <v>0</v>
      </c>
      <c r="BP39" s="4504">
        <f t="shared" si="56"/>
        <v>0</v>
      </c>
      <c r="BQ39" s="4504">
        <f t="shared" si="57"/>
        <v>0</v>
      </c>
      <c r="BR39" s="4504">
        <f t="shared" si="58"/>
        <v>0</v>
      </c>
      <c r="BS39" s="4504">
        <f t="shared" si="59"/>
        <v>0.16465413442810101</v>
      </c>
      <c r="BT39" s="4504">
        <f t="shared" si="60"/>
        <v>0.16465413442810101</v>
      </c>
      <c r="BU39" s="4504">
        <f t="shared" si="61"/>
        <v>0.16465413442810101</v>
      </c>
      <c r="BV39" s="4504">
        <f t="shared" si="62"/>
        <v>0.16465413442810101</v>
      </c>
      <c r="BW39" s="4504">
        <f t="shared" si="63"/>
        <v>0.16465413442810101</v>
      </c>
      <c r="BX39" s="4504">
        <f t="shared" si="64"/>
        <v>0.16465413442810101</v>
      </c>
      <c r="BY39" s="4504">
        <f t="shared" si="65"/>
        <v>0.16465413442810101</v>
      </c>
    </row>
    <row r="40" spans="1:77">
      <c r="A40" s="2553"/>
      <c r="B40" s="2554">
        <v>20302</v>
      </c>
      <c r="C40" s="2560">
        <v>0.1</v>
      </c>
      <c r="D40" s="2588" t="s">
        <v>428</v>
      </c>
      <c r="E40" s="2679">
        <f>+'11.3. ДА Базова година'!F45</f>
        <v>1.9624603638095626</v>
      </c>
      <c r="F40" s="2655">
        <f>$E40-SUMIF('11.2. ДА за периода'!$B$61:$B$108,$B40,'11.2. ДА за периода'!$E$61:$E$108)+SUMIF('11.2. ДА за периода'!$B$61:$B$108,$B40,'11.2. ДА за периода'!F$61:F$108)+SUMIF('11.1.Амортиз.нови активи'!$B$61:$B$108,$B40,'11.1.Амортиз.нови активи'!F$61:F$108)+('11.1.Амортиз.нови активи'!F$110*SUMIF('11.1.Амортиз.нови активи'!$B$61:$B$108,$B40,'11.1.Амортиз.нови активи'!AO$61:AO$108))</f>
        <v>2.2844334478405752</v>
      </c>
      <c r="G40" s="1136">
        <f>$E40-SUMIF('11.2. ДА за периода'!$B$61:$B$108,$B40,'11.2. ДА за периода'!$E$61:$E$108)+SUMIF('11.2. ДА за периода'!$B$61:$B$108,$B40,'11.2. ДА за периода'!G$61:G$108)+SUMIF('11.1.Амортиз.нови активи'!$B$61:$B$108,$B40,'11.1.Амортиз.нови активи'!G$61:G$108)+('11.1.Амортиз.нови активи'!G$110*SUMIF('11.1.Амортиз.нови активи'!$B$61:$B$108,$B40,'11.1.Амортиз.нови активи'!AP$61:AP$108))</f>
        <v>2.2844334478405752</v>
      </c>
      <c r="H40" s="1136">
        <f>$E40-SUMIF('11.2. ДА за периода'!$B$61:$B$108,$B40,'11.2. ДА за периода'!$E$61:$E$108)+SUMIF('11.2. ДА за периода'!$B$61:$B$108,$B40,'11.2. ДА за периода'!H$61:H$108)+SUMIF('11.1.Амортиз.нови активи'!$B$61:$B$108,$B40,'11.1.Амортиз.нови активи'!H$61:H$108)+('11.1.Амортиз.нови активи'!H$110*SUMIF('11.1.Амортиз.нови активи'!$B$61:$B$108,$B40,'11.1.Амортиз.нови активи'!AQ$61:AQ$108))</f>
        <v>2.2844334478405752</v>
      </c>
      <c r="I40" s="1136">
        <f>$E40-SUMIF('11.2. ДА за периода'!$B$61:$B$108,$B40,'11.2. ДА за периода'!$E$61:$E$108)+SUMIF('11.2. ДА за периода'!$B$61:$B$108,$B40,'11.2. ДА за периода'!I$61:I$108)+SUMIF('11.1.Амортиз.нови активи'!$B$61:$B$108,$B40,'11.1.Амортиз.нови активи'!I$61:I$108)+('11.1.Амортиз.нови активи'!I$110*SUMIF('11.1.Амортиз.нови активи'!$B$61:$B$108,$B40,'11.1.Амортиз.нови активи'!AR$61:AR$108))</f>
        <v>2.2844334478405752</v>
      </c>
      <c r="J40" s="1136">
        <f>$E40-SUMIF('11.2. ДА за периода'!$B$61:$B$108,$B40,'11.2. ДА за периода'!$E$61:$E$108)+SUMIF('11.2. ДА за периода'!$B$61:$B$108,$B40,'11.2. ДА за периода'!J$61:J$108)+SUMIF('11.1.Амортиз.нови активи'!$B$61:$B$108,$B40,'11.1.Амортиз.нови активи'!J$61:J$108)+('11.1.Амортиз.нови активи'!J$110*SUMIF('11.1.Амортиз.нови активи'!$B$61:$B$108,$B40,'11.1.Амортиз.нови активи'!AS$61:AS$108))</f>
        <v>2.2844334478405752</v>
      </c>
      <c r="K40" s="2656">
        <f>$E40-SUMIF('11.2. ДА за периода'!$B$61:$B$108,$B40,'11.2. ДА за периода'!$E$61:$E$108)+SUMIF('11.2. ДА за периода'!$B$61:$B$108,$B40,'11.2. ДА за периода'!K$61:K$108)+SUMIF('11.1.Амортиз.нови активи'!$B$61:$B$108,$B40,'11.1.Амортиз.нови активи'!K$61:K$108)+('11.1.Амортиз.нови активи'!K$110*SUMIF('11.1.Амортиз.нови активи'!$B$61:$B$108,$B40,'11.1.Амортиз.нови активи'!AT$61:AT$108))</f>
        <v>2.2844334478405752</v>
      </c>
      <c r="L40" s="2679">
        <f>+'11.3. ДА Базова година'!J45</f>
        <v>0.86332679174689475</v>
      </c>
      <c r="M40" s="2655">
        <f>$L40-SUMIF('11.2. ДА за периода'!$B$61:$B$108,$B40,'11.2. ДА за периода'!$L$61:$L$108)+SUMIF('11.2. ДА за периода'!$B$61:$B$108,$B40,'11.2. ДА за периода'!M$61:M$108)+SUMIF('11.1.Амортиз.нови активи'!$B$61:$B$108,$B40,'11.1.Амортиз.нови активи'!M$61:M$108)+('11.1.Амортиз.нови активи'!F$111*SUMIF('11.1.Амортиз.нови активи'!$B$61:$B$108,$B40,'11.1.Амортиз.нови активи'!AO$61:AO$108))</f>
        <v>0.91966679705064425</v>
      </c>
      <c r="N40" s="1136">
        <f>$L40-SUMIF('11.2. ДА за периода'!$B$61:$B$108,$B40,'11.2. ДА за периода'!$L$61:$L$108)+SUMIF('11.2. ДА за периода'!$B$61:$B$108,$B40,'11.2. ДА за периода'!N$61:N$108)+SUMIF('11.1.Амортиз.нови активи'!$B$61:$B$108,$B40,'11.1.Амортиз.нови активи'!N$61:N$108)+('11.1.Амортиз.нови активи'!G$111*SUMIF('11.1.Амортиз.нови активи'!$B$61:$B$108,$B40,'11.1.Амортиз.нови активи'!AP$61:AP$108))</f>
        <v>0.91966679705064425</v>
      </c>
      <c r="O40" s="1136">
        <f>$L40-SUMIF('11.2. ДА за периода'!$B$61:$B$108,$B40,'11.2. ДА за периода'!$L$61:$L$108)+SUMIF('11.2. ДА за периода'!$B$61:$B$108,$B40,'11.2. ДА за периода'!O$61:O$108)+SUMIF('11.1.Амортиз.нови активи'!$B$61:$B$108,$B40,'11.1.Амортиз.нови активи'!O$61:O$108)+('11.1.Амортиз.нови активи'!H$111*SUMIF('11.1.Амортиз.нови активи'!$B$61:$B$108,$B40,'11.1.Амортиз.нови активи'!AQ$61:AQ$108))</f>
        <v>0.91966679705064425</v>
      </c>
      <c r="P40" s="1136">
        <f>$L40-SUMIF('11.2. ДА за периода'!$B$61:$B$108,$B40,'11.2. ДА за периода'!$L$61:$L$108)+SUMIF('11.2. ДА за периода'!$B$61:$B$108,$B40,'11.2. ДА за периода'!P$61:P$108)+SUMIF('11.1.Амортиз.нови активи'!$B$61:$B$108,$B40,'11.1.Амортиз.нови активи'!P$61:P$108)+('11.1.Амортиз.нови активи'!I$111*SUMIF('11.1.Амортиз.нови активи'!$B$61:$B$108,$B40,'11.1.Амортиз.нови активи'!AR$61:AR$108))</f>
        <v>0.91966679705064425</v>
      </c>
      <c r="Q40" s="1136">
        <f>$L40-SUMIF('11.2. ДА за периода'!$B$61:$B$108,$B40,'11.2. ДА за периода'!$L$61:$L$108)+SUMIF('11.2. ДА за периода'!$B$61:$B$108,$B40,'11.2. ДА за периода'!Q$61:Q$108)+SUMIF('11.1.Амортиз.нови активи'!$B$61:$B$108,$B40,'11.1.Амортиз.нови активи'!Q$61:Q$108)+('11.1.Амортиз.нови активи'!J$111*SUMIF('11.1.Амортиз.нови активи'!$B$61:$B$108,$B40,'11.1.Амортиз.нови активи'!AS$61:AS$108))</f>
        <v>0.91966679705064425</v>
      </c>
      <c r="R40" s="2656">
        <f>$L40-SUMIF('11.2. ДА за периода'!$B$61:$B$108,$B40,'11.2. ДА за периода'!$L$61:$L$108)+SUMIF('11.2. ДА за периода'!$B$61:$B$108,$B40,'11.2. ДА за периода'!R$61:R$108)+SUMIF('11.1.Амортиз.нови активи'!$B$61:$B$108,$B40,'11.1.Амортиз.нови активи'!R$61:R$108)+('11.1.Амортиз.нови активи'!K$111*SUMIF('11.1.Амортиз.нови активи'!$B$61:$B$108,$B40,'11.1.Амортиз.нови активи'!AT$61:AT$108))</f>
        <v>0.91966679705064425</v>
      </c>
      <c r="S40" s="2679">
        <f>+'11.3. ДА Базова година'!N45</f>
        <v>0.69292553770008014</v>
      </c>
      <c r="T40" s="2655">
        <f>$S40-SUMIF('11.2. ДА за периода'!$B$61:$B$108,$B40,'11.2. ДА за периода'!$S$61:$S$108)+SUMIF('11.2. ДА за периода'!$B$61:$B$108,$B40,'11.2. ДА за периода'!T$61:T$108)+SUMIF('11.1.Амортиз.нови активи'!$B$61:$B$108,$B40,'11.1.Амортиз.нови активи'!T$61:T$108)+('11.1.Амортиз.нови активи'!F$112*SUMIF('11.1.Амортиз.нови активи'!$B$61:$B$108,$B40,'11.1.Амортиз.нови активи'!AO$61:AO$108))</f>
        <v>0.76167062745473979</v>
      </c>
      <c r="U40" s="1136">
        <f>$S40-SUMIF('11.2. ДА за периода'!$B$61:$B$108,$B40,'11.2. ДА за периода'!$S$61:$S$108)+SUMIF('11.2. ДА за периода'!$B$61:$B$108,$B40,'11.2. ДА за периода'!U$61:U$108)+SUMIF('11.1.Амортиз.нови активи'!$B$61:$B$108,$B40,'11.1.Амортиз.нови активи'!U$61:U$108)+('11.1.Амортиз.нови активи'!G$112*SUMIF('11.1.Амортиз.нови активи'!$B$61:$B$108,$B40,'11.1.Амортиз.нови активи'!AP$61:AP$108))</f>
        <v>0.76167062745473979</v>
      </c>
      <c r="V40" s="1136">
        <f>$S40-SUMIF('11.2. ДА за периода'!$B$61:$B$108,$B40,'11.2. ДА за периода'!$S$61:$S$108)+SUMIF('11.2. ДА за периода'!$B$61:$B$108,$B40,'11.2. ДА за периода'!V$61:V$108)+SUMIF('11.1.Амортиз.нови активи'!$B$61:$B$108,$B40,'11.1.Амортиз.нови активи'!V$61:V$108)+('11.1.Амортиз.нови активи'!H$112*SUMIF('11.1.Амортиз.нови активи'!$B$61:$B$108,$B40,'11.1.Амортиз.нови активи'!AQ$61:AQ$108))</f>
        <v>0.76167062745473979</v>
      </c>
      <c r="W40" s="1136">
        <f>$S40-SUMIF('11.2. ДА за периода'!$B$61:$B$108,$B40,'11.2. ДА за периода'!$S$61:$S$108)+SUMIF('11.2. ДА за периода'!$B$61:$B$108,$B40,'11.2. ДА за периода'!W$61:W$108)+SUMIF('11.1.Амортиз.нови активи'!$B$61:$B$108,$B40,'11.1.Амортиз.нови активи'!W$61:W$108)+('11.1.Амортиз.нови активи'!I$112*SUMIF('11.1.Амортиз.нови активи'!$B$61:$B$108,$B40,'11.1.Амортиз.нови активи'!AR$61:AR$108))</f>
        <v>0.76167062745473979</v>
      </c>
      <c r="X40" s="1136">
        <f>$S40-SUMIF('11.2. ДА за периода'!$B$61:$B$108,$B40,'11.2. ДА за периода'!$S$61:$S$108)+SUMIF('11.2. ДА за периода'!$B$61:$B$108,$B40,'11.2. ДА за периода'!X$61:X$108)+SUMIF('11.1.Амортиз.нови активи'!$B$61:$B$108,$B40,'11.1.Амортиз.нови активи'!X$61:X$108)+('11.1.Амортиз.нови активи'!J$112*SUMIF('11.1.Амортиз.нови активи'!$B$61:$B$108,$B40,'11.1.Амортиз.нови активи'!AS$61:AS$108))</f>
        <v>0.76167062745473979</v>
      </c>
      <c r="Y40" s="2656">
        <f>$S40-SUMIF('11.2. ДА за периода'!$B$61:$B$108,$B40,'11.2. ДА за периода'!$S$61:$S$108)+SUMIF('11.2. ДА за периода'!$B$61:$B$108,$B40,'11.2. ДА за периода'!Y$61:Y$108)+SUMIF('11.1.Амортиз.нови активи'!$B$61:$B$108,$B40,'11.1.Амортиз.нови активи'!Y$61:Y$108)+('11.1.Амортиз.нови активи'!K$112*SUMIF('11.1.Амортиз.нови активи'!$B$61:$B$108,$B40,'11.1.Амортиз.нови активи'!AT$61:AT$108))</f>
        <v>0.76167062745473979</v>
      </c>
      <c r="Z40" s="4453">
        <f>+'11.3. ДА Базова година'!R45</f>
        <v>0</v>
      </c>
      <c r="AA40" s="2655">
        <f>$Z40-SUMIF('11.2. ДА за периода'!$B$61:$B$108,$B40,'11.2. ДА за периода'!$Z$61:$Z$108)+SUMIF('11.2. ДА за периода'!$B$61:$B$108,$B40,'11.2. ДА за периода'!AA$61:AA$108)+SUMIF('11.1.Амортиз.нови активи'!$B$61:$B$108,$B40,'11.1.Амортиз.нови активи'!AA$61:AA$108)</f>
        <v>0</v>
      </c>
      <c r="AB40" s="1136">
        <f>$Z40-SUMIF('11.2. ДА за периода'!$B$61:$B$108,$B40,'11.2. ДА за периода'!$Z$61:$Z$108)+SUMIF('11.2. ДА за периода'!$B$61:$B$108,$B40,'11.2. ДА за периода'!AB$61:AB$108)+SUMIF('11.1.Амортиз.нови активи'!$B$61:$B$108,$B40,'11.1.Амортиз.нови активи'!AB$61:AB$108)</f>
        <v>0</v>
      </c>
      <c r="AC40" s="1136">
        <f>$Z40-SUMIF('11.2. ДА за периода'!$B$61:$B$108,$B40,'11.2. ДА за периода'!$Z$61:$Z$108)+SUMIF('11.2. ДА за периода'!$B$61:$B$108,$B40,'11.2. ДА за периода'!AC$61:AC$108)+SUMIF('11.1.Амортиз.нови активи'!$B$61:$B$108,$B40,'11.1.Амортиз.нови активи'!AC$61:AC$108)</f>
        <v>0</v>
      </c>
      <c r="AD40" s="1136">
        <f>$Z40-SUMIF('11.2. ДА за периода'!$B$61:$B$108,$B40,'11.2. ДА за периода'!$Z$61:$Z$108)+SUMIF('11.2. ДА за периода'!$B$61:$B$108,$B40,'11.2. ДА за периода'!AD$61:AD$108)+SUMIF('11.1.Амортиз.нови активи'!$B$61:$B$108,$B40,'11.1.Амортиз.нови активи'!AD$61:AD$108)</f>
        <v>0</v>
      </c>
      <c r="AE40" s="1136">
        <f>$Z40-SUMIF('11.2. ДА за периода'!$B$61:$B$108,$B40,'11.2. ДА за периода'!$Z$61:$Z$108)+SUMIF('11.2. ДА за периода'!$B$61:$B$108,$B40,'11.2. ДА за периода'!AE$61:AE$108)+SUMIF('11.1.Амортиз.нови активи'!$B$61:$B$108,$B40,'11.1.Амортиз.нови активи'!AE$61:AE$108)</f>
        <v>0</v>
      </c>
      <c r="AF40" s="2656">
        <f>$Z40-SUMIF('11.2. ДА за периода'!$B$61:$B$108,$B40,'11.2. ДА за периода'!$Z$61:$Z$108)+SUMIF('11.2. ДА за периода'!$B$61:$B$108,$B40,'11.2. ДА за периода'!AF$61:AF$108)+SUMIF('11.1.Амортиз.нови активи'!$B$61:$B$108,$B40,'11.1.Амортиз.нови активи'!AF$61:AF$108)</f>
        <v>0</v>
      </c>
      <c r="AG40" s="2679">
        <f>+'11.3. ДА Базова година'!V45</f>
        <v>0.34065164934251324</v>
      </c>
      <c r="AH40" s="2655">
        <f>$AG40-SUMIF('11.2. ДА за периода'!$B$61:$B$108,$B40,'11.2. ДА за периода'!$AG$61:$AG$108)+SUMIF('11.2. ДА за периода'!$B$61:$B$108,$B40,'11.2. ДА за периода'!AH$61:AH$108)+SUMIF('11.1.Амортиз.нови активи'!$B$61:$B$108,$B40,'11.1.Амортиз.нови активи'!AH$61:AH$108)+('11.1.Амортиз.нови активи'!T$112*SUMIF('11.1.Амортиз.нови активи'!$B$61:$B$108,$B40,'11.1.Амортиз.нови активи'!BB$61:BB$108))</f>
        <v>0.51193847025309203</v>
      </c>
      <c r="AI40" s="1136">
        <f>$AG40-SUMIF('11.2. ДА за периода'!$B$61:$B$108,$B40,'11.2. ДА за периода'!$AG$61:$AG$108)+SUMIF('11.2. ДА за периода'!$B$61:$B$108,$B40,'11.2. ДА за периода'!AI$61:AI$108)+SUMIF('11.1.Амортиз.нови активи'!$B$61:$B$108,$B40,'11.1.Амортиз.нови активи'!AI$61:AI$108)+('11.1.Амортиз.нови активи'!U$112*SUMIF('11.1.Амортиз.нови активи'!$B$61:$B$108,$B40,'11.1.Амортиз.нови активи'!BC$61:BC$108))</f>
        <v>0.51193847025309203</v>
      </c>
      <c r="AJ40" s="1136">
        <f>$AG40-SUMIF('11.2. ДА за периода'!$B$61:$B$108,$B40,'11.2. ДА за периода'!$AG$61:$AG$108)+SUMIF('11.2. ДА за периода'!$B$61:$B$108,$B40,'11.2. ДА за периода'!AJ$61:AJ$108)+SUMIF('11.1.Амортиз.нови активи'!$B$61:$B$108,$B40,'11.1.Амортиз.нови активи'!AJ$61:AJ$108)+('11.1.Амортиз.нови активи'!V$112*SUMIF('11.1.Амортиз.нови активи'!$B$61:$B$108,$B40,'11.1.Амортиз.нови активи'!BD$61:BD$108))</f>
        <v>0.51193847025309203</v>
      </c>
      <c r="AK40" s="1136">
        <f>$AG40-SUMIF('11.2. ДА за периода'!$B$61:$B$108,$B40,'11.2. ДА за периода'!$AG$61:$AG$108)+SUMIF('11.2. ДА за периода'!$B$61:$B$108,$B40,'11.2. ДА за периода'!AK$61:AK$108)+SUMIF('11.1.Амортиз.нови активи'!$B$61:$B$108,$B40,'11.1.Амортиз.нови активи'!AK$61:AK$108)+('11.1.Амортиз.нови активи'!W$112*SUMIF('11.1.Амортиз.нови активи'!$B$61:$B$108,$B40,'11.1.Амортиз.нови активи'!BE$61:BE$108))</f>
        <v>0.51193847025309203</v>
      </c>
      <c r="AL40" s="1136">
        <f>$AG40-SUMIF('11.2. ДА за периода'!$B$61:$B$108,$B40,'11.2. ДА за периода'!$AG$61:$AG$108)+SUMIF('11.2. ДА за периода'!$B$61:$B$108,$B40,'11.2. ДА за периода'!AL$61:AL$108)+SUMIF('11.1.Амортиз.нови активи'!$B$61:$B$108,$B40,'11.1.Амортиз.нови активи'!AL$61:AL$108)+('11.1.Амортиз.нови активи'!X$112*SUMIF('11.1.Амортиз.нови активи'!$B$61:$B$108,$B40,'11.1.Амортиз.нови активи'!BF$61:BF$108))</f>
        <v>0.51193847025309203</v>
      </c>
      <c r="AM40" s="2656">
        <f>$AG40-SUMIF('11.2. ДА за периода'!$B$61:$B$108,$B40,'11.2. ДА за периода'!$AG$61:$AG$108)+SUMIF('11.2. ДА за периода'!$B$61:$B$108,$B40,'11.2. ДА за периода'!AM$61:AM$108)+SUMIF('11.1.Амортиз.нови активи'!$B$61:$B$108,$B40,'11.1.Амортиз.нови активи'!AM$61:AM$108)+('11.1.Амортиз.нови активи'!Y$112*SUMIF('11.1.Амортиз.нови активи'!$B$61:$B$108,$B40,'11.1.Амортиз.нови активи'!BG$61:BG$108))</f>
        <v>0.51193847025309203</v>
      </c>
      <c r="AN40" s="2551"/>
      <c r="AO40" s="2587"/>
      <c r="AP40" s="4488"/>
      <c r="AQ40" s="4504">
        <f t="shared" si="31"/>
        <v>1.0033900511852065</v>
      </c>
      <c r="AR40" s="4504">
        <f t="shared" si="32"/>
        <v>1.1680122750139712</v>
      </c>
      <c r="AS40" s="4504">
        <f t="shared" si="33"/>
        <v>1.1680122750139712</v>
      </c>
      <c r="AT40" s="4504">
        <f t="shared" si="34"/>
        <v>1.1680122750139712</v>
      </c>
      <c r="AU40" s="4504">
        <f t="shared" si="35"/>
        <v>1.1680122750139712</v>
      </c>
      <c r="AV40" s="4504">
        <f t="shared" si="36"/>
        <v>1.1680122750139712</v>
      </c>
      <c r="AW40" s="4504">
        <f t="shared" si="37"/>
        <v>1.1680122750139712</v>
      </c>
      <c r="AX40" s="4504">
        <f t="shared" si="38"/>
        <v>0.44141197943936578</v>
      </c>
      <c r="AY40" s="4504">
        <f t="shared" si="39"/>
        <v>0.47021816673772476</v>
      </c>
      <c r="AZ40" s="4504">
        <f t="shared" si="40"/>
        <v>0.47021816673772476</v>
      </c>
      <c r="BA40" s="4504">
        <f t="shared" si="41"/>
        <v>0.47021816673772476</v>
      </c>
      <c r="BB40" s="4504">
        <f t="shared" si="42"/>
        <v>0.47021816673772476</v>
      </c>
      <c r="BC40" s="4504">
        <f t="shared" si="43"/>
        <v>0.47021816673772476</v>
      </c>
      <c r="BD40" s="4504">
        <f t="shared" si="44"/>
        <v>0.47021816673772476</v>
      </c>
      <c r="BE40" s="4504">
        <f t="shared" si="45"/>
        <v>0.35428720169957517</v>
      </c>
      <c r="BF40" s="4504">
        <f t="shared" si="46"/>
        <v>0.38943600796323802</v>
      </c>
      <c r="BG40" s="4504">
        <f t="shared" si="47"/>
        <v>0.38943600796323802</v>
      </c>
      <c r="BH40" s="4504">
        <f t="shared" si="48"/>
        <v>0.38943600796323802</v>
      </c>
      <c r="BI40" s="4504">
        <f t="shared" si="49"/>
        <v>0.38943600796323802</v>
      </c>
      <c r="BJ40" s="4504">
        <f t="shared" si="50"/>
        <v>0.38943600796323802</v>
      </c>
      <c r="BK40" s="4504">
        <f t="shared" si="51"/>
        <v>0.38943600796323802</v>
      </c>
      <c r="BL40" s="4504">
        <f t="shared" si="52"/>
        <v>0</v>
      </c>
      <c r="BM40" s="4504">
        <f t="shared" si="53"/>
        <v>0</v>
      </c>
      <c r="BN40" s="4504">
        <f t="shared" si="54"/>
        <v>0</v>
      </c>
      <c r="BO40" s="4504">
        <f t="shared" si="55"/>
        <v>0</v>
      </c>
      <c r="BP40" s="4504">
        <f t="shared" si="56"/>
        <v>0</v>
      </c>
      <c r="BQ40" s="4504">
        <f t="shared" si="57"/>
        <v>0</v>
      </c>
      <c r="BR40" s="4504">
        <f t="shared" si="58"/>
        <v>0</v>
      </c>
      <c r="BS40" s="4504">
        <f t="shared" si="59"/>
        <v>0.17417242262492816</v>
      </c>
      <c r="BT40" s="4504">
        <f t="shared" si="60"/>
        <v>0.26174998351241774</v>
      </c>
      <c r="BU40" s="4504">
        <f t="shared" si="61"/>
        <v>0.26174998351241774</v>
      </c>
      <c r="BV40" s="4504">
        <f t="shared" si="62"/>
        <v>0.26174998351241774</v>
      </c>
      <c r="BW40" s="4504">
        <f t="shared" si="63"/>
        <v>0.26174998351241774</v>
      </c>
      <c r="BX40" s="4504">
        <f t="shared" si="64"/>
        <v>0.26174998351241774</v>
      </c>
      <c r="BY40" s="4504">
        <f t="shared" si="65"/>
        <v>0.26174998351241774</v>
      </c>
    </row>
    <row r="41" spans="1:77">
      <c r="A41" s="2553"/>
      <c r="B41" s="2583">
        <v>20303</v>
      </c>
      <c r="C41" s="2549">
        <v>0.1</v>
      </c>
      <c r="D41" s="2588" t="s">
        <v>406</v>
      </c>
      <c r="E41" s="2679">
        <f>+'11.3. ДА Базова година'!F46</f>
        <v>25.471929325749812</v>
      </c>
      <c r="F41" s="2655">
        <f>$E41-SUMIF('11.2. ДА за периода'!$B$61:$B$108,$B41,'11.2. ДА за периода'!$E$61:$E$108)+SUMIF('11.2. ДА за периода'!$B$61:$B$108,$B41,'11.2. ДА за периода'!F$61:F$108)+SUMIF('11.1.Амортиз.нови активи'!$B$61:$B$108,$B41,'11.1.Амортиз.нови активи'!F$61:F$108)+('11.1.Амортиз.нови активи'!F$110*SUMIF('11.1.Амортиз.нови активи'!$B$61:$B$108,$B41,'11.1.Амортиз.нови активи'!AO$61:AO$108))</f>
        <v>58.493165992750257</v>
      </c>
      <c r="G41" s="1136">
        <f>$E41-SUMIF('11.2. ДА за периода'!$B$61:$B$108,$B41,'11.2. ДА за периода'!$E$61:$E$108)+SUMIF('11.2. ДА за периода'!$B$61:$B$108,$B41,'11.2. ДА за периода'!G$61:G$108)+SUMIF('11.1.Амортиз.нови активи'!$B$61:$B$108,$B41,'11.1.Амортиз.нови активи'!G$61:G$108)+('11.1.Амортиз.нови активи'!G$110*SUMIF('11.1.Амортиз.нови активи'!$B$61:$B$108,$B41,'11.1.Амортиз.нови активи'!AP$61:AP$108))</f>
        <v>58.885634425563616</v>
      </c>
      <c r="H41" s="1136">
        <f>$E41-SUMIF('11.2. ДА за периода'!$B$61:$B$108,$B41,'11.2. ДА за периода'!$E$61:$E$108)+SUMIF('11.2. ДА за периода'!$B$61:$B$108,$B41,'11.2. ДА за периода'!H$61:H$108)+SUMIF('11.1.Амортиз.нови активи'!$B$61:$B$108,$B41,'11.1.Амортиз.нови активи'!H$61:H$108)+('11.1.Амортиз.нови активи'!H$110*SUMIF('11.1.Амортиз.нови активи'!$B$61:$B$108,$B41,'11.1.Амортиз.нови активи'!AQ$61:AQ$108))</f>
        <v>59.079837538212651</v>
      </c>
      <c r="I41" s="1136">
        <f>$E41-SUMIF('11.2. ДА за периода'!$B$61:$B$108,$B41,'11.2. ДА за периода'!$E$61:$E$108)+SUMIF('11.2. ДА за периода'!$B$61:$B$108,$B41,'11.2. ДА за периода'!I$61:I$108)+SUMIF('11.1.Амортиз.нови активи'!$B$61:$B$108,$B41,'11.1.Амортиз.нови активи'!I$61:I$108)+('11.1.Амортиз.нови активи'!I$110*SUMIF('11.1.Амортиз.нови активи'!$B$61:$B$108,$B41,'11.1.Амортиз.нови активи'!AR$61:AR$108))</f>
        <v>59.276412677170292</v>
      </c>
      <c r="J41" s="1136">
        <f>$E41-SUMIF('11.2. ДА за периода'!$B$61:$B$108,$B41,'11.2. ДА за периода'!$E$61:$E$108)+SUMIF('11.2. ДА за периода'!$B$61:$B$108,$B41,'11.2. ДА за периода'!J$61:J$108)+SUMIF('11.1.Амортиз.нови активи'!$B$61:$B$108,$B41,'11.1.Амортиз.нови активи'!J$61:J$108)+('11.1.Амортиз.нови активи'!J$110*SUMIF('11.1.Амортиз.нови активи'!$B$61:$B$108,$B41,'11.1.Амортиз.нови активи'!AS$61:AS$108))</f>
        <v>59.474376092407901</v>
      </c>
      <c r="K41" s="2656">
        <f>$E41-SUMIF('11.2. ДА за периода'!$B$61:$B$108,$B41,'11.2. ДА за периода'!$E$61:$E$108)+SUMIF('11.2. ДА за периода'!$B$61:$B$108,$B41,'11.2. ДА за периода'!K$61:K$108)+SUMIF('11.1.Амортиз.нови активи'!$B$61:$B$108,$B41,'11.1.Амортиз.нови активи'!K$61:K$108)+('11.1.Амортиз.нови активи'!K$110*SUMIF('11.1.Амортиз.нови активи'!$B$61:$B$108,$B41,'11.1.Амортиз.нови активи'!AT$61:AT$108))</f>
        <v>59.672910805392029</v>
      </c>
      <c r="L41" s="2679">
        <f>+'11.3. ДА Базова година'!J46</f>
        <v>1.4802299999999999</v>
      </c>
      <c r="M41" s="2655">
        <f>$L41-SUMIF('11.2. ДА за периода'!$B$61:$B$108,$B41,'11.2. ДА за периода'!$L$61:$L$108)+SUMIF('11.2. ДА за периода'!$B$61:$B$108,$B41,'11.2. ДА за периода'!M$61:M$108)+SUMIF('11.1.Амортиз.нови активи'!$B$61:$B$108,$B41,'11.1.Амортиз.нови активи'!M$61:M$108)+('11.1.Амортиз.нови активи'!F$111*SUMIF('11.1.Амортиз.нови активи'!$B$61:$B$108,$B41,'11.1.Амортиз.нови активи'!AO$61:AO$108))</f>
        <v>1.7705245934065932</v>
      </c>
      <c r="N41" s="1136">
        <f>$L41-SUMIF('11.2. ДА за периода'!$B$61:$B$108,$B41,'11.2. ДА за периода'!$L$61:$L$108)+SUMIF('11.2. ДА за периода'!$B$61:$B$108,$B41,'11.2. ДА за периода'!N$61:N$108)+SUMIF('11.1.Амортиз.нови активи'!$B$61:$B$108,$B41,'11.1.Амортиз.нови активи'!N$61:N$108)+('11.1.Амортиз.нови активи'!G$111*SUMIF('11.1.Амортиз.нови активи'!$B$61:$B$108,$B41,'11.1.Амортиз.нови активи'!AP$61:AP$108))</f>
        <v>1.7726998222520705</v>
      </c>
      <c r="O41" s="1136">
        <f>$L41-SUMIF('11.2. ДА за периода'!$B$61:$B$108,$B41,'11.2. ДА за периода'!$L$61:$L$108)+SUMIF('11.2. ДА за периода'!$B$61:$B$108,$B41,'11.2. ДА за периода'!O$61:O$108)+SUMIF('11.1.Амортиз.нови активи'!$B$61:$B$108,$B41,'11.1.Амортиз.нови активи'!O$61:O$108)+('11.1.Амортиз.нови активи'!H$111*SUMIF('11.1.Амортиз.нови активи'!$B$61:$B$108,$B41,'11.1.Амортиз.нови активи'!AQ$61:AQ$108))</f>
        <v>1.773705419003383</v>
      </c>
      <c r="P41" s="1136">
        <f>$L41-SUMIF('11.2. ДА за периода'!$B$61:$B$108,$B41,'11.2. ДА за периода'!$L$61:$L$108)+SUMIF('11.2. ДА за периода'!$B$61:$B$108,$B41,'11.2. ДА за периода'!P$61:P$108)+SUMIF('11.1.Амортиз.нови активи'!$B$61:$B$108,$B41,'11.1.Амортиз.нови активи'!P$61:P$108)+('11.1.Амортиз.нови активи'!I$111*SUMIF('11.1.Амортиз.нови активи'!$B$61:$B$108,$B41,'11.1.Амортиз.нови активи'!AR$61:AR$108))</f>
        <v>1.7742828605026513</v>
      </c>
      <c r="Q41" s="1136">
        <f>$L41-SUMIF('11.2. ДА за периода'!$B$61:$B$108,$B41,'11.2. ДА за периода'!$L$61:$L$108)+SUMIF('11.2. ДА за периода'!$B$61:$B$108,$B41,'11.2. ДА за периода'!Q$61:Q$108)+SUMIF('11.1.Амортиз.нови активи'!$B$61:$B$108,$B41,'11.1.Амортиз.нови активи'!Q$61:Q$108)+('11.1.Амортиз.нови активи'!J$111*SUMIF('11.1.Амортиз.нови активи'!$B$61:$B$108,$B41,'11.1.Амортиз.нови активи'!AS$61:AS$108))</f>
        <v>1.7746043412961479</v>
      </c>
      <c r="R41" s="2656">
        <f>$L41-SUMIF('11.2. ДА за периода'!$B$61:$B$108,$B41,'11.2. ДА за периода'!$L$61:$L$108)+SUMIF('11.2. ДА за периода'!$B$61:$B$108,$B41,'11.2. ДА за периода'!R$61:R$108)+SUMIF('11.1.Амортиз.нови активи'!$B$61:$B$108,$B41,'11.1.Амортиз.нови активи'!R$61:R$108)+('11.1.Амортиз.нови активи'!K$111*SUMIF('11.1.Амортиз.нови активи'!$B$61:$B$108,$B41,'11.1.Амортиз.нови активи'!AT$61:AT$108))</f>
        <v>1.7748384147300678</v>
      </c>
      <c r="S41" s="2679">
        <f>+'11.3. ДА Базова година'!N46</f>
        <v>0</v>
      </c>
      <c r="T41" s="2655">
        <f>$S41-SUMIF('11.2. ДА за периода'!$B$61:$B$108,$B41,'11.2. ДА за периода'!$S$61:$S$108)+SUMIF('11.2. ДА за периода'!$B$61:$B$108,$B41,'11.2. ДА за периода'!T$61:T$108)+SUMIF('11.1.Амортиз.нови активи'!$B$61:$B$108,$B41,'11.1.Амортиз.нови активи'!T$61:T$108)+('11.1.Амортиз.нови активи'!F$112*SUMIF('11.1.Амортиз.нови активи'!$B$61:$B$108,$B41,'11.1.Амортиз.нови активи'!AO$61:AO$108))</f>
        <v>0.22318541208791209</v>
      </c>
      <c r="U41" s="1136">
        <f>$S41-SUMIF('11.2. ДА за периода'!$B$61:$B$108,$B41,'11.2. ДА за периода'!$S$61:$S$108)+SUMIF('11.2. ДА за периода'!$B$61:$B$108,$B41,'11.2. ДА за периода'!U$61:U$108)+SUMIF('11.1.Амортиз.нови активи'!$B$61:$B$108,$B41,'11.1.Амортиз.нови активи'!U$61:U$108)+('11.1.Амортиз.нови активи'!G$112*SUMIF('11.1.Амортиз.нови активи'!$B$61:$B$108,$B41,'11.1.Амортиз.нови активи'!AP$61:AP$108))</f>
        <v>0.22854175042907246</v>
      </c>
      <c r="V41" s="1136">
        <f>$S41-SUMIF('11.2. ДА за периода'!$B$61:$B$108,$B41,'11.2. ДА за периода'!$S$61:$S$108)+SUMIF('11.2. ДА за периода'!$B$61:$B$108,$B41,'11.2. ДА за периода'!V$61:V$108)+SUMIF('11.1.Амортиз.нови активи'!$B$61:$B$108,$B41,'11.1.Амортиз.нови активи'!V$61:V$108)+('11.1.Амортиз.нови активи'!H$112*SUMIF('11.1.Амортиз.нови активи'!$B$61:$B$108,$B41,'11.1.Амортиз.нови активи'!AQ$61:AQ$108))</f>
        <v>0.23333304102872873</v>
      </c>
      <c r="W41" s="1136">
        <f>$S41-SUMIF('11.2. ДА за периода'!$B$61:$B$108,$B41,'11.2. ДА за периода'!$S$61:$S$108)+SUMIF('11.2. ДА за периода'!$B$61:$B$108,$B41,'11.2. ДА за периода'!W$61:W$108)+SUMIF('11.1.Амортиз.нови активи'!$B$61:$B$108,$B41,'11.1.Амортиз.нови активи'!W$61:W$108)+('11.1.Амортиз.нови активи'!I$112*SUMIF('11.1.Амортиз.нови активи'!$B$61:$B$108,$B41,'11.1.Амортиз.нови активи'!AR$61:AR$108))</f>
        <v>0.23618046057182385</v>
      </c>
      <c r="X41" s="1136">
        <f>$S41-SUMIF('11.2. ДА за периода'!$B$61:$B$108,$B41,'11.2. ДА за периода'!$S$61:$S$108)+SUMIF('11.2. ДА за периода'!$B$61:$B$108,$B41,'11.2. ДА за периода'!X$61:X$108)+SUMIF('11.1.Амортиз.нови активи'!$B$61:$B$108,$B41,'11.1.Амортиз.нови активи'!X$61:X$108)+('11.1.Амортиз.нови активи'!J$112*SUMIF('11.1.Амортиз.нови активи'!$B$61:$B$108,$B41,'11.1.Амортиз.нови активи'!AS$61:AS$108))</f>
        <v>0.23789556454070943</v>
      </c>
      <c r="Y41" s="2656">
        <f>$S41-SUMIF('11.2. ДА за периода'!$B$61:$B$108,$B41,'11.2. ДА за периода'!$S$61:$S$108)+SUMIF('11.2. ДА за периода'!$B$61:$B$108,$B41,'11.2. ДА за периода'!Y$61:Y$108)+SUMIF('11.1.Амортиз.нови активи'!$B$61:$B$108,$B41,'11.1.Амортиз.нови активи'!Y$61:Y$108)+('11.1.Амортиз.нови активи'!K$112*SUMIF('11.1.Амортиз.нови активи'!$B$61:$B$108,$B41,'11.1.Амортиз.нови активи'!AT$61:AT$108))</f>
        <v>0.23912677812266392</v>
      </c>
      <c r="Z41" s="4453">
        <f>+'11.3. ДА Базова година'!R46</f>
        <v>0</v>
      </c>
      <c r="AA41" s="2655">
        <f>$Z41-SUMIF('11.2. ДА за периода'!$B$61:$B$108,$B41,'11.2. ДА за периода'!$Z$61:$Z$108)+SUMIF('11.2. ДА за периода'!$B$61:$B$108,$B41,'11.2. ДА за периода'!AA$61:AA$108)+SUMIF('11.1.Амортиз.нови активи'!$B$61:$B$108,$B41,'11.1.Амортиз.нови активи'!AA$61:AA$108)</f>
        <v>0</v>
      </c>
      <c r="AB41" s="1136">
        <f>$Z41-SUMIF('11.2. ДА за периода'!$B$61:$B$108,$B41,'11.2. ДА за периода'!$Z$61:$Z$108)+SUMIF('11.2. ДА за периода'!$B$61:$B$108,$B41,'11.2. ДА за периода'!AB$61:AB$108)+SUMIF('11.1.Амортиз.нови активи'!$B$61:$B$108,$B41,'11.1.Амортиз.нови активи'!AB$61:AB$108)</f>
        <v>0</v>
      </c>
      <c r="AC41" s="1136">
        <f>$Z41-SUMIF('11.2. ДА за периода'!$B$61:$B$108,$B41,'11.2. ДА за периода'!$Z$61:$Z$108)+SUMIF('11.2. ДА за периода'!$B$61:$B$108,$B41,'11.2. ДА за периода'!AC$61:AC$108)+SUMIF('11.1.Амортиз.нови активи'!$B$61:$B$108,$B41,'11.1.Амортиз.нови активи'!AC$61:AC$108)</f>
        <v>0</v>
      </c>
      <c r="AD41" s="1136">
        <f>$Z41-SUMIF('11.2. ДА за периода'!$B$61:$B$108,$B41,'11.2. ДА за периода'!$Z$61:$Z$108)+SUMIF('11.2. ДА за периода'!$B$61:$B$108,$B41,'11.2. ДА за периода'!AD$61:AD$108)+SUMIF('11.1.Амортиз.нови активи'!$B$61:$B$108,$B41,'11.1.Амортиз.нови активи'!AD$61:AD$108)</f>
        <v>0</v>
      </c>
      <c r="AE41" s="1136">
        <f>$Z41-SUMIF('11.2. ДА за периода'!$B$61:$B$108,$B41,'11.2. ДА за периода'!$Z$61:$Z$108)+SUMIF('11.2. ДА за периода'!$B$61:$B$108,$B41,'11.2. ДА за периода'!AE$61:AE$108)+SUMIF('11.1.Амортиз.нови активи'!$B$61:$B$108,$B41,'11.1.Амортиз.нови активи'!AE$61:AE$108)</f>
        <v>0</v>
      </c>
      <c r="AF41" s="2656">
        <f>$Z41-SUMIF('11.2. ДА за периода'!$B$61:$B$108,$B41,'11.2. ДА за периода'!$Z$61:$Z$108)+SUMIF('11.2. ДА за периода'!$B$61:$B$108,$B41,'11.2. ДА за периода'!AF$61:AF$108)+SUMIF('11.1.Амортиз.нови активи'!$B$61:$B$108,$B41,'11.1.Амортиз.нови активи'!AF$61:AF$108)</f>
        <v>0</v>
      </c>
      <c r="AG41" s="2679">
        <f>+'11.3. ДА Базова година'!V46</f>
        <v>9.3275206742501897</v>
      </c>
      <c r="AH41" s="2655">
        <f>$AG41-SUMIF('11.2. ДА за периода'!$B$61:$B$108,$B41,'11.2. ДА за периода'!$AG$61:$AG$108)+SUMIF('11.2. ДА за периода'!$B$61:$B$108,$B41,'11.2. ДА за периода'!AH$61:AH$108)+SUMIF('11.1.Амортиз.нови активи'!$B$61:$B$108,$B41,'11.1.Амортиз.нови активи'!AH$61:AH$108)+('11.1.Амортиз.нови активи'!T$112*SUMIF('11.1.Амортиз.нови активи'!$B$61:$B$108,$B41,'11.1.Амортиз.нови активи'!BB$61:BB$108))</f>
        <v>18.557039501755241</v>
      </c>
      <c r="AI41" s="1136">
        <f>$AG41-SUMIF('11.2. ДА за периода'!$B$61:$B$108,$B41,'11.2. ДА за периода'!$AG$61:$AG$108)+SUMIF('11.2. ДА за периода'!$B$61:$B$108,$B41,'11.2. ДА за периода'!AI$61:AI$108)+SUMIF('11.1.Амортиз.нови активи'!$B$61:$B$108,$B41,'11.1.Амортиз.нови активи'!AI$61:AI$108)+('11.1.Амортиз.нови активи'!U$112*SUMIF('11.1.Амортиз.нови активи'!$B$61:$B$108,$B41,'11.1.Амортиз.нови активи'!BC$61:BC$108))</f>
        <v>19.007039501755241</v>
      </c>
      <c r="AJ41" s="1136">
        <f>$AG41-SUMIF('11.2. ДА за периода'!$B$61:$B$108,$B41,'11.2. ДА за периода'!$AG$61:$AG$108)+SUMIF('11.2. ДА за периода'!$B$61:$B$108,$B41,'11.2. ДА за периода'!AJ$61:AJ$108)+SUMIF('11.1.Амортиз.нови активи'!$B$61:$B$108,$B41,'11.1.Амортиз.нови активи'!AJ$61:AJ$108)+('11.1.Амортиз.нови активи'!V$112*SUMIF('11.1.Амортиз.нови активи'!$B$61:$B$108,$B41,'11.1.Амортиз.нови активи'!BD$61:BD$108))</f>
        <v>19.407039501755243</v>
      </c>
      <c r="AK41" s="1136">
        <f>$AG41-SUMIF('11.2. ДА за периода'!$B$61:$B$108,$B41,'11.2. ДА за периода'!$AG$61:$AG$108)+SUMIF('11.2. ДА за периода'!$B$61:$B$108,$B41,'11.2. ДА за периода'!AK$61:AK$108)+SUMIF('11.1.Амортиз.нови активи'!$B$61:$B$108,$B41,'11.1.Амортиз.нови активи'!AK$61:AK$108)+('11.1.Амортиз.нови активи'!W$112*SUMIF('11.1.Амортиз.нови активи'!$B$61:$B$108,$B41,'11.1.Амортиз.нови активи'!BE$61:BE$108))</f>
        <v>19.807039501755241</v>
      </c>
      <c r="AL41" s="1136">
        <f>$AG41-SUMIF('11.2. ДА за периода'!$B$61:$B$108,$B41,'11.2. ДА за периода'!$AG$61:$AG$108)+SUMIF('11.2. ДА за периода'!$B$61:$B$108,$B41,'11.2. ДА за периода'!AL$61:AL$108)+SUMIF('11.1.Амортиз.нови активи'!$B$61:$B$108,$B41,'11.1.Амортиз.нови активи'!AL$61:AL$108)+('11.1.Амортиз.нови активи'!X$112*SUMIF('11.1.Амортиз.нови активи'!$B$61:$B$108,$B41,'11.1.Амортиз.нови активи'!BF$61:BF$108))</f>
        <v>20.20703950175524</v>
      </c>
      <c r="AM41" s="2656">
        <f>$AG41-SUMIF('11.2. ДА за периода'!$B$61:$B$108,$B41,'11.2. ДА за периода'!$AG$61:$AG$108)+SUMIF('11.2. ДА за периода'!$B$61:$B$108,$B41,'11.2. ДА за периода'!AM$61:AM$108)+SUMIF('11.1.Амортиз.нови активи'!$B$61:$B$108,$B41,'11.1.Амортиз.нови активи'!AM$61:AM$108)+('11.1.Амортиз.нови активи'!Y$112*SUMIF('11.1.Амортиз.нови активи'!$B$61:$B$108,$B41,'11.1.Амортиз.нови активи'!BG$61:BG$108))</f>
        <v>20.607039501755242</v>
      </c>
      <c r="AN41" s="2551"/>
      <c r="AO41" s="2587"/>
      <c r="AP41" s="4488"/>
      <c r="AQ41" s="4504">
        <f t="shared" si="31"/>
        <v>13.023590662659746</v>
      </c>
      <c r="AR41" s="4504">
        <f t="shared" si="32"/>
        <v>29.907080877555952</v>
      </c>
      <c r="AS41" s="4504">
        <f t="shared" si="33"/>
        <v>30.107746800879227</v>
      </c>
      <c r="AT41" s="4504">
        <f t="shared" si="34"/>
        <v>30.207041275679714</v>
      </c>
      <c r="AU41" s="4504">
        <f t="shared" si="35"/>
        <v>30.307548548273772</v>
      </c>
      <c r="AV41" s="4504">
        <f t="shared" si="36"/>
        <v>30.408765635258639</v>
      </c>
      <c r="AW41" s="4504">
        <f t="shared" si="37"/>
        <v>30.510274822143042</v>
      </c>
      <c r="AX41" s="4504">
        <f t="shared" si="38"/>
        <v>0.75682958130307842</v>
      </c>
      <c r="AY41" s="4504">
        <f t="shared" si="39"/>
        <v>0.90525485006702688</v>
      </c>
      <c r="AZ41" s="4504">
        <f t="shared" si="40"/>
        <v>0.90636702691546323</v>
      </c>
      <c r="BA41" s="4504">
        <f t="shared" si="41"/>
        <v>0.90688118037016663</v>
      </c>
      <c r="BB41" s="4504">
        <f t="shared" si="42"/>
        <v>0.90717642152060829</v>
      </c>
      <c r="BC41" s="4504">
        <f t="shared" si="43"/>
        <v>0.90734079204028362</v>
      </c>
      <c r="BD41" s="4504">
        <f t="shared" si="44"/>
        <v>0.90746047188665058</v>
      </c>
      <c r="BE41" s="4504">
        <f t="shared" si="45"/>
        <v>0</v>
      </c>
      <c r="BF41" s="4504">
        <f t="shared" si="46"/>
        <v>0.11411288920198182</v>
      </c>
      <c r="BG41" s="4504">
        <f t="shared" si="47"/>
        <v>0.11685154150875714</v>
      </c>
      <c r="BH41" s="4504">
        <f t="shared" si="48"/>
        <v>0.11930128949281314</v>
      </c>
      <c r="BI41" s="4504">
        <f t="shared" si="49"/>
        <v>0.12075715198755713</v>
      </c>
      <c r="BJ41" s="4504">
        <f t="shared" si="50"/>
        <v>0.12163407072225574</v>
      </c>
      <c r="BK41" s="4504">
        <f t="shared" si="51"/>
        <v>0.12226358023072759</v>
      </c>
      <c r="BL41" s="4504">
        <f t="shared" si="52"/>
        <v>0</v>
      </c>
      <c r="BM41" s="4504">
        <f t="shared" si="53"/>
        <v>0</v>
      </c>
      <c r="BN41" s="4504">
        <f t="shared" si="54"/>
        <v>0</v>
      </c>
      <c r="BO41" s="4504">
        <f t="shared" si="55"/>
        <v>0</v>
      </c>
      <c r="BP41" s="4504">
        <f t="shared" si="56"/>
        <v>0</v>
      </c>
      <c r="BQ41" s="4504">
        <f t="shared" si="57"/>
        <v>0</v>
      </c>
      <c r="BR41" s="4504">
        <f t="shared" si="58"/>
        <v>0</v>
      </c>
      <c r="BS41" s="4504">
        <f t="shared" si="59"/>
        <v>4.7690855924340001</v>
      </c>
      <c r="BT41" s="4504">
        <f t="shared" si="60"/>
        <v>9.4880636362849753</v>
      </c>
      <c r="BU41" s="4504">
        <f t="shared" si="61"/>
        <v>9.7181449828232722</v>
      </c>
      <c r="BV41" s="4504">
        <f t="shared" si="62"/>
        <v>9.9226617353017605</v>
      </c>
      <c r="BW41" s="4504">
        <f t="shared" si="63"/>
        <v>10.127178487780247</v>
      </c>
      <c r="BX41" s="4504">
        <f t="shared" si="64"/>
        <v>10.331695240258734</v>
      </c>
      <c r="BY41" s="4504">
        <f t="shared" si="65"/>
        <v>10.536211992737222</v>
      </c>
    </row>
    <row r="42" spans="1:77">
      <c r="A42" s="2553"/>
      <c r="B42" s="2583">
        <v>20306</v>
      </c>
      <c r="C42" s="2549">
        <v>0.1</v>
      </c>
      <c r="D42" s="2588" t="s">
        <v>409</v>
      </c>
      <c r="E42" s="2679">
        <f>+'11.3. ДА Базова година'!F47</f>
        <v>0.26489738871073421</v>
      </c>
      <c r="F42" s="2655">
        <f>$E42-SUMIF('11.2. ДА за периода'!$B$61:$B$108,$B42,'11.2. ДА за периода'!$E$61:$E$108)+SUMIF('11.2. ДА за периода'!$B$61:$B$108,$B42,'11.2. ДА за периода'!F$61:F$108)+SUMIF('11.1.Амортиз.нови активи'!$B$61:$B$108,$B42,'11.1.Амортиз.нови активи'!F$61:F$108)+('11.1.Амортиз.нови активи'!F$110*SUMIF('11.1.Амортиз.нови активи'!$B$61:$B$108,$B42,'11.1.Амортиз.нови активи'!AO$61:AO$108))</f>
        <v>3.8890092534770271</v>
      </c>
      <c r="G42" s="1136">
        <f>$E42-SUMIF('11.2. ДА за периода'!$B$61:$B$108,$B42,'11.2. ДА за периода'!$E$61:$E$108)+SUMIF('11.2. ДА за периода'!$B$61:$B$108,$B42,'11.2. ДА за периода'!G$61:G$108)+SUMIF('11.1.Амортиз.нови активи'!$B$61:$B$108,$B42,'11.1.Амортиз.нови активи'!G$61:G$108)+('11.1.Амортиз.нови активи'!G$110*SUMIF('11.1.Амортиз.нови активи'!$B$61:$B$108,$B42,'11.1.Амортиз.нови активи'!AP$61:AP$108))</f>
        <v>7.4015581523208889</v>
      </c>
      <c r="H42" s="1136">
        <f>$E42-SUMIF('11.2. ДА за периода'!$B$61:$B$108,$B42,'11.2. ДА за периода'!$E$61:$E$108)+SUMIF('11.2. ДА за периода'!$B$61:$B$108,$B42,'11.2. ДА за периода'!H$61:H$108)+SUMIF('11.1.Амортиз.нови активи'!$B$61:$B$108,$B42,'11.1.Амортиз.нови активи'!H$61:H$108)+('11.1.Амортиз.нови активи'!H$110*SUMIF('11.1.Амортиз.нови активи'!$B$61:$B$108,$B42,'11.1.Амортиз.нови активи'!AQ$61:AQ$108))</f>
        <v>7.2957649581657096</v>
      </c>
      <c r="I42" s="1136">
        <f>$E42-SUMIF('11.2. ДА за периода'!$B$61:$B$108,$B42,'11.2. ДА за периода'!$E$61:$E$108)+SUMIF('11.2. ДА за периода'!$B$61:$B$108,$B42,'11.2. ДА за периода'!I$61:I$108)+SUMIF('11.1.Амортиз.нови активи'!$B$61:$B$108,$B42,'11.1.Амортиз.нови активи'!I$61:I$108)+('11.1.Амортиз.нови активи'!I$110*SUMIF('11.1.Амортиз.нови активи'!$B$61:$B$108,$B42,'11.1.Амортиз.нови активи'!AR$61:AR$108))</f>
        <v>7.2332612441425752</v>
      </c>
      <c r="J42" s="1136">
        <f>$E42-SUMIF('11.2. ДА за периода'!$B$61:$B$108,$B42,'11.2. ДА за периода'!$E$61:$E$108)+SUMIF('11.2. ДА за периода'!$B$61:$B$108,$B42,'11.2. ДА за периода'!J$61:J$108)+SUMIF('11.1.Амортиз.нови активи'!$B$61:$B$108,$B42,'11.1.Амортиз.нови активи'!J$61:J$108)+('11.1.Амортиз.нови активи'!J$110*SUMIF('11.1.Амортиз.нови активи'!$B$61:$B$108,$B42,'11.1.Амортиз.нови активи'!AS$61:AS$108))</f>
        <v>7.1960935722291017</v>
      </c>
      <c r="K42" s="2656">
        <f>$E42-SUMIF('11.2. ДА за периода'!$B$61:$B$108,$B42,'11.2. ДА за периода'!$E$61:$E$108)+SUMIF('11.2. ДА за периода'!$B$61:$B$108,$B42,'11.2. ДА за периода'!K$61:K$108)+SUMIF('11.1.Амортиз.нови активи'!$B$61:$B$108,$B42,'11.1.Амортиз.нови активи'!K$61:K$108)+('11.1.Амортиз.нови активи'!K$110*SUMIF('11.1.Амортиз.нови активи'!$B$61:$B$108,$B42,'11.1.Амортиз.нови активи'!AT$61:AT$108))</f>
        <v>7.1693520841893976</v>
      </c>
      <c r="L42" s="2679">
        <f>+'11.3. ДА Базова година'!J47</f>
        <v>0</v>
      </c>
      <c r="M42" s="2655">
        <f>$L42-SUMIF('11.2. ДА за периода'!$B$61:$B$108,$B42,'11.2. ДА за периода'!$L$61:$L$108)+SUMIF('11.2. ДА за периода'!$B$61:$B$108,$B42,'11.2. ДА за периода'!M$61:M$108)+SUMIF('11.1.Амортиз.нови активи'!$B$61:$B$108,$B42,'11.1.Амортиз.нови активи'!M$61:M$108)+('11.1.Амортиз.нови активи'!F$111*SUMIF('11.1.Амортиз.нови активи'!$B$61:$B$108,$B42,'11.1.Амортиз.нови активи'!AO$61:AO$108))</f>
        <v>4.7817423481529266E-2</v>
      </c>
      <c r="N42" s="1136">
        <f>$L42-SUMIF('11.2. ДА за периода'!$B$61:$B$108,$B42,'11.2. ДА за периода'!$L$61:$L$108)+SUMIF('11.2. ДА за периода'!$B$61:$B$108,$B42,'11.2. ДА за периода'!N$61:N$108)+SUMIF('11.1.Амортиз.нови активи'!$B$61:$B$108,$B42,'11.1.Амортиз.нови активи'!N$61:N$108)+('11.1.Амортиз.нови активи'!G$111*SUMIF('11.1.Амортиз.нови активи'!$B$61:$B$108,$B42,'11.1.Амортиз.нови активи'!AP$61:AP$108))</f>
        <v>8.7515349911490625E-2</v>
      </c>
      <c r="O42" s="1136">
        <f>$L42-SUMIF('11.2. ДА за периода'!$B$61:$B$108,$B42,'11.2. ДА за периода'!$L$61:$L$108)+SUMIF('11.2. ДА за периода'!$B$61:$B$108,$B42,'11.2. ДА за периода'!O$61:O$108)+SUMIF('11.1.Амортиз.нови активи'!$B$61:$B$108,$B42,'11.1.Амортиз.нови активи'!O$61:O$108)+('11.1.Амортиз.нови активи'!H$111*SUMIF('11.1.Амортиз.нови активи'!$B$61:$B$108,$B42,'11.1.Амортиз.нови активи'!AQ$61:AQ$108))</f>
        <v>0.10586749062294337</v>
      </c>
      <c r="P42" s="1136">
        <f>$L42-SUMIF('11.2. ДА за периода'!$B$61:$B$108,$B42,'11.2. ДА за периода'!$L$61:$L$108)+SUMIF('11.2. ДА за периода'!$B$61:$B$108,$B42,'11.2. ДА за периода'!P$61:P$108)+SUMIF('11.1.Амортиз.нови активи'!$B$61:$B$108,$B42,'11.1.Амортиз.нови активи'!P$61:P$108)+('11.1.Амортиз.нови активи'!I$111*SUMIF('11.1.Амортиз.нови активи'!$B$61:$B$108,$B42,'11.1.Амортиз.нови активи'!AR$61:AR$108))</f>
        <v>0.11640579798459136</v>
      </c>
      <c r="Q42" s="1136">
        <f>$L42-SUMIF('11.2. ДА за периода'!$B$61:$B$108,$B42,'11.2. ДА за периода'!$L$61:$L$108)+SUMIF('11.2. ДА за периода'!$B$61:$B$108,$B42,'11.2. ДА за периода'!Q$61:Q$108)+SUMIF('11.1.Амортиз.нови активи'!$B$61:$B$108,$B42,'11.1.Амортиз.нови активи'!Q$61:Q$108)+('11.1.Амортиз.нови активи'!J$111*SUMIF('11.1.Амортиз.нови активи'!$B$61:$B$108,$B42,'11.1.Амортиз.нови активи'!AS$61:AS$108))</f>
        <v>0.12227282246590301</v>
      </c>
      <c r="R42" s="2656">
        <f>$L42-SUMIF('11.2. ДА за периода'!$B$61:$B$108,$B42,'11.2. ДА за периода'!$L$61:$L$108)+SUMIF('11.2. ДА за периода'!$B$61:$B$108,$B42,'11.2. ДА за периода'!R$61:R$108)+SUMIF('11.1.Амортиз.нови активи'!$B$61:$B$108,$B42,'11.1.Амортиз.нови активи'!R$61:R$108)+('11.1.Амортиз.нови активи'!K$111*SUMIF('11.1.Амортиз.нови активи'!$B$61:$B$108,$B42,'11.1.Амортиз.нови активи'!AT$61:AT$108))</f>
        <v>0.12654466263493933</v>
      </c>
      <c r="S42" s="2679">
        <f>+'11.3. ДА Базова година'!N47</f>
        <v>0.29274</v>
      </c>
      <c r="T42" s="2655">
        <f>$S42-SUMIF('11.2. ДА за периода'!$B$61:$B$108,$B42,'11.2. ДА за периода'!$S$61:$S$108)+SUMIF('11.2. ДА за периода'!$B$61:$B$108,$B42,'11.2. ДА за периода'!T$61:T$108)+SUMIF('11.1.Амортиз.нови активи'!$B$61:$B$108,$B42,'11.1.Амортиз.нови активи'!T$61:T$108)+('11.1.Амортиз.нови активи'!F$112*SUMIF('11.1.Амортиз.нови активи'!$B$61:$B$108,$B42,'11.1.Амортиз.нови активи'!AO$61:AO$108))</f>
        <v>0.35056789238341451</v>
      </c>
      <c r="U42" s="1136">
        <f>$S42-SUMIF('11.2. ДА за периода'!$B$61:$B$108,$B42,'11.2. ДА за периода'!$S$61:$S$108)+SUMIF('11.2. ДА за периода'!$B$61:$B$108,$B42,'11.2. ДА за периода'!U$61:U$108)+SUMIF('11.1.Амортиз.нови активи'!$B$61:$B$108,$B42,'11.1.Амортиз.нови активи'!U$61:U$108)+('11.1.Амортиз.нови активи'!G$112*SUMIF('11.1.Амортиз.нови активи'!$B$61:$B$108,$B42,'11.1.Амортиз.нови активи'!AP$61:AP$108))</f>
        <v>0.44832106710959124</v>
      </c>
      <c r="V42" s="1136">
        <f>$S42-SUMIF('11.2. ДА за периода'!$B$61:$B$108,$B42,'11.2. ДА за периода'!$S$61:$S$108)+SUMIF('11.2. ДА за периода'!$B$61:$B$108,$B42,'11.2. ДА за периода'!V$61:V$108)+SUMIF('11.1.Амортиз.нови активи'!$B$61:$B$108,$B42,'11.1.Амортиз.нови активи'!V$61:V$108)+('11.1.Амортиз.нови активи'!H$112*SUMIF('11.1.Амортиз.нови активи'!$B$61:$B$108,$B42,'11.1.Амортиз.нови активи'!AQ$61:AQ$108))</f>
        <v>0.53576212055331784</v>
      </c>
      <c r="W42" s="1136">
        <f>$S42-SUMIF('11.2. ДА за периода'!$B$61:$B$108,$B42,'11.2. ДА за периода'!$S$61:$S$108)+SUMIF('11.2. ДА за периода'!$B$61:$B$108,$B42,'11.2. ДА за периода'!W$61:W$108)+SUMIF('11.1.Амортиз.нови активи'!$B$61:$B$108,$B42,'11.1.Амортиз.нови активи'!W$61:W$108)+('11.1.Амортиз.нови активи'!I$112*SUMIF('11.1.Амортиз.нови активи'!$B$61:$B$108,$B42,'11.1.Амортиз.нови активи'!AR$61:AR$108))</f>
        <v>0.58772752721480404</v>
      </c>
      <c r="X42" s="1136">
        <f>$S42-SUMIF('11.2. ДА за периода'!$B$61:$B$108,$B42,'11.2. ДА за периода'!$S$61:$S$108)+SUMIF('11.2. ДА за периода'!$B$61:$B$108,$B42,'11.2. ДА за периода'!X$61:X$108)+SUMIF('11.1.Амортиз.нови активи'!$B$61:$B$108,$B42,'11.1.Амортиз.нови активи'!X$61:X$108)+('11.1.Амортиз.нови активи'!J$112*SUMIF('11.1.Амортиз.нови активи'!$B$61:$B$108,$B42,'11.1.Амортиз.нови активи'!AS$61:AS$108))</f>
        <v>0.6190281746469658</v>
      </c>
      <c r="Y42" s="2656">
        <f>$S42-SUMIF('11.2. ДА за периода'!$B$61:$B$108,$B42,'11.2. ДА за периода'!$S$61:$S$108)+SUMIF('11.2. ДА за периода'!$B$61:$B$108,$B42,'11.2. ДА за периода'!Y$61:Y$108)+SUMIF('11.1.Амортиз.нови активи'!$B$61:$B$108,$B42,'11.1.Амортиз.нови активи'!Y$61:Y$108)+('11.1.Амортиз.нови активи'!K$112*SUMIF('11.1.Амортиз.нови активи'!$B$61:$B$108,$B42,'11.1.Амортиз.нови активи'!AT$61:AT$108))</f>
        <v>0.64149782251763499</v>
      </c>
      <c r="Z42" s="4453">
        <f>+'11.3. ДА Базова година'!R47</f>
        <v>0</v>
      </c>
      <c r="AA42" s="2655">
        <f>$Z42-SUMIF('11.2. ДА за периода'!$B$61:$B$108,$B42,'11.2. ДА за периода'!$Z$61:$Z$108)+SUMIF('11.2. ДА за периода'!$B$61:$B$108,$B42,'11.2. ДА за периода'!AA$61:AA$108)+SUMIF('11.1.Амортиз.нови активи'!$B$61:$B$108,$B42,'11.1.Амортиз.нови активи'!AA$61:AA$108)</f>
        <v>0</v>
      </c>
      <c r="AB42" s="1136">
        <f>$Z42-SUMIF('11.2. ДА за периода'!$B$61:$B$108,$B42,'11.2. ДА за периода'!$Z$61:$Z$108)+SUMIF('11.2. ДА за периода'!$B$61:$B$108,$B42,'11.2. ДА за периода'!AB$61:AB$108)+SUMIF('11.1.Амортиз.нови активи'!$B$61:$B$108,$B42,'11.1.Амортиз.нови активи'!AB$61:AB$108)</f>
        <v>0</v>
      </c>
      <c r="AC42" s="1136">
        <f>$Z42-SUMIF('11.2. ДА за периода'!$B$61:$B$108,$B42,'11.2. ДА за периода'!$Z$61:$Z$108)+SUMIF('11.2. ДА за периода'!$B$61:$B$108,$B42,'11.2. ДА за периода'!AC$61:AC$108)+SUMIF('11.1.Амортиз.нови активи'!$B$61:$B$108,$B42,'11.1.Амортиз.нови активи'!AC$61:AC$108)</f>
        <v>0</v>
      </c>
      <c r="AD42" s="1136">
        <f>$Z42-SUMIF('11.2. ДА за периода'!$B$61:$B$108,$B42,'11.2. ДА за периода'!$Z$61:$Z$108)+SUMIF('11.2. ДА за периода'!$B$61:$B$108,$B42,'11.2. ДА за периода'!AD$61:AD$108)+SUMIF('11.1.Амортиз.нови активи'!$B$61:$B$108,$B42,'11.1.Амортиз.нови активи'!AD$61:AD$108)</f>
        <v>0</v>
      </c>
      <c r="AE42" s="1136">
        <f>$Z42-SUMIF('11.2. ДА за периода'!$B$61:$B$108,$B42,'11.2. ДА за периода'!$Z$61:$Z$108)+SUMIF('11.2. ДА за периода'!$B$61:$B$108,$B42,'11.2. ДА за периода'!AE$61:AE$108)+SUMIF('11.1.Амортиз.нови активи'!$B$61:$B$108,$B42,'11.1.Амортиз.нови активи'!AE$61:AE$108)</f>
        <v>0</v>
      </c>
      <c r="AF42" s="2656">
        <f>$Z42-SUMIF('11.2. ДА за периода'!$B$61:$B$108,$B42,'11.2. ДА за периода'!$Z$61:$Z$108)+SUMIF('11.2. ДА за периода'!$B$61:$B$108,$B42,'11.2. ДА за периода'!AF$61:AF$108)+SUMIF('11.1.Амортиз.нови активи'!$B$61:$B$108,$B42,'11.1.Амортиз.нови активи'!AF$61:AF$108)</f>
        <v>0</v>
      </c>
      <c r="AG42" s="2679">
        <f>+'11.3. ДА Базова година'!V47</f>
        <v>0.11058261128926582</v>
      </c>
      <c r="AH42" s="2655">
        <f>$AG42-SUMIF('11.2. ДА за периода'!$B$61:$B$108,$B42,'11.2. ДА за периода'!$AG$61:$AG$108)+SUMIF('11.2. ДА за периода'!$B$61:$B$108,$B42,'11.2. ДА за периода'!AH$61:AH$108)+SUMIF('11.1.Амортиз.нови активи'!$B$61:$B$108,$B42,'11.1.Амортиз.нови активи'!AH$61:AH$108)+('11.1.Амортиз.нови активи'!T$112*SUMIF('11.1.Амортиз.нови активи'!$B$61:$B$108,$B42,'11.1.Амортиз.нови активи'!BB$61:BB$108))</f>
        <v>0.21184864349382293</v>
      </c>
      <c r="AI42" s="1136">
        <f>$AG42-SUMIF('11.2. ДА за периода'!$B$61:$B$108,$B42,'11.2. ДА за периода'!$AG$61:$AG$108)+SUMIF('11.2. ДА за периода'!$B$61:$B$108,$B42,'11.2. ДА за периода'!AI$61:AI$108)+SUMIF('11.1.Амортиз.нови активи'!$B$61:$B$108,$B42,'11.1.Амортиз.нови активи'!AI$61:AI$108)+('11.1.Амортиз.нови активи'!U$112*SUMIF('11.1.Амортиз.нови активи'!$B$61:$B$108,$B42,'11.1.Амортиз.нови активи'!BC$61:BC$108))</f>
        <v>0.31184864349382291</v>
      </c>
      <c r="AJ42" s="1136">
        <f>$AG42-SUMIF('11.2. ДА за периода'!$B$61:$B$108,$B42,'11.2. ДА за периода'!$AG$61:$AG$108)+SUMIF('11.2. ДА за периода'!$B$61:$B$108,$B42,'11.2. ДА за периода'!AJ$61:AJ$108)+SUMIF('11.1.Амортиз.нови активи'!$B$61:$B$108,$B42,'11.1.Амортиз.нови активи'!AJ$61:AJ$108)+('11.1.Амортиз.нови активи'!V$112*SUMIF('11.1.Амортиз.нови активи'!$B$61:$B$108,$B42,'11.1.Амортиз.нови активи'!BD$61:BD$108))</f>
        <v>0.31184864349382291</v>
      </c>
      <c r="AK42" s="1136">
        <f>$AG42-SUMIF('11.2. ДА за периода'!$B$61:$B$108,$B42,'11.2. ДА за периода'!$AG$61:$AG$108)+SUMIF('11.2. ДА за периода'!$B$61:$B$108,$B42,'11.2. ДА за периода'!AK$61:AK$108)+SUMIF('11.1.Амортиз.нови активи'!$B$61:$B$108,$B42,'11.1.Амортиз.нови активи'!AK$61:AK$108)+('11.1.Амортиз.нови активи'!W$112*SUMIF('11.1.Амортиз.нови активи'!$B$61:$B$108,$B42,'11.1.Амортиз.нови активи'!BE$61:BE$108))</f>
        <v>0.31184864349382291</v>
      </c>
      <c r="AL42" s="1136">
        <f>$AG42-SUMIF('11.2. ДА за периода'!$B$61:$B$108,$B42,'11.2. ДА за периода'!$AG$61:$AG$108)+SUMIF('11.2. ДА за периода'!$B$61:$B$108,$B42,'11.2. ДА за периода'!AL$61:AL$108)+SUMIF('11.1.Амортиз.нови активи'!$B$61:$B$108,$B42,'11.1.Амортиз.нови активи'!AL$61:AL$108)+('11.1.Амортиз.нови активи'!X$112*SUMIF('11.1.Амортиз.нови активи'!$B$61:$B$108,$B42,'11.1.Амортиз.нови активи'!BF$61:BF$108))</f>
        <v>0.31184864349382291</v>
      </c>
      <c r="AM42" s="2656">
        <f>$AG42-SUMIF('11.2. ДА за периода'!$B$61:$B$108,$B42,'11.2. ДА за периода'!$AG$61:$AG$108)+SUMIF('11.2. ДА за периода'!$B$61:$B$108,$B42,'11.2. ДА за периода'!AM$61:AM$108)+SUMIF('11.1.Амортиз.нови активи'!$B$61:$B$108,$B42,'11.1.Амортиз.нови активи'!AM$61:AM$108)+('11.1.Амортиз.нови активи'!Y$112*SUMIF('11.1.Амортиз.нови активи'!$B$61:$B$108,$B42,'11.1.Амортиз.нови активи'!BG$61:BG$108))</f>
        <v>0.31184864349382291</v>
      </c>
      <c r="AN42" s="2551"/>
      <c r="AO42" s="2589"/>
      <c r="AP42" s="4488"/>
      <c r="AQ42" s="4504">
        <f t="shared" si="31"/>
        <v>0.13543988419787722</v>
      </c>
      <c r="AR42" s="4504">
        <f t="shared" si="32"/>
        <v>1.9884188571997705</v>
      </c>
      <c r="AS42" s="4504">
        <f t="shared" si="33"/>
        <v>3.7843565914833546</v>
      </c>
      <c r="AT42" s="4504">
        <f t="shared" si="34"/>
        <v>3.7302653902259961</v>
      </c>
      <c r="AU42" s="4504">
        <f t="shared" si="35"/>
        <v>3.6983077487013571</v>
      </c>
      <c r="AV42" s="4504">
        <f t="shared" si="36"/>
        <v>3.6793042198090333</v>
      </c>
      <c r="AW42" s="4504">
        <f t="shared" si="37"/>
        <v>3.665631514083227</v>
      </c>
      <c r="AX42" s="4504">
        <f t="shared" si="38"/>
        <v>0</v>
      </c>
      <c r="AY42" s="4504">
        <f t="shared" si="39"/>
        <v>2.4448660405827331E-2</v>
      </c>
      <c r="AZ42" s="4504">
        <f t="shared" si="40"/>
        <v>4.4745887889791357E-2</v>
      </c>
      <c r="BA42" s="4504">
        <f t="shared" si="41"/>
        <v>5.4129188438127737E-2</v>
      </c>
      <c r="BB42" s="4504">
        <f t="shared" si="42"/>
        <v>5.9517339433688699E-2</v>
      </c>
      <c r="BC42" s="4504">
        <f t="shared" si="43"/>
        <v>6.2517101417762802E-2</v>
      </c>
      <c r="BD42" s="4504">
        <f t="shared" si="44"/>
        <v>6.4701258613958951E-2</v>
      </c>
      <c r="BE42" s="4504">
        <f t="shared" si="45"/>
        <v>0.149675585301381</v>
      </c>
      <c r="BF42" s="4504">
        <f t="shared" si="46"/>
        <v>0.17924251718370948</v>
      </c>
      <c r="BG42" s="4504">
        <f t="shared" si="47"/>
        <v>0.22922292178235903</v>
      </c>
      <c r="BH42" s="4504">
        <f t="shared" si="48"/>
        <v>0.27393082249138107</v>
      </c>
      <c r="BI42" s="4504">
        <f t="shared" si="49"/>
        <v>0.30050031302045888</v>
      </c>
      <c r="BJ42" s="4504">
        <f t="shared" si="50"/>
        <v>0.31650407992870844</v>
      </c>
      <c r="BK42" s="4504">
        <f t="shared" si="51"/>
        <v>0.3279926284583195</v>
      </c>
      <c r="BL42" s="4504">
        <f t="shared" si="52"/>
        <v>0</v>
      </c>
      <c r="BM42" s="4504">
        <f t="shared" si="53"/>
        <v>0</v>
      </c>
      <c r="BN42" s="4504">
        <f t="shared" si="54"/>
        <v>0</v>
      </c>
      <c r="BO42" s="4504">
        <f t="shared" si="55"/>
        <v>0</v>
      </c>
      <c r="BP42" s="4504">
        <f t="shared" si="56"/>
        <v>0</v>
      </c>
      <c r="BQ42" s="4504">
        <f t="shared" si="57"/>
        <v>0</v>
      </c>
      <c r="BR42" s="4504">
        <f t="shared" si="58"/>
        <v>0</v>
      </c>
      <c r="BS42" s="4504">
        <f t="shared" si="59"/>
        <v>5.653999135367891E-2</v>
      </c>
      <c r="BT42" s="4504">
        <f t="shared" si="60"/>
        <v>0.10831649146082376</v>
      </c>
      <c r="BU42" s="4504">
        <f t="shared" si="61"/>
        <v>0.15944567958044559</v>
      </c>
      <c r="BV42" s="4504">
        <f t="shared" si="62"/>
        <v>0.15944567958044559</v>
      </c>
      <c r="BW42" s="4504">
        <f t="shared" si="63"/>
        <v>0.15944567958044559</v>
      </c>
      <c r="BX42" s="4504">
        <f t="shared" si="64"/>
        <v>0.15944567958044559</v>
      </c>
      <c r="BY42" s="4504">
        <f t="shared" si="65"/>
        <v>0.15944567958044559</v>
      </c>
    </row>
    <row r="43" spans="1:77">
      <c r="A43" s="2553">
        <v>4</v>
      </c>
      <c r="B43" s="2554">
        <v>20403</v>
      </c>
      <c r="C43" s="2560">
        <v>0.04</v>
      </c>
      <c r="D43" s="2590" t="s">
        <v>434</v>
      </c>
      <c r="E43" s="2679">
        <f>+'11.3. ДА Базова година'!F48</f>
        <v>0.99390311838214462</v>
      </c>
      <c r="F43" s="2655">
        <f>$E43-SUMIF('11.2. ДА за периода'!$B$61:$B$108,$B43,'11.2. ДА за периода'!$E$61:$E$108)+SUMIF('11.2. ДА за периода'!$B$61:$B$108,$B43,'11.2. ДА за периода'!F$61:F$108)+SUMIF('11.1.Амортиз.нови активи'!$B$61:$B$108,$B43,'11.1.Амортиз.нови активи'!F$61:F$108)+('11.1.Амортиз.нови активи'!F$110*SUMIF('11.1.Амортиз.нови активи'!$B$61:$B$108,$B43,'11.1.Амортиз.нови активи'!AO$61:AO$108))</f>
        <v>0.99390311838214462</v>
      </c>
      <c r="G43" s="1136">
        <f>$E43-SUMIF('11.2. ДА за периода'!$B$61:$B$108,$B43,'11.2. ДА за периода'!$E$61:$E$108)+SUMIF('11.2. ДА за периода'!$B$61:$B$108,$B43,'11.2. ДА за периода'!G$61:G$108)+SUMIF('11.1.Амортиз.нови активи'!$B$61:$B$108,$B43,'11.1.Амортиз.нови активи'!G$61:G$108)+('11.1.Амортиз.нови активи'!G$110*SUMIF('11.1.Амортиз.нови активи'!$B$61:$B$108,$B43,'11.1.Амортиз.нови активи'!AP$61:AP$108))</f>
        <v>0.99390311838214462</v>
      </c>
      <c r="H43" s="1136">
        <f>$E43-SUMIF('11.2. ДА за периода'!$B$61:$B$108,$B43,'11.2. ДА за периода'!$E$61:$E$108)+SUMIF('11.2. ДА за периода'!$B$61:$B$108,$B43,'11.2. ДА за периода'!H$61:H$108)+SUMIF('11.1.Амортиз.нови активи'!$B$61:$B$108,$B43,'11.1.Амортиз.нови активи'!H$61:H$108)+('11.1.Амортиз.нови активи'!H$110*SUMIF('11.1.Амортиз.нови активи'!$B$61:$B$108,$B43,'11.1.Амортиз.нови активи'!AQ$61:AQ$108))</f>
        <v>0.99390311838214462</v>
      </c>
      <c r="I43" s="1136">
        <f>$E43-SUMIF('11.2. ДА за периода'!$B$61:$B$108,$B43,'11.2. ДА за периода'!$E$61:$E$108)+SUMIF('11.2. ДА за периода'!$B$61:$B$108,$B43,'11.2. ДА за периода'!I$61:I$108)+SUMIF('11.1.Амортиз.нови активи'!$B$61:$B$108,$B43,'11.1.Амортиз.нови активи'!I$61:I$108)+('11.1.Амортиз.нови активи'!I$110*SUMIF('11.1.Амортиз.нови активи'!$B$61:$B$108,$B43,'11.1.Амортиз.нови активи'!AR$61:AR$108))</f>
        <v>0.99390311838214462</v>
      </c>
      <c r="J43" s="1136">
        <f>$E43-SUMIF('11.2. ДА за периода'!$B$61:$B$108,$B43,'11.2. ДА за периода'!$E$61:$E$108)+SUMIF('11.2. ДА за периода'!$B$61:$B$108,$B43,'11.2. ДА за периода'!J$61:J$108)+SUMIF('11.1.Амортиз.нови активи'!$B$61:$B$108,$B43,'11.1.Амортиз.нови активи'!J$61:J$108)+('11.1.Амортиз.нови активи'!J$110*SUMIF('11.1.Амортиз.нови активи'!$B$61:$B$108,$B43,'11.1.Амортиз.нови активи'!AS$61:AS$108))</f>
        <v>0.99390311838214462</v>
      </c>
      <c r="K43" s="2656">
        <f>$E43-SUMIF('11.2. ДА за периода'!$B$61:$B$108,$B43,'11.2. ДА за периода'!$E$61:$E$108)+SUMIF('11.2. ДА за периода'!$B$61:$B$108,$B43,'11.2. ДА за периода'!K$61:K$108)+SUMIF('11.1.Амортиз.нови активи'!$B$61:$B$108,$B43,'11.1.Амортиз.нови активи'!K$61:K$108)+('11.1.Амортиз.нови активи'!K$110*SUMIF('11.1.Амортиз.нови активи'!$B$61:$B$108,$B43,'11.1.Амортиз.нови активи'!AT$61:AT$108))</f>
        <v>0.99390311838214462</v>
      </c>
      <c r="L43" s="2679">
        <f>+'11.3. ДА Базова година'!J48</f>
        <v>0.18433817558596749</v>
      </c>
      <c r="M43" s="2655">
        <f>$L43-SUMIF('11.2. ДА за периода'!$B$61:$B$108,$B43,'11.2. ДА за периода'!$L$61:$L$108)+SUMIF('11.2. ДА за периода'!$B$61:$B$108,$B43,'11.2. ДА за периода'!M$61:M$108)+SUMIF('11.1.Амортиз.нови активи'!$B$61:$B$108,$B43,'11.1.Амортиз.нови активи'!M$61:M$108)+('11.1.Амортиз.нови активи'!F$111*SUMIF('11.1.Амортиз.нови активи'!$B$61:$B$108,$B43,'11.1.Амортиз.нови активи'!AO$61:AO$108))</f>
        <v>0.18433817558596749</v>
      </c>
      <c r="N43" s="1136">
        <f>$L43-SUMIF('11.2. ДА за периода'!$B$61:$B$108,$B43,'11.2. ДА за периода'!$L$61:$L$108)+SUMIF('11.2. ДА за периода'!$B$61:$B$108,$B43,'11.2. ДА за периода'!N$61:N$108)+SUMIF('11.1.Амортиз.нови активи'!$B$61:$B$108,$B43,'11.1.Амортиз.нови активи'!N$61:N$108)+('11.1.Амортиз.нови активи'!G$111*SUMIF('11.1.Амортиз.нови активи'!$B$61:$B$108,$B43,'11.1.Амортиз.нови активи'!AP$61:AP$108))</f>
        <v>0.18433817558596749</v>
      </c>
      <c r="O43" s="1136">
        <f>$L43-SUMIF('11.2. ДА за периода'!$B$61:$B$108,$B43,'11.2. ДА за периода'!$L$61:$L$108)+SUMIF('11.2. ДА за периода'!$B$61:$B$108,$B43,'11.2. ДА за периода'!O$61:O$108)+SUMIF('11.1.Амортиз.нови активи'!$B$61:$B$108,$B43,'11.1.Амортиз.нови активи'!O$61:O$108)+('11.1.Амортиз.нови активи'!H$111*SUMIF('11.1.Амортиз.нови активи'!$B$61:$B$108,$B43,'11.1.Амортиз.нови активи'!AQ$61:AQ$108))</f>
        <v>0.18433817558596749</v>
      </c>
      <c r="P43" s="1136">
        <f>$L43-SUMIF('11.2. ДА за периода'!$B$61:$B$108,$B43,'11.2. ДА за периода'!$L$61:$L$108)+SUMIF('11.2. ДА за периода'!$B$61:$B$108,$B43,'11.2. ДА за периода'!P$61:P$108)+SUMIF('11.1.Амортиз.нови активи'!$B$61:$B$108,$B43,'11.1.Амортиз.нови активи'!P$61:P$108)+('11.1.Амортиз.нови активи'!I$111*SUMIF('11.1.Амортиз.нови активи'!$B$61:$B$108,$B43,'11.1.Амортиз.нови активи'!AR$61:AR$108))</f>
        <v>0.18433817558596749</v>
      </c>
      <c r="Q43" s="1136">
        <f>$L43-SUMIF('11.2. ДА за периода'!$B$61:$B$108,$B43,'11.2. ДА за периода'!$L$61:$L$108)+SUMIF('11.2. ДА за периода'!$B$61:$B$108,$B43,'11.2. ДА за периода'!Q$61:Q$108)+SUMIF('11.1.Амортиз.нови активи'!$B$61:$B$108,$B43,'11.1.Амортиз.нови активи'!Q$61:Q$108)+('11.1.Амортиз.нови активи'!J$111*SUMIF('11.1.Амортиз.нови активи'!$B$61:$B$108,$B43,'11.1.Амортиз.нови активи'!AS$61:AS$108))</f>
        <v>0.18433817558596749</v>
      </c>
      <c r="R43" s="2656">
        <f>$L43-SUMIF('11.2. ДА за периода'!$B$61:$B$108,$B43,'11.2. ДА за периода'!$L$61:$L$108)+SUMIF('11.2. ДА за периода'!$B$61:$B$108,$B43,'11.2. ДА за периода'!R$61:R$108)+SUMIF('11.1.Амортиз.нови активи'!$B$61:$B$108,$B43,'11.1.Амортиз.нови активи'!R$61:R$108)+('11.1.Амортиз.нови активи'!K$111*SUMIF('11.1.Амортиз.нови активи'!$B$61:$B$108,$B43,'11.1.Амортиз.нови активи'!AT$61:AT$108))</f>
        <v>0.18433817558596749</v>
      </c>
      <c r="S43" s="2679">
        <f>+'11.3. ДА Базова година'!N48</f>
        <v>0.2249262199665463</v>
      </c>
      <c r="T43" s="2655">
        <f>$S43-SUMIF('11.2. ДА за периода'!$B$61:$B$108,$B43,'11.2. ДА за периода'!$S$61:$S$108)+SUMIF('11.2. ДА за периода'!$B$61:$B$108,$B43,'11.2. ДА за периода'!T$61:T$108)+SUMIF('11.1.Амортиз.нови активи'!$B$61:$B$108,$B43,'11.1.Амортиз.нови активи'!T$61:T$108)+('11.1.Амортиз.нови активи'!F$112*SUMIF('11.1.Амортиз.нови активи'!$B$61:$B$108,$B43,'11.1.Амортиз.нови активи'!AO$61:AO$108))</f>
        <v>0.2249262199665463</v>
      </c>
      <c r="U43" s="1136">
        <f>$S43-SUMIF('11.2. ДА за периода'!$B$61:$B$108,$B43,'11.2. ДА за периода'!$S$61:$S$108)+SUMIF('11.2. ДА за периода'!$B$61:$B$108,$B43,'11.2. ДА за периода'!U$61:U$108)+SUMIF('11.1.Амортиз.нови активи'!$B$61:$B$108,$B43,'11.1.Амортиз.нови активи'!U$61:U$108)+('11.1.Амортиз.нови активи'!G$112*SUMIF('11.1.Амортиз.нови активи'!$B$61:$B$108,$B43,'11.1.Амортиз.нови активи'!AP$61:AP$108))</f>
        <v>0.2249262199665463</v>
      </c>
      <c r="V43" s="1136">
        <f>$S43-SUMIF('11.2. ДА за периода'!$B$61:$B$108,$B43,'11.2. ДА за периода'!$S$61:$S$108)+SUMIF('11.2. ДА за периода'!$B$61:$B$108,$B43,'11.2. ДА за периода'!V$61:V$108)+SUMIF('11.1.Амортиз.нови активи'!$B$61:$B$108,$B43,'11.1.Амортиз.нови активи'!V$61:V$108)+('11.1.Амортиз.нови активи'!H$112*SUMIF('11.1.Амортиз.нови активи'!$B$61:$B$108,$B43,'11.1.Амортиз.нови активи'!AQ$61:AQ$108))</f>
        <v>0.2249262199665463</v>
      </c>
      <c r="W43" s="1136">
        <f>$S43-SUMIF('11.2. ДА за периода'!$B$61:$B$108,$B43,'11.2. ДА за периода'!$S$61:$S$108)+SUMIF('11.2. ДА за периода'!$B$61:$B$108,$B43,'11.2. ДА за периода'!W$61:W$108)+SUMIF('11.1.Амортиз.нови активи'!$B$61:$B$108,$B43,'11.1.Амортиз.нови активи'!W$61:W$108)+('11.1.Амортиз.нови активи'!I$112*SUMIF('11.1.Амортиз.нови активи'!$B$61:$B$108,$B43,'11.1.Амортиз.нови активи'!AR$61:AR$108))</f>
        <v>0.2249262199665463</v>
      </c>
      <c r="X43" s="1136">
        <f>$S43-SUMIF('11.2. ДА за периода'!$B$61:$B$108,$B43,'11.2. ДА за периода'!$S$61:$S$108)+SUMIF('11.2. ДА за периода'!$B$61:$B$108,$B43,'11.2. ДА за периода'!X$61:X$108)+SUMIF('11.1.Амортиз.нови активи'!$B$61:$B$108,$B43,'11.1.Амортиз.нови активи'!X$61:X$108)+('11.1.Амортиз.нови активи'!J$112*SUMIF('11.1.Амортиз.нови активи'!$B$61:$B$108,$B43,'11.1.Амортиз.нови активи'!AS$61:AS$108))</f>
        <v>0.2249262199665463</v>
      </c>
      <c r="Y43" s="2656">
        <f>$S43-SUMIF('11.2. ДА за периода'!$B$61:$B$108,$B43,'11.2. ДА за периода'!$S$61:$S$108)+SUMIF('11.2. ДА за периода'!$B$61:$B$108,$B43,'11.2. ДА за периода'!Y$61:Y$108)+SUMIF('11.1.Амортиз.нови активи'!$B$61:$B$108,$B43,'11.1.Амортиз.нови активи'!Y$61:Y$108)+('11.1.Амортиз.нови активи'!K$112*SUMIF('11.1.Амортиз.нови активи'!$B$61:$B$108,$B43,'11.1.Амортиз.нови активи'!AT$61:AT$108))</f>
        <v>0.2249262199665463</v>
      </c>
      <c r="Z43" s="4453">
        <f>+'11.3. ДА Базова година'!R48</f>
        <v>0</v>
      </c>
      <c r="AA43" s="2655">
        <f>$Z43-SUMIF('11.2. ДА за периода'!$B$61:$B$108,$B43,'11.2. ДА за периода'!$Z$61:$Z$108)+SUMIF('11.2. ДА за периода'!$B$61:$B$108,$B43,'11.2. ДА за периода'!AA$61:AA$108)+SUMIF('11.1.Амортиз.нови активи'!$B$61:$B$108,$B43,'11.1.Амортиз.нови активи'!AA$61:AA$108)</f>
        <v>0</v>
      </c>
      <c r="AB43" s="1136">
        <f>$Z43-SUMIF('11.2. ДА за периода'!$B$61:$B$108,$B43,'11.2. ДА за периода'!$Z$61:$Z$108)+SUMIF('11.2. ДА за периода'!$B$61:$B$108,$B43,'11.2. ДА за периода'!AB$61:AB$108)+SUMIF('11.1.Амортиз.нови активи'!$B$61:$B$108,$B43,'11.1.Амортиз.нови активи'!AB$61:AB$108)</f>
        <v>0</v>
      </c>
      <c r="AC43" s="1136">
        <f>$Z43-SUMIF('11.2. ДА за периода'!$B$61:$B$108,$B43,'11.2. ДА за периода'!$Z$61:$Z$108)+SUMIF('11.2. ДА за периода'!$B$61:$B$108,$B43,'11.2. ДА за периода'!AC$61:AC$108)+SUMIF('11.1.Амортиз.нови активи'!$B$61:$B$108,$B43,'11.1.Амортиз.нови активи'!AC$61:AC$108)</f>
        <v>0</v>
      </c>
      <c r="AD43" s="1136">
        <f>$Z43-SUMIF('11.2. ДА за периода'!$B$61:$B$108,$B43,'11.2. ДА за периода'!$Z$61:$Z$108)+SUMIF('11.2. ДА за периода'!$B$61:$B$108,$B43,'11.2. ДА за периода'!AD$61:AD$108)+SUMIF('11.1.Амортиз.нови активи'!$B$61:$B$108,$B43,'11.1.Амортиз.нови активи'!AD$61:AD$108)</f>
        <v>0</v>
      </c>
      <c r="AE43" s="1136">
        <f>$Z43-SUMIF('11.2. ДА за периода'!$B$61:$B$108,$B43,'11.2. ДА за периода'!$Z$61:$Z$108)+SUMIF('11.2. ДА за периода'!$B$61:$B$108,$B43,'11.2. ДА за периода'!AE$61:AE$108)+SUMIF('11.1.Амортиз.нови активи'!$B$61:$B$108,$B43,'11.1.Амортиз.нови активи'!AE$61:AE$108)</f>
        <v>0</v>
      </c>
      <c r="AF43" s="2656">
        <f>$Z43-SUMIF('11.2. ДА за периода'!$B$61:$B$108,$B43,'11.2. ДА за периода'!$Z$61:$Z$108)+SUMIF('11.2. ДА за периода'!$B$61:$B$108,$B43,'11.2. ДА за периода'!AF$61:AF$108)+SUMIF('11.1.Амортиз.нови активи'!$B$61:$B$108,$B43,'11.1.Амортиз.нови активи'!AF$61:AF$108)</f>
        <v>0</v>
      </c>
      <c r="AG43" s="2679">
        <f>+'11.3. ДА Базова година'!V48</f>
        <v>1.053763842834865E-2</v>
      </c>
      <c r="AH43" s="2655">
        <f>$AG43-SUMIF('11.2. ДА за периода'!$B$61:$B$108,$B43,'11.2. ДА за периода'!$AG$61:$AG$108)+SUMIF('11.2. ДА за периода'!$B$61:$B$108,$B43,'11.2. ДА за периода'!AH$61:AH$108)+SUMIF('11.1.Амортиз.нови активи'!$B$61:$B$108,$B43,'11.1.Амортиз.нови активи'!AH$61:AH$108)+('11.1.Амортиз.нови активи'!T$112*SUMIF('11.1.Амортиз.нови активи'!$B$61:$B$108,$B43,'11.1.Амортиз.нови активи'!BB$61:BB$108))</f>
        <v>1.053763842834865E-2</v>
      </c>
      <c r="AI43" s="1136">
        <f>$AG43-SUMIF('11.2. ДА за периода'!$B$61:$B$108,$B43,'11.2. ДА за периода'!$AG$61:$AG$108)+SUMIF('11.2. ДА за периода'!$B$61:$B$108,$B43,'11.2. ДА за периода'!AI$61:AI$108)+SUMIF('11.1.Амортиз.нови активи'!$B$61:$B$108,$B43,'11.1.Амортиз.нови активи'!AI$61:AI$108)+('11.1.Амортиз.нови активи'!U$112*SUMIF('11.1.Амортиз.нови активи'!$B$61:$B$108,$B43,'11.1.Амортиз.нови активи'!BC$61:BC$108))</f>
        <v>1.053763842834865E-2</v>
      </c>
      <c r="AJ43" s="1136">
        <f>$AG43-SUMIF('11.2. ДА за периода'!$B$61:$B$108,$B43,'11.2. ДА за периода'!$AG$61:$AG$108)+SUMIF('11.2. ДА за периода'!$B$61:$B$108,$B43,'11.2. ДА за периода'!AJ$61:AJ$108)+SUMIF('11.1.Амортиз.нови активи'!$B$61:$B$108,$B43,'11.1.Амортиз.нови активи'!AJ$61:AJ$108)+('11.1.Амортиз.нови активи'!V$112*SUMIF('11.1.Амортиз.нови активи'!$B$61:$B$108,$B43,'11.1.Амортиз.нови активи'!BD$61:BD$108))</f>
        <v>1.053763842834865E-2</v>
      </c>
      <c r="AK43" s="1136">
        <f>$AG43-SUMIF('11.2. ДА за периода'!$B$61:$B$108,$B43,'11.2. ДА за периода'!$AG$61:$AG$108)+SUMIF('11.2. ДА за периода'!$B$61:$B$108,$B43,'11.2. ДА за периода'!AK$61:AK$108)+SUMIF('11.1.Амортиз.нови активи'!$B$61:$B$108,$B43,'11.1.Амортиз.нови активи'!AK$61:AK$108)+('11.1.Амортиз.нови активи'!W$112*SUMIF('11.1.Амортиз.нови активи'!$B$61:$B$108,$B43,'11.1.Амортиз.нови активи'!BE$61:BE$108))</f>
        <v>1.053763842834865E-2</v>
      </c>
      <c r="AL43" s="1136">
        <f>$AG43-SUMIF('11.2. ДА за периода'!$B$61:$B$108,$B43,'11.2. ДА за периода'!$AG$61:$AG$108)+SUMIF('11.2. ДА за периода'!$B$61:$B$108,$B43,'11.2. ДА за периода'!AL$61:AL$108)+SUMIF('11.1.Амортиз.нови активи'!$B$61:$B$108,$B43,'11.1.Амортиз.нови активи'!AL$61:AL$108)+('11.1.Амортиз.нови активи'!X$112*SUMIF('11.1.Амортиз.нови активи'!$B$61:$B$108,$B43,'11.1.Амортиз.нови активи'!BF$61:BF$108))</f>
        <v>1.053763842834865E-2</v>
      </c>
      <c r="AM43" s="2656">
        <f>$AG43-SUMIF('11.2. ДА за периода'!$B$61:$B$108,$B43,'11.2. ДА за периода'!$AG$61:$AG$108)+SUMIF('11.2. ДА за периода'!$B$61:$B$108,$B43,'11.2. ДА за периода'!AM$61:AM$108)+SUMIF('11.1.Амортиз.нови активи'!$B$61:$B$108,$B43,'11.1.Амортиз.нови активи'!AM$61:AM$108)+('11.1.Амортиз.нови активи'!Y$112*SUMIF('11.1.Амортиз.нови активи'!$B$61:$B$108,$B43,'11.1.Амортиз.нови активи'!BG$61:BG$108))</f>
        <v>1.053763842834865E-2</v>
      </c>
      <c r="AN43" s="2551"/>
      <c r="AO43" s="2589"/>
      <c r="AP43" s="4488"/>
      <c r="AQ43" s="4504">
        <f t="shared" si="31"/>
        <v>0.50817459512439456</v>
      </c>
      <c r="AR43" s="4504">
        <f t="shared" si="32"/>
        <v>0.50817459512439456</v>
      </c>
      <c r="AS43" s="4504">
        <f t="shared" si="33"/>
        <v>0.50817459512439456</v>
      </c>
      <c r="AT43" s="4504">
        <f t="shared" si="34"/>
        <v>0.50817459512439456</v>
      </c>
      <c r="AU43" s="4504">
        <f t="shared" si="35"/>
        <v>0.50817459512439456</v>
      </c>
      <c r="AV43" s="4504">
        <f t="shared" si="36"/>
        <v>0.50817459512439456</v>
      </c>
      <c r="AW43" s="4504">
        <f t="shared" si="37"/>
        <v>0.50817459512439456</v>
      </c>
      <c r="AX43" s="4504">
        <f t="shared" si="38"/>
        <v>9.4250612571628159E-2</v>
      </c>
      <c r="AY43" s="4504">
        <f t="shared" si="39"/>
        <v>9.4250612571628159E-2</v>
      </c>
      <c r="AZ43" s="4504">
        <f t="shared" si="40"/>
        <v>9.4250612571628159E-2</v>
      </c>
      <c r="BA43" s="4504">
        <f t="shared" si="41"/>
        <v>9.4250612571628159E-2</v>
      </c>
      <c r="BB43" s="4504">
        <f t="shared" si="42"/>
        <v>9.4250612571628159E-2</v>
      </c>
      <c r="BC43" s="4504">
        <f t="shared" si="43"/>
        <v>9.4250612571628159E-2</v>
      </c>
      <c r="BD43" s="4504">
        <f t="shared" si="44"/>
        <v>9.4250612571628159E-2</v>
      </c>
      <c r="BE43" s="4504">
        <f t="shared" si="45"/>
        <v>0.11500295013704989</v>
      </c>
      <c r="BF43" s="4504">
        <f t="shared" si="46"/>
        <v>0.11500295013704989</v>
      </c>
      <c r="BG43" s="4504">
        <f t="shared" si="47"/>
        <v>0.11500295013704989</v>
      </c>
      <c r="BH43" s="4504">
        <f t="shared" si="48"/>
        <v>0.11500295013704989</v>
      </c>
      <c r="BI43" s="4504">
        <f t="shared" si="49"/>
        <v>0.11500295013704989</v>
      </c>
      <c r="BJ43" s="4504">
        <f t="shared" si="50"/>
        <v>0.11500295013704989</v>
      </c>
      <c r="BK43" s="4504">
        <f t="shared" si="51"/>
        <v>0.11500295013704989</v>
      </c>
      <c r="BL43" s="4504">
        <f t="shared" si="52"/>
        <v>0</v>
      </c>
      <c r="BM43" s="4504">
        <f t="shared" si="53"/>
        <v>0</v>
      </c>
      <c r="BN43" s="4504">
        <f t="shared" si="54"/>
        <v>0</v>
      </c>
      <c r="BO43" s="4504">
        <f t="shared" si="55"/>
        <v>0</v>
      </c>
      <c r="BP43" s="4504">
        <f t="shared" si="56"/>
        <v>0</v>
      </c>
      <c r="BQ43" s="4504">
        <f t="shared" si="57"/>
        <v>0</v>
      </c>
      <c r="BR43" s="4504">
        <f t="shared" si="58"/>
        <v>0</v>
      </c>
      <c r="BS43" s="4504">
        <f t="shared" si="59"/>
        <v>5.3878089753959446E-3</v>
      </c>
      <c r="BT43" s="4504">
        <f t="shared" si="60"/>
        <v>5.3878089753959446E-3</v>
      </c>
      <c r="BU43" s="4504">
        <f t="shared" si="61"/>
        <v>5.3878089753959446E-3</v>
      </c>
      <c r="BV43" s="4504">
        <f t="shared" si="62"/>
        <v>5.3878089753959446E-3</v>
      </c>
      <c r="BW43" s="4504">
        <f t="shared" si="63"/>
        <v>5.3878089753959446E-3</v>
      </c>
      <c r="BX43" s="4504">
        <f t="shared" si="64"/>
        <v>5.3878089753959446E-3</v>
      </c>
      <c r="BY43" s="4504">
        <f t="shared" si="65"/>
        <v>5.3878089753959446E-3</v>
      </c>
    </row>
    <row r="44" spans="1:77">
      <c r="A44" s="2553">
        <v>5</v>
      </c>
      <c r="B44" s="2583">
        <v>205</v>
      </c>
      <c r="C44" s="2549"/>
      <c r="D44" s="2585" t="s">
        <v>212</v>
      </c>
      <c r="E44" s="4125">
        <f>SUM(E45:E48)</f>
        <v>19.449947254878062</v>
      </c>
      <c r="F44" s="2649">
        <f>SUM(F45:F48)</f>
        <v>29.65320950427709</v>
      </c>
      <c r="G44" s="2650">
        <f>SUM(G45:G48)</f>
        <v>29.845677937090453</v>
      </c>
      <c r="H44" s="2650">
        <f>SUM(H45:H48)</f>
        <v>29.839881049739486</v>
      </c>
      <c r="I44" s="2650">
        <f>SUM(I45:I48)</f>
        <v>29.836456188697124</v>
      </c>
      <c r="J44" s="2650">
        <f t="shared" ref="J44:K44" si="80">SUM(J45:J48)</f>
        <v>29.834419603934737</v>
      </c>
      <c r="K44" s="2650">
        <f t="shared" si="80"/>
        <v>29.832954316918865</v>
      </c>
      <c r="L44" s="4125">
        <f>SUM(L45:L48)</f>
        <v>3.9358817599322453</v>
      </c>
      <c r="M44" s="2649">
        <f>SUM(M45:M48)</f>
        <v>5.5198440330081304</v>
      </c>
      <c r="N44" s="2650">
        <f>SUM(N45:N48)</f>
        <v>5.6720192618536087</v>
      </c>
      <c r="O44" s="2650">
        <f t="shared" ref="O44:R44" si="81">SUM(O45:O48)</f>
        <v>5.9730248586049211</v>
      </c>
      <c r="P44" s="2650">
        <f t="shared" si="81"/>
        <v>6.273602300104189</v>
      </c>
      <c r="Q44" s="2650">
        <f t="shared" si="81"/>
        <v>6.5739237808976858</v>
      </c>
      <c r="R44" s="2650">
        <f t="shared" si="81"/>
        <v>6.8741578543316049</v>
      </c>
      <c r="S44" s="4125">
        <f>SUM(S45:S48)</f>
        <v>2.6276917275598972</v>
      </c>
      <c r="T44" s="2649">
        <f>SUM(T45:T48)</f>
        <v>4.5603864198933834</v>
      </c>
      <c r="U44" s="2650">
        <f>SUM(U45:U48)</f>
        <v>4.6657427582345443</v>
      </c>
      <c r="V44" s="2650">
        <f t="shared" ref="V44:Y44" si="82">SUM(V45:V48)</f>
        <v>4.8705340488342008</v>
      </c>
      <c r="W44" s="2650">
        <f t="shared" si="82"/>
        <v>5.0733814683772955</v>
      </c>
      <c r="X44" s="2650">
        <f t="shared" si="82"/>
        <v>5.2750965723461816</v>
      </c>
      <c r="Y44" s="2651">
        <f t="shared" si="82"/>
        <v>5.4763277859281363</v>
      </c>
      <c r="Z44" s="4125">
        <f>SUM(Z45:Z48)</f>
        <v>0</v>
      </c>
      <c r="AA44" s="2649">
        <f>SUM(AA45:AA48)</f>
        <v>0</v>
      </c>
      <c r="AB44" s="2650">
        <f>SUM(AB45:AB48)</f>
        <v>0</v>
      </c>
      <c r="AC44" s="2650">
        <f t="shared" ref="AC44:AF44" si="83">SUM(AC45:AC48)</f>
        <v>0</v>
      </c>
      <c r="AD44" s="2650">
        <f t="shared" si="83"/>
        <v>0</v>
      </c>
      <c r="AE44" s="2650">
        <f t="shared" si="83"/>
        <v>0</v>
      </c>
      <c r="AF44" s="2651">
        <f t="shared" si="83"/>
        <v>0</v>
      </c>
      <c r="AG44" s="4125">
        <f>SUM(AG45:AG48)</f>
        <v>1.695474999319275</v>
      </c>
      <c r="AH44" s="2649">
        <f>SUM(AH45:AH48)</f>
        <v>1.9159413364850533</v>
      </c>
      <c r="AI44" s="2650">
        <f>SUM(AI45:AI48)</f>
        <v>2.1459413364850533</v>
      </c>
      <c r="AJ44" s="2650">
        <f t="shared" ref="AJ44:AM44" si="84">SUM(AJ45:AJ48)</f>
        <v>2.3459413364850534</v>
      </c>
      <c r="AK44" s="2650">
        <f t="shared" si="84"/>
        <v>2.5459413364850536</v>
      </c>
      <c r="AL44" s="2650">
        <f t="shared" si="84"/>
        <v>2.7459413364850533</v>
      </c>
      <c r="AM44" s="2651">
        <f t="shared" si="84"/>
        <v>2.9459413364850535</v>
      </c>
      <c r="AN44" s="2551"/>
      <c r="AO44" s="2589"/>
      <c r="AP44" s="4488"/>
      <c r="AQ44" s="4504">
        <f t="shared" si="31"/>
        <v>9.9446001211138295</v>
      </c>
      <c r="AR44" s="4504">
        <f t="shared" si="32"/>
        <v>15.16144527094742</v>
      </c>
      <c r="AS44" s="4504">
        <f t="shared" si="33"/>
        <v>15.259852818031451</v>
      </c>
      <c r="AT44" s="4504">
        <f t="shared" si="34"/>
        <v>15.256888916592693</v>
      </c>
      <c r="AU44" s="4504">
        <f t="shared" si="35"/>
        <v>15.255137812947508</v>
      </c>
      <c r="AV44" s="4504">
        <f t="shared" si="36"/>
        <v>15.254096523693132</v>
      </c>
      <c r="AW44" s="4504">
        <f t="shared" si="37"/>
        <v>15.253347334338294</v>
      </c>
      <c r="AX44" s="4504">
        <f t="shared" si="38"/>
        <v>2.0123843892016411</v>
      </c>
      <c r="AY44" s="4504">
        <f t="shared" si="39"/>
        <v>2.8222514395464486</v>
      </c>
      <c r="AZ44" s="4504">
        <f t="shared" si="40"/>
        <v>2.9000573985743183</v>
      </c>
      <c r="BA44" s="4504">
        <f t="shared" si="41"/>
        <v>3.0539591163878872</v>
      </c>
      <c r="BB44" s="4504">
        <f t="shared" si="42"/>
        <v>3.2076419218971939</v>
      </c>
      <c r="BC44" s="4504">
        <f t="shared" si="43"/>
        <v>3.3611938567757349</v>
      </c>
      <c r="BD44" s="4504">
        <f t="shared" si="44"/>
        <v>3.5147011009809672</v>
      </c>
      <c r="BE44" s="4504">
        <f t="shared" si="45"/>
        <v>1.343517446587841</v>
      </c>
      <c r="BF44" s="4504">
        <f t="shared" si="46"/>
        <v>2.331688551608976</v>
      </c>
      <c r="BG44" s="4504">
        <f t="shared" si="47"/>
        <v>2.3855563920353733</v>
      </c>
      <c r="BH44" s="4504">
        <f t="shared" si="48"/>
        <v>2.4902645162586734</v>
      </c>
      <c r="BI44" s="4504">
        <f t="shared" si="49"/>
        <v>2.5939787549926607</v>
      </c>
      <c r="BJ44" s="4504">
        <f t="shared" si="50"/>
        <v>2.6971140499666033</v>
      </c>
      <c r="BK44" s="4504">
        <f t="shared" si="51"/>
        <v>2.8000019357143189</v>
      </c>
      <c r="BL44" s="4504">
        <f t="shared" si="52"/>
        <v>0</v>
      </c>
      <c r="BM44" s="4504">
        <f t="shared" si="53"/>
        <v>0</v>
      </c>
      <c r="BN44" s="4504">
        <f t="shared" si="54"/>
        <v>0</v>
      </c>
      <c r="BO44" s="4504">
        <f t="shared" si="55"/>
        <v>0</v>
      </c>
      <c r="BP44" s="4504">
        <f t="shared" si="56"/>
        <v>0</v>
      </c>
      <c r="BQ44" s="4504">
        <f t="shared" si="57"/>
        <v>0</v>
      </c>
      <c r="BR44" s="4504">
        <f t="shared" si="58"/>
        <v>0</v>
      </c>
      <c r="BS44" s="4504">
        <f t="shared" si="59"/>
        <v>0.8668826019231094</v>
      </c>
      <c r="BT44" s="4504">
        <f t="shared" si="60"/>
        <v>0.9796052501930399</v>
      </c>
      <c r="BU44" s="4504">
        <f t="shared" si="61"/>
        <v>1.0972023828681703</v>
      </c>
      <c r="BV44" s="4504">
        <f t="shared" si="62"/>
        <v>1.199460759107414</v>
      </c>
      <c r="BW44" s="4504">
        <f t="shared" si="63"/>
        <v>1.3017191353466577</v>
      </c>
      <c r="BX44" s="4504">
        <f t="shared" si="64"/>
        <v>1.4039775115859012</v>
      </c>
      <c r="BY44" s="4504">
        <f t="shared" si="65"/>
        <v>1.5062358878251452</v>
      </c>
    </row>
    <row r="45" spans="1:77">
      <c r="A45" s="2564"/>
      <c r="B45" s="2568">
        <v>20501</v>
      </c>
      <c r="C45" s="2549">
        <v>0.08</v>
      </c>
      <c r="D45" s="2591" t="s">
        <v>410</v>
      </c>
      <c r="E45" s="2679">
        <f>+'11.3. ДА Базова година'!F50</f>
        <v>0</v>
      </c>
      <c r="F45" s="2655">
        <f>$E45-SUMIF('11.2. ДА за периода'!$B$61:$B$108,$B45,'11.2. ДА за периода'!$E$61:$E$108)+SUMIF('11.2. ДА за периода'!$B$61:$B$108,$B45,'11.2. ДА за периода'!F$61:F$108)+SUMIF('11.1.Амортиз.нови активи'!$B$61:$B$108,$B45,'11.1.Амортиз.нови активи'!F$61:F$108)+('11.1.Амортиз.нови активи'!F$110*SUMIF('11.1.Амортиз.нови активи'!$B$61:$B$108,$B45,'11.1.Амортиз.нови активи'!AO$61:AO$108))</f>
        <v>0</v>
      </c>
      <c r="G45" s="1136">
        <f>$E45-SUMIF('11.2. ДА за периода'!$B$61:$B$108,$B45,'11.2. ДА за периода'!$E$61:$E$108)+SUMIF('11.2. ДА за периода'!$B$61:$B$108,$B45,'11.2. ДА за периода'!G$61:G$108)+SUMIF('11.1.Амортиз.нови активи'!$B$61:$B$108,$B45,'11.1.Амортиз.нови активи'!G$61:G$108)+('11.1.Амортиз.нови активи'!G$110*SUMIF('11.1.Амортиз.нови активи'!$B$61:$B$108,$B45,'11.1.Амортиз.нови активи'!AP$61:AP$108))</f>
        <v>0</v>
      </c>
      <c r="H45" s="1136">
        <f>$E45-SUMIF('11.2. ДА за периода'!$B$61:$B$108,$B45,'11.2. ДА за периода'!$E$61:$E$108)+SUMIF('11.2. ДА за периода'!$B$61:$B$108,$B45,'11.2. ДА за периода'!H$61:H$108)+SUMIF('11.1.Амортиз.нови активи'!$B$61:$B$108,$B45,'11.1.Амортиз.нови активи'!H$61:H$108)+('11.1.Амортиз.нови активи'!H$110*SUMIF('11.1.Амортиз.нови активи'!$B$61:$B$108,$B45,'11.1.Амортиз.нови активи'!AQ$61:AQ$108))</f>
        <v>0</v>
      </c>
      <c r="I45" s="1136">
        <f>$E45-SUMIF('11.2. ДА за периода'!$B$61:$B$108,$B45,'11.2. ДА за периода'!$E$61:$E$108)+SUMIF('11.2. ДА за периода'!$B$61:$B$108,$B45,'11.2. ДА за периода'!I$61:I$108)+SUMIF('11.1.Амортиз.нови активи'!$B$61:$B$108,$B45,'11.1.Амортиз.нови активи'!I$61:I$108)+('11.1.Амортиз.нови активи'!I$110*SUMIF('11.1.Амортиз.нови активи'!$B$61:$B$108,$B45,'11.1.Амортиз.нови активи'!AR$61:AR$108))</f>
        <v>0</v>
      </c>
      <c r="J45" s="1136">
        <f>$E45-SUMIF('11.2. ДА за периода'!$B$61:$B$108,$B45,'11.2. ДА за периода'!$E$61:$E$108)+SUMIF('11.2. ДА за периода'!$B$61:$B$108,$B45,'11.2. ДА за периода'!J$61:J$108)+SUMIF('11.1.Амортиз.нови активи'!$B$61:$B$108,$B45,'11.1.Амортиз.нови активи'!J$61:J$108)+('11.1.Амортиз.нови активи'!J$110*SUMIF('11.1.Амортиз.нови активи'!$B$61:$B$108,$B45,'11.1.Амортиз.нови активи'!AS$61:AS$108))</f>
        <v>0</v>
      </c>
      <c r="K45" s="2656">
        <f>$E45-SUMIF('11.2. ДА за периода'!$B$61:$B$108,$B45,'11.2. ДА за периода'!$E$61:$E$108)+SUMIF('11.2. ДА за периода'!$B$61:$B$108,$B45,'11.2. ДА за периода'!K$61:K$108)+SUMIF('11.1.Амортиз.нови активи'!$B$61:$B$108,$B45,'11.1.Амортиз.нови активи'!K$61:K$108)+('11.1.Амортиз.нови активи'!K$110*SUMIF('11.1.Амортиз.нови активи'!$B$61:$B$108,$B45,'11.1.Амортиз.нови активи'!AT$61:AT$108))</f>
        <v>0</v>
      </c>
      <c r="L45" s="2679">
        <f>+'11.3. ДА Базова година'!J50</f>
        <v>0</v>
      </c>
      <c r="M45" s="2655">
        <f>$L45-SUMIF('11.2. ДА за периода'!$B$61:$B$108,$B45,'11.2. ДА за периода'!$L$61:$L$108)+SUMIF('11.2. ДА за периода'!$B$61:$B$108,$B45,'11.2. ДА за периода'!M$61:M$108)+SUMIF('11.1.Амортиз.нови активи'!$B$61:$B$108,$B45,'11.1.Амортиз.нови активи'!M$61:M$108)+('11.1.Амортиз.нови активи'!F$111*SUMIF('11.1.Амортиз.нови активи'!$B$61:$B$108,$B45,'11.1.Амортиз.нови активи'!AO$61:AO$108))</f>
        <v>0</v>
      </c>
      <c r="N45" s="1136">
        <f>$L45-SUMIF('11.2. ДА за периода'!$B$61:$B$108,$B45,'11.2. ДА за периода'!$L$61:$L$108)+SUMIF('11.2. ДА за периода'!$B$61:$B$108,$B45,'11.2. ДА за периода'!N$61:N$108)+SUMIF('11.1.Амортиз.нови активи'!$B$61:$B$108,$B45,'11.1.Амортиз.нови активи'!N$61:N$108)+('11.1.Амортиз.нови активи'!G$111*SUMIF('11.1.Амортиз.нови активи'!$B$61:$B$108,$B45,'11.1.Амортиз.нови активи'!AP$61:AP$108))</f>
        <v>0</v>
      </c>
      <c r="O45" s="1136">
        <f>$L45-SUMIF('11.2. ДА за периода'!$B$61:$B$108,$B45,'11.2. ДА за периода'!$L$61:$L$108)+SUMIF('11.2. ДА за периода'!$B$61:$B$108,$B45,'11.2. ДА за периода'!O$61:O$108)+SUMIF('11.1.Амортиз.нови активи'!$B$61:$B$108,$B45,'11.1.Амортиз.нови активи'!O$61:O$108)+('11.1.Амортиз.нови активи'!H$111*SUMIF('11.1.Амортиз.нови активи'!$B$61:$B$108,$B45,'11.1.Амортиз.нови активи'!AQ$61:AQ$108))</f>
        <v>0</v>
      </c>
      <c r="P45" s="1136">
        <f>$L45-SUMIF('11.2. ДА за периода'!$B$61:$B$108,$B45,'11.2. ДА за периода'!$L$61:$L$108)+SUMIF('11.2. ДА за периода'!$B$61:$B$108,$B45,'11.2. ДА за периода'!P$61:P$108)+SUMIF('11.1.Амортиз.нови активи'!$B$61:$B$108,$B45,'11.1.Амортиз.нови активи'!P$61:P$108)+('11.1.Амортиз.нови активи'!I$111*SUMIF('11.1.Амортиз.нови активи'!$B$61:$B$108,$B45,'11.1.Амортиз.нови активи'!AR$61:AR$108))</f>
        <v>0</v>
      </c>
      <c r="Q45" s="1136">
        <f>$L45-SUMIF('11.2. ДА за периода'!$B$61:$B$108,$B45,'11.2. ДА за периода'!$L$61:$L$108)+SUMIF('11.2. ДА за периода'!$B$61:$B$108,$B45,'11.2. ДА за периода'!Q$61:Q$108)+SUMIF('11.1.Амортиз.нови активи'!$B$61:$B$108,$B45,'11.1.Амортиз.нови активи'!Q$61:Q$108)+('11.1.Амортиз.нови активи'!J$111*SUMIF('11.1.Амортиз.нови активи'!$B$61:$B$108,$B45,'11.1.Амортиз.нови активи'!AS$61:AS$108))</f>
        <v>0</v>
      </c>
      <c r="R45" s="2656">
        <f>$L45-SUMIF('11.2. ДА за периода'!$B$61:$B$108,$B45,'11.2. ДА за периода'!$L$61:$L$108)+SUMIF('11.2. ДА за периода'!$B$61:$B$108,$B45,'11.2. ДА за периода'!R$61:R$108)+SUMIF('11.1.Амортиз.нови активи'!$B$61:$B$108,$B45,'11.1.Амортиз.нови активи'!R$61:R$108)+('11.1.Амортиз.нови активи'!K$111*SUMIF('11.1.Амортиз.нови активи'!$B$61:$B$108,$B45,'11.1.Амортиз.нови активи'!AT$61:AT$108))</f>
        <v>0</v>
      </c>
      <c r="S45" s="2679">
        <f>+'11.3. ДА Базова година'!N50</f>
        <v>0</v>
      </c>
      <c r="T45" s="2655">
        <f>$S45-SUMIF('11.2. ДА за периода'!$B$61:$B$108,$B45,'11.2. ДА за периода'!$S$61:$S$108)+SUMIF('11.2. ДА за периода'!$B$61:$B$108,$B45,'11.2. ДА за периода'!T$61:T$108)+SUMIF('11.1.Амортиз.нови активи'!$B$61:$B$108,$B45,'11.1.Амортиз.нови активи'!T$61:T$108)+('11.1.Амортиз.нови активи'!F$112*SUMIF('11.1.Амортиз.нови активи'!$B$61:$B$108,$B45,'11.1.Амортиз.нови активи'!AO$61:AO$108))</f>
        <v>0</v>
      </c>
      <c r="U45" s="1136">
        <f>$S45-SUMIF('11.2. ДА за периода'!$B$61:$B$108,$B45,'11.2. ДА за периода'!$S$61:$S$108)+SUMIF('11.2. ДА за периода'!$B$61:$B$108,$B45,'11.2. ДА за периода'!U$61:U$108)+SUMIF('11.1.Амортиз.нови активи'!$B$61:$B$108,$B45,'11.1.Амортиз.нови активи'!U$61:U$108)+('11.1.Амортиз.нови активи'!G$112*SUMIF('11.1.Амортиз.нови активи'!$B$61:$B$108,$B45,'11.1.Амортиз.нови активи'!AP$61:AP$108))</f>
        <v>0</v>
      </c>
      <c r="V45" s="1136">
        <f>$S45-SUMIF('11.2. ДА за периода'!$B$61:$B$108,$B45,'11.2. ДА за периода'!$S$61:$S$108)+SUMIF('11.2. ДА за периода'!$B$61:$B$108,$B45,'11.2. ДА за периода'!V$61:V$108)+SUMIF('11.1.Амортиз.нови активи'!$B$61:$B$108,$B45,'11.1.Амортиз.нови активи'!V$61:V$108)+('11.1.Амортиз.нови активи'!H$112*SUMIF('11.1.Амортиз.нови активи'!$B$61:$B$108,$B45,'11.1.Амортиз.нови активи'!AQ$61:AQ$108))</f>
        <v>0</v>
      </c>
      <c r="W45" s="1136">
        <f>$S45-SUMIF('11.2. ДА за периода'!$B$61:$B$108,$B45,'11.2. ДА за периода'!$S$61:$S$108)+SUMIF('11.2. ДА за периода'!$B$61:$B$108,$B45,'11.2. ДА за периода'!W$61:W$108)+SUMIF('11.1.Амортиз.нови активи'!$B$61:$B$108,$B45,'11.1.Амортиз.нови активи'!W$61:W$108)+('11.1.Амортиз.нови активи'!I$112*SUMIF('11.1.Амортиз.нови активи'!$B$61:$B$108,$B45,'11.1.Амортиз.нови активи'!AR$61:AR$108))</f>
        <v>0</v>
      </c>
      <c r="X45" s="1136">
        <f>$S45-SUMIF('11.2. ДА за периода'!$B$61:$B$108,$B45,'11.2. ДА за периода'!$S$61:$S$108)+SUMIF('11.2. ДА за периода'!$B$61:$B$108,$B45,'11.2. ДА за периода'!X$61:X$108)+SUMIF('11.1.Амортиз.нови активи'!$B$61:$B$108,$B45,'11.1.Амортиз.нови активи'!X$61:X$108)+('11.1.Амортиз.нови активи'!J$112*SUMIF('11.1.Амортиз.нови активи'!$B$61:$B$108,$B45,'11.1.Амортиз.нови активи'!AS$61:AS$108))</f>
        <v>0</v>
      </c>
      <c r="Y45" s="2656">
        <f>$S45-SUMIF('11.2. ДА за периода'!$B$61:$B$108,$B45,'11.2. ДА за периода'!$S$61:$S$108)+SUMIF('11.2. ДА за периода'!$B$61:$B$108,$B45,'11.2. ДА за периода'!Y$61:Y$108)+SUMIF('11.1.Амортиз.нови активи'!$B$61:$B$108,$B45,'11.1.Амортиз.нови активи'!Y$61:Y$108)+('11.1.Амортиз.нови активи'!K$112*SUMIF('11.1.Амортиз.нови активи'!$B$61:$B$108,$B45,'11.1.Амортиз.нови активи'!AT$61:AT$108))</f>
        <v>0</v>
      </c>
      <c r="Z45" s="4453">
        <f>+'11.3. ДА Базова година'!R50</f>
        <v>0</v>
      </c>
      <c r="AA45" s="2655">
        <f>$Z45-SUMIF('11.2. ДА за периода'!$B$61:$B$108,$B45,'11.2. ДА за периода'!$Z$61:$Z$108)+SUMIF('11.2. ДА за периода'!$B$61:$B$108,$B45,'11.2. ДА за периода'!AA$61:AA$108)+SUMIF('11.1.Амортиз.нови активи'!$B$61:$B$108,$B45,'11.1.Амортиз.нови активи'!AA$61:AA$108)</f>
        <v>0</v>
      </c>
      <c r="AB45" s="1136">
        <f>$Z45-SUMIF('11.2. ДА за периода'!$B$61:$B$108,$B45,'11.2. ДА за периода'!$Z$61:$Z$108)+SUMIF('11.2. ДА за периода'!$B$61:$B$108,$B45,'11.2. ДА за периода'!AB$61:AB$108)+SUMIF('11.1.Амортиз.нови активи'!$B$61:$B$108,$B45,'11.1.Амортиз.нови активи'!AB$61:AB$108)</f>
        <v>0</v>
      </c>
      <c r="AC45" s="1136">
        <f>$Z45-SUMIF('11.2. ДА за периода'!$B$61:$B$108,$B45,'11.2. ДА за периода'!$Z$61:$Z$108)+SUMIF('11.2. ДА за периода'!$B$61:$B$108,$B45,'11.2. ДА за периода'!AC$61:AC$108)+SUMIF('11.1.Амортиз.нови активи'!$B$61:$B$108,$B45,'11.1.Амортиз.нови активи'!AC$61:AC$108)</f>
        <v>0</v>
      </c>
      <c r="AD45" s="1136">
        <f>$Z45-SUMIF('11.2. ДА за периода'!$B$61:$B$108,$B45,'11.2. ДА за периода'!$Z$61:$Z$108)+SUMIF('11.2. ДА за периода'!$B$61:$B$108,$B45,'11.2. ДА за периода'!AD$61:AD$108)+SUMIF('11.1.Амортиз.нови активи'!$B$61:$B$108,$B45,'11.1.Амортиз.нови активи'!AD$61:AD$108)</f>
        <v>0</v>
      </c>
      <c r="AE45" s="1136">
        <f>$Z45-SUMIF('11.2. ДА за периода'!$B$61:$B$108,$B45,'11.2. ДА за периода'!$Z$61:$Z$108)+SUMIF('11.2. ДА за периода'!$B$61:$B$108,$B45,'11.2. ДА за периода'!AE$61:AE$108)+SUMIF('11.1.Амортиз.нови активи'!$B$61:$B$108,$B45,'11.1.Амортиз.нови активи'!AE$61:AE$108)</f>
        <v>0</v>
      </c>
      <c r="AF45" s="2656">
        <f>$Z45-SUMIF('11.2. ДА за периода'!$B$61:$B$108,$B45,'11.2. ДА за периода'!$Z$61:$Z$108)+SUMIF('11.2. ДА за периода'!$B$61:$B$108,$B45,'11.2. ДА за периода'!AF$61:AF$108)+SUMIF('11.1.Амортиз.нови активи'!$B$61:$B$108,$B45,'11.1.Амортиз.нови активи'!AF$61:AF$108)</f>
        <v>0</v>
      </c>
      <c r="AG45" s="2679">
        <f>+'11.3. ДА Базова година'!V50</f>
        <v>0</v>
      </c>
      <c r="AH45" s="2655">
        <f>$AG45-SUMIF('11.2. ДА за периода'!$B$61:$B$108,$B45,'11.2. ДА за периода'!$AG$61:$AG$108)+SUMIF('11.2. ДА за периода'!$B$61:$B$108,$B45,'11.2. ДА за периода'!AH$61:AH$108)+SUMIF('11.1.Амортиз.нови активи'!$B$61:$B$108,$B45,'11.1.Амортиз.нови активи'!AH$61:AH$108)+('11.1.Амортиз.нови активи'!T$112*SUMIF('11.1.Амортиз.нови активи'!$B$61:$B$108,$B45,'11.1.Амортиз.нови активи'!BB$61:BB$108))</f>
        <v>0.08</v>
      </c>
      <c r="AI45" s="1136">
        <f>$AG45-SUMIF('11.2. ДА за периода'!$B$61:$B$108,$B45,'11.2. ДА за периода'!$AG$61:$AG$108)+SUMIF('11.2. ДА за периода'!$B$61:$B$108,$B45,'11.2. ДА за периода'!AI$61:AI$108)+SUMIF('11.1.Амортиз.нови активи'!$B$61:$B$108,$B45,'11.1.Амортиз.нови активи'!AI$61:AI$108)+('11.1.Амортиз.нови активи'!U$112*SUMIF('11.1.Амортиз.нови активи'!$B$61:$B$108,$B45,'11.1.Амортиз.нови активи'!BC$61:BC$108))</f>
        <v>0.16</v>
      </c>
      <c r="AJ45" s="1136">
        <f>$AG45-SUMIF('11.2. ДА за периода'!$B$61:$B$108,$B45,'11.2. ДА за периода'!$AG$61:$AG$108)+SUMIF('11.2. ДА за периода'!$B$61:$B$108,$B45,'11.2. ДА за периода'!AJ$61:AJ$108)+SUMIF('11.1.Амортиз.нови активи'!$B$61:$B$108,$B45,'11.1.Амортиз.нови активи'!AJ$61:AJ$108)+('11.1.Амортиз.нови активи'!V$112*SUMIF('11.1.Амортиз.нови активи'!$B$61:$B$108,$B45,'11.1.Амортиз.нови активи'!BD$61:BD$108))</f>
        <v>0.16</v>
      </c>
      <c r="AK45" s="1136">
        <f>$AG45-SUMIF('11.2. ДА за периода'!$B$61:$B$108,$B45,'11.2. ДА за периода'!$AG$61:$AG$108)+SUMIF('11.2. ДА за периода'!$B$61:$B$108,$B45,'11.2. ДА за периода'!AK$61:AK$108)+SUMIF('11.1.Амортиз.нови активи'!$B$61:$B$108,$B45,'11.1.Амортиз.нови активи'!AK$61:AK$108)+('11.1.Амортиз.нови активи'!W$112*SUMIF('11.1.Амортиз.нови активи'!$B$61:$B$108,$B45,'11.1.Амортиз.нови активи'!BE$61:BE$108))</f>
        <v>0.16</v>
      </c>
      <c r="AL45" s="1136">
        <f>$AG45-SUMIF('11.2. ДА за периода'!$B$61:$B$108,$B45,'11.2. ДА за периода'!$AG$61:$AG$108)+SUMIF('11.2. ДА за периода'!$B$61:$B$108,$B45,'11.2. ДА за периода'!AL$61:AL$108)+SUMIF('11.1.Амортиз.нови активи'!$B$61:$B$108,$B45,'11.1.Амортиз.нови активи'!AL$61:AL$108)+('11.1.Амортиз.нови активи'!X$112*SUMIF('11.1.Амортиз.нови активи'!$B$61:$B$108,$B45,'11.1.Амортиз.нови активи'!BF$61:BF$108))</f>
        <v>0.16</v>
      </c>
      <c r="AM45" s="2656">
        <f>$AG45-SUMIF('11.2. ДА за периода'!$B$61:$B$108,$B45,'11.2. ДА за периода'!$AG$61:$AG$108)+SUMIF('11.2. ДА за периода'!$B$61:$B$108,$B45,'11.2. ДА за периода'!AM$61:AM$108)+SUMIF('11.1.Амортиз.нови активи'!$B$61:$B$108,$B45,'11.1.Амортиз.нови активи'!AM$61:AM$108)+('11.1.Амортиз.нови активи'!Y$112*SUMIF('11.1.Амортиз.нови активи'!$B$61:$B$108,$B45,'11.1.Амортиз.нови активи'!BG$61:BG$108))</f>
        <v>0.16</v>
      </c>
      <c r="AN45" s="2551"/>
      <c r="AO45" s="2589"/>
      <c r="AP45" s="4488"/>
      <c r="AQ45" s="4504">
        <f t="shared" si="31"/>
        <v>0</v>
      </c>
      <c r="AR45" s="4504">
        <f t="shared" si="32"/>
        <v>0</v>
      </c>
      <c r="AS45" s="4504">
        <f t="shared" si="33"/>
        <v>0</v>
      </c>
      <c r="AT45" s="4504">
        <f t="shared" si="34"/>
        <v>0</v>
      </c>
      <c r="AU45" s="4504">
        <f t="shared" si="35"/>
        <v>0</v>
      </c>
      <c r="AV45" s="4504">
        <f t="shared" si="36"/>
        <v>0</v>
      </c>
      <c r="AW45" s="4504">
        <f t="shared" si="37"/>
        <v>0</v>
      </c>
      <c r="AX45" s="4504">
        <f t="shared" si="38"/>
        <v>0</v>
      </c>
      <c r="AY45" s="4504">
        <f t="shared" si="39"/>
        <v>0</v>
      </c>
      <c r="AZ45" s="4504">
        <f t="shared" si="40"/>
        <v>0</v>
      </c>
      <c r="BA45" s="4504">
        <f t="shared" si="41"/>
        <v>0</v>
      </c>
      <c r="BB45" s="4504">
        <f t="shared" si="42"/>
        <v>0</v>
      </c>
      <c r="BC45" s="4504">
        <f t="shared" si="43"/>
        <v>0</v>
      </c>
      <c r="BD45" s="4504">
        <f t="shared" si="44"/>
        <v>0</v>
      </c>
      <c r="BE45" s="4504">
        <f t="shared" si="45"/>
        <v>0</v>
      </c>
      <c r="BF45" s="4504">
        <f t="shared" si="46"/>
        <v>0</v>
      </c>
      <c r="BG45" s="4504">
        <f t="shared" si="47"/>
        <v>0</v>
      </c>
      <c r="BH45" s="4504">
        <f t="shared" si="48"/>
        <v>0</v>
      </c>
      <c r="BI45" s="4504">
        <f t="shared" si="49"/>
        <v>0</v>
      </c>
      <c r="BJ45" s="4504">
        <f t="shared" si="50"/>
        <v>0</v>
      </c>
      <c r="BK45" s="4504">
        <f t="shared" si="51"/>
        <v>0</v>
      </c>
      <c r="BL45" s="4504">
        <f t="shared" si="52"/>
        <v>0</v>
      </c>
      <c r="BM45" s="4504">
        <f t="shared" si="53"/>
        <v>0</v>
      </c>
      <c r="BN45" s="4504">
        <f t="shared" si="54"/>
        <v>0</v>
      </c>
      <c r="BO45" s="4504">
        <f t="shared" si="55"/>
        <v>0</v>
      </c>
      <c r="BP45" s="4504">
        <f t="shared" si="56"/>
        <v>0</v>
      </c>
      <c r="BQ45" s="4504">
        <f t="shared" si="57"/>
        <v>0</v>
      </c>
      <c r="BR45" s="4504">
        <f t="shared" si="58"/>
        <v>0</v>
      </c>
      <c r="BS45" s="4504">
        <f t="shared" si="59"/>
        <v>0</v>
      </c>
      <c r="BT45" s="4504">
        <f t="shared" si="60"/>
        <v>4.0903350495697481E-2</v>
      </c>
      <c r="BU45" s="4504">
        <f t="shared" si="61"/>
        <v>8.1806700991394962E-2</v>
      </c>
      <c r="BV45" s="4504">
        <f t="shared" si="62"/>
        <v>8.1806700991394962E-2</v>
      </c>
      <c r="BW45" s="4504">
        <f t="shared" si="63"/>
        <v>8.1806700991394962E-2</v>
      </c>
      <c r="BX45" s="4504">
        <f t="shared" si="64"/>
        <v>8.1806700991394962E-2</v>
      </c>
      <c r="BY45" s="4504">
        <f t="shared" si="65"/>
        <v>8.1806700991394962E-2</v>
      </c>
    </row>
    <row r="46" spans="1:77">
      <c r="A46" s="2564"/>
      <c r="B46" s="2568">
        <v>20502</v>
      </c>
      <c r="C46" s="2549">
        <v>0.1</v>
      </c>
      <c r="D46" s="2591" t="s">
        <v>411</v>
      </c>
      <c r="E46" s="2679">
        <f>+'11.3. ДА Базова година'!F51</f>
        <v>17.95689071496118</v>
      </c>
      <c r="F46" s="2655">
        <f>$E46-SUMIF('11.2. ДА за периода'!$B$61:$B$108,$B46,'11.2. ДА за периода'!$E$61:$E$108)+SUMIF('11.2. ДА за периода'!$B$61:$B$108,$B46,'11.2. ДА за периода'!F$61:F$108)+SUMIF('11.1.Амортиз.нови активи'!$B$61:$B$108,$B46,'11.1.Амортиз.нови активи'!F$61:F$108)+('11.1.Амортиз.нови активи'!F$110*SUMIF('11.1.Амортиз.нови активи'!$B$61:$B$108,$B46,'11.1.Амортиз.нови активи'!AO$61:AO$108))</f>
        <v>27.656700217107463</v>
      </c>
      <c r="G46" s="1136">
        <f>$E46-SUMIF('11.2. ДА за периода'!$B$61:$B$108,$B46,'11.2. ДА за периода'!$E$61:$E$108)+SUMIF('11.2. ДА за периода'!$B$61:$B$108,$B46,'11.2. ДА за периода'!G$61:G$108)+SUMIF('11.1.Амортиз.нови активи'!$B$61:$B$108,$B46,'11.1.Амортиз.нови активи'!G$61:G$108)+('11.1.Амортиз.нови активи'!G$110*SUMIF('11.1.Амортиз.нови активи'!$B$61:$B$108,$B46,'11.1.Амортиз.нови активи'!AP$61:AP$108))</f>
        <v>27.752934433514145</v>
      </c>
      <c r="H46" s="1136">
        <f>$E46-SUMIF('11.2. ДА за периода'!$B$61:$B$108,$B46,'11.2. ДА за периода'!$E$61:$E$108)+SUMIF('11.2. ДА за периода'!$B$61:$B$108,$B46,'11.2. ДА за периода'!H$61:H$108)+SUMIF('11.1.Амортиз.нови активи'!$B$61:$B$108,$B46,'11.1.Амортиз.нови активи'!H$61:H$108)+('11.1.Амортиз.нови активи'!H$110*SUMIF('11.1.Амортиз.нови активи'!$B$61:$B$108,$B46,'11.1.Амортиз.нови активи'!AQ$61:AQ$108))</f>
        <v>27.750035989838661</v>
      </c>
      <c r="I46" s="1136">
        <f>$E46-SUMIF('11.2. ДА за периода'!$B$61:$B$108,$B46,'11.2. ДА за периода'!$E$61:$E$108)+SUMIF('11.2. ДА за периода'!$B$61:$B$108,$B46,'11.2. ДА за периода'!I$61:I$108)+SUMIF('11.1.Амортиз.нови активи'!$B$61:$B$108,$B46,'11.1.Амортиз.нови активи'!I$61:I$108)+('11.1.Амортиз.нови активи'!I$110*SUMIF('11.1.Амортиз.нови активи'!$B$61:$B$108,$B46,'11.1.Амортиз.нови активи'!AR$61:AR$108))</f>
        <v>27.74832355931748</v>
      </c>
      <c r="J46" s="1136">
        <f>$E46-SUMIF('11.2. ДА за периода'!$B$61:$B$108,$B46,'11.2. ДА за периода'!$E$61:$E$108)+SUMIF('11.2. ДА за периода'!$B$61:$B$108,$B46,'11.2. ДА за периода'!J$61:J$108)+SUMIF('11.1.Амортиз.нови активи'!$B$61:$B$108,$B46,'11.1.Амортиз.нови активи'!J$61:J$108)+('11.1.Амортиз.нови активи'!J$110*SUMIF('11.1.Амортиз.нови активи'!$B$61:$B$108,$B46,'11.1.Амортиз.нови активи'!AS$61:AS$108))</f>
        <v>27.747305266936287</v>
      </c>
      <c r="K46" s="2656">
        <f>$E46-SUMIF('11.2. ДА за периода'!$B$61:$B$108,$B46,'11.2. ДА за периода'!$E$61:$E$108)+SUMIF('11.2. ДА за периода'!$B$61:$B$108,$B46,'11.2. ДА за периода'!K$61:K$108)+SUMIF('11.1.Амортиз.нови активи'!$B$61:$B$108,$B46,'11.1.Амортиз.нови активи'!K$61:K$108)+('11.1.Амортиз.нови активи'!K$110*SUMIF('11.1.Амортиз.нови активи'!$B$61:$B$108,$B46,'11.1.Амортиз.нови активи'!AT$61:AT$108))</f>
        <v>27.746572623428349</v>
      </c>
      <c r="L46" s="2679">
        <f>+'11.3. ДА Базова година'!J51</f>
        <v>3.7803856717525877</v>
      </c>
      <c r="M46" s="2655">
        <f>$L46-SUMIF('11.2. ДА за периода'!$B$61:$B$108,$B46,'11.2. ДА за периода'!$L$61:$L$108)+SUMIF('11.2. ДА за периода'!$B$61:$B$108,$B46,'11.2. ДА за периода'!M$61:M$108)+SUMIF('11.1.Амортиз.нови активи'!$B$61:$B$108,$B46,'11.1.Амортиз.нови активи'!M$61:M$108)+('11.1.Амортиз.нови активи'!F$111*SUMIF('11.1.Амортиз.нови активи'!$B$61:$B$108,$B46,'11.1.Амортиз.нови активи'!AO$61:AO$108))</f>
        <v>5.3636446481251765</v>
      </c>
      <c r="N46" s="1136">
        <f>$L46-SUMIF('11.2. ДА за периода'!$B$61:$B$108,$B46,'11.2. ДА за периода'!$L$61:$L$108)+SUMIF('11.2. ДА за периода'!$B$61:$B$108,$B46,'11.2. ДА за периода'!N$61:N$108)+SUMIF('11.1.Амортиз.нови активи'!$B$61:$B$108,$B46,'11.1.Амортиз.нови активи'!N$61:N$108)+('11.1.Амортиз.нови активи'!G$111*SUMIF('11.1.Амортиз.нови активи'!$B$61:$B$108,$B46,'11.1.Амортиз.нови активи'!AP$61:AP$108))</f>
        <v>5.3647322625479159</v>
      </c>
      <c r="O46" s="1136">
        <f>$L46-SUMIF('11.2. ДА за периода'!$B$61:$B$108,$B46,'11.2. ДА за периода'!$L$61:$L$108)+SUMIF('11.2. ДА за периода'!$B$61:$B$108,$B46,'11.2. ДА за периода'!O$61:O$108)+SUMIF('11.1.Амортиз.нови активи'!$B$61:$B$108,$B46,'11.1.Амортиз.нови активи'!O$61:O$108)+('11.1.Амортиз.нови активи'!H$111*SUMIF('11.1.Амортиз.нови активи'!$B$61:$B$108,$B46,'11.1.Амортиз.нови активи'!AQ$61:AQ$108))</f>
        <v>5.3652350609235722</v>
      </c>
      <c r="P46" s="1136">
        <f>$L46-SUMIF('11.2. ДА за периода'!$B$61:$B$108,$B46,'11.2. ДА за периода'!$L$61:$L$108)+SUMIF('11.2. ДА за периода'!$B$61:$B$108,$B46,'11.2. ДА за периода'!P$61:P$108)+SUMIF('11.1.Амортиз.нови активи'!$B$61:$B$108,$B46,'11.1.Амортиз.нови активи'!P$61:P$108)+('11.1.Амортиз.нови активи'!I$111*SUMIF('11.1.Амортиз.нови активи'!$B$61:$B$108,$B46,'11.1.Амортиз.нови активи'!AR$61:AR$108))</f>
        <v>5.3655237816732058</v>
      </c>
      <c r="Q46" s="1136">
        <f>$L46-SUMIF('11.2. ДА за периода'!$B$61:$B$108,$B46,'11.2. ДА за периода'!$L$61:$L$108)+SUMIF('11.2. ДА за периода'!$B$61:$B$108,$B46,'11.2. ДА за периода'!Q$61:Q$108)+SUMIF('11.1.Амортиз.нови активи'!$B$61:$B$108,$B46,'11.1.Амортиз.нови активи'!Q$61:Q$108)+('11.1.Амортиз.нови активи'!J$111*SUMIF('11.1.Амортиз.нови активи'!$B$61:$B$108,$B46,'11.1.Амортиз.нови активи'!AS$61:AS$108))</f>
        <v>5.3656845220699543</v>
      </c>
      <c r="R46" s="2656">
        <f>$L46-SUMIF('11.2. ДА за периода'!$B$61:$B$108,$B46,'11.2. ДА за периода'!$L$61:$L$108)+SUMIF('11.2. ДА за периода'!$B$61:$B$108,$B46,'11.2. ДА за периода'!R$61:R$108)+SUMIF('11.1.Амортиз.нови активи'!$B$61:$B$108,$B46,'11.1.Амортиз.нови активи'!R$61:R$108)+('11.1.Амортиз.нови активи'!K$111*SUMIF('11.1.Амортиз.нови активи'!$B$61:$B$108,$B46,'11.1.Амортиз.нови активи'!AT$61:AT$108))</f>
        <v>5.3658015587869139</v>
      </c>
      <c r="S46" s="2679">
        <f>+'11.3. ДА Базова година'!N51</f>
        <v>2.4379581185412693</v>
      </c>
      <c r="T46" s="2655">
        <f>$S46-SUMIF('11.2. ДА за периода'!$B$61:$B$108,$B46,'11.2. ДА за периода'!$S$61:$S$108)+SUMIF('11.2. ДА за периода'!$B$61:$B$108,$B46,'11.2. ДА за периода'!T$61:T$108)+SUMIF('11.1.Амортиз.нови активи'!$B$61:$B$108,$B46,'11.1.Амортиз.нови активи'!T$61:T$108)+('11.1.Амортиз.нови активи'!F$112*SUMIF('11.1.Амортиз.нови активи'!$B$61:$B$108,$B46,'11.1.Амортиз.нови активи'!AO$61:AO$108))</f>
        <v>4.3698088548307998</v>
      </c>
      <c r="U46" s="1136">
        <f>$S46-SUMIF('11.2. ДА за периода'!$B$61:$B$108,$B46,'11.2. ДА за периода'!$S$61:$S$108)+SUMIF('11.2. ДА за периода'!$B$61:$B$108,$B46,'11.2. ДА за периода'!U$61:U$108)+SUMIF('11.1.Амортиз.нови активи'!$B$61:$B$108,$B46,'11.1.Амортиз.нови активи'!U$61:U$108)+('11.1.Амортиз.нови активи'!G$112*SUMIF('11.1.Амортиз.нови активи'!$B$61:$B$108,$B46,'11.1.Амортиз.нови активи'!AP$61:AP$108))</f>
        <v>4.37248702400138</v>
      </c>
      <c r="V46" s="1136">
        <f>$S46-SUMIF('11.2. ДА за периода'!$B$61:$B$108,$B46,'11.2. ДА за периода'!$S$61:$S$108)+SUMIF('11.2. ДА за периода'!$B$61:$B$108,$B46,'11.2. ДА за периода'!V$61:V$108)+SUMIF('11.1.Амортиз.нови активи'!$B$61:$B$108,$B46,'11.1.Амортиз.нови активи'!V$61:V$108)+('11.1.Амортиз.нови активи'!H$112*SUMIF('11.1.Амортиз.нови активи'!$B$61:$B$108,$B46,'11.1.Амортиз.нови активи'!AQ$61:AQ$108))</f>
        <v>4.3748826693012086</v>
      </c>
      <c r="W46" s="1136">
        <f>$S46-SUMIF('11.2. ДА за периода'!$B$61:$B$108,$B46,'11.2. ДА за периода'!$S$61:$S$108)+SUMIF('11.2. ДА за периода'!$B$61:$B$108,$B46,'11.2. ДА за периода'!W$61:W$108)+SUMIF('11.1.Амортиз.нови активи'!$B$61:$B$108,$B46,'11.1.Амортиз.нови активи'!W$61:W$108)+('11.1.Амортиз.нови активи'!I$112*SUMIF('11.1.Амортиз.нови активи'!$B$61:$B$108,$B46,'11.1.Амортиз.нови активи'!AR$61:AR$108))</f>
        <v>4.3763063790727559</v>
      </c>
      <c r="X46" s="1136">
        <f>$S46-SUMIF('11.2. ДА за периода'!$B$61:$B$108,$B46,'11.2. ДА за периода'!$S$61:$S$108)+SUMIF('11.2. ДА за периода'!$B$61:$B$108,$B46,'11.2. ДА за периода'!X$61:X$108)+SUMIF('11.1.Амортиз.нови активи'!$B$61:$B$108,$B46,'11.1.Амортиз.нови активи'!X$61:X$108)+('11.1.Амортиз.нови активи'!J$112*SUMIF('11.1.Амортиз.нови активи'!$B$61:$B$108,$B46,'11.1.Амортиз.нови активи'!AS$61:AS$108))</f>
        <v>4.3771639310571988</v>
      </c>
      <c r="Y46" s="2656">
        <f>$S46-SUMIF('11.2. ДА за периода'!$B$61:$B$108,$B46,'11.2. ДА за периода'!$S$61:$S$108)+SUMIF('11.2. ДА за периода'!$B$61:$B$108,$B46,'11.2. ДА за периода'!Y$61:Y$108)+SUMIF('11.1.Амортиз.нови активи'!$B$61:$B$108,$B46,'11.1.Амортиз.нови активи'!Y$61:Y$108)+('11.1.Амортиз.нови активи'!K$112*SUMIF('11.1.Амортиз.нови активи'!$B$61:$B$108,$B46,'11.1.Амортиз.нови активи'!AT$61:AT$108))</f>
        <v>4.3777795378481761</v>
      </c>
      <c r="Z46" s="4453">
        <f>+'11.3. ДА Базова година'!R51</f>
        <v>0</v>
      </c>
      <c r="AA46" s="2655">
        <f>$Z46-SUMIF('11.2. ДА за периода'!$B$61:$B$108,$B46,'11.2. ДА за периода'!$Z$61:$Z$108)+SUMIF('11.2. ДА за периода'!$B$61:$B$108,$B46,'11.2. ДА за периода'!AA$61:AA$108)+SUMIF('11.1.Амортиз.нови активи'!$B$61:$B$108,$B46,'11.1.Амортиз.нови активи'!AA$61:AA$108)</f>
        <v>0</v>
      </c>
      <c r="AB46" s="1136">
        <f>$Z46-SUMIF('11.2. ДА за периода'!$B$61:$B$108,$B46,'11.2. ДА за периода'!$Z$61:$Z$108)+SUMIF('11.2. ДА за периода'!$B$61:$B$108,$B46,'11.2. ДА за периода'!AB$61:AB$108)+SUMIF('11.1.Амортиз.нови активи'!$B$61:$B$108,$B46,'11.1.Амортиз.нови активи'!AB$61:AB$108)</f>
        <v>0</v>
      </c>
      <c r="AC46" s="1136">
        <f>$Z46-SUMIF('11.2. ДА за периода'!$B$61:$B$108,$B46,'11.2. ДА за периода'!$Z$61:$Z$108)+SUMIF('11.2. ДА за периода'!$B$61:$B$108,$B46,'11.2. ДА за периода'!AC$61:AC$108)+SUMIF('11.1.Амортиз.нови активи'!$B$61:$B$108,$B46,'11.1.Амортиз.нови активи'!AC$61:AC$108)</f>
        <v>0</v>
      </c>
      <c r="AD46" s="1136">
        <f>$Z46-SUMIF('11.2. ДА за периода'!$B$61:$B$108,$B46,'11.2. ДА за периода'!$Z$61:$Z$108)+SUMIF('11.2. ДА за периода'!$B$61:$B$108,$B46,'11.2. ДА за периода'!AD$61:AD$108)+SUMIF('11.1.Амортиз.нови активи'!$B$61:$B$108,$B46,'11.1.Амортиз.нови активи'!AD$61:AD$108)</f>
        <v>0</v>
      </c>
      <c r="AE46" s="1136">
        <f>$Z46-SUMIF('11.2. ДА за периода'!$B$61:$B$108,$B46,'11.2. ДА за периода'!$Z$61:$Z$108)+SUMIF('11.2. ДА за периода'!$B$61:$B$108,$B46,'11.2. ДА за периода'!AE$61:AE$108)+SUMIF('11.1.Амортиз.нови активи'!$B$61:$B$108,$B46,'11.1.Амортиз.нови активи'!AE$61:AE$108)</f>
        <v>0</v>
      </c>
      <c r="AF46" s="2656">
        <f>$Z46-SUMIF('11.2. ДА за периода'!$B$61:$B$108,$B46,'11.2. ДА за периода'!$Z$61:$Z$108)+SUMIF('11.2. ДА за периода'!$B$61:$B$108,$B46,'11.2. ДА за периода'!AF$61:AF$108)+SUMIF('11.1.Амортиз.нови активи'!$B$61:$B$108,$B46,'11.1.Амортиз.нови активи'!AF$61:AF$108)</f>
        <v>0</v>
      </c>
      <c r="AG46" s="2679">
        <f>+'11.3. ДА Базова година'!V51</f>
        <v>0.14712123643444119</v>
      </c>
      <c r="AH46" s="2655">
        <f>$AG46-SUMIF('11.2. ДА за периода'!$B$61:$B$108,$B46,'11.2. ДА за периода'!$AG$61:$AG$108)+SUMIF('11.2. ДА за периода'!$B$61:$B$108,$B46,'11.2. ДА за периода'!AH$61:AH$108)+SUMIF('11.1.Амортиз.нови активи'!$B$61:$B$108,$B46,'11.1.Амортиз.нови активи'!AH$61:AH$108)+('11.1.Амортиз.нови активи'!T$112*SUMIF('11.1.Амортиз.нови активи'!$B$61:$B$108,$B46,'11.1.Амортиз.нови активи'!BB$61:BB$108))</f>
        <v>0.28758757360021936</v>
      </c>
      <c r="AI46" s="1136">
        <f>$AG46-SUMIF('11.2. ДА за периода'!$B$61:$B$108,$B46,'11.2. ДА за периода'!$AG$61:$AG$108)+SUMIF('11.2. ДА за периода'!$B$61:$B$108,$B46,'11.2. ДА за периода'!AI$61:AI$108)+SUMIF('11.1.Амортиз.нови активи'!$B$61:$B$108,$B46,'11.1.Амортиз.нови активи'!AI$61:AI$108)+('11.1.Амортиз.нови активи'!U$112*SUMIF('11.1.Амортиз.нови активи'!$B$61:$B$108,$B46,'11.1.Амортиз.нови активи'!BC$61:BC$108))</f>
        <v>0.3375875736002194</v>
      </c>
      <c r="AJ46" s="1136">
        <f>$AG46-SUMIF('11.2. ДА за периода'!$B$61:$B$108,$B46,'11.2. ДА за периода'!$AG$61:$AG$108)+SUMIF('11.2. ДА за периода'!$B$61:$B$108,$B46,'11.2. ДА за периода'!AJ$61:AJ$108)+SUMIF('11.1.Амортиз.нови активи'!$B$61:$B$108,$B46,'11.1.Амортиз.нови активи'!AJ$61:AJ$108)+('11.1.Амортиз.нови активи'!V$112*SUMIF('11.1.Амортиз.нови активи'!$B$61:$B$108,$B46,'11.1.Амортиз.нови активи'!BD$61:BD$108))</f>
        <v>0.3375875736002194</v>
      </c>
      <c r="AK46" s="1136">
        <f>$AG46-SUMIF('11.2. ДА за периода'!$B$61:$B$108,$B46,'11.2. ДА за периода'!$AG$61:$AG$108)+SUMIF('11.2. ДА за периода'!$B$61:$B$108,$B46,'11.2. ДА за периода'!AK$61:AK$108)+SUMIF('11.1.Амортиз.нови активи'!$B$61:$B$108,$B46,'11.1.Амортиз.нови активи'!AK$61:AK$108)+('11.1.Амортиз.нови активи'!W$112*SUMIF('11.1.Амортиз.нови активи'!$B$61:$B$108,$B46,'11.1.Амортиз.нови активи'!BE$61:BE$108))</f>
        <v>0.3375875736002194</v>
      </c>
      <c r="AL46" s="1136">
        <f>$AG46-SUMIF('11.2. ДА за периода'!$B$61:$B$108,$B46,'11.2. ДА за периода'!$AG$61:$AG$108)+SUMIF('11.2. ДА за периода'!$B$61:$B$108,$B46,'11.2. ДА за периода'!AL$61:AL$108)+SUMIF('11.1.Амортиз.нови активи'!$B$61:$B$108,$B46,'11.1.Амортиз.нови активи'!AL$61:AL$108)+('11.1.Амортиз.нови активи'!X$112*SUMIF('11.1.Амортиз.нови активи'!$B$61:$B$108,$B46,'11.1.Амортиз.нови активи'!BF$61:BF$108))</f>
        <v>0.3375875736002194</v>
      </c>
      <c r="AM46" s="2656">
        <f>$AG46-SUMIF('11.2. ДА за периода'!$B$61:$B$108,$B46,'11.2. ДА за периода'!$AG$61:$AG$108)+SUMIF('11.2. ДА за периода'!$B$61:$B$108,$B46,'11.2. ДА за периода'!AM$61:AM$108)+SUMIF('11.1.Амортиз.нови активи'!$B$61:$B$108,$B46,'11.1.Амортиз.нови активи'!AM$61:AM$108)+('11.1.Амортиз.нови активи'!Y$112*SUMIF('11.1.Амортиз.нови активи'!$B$61:$B$108,$B46,'11.1.Амортиз.нови активи'!BG$61:BG$108))</f>
        <v>0.3375875736002194</v>
      </c>
      <c r="AN46" s="2551"/>
      <c r="AO46" s="2589"/>
      <c r="AP46" s="4488"/>
      <c r="AQ46" s="4504">
        <f t="shared" si="31"/>
        <v>9.1812124340874099</v>
      </c>
      <c r="AR46" s="4504">
        <f t="shared" si="32"/>
        <v>14.14064628168474</v>
      </c>
      <c r="AS46" s="4504">
        <f t="shared" si="33"/>
        <v>14.189850055226756</v>
      </c>
      <c r="AT46" s="4504">
        <f t="shared" si="34"/>
        <v>14.188368104507376</v>
      </c>
      <c r="AU46" s="4504">
        <f t="shared" si="35"/>
        <v>14.187492552684784</v>
      </c>
      <c r="AV46" s="4504">
        <f t="shared" si="36"/>
        <v>14.186971908057595</v>
      </c>
      <c r="AW46" s="4504">
        <f t="shared" si="37"/>
        <v>14.186597313380176</v>
      </c>
      <c r="AX46" s="4504">
        <f t="shared" si="38"/>
        <v>1.9328805017576107</v>
      </c>
      <c r="AY46" s="4504">
        <f t="shared" si="39"/>
        <v>2.742387962207951</v>
      </c>
      <c r="AZ46" s="4504">
        <f t="shared" si="40"/>
        <v>2.7429440506321696</v>
      </c>
      <c r="BA46" s="4504">
        <f t="shared" si="41"/>
        <v>2.7432011273595212</v>
      </c>
      <c r="BB46" s="4504">
        <f t="shared" si="42"/>
        <v>2.7433487479347418</v>
      </c>
      <c r="BC46" s="4504">
        <f t="shared" si="43"/>
        <v>2.7434309331945794</v>
      </c>
      <c r="BD46" s="4504">
        <f t="shared" si="44"/>
        <v>2.7434907731177627</v>
      </c>
      <c r="BE46" s="4504">
        <f t="shared" si="45"/>
        <v>1.2465081927065591</v>
      </c>
      <c r="BF46" s="4504">
        <f t="shared" si="46"/>
        <v>2.2342477898543329</v>
      </c>
      <c r="BG46" s="4504">
        <f t="shared" si="47"/>
        <v>2.2356171160077207</v>
      </c>
      <c r="BH46" s="4504">
        <f t="shared" si="48"/>
        <v>2.2368419899997489</v>
      </c>
      <c r="BI46" s="4504">
        <f t="shared" si="49"/>
        <v>2.2375699212471205</v>
      </c>
      <c r="BJ46" s="4504">
        <f t="shared" si="50"/>
        <v>2.2380083806144699</v>
      </c>
      <c r="BK46" s="4504">
        <f t="shared" si="51"/>
        <v>2.2383231353687059</v>
      </c>
      <c r="BL46" s="4504">
        <f t="shared" si="52"/>
        <v>0</v>
      </c>
      <c r="BM46" s="4504">
        <f t="shared" si="53"/>
        <v>0</v>
      </c>
      <c r="BN46" s="4504">
        <f t="shared" si="54"/>
        <v>0</v>
      </c>
      <c r="BO46" s="4504">
        <f t="shared" si="55"/>
        <v>0</v>
      </c>
      <c r="BP46" s="4504">
        <f t="shared" si="56"/>
        <v>0</v>
      </c>
      <c r="BQ46" s="4504">
        <f t="shared" si="57"/>
        <v>0</v>
      </c>
      <c r="BR46" s="4504">
        <f t="shared" si="58"/>
        <v>0</v>
      </c>
      <c r="BS46" s="4504">
        <f t="shared" si="59"/>
        <v>7.5221893740479079E-2</v>
      </c>
      <c r="BT46" s="4504">
        <f t="shared" si="60"/>
        <v>0.14704119151471209</v>
      </c>
      <c r="BU46" s="4504">
        <f t="shared" si="61"/>
        <v>0.17260578557452305</v>
      </c>
      <c r="BV46" s="4504">
        <f t="shared" si="62"/>
        <v>0.17260578557452305</v>
      </c>
      <c r="BW46" s="4504">
        <f t="shared" si="63"/>
        <v>0.17260578557452305</v>
      </c>
      <c r="BX46" s="4504">
        <f t="shared" si="64"/>
        <v>0.17260578557452305</v>
      </c>
      <c r="BY46" s="4504">
        <f t="shared" si="65"/>
        <v>0.17260578557452305</v>
      </c>
    </row>
    <row r="47" spans="1:77">
      <c r="A47" s="2564"/>
      <c r="B47" s="2568">
        <v>20503</v>
      </c>
      <c r="C47" s="2549">
        <v>0.1</v>
      </c>
      <c r="D47" s="2588" t="s">
        <v>412</v>
      </c>
      <c r="E47" s="2679">
        <f>+'11.3. ДА Базова година'!F52</f>
        <v>1.2932565399168809</v>
      </c>
      <c r="F47" s="2655">
        <f>$E47-SUMIF('11.2. ДА за периода'!$B$61:$B$108,$B47,'11.2. ДА за периода'!$E$61:$E$108)+SUMIF('11.2. ДА за периода'!$B$61:$B$108,$B47,'11.2. ДА за периода'!F$61:F$108)+SUMIF('11.1.Амортиз.нови активи'!$B$61:$B$108,$B47,'11.1.Амортиз.нови активи'!F$61:F$108)+('11.1.Амортиз.нови активи'!F$110*SUMIF('11.1.Амортиз.нови активи'!$B$61:$B$108,$B47,'11.1.Амортиз.нови активи'!AO$61:AO$108))</f>
        <v>1.7967092871696282</v>
      </c>
      <c r="G47" s="1136">
        <f>$E47-SUMIF('11.2. ДА за периода'!$B$61:$B$108,$B47,'11.2. ДА за периода'!$E$61:$E$108)+SUMIF('11.2. ДА за периода'!$B$61:$B$108,$B47,'11.2. ДА за периода'!G$61:G$108)+SUMIF('11.1.Амортиз.нови активи'!$B$61:$B$108,$B47,'11.1.Амортиз.нови активи'!G$61:G$108)+('11.1.Амортиз.нови активи'!G$110*SUMIF('11.1.Амортиз.нови активи'!$B$61:$B$108,$B47,'11.1.Амортиз.нови активи'!AP$61:AP$108))</f>
        <v>1.8929435035763094</v>
      </c>
      <c r="H47" s="1136">
        <f>$E47-SUMIF('11.2. ДА за периода'!$B$61:$B$108,$B47,'11.2. ДА за периода'!$E$61:$E$108)+SUMIF('11.2. ДА за периода'!$B$61:$B$108,$B47,'11.2. ДА за периода'!H$61:H$108)+SUMIF('11.1.Амортиз.нови активи'!$B$61:$B$108,$B47,'11.1.Амортиз.нови активи'!H$61:H$108)+('11.1.Амортиз.нови активи'!H$110*SUMIF('11.1.Амортиз.нови активи'!$B$61:$B$108,$B47,'11.1.Амортиз.нови активи'!AQ$61:AQ$108))</f>
        <v>1.8900450599008249</v>
      </c>
      <c r="I47" s="1136">
        <f>$E47-SUMIF('11.2. ДА за периода'!$B$61:$B$108,$B47,'11.2. ДА за периода'!$E$61:$E$108)+SUMIF('11.2. ДА за периода'!$B$61:$B$108,$B47,'11.2. ДА за периода'!I$61:I$108)+SUMIF('11.1.Амортиз.нови активи'!$B$61:$B$108,$B47,'11.1.Амортиз.нови активи'!I$61:I$108)+('11.1.Амортиз.нови активи'!I$110*SUMIF('11.1.Амортиз.нови активи'!$B$61:$B$108,$B47,'11.1.Амортиз.нови активи'!AR$61:AR$108))</f>
        <v>1.8883326293796432</v>
      </c>
      <c r="J47" s="1136">
        <f>$E47-SUMIF('11.2. ДА за периода'!$B$61:$B$108,$B47,'11.2. ДА за периода'!$E$61:$E$108)+SUMIF('11.2. ДА за периода'!$B$61:$B$108,$B47,'11.2. ДА за периода'!J$61:J$108)+SUMIF('11.1.Амортиз.нови активи'!$B$61:$B$108,$B47,'11.1.Амортиз.нови активи'!J$61:J$108)+('11.1.Амортиз.нови активи'!J$110*SUMIF('11.1.Амортиз.нови активи'!$B$61:$B$108,$B47,'11.1.Амортиз.нови активи'!AS$61:AS$108))</f>
        <v>1.8873143369984522</v>
      </c>
      <c r="K47" s="2656">
        <f>$E47-SUMIF('11.2. ДА за периода'!$B$61:$B$108,$B47,'11.2. ДА за периода'!$E$61:$E$108)+SUMIF('11.2. ДА за периода'!$B$61:$B$108,$B47,'11.2. ДА за периода'!K$61:K$108)+SUMIF('11.1.Амортиз.нови активи'!$B$61:$B$108,$B47,'11.1.Амортиз.нови активи'!K$61:K$108)+('11.1.Амортиз.нови активи'!K$110*SUMIF('11.1.Амортиз.нови активи'!$B$61:$B$108,$B47,'11.1.Амортиз.нови активи'!AT$61:AT$108))</f>
        <v>1.8865816934905151</v>
      </c>
      <c r="L47" s="2679">
        <f>+'11.3. ДА Базова година'!J52</f>
        <v>0.15549608817965752</v>
      </c>
      <c r="M47" s="2655">
        <f>$L47-SUMIF('11.2. ДА за периода'!$B$61:$B$108,$B47,'11.2. ДА за периода'!$L$61:$L$108)+SUMIF('11.2. ДА за периода'!$B$61:$B$108,$B47,'11.2. ДА за периода'!M$61:M$108)+SUMIF('11.1.Амортиз.нови активи'!$B$61:$B$108,$B47,'11.1.Амортиз.нови активи'!M$61:M$108)+('11.1.Амортиз.нови активи'!F$111*SUMIF('11.1.Амортиз.нови активи'!$B$61:$B$108,$B47,'11.1.Амортиз.нови активи'!AO$61:AO$108))</f>
        <v>0.15619938488295421</v>
      </c>
      <c r="N47" s="1136">
        <f>$L47-SUMIF('11.2. ДА за периода'!$B$61:$B$108,$B47,'11.2. ДА за периода'!$L$61:$L$108)+SUMIF('11.2. ДА за периода'!$B$61:$B$108,$B47,'11.2. ДА за периода'!N$61:N$108)+SUMIF('11.1.Амортиз.нови активи'!$B$61:$B$108,$B47,'11.1.Амортиз.нови активи'!N$61:N$108)+('11.1.Амортиз.нови активи'!G$111*SUMIF('11.1.Амортиз.нови активи'!$B$61:$B$108,$B47,'11.1.Амортиз.нови активи'!AP$61:AP$108))</f>
        <v>0.30728699930569292</v>
      </c>
      <c r="O47" s="1136">
        <f>$L47-SUMIF('11.2. ДА за периода'!$B$61:$B$108,$B47,'11.2. ДА за периода'!$L$61:$L$108)+SUMIF('11.2. ДА за периода'!$B$61:$B$108,$B47,'11.2. ДА за периода'!O$61:O$108)+SUMIF('11.1.Амортиз.нови активи'!$B$61:$B$108,$B47,'11.1.Амортиз.нови активи'!O$61:O$108)+('11.1.Амортиз.нови активи'!H$111*SUMIF('11.1.Амортиз.нови активи'!$B$61:$B$108,$B47,'11.1.Амортиз.нови активи'!AQ$61:AQ$108))</f>
        <v>0.60778979768134922</v>
      </c>
      <c r="P47" s="1136">
        <f>$L47-SUMIF('11.2. ДА за периода'!$B$61:$B$108,$B47,'11.2. ДА за периода'!$L$61:$L$108)+SUMIF('11.2. ДА за периода'!$B$61:$B$108,$B47,'11.2. ДА за периода'!P$61:P$108)+SUMIF('11.1.Амортиз.нови активи'!$B$61:$B$108,$B47,'11.1.Амортиз.нови активи'!P$61:P$108)+('11.1.Амортиз.нови активи'!I$111*SUMIF('11.1.Амортиз.нови активи'!$B$61:$B$108,$B47,'11.1.Амортиз.нови активи'!AR$61:AR$108))</f>
        <v>0.90807851843098342</v>
      </c>
      <c r="Q47" s="1136">
        <f>$L47-SUMIF('11.2. ДА за периода'!$B$61:$B$108,$B47,'11.2. ДА за периода'!$L$61:$L$108)+SUMIF('11.2. ДА за периода'!$B$61:$B$108,$B47,'11.2. ДА за периода'!Q$61:Q$108)+SUMIF('11.1.Амортиз.нови активи'!$B$61:$B$108,$B47,'11.1.Амортиз.нови активи'!Q$61:Q$108)+('11.1.Амортиз.нови активи'!J$111*SUMIF('11.1.Амортиз.нови активи'!$B$61:$B$108,$B47,'11.1.Амортиз.нови активи'!AS$61:AS$108))</f>
        <v>1.2082392588277318</v>
      </c>
      <c r="R47" s="2656">
        <f>$L47-SUMIF('11.2. ДА за периода'!$B$61:$B$108,$B47,'11.2. ДА за периода'!$L$61:$L$108)+SUMIF('11.2. ДА за периода'!$B$61:$B$108,$B47,'11.2. ДА за периода'!R$61:R$108)+SUMIF('11.1.Амортиз.нови активи'!$B$61:$B$108,$B47,'11.1.Амортиз.нови активи'!R$61:R$108)+('11.1.Амортиз.нови активи'!K$111*SUMIF('11.1.Амортиз.нови активи'!$B$61:$B$108,$B47,'11.1.Амортиз.нови активи'!AT$61:AT$108))</f>
        <v>1.5083562955446914</v>
      </c>
      <c r="S47" s="2679">
        <f>+'11.3. ДА Базова година'!N52</f>
        <v>0.18973360901862787</v>
      </c>
      <c r="T47" s="2655">
        <f>$S47-SUMIF('11.2. ДА за периода'!$B$61:$B$108,$B47,'11.2. ДА за периода'!$S$61:$S$108)+SUMIF('11.2. ДА за периода'!$B$61:$B$108,$B47,'11.2. ДА за периода'!T$61:T$108)+SUMIF('11.1.Амортиз.нови активи'!$B$61:$B$108,$B47,'11.1.Амортиз.нови активи'!T$61:T$108)+('11.1.Амортиз.нови активи'!F$112*SUMIF('11.1.Амортиз.нови активи'!$B$61:$B$108,$B47,'11.1.Амортиз.нови активи'!AO$61:AO$108))</f>
        <v>0.19057756506258391</v>
      </c>
      <c r="U47" s="1136">
        <f>$S47-SUMIF('11.2. ДА за периода'!$B$61:$B$108,$B47,'11.2. ДА за периода'!$S$61:$S$108)+SUMIF('11.2. ДА за периода'!$B$61:$B$108,$B47,'11.2. ДА за периода'!U$61:U$108)+SUMIF('11.1.Амортиз.нови активи'!$B$61:$B$108,$B47,'11.1.Амортиз.нови активи'!U$61:U$108)+('11.1.Амортиз.нови активи'!G$112*SUMIF('11.1.Амортиз.нови активи'!$B$61:$B$108,$B47,'11.1.Амортиз.нови активи'!AP$61:AP$108))</f>
        <v>0.29325573423316409</v>
      </c>
      <c r="V47" s="1136">
        <f>$S47-SUMIF('11.2. ДА за периода'!$B$61:$B$108,$B47,'11.2. ДА за периода'!$S$61:$S$108)+SUMIF('11.2. ДА за периода'!$B$61:$B$108,$B47,'11.2. ДА за периода'!V$61:V$108)+SUMIF('11.1.Амортиз.нови активи'!$B$61:$B$108,$B47,'11.1.Амортиз.нови активи'!V$61:V$108)+('11.1.Амортиз.нови активи'!H$112*SUMIF('11.1.Амортиз.нови активи'!$B$61:$B$108,$B47,'11.1.Амортиз.нови активи'!AQ$61:AQ$108))</f>
        <v>0.49565137953299232</v>
      </c>
      <c r="W47" s="1136">
        <f>$S47-SUMIF('11.2. ДА за периода'!$B$61:$B$108,$B47,'11.2. ДА за периода'!$S$61:$S$108)+SUMIF('11.2. ДА за периода'!$B$61:$B$108,$B47,'11.2. ДА за периода'!W$61:W$108)+SUMIF('11.1.Амортиз.нови активи'!$B$61:$B$108,$B47,'11.1.Амортиз.нови активи'!W$61:W$108)+('11.1.Амортиз.нови активи'!I$112*SUMIF('11.1.Амортиз.нови активи'!$B$61:$B$108,$B47,'11.1.Амортиз.нови активи'!AR$61:AR$108))</f>
        <v>0.69707508930453987</v>
      </c>
      <c r="X47" s="1136">
        <f>$S47-SUMIF('11.2. ДА за периода'!$B$61:$B$108,$B47,'11.2. ДА за периода'!$S$61:$S$108)+SUMIF('11.2. ДА за периода'!$B$61:$B$108,$B47,'11.2. ДА за периода'!X$61:X$108)+SUMIF('11.1.Амортиз.нови активи'!$B$61:$B$108,$B47,'11.1.Амортиз.нови активи'!X$61:X$108)+('11.1.Амортиз.нови активи'!J$112*SUMIF('11.1.Амортиз.нови активи'!$B$61:$B$108,$B47,'11.1.Амортиз.нови активи'!AS$61:AS$108))</f>
        <v>0.89793264128898265</v>
      </c>
      <c r="Y47" s="2656">
        <f>$S47-SUMIF('11.2. ДА за периода'!$B$61:$B$108,$B47,'11.2. ДА за периода'!$S$61:$S$108)+SUMIF('11.2. ДА за периода'!$B$61:$B$108,$B47,'11.2. ДА за периода'!Y$61:Y$108)+SUMIF('11.1.Амортиз.нови активи'!$B$61:$B$108,$B47,'11.1.Амортиз.нови активи'!Y$61:Y$108)+('11.1.Амортиз.нови активи'!K$112*SUMIF('11.1.Амортиз.нови активи'!$B$61:$B$108,$B47,'11.1.Амортиз.нови активи'!AT$61:AT$108))</f>
        <v>1.0985482480799598</v>
      </c>
      <c r="Z47" s="4453">
        <f>+'11.3. ДА Базова година'!R52</f>
        <v>0</v>
      </c>
      <c r="AA47" s="2655">
        <f>$Z47-SUMIF('11.2. ДА за периода'!$B$61:$B$108,$B47,'11.2. ДА за периода'!$Z$61:$Z$108)+SUMIF('11.2. ДА за периода'!$B$61:$B$108,$B47,'11.2. ДА за периода'!AA$61:AA$108)+SUMIF('11.1.Амортиз.нови активи'!$B$61:$B$108,$B47,'11.1.Амортиз.нови активи'!AA$61:AA$108)</f>
        <v>0</v>
      </c>
      <c r="AB47" s="1136">
        <f>$Z47-SUMIF('11.2. ДА за периода'!$B$61:$B$108,$B47,'11.2. ДА за периода'!$Z$61:$Z$108)+SUMIF('11.2. ДА за периода'!$B$61:$B$108,$B47,'11.2. ДА за периода'!AB$61:AB$108)+SUMIF('11.1.Амортиз.нови активи'!$B$61:$B$108,$B47,'11.1.Амортиз.нови активи'!AB$61:AB$108)</f>
        <v>0</v>
      </c>
      <c r="AC47" s="1136">
        <f>$Z47-SUMIF('11.2. ДА за периода'!$B$61:$B$108,$B47,'11.2. ДА за периода'!$Z$61:$Z$108)+SUMIF('11.2. ДА за периода'!$B$61:$B$108,$B47,'11.2. ДА за периода'!AC$61:AC$108)+SUMIF('11.1.Амортиз.нови активи'!$B$61:$B$108,$B47,'11.1.Амортиз.нови активи'!AC$61:AC$108)</f>
        <v>0</v>
      </c>
      <c r="AD47" s="1136">
        <f>$Z47-SUMIF('11.2. ДА за периода'!$B$61:$B$108,$B47,'11.2. ДА за периода'!$Z$61:$Z$108)+SUMIF('11.2. ДА за периода'!$B$61:$B$108,$B47,'11.2. ДА за периода'!AD$61:AD$108)+SUMIF('11.1.Амортиз.нови активи'!$B$61:$B$108,$B47,'11.1.Амортиз.нови активи'!AD$61:AD$108)</f>
        <v>0</v>
      </c>
      <c r="AE47" s="1136">
        <f>$Z47-SUMIF('11.2. ДА за периода'!$B$61:$B$108,$B47,'11.2. ДА за периода'!$Z$61:$Z$108)+SUMIF('11.2. ДА за периода'!$B$61:$B$108,$B47,'11.2. ДА за периода'!AE$61:AE$108)+SUMIF('11.1.Амортиз.нови активи'!$B$61:$B$108,$B47,'11.1.Амортиз.нови активи'!AE$61:AE$108)</f>
        <v>0</v>
      </c>
      <c r="AF47" s="2656">
        <f>$Z47-SUMIF('11.2. ДА за периода'!$B$61:$B$108,$B47,'11.2. ДА за периода'!$Z$61:$Z$108)+SUMIF('11.2. ДА за периода'!$B$61:$B$108,$B47,'11.2. ДА за периода'!AF$61:AF$108)+SUMIF('11.1.Амортиз.нови активи'!$B$61:$B$108,$B47,'11.1.Амортиз.нови активи'!AF$61:AF$108)</f>
        <v>0</v>
      </c>
      <c r="AG47" s="2679">
        <f>+'11.3. ДА Базова година'!V52</f>
        <v>1.5483537628848338</v>
      </c>
      <c r="AH47" s="2655">
        <f>$AG47-SUMIF('11.2. ДА за периода'!$B$61:$B$108,$B47,'11.2. ДА за периода'!$AG$61:$AG$108)+SUMIF('11.2. ДА за периода'!$B$61:$B$108,$B47,'11.2. ДА за периода'!AH$61:AH$108)+SUMIF('11.1.Амортиз.нови активи'!$B$61:$B$108,$B47,'11.1.Амортиз.нови активи'!AH$61:AH$108)+('11.1.Амортиз.нови активи'!T$112*SUMIF('11.1.Амортиз.нови активи'!$B$61:$B$108,$B47,'11.1.Амортиз.нови активи'!BB$61:BB$108))</f>
        <v>1.5483537628848338</v>
      </c>
      <c r="AI47" s="1136">
        <f>$AG47-SUMIF('11.2. ДА за периода'!$B$61:$B$108,$B47,'11.2. ДА за периода'!$AG$61:$AG$108)+SUMIF('11.2. ДА за периода'!$B$61:$B$108,$B47,'11.2. ДА за периода'!AI$61:AI$108)+SUMIF('11.1.Амортиз.нови активи'!$B$61:$B$108,$B47,'11.1.Амортиз.нови активи'!AI$61:AI$108)+('11.1.Амортиз.нови активи'!U$112*SUMIF('11.1.Амортиз.нови активи'!$B$61:$B$108,$B47,'11.1.Амортиз.нови активи'!BC$61:BC$108))</f>
        <v>1.6483537628848339</v>
      </c>
      <c r="AJ47" s="1136">
        <f>$AG47-SUMIF('11.2. ДА за периода'!$B$61:$B$108,$B47,'11.2. ДА за периода'!$AG$61:$AG$108)+SUMIF('11.2. ДА за периода'!$B$61:$B$108,$B47,'11.2. ДА за периода'!AJ$61:AJ$108)+SUMIF('11.1.Амортиз.нови активи'!$B$61:$B$108,$B47,'11.1.Амортиз.нови активи'!AJ$61:AJ$108)+('11.1.Амортиз.нови активи'!V$112*SUMIF('11.1.Амортиз.нови активи'!$B$61:$B$108,$B47,'11.1.Амортиз.нови активи'!BD$61:BD$108))</f>
        <v>1.8483537628848339</v>
      </c>
      <c r="AK47" s="1136">
        <f>$AG47-SUMIF('11.2. ДА за периода'!$B$61:$B$108,$B47,'11.2. ДА за периода'!$AG$61:$AG$108)+SUMIF('11.2. ДА за периода'!$B$61:$B$108,$B47,'11.2. ДА за периода'!AK$61:AK$108)+SUMIF('11.1.Амортиз.нови активи'!$B$61:$B$108,$B47,'11.1.Амортиз.нови активи'!AK$61:AK$108)+('11.1.Амортиз.нови активи'!W$112*SUMIF('11.1.Амортиз.нови активи'!$B$61:$B$108,$B47,'11.1.Амортиз.нови активи'!BE$61:BE$108))</f>
        <v>2.0483537628848341</v>
      </c>
      <c r="AL47" s="1136">
        <f>$AG47-SUMIF('11.2. ДА за периода'!$B$61:$B$108,$B47,'11.2. ДА за периода'!$AG$61:$AG$108)+SUMIF('11.2. ДА за периода'!$B$61:$B$108,$B47,'11.2. ДА за периода'!AL$61:AL$108)+SUMIF('11.1.Амортиз.нови активи'!$B$61:$B$108,$B47,'11.1.Амортиз.нови активи'!AL$61:AL$108)+('11.1.Амортиз.нови активи'!X$112*SUMIF('11.1.Амортиз.нови активи'!$B$61:$B$108,$B47,'11.1.Амортиз.нови активи'!BF$61:BF$108))</f>
        <v>2.2483537628848338</v>
      </c>
      <c r="AM47" s="2656">
        <f>$AG47-SUMIF('11.2. ДА за периода'!$B$61:$B$108,$B47,'11.2. ДА за периода'!$AG$61:$AG$108)+SUMIF('11.2. ДА за периода'!$B$61:$B$108,$B47,'11.2. ДА за периода'!AM$61:AM$108)+SUMIF('11.1.Амортиз.нови активи'!$B$61:$B$108,$B47,'11.1.Амортиз.нови активи'!AM$61:AM$108)+('11.1.Амортиз.нови активи'!Y$112*SUMIF('11.1.Амортиз.нови активи'!$B$61:$B$108,$B47,'11.1.Амортиз.нови активи'!BG$61:BG$108))</f>
        <v>2.448353762884834</v>
      </c>
      <c r="AN47" s="2551"/>
      <c r="AO47" s="2589"/>
      <c r="AP47" s="4488"/>
      <c r="AQ47" s="4504">
        <f t="shared" si="31"/>
        <v>0.66123156916341452</v>
      </c>
      <c r="AR47" s="4504">
        <f t="shared" si="32"/>
        <v>0.91864287139967593</v>
      </c>
      <c r="AS47" s="4504">
        <f t="shared" si="33"/>
        <v>0.96784664494169192</v>
      </c>
      <c r="AT47" s="4504">
        <f t="shared" si="34"/>
        <v>0.9663646942223123</v>
      </c>
      <c r="AU47" s="4504">
        <f t="shared" si="35"/>
        <v>0.96548914239971939</v>
      </c>
      <c r="AV47" s="4504">
        <f t="shared" si="36"/>
        <v>0.96496849777253246</v>
      </c>
      <c r="AW47" s="4504">
        <f t="shared" si="37"/>
        <v>0.96459390309511317</v>
      </c>
      <c r="AX47" s="4504">
        <f t="shared" si="38"/>
        <v>7.9503887444030169E-2</v>
      </c>
      <c r="AY47" s="4504">
        <f t="shared" si="39"/>
        <v>7.9863477338497829E-2</v>
      </c>
      <c r="AZ47" s="4504">
        <f t="shared" si="40"/>
        <v>0.15711334794214882</v>
      </c>
      <c r="BA47" s="4504">
        <f t="shared" si="41"/>
        <v>0.3107579890283661</v>
      </c>
      <c r="BB47" s="4504">
        <f t="shared" si="42"/>
        <v>0.46429317396245245</v>
      </c>
      <c r="BC47" s="4504">
        <f t="shared" si="43"/>
        <v>0.6177629235811557</v>
      </c>
      <c r="BD47" s="4504">
        <f t="shared" si="44"/>
        <v>0.77121032786320465</v>
      </c>
      <c r="BE47" s="4504">
        <f t="shared" si="45"/>
        <v>9.7009253881282051E-2</v>
      </c>
      <c r="BF47" s="4504">
        <f t="shared" si="46"/>
        <v>9.7440761754643251E-2</v>
      </c>
      <c r="BG47" s="4504">
        <f t="shared" si="47"/>
        <v>0.14993927602765275</v>
      </c>
      <c r="BH47" s="4504">
        <f t="shared" si="48"/>
        <v>0.25342252625892453</v>
      </c>
      <c r="BI47" s="4504">
        <f t="shared" si="49"/>
        <v>0.35640883374554022</v>
      </c>
      <c r="BJ47" s="4504">
        <f t="shared" si="50"/>
        <v>0.45910566935213321</v>
      </c>
      <c r="BK47" s="4504">
        <f t="shared" si="51"/>
        <v>0.56167880034561279</v>
      </c>
      <c r="BL47" s="4504">
        <f t="shared" si="52"/>
        <v>0</v>
      </c>
      <c r="BM47" s="4504">
        <f t="shared" si="53"/>
        <v>0</v>
      </c>
      <c r="BN47" s="4504">
        <f t="shared" si="54"/>
        <v>0</v>
      </c>
      <c r="BO47" s="4504">
        <f t="shared" si="55"/>
        <v>0</v>
      </c>
      <c r="BP47" s="4504">
        <f t="shared" si="56"/>
        <v>0</v>
      </c>
      <c r="BQ47" s="4504">
        <f t="shared" si="57"/>
        <v>0</v>
      </c>
      <c r="BR47" s="4504">
        <f t="shared" si="58"/>
        <v>0</v>
      </c>
      <c r="BS47" s="4504">
        <f t="shared" si="59"/>
        <v>0.79166070818263035</v>
      </c>
      <c r="BT47" s="4504">
        <f t="shared" si="60"/>
        <v>0.79166070818263035</v>
      </c>
      <c r="BU47" s="4504">
        <f t="shared" si="61"/>
        <v>0.84278989630225221</v>
      </c>
      <c r="BV47" s="4504">
        <f t="shared" si="62"/>
        <v>0.94504827254149593</v>
      </c>
      <c r="BW47" s="4504">
        <f t="shared" si="63"/>
        <v>1.0473066487807396</v>
      </c>
      <c r="BX47" s="4504">
        <f t="shared" si="64"/>
        <v>1.1495650250199831</v>
      </c>
      <c r="BY47" s="4504">
        <f t="shared" si="65"/>
        <v>1.2518234012592271</v>
      </c>
    </row>
    <row r="48" spans="1:77">
      <c r="A48" s="2564"/>
      <c r="B48" s="2568">
        <v>20504</v>
      </c>
      <c r="C48" s="2549">
        <v>0.1</v>
      </c>
      <c r="D48" s="2588" t="s">
        <v>557</v>
      </c>
      <c r="E48" s="2679">
        <f>+'11.3. ДА Базова година'!F53</f>
        <v>0.19980000000000001</v>
      </c>
      <c r="F48" s="2655">
        <f>$E48-SUMIF('11.2. ДА за периода'!$B$61:$B$108,$B48,'11.2. ДА за периода'!$E$61:$E$108)+SUMIF('11.2. ДА за периода'!$B$61:$B$108,$B48,'11.2. ДА за периода'!F$61:F$108)+SUMIF('11.1.Амортиз.нови активи'!$B$61:$B$108,$B48,'11.1.Амортиз.нови активи'!F$61:F$108)+('11.1.Амортиз.нови активи'!F$110*SUMIF('11.1.Амортиз.нови активи'!$B$61:$B$108,$B48,'11.1.Амортиз.нови активи'!AO$61:AO$108))</f>
        <v>0.19980000000000001</v>
      </c>
      <c r="G48" s="1136">
        <f>$E48-SUMIF('11.2. ДА за периода'!$B$61:$B$108,$B48,'11.2. ДА за периода'!$E$61:$E$108)+SUMIF('11.2. ДА за периода'!$B$61:$B$108,$B48,'11.2. ДА за периода'!G$61:G$108)+SUMIF('11.1.Амортиз.нови активи'!$B$61:$B$108,$B48,'11.1.Амортиз.нови активи'!G$61:G$108)+('11.1.Амортиз.нови активи'!G$110*SUMIF('11.1.Амортиз.нови активи'!$B$61:$B$108,$B48,'11.1.Амортиз.нови активи'!AP$61:AP$108))</f>
        <v>0.19980000000000001</v>
      </c>
      <c r="H48" s="1136">
        <f>$E48-SUMIF('11.2. ДА за периода'!$B$61:$B$108,$B48,'11.2. ДА за периода'!$E$61:$E$108)+SUMIF('11.2. ДА за периода'!$B$61:$B$108,$B48,'11.2. ДА за периода'!H$61:H$108)+SUMIF('11.1.Амортиз.нови активи'!$B$61:$B$108,$B48,'11.1.Амортиз.нови активи'!H$61:H$108)+('11.1.Амортиз.нови активи'!H$110*SUMIF('11.1.Амортиз.нови активи'!$B$61:$B$108,$B48,'11.1.Амортиз.нови активи'!AQ$61:AQ$108))</f>
        <v>0.19980000000000001</v>
      </c>
      <c r="I48" s="1136">
        <f>$E48-SUMIF('11.2. ДА за периода'!$B$61:$B$108,$B48,'11.2. ДА за периода'!$E$61:$E$108)+SUMIF('11.2. ДА за периода'!$B$61:$B$108,$B48,'11.2. ДА за периода'!I$61:I$108)+SUMIF('11.1.Амортиз.нови активи'!$B$61:$B$108,$B48,'11.1.Амортиз.нови активи'!I$61:I$108)+('11.1.Амортиз.нови активи'!I$110*SUMIF('11.1.Амортиз.нови активи'!$B$61:$B$108,$B48,'11.1.Амортиз.нови активи'!AR$61:AR$108))</f>
        <v>0.19980000000000001</v>
      </c>
      <c r="J48" s="1136">
        <f>$E48-SUMIF('11.2. ДА за периода'!$B$61:$B$108,$B48,'11.2. ДА за периода'!$E$61:$E$108)+SUMIF('11.2. ДА за периода'!$B$61:$B$108,$B48,'11.2. ДА за периода'!J$61:J$108)+SUMIF('11.1.Амортиз.нови активи'!$B$61:$B$108,$B48,'11.1.Амортиз.нови активи'!J$61:J$108)+('11.1.Амортиз.нови активи'!J$110*SUMIF('11.1.Амортиз.нови активи'!$B$61:$B$108,$B48,'11.1.Амортиз.нови активи'!AS$61:AS$108))</f>
        <v>0.19980000000000001</v>
      </c>
      <c r="K48" s="2656">
        <f>$E48-SUMIF('11.2. ДА за периода'!$B$61:$B$108,$B48,'11.2. ДА за периода'!$E$61:$E$108)+SUMIF('11.2. ДА за периода'!$B$61:$B$108,$B48,'11.2. ДА за периода'!K$61:K$108)+SUMIF('11.1.Амортиз.нови активи'!$B$61:$B$108,$B48,'11.1.Амортиз.нови активи'!K$61:K$108)+('11.1.Амортиз.нови активи'!K$110*SUMIF('11.1.Амортиз.нови активи'!$B$61:$B$108,$B48,'11.1.Амортиз.нови активи'!AT$61:AT$108))</f>
        <v>0.19980000000000001</v>
      </c>
      <c r="L48" s="2679">
        <f>+'11.3. ДА Базова година'!J53</f>
        <v>0</v>
      </c>
      <c r="M48" s="2655">
        <f>$L48-SUMIF('11.2. ДА за периода'!$B$61:$B$108,$B48,'11.2. ДА за периода'!$L$61:$L$108)+SUMIF('11.2. ДА за периода'!$B$61:$B$108,$B48,'11.2. ДА за периода'!M$61:M$108)+SUMIF('11.1.Амортиз.нови активи'!$B$61:$B$108,$B48,'11.1.Амортиз.нови активи'!M$61:M$108)+('11.1.Амортиз.нови активи'!F$111*SUMIF('11.1.Амортиз.нови активи'!$B$61:$B$108,$B48,'11.1.Амортиз.нови активи'!AO$61:AO$108))</f>
        <v>0</v>
      </c>
      <c r="N48" s="1136">
        <f>$L48-SUMIF('11.2. ДА за периода'!$B$61:$B$108,$B48,'11.2. ДА за периода'!$L$61:$L$108)+SUMIF('11.2. ДА за периода'!$B$61:$B$108,$B48,'11.2. ДА за периода'!N$61:N$108)+SUMIF('11.1.Амортиз.нови активи'!$B$61:$B$108,$B48,'11.1.Амортиз.нови активи'!N$61:N$108)+('11.1.Амортиз.нови активи'!G$111*SUMIF('11.1.Амортиз.нови активи'!$B$61:$B$108,$B48,'11.1.Амортиз.нови активи'!AP$61:AP$108))</f>
        <v>0</v>
      </c>
      <c r="O48" s="1136">
        <f>$L48-SUMIF('11.2. ДА за периода'!$B$61:$B$108,$B48,'11.2. ДА за периода'!$L$61:$L$108)+SUMIF('11.2. ДА за периода'!$B$61:$B$108,$B48,'11.2. ДА за периода'!O$61:O$108)+SUMIF('11.1.Амортиз.нови активи'!$B$61:$B$108,$B48,'11.1.Амортиз.нови активи'!O$61:O$108)+('11.1.Амортиз.нови активи'!H$111*SUMIF('11.1.Амортиз.нови активи'!$B$61:$B$108,$B48,'11.1.Амортиз.нови активи'!AQ$61:AQ$108))</f>
        <v>0</v>
      </c>
      <c r="P48" s="1136">
        <f>$L48-SUMIF('11.2. ДА за периода'!$B$61:$B$108,$B48,'11.2. ДА за периода'!$L$61:$L$108)+SUMIF('11.2. ДА за периода'!$B$61:$B$108,$B48,'11.2. ДА за периода'!P$61:P$108)+SUMIF('11.1.Амортиз.нови активи'!$B$61:$B$108,$B48,'11.1.Амортиз.нови активи'!P$61:P$108)+('11.1.Амортиз.нови активи'!I$111*SUMIF('11.1.Амортиз.нови активи'!$B$61:$B$108,$B48,'11.1.Амортиз.нови активи'!AR$61:AR$108))</f>
        <v>0</v>
      </c>
      <c r="Q48" s="1136">
        <f>$L48-SUMIF('11.2. ДА за периода'!$B$61:$B$108,$B48,'11.2. ДА за периода'!$L$61:$L$108)+SUMIF('11.2. ДА за периода'!$B$61:$B$108,$B48,'11.2. ДА за периода'!Q$61:Q$108)+SUMIF('11.1.Амортиз.нови активи'!$B$61:$B$108,$B48,'11.1.Амортиз.нови активи'!Q$61:Q$108)+('11.1.Амортиз.нови активи'!J$111*SUMIF('11.1.Амортиз.нови активи'!$B$61:$B$108,$B48,'11.1.Амортиз.нови активи'!AS$61:AS$108))</f>
        <v>0</v>
      </c>
      <c r="R48" s="2656">
        <f>$L48-SUMIF('11.2. ДА за периода'!$B$61:$B$108,$B48,'11.2. ДА за периода'!$L$61:$L$108)+SUMIF('11.2. ДА за периода'!$B$61:$B$108,$B48,'11.2. ДА за периода'!R$61:R$108)+SUMIF('11.1.Амортиз.нови активи'!$B$61:$B$108,$B48,'11.1.Амортиз.нови активи'!R$61:R$108)+('11.1.Амортиз.нови активи'!K$111*SUMIF('11.1.Амортиз.нови активи'!$B$61:$B$108,$B48,'11.1.Амортиз.нови активи'!AT$61:AT$108))</f>
        <v>0</v>
      </c>
      <c r="S48" s="2679">
        <f>+'11.3. ДА Базова година'!N53</f>
        <v>0</v>
      </c>
      <c r="T48" s="2655">
        <f>$S48-SUMIF('11.2. ДА за периода'!$B$61:$B$108,$B48,'11.2. ДА за периода'!$S$61:$S$108)+SUMIF('11.2. ДА за периода'!$B$61:$B$108,$B48,'11.2. ДА за периода'!T$61:T$108)+SUMIF('11.1.Амортиз.нови активи'!$B$61:$B$108,$B48,'11.1.Амортиз.нови активи'!T$61:T$108)+('11.1.Амортиз.нови активи'!F$112*SUMIF('11.1.Амортиз.нови активи'!$B$61:$B$108,$B48,'11.1.Амортиз.нови активи'!AO$61:AO$108))</f>
        <v>0</v>
      </c>
      <c r="U48" s="1136">
        <f>$S48-SUMIF('11.2. ДА за периода'!$B$61:$B$108,$B48,'11.2. ДА за периода'!$S$61:$S$108)+SUMIF('11.2. ДА за периода'!$B$61:$B$108,$B48,'11.2. ДА за периода'!U$61:U$108)+SUMIF('11.1.Амортиз.нови активи'!$B$61:$B$108,$B48,'11.1.Амортиз.нови активи'!U$61:U$108)+('11.1.Амортиз.нови активи'!G$112*SUMIF('11.1.Амортиз.нови активи'!$B$61:$B$108,$B48,'11.1.Амортиз.нови активи'!AP$61:AP$108))</f>
        <v>0</v>
      </c>
      <c r="V48" s="1136">
        <f>$S48-SUMIF('11.2. ДА за периода'!$B$61:$B$108,$B48,'11.2. ДА за периода'!$S$61:$S$108)+SUMIF('11.2. ДА за периода'!$B$61:$B$108,$B48,'11.2. ДА за периода'!V$61:V$108)+SUMIF('11.1.Амортиз.нови активи'!$B$61:$B$108,$B48,'11.1.Амортиз.нови активи'!V$61:V$108)+('11.1.Амортиз.нови активи'!H$112*SUMIF('11.1.Амортиз.нови активи'!$B$61:$B$108,$B48,'11.1.Амортиз.нови активи'!AQ$61:AQ$108))</f>
        <v>0</v>
      </c>
      <c r="W48" s="1136">
        <f>$S48-SUMIF('11.2. ДА за периода'!$B$61:$B$108,$B48,'11.2. ДА за периода'!$S$61:$S$108)+SUMIF('11.2. ДА за периода'!$B$61:$B$108,$B48,'11.2. ДА за периода'!W$61:W$108)+SUMIF('11.1.Амортиз.нови активи'!$B$61:$B$108,$B48,'11.1.Амортиз.нови активи'!W$61:W$108)+('11.1.Амортиз.нови активи'!I$112*SUMIF('11.1.Амортиз.нови активи'!$B$61:$B$108,$B48,'11.1.Амортиз.нови активи'!AR$61:AR$108))</f>
        <v>0</v>
      </c>
      <c r="X48" s="1136">
        <f>$S48-SUMIF('11.2. ДА за периода'!$B$61:$B$108,$B48,'11.2. ДА за периода'!$S$61:$S$108)+SUMIF('11.2. ДА за периода'!$B$61:$B$108,$B48,'11.2. ДА за периода'!X$61:X$108)+SUMIF('11.1.Амортиз.нови активи'!$B$61:$B$108,$B48,'11.1.Амортиз.нови активи'!X$61:X$108)+('11.1.Амортиз.нови активи'!J$112*SUMIF('11.1.Амортиз.нови активи'!$B$61:$B$108,$B48,'11.1.Амортиз.нови активи'!AS$61:AS$108))</f>
        <v>0</v>
      </c>
      <c r="Y48" s="2656">
        <f>$S48-SUMIF('11.2. ДА за периода'!$B$61:$B$108,$B48,'11.2. ДА за периода'!$S$61:$S$108)+SUMIF('11.2. ДА за периода'!$B$61:$B$108,$B48,'11.2. ДА за периода'!Y$61:Y$108)+SUMIF('11.1.Амортиз.нови активи'!$B$61:$B$108,$B48,'11.1.Амортиз.нови активи'!Y$61:Y$108)+('11.1.Амортиз.нови активи'!K$112*SUMIF('11.1.Амортиз.нови активи'!$B$61:$B$108,$B48,'11.1.Амортиз.нови активи'!AT$61:AT$108))</f>
        <v>0</v>
      </c>
      <c r="Z48" s="4453">
        <f>+'11.3. ДА Базова година'!R53</f>
        <v>0</v>
      </c>
      <c r="AA48" s="2655">
        <f>$Z48-SUMIF('11.2. ДА за периода'!$B$61:$B$108,$B48,'11.2. ДА за периода'!$Z$61:$Z$108)+SUMIF('11.2. ДА за периода'!$B$61:$B$108,$B48,'11.2. ДА за периода'!AA$61:AA$108)+SUMIF('11.1.Амортиз.нови активи'!$B$61:$B$108,$B48,'11.1.Амортиз.нови активи'!AA$61:AA$108)</f>
        <v>0</v>
      </c>
      <c r="AB48" s="1136">
        <f>$Z48-SUMIF('11.2. ДА за периода'!$B$61:$B$108,$B48,'11.2. ДА за периода'!$Z$61:$Z$108)+SUMIF('11.2. ДА за периода'!$B$61:$B$108,$B48,'11.2. ДА за периода'!AB$61:AB$108)+SUMIF('11.1.Амортиз.нови активи'!$B$61:$B$108,$B48,'11.1.Амортиз.нови активи'!AB$61:AB$108)</f>
        <v>0</v>
      </c>
      <c r="AC48" s="1136">
        <f>$Z48-SUMIF('11.2. ДА за периода'!$B$61:$B$108,$B48,'11.2. ДА за периода'!$Z$61:$Z$108)+SUMIF('11.2. ДА за периода'!$B$61:$B$108,$B48,'11.2. ДА за периода'!AC$61:AC$108)+SUMIF('11.1.Амортиз.нови активи'!$B$61:$B$108,$B48,'11.1.Амортиз.нови активи'!AC$61:AC$108)</f>
        <v>0</v>
      </c>
      <c r="AD48" s="1136">
        <f>$Z48-SUMIF('11.2. ДА за периода'!$B$61:$B$108,$B48,'11.2. ДА за периода'!$Z$61:$Z$108)+SUMIF('11.2. ДА за периода'!$B$61:$B$108,$B48,'11.2. ДА за периода'!AD$61:AD$108)+SUMIF('11.1.Амортиз.нови активи'!$B$61:$B$108,$B48,'11.1.Амортиз.нови активи'!AD$61:AD$108)</f>
        <v>0</v>
      </c>
      <c r="AE48" s="1136">
        <f>$Z48-SUMIF('11.2. ДА за периода'!$B$61:$B$108,$B48,'11.2. ДА за периода'!$Z$61:$Z$108)+SUMIF('11.2. ДА за периода'!$B$61:$B$108,$B48,'11.2. ДА за периода'!AE$61:AE$108)+SUMIF('11.1.Амортиз.нови активи'!$B$61:$B$108,$B48,'11.1.Амортиз.нови активи'!AE$61:AE$108)</f>
        <v>0</v>
      </c>
      <c r="AF48" s="2656">
        <f>$Z48-SUMIF('11.2. ДА за периода'!$B$61:$B$108,$B48,'11.2. ДА за периода'!$Z$61:$Z$108)+SUMIF('11.2. ДА за периода'!$B$61:$B$108,$B48,'11.2. ДА за периода'!AF$61:AF$108)+SUMIF('11.1.Амортиз.нови активи'!$B$61:$B$108,$B48,'11.1.Амортиз.нови активи'!AF$61:AF$108)</f>
        <v>0</v>
      </c>
      <c r="AG48" s="2679">
        <f>+'11.3. ДА Базова година'!V53</f>
        <v>0</v>
      </c>
      <c r="AH48" s="2655">
        <f>$AG48-SUMIF('11.2. ДА за периода'!$B$61:$B$108,$B48,'11.2. ДА за периода'!$AG$61:$AG$108)+SUMIF('11.2. ДА за периода'!$B$61:$B$108,$B48,'11.2. ДА за периода'!AH$61:AH$108)+SUMIF('11.1.Амортиз.нови активи'!$B$61:$B$108,$B48,'11.1.Амортиз.нови активи'!AH$61:AH$108)+('11.1.Амортиз.нови активи'!T$112*SUMIF('11.1.Амортиз.нови активи'!$B$61:$B$108,$B48,'11.1.Амортиз.нови активи'!BB$61:BB$108))</f>
        <v>0</v>
      </c>
      <c r="AI48" s="1136">
        <f>$AG48-SUMIF('11.2. ДА за периода'!$B$61:$B$108,$B48,'11.2. ДА за периода'!$AG$61:$AG$108)+SUMIF('11.2. ДА за периода'!$B$61:$B$108,$B48,'11.2. ДА за периода'!AI$61:AI$108)+SUMIF('11.1.Амортиз.нови активи'!$B$61:$B$108,$B48,'11.1.Амортиз.нови активи'!AI$61:AI$108)+('11.1.Амортиз.нови активи'!U$112*SUMIF('11.1.Амортиз.нови активи'!$B$61:$B$108,$B48,'11.1.Амортиз.нови активи'!BC$61:BC$108))</f>
        <v>0</v>
      </c>
      <c r="AJ48" s="1136">
        <f>$AG48-SUMIF('11.2. ДА за периода'!$B$61:$B$108,$B48,'11.2. ДА за периода'!$AG$61:$AG$108)+SUMIF('11.2. ДА за периода'!$B$61:$B$108,$B48,'11.2. ДА за периода'!AJ$61:AJ$108)+SUMIF('11.1.Амортиз.нови активи'!$B$61:$B$108,$B48,'11.1.Амортиз.нови активи'!AJ$61:AJ$108)+('11.1.Амортиз.нови активи'!V$112*SUMIF('11.1.Амортиз.нови активи'!$B$61:$B$108,$B48,'11.1.Амортиз.нови активи'!BD$61:BD$108))</f>
        <v>0</v>
      </c>
      <c r="AK48" s="1136">
        <f>$AG48-SUMIF('11.2. ДА за периода'!$B$61:$B$108,$B48,'11.2. ДА за периода'!$AG$61:$AG$108)+SUMIF('11.2. ДА за периода'!$B$61:$B$108,$B48,'11.2. ДА за периода'!AK$61:AK$108)+SUMIF('11.1.Амортиз.нови активи'!$B$61:$B$108,$B48,'11.1.Амортиз.нови активи'!AK$61:AK$108)+('11.1.Амортиз.нови активи'!W$112*SUMIF('11.1.Амортиз.нови активи'!$B$61:$B$108,$B48,'11.1.Амортиз.нови активи'!BE$61:BE$108))</f>
        <v>0</v>
      </c>
      <c r="AL48" s="1136">
        <f>$AG48-SUMIF('11.2. ДА за периода'!$B$61:$B$108,$B48,'11.2. ДА за периода'!$AG$61:$AG$108)+SUMIF('11.2. ДА за периода'!$B$61:$B$108,$B48,'11.2. ДА за периода'!AL$61:AL$108)+SUMIF('11.1.Амортиз.нови активи'!$B$61:$B$108,$B48,'11.1.Амортиз.нови активи'!AL$61:AL$108)+('11.1.Амортиз.нови активи'!X$112*SUMIF('11.1.Амортиз.нови активи'!$B$61:$B$108,$B48,'11.1.Амортиз.нови активи'!BF$61:BF$108))</f>
        <v>0</v>
      </c>
      <c r="AM48" s="2656">
        <f>$AG48-SUMIF('11.2. ДА за периода'!$B$61:$B$108,$B48,'11.2. ДА за периода'!$AG$61:$AG$108)+SUMIF('11.2. ДА за периода'!$B$61:$B$108,$B48,'11.2. ДА за периода'!AM$61:AM$108)+SUMIF('11.1.Амортиз.нови активи'!$B$61:$B$108,$B48,'11.1.Амортиз.нови активи'!AM$61:AM$108)+('11.1.Амортиз.нови активи'!Y$112*SUMIF('11.1.Амортиз.нови активи'!$B$61:$B$108,$B48,'11.1.Амортиз.нови активи'!BG$61:BG$108))</f>
        <v>0</v>
      </c>
      <c r="AN48" s="2551"/>
      <c r="AO48" s="2589"/>
      <c r="AP48" s="4488"/>
      <c r="AQ48" s="4504">
        <f t="shared" si="31"/>
        <v>0.10215611786300446</v>
      </c>
      <c r="AR48" s="4504">
        <f t="shared" si="32"/>
        <v>0.10215611786300446</v>
      </c>
      <c r="AS48" s="4504">
        <f t="shared" si="33"/>
        <v>0.10215611786300446</v>
      </c>
      <c r="AT48" s="4504">
        <f t="shared" si="34"/>
        <v>0.10215611786300446</v>
      </c>
      <c r="AU48" s="4504">
        <f t="shared" si="35"/>
        <v>0.10215611786300446</v>
      </c>
      <c r="AV48" s="4504">
        <f t="shared" si="36"/>
        <v>0.10215611786300446</v>
      </c>
      <c r="AW48" s="4504">
        <f t="shared" si="37"/>
        <v>0.10215611786300446</v>
      </c>
      <c r="AX48" s="4504">
        <f t="shared" si="38"/>
        <v>0</v>
      </c>
      <c r="AY48" s="4504">
        <f t="shared" si="39"/>
        <v>0</v>
      </c>
      <c r="AZ48" s="4504">
        <f t="shared" si="40"/>
        <v>0</v>
      </c>
      <c r="BA48" s="4504">
        <f t="shared" si="41"/>
        <v>0</v>
      </c>
      <c r="BB48" s="4504">
        <f t="shared" si="42"/>
        <v>0</v>
      </c>
      <c r="BC48" s="4504">
        <f t="shared" si="43"/>
        <v>0</v>
      </c>
      <c r="BD48" s="4504">
        <f t="shared" si="44"/>
        <v>0</v>
      </c>
      <c r="BE48" s="4504">
        <f t="shared" si="45"/>
        <v>0</v>
      </c>
      <c r="BF48" s="4504">
        <f t="shared" si="46"/>
        <v>0</v>
      </c>
      <c r="BG48" s="4504">
        <f t="shared" si="47"/>
        <v>0</v>
      </c>
      <c r="BH48" s="4504">
        <f t="shared" si="48"/>
        <v>0</v>
      </c>
      <c r="BI48" s="4504">
        <f t="shared" si="49"/>
        <v>0</v>
      </c>
      <c r="BJ48" s="4504">
        <f t="shared" si="50"/>
        <v>0</v>
      </c>
      <c r="BK48" s="4504">
        <f t="shared" si="51"/>
        <v>0</v>
      </c>
      <c r="BL48" s="4504">
        <f t="shared" si="52"/>
        <v>0</v>
      </c>
      <c r="BM48" s="4504">
        <f t="shared" si="53"/>
        <v>0</v>
      </c>
      <c r="BN48" s="4504">
        <f t="shared" si="54"/>
        <v>0</v>
      </c>
      <c r="BO48" s="4504">
        <f t="shared" si="55"/>
        <v>0</v>
      </c>
      <c r="BP48" s="4504">
        <f t="shared" si="56"/>
        <v>0</v>
      </c>
      <c r="BQ48" s="4504">
        <f t="shared" si="57"/>
        <v>0</v>
      </c>
      <c r="BR48" s="4504">
        <f t="shared" si="58"/>
        <v>0</v>
      </c>
      <c r="BS48" s="4504">
        <f t="shared" si="59"/>
        <v>0</v>
      </c>
      <c r="BT48" s="4504">
        <f t="shared" si="60"/>
        <v>0</v>
      </c>
      <c r="BU48" s="4504">
        <f t="shared" si="61"/>
        <v>0</v>
      </c>
      <c r="BV48" s="4504">
        <f t="shared" si="62"/>
        <v>0</v>
      </c>
      <c r="BW48" s="4504">
        <f t="shared" si="63"/>
        <v>0</v>
      </c>
      <c r="BX48" s="4504">
        <f t="shared" si="64"/>
        <v>0</v>
      </c>
      <c r="BY48" s="4504">
        <f t="shared" si="65"/>
        <v>0</v>
      </c>
    </row>
    <row r="49" spans="1:77">
      <c r="A49" s="2564">
        <v>6</v>
      </c>
      <c r="B49" s="2568">
        <v>208</v>
      </c>
      <c r="C49" s="2549">
        <v>0.2</v>
      </c>
      <c r="D49" s="2590" t="s">
        <v>413</v>
      </c>
      <c r="E49" s="2679">
        <f>+'11.3. ДА Базова година'!F54</f>
        <v>1.4502804909991751</v>
      </c>
      <c r="F49" s="2655">
        <f>$E49-SUMIF('11.2. ДА за периода'!$B$61:$B$108,$B49,'11.2. ДА за периода'!$E$61:$E$108)+SUMIF('11.2. ДА за периода'!$B$61:$B$108,$B49,'11.2. ДА за периода'!F$61:F$108)+SUMIF('11.1.Амортиз.нови активи'!$B$61:$B$108,$B49,'11.1.Амортиз.нови активи'!F$61:F$108)+('11.1.Амортиз.нови активи'!F$110*SUMIF('11.1.Амортиз.нови активи'!$B$61:$B$108,$B49,'11.1.Амортиз.нови активи'!AO$61:AO$108))</f>
        <v>2.3474497217684061</v>
      </c>
      <c r="G49" s="1136">
        <f>$E49-SUMIF('11.2. ДА за периода'!$B$61:$B$108,$B49,'11.2. ДА за периода'!$E$61:$E$108)+SUMIF('11.2. ДА за периода'!$B$61:$B$108,$B49,'11.2. ДА за периода'!G$61:G$108)+SUMIF('11.1.Амортиз.нови активи'!$B$61:$B$108,$B49,'11.1.Амортиз.нови активи'!G$61:G$108)+('11.1.Амортиз.нови активи'!G$110*SUMIF('11.1.Амортиз.нови активи'!$B$61:$B$108,$B49,'11.1.Амортиз.нови активи'!AP$61:AP$108))</f>
        <v>3.2157762002746022</v>
      </c>
      <c r="H49" s="1136">
        <f>$E49-SUMIF('11.2. ДА за периода'!$B$61:$B$108,$B49,'11.2. ДА за периода'!$E$61:$E$108)+SUMIF('11.2. ДА за периода'!$B$61:$B$108,$B49,'11.2. ДА за периода'!H$61:H$108)+SUMIF('11.1.Амортиз.нови активи'!$B$61:$B$108,$B49,'11.1.Амортиз.нови активи'!H$61:H$108)+('11.1.Амортиз.нови активи'!H$110*SUMIF('11.1.Амортиз.нови активи'!$B$61:$B$108,$B49,'11.1.Амортиз.нови активи'!AQ$61:AQ$108))</f>
        <v>3.5761656908386161</v>
      </c>
      <c r="I49" s="1136">
        <f>$E49-SUMIF('11.2. ДА за периода'!$B$61:$B$108,$B49,'11.2. ДА за периода'!$E$61:$E$108)+SUMIF('11.2. ДА за периода'!$B$61:$B$108,$B49,'11.2. ДА за периода'!I$61:I$108)+SUMIF('11.1.Амортиз.нови активи'!$B$61:$B$108,$B49,'11.1.Амортиз.нови активи'!I$61:I$108)+('11.1.Амортиз.нови активи'!I$110*SUMIF('11.1.Амортиз.нови активи'!$B$61:$B$108,$B49,'11.1.Амортиз.нови активи'!AR$61:AR$108))</f>
        <v>3.9391935645523226</v>
      </c>
      <c r="J49" s="1136">
        <f>$E49-SUMIF('11.2. ДА за периода'!$B$61:$B$108,$B49,'11.2. ДА за периода'!$E$61:$E$108)+SUMIF('11.2. ДА за периода'!$B$61:$B$108,$B49,'11.2. ДА за периода'!J$61:J$108)+SUMIF('11.1.Амортиз.нови активи'!$B$61:$B$108,$B49,'11.1.Амортиз.нови активи'!J$61:J$108)+('11.1.Амортиз.нови активи'!J$110*SUMIF('11.1.Амортиз.нови активи'!$B$61:$B$108,$B49,'11.1.Амортиз.нови активи'!AS$61:AS$108))</f>
        <v>4.3050896501411726</v>
      </c>
      <c r="K49" s="2656">
        <f>$E49-SUMIF('11.2. ДА за периода'!$B$61:$B$108,$B49,'11.2. ДА за периода'!$E$61:$E$108)+SUMIF('11.2. ДА за периода'!$B$61:$B$108,$B49,'11.2. ДА за периода'!K$61:K$108)+SUMIF('11.1.Амортиз.нови активи'!$B$61:$B$108,$B49,'11.1.Амортиз.нови активи'!K$61:K$108)+('11.1.Амортиз.нови активи'!K$110*SUMIF('11.1.Амортиз.нови активи'!$B$61:$B$108,$B49,'11.1.Амортиз.нови активи'!AT$61:AT$108))</f>
        <v>4.6714829481773208</v>
      </c>
      <c r="L49" s="2679">
        <f>+'11.3. ДА Базова година'!J54</f>
        <v>0.69301593713055731</v>
      </c>
      <c r="M49" s="2655">
        <f>$L49-SUMIF('11.2. ДА за периода'!$B$61:$B$108,$B49,'11.2. ДА за периода'!$L$61:$L$108)+SUMIF('11.2. ДА за периода'!$B$61:$B$108,$B49,'11.2. ДА за периода'!M$61:M$108)+SUMIF('11.1.Амортиз.нови активи'!$B$61:$B$108,$B49,'11.1.Амортиз.нови активи'!M$61:M$108)+('11.1.Амортиз.нови активи'!F$111*SUMIF('11.1.Амортиз.нови активи'!$B$61:$B$108,$B49,'11.1.Амортиз.нови активи'!AO$61:AO$108))</f>
        <v>0.69793901405363423</v>
      </c>
      <c r="N49" s="1136">
        <f>$L49-SUMIF('11.2. ДА за периода'!$B$61:$B$108,$B49,'11.2. ДА за периода'!$L$61:$L$108)+SUMIF('11.2. ДА за периода'!$B$61:$B$108,$B49,'11.2. ДА за периода'!N$61:N$108)+SUMIF('11.1.Амортиз.нови активи'!$B$61:$B$108,$B49,'11.1.Амортиз.нови активи'!N$61:N$108)+('11.1.Амортиз.нови активи'!G$111*SUMIF('11.1.Амортиз.нови активи'!$B$61:$B$108,$B49,'11.1.Амортиз.нови активи'!AP$61:AP$108))</f>
        <v>0.70734322613884026</v>
      </c>
      <c r="O49" s="1136">
        <f>$L49-SUMIF('11.2. ДА за периода'!$B$61:$B$108,$B49,'11.2. ДА за периода'!$L$61:$L$108)+SUMIF('11.2. ДА за периода'!$B$61:$B$108,$B49,'11.2. ДА за периода'!O$61:O$108)+SUMIF('11.1.Амортиз.нови активи'!$B$61:$B$108,$B49,'11.1.Амортиз.нови активи'!O$61:O$108)+('11.1.Амортиз.нови активи'!H$111*SUMIF('11.1.Амортиз.нови активи'!$B$61:$B$108,$B49,'11.1.Амортиз.нови активи'!AQ$61:AQ$108))</f>
        <v>0.71595303214747341</v>
      </c>
      <c r="P49" s="1136">
        <f>$L49-SUMIF('11.2. ДА за периода'!$B$61:$B$108,$B49,'11.2. ДА за периода'!$L$61:$L$108)+SUMIF('11.2. ДА за периода'!$B$61:$B$108,$B49,'11.2. ДА за периода'!P$61:P$108)+SUMIF('11.1.Амортиз.нови активи'!$B$61:$B$108,$B49,'11.1.Амортиз.нови активи'!P$61:P$108)+('11.1.Амортиз.нови активи'!I$111*SUMIF('11.1.Амортиз.нови активи'!$B$61:$B$108,$B49,'11.1.Амортиз.нови активи'!AR$61:AR$108))</f>
        <v>0.72400510014646691</v>
      </c>
      <c r="Q49" s="1136">
        <f>$L49-SUMIF('11.2. ДА за периода'!$B$61:$B$108,$B49,'11.2. ДА за периода'!$L$61:$L$108)+SUMIF('11.2. ДА за периода'!$B$61:$B$108,$B49,'11.2. ДА за периода'!Q$61:Q$108)+SUMIF('11.1.Амортиз.нови активи'!$B$61:$B$108,$B49,'11.1.Амортиз.нови активи'!Q$61:Q$108)+('11.1.Амортиз.нови активи'!J$111*SUMIF('11.1.Амортиз.нови активи'!$B$61:$B$108,$B49,'11.1.Амортиз.нови активи'!AS$61:AS$108))</f>
        <v>0.73142032620359421</v>
      </c>
      <c r="R49" s="2656">
        <f>$L49-SUMIF('11.2. ДА за периода'!$B$61:$B$108,$B49,'11.2. ДА за периода'!$L$61:$L$108)+SUMIF('11.2. ДА за периода'!$B$61:$B$108,$B49,'11.2. ДА за периода'!R$61:R$108)+SUMIF('11.1.Амортиз.нови активи'!$B$61:$B$108,$B49,'11.1.Амортиз.нови активи'!R$61:R$108)+('11.1.Амортиз.нови активи'!K$111*SUMIF('11.1.Амортиз.нови активи'!$B$61:$B$108,$B49,'11.1.Амортиз.нови активи'!AT$61:AT$108))</f>
        <v>0.73877925497110075</v>
      </c>
      <c r="S49" s="2679">
        <f>+'11.3. ДА Базова година'!N54</f>
        <v>1.1621059338758908</v>
      </c>
      <c r="T49" s="2655">
        <f>$S49-SUMIF('11.2. ДА за периода'!$B$61:$B$108,$B49,'11.2. ДА за периода'!$S$61:$S$108)+SUMIF('11.2. ДА за периода'!$B$61:$B$108,$B49,'11.2. ДА за периода'!T$61:T$108)+SUMIF('11.1.Амортиз.нови активи'!$B$61:$B$108,$B49,'11.1.Амортиз.нови активи'!T$61:T$108)+('11.1.Амортиз.нови активи'!F$112*SUMIF('11.1.Амортиз.нови активи'!$B$61:$B$108,$B49,'11.1.Амортиз.нови активи'!AO$61:AO$108))</f>
        <v>1.1680136261835832</v>
      </c>
      <c r="U49" s="1136">
        <f>$S49-SUMIF('11.2. ДА за периода'!$B$61:$B$108,$B49,'11.2. ДА за периода'!$S$61:$S$108)+SUMIF('11.2. ДА за периода'!$B$61:$B$108,$B49,'11.2. ДА за периода'!U$61:U$108)+SUMIF('11.1.Амортиз.нови активи'!$B$61:$B$108,$B49,'11.1.Амортиз.нови активи'!U$61:U$108)+('11.1.Амортиз.нови активи'!G$112*SUMIF('11.1.Амортиз.нови активи'!$B$61:$B$108,$B49,'11.1.Амортиз.нови активи'!AP$61:AP$108))</f>
        <v>1.1902829355921807</v>
      </c>
      <c r="V49" s="1136">
        <f>$S49-SUMIF('11.2. ДА за периода'!$B$61:$B$108,$B49,'11.2. ДА за периода'!$S$61:$S$108)+SUMIF('11.2. ДА за периода'!$B$61:$B$108,$B49,'11.2. ДА за периода'!V$61:V$108)+SUMIF('11.1.Амортиз.нови активи'!$B$61:$B$108,$B49,'11.1.Амортиз.нови активи'!V$61:V$108)+('11.1.Амортиз.нови активи'!H$112*SUMIF('11.1.Амортиз.нови активи'!$B$61:$B$108,$B49,'11.1.Амортиз.нови активи'!AQ$61:AQ$108))</f>
        <v>1.2212836390195343</v>
      </c>
      <c r="W49" s="1136">
        <f>$S49-SUMIF('11.2. ДА за периода'!$B$61:$B$108,$B49,'11.2. ДА за периода'!$S$61:$S$108)+SUMIF('11.2. ДА за периода'!$B$61:$B$108,$B49,'11.2. ДА за периода'!W$61:W$108)+SUMIF('11.1.Амортиз.нови активи'!$B$61:$B$108,$B49,'11.1.Амортиз.нови активи'!W$61:W$108)+('11.1.Амортиз.нови активи'!I$112*SUMIF('11.1.Амортиз.нови активи'!$B$61:$B$108,$B49,'11.1.Амортиз.нови активи'!AR$61:AR$108))</f>
        <v>1.2502036973068338</v>
      </c>
      <c r="X49" s="1136">
        <f>$S49-SUMIF('11.2. ДА за периода'!$B$61:$B$108,$B49,'11.2. ДА за периода'!$S$61:$S$108)+SUMIF('11.2. ДА за периода'!$B$61:$B$108,$B49,'11.2. ДА за периода'!X$61:X$108)+SUMIF('11.1.Амортиз.нови активи'!$B$61:$B$108,$B49,'11.1.Амортиз.нови активи'!X$61:X$108)+('11.1.Амортиз.нови активи'!J$112*SUMIF('11.1.Амортиз.нови активи'!$B$61:$B$108,$B49,'11.1.Амортиз.нови активи'!AS$61:AS$108))</f>
        <v>1.2768923856608567</v>
      </c>
      <c r="Y49" s="2656">
        <f>$S49-SUMIF('11.2. ДА за периода'!$B$61:$B$108,$B49,'11.2. ДА за периода'!$S$61:$S$108)+SUMIF('11.2. ДА за периода'!$B$61:$B$108,$B49,'11.2. ДА за периода'!Y$61:Y$108)+SUMIF('11.1.Амортиз.нови активи'!$B$61:$B$108,$B49,'11.1.Амортиз.нови активи'!Y$61:Y$108)+('11.1.Амортиз.нови активи'!K$112*SUMIF('11.1.Амортиз.нови активи'!$B$61:$B$108,$B49,'11.1.Амортиз.нови активи'!AT$61:AT$108))</f>
        <v>1.303140158857202</v>
      </c>
      <c r="Z49" s="4453">
        <f>+'11.3. ДА Базова година'!R54</f>
        <v>0</v>
      </c>
      <c r="AA49" s="2655">
        <f>$Z49-SUMIF('11.2. ДА за периода'!$B$61:$B$108,$B49,'11.2. ДА за периода'!$Z$61:$Z$108)+SUMIF('11.2. ДА за периода'!$B$61:$B$108,$B49,'11.2. ДА за периода'!AA$61:AA$108)+SUMIF('11.1.Амортиз.нови активи'!$B$61:$B$108,$B49,'11.1.Амортиз.нови активи'!AA$61:AA$108)</f>
        <v>0</v>
      </c>
      <c r="AB49" s="1136">
        <f>$Z49-SUMIF('11.2. ДА за периода'!$B$61:$B$108,$B49,'11.2. ДА за периода'!$Z$61:$Z$108)+SUMIF('11.2. ДА за периода'!$B$61:$B$108,$B49,'11.2. ДА за периода'!AB$61:AB$108)+SUMIF('11.1.Амортиз.нови активи'!$B$61:$B$108,$B49,'11.1.Амортиз.нови активи'!AB$61:AB$108)</f>
        <v>0</v>
      </c>
      <c r="AC49" s="1136">
        <f>$Z49-SUMIF('11.2. ДА за периода'!$B$61:$B$108,$B49,'11.2. ДА за периода'!$Z$61:$Z$108)+SUMIF('11.2. ДА за периода'!$B$61:$B$108,$B49,'11.2. ДА за периода'!AC$61:AC$108)+SUMIF('11.1.Амортиз.нови активи'!$B$61:$B$108,$B49,'11.1.Амортиз.нови активи'!AC$61:AC$108)</f>
        <v>0</v>
      </c>
      <c r="AD49" s="1136">
        <f>$Z49-SUMIF('11.2. ДА за периода'!$B$61:$B$108,$B49,'11.2. ДА за периода'!$Z$61:$Z$108)+SUMIF('11.2. ДА за периода'!$B$61:$B$108,$B49,'11.2. ДА за периода'!AD$61:AD$108)+SUMIF('11.1.Амортиз.нови активи'!$B$61:$B$108,$B49,'11.1.Амортиз.нови активи'!AD$61:AD$108)</f>
        <v>0</v>
      </c>
      <c r="AE49" s="1136">
        <f>$Z49-SUMIF('11.2. ДА за периода'!$B$61:$B$108,$B49,'11.2. ДА за периода'!$Z$61:$Z$108)+SUMIF('11.2. ДА за периода'!$B$61:$B$108,$B49,'11.2. ДА за периода'!AE$61:AE$108)+SUMIF('11.1.Амортиз.нови активи'!$B$61:$B$108,$B49,'11.1.Амортиз.нови активи'!AE$61:AE$108)</f>
        <v>0</v>
      </c>
      <c r="AF49" s="2656">
        <f>$Z49-SUMIF('11.2. ДА за периода'!$B$61:$B$108,$B49,'11.2. ДА за периода'!$Z$61:$Z$108)+SUMIF('11.2. ДА за периода'!$B$61:$B$108,$B49,'11.2. ДА за периода'!AF$61:AF$108)+SUMIF('11.1.Амортиз.нови активи'!$B$61:$B$108,$B49,'11.1.Амортиз.нови активи'!AF$61:AF$108)</f>
        <v>0</v>
      </c>
      <c r="AG49" s="2679">
        <f>+'11.3. ДА Базова година'!V54</f>
        <v>3.1490209636547917E-2</v>
      </c>
      <c r="AH49" s="2655">
        <f>$AG49-SUMIF('11.2. ДА за периода'!$B$61:$B$108,$B49,'11.2. ДА за периода'!$AG$61:$AG$108)+SUMIF('11.2. ДА за периода'!$B$61:$B$108,$B49,'11.2. ДА за периода'!AH$61:AH$108)+SUMIF('11.1.Амортиз.нови активи'!$B$61:$B$108,$B49,'11.1.Амортиз.нови активи'!AH$61:AH$108)+('11.1.Амортиз.нови активи'!T$112*SUMIF('11.1.Амортиз.нови активи'!$B$61:$B$108,$B49,'11.1.Амортиз.нови активи'!BB$61:BB$108))</f>
        <v>3.1490209636547917E-2</v>
      </c>
      <c r="AI49" s="1136">
        <f>$AG49-SUMIF('11.2. ДА за периода'!$B$61:$B$108,$B49,'11.2. ДА за периода'!$AG$61:$AG$108)+SUMIF('11.2. ДА за периода'!$B$61:$B$108,$B49,'11.2. ДА за периода'!AI$61:AI$108)+SUMIF('11.1.Амортиз.нови активи'!$B$61:$B$108,$B49,'11.1.Амортиз.нови активи'!AI$61:AI$108)+('11.1.Амортиз.нови активи'!U$112*SUMIF('11.1.Амортиз.нови активи'!$B$61:$B$108,$B49,'11.1.Амортиз.нови активи'!BC$61:BC$108))</f>
        <v>3.1490209636547917E-2</v>
      </c>
      <c r="AJ49" s="1136">
        <f>$AG49-SUMIF('11.2. ДА за периода'!$B$61:$B$108,$B49,'11.2. ДА за периода'!$AG$61:$AG$108)+SUMIF('11.2. ДА за периода'!$B$61:$B$108,$B49,'11.2. ДА за периода'!AJ$61:AJ$108)+SUMIF('11.1.Амортиз.нови активи'!$B$61:$B$108,$B49,'11.1.Амортиз.нови активи'!AJ$61:AJ$108)+('11.1.Амортиз.нови активи'!V$112*SUMIF('11.1.Амортиз.нови активи'!$B$61:$B$108,$B49,'11.1.Амортиз.нови активи'!BD$61:BD$108))</f>
        <v>3.1490209636547917E-2</v>
      </c>
      <c r="AK49" s="1136">
        <f>$AG49-SUMIF('11.2. ДА за периода'!$B$61:$B$108,$B49,'11.2. ДА за периода'!$AG$61:$AG$108)+SUMIF('11.2. ДА за периода'!$B$61:$B$108,$B49,'11.2. ДА за периода'!AK$61:AK$108)+SUMIF('11.1.Амортиз.нови активи'!$B$61:$B$108,$B49,'11.1.Амортиз.нови активи'!AK$61:AK$108)+('11.1.Амортиз.нови активи'!W$112*SUMIF('11.1.Амортиз.нови активи'!$B$61:$B$108,$B49,'11.1.Амортиз.нови активи'!BE$61:BE$108))</f>
        <v>3.1490209636547917E-2</v>
      </c>
      <c r="AL49" s="1136">
        <f>$AG49-SUMIF('11.2. ДА за периода'!$B$61:$B$108,$B49,'11.2. ДА за периода'!$AG$61:$AG$108)+SUMIF('11.2. ДА за периода'!$B$61:$B$108,$B49,'11.2. ДА за периода'!AL$61:AL$108)+SUMIF('11.1.Амортиз.нови активи'!$B$61:$B$108,$B49,'11.1.Амортиз.нови активи'!AL$61:AL$108)+('11.1.Амортиз.нови активи'!X$112*SUMIF('11.1.Амортиз.нови активи'!$B$61:$B$108,$B49,'11.1.Амортиз.нови активи'!BF$61:BF$108))</f>
        <v>3.1490209636547917E-2</v>
      </c>
      <c r="AM49" s="2656">
        <f>$AG49-SUMIF('11.2. ДА за периода'!$B$61:$B$108,$B49,'11.2. ДА за периода'!$AG$61:$AG$108)+SUMIF('11.2. ДА за периода'!$B$61:$B$108,$B49,'11.2. ДА за периода'!AM$61:AM$108)+SUMIF('11.1.Амортиз.нови активи'!$B$61:$B$108,$B49,'11.1.Амортиз.нови активи'!AM$61:AM$108)+('11.1.Амортиз.нови активи'!Y$112*SUMIF('11.1.Амортиз.нови активи'!$B$61:$B$108,$B49,'11.1.Амортиз.нови активи'!BG$61:BG$108))</f>
        <v>3.1490209636547917E-2</v>
      </c>
      <c r="AN49" s="2551"/>
      <c r="AO49" s="2589"/>
      <c r="AP49" s="4488"/>
      <c r="AQ49" s="4504">
        <f t="shared" si="31"/>
        <v>0.74151664050514365</v>
      </c>
      <c r="AR49" s="4504">
        <f t="shared" si="32"/>
        <v>1.2002319842565081</v>
      </c>
      <c r="AS49" s="4504">
        <f t="shared" si="33"/>
        <v>1.6442002629444288</v>
      </c>
      <c r="AT49" s="4504">
        <f t="shared" si="34"/>
        <v>1.8284644835382504</v>
      </c>
      <c r="AU49" s="4504">
        <f t="shared" si="35"/>
        <v>2.0140776880159947</v>
      </c>
      <c r="AV49" s="4504">
        <f t="shared" si="36"/>
        <v>2.2011573859390503</v>
      </c>
      <c r="AW49" s="4504">
        <f t="shared" si="37"/>
        <v>2.3884913045496394</v>
      </c>
      <c r="AX49" s="4504">
        <f t="shared" si="38"/>
        <v>0.35433342219444292</v>
      </c>
      <c r="AY49" s="4504">
        <f t="shared" si="39"/>
        <v>0.35685055145571665</v>
      </c>
      <c r="AZ49" s="4504">
        <f t="shared" si="40"/>
        <v>0.36165884874392984</v>
      </c>
      <c r="BA49" s="4504">
        <f t="shared" si="41"/>
        <v>0.36606097265481835</v>
      </c>
      <c r="BB49" s="4504">
        <f t="shared" si="42"/>
        <v>0.37017792964954366</v>
      </c>
      <c r="BC49" s="4504">
        <f t="shared" si="43"/>
        <v>0.37396927452978745</v>
      </c>
      <c r="BD49" s="4504">
        <f t="shared" si="44"/>
        <v>0.37773183506291486</v>
      </c>
      <c r="BE49" s="4504">
        <f t="shared" si="45"/>
        <v>0.59417532908069248</v>
      </c>
      <c r="BF49" s="4504">
        <f t="shared" si="46"/>
        <v>0.59719588419422098</v>
      </c>
      <c r="BG49" s="4504">
        <f t="shared" si="47"/>
        <v>0.60858200129468343</v>
      </c>
      <c r="BH49" s="4504">
        <f t="shared" si="48"/>
        <v>0.62443240926846111</v>
      </c>
      <c r="BI49" s="4504">
        <f t="shared" si="49"/>
        <v>0.63921900027447875</v>
      </c>
      <c r="BJ49" s="4504">
        <f t="shared" si="50"/>
        <v>0.65286470994966672</v>
      </c>
      <c r="BK49" s="4504">
        <f t="shared" si="51"/>
        <v>0.66628498328443786</v>
      </c>
      <c r="BL49" s="4504">
        <f t="shared" si="52"/>
        <v>0</v>
      </c>
      <c r="BM49" s="4504">
        <f t="shared" si="53"/>
        <v>0</v>
      </c>
      <c r="BN49" s="4504">
        <f t="shared" si="54"/>
        <v>0</v>
      </c>
      <c r="BO49" s="4504">
        <f t="shared" si="55"/>
        <v>0</v>
      </c>
      <c r="BP49" s="4504">
        <f t="shared" si="56"/>
        <v>0</v>
      </c>
      <c r="BQ49" s="4504">
        <f t="shared" si="57"/>
        <v>0</v>
      </c>
      <c r="BR49" s="4504">
        <f t="shared" si="58"/>
        <v>0</v>
      </c>
      <c r="BS49" s="4504">
        <f t="shared" si="59"/>
        <v>1.6100688524333873E-2</v>
      </c>
      <c r="BT49" s="4504">
        <f t="shared" si="60"/>
        <v>1.6100688524333873E-2</v>
      </c>
      <c r="BU49" s="4504">
        <f t="shared" si="61"/>
        <v>1.6100688524333873E-2</v>
      </c>
      <c r="BV49" s="4504">
        <f t="shared" si="62"/>
        <v>1.6100688524333873E-2</v>
      </c>
      <c r="BW49" s="4504">
        <f t="shared" si="63"/>
        <v>1.6100688524333873E-2</v>
      </c>
      <c r="BX49" s="4504">
        <f t="shared" si="64"/>
        <v>1.6100688524333873E-2</v>
      </c>
      <c r="BY49" s="4504">
        <f t="shared" si="65"/>
        <v>1.6100688524333873E-2</v>
      </c>
    </row>
    <row r="50" spans="1:77">
      <c r="A50" s="2564">
        <v>7</v>
      </c>
      <c r="B50" s="2568">
        <v>20601</v>
      </c>
      <c r="C50" s="2560">
        <v>0.1</v>
      </c>
      <c r="D50" s="2590" t="s">
        <v>564</v>
      </c>
      <c r="E50" s="2679">
        <f>+'11.3. ДА Базова година'!F55</f>
        <v>0.62243531948467778</v>
      </c>
      <c r="F50" s="2655">
        <f>$E50-SUMIF('11.2. ДА за периода'!$B$61:$B$108,$B50,'11.2. ДА за периода'!$E$61:$E$108)+SUMIF('11.2. ДА за периода'!$B$61:$B$108,$B50,'11.2. ДА за периода'!F$61:F$108)+SUMIF('11.1.Амортиз.нови активи'!$B$61:$B$108,$B50,'11.1.Амортиз.нови активи'!F$61:F$108)+('11.1.Амортиз.нови активи'!F$110*SUMIF('11.1.Амортиз.нови активи'!$B$61:$B$108,$B50,'11.1.Амортиз.нови активи'!AO$61:AO$108))</f>
        <v>0.89068471297494767</v>
      </c>
      <c r="G50" s="1136">
        <f>$E50-SUMIF('11.2. ДА за периода'!$B$61:$B$108,$B50,'11.2. ДА за периода'!$E$61:$E$108)+SUMIF('11.2. ДА за периода'!$B$61:$B$108,$B50,'11.2. ДА за периода'!G$61:G$108)+SUMIF('11.1.Амортиз.нови активи'!$B$61:$B$108,$B50,'11.1.Амортиз.нови активи'!G$61:G$108)+('11.1.Амортиз.нови активи'!G$110*SUMIF('11.1.Амортиз.нови активи'!$B$61:$B$108,$B50,'11.1.Амортиз.нови активи'!AP$61:AP$108))</f>
        <v>1.180496627618024</v>
      </c>
      <c r="H50" s="1136">
        <f>$E50-SUMIF('11.2. ДА за периода'!$B$61:$B$108,$B50,'11.2. ДА за периода'!$E$61:$E$108)+SUMIF('11.2. ДА за периода'!$B$61:$B$108,$B50,'11.2. ДА за периода'!H$61:H$108)+SUMIF('11.1.Амортиз.нови активи'!$B$61:$B$108,$B50,'11.1.Амортиз.нови активи'!H$61:H$108)+('11.1.Амортиз.нови активи'!H$110*SUMIF('11.1.Амортиз.нови активи'!$B$61:$B$108,$B50,'11.1.Амортиз.нови активи'!AQ$61:AQ$108))</f>
        <v>1.3650390384132574</v>
      </c>
      <c r="I50" s="1136">
        <f>$E50-SUMIF('11.2. ДА за периода'!$B$61:$B$108,$B50,'11.2. ДА за периода'!$E$61:$E$108)+SUMIF('11.2. ДА за периода'!$B$61:$B$108,$B50,'11.2. ДА за периода'!I$61:I$108)+SUMIF('11.1.Амортиз.нови активи'!$B$61:$B$108,$B50,'11.1.Амортиз.нови активи'!I$61:I$108)+('11.1.Амортиз.нови активи'!I$110*SUMIF('11.1.Амортиз.нови активи'!$B$61:$B$108,$B50,'11.1.Амортиз.нови активи'!AR$61:AR$108))</f>
        <v>1.5491216210518832</v>
      </c>
      <c r="J50" s="1136">
        <f>$E50-SUMIF('11.2. ДА за периода'!$B$61:$B$108,$B50,'11.2. ДА за периода'!$E$61:$E$108)+SUMIF('11.2. ДА за периода'!$B$61:$B$108,$B50,'11.2. ДА за периода'!J$61:J$108)+SUMIF('11.1.Амортиз.нови активи'!$B$61:$B$108,$B50,'11.1.Амортиз.нови активи'!J$61:J$108)+('11.1.Амортиз.нови активи'!J$110*SUMIF('11.1.Амортиз.нови активи'!$B$61:$B$108,$B50,'11.1.Амортиз.нови активи'!AS$61:AS$108))</f>
        <v>1.7335971024180949</v>
      </c>
      <c r="K50" s="2656">
        <f>$E50-SUMIF('11.2. ДА за периода'!$B$61:$B$108,$B50,'11.2. ДА за периода'!$E$61:$E$108)+SUMIF('11.2. ДА за периода'!$B$61:$B$108,$B50,'11.2. ДА за периода'!K$61:K$108)+SUMIF('11.1.Амортиз.нови активи'!$B$61:$B$108,$B50,'11.1.Амортиз.нови активи'!K$61:K$108)+('11.1.Амортиз.нови активи'!K$110*SUMIF('11.1.Амортиз.нови активи'!$B$61:$B$108,$B50,'11.1.Амортиз.нови активи'!AT$61:AT$108))</f>
        <v>1.9178927166980748</v>
      </c>
      <c r="L50" s="2679">
        <f>+'11.3. ДА Базова година'!J55</f>
        <v>0.1291360205932954</v>
      </c>
      <c r="M50" s="2655">
        <f>$L50-SUMIF('11.2. ДА за периода'!$B$61:$B$108,$B50,'11.2. ДА за периода'!$L$61:$L$108)+SUMIF('11.2. ДА за периода'!$B$61:$B$108,$B50,'11.2. ДА за периода'!M$61:M$108)+SUMIF('11.1.Амортиз.нови активи'!$B$61:$B$108,$B50,'11.1.Амортиз.нови активи'!M$61:M$108)+('11.1.Амортиз.нови активи'!F$111*SUMIF('11.1.Амортиз.нови активи'!$B$61:$B$108,$B50,'11.1.Амортиз.нови активи'!AO$61:AO$108))</f>
        <v>0.14298040017474703</v>
      </c>
      <c r="N50" s="1136">
        <f>$L50-SUMIF('11.2. ДА за периода'!$B$61:$B$108,$B50,'11.2. ДА за периода'!$L$61:$L$108)+SUMIF('11.2. ДА за периода'!$B$61:$B$108,$B50,'11.2. ДА за периода'!N$61:N$108)+SUMIF('11.1.Амортиз.нови активи'!$B$61:$B$108,$B50,'11.1.Амортиз.нови активи'!N$61:N$108)+('11.1.Амортиз.нови активи'!G$111*SUMIF('11.1.Амортиз.нови активи'!$B$61:$B$108,$B50,'11.1.Амортиз.нови активи'!AP$61:AP$108))</f>
        <v>0.14605108458324204</v>
      </c>
      <c r="O50" s="1136">
        <f>$L50-SUMIF('11.2. ДА за периода'!$B$61:$B$108,$B50,'11.2. ДА за периода'!$L$61:$L$108)+SUMIF('11.2. ДА за периода'!$B$61:$B$108,$B50,'11.2. ДА за периода'!O$61:O$108)+SUMIF('11.1.Амортиз.нови активи'!$B$61:$B$108,$B50,'11.1.Амортиз.нови активи'!O$61:O$108)+('11.1.Амортиз.нови активи'!H$111*SUMIF('11.1.Амортиз.нови активи'!$B$61:$B$108,$B50,'11.1.Амортиз.нови активи'!AQ$61:AQ$108))</f>
        <v>0.14960179002407425</v>
      </c>
      <c r="P50" s="1136">
        <f>$L50-SUMIF('11.2. ДА за периода'!$B$61:$B$108,$B50,'11.2. ДА за периода'!$L$61:$L$108)+SUMIF('11.2. ДА за периода'!$B$61:$B$108,$B50,'11.2. ДА за периода'!P$61:P$108)+SUMIF('11.1.Амортиз.нови активи'!$B$61:$B$108,$B50,'11.1.Амортиз.нови активи'!P$61:P$108)+('11.1.Амортиз.нови активи'!I$111*SUMIF('11.1.Амортиз.нови активи'!$B$61:$B$108,$B50,'11.1.Амортиз.нови активи'!AR$61:AR$108))</f>
        <v>0.15319474289911972</v>
      </c>
      <c r="Q50" s="1136">
        <f>$L50-SUMIF('11.2. ДА за периода'!$B$61:$B$108,$B50,'11.2. ДА за периода'!$L$61:$L$108)+SUMIF('11.2. ДА за периода'!$B$61:$B$108,$B50,'11.2. ДА за периода'!Q$61:Q$108)+SUMIF('11.1.Амортиз.нови активи'!$B$61:$B$108,$B50,'11.1.Амортиз.нови активи'!Q$61:Q$108)+('11.1.Амортиз.нови активи'!J$111*SUMIF('11.1.Амортиз.нови активи'!$B$61:$B$108,$B50,'11.1.Амортиз.нови активи'!AS$61:AS$108))</f>
        <v>0.15666124533256098</v>
      </c>
      <c r="R50" s="2656">
        <f>$L50-SUMIF('11.2. ДА за периода'!$B$61:$B$108,$B50,'11.2. ДА за периода'!$L$61:$L$108)+SUMIF('11.2. ДА за периода'!$B$61:$B$108,$B50,'11.2. ДА за периода'!R$61:R$108)+SUMIF('11.1.Амортиз.нови активи'!$B$61:$B$108,$B50,'11.1.Амортиз.нови активи'!R$61:R$108)+('11.1.Амортиз.нови активи'!K$111*SUMIF('11.1.Амортиз.нови активи'!$B$61:$B$108,$B50,'11.1.Амортиз.нови активи'!AT$61:AT$108))</f>
        <v>0.16016515464087439</v>
      </c>
      <c r="S50" s="2679">
        <f>+'11.3. ДА Базова година'!N55</f>
        <v>0.19441863322752428</v>
      </c>
      <c r="T50" s="2655">
        <f>$S50-SUMIF('11.2. ДА за периода'!$B$61:$B$108,$B50,'11.2. ДА за периода'!$S$61:$S$108)+SUMIF('11.2. ДА за периода'!$B$61:$B$108,$B50,'11.2. ДА за периода'!T$61:T$108)+SUMIF('11.1.Амортиз.нови активи'!$B$61:$B$108,$B50,'11.1.Амортиз.нови активи'!T$61:T$108)+('11.1.Амортиз.нови активи'!F$112*SUMIF('11.1.Амортиз.нови активи'!$B$61:$B$108,$B50,'11.1.Амортиз.нови активи'!AO$61:AO$108))</f>
        <v>0.21128291461696694</v>
      </c>
      <c r="U50" s="1136">
        <f>$S50-SUMIF('11.2. ДА за периода'!$B$61:$B$108,$B50,'11.2. ДА за периода'!$S$61:$S$108)+SUMIF('11.2. ДА за периода'!$B$61:$B$108,$B50,'11.2. ДА за периода'!U$61:U$108)+SUMIF('11.1.Амортиз.нови активи'!$B$61:$B$108,$B50,'11.1.Амортиз.нови активи'!U$61:U$108)+('11.1.Амортиз.нови активи'!G$112*SUMIF('11.1.Амортиз.нови активи'!$B$61:$B$108,$B50,'11.1.Амортиз.нови активи'!AP$61:AP$108))</f>
        <v>0.21840031556539544</v>
      </c>
      <c r="V50" s="1136">
        <f>$S50-SUMIF('11.2. ДА за периода'!$B$61:$B$108,$B50,'11.2. ДА за периода'!$S$61:$S$108)+SUMIF('11.2. ДА за периода'!$B$61:$B$108,$B50,'11.2. ДА за периода'!V$61:V$108)+SUMIF('11.1.Амортиз.нови активи'!$B$61:$B$108,$B50,'11.1.Амортиз.нови активи'!V$61:V$108)+('11.1.Амортиз.нови активи'!H$112*SUMIF('11.1.Амортиз.нови активи'!$B$61:$B$108,$B50,'11.1.Амортиз.нови активи'!AQ$61:AQ$108))</f>
        <v>0.23030719932933011</v>
      </c>
      <c r="W50" s="1136">
        <f>$S50-SUMIF('11.2. ДА за периода'!$B$61:$B$108,$B50,'11.2. ДА за периода'!$S$61:$S$108)+SUMIF('11.2. ДА за периода'!$B$61:$B$108,$B50,'11.2. ДА за периода'!W$61:W$108)+SUMIF('11.1.Амортиз.нови активи'!$B$61:$B$108,$B50,'11.1.Амортиз.нови активи'!W$61:W$108)+('11.1.Амортиз.нови активи'!I$112*SUMIF('11.1.Амортиз.нови активи'!$B$61:$B$108,$B50,'11.1.Амортиз.нови активи'!AR$61:AR$108))</f>
        <v>0.24263166381565851</v>
      </c>
      <c r="X50" s="1136">
        <f>$S50-SUMIF('11.2. ДА за периода'!$B$61:$B$108,$B50,'11.2. ДА за периода'!$S$61:$S$108)+SUMIF('11.2. ДА за периода'!$B$61:$B$108,$B50,'11.2. ДА за периода'!X$61:X$108)+SUMIF('11.1.Амортиз.нови активи'!$B$61:$B$108,$B50,'11.1.Амортиз.нови активи'!X$61:X$108)+('11.1.Амортиз.нови активи'!J$112*SUMIF('11.1.Амортиз.нови активи'!$B$61:$B$108,$B50,'11.1.Амортиз.нови активи'!AS$61:AS$108))</f>
        <v>0.25468968001600578</v>
      </c>
      <c r="Y50" s="2656">
        <f>$S50-SUMIF('11.2. ДА за периода'!$B$61:$B$108,$B50,'11.2. ДА за периода'!$S$61:$S$108)+SUMIF('11.2. ДА за периода'!$B$61:$B$108,$B50,'11.2. ДА за периода'!Y$61:Y$108)+SUMIF('11.1.Амортиз.нови активи'!$B$61:$B$108,$B50,'11.1.Амортиз.нови активи'!Y$61:Y$108)+('11.1.Амортиз.нови активи'!K$112*SUMIF('11.1.Амортиз.нови активи'!$B$61:$B$108,$B50,'11.1.Амортиз.нови активи'!AT$61:AT$108))</f>
        <v>0.26689015642771252</v>
      </c>
      <c r="Z50" s="4453">
        <f>+'11.3. ДА Базова година'!R55</f>
        <v>0</v>
      </c>
      <c r="AA50" s="2655">
        <f>$Z50-SUMIF('11.2. ДА за периода'!$B$61:$B$108,$B50,'11.2. ДА за периода'!$Z$61:$Z$108)+SUMIF('11.2. ДА за периода'!$B$61:$B$108,$B50,'11.2. ДА за периода'!AA$61:AA$108)+SUMIF('11.1.Амортиз.нови активи'!$B$61:$B$108,$B50,'11.1.Амортиз.нови активи'!AA$61:AA$108)</f>
        <v>0</v>
      </c>
      <c r="AB50" s="1136">
        <f>$Z50-SUMIF('11.2. ДА за периода'!$B$61:$B$108,$B50,'11.2. ДА за периода'!$Z$61:$Z$108)+SUMIF('11.2. ДА за периода'!$B$61:$B$108,$B50,'11.2. ДА за периода'!AB$61:AB$108)+SUMIF('11.1.Амортиз.нови активи'!$B$61:$B$108,$B50,'11.1.Амортиз.нови активи'!AB$61:AB$108)</f>
        <v>0</v>
      </c>
      <c r="AC50" s="1136">
        <f>$Z50-SUMIF('11.2. ДА за периода'!$B$61:$B$108,$B50,'11.2. ДА за периода'!$Z$61:$Z$108)+SUMIF('11.2. ДА за периода'!$B$61:$B$108,$B50,'11.2. ДА за периода'!AC$61:AC$108)+SUMIF('11.1.Амортиз.нови активи'!$B$61:$B$108,$B50,'11.1.Амортиз.нови активи'!AC$61:AC$108)</f>
        <v>0</v>
      </c>
      <c r="AD50" s="1136">
        <f>$Z50-SUMIF('11.2. ДА за периода'!$B$61:$B$108,$B50,'11.2. ДА за периода'!$Z$61:$Z$108)+SUMIF('11.2. ДА за периода'!$B$61:$B$108,$B50,'11.2. ДА за периода'!AD$61:AD$108)+SUMIF('11.1.Амортиз.нови активи'!$B$61:$B$108,$B50,'11.1.Амортиз.нови активи'!AD$61:AD$108)</f>
        <v>0</v>
      </c>
      <c r="AE50" s="1136">
        <f>$Z50-SUMIF('11.2. ДА за периода'!$B$61:$B$108,$B50,'11.2. ДА за периода'!$Z$61:$Z$108)+SUMIF('11.2. ДА за периода'!$B$61:$B$108,$B50,'11.2. ДА за периода'!AE$61:AE$108)+SUMIF('11.1.Амортиз.нови активи'!$B$61:$B$108,$B50,'11.1.Амортиз.нови активи'!AE$61:AE$108)</f>
        <v>0</v>
      </c>
      <c r="AF50" s="2656">
        <f>$Z50-SUMIF('11.2. ДА за периода'!$B$61:$B$108,$B50,'11.2. ДА за периода'!$Z$61:$Z$108)+SUMIF('11.2. ДА за периода'!$B$61:$B$108,$B50,'11.2. ДА за периода'!AF$61:AF$108)+SUMIF('11.1.Амортиз.нови активи'!$B$61:$B$108,$B50,'11.1.Амортиз.нови активи'!AF$61:AF$108)</f>
        <v>0</v>
      </c>
      <c r="AG50" s="2679">
        <f>+'11.3. ДА Базова година'!V55</f>
        <v>4.6811191214747435E-3</v>
      </c>
      <c r="AH50" s="2655">
        <f>$AG50-SUMIF('11.2. ДА за периода'!$B$61:$B$108,$B50,'11.2. ДА за периода'!$AG$61:$AG$108)+SUMIF('11.2. ДА за периода'!$B$61:$B$108,$B50,'11.2. ДА за периода'!AH$61:AH$108)+SUMIF('11.1.Амортиз.нови активи'!$B$61:$B$108,$B50,'11.1.Амортиз.нови активи'!AH$61:AH$108)+('11.1.Амортиз.нови активи'!T$112*SUMIF('11.1.Амортиз.нови активи'!$B$61:$B$108,$B50,'11.1.Амортиз.нови активи'!BB$61:BB$108))</f>
        <v>5.3921215665360843E-3</v>
      </c>
      <c r="AI50" s="1136">
        <f>$AG50-SUMIF('11.2. ДА за периода'!$B$61:$B$108,$B50,'11.2. ДА за периода'!$AG$61:$AG$108)+SUMIF('11.2. ДА за периода'!$B$61:$B$108,$B50,'11.2. ДА за периода'!AI$61:AI$108)+SUMIF('11.1.Амортиз.нови активи'!$B$61:$B$108,$B50,'11.1.Амортиз.нови активи'!AI$61:AI$108)+('11.1.Амортиз.нови активи'!U$112*SUMIF('11.1.Амортиз.нови активи'!$B$61:$B$108,$B50,'11.1.Амортиз.нови активи'!BC$61:BC$108))</f>
        <v>5.3921215665360843E-3</v>
      </c>
      <c r="AJ50" s="1136">
        <f>$AG50-SUMIF('11.2. ДА за периода'!$B$61:$B$108,$B50,'11.2. ДА за периода'!$AG$61:$AG$108)+SUMIF('11.2. ДА за периода'!$B$61:$B$108,$B50,'11.2. ДА за периода'!AJ$61:AJ$108)+SUMIF('11.1.Амортиз.нови активи'!$B$61:$B$108,$B50,'11.1.Амортиз.нови активи'!AJ$61:AJ$108)+('11.1.Амортиз.нови активи'!V$112*SUMIF('11.1.Амортиз.нови активи'!$B$61:$B$108,$B50,'11.1.Амортиз.нови активи'!BD$61:BD$108))</f>
        <v>5.3921215665360843E-3</v>
      </c>
      <c r="AK50" s="1136">
        <f>$AG50-SUMIF('11.2. ДА за периода'!$B$61:$B$108,$B50,'11.2. ДА за периода'!$AG$61:$AG$108)+SUMIF('11.2. ДА за периода'!$B$61:$B$108,$B50,'11.2. ДА за периода'!AK$61:AK$108)+SUMIF('11.1.Амортиз.нови активи'!$B$61:$B$108,$B50,'11.1.Амортиз.нови активи'!AK$61:AK$108)+('11.1.Амортиз.нови активи'!W$112*SUMIF('11.1.Амортиз.нови активи'!$B$61:$B$108,$B50,'11.1.Амортиз.нови активи'!BE$61:BE$108))</f>
        <v>5.3921215665360843E-3</v>
      </c>
      <c r="AL50" s="1136">
        <f>$AG50-SUMIF('11.2. ДА за периода'!$B$61:$B$108,$B50,'11.2. ДА за периода'!$AG$61:$AG$108)+SUMIF('11.2. ДА за периода'!$B$61:$B$108,$B50,'11.2. ДА за периода'!AL$61:AL$108)+SUMIF('11.1.Амортиз.нови активи'!$B$61:$B$108,$B50,'11.1.Амортиз.нови активи'!AL$61:AL$108)+('11.1.Амортиз.нови активи'!X$112*SUMIF('11.1.Амортиз.нови активи'!$B$61:$B$108,$B50,'11.1.Амортиз.нови активи'!BF$61:BF$108))</f>
        <v>5.3921215665360843E-3</v>
      </c>
      <c r="AM50" s="2656">
        <f>$AG50-SUMIF('11.2. ДА за периода'!$B$61:$B$108,$B50,'11.2. ДА за периода'!$AG$61:$AG$108)+SUMIF('11.2. ДА за периода'!$B$61:$B$108,$B50,'11.2. ДА за периода'!AM$61:AM$108)+SUMIF('11.1.Амортиз.нови активи'!$B$61:$B$108,$B50,'11.1.Амортиз.нови активи'!AM$61:AM$108)+('11.1.Амортиз.нови активи'!Y$112*SUMIF('11.1.Амортиз.нови активи'!$B$61:$B$108,$B50,'11.1.Амортиз.нови активи'!BG$61:BG$108))</f>
        <v>5.3921215665360843E-3</v>
      </c>
      <c r="AN50" s="2551"/>
      <c r="AO50" s="2589"/>
      <c r="AP50" s="4488"/>
      <c r="AQ50" s="4504">
        <f t="shared" si="31"/>
        <v>0.31824612542229019</v>
      </c>
      <c r="AR50" s="4504">
        <f t="shared" si="32"/>
        <v>0.4553998624496749</v>
      </c>
      <c r="AS50" s="4504">
        <f t="shared" si="33"/>
        <v>0.60357834148061129</v>
      </c>
      <c r="AT50" s="4504">
        <f t="shared" si="34"/>
        <v>0.69793337785659149</v>
      </c>
      <c r="AU50" s="4504">
        <f t="shared" si="35"/>
        <v>0.7920533078293529</v>
      </c>
      <c r="AV50" s="4504">
        <f t="shared" si="36"/>
        <v>0.88637412373166125</v>
      </c>
      <c r="AW50" s="4504">
        <f t="shared" si="37"/>
        <v>0.9806029750530848</v>
      </c>
      <c r="AX50" s="4504">
        <f t="shared" si="38"/>
        <v>6.6026198899339625E-2</v>
      </c>
      <c r="AY50" s="4504">
        <f t="shared" si="39"/>
        <v>7.3104717779534534E-2</v>
      </c>
      <c r="AZ50" s="4504">
        <f t="shared" si="40"/>
        <v>7.4674733787313846E-2</v>
      </c>
      <c r="BA50" s="4504">
        <f t="shared" si="41"/>
        <v>7.6490180651730605E-2</v>
      </c>
      <c r="BB50" s="4504">
        <f t="shared" si="42"/>
        <v>7.8327228286261957E-2</v>
      </c>
      <c r="BC50" s="4504">
        <f t="shared" si="43"/>
        <v>8.0099622836627415E-2</v>
      </c>
      <c r="BD50" s="4504">
        <f t="shared" si="44"/>
        <v>8.189114321841591E-2</v>
      </c>
      <c r="BE50" s="4504">
        <f t="shared" si="45"/>
        <v>9.9404668722498521E-2</v>
      </c>
      <c r="BF50" s="4504">
        <f t="shared" si="46"/>
        <v>0.10802723887912903</v>
      </c>
      <c r="BG50" s="4504">
        <f t="shared" si="47"/>
        <v>0.11166630819927879</v>
      </c>
      <c r="BH50" s="4504">
        <f t="shared" si="48"/>
        <v>0.11775420119812566</v>
      </c>
      <c r="BI50" s="4504">
        <f t="shared" si="49"/>
        <v>0.1240555998300765</v>
      </c>
      <c r="BJ50" s="4504">
        <f t="shared" si="50"/>
        <v>0.13022076561664653</v>
      </c>
      <c r="BK50" s="4504">
        <f t="shared" si="51"/>
        <v>0.13645877015267815</v>
      </c>
      <c r="BL50" s="4504">
        <f t="shared" si="52"/>
        <v>0</v>
      </c>
      <c r="BM50" s="4504">
        <f t="shared" si="53"/>
        <v>0</v>
      </c>
      <c r="BN50" s="4504">
        <f t="shared" si="54"/>
        <v>0</v>
      </c>
      <c r="BO50" s="4504">
        <f t="shared" si="55"/>
        <v>0</v>
      </c>
      <c r="BP50" s="4504">
        <f t="shared" si="56"/>
        <v>0</v>
      </c>
      <c r="BQ50" s="4504">
        <f t="shared" si="57"/>
        <v>0</v>
      </c>
      <c r="BR50" s="4504">
        <f t="shared" si="58"/>
        <v>0</v>
      </c>
      <c r="BS50" s="4504">
        <f t="shared" si="59"/>
        <v>2.3934182017224114E-3</v>
      </c>
      <c r="BT50" s="4504">
        <f t="shared" si="60"/>
        <v>2.7569479793929353E-3</v>
      </c>
      <c r="BU50" s="4504">
        <f t="shared" si="61"/>
        <v>2.7569479793929353E-3</v>
      </c>
      <c r="BV50" s="4504">
        <f t="shared" si="62"/>
        <v>2.7569479793929353E-3</v>
      </c>
      <c r="BW50" s="4504">
        <f t="shared" si="63"/>
        <v>2.7569479793929353E-3</v>
      </c>
      <c r="BX50" s="4504">
        <f t="shared" si="64"/>
        <v>2.7569479793929353E-3</v>
      </c>
      <c r="BY50" s="4504">
        <f t="shared" si="65"/>
        <v>2.7569479793929353E-3</v>
      </c>
    </row>
    <row r="51" spans="1:77">
      <c r="A51" s="2569">
        <v>8</v>
      </c>
      <c r="B51" s="2568">
        <v>20602</v>
      </c>
      <c r="C51" s="2560">
        <v>0.1</v>
      </c>
      <c r="D51" s="2590" t="s">
        <v>435</v>
      </c>
      <c r="E51" s="2679">
        <f>+'11.3. ДА Базова година'!F56</f>
        <v>0.36755781352923</v>
      </c>
      <c r="F51" s="2655">
        <f>$E51-SUMIF('11.2. ДА за периода'!$B$61:$B$108,$B51,'11.2. ДА за периода'!$E$61:$E$108)+SUMIF('11.2. ДА за периода'!$B$61:$B$108,$B51,'11.2. ДА за периода'!F$61:F$108)+SUMIF('11.1.Амортиз.нови активи'!$B$61:$B$108,$B51,'11.1.Амортиз.нови активи'!F$61:F$108)+('11.1.Амортиз.нови активи'!F$110*SUMIF('11.1.Амортиз.нови активи'!$B$61:$B$108,$B51,'11.1.Амортиз.нови активи'!AO$61:AO$108))</f>
        <v>0.36755781352923</v>
      </c>
      <c r="G51" s="1136">
        <f>$E51-SUMIF('11.2. ДА за периода'!$B$61:$B$108,$B51,'11.2. ДА за периода'!$E$61:$E$108)+SUMIF('11.2. ДА за периода'!$B$61:$B$108,$B51,'11.2. ДА за периода'!G$61:G$108)+SUMIF('11.1.Амортиз.нови активи'!$B$61:$B$108,$B51,'11.1.Амортиз.нови активи'!G$61:G$108)+('11.1.Амортиз.нови активи'!G$110*SUMIF('11.1.Амортиз.нови активи'!$B$61:$B$108,$B51,'11.1.Амортиз.нови активи'!AP$61:AP$108))</f>
        <v>0.36755781352923</v>
      </c>
      <c r="H51" s="1136">
        <f>$E51-SUMIF('11.2. ДА за периода'!$B$61:$B$108,$B51,'11.2. ДА за периода'!$E$61:$E$108)+SUMIF('11.2. ДА за периода'!$B$61:$B$108,$B51,'11.2. ДА за периода'!H$61:H$108)+SUMIF('11.1.Амортиз.нови активи'!$B$61:$B$108,$B51,'11.1.Амортиз.нови активи'!H$61:H$108)+('11.1.Амортиз.нови активи'!H$110*SUMIF('11.1.Амортиз.нови активи'!$B$61:$B$108,$B51,'11.1.Амортиз.нови активи'!AQ$61:AQ$108))</f>
        <v>0.36755781352923</v>
      </c>
      <c r="I51" s="1136">
        <f>$E51-SUMIF('11.2. ДА за периода'!$B$61:$B$108,$B51,'11.2. ДА за периода'!$E$61:$E$108)+SUMIF('11.2. ДА за периода'!$B$61:$B$108,$B51,'11.2. ДА за периода'!I$61:I$108)+SUMIF('11.1.Амортиз.нови активи'!$B$61:$B$108,$B51,'11.1.Амортиз.нови активи'!I$61:I$108)+('11.1.Амортиз.нови активи'!I$110*SUMIF('11.1.Амортиз.нови активи'!$B$61:$B$108,$B51,'11.1.Амортиз.нови активи'!AR$61:AR$108))</f>
        <v>0.36755781352923</v>
      </c>
      <c r="J51" s="1136">
        <f>$E51-SUMIF('11.2. ДА за периода'!$B$61:$B$108,$B51,'11.2. ДА за периода'!$E$61:$E$108)+SUMIF('11.2. ДА за периода'!$B$61:$B$108,$B51,'11.2. ДА за периода'!J$61:J$108)+SUMIF('11.1.Амортиз.нови активи'!$B$61:$B$108,$B51,'11.1.Амортиз.нови активи'!J$61:J$108)+('11.1.Амортиз.нови активи'!J$110*SUMIF('11.1.Амортиз.нови активи'!$B$61:$B$108,$B51,'11.1.Амортиз.нови активи'!AS$61:AS$108))</f>
        <v>0.36755781352923</v>
      </c>
      <c r="K51" s="2656">
        <f>$E51-SUMIF('11.2. ДА за периода'!$B$61:$B$108,$B51,'11.2. ДА за периода'!$E$61:$E$108)+SUMIF('11.2. ДА за периода'!$B$61:$B$108,$B51,'11.2. ДА за периода'!K$61:K$108)+SUMIF('11.1.Амортиз.нови активи'!$B$61:$B$108,$B51,'11.1.Амортиз.нови активи'!K$61:K$108)+('11.1.Амортиз.нови активи'!K$110*SUMIF('11.1.Амортиз.нови активи'!$B$61:$B$108,$B51,'11.1.Амортиз.нови активи'!AT$61:AT$108))</f>
        <v>0.36755781352923</v>
      </c>
      <c r="L51" s="2679">
        <f>+'11.3. ДА Базова година'!J56</f>
        <v>0.2661407292004383</v>
      </c>
      <c r="M51" s="2655">
        <f>$L51-SUMIF('11.2. ДА за периода'!$B$61:$B$108,$B51,'11.2. ДА за периода'!$L$61:$L$108)+SUMIF('11.2. ДА за периода'!$B$61:$B$108,$B51,'11.2. ДА за периода'!M$61:M$108)+SUMIF('11.1.Амортиз.нови активи'!$B$61:$B$108,$B51,'11.1.Амортиз.нови активи'!M$61:M$108)+('11.1.Амортиз.нови активи'!F$111*SUMIF('11.1.Амортиз.нови активи'!$B$61:$B$108,$B51,'11.1.Амортиз.нови активи'!AO$61:AO$108))</f>
        <v>0.2661407292004383</v>
      </c>
      <c r="N51" s="1136">
        <f>$L51-SUMIF('11.2. ДА за периода'!$B$61:$B$108,$B51,'11.2. ДА за периода'!$L$61:$L$108)+SUMIF('11.2. ДА за периода'!$B$61:$B$108,$B51,'11.2. ДА за периода'!N$61:N$108)+SUMIF('11.1.Амортиз.нови активи'!$B$61:$B$108,$B51,'11.1.Амортиз.нови активи'!N$61:N$108)+('11.1.Амортиз.нови активи'!G$111*SUMIF('11.1.Амортиз.нови активи'!$B$61:$B$108,$B51,'11.1.Амортиз.нови активи'!AP$61:AP$108))</f>
        <v>0.2661407292004383</v>
      </c>
      <c r="O51" s="1136">
        <f>$L51-SUMIF('11.2. ДА за периода'!$B$61:$B$108,$B51,'11.2. ДА за периода'!$L$61:$L$108)+SUMIF('11.2. ДА за периода'!$B$61:$B$108,$B51,'11.2. ДА за периода'!O$61:O$108)+SUMIF('11.1.Амортиз.нови активи'!$B$61:$B$108,$B51,'11.1.Амортиз.нови активи'!O$61:O$108)+('11.1.Амортиз.нови активи'!H$111*SUMIF('11.1.Амортиз.нови активи'!$B$61:$B$108,$B51,'11.1.Амортиз.нови активи'!AQ$61:AQ$108))</f>
        <v>0.2661407292004383</v>
      </c>
      <c r="P51" s="1136">
        <f>$L51-SUMIF('11.2. ДА за периода'!$B$61:$B$108,$B51,'11.2. ДА за периода'!$L$61:$L$108)+SUMIF('11.2. ДА за периода'!$B$61:$B$108,$B51,'11.2. ДА за периода'!P$61:P$108)+SUMIF('11.1.Амортиз.нови активи'!$B$61:$B$108,$B51,'11.1.Амортиз.нови активи'!P$61:P$108)+('11.1.Амортиз.нови активи'!I$111*SUMIF('11.1.Амортиз.нови активи'!$B$61:$B$108,$B51,'11.1.Амортиз.нови активи'!AR$61:AR$108))</f>
        <v>0.2661407292004383</v>
      </c>
      <c r="Q51" s="1136">
        <f>$L51-SUMIF('11.2. ДА за периода'!$B$61:$B$108,$B51,'11.2. ДА за периода'!$L$61:$L$108)+SUMIF('11.2. ДА за периода'!$B$61:$B$108,$B51,'11.2. ДА за периода'!Q$61:Q$108)+SUMIF('11.1.Амортиз.нови активи'!$B$61:$B$108,$B51,'11.1.Амортиз.нови активи'!Q$61:Q$108)+('11.1.Амортиз.нови активи'!J$111*SUMIF('11.1.Амортиз.нови активи'!$B$61:$B$108,$B51,'11.1.Амортиз.нови активи'!AS$61:AS$108))</f>
        <v>0.2661407292004383</v>
      </c>
      <c r="R51" s="2656">
        <f>$L51-SUMIF('11.2. ДА за периода'!$B$61:$B$108,$B51,'11.2. ДА за периода'!$L$61:$L$108)+SUMIF('11.2. ДА за периода'!$B$61:$B$108,$B51,'11.2. ДА за периода'!R$61:R$108)+SUMIF('11.1.Амортиз.нови активи'!$B$61:$B$108,$B51,'11.1.Амортиз.нови активи'!R$61:R$108)+('11.1.Амортиз.нови активи'!K$111*SUMIF('11.1.Амортиз.нови активи'!$B$61:$B$108,$B51,'11.1.Амортиз.нови активи'!AT$61:AT$108))</f>
        <v>0.2661407292004383</v>
      </c>
      <c r="S51" s="2679">
        <f>+'11.3. ДА Базова година'!N56</f>
        <v>0.32474026613265317</v>
      </c>
      <c r="T51" s="2655">
        <f>$S51-SUMIF('11.2. ДА за периода'!$B$61:$B$108,$B51,'11.2. ДА за периода'!$S$61:$S$108)+SUMIF('11.2. ДА за периода'!$B$61:$B$108,$B51,'11.2. ДА за периода'!T$61:T$108)+SUMIF('11.1.Амортиз.нови активи'!$B$61:$B$108,$B51,'11.1.Амортиз.нови активи'!T$61:T$108)+('11.1.Амортиз.нови активи'!F$112*SUMIF('11.1.Амортиз.нови активи'!$B$61:$B$108,$B51,'11.1.Амортиз.нови активи'!AO$61:AO$108))</f>
        <v>0.32474026613265317</v>
      </c>
      <c r="U51" s="1136">
        <f>$S51-SUMIF('11.2. ДА за периода'!$B$61:$B$108,$B51,'11.2. ДА за периода'!$S$61:$S$108)+SUMIF('11.2. ДА за периода'!$B$61:$B$108,$B51,'11.2. ДА за периода'!U$61:U$108)+SUMIF('11.1.Амортиз.нови активи'!$B$61:$B$108,$B51,'11.1.Амортиз.нови активи'!U$61:U$108)+('11.1.Амортиз.нови активи'!G$112*SUMIF('11.1.Амортиз.нови активи'!$B$61:$B$108,$B51,'11.1.Амортиз.нови активи'!AP$61:AP$108))</f>
        <v>0.32474026613265317</v>
      </c>
      <c r="V51" s="1136">
        <f>$S51-SUMIF('11.2. ДА за периода'!$B$61:$B$108,$B51,'11.2. ДА за периода'!$S$61:$S$108)+SUMIF('11.2. ДА за периода'!$B$61:$B$108,$B51,'11.2. ДА за периода'!V$61:V$108)+SUMIF('11.1.Амортиз.нови активи'!$B$61:$B$108,$B51,'11.1.Амортиз.нови активи'!V$61:V$108)+('11.1.Амортиз.нови активи'!H$112*SUMIF('11.1.Амортиз.нови активи'!$B$61:$B$108,$B51,'11.1.Амортиз.нови активи'!AQ$61:AQ$108))</f>
        <v>0.32474026613265317</v>
      </c>
      <c r="W51" s="1136">
        <f>$S51-SUMIF('11.2. ДА за периода'!$B$61:$B$108,$B51,'11.2. ДА за периода'!$S$61:$S$108)+SUMIF('11.2. ДА за периода'!$B$61:$B$108,$B51,'11.2. ДА за периода'!W$61:W$108)+SUMIF('11.1.Амортиз.нови активи'!$B$61:$B$108,$B51,'11.1.Амортиз.нови активи'!W$61:W$108)+('11.1.Амортиз.нови активи'!I$112*SUMIF('11.1.Амортиз.нови активи'!$B$61:$B$108,$B51,'11.1.Амортиз.нови активи'!AR$61:AR$108))</f>
        <v>0.32474026613265317</v>
      </c>
      <c r="X51" s="1136">
        <f>$S51-SUMIF('11.2. ДА за периода'!$B$61:$B$108,$B51,'11.2. ДА за периода'!$S$61:$S$108)+SUMIF('11.2. ДА за периода'!$B$61:$B$108,$B51,'11.2. ДА за периода'!X$61:X$108)+SUMIF('11.1.Амортиз.нови активи'!$B$61:$B$108,$B51,'11.1.Амортиз.нови активи'!X$61:X$108)+('11.1.Амортиз.нови активи'!J$112*SUMIF('11.1.Амортиз.нови активи'!$B$61:$B$108,$B51,'11.1.Амортиз.нови активи'!AS$61:AS$108))</f>
        <v>0.32474026613265317</v>
      </c>
      <c r="Y51" s="2656">
        <f>$S51-SUMIF('11.2. ДА за периода'!$B$61:$B$108,$B51,'11.2. ДА за периода'!$S$61:$S$108)+SUMIF('11.2. ДА за периода'!$B$61:$B$108,$B51,'11.2. ДА за периода'!Y$61:Y$108)+SUMIF('11.1.Амортиз.нови активи'!$B$61:$B$108,$B51,'11.1.Амортиз.нови активи'!Y$61:Y$108)+('11.1.Амортиз.нови активи'!K$112*SUMIF('11.1.Амортиз.нови активи'!$B$61:$B$108,$B51,'11.1.Амортиз.нови активи'!AT$61:AT$108))</f>
        <v>0.32474026613265317</v>
      </c>
      <c r="Z51" s="4453">
        <f>+'11.3. ДА Базова година'!R56</f>
        <v>0</v>
      </c>
      <c r="AA51" s="2655">
        <f>$Z51-SUMIF('11.2. ДА за периода'!$B$61:$B$108,$B51,'11.2. ДА за периода'!$Z$61:$Z$108)+SUMIF('11.2. ДА за периода'!$B$61:$B$108,$B51,'11.2. ДА за периода'!AA$61:AA$108)+SUMIF('11.1.Амортиз.нови активи'!$B$61:$B$108,$B51,'11.1.Амортиз.нови активи'!AA$61:AA$108)</f>
        <v>0</v>
      </c>
      <c r="AB51" s="1136">
        <f>$Z51-SUMIF('11.2. ДА за периода'!$B$61:$B$108,$B51,'11.2. ДА за периода'!$Z$61:$Z$108)+SUMIF('11.2. ДА за периода'!$B$61:$B$108,$B51,'11.2. ДА за периода'!AB$61:AB$108)+SUMIF('11.1.Амортиз.нови активи'!$B$61:$B$108,$B51,'11.1.Амортиз.нови активи'!AB$61:AB$108)</f>
        <v>0</v>
      </c>
      <c r="AC51" s="1136">
        <f>$Z51-SUMIF('11.2. ДА за периода'!$B$61:$B$108,$B51,'11.2. ДА за периода'!$Z$61:$Z$108)+SUMIF('11.2. ДА за периода'!$B$61:$B$108,$B51,'11.2. ДА за периода'!AC$61:AC$108)+SUMIF('11.1.Амортиз.нови активи'!$B$61:$B$108,$B51,'11.1.Амортиз.нови активи'!AC$61:AC$108)</f>
        <v>0</v>
      </c>
      <c r="AD51" s="1136">
        <f>$Z51-SUMIF('11.2. ДА за периода'!$B$61:$B$108,$B51,'11.2. ДА за периода'!$Z$61:$Z$108)+SUMIF('11.2. ДА за периода'!$B$61:$B$108,$B51,'11.2. ДА за периода'!AD$61:AD$108)+SUMIF('11.1.Амортиз.нови активи'!$B$61:$B$108,$B51,'11.1.Амортиз.нови активи'!AD$61:AD$108)</f>
        <v>0</v>
      </c>
      <c r="AE51" s="1136">
        <f>$Z51-SUMIF('11.2. ДА за периода'!$B$61:$B$108,$B51,'11.2. ДА за периода'!$Z$61:$Z$108)+SUMIF('11.2. ДА за периода'!$B$61:$B$108,$B51,'11.2. ДА за периода'!AE$61:AE$108)+SUMIF('11.1.Амортиз.нови активи'!$B$61:$B$108,$B51,'11.1.Амортиз.нови активи'!AE$61:AE$108)</f>
        <v>0</v>
      </c>
      <c r="AF51" s="2656">
        <f>$Z51-SUMIF('11.2. ДА за периода'!$B$61:$B$108,$B51,'11.2. ДА за периода'!$Z$61:$Z$108)+SUMIF('11.2. ДА за периода'!$B$61:$B$108,$B51,'11.2. ДА за периода'!AF$61:AF$108)+SUMIF('11.1.Амортиз.нови активи'!$B$61:$B$108,$B51,'11.1.Амортиз.нови активи'!AF$61:AF$108)</f>
        <v>0</v>
      </c>
      <c r="AG51" s="2679">
        <f>+'11.3. ДА Базова година'!V56</f>
        <v>1.0330826200600527E-2</v>
      </c>
      <c r="AH51" s="2655">
        <f>$AG51-SUMIF('11.2. ДА за периода'!$B$61:$B$108,$B51,'11.2. ДА за периода'!$AG$61:$AG$108)+SUMIF('11.2. ДА за периода'!$B$61:$B$108,$B51,'11.2. ДА за периода'!AH$61:AH$108)+SUMIF('11.1.Амортиз.нови активи'!$B$61:$B$108,$B51,'11.1.Амортиз.нови активи'!AH$61:AH$108)+('11.1.Амортиз.нови активи'!T$112*SUMIF('11.1.Амортиз.нови активи'!$B$61:$B$108,$B51,'11.1.Амортиз.нови активи'!BB$61:BB$108))</f>
        <v>1.0330826200600527E-2</v>
      </c>
      <c r="AI51" s="1136">
        <f>$AG51-SUMIF('11.2. ДА за периода'!$B$61:$B$108,$B51,'11.2. ДА за периода'!$AG$61:$AG$108)+SUMIF('11.2. ДА за периода'!$B$61:$B$108,$B51,'11.2. ДА за периода'!AI$61:AI$108)+SUMIF('11.1.Амортиз.нови активи'!$B$61:$B$108,$B51,'11.1.Амортиз.нови активи'!AI$61:AI$108)+('11.1.Амортиз.нови активи'!U$112*SUMIF('11.1.Амортиз.нови активи'!$B$61:$B$108,$B51,'11.1.Амортиз.нови активи'!BC$61:BC$108))</f>
        <v>1.0330826200600527E-2</v>
      </c>
      <c r="AJ51" s="1136">
        <f>$AG51-SUMIF('11.2. ДА за периода'!$B$61:$B$108,$B51,'11.2. ДА за периода'!$AG$61:$AG$108)+SUMIF('11.2. ДА за периода'!$B$61:$B$108,$B51,'11.2. ДА за периода'!AJ$61:AJ$108)+SUMIF('11.1.Амортиз.нови активи'!$B$61:$B$108,$B51,'11.1.Амортиз.нови активи'!AJ$61:AJ$108)+('11.1.Амортиз.нови активи'!V$112*SUMIF('11.1.Амортиз.нови активи'!$B$61:$B$108,$B51,'11.1.Амортиз.нови активи'!BD$61:BD$108))</f>
        <v>1.0330826200600527E-2</v>
      </c>
      <c r="AK51" s="1136">
        <f>$AG51-SUMIF('11.2. ДА за периода'!$B$61:$B$108,$B51,'11.2. ДА за периода'!$AG$61:$AG$108)+SUMIF('11.2. ДА за периода'!$B$61:$B$108,$B51,'11.2. ДА за периода'!AK$61:AK$108)+SUMIF('11.1.Амортиз.нови активи'!$B$61:$B$108,$B51,'11.1.Амортиз.нови активи'!AK$61:AK$108)+('11.1.Амортиз.нови активи'!W$112*SUMIF('11.1.Амортиз.нови активи'!$B$61:$B$108,$B51,'11.1.Амортиз.нови активи'!BE$61:BE$108))</f>
        <v>1.0330826200600527E-2</v>
      </c>
      <c r="AL51" s="1136">
        <f>$AG51-SUMIF('11.2. ДА за периода'!$B$61:$B$108,$B51,'11.2. ДА за периода'!$AG$61:$AG$108)+SUMIF('11.2. ДА за периода'!$B$61:$B$108,$B51,'11.2. ДА за периода'!AL$61:AL$108)+SUMIF('11.1.Амортиз.нови активи'!$B$61:$B$108,$B51,'11.1.Амортиз.нови активи'!AL$61:AL$108)+('11.1.Амортиз.нови активи'!X$112*SUMIF('11.1.Амортиз.нови активи'!$B$61:$B$108,$B51,'11.1.Амортиз.нови активи'!BF$61:BF$108))</f>
        <v>1.0330826200600527E-2</v>
      </c>
      <c r="AM51" s="2656">
        <f>$AG51-SUMIF('11.2. ДА за периода'!$B$61:$B$108,$B51,'11.2. ДА за периода'!$AG$61:$AG$108)+SUMIF('11.2. ДА за периода'!$B$61:$B$108,$B51,'11.2. ДА за периода'!AM$61:AM$108)+SUMIF('11.1.Амортиз.нови активи'!$B$61:$B$108,$B51,'11.1.Амортиз.нови активи'!AM$61:AM$108)+('11.1.Амортиз.нови активи'!Y$112*SUMIF('11.1.Амортиз.нови активи'!$B$61:$B$108,$B51,'11.1.Амортиз.нови активи'!BG$61:BG$108))</f>
        <v>1.0330826200600527E-2</v>
      </c>
      <c r="AN51" s="2551"/>
      <c r="AO51" s="2589"/>
      <c r="AP51" s="4488"/>
      <c r="AQ51" s="4504">
        <f t="shared" si="31"/>
        <v>0.1879293259277289</v>
      </c>
      <c r="AR51" s="4504">
        <f t="shared" si="32"/>
        <v>0.1879293259277289</v>
      </c>
      <c r="AS51" s="4504">
        <f t="shared" si="33"/>
        <v>0.1879293259277289</v>
      </c>
      <c r="AT51" s="4504">
        <f t="shared" si="34"/>
        <v>0.1879293259277289</v>
      </c>
      <c r="AU51" s="4504">
        <f t="shared" si="35"/>
        <v>0.1879293259277289</v>
      </c>
      <c r="AV51" s="4504">
        <f t="shared" si="36"/>
        <v>0.1879293259277289</v>
      </c>
      <c r="AW51" s="4504">
        <f t="shared" si="37"/>
        <v>0.1879293259277289</v>
      </c>
      <c r="AX51" s="4504">
        <f t="shared" si="38"/>
        <v>0.13607559409582545</v>
      </c>
      <c r="AY51" s="4504">
        <f t="shared" si="39"/>
        <v>0.13607559409582545</v>
      </c>
      <c r="AZ51" s="4504">
        <f t="shared" si="40"/>
        <v>0.13607559409582545</v>
      </c>
      <c r="BA51" s="4504">
        <f t="shared" si="41"/>
        <v>0.13607559409582545</v>
      </c>
      <c r="BB51" s="4504">
        <f t="shared" si="42"/>
        <v>0.13607559409582545</v>
      </c>
      <c r="BC51" s="4504">
        <f t="shared" si="43"/>
        <v>0.13607559409582545</v>
      </c>
      <c r="BD51" s="4504">
        <f t="shared" si="44"/>
        <v>0.13607559409582545</v>
      </c>
      <c r="BE51" s="4504">
        <f t="shared" si="45"/>
        <v>0.16603706157112488</v>
      </c>
      <c r="BF51" s="4504">
        <f t="shared" si="46"/>
        <v>0.16603706157112488</v>
      </c>
      <c r="BG51" s="4504">
        <f t="shared" si="47"/>
        <v>0.16603706157112488</v>
      </c>
      <c r="BH51" s="4504">
        <f t="shared" si="48"/>
        <v>0.16603706157112488</v>
      </c>
      <c r="BI51" s="4504">
        <f t="shared" si="49"/>
        <v>0.16603706157112488</v>
      </c>
      <c r="BJ51" s="4504">
        <f t="shared" si="50"/>
        <v>0.16603706157112488</v>
      </c>
      <c r="BK51" s="4504">
        <f t="shared" si="51"/>
        <v>0.16603706157112488</v>
      </c>
      <c r="BL51" s="4504">
        <f t="shared" si="52"/>
        <v>0</v>
      </c>
      <c r="BM51" s="4504">
        <f t="shared" si="53"/>
        <v>0</v>
      </c>
      <c r="BN51" s="4504">
        <f t="shared" si="54"/>
        <v>0</v>
      </c>
      <c r="BO51" s="4504">
        <f t="shared" si="55"/>
        <v>0</v>
      </c>
      <c r="BP51" s="4504">
        <f t="shared" si="56"/>
        <v>0</v>
      </c>
      <c r="BQ51" s="4504">
        <f t="shared" si="57"/>
        <v>0</v>
      </c>
      <c r="BR51" s="4504">
        <f t="shared" si="58"/>
        <v>0</v>
      </c>
      <c r="BS51" s="4504">
        <f t="shared" si="59"/>
        <v>5.2820675624162261E-3</v>
      </c>
      <c r="BT51" s="4504">
        <f t="shared" si="60"/>
        <v>5.2820675624162261E-3</v>
      </c>
      <c r="BU51" s="4504">
        <f t="shared" si="61"/>
        <v>5.2820675624162261E-3</v>
      </c>
      <c r="BV51" s="4504">
        <f t="shared" si="62"/>
        <v>5.2820675624162261E-3</v>
      </c>
      <c r="BW51" s="4504">
        <f t="shared" si="63"/>
        <v>5.2820675624162261E-3</v>
      </c>
      <c r="BX51" s="4504">
        <f t="shared" si="64"/>
        <v>5.2820675624162261E-3</v>
      </c>
      <c r="BY51" s="4504">
        <f t="shared" si="65"/>
        <v>5.2820675624162261E-3</v>
      </c>
    </row>
    <row r="52" spans="1:77">
      <c r="A52" s="2569">
        <v>9</v>
      </c>
      <c r="B52" s="2565">
        <v>20603</v>
      </c>
      <c r="C52" s="2560">
        <v>0.5</v>
      </c>
      <c r="D52" s="2590" t="s">
        <v>1015</v>
      </c>
      <c r="E52" s="2679">
        <f>+'11.3. ДА Базова година'!F57</f>
        <v>0</v>
      </c>
      <c r="F52" s="2655">
        <f>$E52-SUMIF('11.2. ДА за периода'!$B$61:$B$108,$B52,'11.2. ДА за периода'!$E$61:$E$108)+SUMIF('11.2. ДА за периода'!$B$61:$B$108,$B52,'11.2. ДА за периода'!F$61:F$108)+SUMIF('11.1.Амортиз.нови активи'!$B$61:$B$108,$B52,'11.1.Амортиз.нови активи'!F$61:F$108)+('11.1.Амортиз.нови активи'!F$110*SUMIF('11.1.Амортиз.нови активи'!$B$61:$B$108,$B52,'11.1.Амортиз.нови активи'!AO$61:AO$108))</f>
        <v>0</v>
      </c>
      <c r="G52" s="1136">
        <f>$E52-SUMIF('11.2. ДА за периода'!$B$61:$B$108,$B52,'11.2. ДА за периода'!$E$61:$E$108)+SUMIF('11.2. ДА за периода'!$B$61:$B$108,$B52,'11.2. ДА за периода'!G$61:G$108)+SUMIF('11.1.Амортиз.нови активи'!$B$61:$B$108,$B52,'11.1.Амортиз.нови активи'!G$61:G$108)+('11.1.Амортиз.нови активи'!G$110*SUMIF('11.1.Амортиз.нови активи'!$B$61:$B$108,$B52,'11.1.Амортиз.нови активи'!AP$61:AP$108))</f>
        <v>0</v>
      </c>
      <c r="H52" s="1136">
        <f>$E52-SUMIF('11.2. ДА за периода'!$B$61:$B$108,$B52,'11.2. ДА за периода'!$E$61:$E$108)+SUMIF('11.2. ДА за периода'!$B$61:$B$108,$B52,'11.2. ДА за периода'!H$61:H$108)+SUMIF('11.1.Амортиз.нови активи'!$B$61:$B$108,$B52,'11.1.Амортиз.нови активи'!H$61:H$108)+('11.1.Амортиз.нови активи'!H$110*SUMIF('11.1.Амортиз.нови активи'!$B$61:$B$108,$B52,'11.1.Амортиз.нови активи'!AQ$61:AQ$108))</f>
        <v>0</v>
      </c>
      <c r="I52" s="1136">
        <f>$E52-SUMIF('11.2. ДА за периода'!$B$61:$B$108,$B52,'11.2. ДА за периода'!$E$61:$E$108)+SUMIF('11.2. ДА за периода'!$B$61:$B$108,$B52,'11.2. ДА за периода'!I$61:I$108)+SUMIF('11.1.Амортиз.нови активи'!$B$61:$B$108,$B52,'11.1.Амортиз.нови активи'!I$61:I$108)+('11.1.Амортиз.нови активи'!I$110*SUMIF('11.1.Амортиз.нови активи'!$B$61:$B$108,$B52,'11.1.Амортиз.нови активи'!AR$61:AR$108))</f>
        <v>0</v>
      </c>
      <c r="J52" s="1136">
        <f>$E52-SUMIF('11.2. ДА за периода'!$B$61:$B$108,$B52,'11.2. ДА за периода'!$E$61:$E$108)+SUMIF('11.2. ДА за периода'!$B$61:$B$108,$B52,'11.2. ДА за периода'!J$61:J$108)+SUMIF('11.1.Амортиз.нови активи'!$B$61:$B$108,$B52,'11.1.Амортиз.нови активи'!J$61:J$108)+('11.1.Амортиз.нови активи'!J$110*SUMIF('11.1.Амортиз.нови активи'!$B$61:$B$108,$B52,'11.1.Амортиз.нови активи'!AS$61:AS$108))</f>
        <v>0</v>
      </c>
      <c r="K52" s="2656">
        <f>$E52-SUMIF('11.2. ДА за периода'!$B$61:$B$108,$B52,'11.2. ДА за периода'!$E$61:$E$108)+SUMIF('11.2. ДА за периода'!$B$61:$B$108,$B52,'11.2. ДА за периода'!K$61:K$108)+SUMIF('11.1.Амортиз.нови активи'!$B$61:$B$108,$B52,'11.1.Амортиз.нови активи'!K$61:K$108)+('11.1.Амортиз.нови активи'!K$110*SUMIF('11.1.Амортиз.нови активи'!$B$61:$B$108,$B52,'11.1.Амортиз.нови активи'!AT$61:AT$108))</f>
        <v>0</v>
      </c>
      <c r="L52" s="2679">
        <f>+'11.3. ДА Базова година'!J57</f>
        <v>0</v>
      </c>
      <c r="M52" s="2655">
        <f>$L52-SUMIF('11.2. ДА за периода'!$B$61:$B$108,$B52,'11.2. ДА за периода'!$L$61:$L$108)+SUMIF('11.2. ДА за периода'!$B$61:$B$108,$B52,'11.2. ДА за периода'!M$61:M$108)+SUMIF('11.1.Амортиз.нови активи'!$B$61:$B$108,$B52,'11.1.Амортиз.нови активи'!M$61:M$108)+('11.1.Амортиз.нови активи'!F$111*SUMIF('11.1.Амортиз.нови активи'!$B$61:$B$108,$B52,'11.1.Амортиз.нови активи'!AO$61:AO$108))</f>
        <v>0</v>
      </c>
      <c r="N52" s="1136">
        <f>$L52-SUMIF('11.2. ДА за периода'!$B$61:$B$108,$B52,'11.2. ДА за периода'!$L$61:$L$108)+SUMIF('11.2. ДА за периода'!$B$61:$B$108,$B52,'11.2. ДА за периода'!N$61:N$108)+SUMIF('11.1.Амортиз.нови активи'!$B$61:$B$108,$B52,'11.1.Амортиз.нови активи'!N$61:N$108)+('11.1.Амортиз.нови активи'!G$111*SUMIF('11.1.Амортиз.нови активи'!$B$61:$B$108,$B52,'11.1.Амортиз.нови активи'!AP$61:AP$108))</f>
        <v>0</v>
      </c>
      <c r="O52" s="1136">
        <f>$L52-SUMIF('11.2. ДА за периода'!$B$61:$B$108,$B52,'11.2. ДА за периода'!$L$61:$L$108)+SUMIF('11.2. ДА за периода'!$B$61:$B$108,$B52,'11.2. ДА за периода'!O$61:O$108)+SUMIF('11.1.Амортиз.нови активи'!$B$61:$B$108,$B52,'11.1.Амортиз.нови активи'!O$61:O$108)+('11.1.Амортиз.нови активи'!H$111*SUMIF('11.1.Амортиз.нови активи'!$B$61:$B$108,$B52,'11.1.Амортиз.нови активи'!AQ$61:AQ$108))</f>
        <v>0</v>
      </c>
      <c r="P52" s="1136">
        <f>$L52-SUMIF('11.2. ДА за периода'!$B$61:$B$108,$B52,'11.2. ДА за периода'!$L$61:$L$108)+SUMIF('11.2. ДА за периода'!$B$61:$B$108,$B52,'11.2. ДА за периода'!P$61:P$108)+SUMIF('11.1.Амортиз.нови активи'!$B$61:$B$108,$B52,'11.1.Амортиз.нови активи'!P$61:P$108)+('11.1.Амортиз.нови активи'!I$111*SUMIF('11.1.Амортиз.нови активи'!$B$61:$B$108,$B52,'11.1.Амортиз.нови активи'!AR$61:AR$108))</f>
        <v>0</v>
      </c>
      <c r="Q52" s="1136">
        <f>$L52-SUMIF('11.2. ДА за периода'!$B$61:$B$108,$B52,'11.2. ДА за периода'!$L$61:$L$108)+SUMIF('11.2. ДА за периода'!$B$61:$B$108,$B52,'11.2. ДА за периода'!Q$61:Q$108)+SUMIF('11.1.Амортиз.нови активи'!$B$61:$B$108,$B52,'11.1.Амортиз.нови активи'!Q$61:Q$108)+('11.1.Амортиз.нови активи'!J$111*SUMIF('11.1.Амортиз.нови активи'!$B$61:$B$108,$B52,'11.1.Амортиз.нови активи'!AS$61:AS$108))</f>
        <v>0</v>
      </c>
      <c r="R52" s="2656">
        <f>$L52-SUMIF('11.2. ДА за периода'!$B$61:$B$108,$B52,'11.2. ДА за периода'!$L$61:$L$108)+SUMIF('11.2. ДА за периода'!$B$61:$B$108,$B52,'11.2. ДА за периода'!R$61:R$108)+SUMIF('11.1.Амортиз.нови активи'!$B$61:$B$108,$B52,'11.1.Амортиз.нови активи'!R$61:R$108)+('11.1.Амортиз.нови активи'!K$111*SUMIF('11.1.Амортиз.нови активи'!$B$61:$B$108,$B52,'11.1.Амортиз.нови активи'!AT$61:AT$108))</f>
        <v>0</v>
      </c>
      <c r="S52" s="2679">
        <f>+'11.3. ДА Базова година'!N57</f>
        <v>0</v>
      </c>
      <c r="T52" s="2655">
        <f>$S52-SUMIF('11.2. ДА за периода'!$B$61:$B$108,$B52,'11.2. ДА за периода'!$S$61:$S$108)+SUMIF('11.2. ДА за периода'!$B$61:$B$108,$B52,'11.2. ДА за периода'!T$61:T$108)+SUMIF('11.1.Амортиз.нови активи'!$B$61:$B$108,$B52,'11.1.Амортиз.нови активи'!T$61:T$108)+('11.1.Амортиз.нови активи'!F$112*SUMIF('11.1.Амортиз.нови активи'!$B$61:$B$108,$B52,'11.1.Амортиз.нови активи'!AO$61:AO$108))</f>
        <v>0</v>
      </c>
      <c r="U52" s="1136">
        <f>$S52-SUMIF('11.2. ДА за периода'!$B$61:$B$108,$B52,'11.2. ДА за периода'!$S$61:$S$108)+SUMIF('11.2. ДА за периода'!$B$61:$B$108,$B52,'11.2. ДА за периода'!U$61:U$108)+SUMIF('11.1.Амортиз.нови активи'!$B$61:$B$108,$B52,'11.1.Амортиз.нови активи'!U$61:U$108)+('11.1.Амортиз.нови активи'!G$112*SUMIF('11.1.Амортиз.нови активи'!$B$61:$B$108,$B52,'11.1.Амортиз.нови активи'!AP$61:AP$108))</f>
        <v>0</v>
      </c>
      <c r="V52" s="1136">
        <f>$S52-SUMIF('11.2. ДА за периода'!$B$61:$B$108,$B52,'11.2. ДА за периода'!$S$61:$S$108)+SUMIF('11.2. ДА за периода'!$B$61:$B$108,$B52,'11.2. ДА за периода'!V$61:V$108)+SUMIF('11.1.Амортиз.нови активи'!$B$61:$B$108,$B52,'11.1.Амортиз.нови активи'!V$61:V$108)+('11.1.Амортиз.нови активи'!H$112*SUMIF('11.1.Амортиз.нови активи'!$B$61:$B$108,$B52,'11.1.Амортиз.нови активи'!AQ$61:AQ$108))</f>
        <v>0</v>
      </c>
      <c r="W52" s="1136">
        <f>$S52-SUMIF('11.2. ДА за периода'!$B$61:$B$108,$B52,'11.2. ДА за периода'!$S$61:$S$108)+SUMIF('11.2. ДА за периода'!$B$61:$B$108,$B52,'11.2. ДА за периода'!W$61:W$108)+SUMIF('11.1.Амортиз.нови активи'!$B$61:$B$108,$B52,'11.1.Амортиз.нови активи'!W$61:W$108)+('11.1.Амортиз.нови активи'!I$112*SUMIF('11.1.Амортиз.нови активи'!$B$61:$B$108,$B52,'11.1.Амортиз.нови активи'!AR$61:AR$108))</f>
        <v>0</v>
      </c>
      <c r="X52" s="1136">
        <f>$S52-SUMIF('11.2. ДА за периода'!$B$61:$B$108,$B52,'11.2. ДА за периода'!$S$61:$S$108)+SUMIF('11.2. ДА за периода'!$B$61:$B$108,$B52,'11.2. ДА за периода'!X$61:X$108)+SUMIF('11.1.Амортиз.нови активи'!$B$61:$B$108,$B52,'11.1.Амортиз.нови активи'!X$61:X$108)+('11.1.Амортиз.нови активи'!J$112*SUMIF('11.1.Амортиз.нови активи'!$B$61:$B$108,$B52,'11.1.Амортиз.нови активи'!AS$61:AS$108))</f>
        <v>0</v>
      </c>
      <c r="Y52" s="2656">
        <f>$S52-SUMIF('11.2. ДА за периода'!$B$61:$B$108,$B52,'11.2. ДА за периода'!$S$61:$S$108)+SUMIF('11.2. ДА за периода'!$B$61:$B$108,$B52,'11.2. ДА за периода'!Y$61:Y$108)+SUMIF('11.1.Амортиз.нови активи'!$B$61:$B$108,$B52,'11.1.Амортиз.нови активи'!Y$61:Y$108)+('11.1.Амортиз.нови активи'!K$112*SUMIF('11.1.Амортиз.нови активи'!$B$61:$B$108,$B52,'11.1.Амортиз.нови активи'!AT$61:AT$108))</f>
        <v>0</v>
      </c>
      <c r="Z52" s="4453">
        <f>+'11.3. ДА Базова година'!R57</f>
        <v>0</v>
      </c>
      <c r="AA52" s="2655">
        <f>$Z52-SUMIF('11.2. ДА за периода'!$B$61:$B$108,$B52,'11.2. ДА за периода'!$Z$61:$Z$108)+SUMIF('11.2. ДА за периода'!$B$61:$B$108,$B52,'11.2. ДА за периода'!AA$61:AA$108)+SUMIF('11.1.Амортиз.нови активи'!$B$61:$B$108,$B52,'11.1.Амортиз.нови активи'!AA$61:AA$108)</f>
        <v>0</v>
      </c>
      <c r="AB52" s="1136">
        <f>$Z52-SUMIF('11.2. ДА за периода'!$B$61:$B$108,$B52,'11.2. ДА за периода'!$Z$61:$Z$108)+SUMIF('11.2. ДА за периода'!$B$61:$B$108,$B52,'11.2. ДА за периода'!AB$61:AB$108)+SUMIF('11.1.Амортиз.нови активи'!$B$61:$B$108,$B52,'11.1.Амортиз.нови активи'!AB$61:AB$108)</f>
        <v>0</v>
      </c>
      <c r="AC52" s="1136">
        <f>$Z52-SUMIF('11.2. ДА за периода'!$B$61:$B$108,$B52,'11.2. ДА за периода'!$Z$61:$Z$108)+SUMIF('11.2. ДА за периода'!$B$61:$B$108,$B52,'11.2. ДА за периода'!AC$61:AC$108)+SUMIF('11.1.Амортиз.нови активи'!$B$61:$B$108,$B52,'11.1.Амортиз.нови активи'!AC$61:AC$108)</f>
        <v>0</v>
      </c>
      <c r="AD52" s="1136">
        <f>$Z52-SUMIF('11.2. ДА за периода'!$B$61:$B$108,$B52,'11.2. ДА за периода'!$Z$61:$Z$108)+SUMIF('11.2. ДА за периода'!$B$61:$B$108,$B52,'11.2. ДА за периода'!AD$61:AD$108)+SUMIF('11.1.Амортиз.нови активи'!$B$61:$B$108,$B52,'11.1.Амортиз.нови активи'!AD$61:AD$108)</f>
        <v>0</v>
      </c>
      <c r="AE52" s="1136">
        <f>$Z52-SUMIF('11.2. ДА за периода'!$B$61:$B$108,$B52,'11.2. ДА за периода'!$Z$61:$Z$108)+SUMIF('11.2. ДА за периода'!$B$61:$B$108,$B52,'11.2. ДА за периода'!AE$61:AE$108)+SUMIF('11.1.Амортиз.нови активи'!$B$61:$B$108,$B52,'11.1.Амортиз.нови активи'!AE$61:AE$108)</f>
        <v>0</v>
      </c>
      <c r="AF52" s="2656">
        <f>$Z52-SUMIF('11.2. ДА за периода'!$B$61:$B$108,$B52,'11.2. ДА за периода'!$Z$61:$Z$108)+SUMIF('11.2. ДА за периода'!$B$61:$B$108,$B52,'11.2. ДА за периода'!AF$61:AF$108)+SUMIF('11.1.Амортиз.нови активи'!$B$61:$B$108,$B52,'11.1.Амортиз.нови активи'!AF$61:AF$108)</f>
        <v>0</v>
      </c>
      <c r="AG52" s="2679">
        <f>+'11.3. ДА Базова година'!V57</f>
        <v>0</v>
      </c>
      <c r="AH52" s="2655">
        <f>$AG52-SUMIF('11.2. ДА за периода'!$B$61:$B$108,$B52,'11.2. ДА за периода'!$AG$61:$AG$108)+SUMIF('11.2. ДА за периода'!$B$61:$B$108,$B52,'11.2. ДА за периода'!AH$61:AH$108)+SUMIF('11.1.Амортиз.нови активи'!$B$61:$B$108,$B52,'11.1.Амортиз.нови активи'!AH$61:AH$108)+('11.1.Амортиз.нови активи'!T$112*SUMIF('11.1.Амортиз.нови активи'!$B$61:$B$108,$B52,'11.1.Амортиз.нови активи'!BB$61:BB$108))</f>
        <v>0</v>
      </c>
      <c r="AI52" s="1136">
        <f>$AG52-SUMIF('11.2. ДА за периода'!$B$61:$B$108,$B52,'11.2. ДА за периода'!$AG$61:$AG$108)+SUMIF('11.2. ДА за периода'!$B$61:$B$108,$B52,'11.2. ДА за периода'!AI$61:AI$108)+SUMIF('11.1.Амортиз.нови активи'!$B$61:$B$108,$B52,'11.1.Амортиз.нови активи'!AI$61:AI$108)+('11.1.Амортиз.нови активи'!U$112*SUMIF('11.1.Амортиз.нови активи'!$B$61:$B$108,$B52,'11.1.Амортиз.нови активи'!BC$61:BC$108))</f>
        <v>0</v>
      </c>
      <c r="AJ52" s="1136">
        <f>$AG52-SUMIF('11.2. ДА за периода'!$B$61:$B$108,$B52,'11.2. ДА за периода'!$AG$61:$AG$108)+SUMIF('11.2. ДА за периода'!$B$61:$B$108,$B52,'11.2. ДА за периода'!AJ$61:AJ$108)+SUMIF('11.1.Амортиз.нови активи'!$B$61:$B$108,$B52,'11.1.Амортиз.нови активи'!AJ$61:AJ$108)+('11.1.Амортиз.нови активи'!V$112*SUMIF('11.1.Амортиз.нови активи'!$B$61:$B$108,$B52,'11.1.Амортиз.нови активи'!BD$61:BD$108))</f>
        <v>0</v>
      </c>
      <c r="AK52" s="1136">
        <f>$AG52-SUMIF('11.2. ДА за периода'!$B$61:$B$108,$B52,'11.2. ДА за периода'!$AG$61:$AG$108)+SUMIF('11.2. ДА за периода'!$B$61:$B$108,$B52,'11.2. ДА за периода'!AK$61:AK$108)+SUMIF('11.1.Амортиз.нови активи'!$B$61:$B$108,$B52,'11.1.Амортиз.нови активи'!AK$61:AK$108)+('11.1.Амортиз.нови активи'!W$112*SUMIF('11.1.Амортиз.нови активи'!$B$61:$B$108,$B52,'11.1.Амортиз.нови активи'!BE$61:BE$108))</f>
        <v>0</v>
      </c>
      <c r="AL52" s="1136">
        <f>$AG52-SUMIF('11.2. ДА за периода'!$B$61:$B$108,$B52,'11.2. ДА за периода'!$AG$61:$AG$108)+SUMIF('11.2. ДА за периода'!$B$61:$B$108,$B52,'11.2. ДА за периода'!AL$61:AL$108)+SUMIF('11.1.Амортиз.нови активи'!$B$61:$B$108,$B52,'11.1.Амортиз.нови активи'!AL$61:AL$108)+('11.1.Амортиз.нови активи'!X$112*SUMIF('11.1.Амортиз.нови активи'!$B$61:$B$108,$B52,'11.1.Амортиз.нови активи'!BF$61:BF$108))</f>
        <v>0</v>
      </c>
      <c r="AM52" s="2656">
        <f>$AG52-SUMIF('11.2. ДА за периода'!$B$61:$B$108,$B52,'11.2. ДА за периода'!$AG$61:$AG$108)+SUMIF('11.2. ДА за периода'!$B$61:$B$108,$B52,'11.2. ДА за периода'!AM$61:AM$108)+SUMIF('11.1.Амортиз.нови активи'!$B$61:$B$108,$B52,'11.1.Амортиз.нови активи'!AM$61:AM$108)+('11.1.Амортиз.нови активи'!Y$112*SUMIF('11.1.Амортиз.нови активи'!$B$61:$B$108,$B52,'11.1.Амортиз.нови активи'!BG$61:BG$108))</f>
        <v>0</v>
      </c>
      <c r="AN52" s="2551"/>
      <c r="AO52" s="2589"/>
      <c r="AP52" s="4488"/>
      <c r="AQ52" s="4504">
        <f t="shared" si="31"/>
        <v>0</v>
      </c>
      <c r="AR52" s="4504">
        <f t="shared" si="32"/>
        <v>0</v>
      </c>
      <c r="AS52" s="4504">
        <f t="shared" si="33"/>
        <v>0</v>
      </c>
      <c r="AT52" s="4504">
        <f t="shared" si="34"/>
        <v>0</v>
      </c>
      <c r="AU52" s="4504">
        <f t="shared" si="35"/>
        <v>0</v>
      </c>
      <c r="AV52" s="4504">
        <f t="shared" si="36"/>
        <v>0</v>
      </c>
      <c r="AW52" s="4504">
        <f t="shared" si="37"/>
        <v>0</v>
      </c>
      <c r="AX52" s="4504">
        <f t="shared" si="38"/>
        <v>0</v>
      </c>
      <c r="AY52" s="4504">
        <f t="shared" si="39"/>
        <v>0</v>
      </c>
      <c r="AZ52" s="4504">
        <f t="shared" si="40"/>
        <v>0</v>
      </c>
      <c r="BA52" s="4504">
        <f t="shared" si="41"/>
        <v>0</v>
      </c>
      <c r="BB52" s="4504">
        <f t="shared" si="42"/>
        <v>0</v>
      </c>
      <c r="BC52" s="4504">
        <f t="shared" si="43"/>
        <v>0</v>
      </c>
      <c r="BD52" s="4504">
        <f t="shared" si="44"/>
        <v>0</v>
      </c>
      <c r="BE52" s="4504">
        <f t="shared" si="45"/>
        <v>0</v>
      </c>
      <c r="BF52" s="4504">
        <f t="shared" si="46"/>
        <v>0</v>
      </c>
      <c r="BG52" s="4504">
        <f t="shared" si="47"/>
        <v>0</v>
      </c>
      <c r="BH52" s="4504">
        <f t="shared" si="48"/>
        <v>0</v>
      </c>
      <c r="BI52" s="4504">
        <f t="shared" si="49"/>
        <v>0</v>
      </c>
      <c r="BJ52" s="4504">
        <f t="shared" si="50"/>
        <v>0</v>
      </c>
      <c r="BK52" s="4504">
        <f t="shared" si="51"/>
        <v>0</v>
      </c>
      <c r="BL52" s="4504">
        <f t="shared" si="52"/>
        <v>0</v>
      </c>
      <c r="BM52" s="4504">
        <f t="shared" si="53"/>
        <v>0</v>
      </c>
      <c r="BN52" s="4504">
        <f t="shared" si="54"/>
        <v>0</v>
      </c>
      <c r="BO52" s="4504">
        <f t="shared" si="55"/>
        <v>0</v>
      </c>
      <c r="BP52" s="4504">
        <f t="shared" si="56"/>
        <v>0</v>
      </c>
      <c r="BQ52" s="4504">
        <f t="shared" si="57"/>
        <v>0</v>
      </c>
      <c r="BR52" s="4504">
        <f t="shared" si="58"/>
        <v>0</v>
      </c>
      <c r="BS52" s="4504">
        <f t="shared" si="59"/>
        <v>0</v>
      </c>
      <c r="BT52" s="4504">
        <f t="shared" si="60"/>
        <v>0</v>
      </c>
      <c r="BU52" s="4504">
        <f t="shared" si="61"/>
        <v>0</v>
      </c>
      <c r="BV52" s="4504">
        <f t="shared" si="62"/>
        <v>0</v>
      </c>
      <c r="BW52" s="4504">
        <f t="shared" si="63"/>
        <v>0</v>
      </c>
      <c r="BX52" s="4504">
        <f t="shared" si="64"/>
        <v>0</v>
      </c>
      <c r="BY52" s="4504">
        <f t="shared" si="65"/>
        <v>0</v>
      </c>
    </row>
    <row r="53" spans="1:77">
      <c r="A53" s="2569">
        <v>10</v>
      </c>
      <c r="B53" s="2568">
        <v>209</v>
      </c>
      <c r="C53" s="2549">
        <v>0.1</v>
      </c>
      <c r="D53" s="2590" t="s">
        <v>213</v>
      </c>
      <c r="E53" s="2679">
        <f>+'11.3. ДА Базова година'!F58</f>
        <v>0</v>
      </c>
      <c r="F53" s="2655">
        <f>$E53-SUMIF('11.2. ДА за периода'!$B$61:$B$108,$B53,'11.2. ДА за периода'!$E$61:$E$108)+SUMIF('11.2. ДА за периода'!$B$61:$B$108,$B53,'11.2. ДА за периода'!F$61:F$108)+SUMIF('11.1.Амортиз.нови активи'!$B$61:$B$108,$B53,'11.1.Амортиз.нови активи'!F$61:F$108)+('11.1.Амортиз.нови активи'!F$110*SUMIF('11.1.Амортиз.нови активи'!$B$61:$B$108,$B53,'11.1.Амортиз.нови активи'!AO$61:AO$108))</f>
        <v>0</v>
      </c>
      <c r="G53" s="1136">
        <f>$E53-SUMIF('11.2. ДА за периода'!$B$61:$B$108,$B53,'11.2. ДА за периода'!$E$61:$E$108)+SUMIF('11.2. ДА за периода'!$B$61:$B$108,$B53,'11.2. ДА за периода'!G$61:G$108)+SUMIF('11.1.Амортиз.нови активи'!$B$61:$B$108,$B53,'11.1.Амортиз.нови активи'!G$61:G$108)+('11.1.Амортиз.нови активи'!G$110*SUMIF('11.1.Амортиз.нови активи'!$B$61:$B$108,$B53,'11.1.Амортиз.нови активи'!AP$61:AP$108))</f>
        <v>0</v>
      </c>
      <c r="H53" s="1136">
        <f>$E53-SUMIF('11.2. ДА за периода'!$B$61:$B$108,$B53,'11.2. ДА за периода'!$E$61:$E$108)+SUMIF('11.2. ДА за периода'!$B$61:$B$108,$B53,'11.2. ДА за периода'!H$61:H$108)+SUMIF('11.1.Амортиз.нови активи'!$B$61:$B$108,$B53,'11.1.Амортиз.нови активи'!H$61:H$108)+('11.1.Амортиз.нови активи'!H$110*SUMIF('11.1.Амортиз.нови активи'!$B$61:$B$108,$B53,'11.1.Амортиз.нови активи'!AQ$61:AQ$108))</f>
        <v>0</v>
      </c>
      <c r="I53" s="1136">
        <f>$E53-SUMIF('11.2. ДА за периода'!$B$61:$B$108,$B53,'11.2. ДА за периода'!$E$61:$E$108)+SUMIF('11.2. ДА за периода'!$B$61:$B$108,$B53,'11.2. ДА за периода'!I$61:I$108)+SUMIF('11.1.Амортиз.нови активи'!$B$61:$B$108,$B53,'11.1.Амортиз.нови активи'!I$61:I$108)+('11.1.Амортиз.нови активи'!I$110*SUMIF('11.1.Амортиз.нови активи'!$B$61:$B$108,$B53,'11.1.Амортиз.нови активи'!AR$61:AR$108))</f>
        <v>0</v>
      </c>
      <c r="J53" s="1136">
        <f>$E53-SUMIF('11.2. ДА за периода'!$B$61:$B$108,$B53,'11.2. ДА за периода'!$E$61:$E$108)+SUMIF('11.2. ДА за периода'!$B$61:$B$108,$B53,'11.2. ДА за периода'!J$61:J$108)+SUMIF('11.1.Амортиз.нови активи'!$B$61:$B$108,$B53,'11.1.Амортиз.нови активи'!J$61:J$108)+('11.1.Амортиз.нови активи'!J$110*SUMIF('11.1.Амортиз.нови активи'!$B$61:$B$108,$B53,'11.1.Амортиз.нови активи'!AS$61:AS$108))</f>
        <v>0</v>
      </c>
      <c r="K53" s="2656">
        <f>$E53-SUMIF('11.2. ДА за периода'!$B$61:$B$108,$B53,'11.2. ДА за периода'!$E$61:$E$108)+SUMIF('11.2. ДА за периода'!$B$61:$B$108,$B53,'11.2. ДА за периода'!K$61:K$108)+SUMIF('11.1.Амортиз.нови активи'!$B$61:$B$108,$B53,'11.1.Амортиз.нови активи'!K$61:K$108)+('11.1.Амортиз.нови активи'!K$110*SUMIF('11.1.Амортиз.нови активи'!$B$61:$B$108,$B53,'11.1.Амортиз.нови активи'!AT$61:AT$108))</f>
        <v>0</v>
      </c>
      <c r="L53" s="2679">
        <f>+'11.3. ДА Базова година'!J58</f>
        <v>0</v>
      </c>
      <c r="M53" s="2655">
        <f>$L53-SUMIF('11.2. ДА за периода'!$B$61:$B$108,$B53,'11.2. ДА за периода'!$L$61:$L$108)+SUMIF('11.2. ДА за периода'!$B$61:$B$108,$B53,'11.2. ДА за периода'!M$61:M$108)+SUMIF('11.1.Амортиз.нови активи'!$B$61:$B$108,$B53,'11.1.Амортиз.нови активи'!M$61:M$108)+('11.1.Амортиз.нови активи'!F$111*SUMIF('11.1.Амортиз.нови активи'!$B$61:$B$108,$B53,'11.1.Амортиз.нови активи'!AO$61:AO$108))</f>
        <v>0</v>
      </c>
      <c r="N53" s="1136">
        <f>$L53-SUMIF('11.2. ДА за периода'!$B$61:$B$108,$B53,'11.2. ДА за периода'!$L$61:$L$108)+SUMIF('11.2. ДА за периода'!$B$61:$B$108,$B53,'11.2. ДА за периода'!N$61:N$108)+SUMIF('11.1.Амортиз.нови активи'!$B$61:$B$108,$B53,'11.1.Амортиз.нови активи'!N$61:N$108)+('11.1.Амортиз.нови активи'!G$111*SUMIF('11.1.Амортиз.нови активи'!$B$61:$B$108,$B53,'11.1.Амортиз.нови активи'!AP$61:AP$108))</f>
        <v>0</v>
      </c>
      <c r="O53" s="1136">
        <f>$L53-SUMIF('11.2. ДА за периода'!$B$61:$B$108,$B53,'11.2. ДА за периода'!$L$61:$L$108)+SUMIF('11.2. ДА за периода'!$B$61:$B$108,$B53,'11.2. ДА за периода'!O$61:O$108)+SUMIF('11.1.Амортиз.нови активи'!$B$61:$B$108,$B53,'11.1.Амортиз.нови активи'!O$61:O$108)+('11.1.Амортиз.нови активи'!H$111*SUMIF('11.1.Амортиз.нови активи'!$B$61:$B$108,$B53,'11.1.Амортиз.нови активи'!AQ$61:AQ$108))</f>
        <v>0</v>
      </c>
      <c r="P53" s="1136">
        <f>$L53-SUMIF('11.2. ДА за периода'!$B$61:$B$108,$B53,'11.2. ДА за периода'!$L$61:$L$108)+SUMIF('11.2. ДА за периода'!$B$61:$B$108,$B53,'11.2. ДА за периода'!P$61:P$108)+SUMIF('11.1.Амортиз.нови активи'!$B$61:$B$108,$B53,'11.1.Амортиз.нови активи'!P$61:P$108)+('11.1.Амортиз.нови активи'!I$111*SUMIF('11.1.Амортиз.нови активи'!$B$61:$B$108,$B53,'11.1.Амортиз.нови активи'!AR$61:AR$108))</f>
        <v>0</v>
      </c>
      <c r="Q53" s="1136">
        <f>$L53-SUMIF('11.2. ДА за периода'!$B$61:$B$108,$B53,'11.2. ДА за периода'!$L$61:$L$108)+SUMIF('11.2. ДА за периода'!$B$61:$B$108,$B53,'11.2. ДА за периода'!Q$61:Q$108)+SUMIF('11.1.Амортиз.нови активи'!$B$61:$B$108,$B53,'11.1.Амортиз.нови активи'!Q$61:Q$108)+('11.1.Амортиз.нови активи'!J$111*SUMIF('11.1.Амортиз.нови активи'!$B$61:$B$108,$B53,'11.1.Амортиз.нови активи'!AS$61:AS$108))</f>
        <v>0</v>
      </c>
      <c r="R53" s="2656">
        <f>$L53-SUMIF('11.2. ДА за периода'!$B$61:$B$108,$B53,'11.2. ДА за периода'!$L$61:$L$108)+SUMIF('11.2. ДА за периода'!$B$61:$B$108,$B53,'11.2. ДА за периода'!R$61:R$108)+SUMIF('11.1.Амортиз.нови активи'!$B$61:$B$108,$B53,'11.1.Амортиз.нови активи'!R$61:R$108)+('11.1.Амортиз.нови активи'!K$111*SUMIF('11.1.Амортиз.нови активи'!$B$61:$B$108,$B53,'11.1.Амортиз.нови активи'!AT$61:AT$108))</f>
        <v>0</v>
      </c>
      <c r="S53" s="2679">
        <f>+'11.3. ДА Базова година'!N58</f>
        <v>0</v>
      </c>
      <c r="T53" s="2655">
        <f>$S53-SUMIF('11.2. ДА за периода'!$B$61:$B$108,$B53,'11.2. ДА за периода'!$S$61:$S$108)+SUMIF('11.2. ДА за периода'!$B$61:$B$108,$B53,'11.2. ДА за периода'!T$61:T$108)+SUMIF('11.1.Амортиз.нови активи'!$B$61:$B$108,$B53,'11.1.Амортиз.нови активи'!T$61:T$108)+('11.1.Амортиз.нови активи'!F$112*SUMIF('11.1.Амортиз.нови активи'!$B$61:$B$108,$B53,'11.1.Амортиз.нови активи'!AO$61:AO$108))</f>
        <v>0</v>
      </c>
      <c r="U53" s="1136">
        <f>$S53-SUMIF('11.2. ДА за периода'!$B$61:$B$108,$B53,'11.2. ДА за периода'!$S$61:$S$108)+SUMIF('11.2. ДА за периода'!$B$61:$B$108,$B53,'11.2. ДА за периода'!U$61:U$108)+SUMIF('11.1.Амортиз.нови активи'!$B$61:$B$108,$B53,'11.1.Амортиз.нови активи'!U$61:U$108)+('11.1.Амортиз.нови активи'!G$112*SUMIF('11.1.Амортиз.нови активи'!$B$61:$B$108,$B53,'11.1.Амортиз.нови активи'!AP$61:AP$108))</f>
        <v>0</v>
      </c>
      <c r="V53" s="1136">
        <f>$S53-SUMIF('11.2. ДА за периода'!$B$61:$B$108,$B53,'11.2. ДА за периода'!$S$61:$S$108)+SUMIF('11.2. ДА за периода'!$B$61:$B$108,$B53,'11.2. ДА за периода'!V$61:V$108)+SUMIF('11.1.Амортиз.нови активи'!$B$61:$B$108,$B53,'11.1.Амортиз.нови активи'!V$61:V$108)+('11.1.Амортиз.нови активи'!H$112*SUMIF('11.1.Амортиз.нови активи'!$B$61:$B$108,$B53,'11.1.Амортиз.нови активи'!AQ$61:AQ$108))</f>
        <v>0</v>
      </c>
      <c r="W53" s="1136">
        <f>$S53-SUMIF('11.2. ДА за периода'!$B$61:$B$108,$B53,'11.2. ДА за периода'!$S$61:$S$108)+SUMIF('11.2. ДА за периода'!$B$61:$B$108,$B53,'11.2. ДА за периода'!W$61:W$108)+SUMIF('11.1.Амортиз.нови активи'!$B$61:$B$108,$B53,'11.1.Амортиз.нови активи'!W$61:W$108)+('11.1.Амортиз.нови активи'!I$112*SUMIF('11.1.Амортиз.нови активи'!$B$61:$B$108,$B53,'11.1.Амортиз.нови активи'!AR$61:AR$108))</f>
        <v>0</v>
      </c>
      <c r="X53" s="1136">
        <f>$S53-SUMIF('11.2. ДА за периода'!$B$61:$B$108,$B53,'11.2. ДА за периода'!$S$61:$S$108)+SUMIF('11.2. ДА за периода'!$B$61:$B$108,$B53,'11.2. ДА за периода'!X$61:X$108)+SUMIF('11.1.Амортиз.нови активи'!$B$61:$B$108,$B53,'11.1.Амортиз.нови активи'!X$61:X$108)+('11.1.Амортиз.нови активи'!J$112*SUMIF('11.1.Амортиз.нови активи'!$B$61:$B$108,$B53,'11.1.Амортиз.нови активи'!AS$61:AS$108))</f>
        <v>0</v>
      </c>
      <c r="Y53" s="2656">
        <f>$S53-SUMIF('11.2. ДА за периода'!$B$61:$B$108,$B53,'11.2. ДА за периода'!$S$61:$S$108)+SUMIF('11.2. ДА за периода'!$B$61:$B$108,$B53,'11.2. ДА за периода'!Y$61:Y$108)+SUMIF('11.1.Амортиз.нови активи'!$B$61:$B$108,$B53,'11.1.Амортиз.нови активи'!Y$61:Y$108)+('11.1.Амортиз.нови активи'!K$112*SUMIF('11.1.Амортиз.нови активи'!$B$61:$B$108,$B53,'11.1.Амортиз.нови активи'!AT$61:AT$108))</f>
        <v>0</v>
      </c>
      <c r="Z53" s="4453">
        <f>+'11.3. ДА Базова година'!R58</f>
        <v>0</v>
      </c>
      <c r="AA53" s="2655">
        <f>$Z53-SUMIF('11.2. ДА за периода'!$B$61:$B$108,$B53,'11.2. ДА за периода'!$Z$61:$Z$108)+SUMIF('11.2. ДА за периода'!$B$61:$B$108,$B53,'11.2. ДА за периода'!AA$61:AA$108)+SUMIF('11.1.Амортиз.нови активи'!$B$61:$B$108,$B53,'11.1.Амортиз.нови активи'!AA$61:AA$108)</f>
        <v>0</v>
      </c>
      <c r="AB53" s="1136">
        <f>$Z53-SUMIF('11.2. ДА за периода'!$B$61:$B$108,$B53,'11.2. ДА за периода'!$Z$61:$Z$108)+SUMIF('11.2. ДА за периода'!$B$61:$B$108,$B53,'11.2. ДА за периода'!AB$61:AB$108)+SUMIF('11.1.Амортиз.нови активи'!$B$61:$B$108,$B53,'11.1.Амортиз.нови активи'!AB$61:AB$108)</f>
        <v>0</v>
      </c>
      <c r="AC53" s="1136">
        <f>$Z53-SUMIF('11.2. ДА за периода'!$B$61:$B$108,$B53,'11.2. ДА за периода'!$Z$61:$Z$108)+SUMIF('11.2. ДА за периода'!$B$61:$B$108,$B53,'11.2. ДА за периода'!AC$61:AC$108)+SUMIF('11.1.Амортиз.нови активи'!$B$61:$B$108,$B53,'11.1.Амортиз.нови активи'!AC$61:AC$108)</f>
        <v>0</v>
      </c>
      <c r="AD53" s="1136">
        <f>$Z53-SUMIF('11.2. ДА за периода'!$B$61:$B$108,$B53,'11.2. ДА за периода'!$Z$61:$Z$108)+SUMIF('11.2. ДА за периода'!$B$61:$B$108,$B53,'11.2. ДА за периода'!AD$61:AD$108)+SUMIF('11.1.Амортиз.нови активи'!$B$61:$B$108,$B53,'11.1.Амортиз.нови активи'!AD$61:AD$108)</f>
        <v>0</v>
      </c>
      <c r="AE53" s="1136">
        <f>$Z53-SUMIF('11.2. ДА за периода'!$B$61:$B$108,$B53,'11.2. ДА за периода'!$Z$61:$Z$108)+SUMIF('11.2. ДА за периода'!$B$61:$B$108,$B53,'11.2. ДА за периода'!AE$61:AE$108)+SUMIF('11.1.Амортиз.нови активи'!$B$61:$B$108,$B53,'11.1.Амортиз.нови активи'!AE$61:AE$108)</f>
        <v>0</v>
      </c>
      <c r="AF53" s="2656">
        <f>$Z53-SUMIF('11.2. ДА за периода'!$B$61:$B$108,$B53,'11.2. ДА за периода'!$Z$61:$Z$108)+SUMIF('11.2. ДА за периода'!$B$61:$B$108,$B53,'11.2. ДА за периода'!AF$61:AF$108)+SUMIF('11.1.Амортиз.нови активи'!$B$61:$B$108,$B53,'11.1.Амортиз.нови активи'!AF$61:AF$108)</f>
        <v>0</v>
      </c>
      <c r="AG53" s="2679">
        <f>+'11.3. ДА Базова година'!V58</f>
        <v>0</v>
      </c>
      <c r="AH53" s="2655">
        <f>$AG53-SUMIF('11.2. ДА за периода'!$B$61:$B$108,$B53,'11.2. ДА за периода'!$AG$61:$AG$108)+SUMIF('11.2. ДА за периода'!$B$61:$B$108,$B53,'11.2. ДА за периода'!AH$61:AH$108)+SUMIF('11.1.Амортиз.нови активи'!$B$61:$B$108,$B53,'11.1.Амортиз.нови активи'!AH$61:AH$108)+('11.1.Амортиз.нови активи'!T$112*SUMIF('11.1.Амортиз.нови активи'!$B$61:$B$108,$B53,'11.1.Амортиз.нови активи'!BB$61:BB$108))</f>
        <v>0</v>
      </c>
      <c r="AI53" s="1136">
        <f>$AG53-SUMIF('11.2. ДА за периода'!$B$61:$B$108,$B53,'11.2. ДА за периода'!$AG$61:$AG$108)+SUMIF('11.2. ДА за периода'!$B$61:$B$108,$B53,'11.2. ДА за периода'!AI$61:AI$108)+SUMIF('11.1.Амортиз.нови активи'!$B$61:$B$108,$B53,'11.1.Амортиз.нови активи'!AI$61:AI$108)+('11.1.Амортиз.нови активи'!U$112*SUMIF('11.1.Амортиз.нови активи'!$B$61:$B$108,$B53,'11.1.Амортиз.нови активи'!BC$61:BC$108))</f>
        <v>0</v>
      </c>
      <c r="AJ53" s="1136">
        <f>$AG53-SUMIF('11.2. ДА за периода'!$B$61:$B$108,$B53,'11.2. ДА за периода'!$AG$61:$AG$108)+SUMIF('11.2. ДА за периода'!$B$61:$B$108,$B53,'11.2. ДА за периода'!AJ$61:AJ$108)+SUMIF('11.1.Амортиз.нови активи'!$B$61:$B$108,$B53,'11.1.Амортиз.нови активи'!AJ$61:AJ$108)+('11.1.Амортиз.нови активи'!V$112*SUMIF('11.1.Амортиз.нови активи'!$B$61:$B$108,$B53,'11.1.Амортиз.нови активи'!BD$61:BD$108))</f>
        <v>0</v>
      </c>
      <c r="AK53" s="1136">
        <f>$AG53-SUMIF('11.2. ДА за периода'!$B$61:$B$108,$B53,'11.2. ДА за периода'!$AG$61:$AG$108)+SUMIF('11.2. ДА за периода'!$B$61:$B$108,$B53,'11.2. ДА за периода'!AK$61:AK$108)+SUMIF('11.1.Амортиз.нови активи'!$B$61:$B$108,$B53,'11.1.Амортиз.нови активи'!AK$61:AK$108)+('11.1.Амортиз.нови активи'!W$112*SUMIF('11.1.Амортиз.нови активи'!$B$61:$B$108,$B53,'11.1.Амортиз.нови активи'!BE$61:BE$108))</f>
        <v>0</v>
      </c>
      <c r="AL53" s="1136">
        <f>$AG53-SUMIF('11.2. ДА за периода'!$B$61:$B$108,$B53,'11.2. ДА за периода'!$AG$61:$AG$108)+SUMIF('11.2. ДА за периода'!$B$61:$B$108,$B53,'11.2. ДА за периода'!AL$61:AL$108)+SUMIF('11.1.Амортиз.нови активи'!$B$61:$B$108,$B53,'11.1.Амортиз.нови активи'!AL$61:AL$108)+('11.1.Амортиз.нови активи'!X$112*SUMIF('11.1.Амортиз.нови активи'!$B$61:$B$108,$B53,'11.1.Амортиз.нови активи'!BF$61:BF$108))</f>
        <v>0</v>
      </c>
      <c r="AM53" s="2656">
        <f>$AG53-SUMIF('11.2. ДА за периода'!$B$61:$B$108,$B53,'11.2. ДА за периода'!$AG$61:$AG$108)+SUMIF('11.2. ДА за периода'!$B$61:$B$108,$B53,'11.2. ДА за периода'!AM$61:AM$108)+SUMIF('11.1.Амортиз.нови активи'!$B$61:$B$108,$B53,'11.1.Амортиз.нови активи'!AM$61:AM$108)+('11.1.Амортиз.нови активи'!Y$112*SUMIF('11.1.Амортиз.нови активи'!$B$61:$B$108,$B53,'11.1.Амортиз.нови активи'!BG$61:BG$108))</f>
        <v>0</v>
      </c>
      <c r="AN53" s="2551"/>
      <c r="AO53" s="2589"/>
      <c r="AP53" s="4488"/>
      <c r="AQ53" s="4504">
        <f t="shared" si="31"/>
        <v>0</v>
      </c>
      <c r="AR53" s="4504">
        <f t="shared" si="32"/>
        <v>0</v>
      </c>
      <c r="AS53" s="4504">
        <f t="shared" si="33"/>
        <v>0</v>
      </c>
      <c r="AT53" s="4504">
        <f t="shared" si="34"/>
        <v>0</v>
      </c>
      <c r="AU53" s="4504">
        <f t="shared" si="35"/>
        <v>0</v>
      </c>
      <c r="AV53" s="4504">
        <f t="shared" si="36"/>
        <v>0</v>
      </c>
      <c r="AW53" s="4504">
        <f t="shared" si="37"/>
        <v>0</v>
      </c>
      <c r="AX53" s="4504">
        <f t="shared" si="38"/>
        <v>0</v>
      </c>
      <c r="AY53" s="4504">
        <f t="shared" si="39"/>
        <v>0</v>
      </c>
      <c r="AZ53" s="4504">
        <f t="shared" si="40"/>
        <v>0</v>
      </c>
      <c r="BA53" s="4504">
        <f t="shared" si="41"/>
        <v>0</v>
      </c>
      <c r="BB53" s="4504">
        <f t="shared" si="42"/>
        <v>0</v>
      </c>
      <c r="BC53" s="4504">
        <f t="shared" si="43"/>
        <v>0</v>
      </c>
      <c r="BD53" s="4504">
        <f t="shared" si="44"/>
        <v>0</v>
      </c>
      <c r="BE53" s="4504">
        <f t="shared" si="45"/>
        <v>0</v>
      </c>
      <c r="BF53" s="4504">
        <f t="shared" si="46"/>
        <v>0</v>
      </c>
      <c r="BG53" s="4504">
        <f t="shared" si="47"/>
        <v>0</v>
      </c>
      <c r="BH53" s="4504">
        <f t="shared" si="48"/>
        <v>0</v>
      </c>
      <c r="BI53" s="4504">
        <f t="shared" si="49"/>
        <v>0</v>
      </c>
      <c r="BJ53" s="4504">
        <f t="shared" si="50"/>
        <v>0</v>
      </c>
      <c r="BK53" s="4504">
        <f t="shared" si="51"/>
        <v>0</v>
      </c>
      <c r="BL53" s="4504">
        <f t="shared" si="52"/>
        <v>0</v>
      </c>
      <c r="BM53" s="4504">
        <f t="shared" si="53"/>
        <v>0</v>
      </c>
      <c r="BN53" s="4504">
        <f t="shared" si="54"/>
        <v>0</v>
      </c>
      <c r="BO53" s="4504">
        <f t="shared" si="55"/>
        <v>0</v>
      </c>
      <c r="BP53" s="4504">
        <f t="shared" si="56"/>
        <v>0</v>
      </c>
      <c r="BQ53" s="4504">
        <f t="shared" si="57"/>
        <v>0</v>
      </c>
      <c r="BR53" s="4504">
        <f t="shared" si="58"/>
        <v>0</v>
      </c>
      <c r="BS53" s="4504">
        <f t="shared" si="59"/>
        <v>0</v>
      </c>
      <c r="BT53" s="4504">
        <f t="shared" si="60"/>
        <v>0</v>
      </c>
      <c r="BU53" s="4504">
        <f t="shared" si="61"/>
        <v>0</v>
      </c>
      <c r="BV53" s="4504">
        <f t="shared" si="62"/>
        <v>0</v>
      </c>
      <c r="BW53" s="4504">
        <f t="shared" si="63"/>
        <v>0</v>
      </c>
      <c r="BX53" s="4504">
        <f t="shared" si="64"/>
        <v>0</v>
      </c>
      <c r="BY53" s="4504">
        <f t="shared" si="65"/>
        <v>0</v>
      </c>
    </row>
    <row r="54" spans="1:77" ht="24">
      <c r="A54" s="2569">
        <v>11</v>
      </c>
      <c r="B54" s="2568">
        <v>207</v>
      </c>
      <c r="C54" s="2549" t="s">
        <v>313</v>
      </c>
      <c r="D54" s="2590" t="s">
        <v>414</v>
      </c>
      <c r="E54" s="4453">
        <f>+'11.3. ДА Базова година'!F59</f>
        <v>0</v>
      </c>
      <c r="F54" s="2655">
        <f>$E54-SUMIF('11.2. ДА за периода'!$B$61:$B$108,$B54,'11.2. ДА за периода'!$E$61:$E$108)+SUMIF('11.2. ДА за периода'!$B$61:$B$108,$B54,'11.2. ДА за периода'!F$61:F$108)+SUMIF('11.1.Амортиз.нови активи'!$B$61:$B$108,$B54,'11.1.Амортиз.нови активи'!F$61:F$108)+('11.1.Амортиз.нови активи'!F$110*SUMIF('11.1.Амортиз.нови активи'!$B$61:$B$108,$B54,'11.1.Амортиз.нови активи'!AO$61:AO$108))</f>
        <v>0</v>
      </c>
      <c r="G54" s="1136">
        <f>$E54-SUMIF('11.2. ДА за периода'!$B$61:$B$108,$B54,'11.2. ДА за периода'!$E$61:$E$108)+SUMIF('11.2. ДА за периода'!$B$61:$B$108,$B54,'11.2. ДА за периода'!G$61:G$108)+SUMIF('11.1.Амортиз.нови активи'!$B$61:$B$108,$B54,'11.1.Амортиз.нови активи'!G$61:G$108)+('11.1.Амортиз.нови активи'!G$110*SUMIF('11.1.Амортиз.нови активи'!$B$61:$B$108,$B54,'11.1.Амортиз.нови активи'!AP$61:AP$108))</f>
        <v>0</v>
      </c>
      <c r="H54" s="1136">
        <f>$E54-SUMIF('11.2. ДА за периода'!$B$61:$B$108,$B54,'11.2. ДА за периода'!$E$61:$E$108)+SUMIF('11.2. ДА за периода'!$B$61:$B$108,$B54,'11.2. ДА за периода'!H$61:H$108)+SUMIF('11.1.Амортиз.нови активи'!$B$61:$B$108,$B54,'11.1.Амортиз.нови активи'!H$61:H$108)+('11.1.Амортиз.нови активи'!H$110*SUMIF('11.1.Амортиз.нови активи'!$B$61:$B$108,$B54,'11.1.Амортиз.нови активи'!AQ$61:AQ$108))</f>
        <v>0</v>
      </c>
      <c r="I54" s="1136">
        <f>$E54-SUMIF('11.2. ДА за периода'!$B$61:$B$108,$B54,'11.2. ДА за периода'!$E$61:$E$108)+SUMIF('11.2. ДА за периода'!$B$61:$B$108,$B54,'11.2. ДА за периода'!I$61:I$108)+SUMIF('11.1.Амортиз.нови активи'!$B$61:$B$108,$B54,'11.1.Амортиз.нови активи'!I$61:I$108)+('11.1.Амортиз.нови активи'!I$110*SUMIF('11.1.Амортиз.нови активи'!$B$61:$B$108,$B54,'11.1.Амортиз.нови активи'!AR$61:AR$108))</f>
        <v>0</v>
      </c>
      <c r="J54" s="1136">
        <f>$E54-SUMIF('11.2. ДА за периода'!$B$61:$B$108,$B54,'11.2. ДА за периода'!$E$61:$E$108)+SUMIF('11.2. ДА за периода'!$B$61:$B$108,$B54,'11.2. ДА за периода'!J$61:J$108)+SUMIF('11.1.Амортиз.нови активи'!$B$61:$B$108,$B54,'11.1.Амортиз.нови активи'!J$61:J$108)+('11.1.Амортиз.нови активи'!J$110*SUMIF('11.1.Амортиз.нови активи'!$B$61:$B$108,$B54,'11.1.Амортиз.нови активи'!AS$61:AS$108))</f>
        <v>0</v>
      </c>
      <c r="K54" s="2656">
        <f>$E54-SUMIF('11.2. ДА за периода'!$B$61:$B$108,$B54,'11.2. ДА за периода'!$E$61:$E$108)+SUMIF('11.2. ДА за периода'!$B$61:$B$108,$B54,'11.2. ДА за периода'!K$61:K$108)+SUMIF('11.1.Амортиз.нови активи'!$B$61:$B$108,$B54,'11.1.Амортиз.нови активи'!K$61:K$108)+('11.1.Амортиз.нови активи'!K$110*SUMIF('11.1.Амортиз.нови активи'!$B$61:$B$108,$B54,'11.1.Амортиз.нови активи'!AT$61:AT$108))</f>
        <v>0</v>
      </c>
      <c r="L54" s="4453">
        <f>+'11.3. ДА Базова година'!J59</f>
        <v>0</v>
      </c>
      <c r="M54" s="2655">
        <f>$L54-SUMIF('11.2. ДА за периода'!$B$61:$B$108,$B54,'11.2. ДА за периода'!$L$61:$L$108)+SUMIF('11.2. ДА за периода'!$B$61:$B$108,$B54,'11.2. ДА за периода'!M$61:M$108)+SUMIF('11.1.Амортиз.нови активи'!$B$61:$B$108,$B54,'11.1.Амортиз.нови активи'!M$61:M$108)+('11.1.Амортиз.нови активи'!F$111*SUMIF('11.1.Амортиз.нови активи'!$B$61:$B$108,$B54,'11.1.Амортиз.нови активи'!AO$61:AO$108))</f>
        <v>0</v>
      </c>
      <c r="N54" s="1136">
        <f>$L54-SUMIF('11.2. ДА за периода'!$B$61:$B$108,$B54,'11.2. ДА за периода'!$L$61:$L$108)+SUMIF('11.2. ДА за периода'!$B$61:$B$108,$B54,'11.2. ДА за периода'!N$61:N$108)+SUMIF('11.1.Амортиз.нови активи'!$B$61:$B$108,$B54,'11.1.Амортиз.нови активи'!N$61:N$108)+('11.1.Амортиз.нови активи'!G$111*SUMIF('11.1.Амортиз.нови активи'!$B$61:$B$108,$B54,'11.1.Амортиз.нови активи'!AP$61:AP$108))</f>
        <v>0</v>
      </c>
      <c r="O54" s="1136">
        <f>$L54-SUMIF('11.2. ДА за периода'!$B$61:$B$108,$B54,'11.2. ДА за периода'!$L$61:$L$108)+SUMIF('11.2. ДА за периода'!$B$61:$B$108,$B54,'11.2. ДА за периода'!O$61:O$108)+SUMIF('11.1.Амортиз.нови активи'!$B$61:$B$108,$B54,'11.1.Амортиз.нови активи'!O$61:O$108)+('11.1.Амортиз.нови активи'!H$111*SUMIF('11.1.Амортиз.нови активи'!$B$61:$B$108,$B54,'11.1.Амортиз.нови активи'!AQ$61:AQ$108))</f>
        <v>0</v>
      </c>
      <c r="P54" s="1136">
        <f>$L54-SUMIF('11.2. ДА за периода'!$B$61:$B$108,$B54,'11.2. ДА за периода'!$L$61:$L$108)+SUMIF('11.2. ДА за периода'!$B$61:$B$108,$B54,'11.2. ДА за периода'!P$61:P$108)+SUMIF('11.1.Амортиз.нови активи'!$B$61:$B$108,$B54,'11.1.Амортиз.нови активи'!P$61:P$108)+('11.1.Амортиз.нови активи'!I$111*SUMIF('11.1.Амортиз.нови активи'!$B$61:$B$108,$B54,'11.1.Амортиз.нови активи'!AR$61:AR$108))</f>
        <v>0</v>
      </c>
      <c r="Q54" s="1136">
        <f>$L54-SUMIF('11.2. ДА за периода'!$B$61:$B$108,$B54,'11.2. ДА за периода'!$L$61:$L$108)+SUMIF('11.2. ДА за периода'!$B$61:$B$108,$B54,'11.2. ДА за периода'!Q$61:Q$108)+SUMIF('11.1.Амортиз.нови активи'!$B$61:$B$108,$B54,'11.1.Амортиз.нови активи'!Q$61:Q$108)+('11.1.Амортиз.нови активи'!J$111*SUMIF('11.1.Амортиз.нови активи'!$B$61:$B$108,$B54,'11.1.Амортиз.нови активи'!AS$61:AS$108))</f>
        <v>0</v>
      </c>
      <c r="R54" s="2656">
        <f>$L54-SUMIF('11.2. ДА за периода'!$B$61:$B$108,$B54,'11.2. ДА за периода'!$L$61:$L$108)+SUMIF('11.2. ДА за периода'!$B$61:$B$108,$B54,'11.2. ДА за периода'!R$61:R$108)+SUMIF('11.1.Амортиз.нови активи'!$B$61:$B$108,$B54,'11.1.Амортиз.нови активи'!R$61:R$108)+('11.1.Амортиз.нови активи'!K$111*SUMIF('11.1.Амортиз.нови активи'!$B$61:$B$108,$B54,'11.1.Амортиз.нови активи'!AT$61:AT$108))</f>
        <v>0</v>
      </c>
      <c r="S54" s="4453">
        <f>+'11.3. ДА Базова година'!N59</f>
        <v>0</v>
      </c>
      <c r="T54" s="2655">
        <f>$S54-SUMIF('11.2. ДА за периода'!$B$61:$B$108,$B54,'11.2. ДА за периода'!$S$61:$S$108)+SUMIF('11.2. ДА за периода'!$B$61:$B$108,$B54,'11.2. ДА за периода'!T$61:T$108)+SUMIF('11.1.Амортиз.нови активи'!$B$61:$B$108,$B54,'11.1.Амортиз.нови активи'!T$61:T$108)+('11.1.Амортиз.нови активи'!F$112*SUMIF('11.1.Амортиз.нови активи'!$B$61:$B$108,$B54,'11.1.Амортиз.нови активи'!AO$61:AO$108))</f>
        <v>0</v>
      </c>
      <c r="U54" s="1136">
        <f>$S54-SUMIF('11.2. ДА за периода'!$B$61:$B$108,$B54,'11.2. ДА за периода'!$S$61:$S$108)+SUMIF('11.2. ДА за периода'!$B$61:$B$108,$B54,'11.2. ДА за периода'!U$61:U$108)+SUMIF('11.1.Амортиз.нови активи'!$B$61:$B$108,$B54,'11.1.Амортиз.нови активи'!U$61:U$108)+('11.1.Амортиз.нови активи'!G$112*SUMIF('11.1.Амортиз.нови активи'!$B$61:$B$108,$B54,'11.1.Амортиз.нови активи'!AP$61:AP$108))</f>
        <v>0</v>
      </c>
      <c r="V54" s="1136">
        <f>$S54-SUMIF('11.2. ДА за периода'!$B$61:$B$108,$B54,'11.2. ДА за периода'!$S$61:$S$108)+SUMIF('11.2. ДА за периода'!$B$61:$B$108,$B54,'11.2. ДА за периода'!V$61:V$108)+SUMIF('11.1.Амортиз.нови активи'!$B$61:$B$108,$B54,'11.1.Амортиз.нови активи'!V$61:V$108)+('11.1.Амортиз.нови активи'!H$112*SUMIF('11.1.Амортиз.нови активи'!$B$61:$B$108,$B54,'11.1.Амортиз.нови активи'!AQ$61:AQ$108))</f>
        <v>0</v>
      </c>
      <c r="W54" s="1136">
        <f>$S54-SUMIF('11.2. ДА за периода'!$B$61:$B$108,$B54,'11.2. ДА за периода'!$S$61:$S$108)+SUMIF('11.2. ДА за периода'!$B$61:$B$108,$B54,'11.2. ДА за периода'!W$61:W$108)+SUMIF('11.1.Амортиз.нови активи'!$B$61:$B$108,$B54,'11.1.Амортиз.нови активи'!W$61:W$108)+('11.1.Амортиз.нови активи'!I$112*SUMIF('11.1.Амортиз.нови активи'!$B$61:$B$108,$B54,'11.1.Амортиз.нови активи'!AR$61:AR$108))</f>
        <v>0</v>
      </c>
      <c r="X54" s="1136">
        <f>$S54-SUMIF('11.2. ДА за периода'!$B$61:$B$108,$B54,'11.2. ДА за периода'!$S$61:$S$108)+SUMIF('11.2. ДА за периода'!$B$61:$B$108,$B54,'11.2. ДА за периода'!X$61:X$108)+SUMIF('11.1.Амортиз.нови активи'!$B$61:$B$108,$B54,'11.1.Амортиз.нови активи'!X$61:X$108)+('11.1.Амортиз.нови активи'!J$112*SUMIF('11.1.Амортиз.нови активи'!$B$61:$B$108,$B54,'11.1.Амортиз.нови активи'!AS$61:AS$108))</f>
        <v>0</v>
      </c>
      <c r="Y54" s="2656">
        <f>$S54-SUMIF('11.2. ДА за периода'!$B$61:$B$108,$B54,'11.2. ДА за периода'!$S$61:$S$108)+SUMIF('11.2. ДА за периода'!$B$61:$B$108,$B54,'11.2. ДА за периода'!Y$61:Y$108)+SUMIF('11.1.Амортиз.нови активи'!$B$61:$B$108,$B54,'11.1.Амортиз.нови активи'!Y$61:Y$108)+('11.1.Амортиз.нови активи'!K$112*SUMIF('11.1.Амортиз.нови активи'!$B$61:$B$108,$B54,'11.1.Амортиз.нови активи'!AT$61:AT$108))</f>
        <v>0</v>
      </c>
      <c r="Z54" s="4453">
        <f>+'11.3. ДА Базова година'!R59</f>
        <v>0</v>
      </c>
      <c r="AA54" s="2655">
        <f>$Z54-SUMIF('11.2. ДА за периода'!$B$61:$B$108,$B54,'11.2. ДА за периода'!$Z$61:$Z$108)+SUMIF('11.2. ДА за периода'!$B$61:$B$108,$B54,'11.2. ДА за периода'!AA$61:AA$108)+SUMIF('11.1.Амортиз.нови активи'!$B$61:$B$108,$B54,'11.1.Амортиз.нови активи'!AA$61:AA$108)</f>
        <v>0</v>
      </c>
      <c r="AB54" s="1136">
        <f>$Z54-SUMIF('11.2. ДА за периода'!$B$61:$B$108,$B54,'11.2. ДА за периода'!$Z$61:$Z$108)+SUMIF('11.2. ДА за периода'!$B$61:$B$108,$B54,'11.2. ДА за периода'!AB$61:AB$108)+SUMIF('11.1.Амортиз.нови активи'!$B$61:$B$108,$B54,'11.1.Амортиз.нови активи'!AB$61:AB$108)</f>
        <v>0</v>
      </c>
      <c r="AC54" s="1136">
        <f>$Z54-SUMIF('11.2. ДА за периода'!$B$61:$B$108,$B54,'11.2. ДА за периода'!$Z$61:$Z$108)+SUMIF('11.2. ДА за периода'!$B$61:$B$108,$B54,'11.2. ДА за периода'!AC$61:AC$108)+SUMIF('11.1.Амортиз.нови активи'!$B$61:$B$108,$B54,'11.1.Амортиз.нови активи'!AC$61:AC$108)</f>
        <v>0</v>
      </c>
      <c r="AD54" s="1136">
        <f>$Z54-SUMIF('11.2. ДА за периода'!$B$61:$B$108,$B54,'11.2. ДА за периода'!$Z$61:$Z$108)+SUMIF('11.2. ДА за периода'!$B$61:$B$108,$B54,'11.2. ДА за периода'!AD$61:AD$108)+SUMIF('11.1.Амортиз.нови активи'!$B$61:$B$108,$B54,'11.1.Амортиз.нови активи'!AD$61:AD$108)</f>
        <v>0</v>
      </c>
      <c r="AE54" s="1136">
        <f>$Z54-SUMIF('11.2. ДА за периода'!$B$61:$B$108,$B54,'11.2. ДА за периода'!$Z$61:$Z$108)+SUMIF('11.2. ДА за периода'!$B$61:$B$108,$B54,'11.2. ДА за периода'!AE$61:AE$108)+SUMIF('11.1.Амортиз.нови активи'!$B$61:$B$108,$B54,'11.1.Амортиз.нови активи'!AE$61:AE$108)</f>
        <v>0</v>
      </c>
      <c r="AF54" s="2656">
        <f>$Z54-SUMIF('11.2. ДА за периода'!$B$61:$B$108,$B54,'11.2. ДА за периода'!$Z$61:$Z$108)+SUMIF('11.2. ДА за периода'!$B$61:$B$108,$B54,'11.2. ДА за периода'!AF$61:AF$108)+SUMIF('11.1.Амортиз.нови активи'!$B$61:$B$108,$B54,'11.1.Амортиз.нови активи'!AF$61:AF$108)</f>
        <v>0</v>
      </c>
      <c r="AG54" s="4453">
        <f>+'11.3. ДА Базова година'!V59</f>
        <v>0</v>
      </c>
      <c r="AH54" s="2655">
        <f>$AG54-SUMIF('11.2. ДА за периода'!$B$61:$B$108,$B54,'11.2. ДА за периода'!$AG$61:$AG$108)+SUMIF('11.2. ДА за периода'!$B$61:$B$108,$B54,'11.2. ДА за периода'!AH$61:AH$108)+SUMIF('11.1.Амортиз.нови активи'!$B$61:$B$108,$B54,'11.1.Амортиз.нови активи'!AH$61:AH$108)+('11.1.Амортиз.нови активи'!T$112*SUMIF('11.1.Амортиз.нови активи'!$B$61:$B$108,$B54,'11.1.Амортиз.нови активи'!BB$61:BB$108))</f>
        <v>0</v>
      </c>
      <c r="AI54" s="1136">
        <f>$AG54-SUMIF('11.2. ДА за периода'!$B$61:$B$108,$B54,'11.2. ДА за периода'!$AG$61:$AG$108)+SUMIF('11.2. ДА за периода'!$B$61:$B$108,$B54,'11.2. ДА за периода'!AI$61:AI$108)+SUMIF('11.1.Амортиз.нови активи'!$B$61:$B$108,$B54,'11.1.Амортиз.нови активи'!AI$61:AI$108)+('11.1.Амортиз.нови активи'!U$112*SUMIF('11.1.Амортиз.нови активи'!$B$61:$B$108,$B54,'11.1.Амортиз.нови активи'!BC$61:BC$108))</f>
        <v>0</v>
      </c>
      <c r="AJ54" s="1136">
        <f>$AG54-SUMIF('11.2. ДА за периода'!$B$61:$B$108,$B54,'11.2. ДА за периода'!$AG$61:$AG$108)+SUMIF('11.2. ДА за периода'!$B$61:$B$108,$B54,'11.2. ДА за периода'!AJ$61:AJ$108)+SUMIF('11.1.Амортиз.нови активи'!$B$61:$B$108,$B54,'11.1.Амортиз.нови активи'!AJ$61:AJ$108)+('11.1.Амортиз.нови активи'!V$112*SUMIF('11.1.Амортиз.нови активи'!$B$61:$B$108,$B54,'11.1.Амортиз.нови активи'!BD$61:BD$108))</f>
        <v>0</v>
      </c>
      <c r="AK54" s="1136">
        <f>$AG54-SUMIF('11.2. ДА за периода'!$B$61:$B$108,$B54,'11.2. ДА за периода'!$AG$61:$AG$108)+SUMIF('11.2. ДА за периода'!$B$61:$B$108,$B54,'11.2. ДА за периода'!AK$61:AK$108)+SUMIF('11.1.Амортиз.нови активи'!$B$61:$B$108,$B54,'11.1.Амортиз.нови активи'!AK$61:AK$108)+('11.1.Амортиз.нови активи'!W$112*SUMIF('11.1.Амортиз.нови активи'!$B$61:$B$108,$B54,'11.1.Амортиз.нови активи'!BE$61:BE$108))</f>
        <v>0</v>
      </c>
      <c r="AL54" s="1136">
        <f>$AG54-SUMIF('11.2. ДА за периода'!$B$61:$B$108,$B54,'11.2. ДА за периода'!$AG$61:$AG$108)+SUMIF('11.2. ДА за периода'!$B$61:$B$108,$B54,'11.2. ДА за периода'!AL$61:AL$108)+SUMIF('11.1.Амортиз.нови активи'!$B$61:$B$108,$B54,'11.1.Амортиз.нови активи'!AL$61:AL$108)+('11.1.Амортиз.нови активи'!X$112*SUMIF('11.1.Амортиз.нови активи'!$B$61:$B$108,$B54,'11.1.Амортиз.нови активи'!BF$61:BF$108))</f>
        <v>0</v>
      </c>
      <c r="AM54" s="2656">
        <f>$AG54-SUMIF('11.2. ДА за периода'!$B$61:$B$108,$B54,'11.2. ДА за периода'!$AG$61:$AG$108)+SUMIF('11.2. ДА за периода'!$B$61:$B$108,$B54,'11.2. ДА за периода'!AM$61:AM$108)+SUMIF('11.1.Амортиз.нови активи'!$B$61:$B$108,$B54,'11.1.Амортиз.нови активи'!AM$61:AM$108)+('11.1.Амортиз.нови активи'!Y$112*SUMIF('11.1.Амортиз.нови активи'!$B$61:$B$108,$B54,'11.1.Амортиз.нови активи'!BG$61:BG$108))</f>
        <v>0</v>
      </c>
      <c r="AN54" s="2551"/>
      <c r="AO54" s="2589"/>
      <c r="AP54" s="4488"/>
      <c r="AQ54" s="4504">
        <f t="shared" si="31"/>
        <v>0</v>
      </c>
      <c r="AR54" s="4504">
        <f t="shared" si="32"/>
        <v>0</v>
      </c>
      <c r="AS54" s="4504">
        <f t="shared" si="33"/>
        <v>0</v>
      </c>
      <c r="AT54" s="4504">
        <f t="shared" si="34"/>
        <v>0</v>
      </c>
      <c r="AU54" s="4504">
        <f t="shared" si="35"/>
        <v>0</v>
      </c>
      <c r="AV54" s="4504">
        <f t="shared" si="36"/>
        <v>0</v>
      </c>
      <c r="AW54" s="4504">
        <f t="shared" si="37"/>
        <v>0</v>
      </c>
      <c r="AX54" s="4504">
        <f t="shared" si="38"/>
        <v>0</v>
      </c>
      <c r="AY54" s="4504">
        <f t="shared" si="39"/>
        <v>0</v>
      </c>
      <c r="AZ54" s="4504">
        <f t="shared" si="40"/>
        <v>0</v>
      </c>
      <c r="BA54" s="4504">
        <f t="shared" si="41"/>
        <v>0</v>
      </c>
      <c r="BB54" s="4504">
        <f t="shared" si="42"/>
        <v>0</v>
      </c>
      <c r="BC54" s="4504">
        <f t="shared" si="43"/>
        <v>0</v>
      </c>
      <c r="BD54" s="4504">
        <f t="shared" si="44"/>
        <v>0</v>
      </c>
      <c r="BE54" s="4504">
        <f t="shared" si="45"/>
        <v>0</v>
      </c>
      <c r="BF54" s="4504">
        <f t="shared" si="46"/>
        <v>0</v>
      </c>
      <c r="BG54" s="4504">
        <f t="shared" si="47"/>
        <v>0</v>
      </c>
      <c r="BH54" s="4504">
        <f t="shared" si="48"/>
        <v>0</v>
      </c>
      <c r="BI54" s="4504">
        <f t="shared" si="49"/>
        <v>0</v>
      </c>
      <c r="BJ54" s="4504">
        <f t="shared" si="50"/>
        <v>0</v>
      </c>
      <c r="BK54" s="4504">
        <f t="shared" si="51"/>
        <v>0</v>
      </c>
      <c r="BL54" s="4504">
        <f t="shared" si="52"/>
        <v>0</v>
      </c>
      <c r="BM54" s="4504">
        <f t="shared" si="53"/>
        <v>0</v>
      </c>
      <c r="BN54" s="4504">
        <f t="shared" si="54"/>
        <v>0</v>
      </c>
      <c r="BO54" s="4504">
        <f t="shared" si="55"/>
        <v>0</v>
      </c>
      <c r="BP54" s="4504">
        <f t="shared" si="56"/>
        <v>0</v>
      </c>
      <c r="BQ54" s="4504">
        <f t="shared" si="57"/>
        <v>0</v>
      </c>
      <c r="BR54" s="4504">
        <f t="shared" si="58"/>
        <v>0</v>
      </c>
      <c r="BS54" s="4504">
        <f t="shared" si="59"/>
        <v>0</v>
      </c>
      <c r="BT54" s="4504">
        <f t="shared" si="60"/>
        <v>0</v>
      </c>
      <c r="BU54" s="4504">
        <f t="shared" si="61"/>
        <v>0</v>
      </c>
      <c r="BV54" s="4504">
        <f t="shared" si="62"/>
        <v>0</v>
      </c>
      <c r="BW54" s="4504">
        <f t="shared" si="63"/>
        <v>0</v>
      </c>
      <c r="BX54" s="4504">
        <f t="shared" si="64"/>
        <v>0</v>
      </c>
      <c r="BY54" s="4504">
        <f t="shared" si="65"/>
        <v>0</v>
      </c>
    </row>
    <row r="55" spans="1:77">
      <c r="A55" s="2569">
        <v>12</v>
      </c>
      <c r="B55" s="2565">
        <v>212</v>
      </c>
      <c r="C55" s="2560">
        <v>0.2</v>
      </c>
      <c r="D55" s="2592" t="s">
        <v>214</v>
      </c>
      <c r="E55" s="2679">
        <f>+'11.3. ДА Базова година'!F60</f>
        <v>0.99611419939277479</v>
      </c>
      <c r="F55" s="2655">
        <f>$E55-SUMIF('11.2. ДА за периода'!$B$61:$B$108,$B55,'11.2. ДА за периода'!$E$61:$E$108)+SUMIF('11.2. ДА за периода'!$B$61:$B$108,$B55,'11.2. ДА за периода'!F$61:F$108)+SUMIF('11.1.Амортиз.нови активи'!$B$61:$B$108,$B55,'11.1.Амортиз.нови активи'!F$61:F$108)+('11.1.Амортиз.нови активи'!F$110*SUMIF('11.1.Амортиз.нови активи'!$B$61:$B$108,$B55,'11.1.Амортиз.нови активи'!AO$61:AO$108))</f>
        <v>0.99611419939277479</v>
      </c>
      <c r="G55" s="1136">
        <f>$E55-SUMIF('11.2. ДА за периода'!$B$61:$B$108,$B55,'11.2. ДА за периода'!$E$61:$E$108)+SUMIF('11.2. ДА за периода'!$B$61:$B$108,$B55,'11.2. ДА за периода'!G$61:G$108)+SUMIF('11.1.Амортиз.нови активи'!$B$61:$B$108,$B55,'11.1.Амортиз.нови активи'!G$61:G$108)+('11.1.Амортиз.нови активи'!G$110*SUMIF('11.1.Амортиз.нови активи'!$B$61:$B$108,$B55,'11.1.Амортиз.нови активи'!AP$61:AP$108))</f>
        <v>2.8456403541573447</v>
      </c>
      <c r="H55" s="1136">
        <f>$E55-SUMIF('11.2. ДА за периода'!$B$61:$B$108,$B55,'11.2. ДА за периода'!$E$61:$E$108)+SUMIF('11.2. ДА за периода'!$B$61:$B$108,$B55,'11.2. ДА за периода'!H$61:H$108)+SUMIF('11.1.Амортиз.нови активи'!$B$61:$B$108,$B55,'11.1.Амортиз.нови активи'!H$61:H$108)+('11.1.Амортиз.нови активи'!H$110*SUMIF('11.1.Амортиз.нови активи'!$B$61:$B$108,$B55,'11.1.Амортиз.нови активи'!AQ$61:AQ$108))</f>
        <v>5.8867214589833479</v>
      </c>
      <c r="I55" s="1136">
        <f>$E55-SUMIF('11.2. ДА за периода'!$B$61:$B$108,$B55,'11.2. ДА за периода'!$E$61:$E$108)+SUMIF('11.2. ДА за периода'!$B$61:$B$108,$B55,'11.2. ДА за периода'!I$61:I$108)+SUMIF('11.1.Амортиз.нови активи'!$B$61:$B$108,$B55,'11.1.Амортиз.нови активи'!I$61:I$108)+('11.1.Амортиз.нови активи'!I$110*SUMIF('11.1.Амортиз.нови активи'!$B$61:$B$108,$B55,'11.1.Амортиз.нови активи'!AR$61:AR$108))</f>
        <v>10.119766493605365</v>
      </c>
      <c r="J55" s="1136">
        <f>$E55-SUMIF('11.2. ДА за периода'!$B$61:$B$108,$B55,'11.2. ДА за периода'!$E$61:$E$108)+SUMIF('11.2. ДА за периода'!$B$61:$B$108,$B55,'11.2. ДА за периода'!J$61:J$108)+SUMIF('11.1.Амортиз.нови активи'!$B$61:$B$108,$B55,'11.1.Амортиз.нови активи'!J$61:J$108)+('11.1.Амортиз.нови активи'!J$110*SUMIF('11.1.Амортиз.нови активи'!$B$61:$B$108,$B55,'11.1.Амортиз.нови активи'!AS$61:AS$108))</f>
        <v>15.553564574673759</v>
      </c>
      <c r="K55" s="2656">
        <f>$E55-SUMIF('11.2. ДА за периода'!$B$61:$B$108,$B55,'11.2. ДА за периода'!$E$61:$E$108)+SUMIF('11.2. ДА за периода'!$B$61:$B$108,$B55,'11.2. ДА за периода'!K$61:K$108)+SUMIF('11.1.Амортиз.нови активи'!$B$61:$B$108,$B55,'11.1.Амортиз.нови активи'!K$61:K$108)+('11.1.Амортиз.нови активи'!K$110*SUMIF('11.1.Амортиз.нови активи'!$B$61:$B$108,$B55,'11.1.Амортиз.нови активи'!AT$61:AT$108))</f>
        <v>19.169491519248467</v>
      </c>
      <c r="L55" s="2679">
        <f>+'11.3. ДА Базова година'!J60</f>
        <v>0.72126492659153152</v>
      </c>
      <c r="M55" s="2655">
        <f>$L55-SUMIF('11.2. ДА за периода'!$B$61:$B$108,$B55,'11.2. ДА за периода'!$L$61:$L$108)+SUMIF('11.2. ДА за периода'!$B$61:$B$108,$B55,'11.2. ДА за периода'!M$61:M$108)+SUMIF('11.1.Амортиз.нови активи'!$B$61:$B$108,$B55,'11.1.Амортиз.нови активи'!M$61:M$108)+('11.1.Амортиз.нови активи'!F$111*SUMIF('11.1.Амортиз.нови активи'!$B$61:$B$108,$B55,'11.1.Амортиз.нови активи'!AO$61:AO$108))</f>
        <v>0.72126492659153152</v>
      </c>
      <c r="N55" s="1136">
        <f>$L55-SUMIF('11.2. ДА за периода'!$B$61:$B$108,$B55,'11.2. ДА за периода'!$L$61:$L$108)+SUMIF('11.2. ДА за периода'!$B$61:$B$108,$B55,'11.2. ДА за периода'!N$61:N$108)+SUMIF('11.1.Амортиз.нови активи'!$B$61:$B$108,$B55,'11.1.Амортиз.нови активи'!N$61:N$108)+('11.1.Амортиз.нови активи'!G$111*SUMIF('11.1.Амортиз.нови активи'!$B$61:$B$108,$B55,'11.1.Амортиз.нови активи'!AP$61:AP$108))</f>
        <v>0.73827858228886756</v>
      </c>
      <c r="O55" s="1136">
        <f>$L55-SUMIF('11.2. ДА за периода'!$B$61:$B$108,$B55,'11.2. ДА за периода'!$L$61:$L$108)+SUMIF('11.2. ДА за периода'!$B$61:$B$108,$B55,'11.2. ДА за периода'!O$61:O$108)+SUMIF('11.1.Амортиз.нови активи'!$B$61:$B$108,$B55,'11.1.Амортиз.нови активи'!O$61:O$108)+('11.1.Амортиз.нови активи'!H$111*SUMIF('11.1.Амортиз.нови активи'!$B$61:$B$108,$B55,'11.1.Амортиз.нови активи'!AQ$61:AQ$108))</f>
        <v>0.77975451888466762</v>
      </c>
      <c r="P55" s="1136">
        <f>$L55-SUMIF('11.2. ДА за периода'!$B$61:$B$108,$B55,'11.2. ДА за периода'!$L$61:$L$108)+SUMIF('11.2. ДА за периода'!$B$61:$B$108,$B55,'11.2. ДА за периода'!P$61:P$108)+SUMIF('11.1.Амортиз.нови активи'!$B$61:$B$108,$B55,'11.1.Амортиз.нови активи'!P$61:P$108)+('11.1.Амортиз.нови активи'!I$111*SUMIF('11.1.Амортиз.нови активи'!$B$61:$B$108,$B55,'11.1.Амортиз.нови активи'!AR$61:AR$108))</f>
        <v>0.84522157865517</v>
      </c>
      <c r="Q55" s="1136">
        <f>$L55-SUMIF('11.2. ДА за периода'!$B$61:$B$108,$B55,'11.2. ДА за периода'!$L$61:$L$108)+SUMIF('11.2. ДА за периода'!$B$61:$B$108,$B55,'11.2. ДА за периода'!Q$61:Q$108)+SUMIF('11.1.Амортиз.нови активи'!$B$61:$B$108,$B55,'11.1.Амортиз.нови активи'!Q$61:Q$108)+('11.1.Амортиз.нови активи'!J$111*SUMIF('11.1.Амортиз.нови активи'!$B$61:$B$108,$B55,'11.1.Амортиз.нови активи'!AS$61:AS$108))</f>
        <v>0.9324890664932346</v>
      </c>
      <c r="R55" s="2656">
        <f>$L55-SUMIF('11.2. ДА за периода'!$B$61:$B$108,$B55,'11.2. ДА за периода'!$L$61:$L$108)+SUMIF('11.2. ДА за периода'!$B$61:$B$108,$B55,'11.2. ДА за периода'!R$61:R$108)+SUMIF('11.1.Амортиз.нови активи'!$B$61:$B$108,$B55,'11.1.Амортиз.нови активи'!R$61:R$108)+('11.1.Амортиз.нови активи'!K$111*SUMIF('11.1.Амортиз.нови активи'!$B$61:$B$108,$B55,'11.1.Амортиз.нови активи'!AT$61:AT$108))</f>
        <v>0.9972749373173091</v>
      </c>
      <c r="S55" s="2679">
        <f>+'11.3. ДА Базова година'!N60</f>
        <v>0.88007485707714328</v>
      </c>
      <c r="T55" s="2655">
        <f>$S55-SUMIF('11.2. ДА за периода'!$B$61:$B$108,$B55,'11.2. ДА за периода'!$S$61:$S$108)+SUMIF('11.2. ДА за периода'!$B$61:$B$108,$B55,'11.2. ДА за периода'!T$61:T$108)+SUMIF('11.1.Амортиз.нови активи'!$B$61:$B$108,$B55,'11.1.Амортиз.нови активи'!T$61:T$108)+('11.1.Амортиз.нови активи'!F$112*SUMIF('11.1.Амортиз.нови активи'!$B$61:$B$108,$B55,'11.1.Амортиз.нови активи'!AO$61:AO$108))</f>
        <v>0.88007485707714328</v>
      </c>
      <c r="U55" s="1136">
        <f>$S55-SUMIF('11.2. ДА за периода'!$B$61:$B$108,$B55,'11.2. ДА за периода'!$S$61:$S$108)+SUMIF('11.2. ДА за периода'!$B$61:$B$108,$B55,'11.2. ДА за периода'!U$61:U$108)+SUMIF('11.1.Амортиз.нови активи'!$B$61:$B$108,$B55,'11.1.Амортиз.нови активи'!U$61:U$108)+('11.1.Амортиз.нови активи'!G$112*SUMIF('11.1.Амортиз.нови активи'!$B$61:$B$108,$B55,'11.1.Амортиз.нови активи'!AP$61:AP$108))</f>
        <v>0.91353504661523743</v>
      </c>
      <c r="V55" s="1136">
        <f>$S55-SUMIF('11.2. ДА за периода'!$B$61:$B$108,$B55,'11.2. ДА за периода'!$S$61:$S$108)+SUMIF('11.2. ДА за периода'!$B$61:$B$108,$B55,'11.2. ДА за периода'!V$61:V$108)+SUMIF('11.1.Амортиз.нови активи'!$B$61:$B$108,$B55,'11.1.Амортиз.нови активи'!V$61:V$108)+('11.1.Амортиз.нови активи'!H$112*SUMIF('11.1.Амортиз.нови активи'!$B$61:$B$108,$B55,'11.1.Амортиз.нови активи'!AQ$61:AQ$108))</f>
        <v>1.0309780051934343</v>
      </c>
      <c r="W55" s="1136">
        <f>$S55-SUMIF('11.2. ДА за периода'!$B$61:$B$108,$B55,'11.2. ДА за периода'!$S$61:$S$108)+SUMIF('11.2. ДА за периода'!$B$61:$B$108,$B55,'11.2. ДА за периода'!W$61:W$108)+SUMIF('11.1.Амортиз.нови активи'!$B$61:$B$108,$B55,'11.1.Амортиз.нови активи'!W$61:W$108)+('11.1.Амортиз.нови активи'!I$112*SUMIF('11.1.Амортиз.нови активи'!$B$61:$B$108,$B55,'11.1.Амортиз.нови активи'!AR$61:AR$108))</f>
        <v>1.2324659108009155</v>
      </c>
      <c r="X55" s="1136">
        <f>$S55-SUMIF('11.2. ДА за периода'!$B$61:$B$108,$B55,'11.2. ДА за периода'!$S$61:$S$108)+SUMIF('11.2. ДА за периода'!$B$61:$B$108,$B55,'11.2. ДА за периода'!X$61:X$108)+SUMIF('11.1.Амортиз.нови активи'!$B$61:$B$108,$B55,'11.1.Амортиз.нови активи'!X$61:X$108)+('11.1.Амортиз.нови активи'!J$112*SUMIF('11.1.Амортиз.нови активи'!$B$61:$B$108,$B55,'11.1.Амортиз.нови активи'!AS$61:AS$108))</f>
        <v>1.5114003418944559</v>
      </c>
      <c r="Y55" s="2656">
        <f>$S55-SUMIF('11.2. ДА за периода'!$B$61:$B$108,$B55,'11.2. ДА за периода'!$S$61:$S$108)+SUMIF('11.2. ДА за периода'!$B$61:$B$108,$B55,'11.2. ДА за периода'!Y$61:Y$108)+SUMIF('11.1.Амортиз.нови активи'!$B$61:$B$108,$B55,'11.1.Амортиз.нови активи'!Y$61:Y$108)+('11.1.Амортиз.нови активи'!K$112*SUMIF('11.1.Амортиз.нови активи'!$B$61:$B$108,$B55,'11.1.Амортиз.нови активи'!AT$61:AT$108))</f>
        <v>1.730687526495676</v>
      </c>
      <c r="Z55" s="4453">
        <f>+'11.3. ДА Базова година'!R60</f>
        <v>0</v>
      </c>
      <c r="AA55" s="2655">
        <f>$Z55-SUMIF('11.2. ДА за периода'!$B$61:$B$108,$B55,'11.2. ДА за периода'!$Z$61:$Z$108)+SUMIF('11.2. ДА за периода'!$B$61:$B$108,$B55,'11.2. ДА за периода'!AA$61:AA$108)+SUMIF('11.1.Амортиз.нови активи'!$B$61:$B$108,$B55,'11.1.Амортиз.нови активи'!AA$61:AA$108)</f>
        <v>0</v>
      </c>
      <c r="AB55" s="1136">
        <f>$Z55-SUMIF('11.2. ДА за периода'!$B$61:$B$108,$B55,'11.2. ДА за периода'!$Z$61:$Z$108)+SUMIF('11.2. ДА за периода'!$B$61:$B$108,$B55,'11.2. ДА за периода'!AB$61:AB$108)+SUMIF('11.1.Амортиз.нови активи'!$B$61:$B$108,$B55,'11.1.Амортиз.нови активи'!AB$61:AB$108)</f>
        <v>0</v>
      </c>
      <c r="AC55" s="1136">
        <f>$Z55-SUMIF('11.2. ДА за периода'!$B$61:$B$108,$B55,'11.2. ДА за периода'!$Z$61:$Z$108)+SUMIF('11.2. ДА за периода'!$B$61:$B$108,$B55,'11.2. ДА за периода'!AC$61:AC$108)+SUMIF('11.1.Амортиз.нови активи'!$B$61:$B$108,$B55,'11.1.Амортиз.нови активи'!AC$61:AC$108)</f>
        <v>0</v>
      </c>
      <c r="AD55" s="1136">
        <f>$Z55-SUMIF('11.2. ДА за периода'!$B$61:$B$108,$B55,'11.2. ДА за периода'!$Z$61:$Z$108)+SUMIF('11.2. ДА за периода'!$B$61:$B$108,$B55,'11.2. ДА за периода'!AD$61:AD$108)+SUMIF('11.1.Амортиз.нови активи'!$B$61:$B$108,$B55,'11.1.Амортиз.нови активи'!AD$61:AD$108)</f>
        <v>0</v>
      </c>
      <c r="AE55" s="1136">
        <f>$Z55-SUMIF('11.2. ДА за периода'!$B$61:$B$108,$B55,'11.2. ДА за периода'!$Z$61:$Z$108)+SUMIF('11.2. ДА за периода'!$B$61:$B$108,$B55,'11.2. ДА за периода'!AE$61:AE$108)+SUMIF('11.1.Амортиз.нови активи'!$B$61:$B$108,$B55,'11.1.Амортиз.нови активи'!AE$61:AE$108)</f>
        <v>0</v>
      </c>
      <c r="AF55" s="2656">
        <f>$Z55-SUMIF('11.2. ДА за периода'!$B$61:$B$108,$B55,'11.2. ДА за периода'!$Z$61:$Z$108)+SUMIF('11.2. ДА за периода'!$B$61:$B$108,$B55,'11.2. ДА за периода'!AF$61:AF$108)+SUMIF('11.1.Амортиз.нови активи'!$B$61:$B$108,$B55,'11.1.Амортиз.нови активи'!AF$61:AF$108)</f>
        <v>0</v>
      </c>
      <c r="AG55" s="2679">
        <f>+'11.3. ДА Базова година'!V60</f>
        <v>1.1149826466392876E-2</v>
      </c>
      <c r="AH55" s="2655">
        <f>$AG55-SUMIF('11.2. ДА за периода'!$B$61:$B$108,$B55,'11.2. ДА за периода'!$AG$61:$AG$108)+SUMIF('11.2. ДА за периода'!$B$61:$B$108,$B55,'11.2. ДА за периода'!AH$61:AH$108)+SUMIF('11.1.Амортиз.нови активи'!$B$61:$B$108,$B55,'11.1.Амортиз.нови активи'!AH$61:AH$108)+('11.1.Амортиз.нови активи'!T$112*SUMIF('11.1.Амортиз.нови активи'!$B$61:$B$108,$B55,'11.1.Амортиз.нови активи'!BB$61:BB$108))</f>
        <v>1.1149826466392876E-2</v>
      </c>
      <c r="AI55" s="1136">
        <f>$AG55-SUMIF('11.2. ДА за периода'!$B$61:$B$108,$B55,'11.2. ДА за периода'!$AG$61:$AG$108)+SUMIF('11.2. ДА за периода'!$B$61:$B$108,$B55,'11.2. ДА за периода'!AI$61:AI$108)+SUMIF('11.1.Амортиз.нови активи'!$B$61:$B$108,$B55,'11.1.Амортиз.нови активи'!AI$61:AI$108)+('11.1.Амортиз.нови активи'!U$112*SUMIF('11.1.Амортиз.нови активи'!$B$61:$B$108,$B55,'11.1.Амортиз.нови активи'!BC$61:BC$108))</f>
        <v>1.1149826466392876E-2</v>
      </c>
      <c r="AJ55" s="1136">
        <f>$AG55-SUMIF('11.2. ДА за периода'!$B$61:$B$108,$B55,'11.2. ДА за периода'!$AG$61:$AG$108)+SUMIF('11.2. ДА за периода'!$B$61:$B$108,$B55,'11.2. ДА за периода'!AJ$61:AJ$108)+SUMIF('11.1.Амортиз.нови активи'!$B$61:$B$108,$B55,'11.1.Амортиз.нови активи'!AJ$61:AJ$108)+('11.1.Амортиз.нови активи'!V$112*SUMIF('11.1.Амортиз.нови активи'!$B$61:$B$108,$B55,'11.1.Амортиз.нови активи'!BD$61:BD$108))</f>
        <v>1.1149826466392876E-2</v>
      </c>
      <c r="AK55" s="1136">
        <f>$AG55-SUMIF('11.2. ДА за периода'!$B$61:$B$108,$B55,'11.2. ДА за периода'!$AG$61:$AG$108)+SUMIF('11.2. ДА за периода'!$B$61:$B$108,$B55,'11.2. ДА за периода'!AK$61:AK$108)+SUMIF('11.1.Амортиз.нови активи'!$B$61:$B$108,$B55,'11.1.Амортиз.нови активи'!AK$61:AK$108)+('11.1.Амортиз.нови активи'!W$112*SUMIF('11.1.Амортиз.нови активи'!$B$61:$B$108,$B55,'11.1.Амортиз.нови активи'!BE$61:BE$108))</f>
        <v>1.1149826466392876E-2</v>
      </c>
      <c r="AL55" s="1136">
        <f>$AG55-SUMIF('11.2. ДА за периода'!$B$61:$B$108,$B55,'11.2. ДА за периода'!$AG$61:$AG$108)+SUMIF('11.2. ДА за периода'!$B$61:$B$108,$B55,'11.2. ДА за периода'!AL$61:AL$108)+SUMIF('11.1.Амортиз.нови активи'!$B$61:$B$108,$B55,'11.1.Амортиз.нови активи'!AL$61:AL$108)+('11.1.Амортиз.нови активи'!X$112*SUMIF('11.1.Амортиз.нови активи'!$B$61:$B$108,$B55,'11.1.Амортиз.нови активи'!BF$61:BF$108))</f>
        <v>1.1149826466392876E-2</v>
      </c>
      <c r="AM55" s="2656">
        <f>$AG55-SUMIF('11.2. ДА за периода'!$B$61:$B$108,$B55,'11.2. ДА за периода'!$AG$61:$AG$108)+SUMIF('11.2. ДА за периода'!$B$61:$B$108,$B55,'11.2. ДА за периода'!AM$61:AM$108)+SUMIF('11.1.Амортиз.нови активи'!$B$61:$B$108,$B55,'11.1.Амортиз.нови активи'!AM$61:AM$108)+('11.1.Амортиз.нови активи'!Y$112*SUMIF('11.1.Амортиз.нови активи'!$B$61:$B$108,$B55,'11.1.Амортиз.нови активи'!BG$61:BG$108))</f>
        <v>1.1149826466392876E-2</v>
      </c>
      <c r="AN55" s="2551"/>
      <c r="AO55" s="2589"/>
      <c r="AP55" s="4488"/>
      <c r="AQ55" s="4504">
        <f t="shared" si="31"/>
        <v>0.50930510289379693</v>
      </c>
      <c r="AR55" s="4504">
        <f t="shared" si="32"/>
        <v>0.50930510289379693</v>
      </c>
      <c r="AS55" s="4504">
        <f t="shared" si="33"/>
        <v>1.4549528098849822</v>
      </c>
      <c r="AT55" s="4504">
        <f t="shared" si="34"/>
        <v>3.009832888841744</v>
      </c>
      <c r="AU55" s="4504">
        <f t="shared" si="35"/>
        <v>5.1741544477819472</v>
      </c>
      <c r="AV55" s="4504">
        <f t="shared" si="36"/>
        <v>7.9524112906918081</v>
      </c>
      <c r="AW55" s="4504">
        <f t="shared" si="37"/>
        <v>9.8012053804515045</v>
      </c>
      <c r="AX55" s="4504">
        <f t="shared" si="38"/>
        <v>0.36877690115783657</v>
      </c>
      <c r="AY55" s="4504">
        <f t="shared" si="39"/>
        <v>0.36877690115783657</v>
      </c>
      <c r="AZ55" s="4504">
        <f t="shared" si="40"/>
        <v>0.37747584518535227</v>
      </c>
      <c r="BA55" s="4504">
        <f t="shared" si="41"/>
        <v>0.39868215483179398</v>
      </c>
      <c r="BB55" s="4504">
        <f t="shared" si="42"/>
        <v>0.43215493097823943</v>
      </c>
      <c r="BC55" s="4504">
        <f t="shared" si="43"/>
        <v>0.47677408900223162</v>
      </c>
      <c r="BD55" s="4504">
        <f t="shared" si="44"/>
        <v>0.5098985787708078</v>
      </c>
      <c r="BE55" s="4504">
        <f t="shared" si="45"/>
        <v>0.44997512926846572</v>
      </c>
      <c r="BF55" s="4504">
        <f t="shared" si="46"/>
        <v>0.44997512926846572</v>
      </c>
      <c r="BG55" s="4504">
        <f t="shared" si="47"/>
        <v>0.46708305252257992</v>
      </c>
      <c r="BH55" s="4504">
        <f t="shared" si="48"/>
        <v>0.52713068374727579</v>
      </c>
      <c r="BI55" s="4504">
        <f t="shared" si="49"/>
        <v>0.63014981404361092</v>
      </c>
      <c r="BJ55" s="4504">
        <f t="shared" si="50"/>
        <v>0.77276672404782421</v>
      </c>
      <c r="BK55" s="4504">
        <f t="shared" si="51"/>
        <v>0.8848864811848044</v>
      </c>
      <c r="BL55" s="4504">
        <f t="shared" si="52"/>
        <v>0</v>
      </c>
      <c r="BM55" s="4504">
        <f t="shared" si="53"/>
        <v>0</v>
      </c>
      <c r="BN55" s="4504">
        <f t="shared" si="54"/>
        <v>0</v>
      </c>
      <c r="BO55" s="4504">
        <f t="shared" si="55"/>
        <v>0</v>
      </c>
      <c r="BP55" s="4504">
        <f t="shared" si="56"/>
        <v>0</v>
      </c>
      <c r="BQ55" s="4504">
        <f t="shared" si="57"/>
        <v>0</v>
      </c>
      <c r="BR55" s="4504">
        <f t="shared" si="58"/>
        <v>0</v>
      </c>
      <c r="BS55" s="4504">
        <f t="shared" si="59"/>
        <v>5.7008157490133987E-3</v>
      </c>
      <c r="BT55" s="4504">
        <f t="shared" si="60"/>
        <v>5.7008157490133987E-3</v>
      </c>
      <c r="BU55" s="4504">
        <f t="shared" si="61"/>
        <v>5.7008157490133987E-3</v>
      </c>
      <c r="BV55" s="4504">
        <f t="shared" si="62"/>
        <v>5.7008157490133987E-3</v>
      </c>
      <c r="BW55" s="4504">
        <f t="shared" si="63"/>
        <v>5.7008157490133987E-3</v>
      </c>
      <c r="BX55" s="4504">
        <f t="shared" si="64"/>
        <v>5.7008157490133987E-3</v>
      </c>
      <c r="BY55" s="4504">
        <f t="shared" si="65"/>
        <v>5.7008157490133987E-3</v>
      </c>
    </row>
    <row r="56" spans="1:77">
      <c r="A56" s="2569">
        <v>13</v>
      </c>
      <c r="B56" s="2564">
        <v>213</v>
      </c>
      <c r="C56" s="2571">
        <v>0.2</v>
      </c>
      <c r="D56" s="2593" t="s">
        <v>215</v>
      </c>
      <c r="E56" s="2679">
        <f>+'11.3. ДА Базова година'!F61</f>
        <v>0</v>
      </c>
      <c r="F56" s="2655">
        <f>$E56-SUMIF('11.2. ДА за периода'!$B$61:$B$108,$B56,'11.2. ДА за периода'!$E$61:$E$108)+SUMIF('11.2. ДА за периода'!$B$61:$B$108,$B56,'11.2. ДА за периода'!F$61:F$108)+SUMIF('11.1.Амортиз.нови активи'!$B$61:$B$108,$B56,'11.1.Амортиз.нови активи'!F$61:F$108)+('11.1.Амортиз.нови активи'!F$110*SUMIF('11.1.Амортиз.нови активи'!$B$61:$B$108,$B56,'11.1.Амортиз.нови активи'!AO$61:AO$108))</f>
        <v>0</v>
      </c>
      <c r="G56" s="1136">
        <f>$E56-SUMIF('11.2. ДА за периода'!$B$61:$B$108,$B56,'11.2. ДА за периода'!$E$61:$E$108)+SUMIF('11.2. ДА за периода'!$B$61:$B$108,$B56,'11.2. ДА за периода'!G$61:G$108)+SUMIF('11.1.Амортиз.нови активи'!$B$61:$B$108,$B56,'11.1.Амортиз.нови активи'!G$61:G$108)+('11.1.Амортиз.нови активи'!G$110*SUMIF('11.1.Амортиз.нови активи'!$B$61:$B$108,$B56,'11.1.Амортиз.нови активи'!AP$61:AP$108))</f>
        <v>0</v>
      </c>
      <c r="H56" s="1136">
        <f>$E56-SUMIF('11.2. ДА за периода'!$B$61:$B$108,$B56,'11.2. ДА за периода'!$E$61:$E$108)+SUMIF('11.2. ДА за периода'!$B$61:$B$108,$B56,'11.2. ДА за периода'!H$61:H$108)+SUMIF('11.1.Амортиз.нови активи'!$B$61:$B$108,$B56,'11.1.Амортиз.нови активи'!H$61:H$108)+('11.1.Амортиз.нови активи'!H$110*SUMIF('11.1.Амортиз.нови активи'!$B$61:$B$108,$B56,'11.1.Амортиз.нови активи'!AQ$61:AQ$108))</f>
        <v>0</v>
      </c>
      <c r="I56" s="1136">
        <f>$E56-SUMIF('11.2. ДА за периода'!$B$61:$B$108,$B56,'11.2. ДА за периода'!$E$61:$E$108)+SUMIF('11.2. ДА за периода'!$B$61:$B$108,$B56,'11.2. ДА за периода'!I$61:I$108)+SUMIF('11.1.Амортиз.нови активи'!$B$61:$B$108,$B56,'11.1.Амортиз.нови активи'!I$61:I$108)+('11.1.Амортиз.нови активи'!I$110*SUMIF('11.1.Амортиз.нови активи'!$B$61:$B$108,$B56,'11.1.Амортиз.нови активи'!AR$61:AR$108))</f>
        <v>0</v>
      </c>
      <c r="J56" s="1136">
        <f>$E56-SUMIF('11.2. ДА за периода'!$B$61:$B$108,$B56,'11.2. ДА за периода'!$E$61:$E$108)+SUMIF('11.2. ДА за периода'!$B$61:$B$108,$B56,'11.2. ДА за периода'!J$61:J$108)+SUMIF('11.1.Амортиз.нови активи'!$B$61:$B$108,$B56,'11.1.Амортиз.нови активи'!J$61:J$108)+('11.1.Амортиз.нови активи'!J$110*SUMIF('11.1.Амортиз.нови активи'!$B$61:$B$108,$B56,'11.1.Амортиз.нови активи'!AS$61:AS$108))</f>
        <v>0</v>
      </c>
      <c r="K56" s="2656">
        <f>$E56-SUMIF('11.2. ДА за периода'!$B$61:$B$108,$B56,'11.2. ДА за периода'!$E$61:$E$108)+SUMIF('11.2. ДА за периода'!$B$61:$B$108,$B56,'11.2. ДА за периода'!K$61:K$108)+SUMIF('11.1.Амортиз.нови активи'!$B$61:$B$108,$B56,'11.1.Амортиз.нови активи'!K$61:K$108)+('11.1.Амортиз.нови активи'!K$110*SUMIF('11.1.Амортиз.нови активи'!$B$61:$B$108,$B56,'11.1.Амортиз.нови активи'!AT$61:AT$108))</f>
        <v>0</v>
      </c>
      <c r="L56" s="4453">
        <f>+'11.3. ДА Базова година'!J61</f>
        <v>0</v>
      </c>
      <c r="M56" s="2655">
        <f>$L56-SUMIF('11.2. ДА за периода'!$B$61:$B$108,$B56,'11.2. ДА за периода'!$L$61:$L$108)+SUMIF('11.2. ДА за периода'!$B$61:$B$108,$B56,'11.2. ДА за периода'!M$61:M$108)+SUMIF('11.1.Амортиз.нови активи'!$B$61:$B$108,$B56,'11.1.Амортиз.нови активи'!M$61:M$108)+('11.1.Амортиз.нови активи'!F$111*SUMIF('11.1.Амортиз.нови активи'!$B$61:$B$108,$B56,'11.1.Амортиз.нови активи'!AO$61:AO$108))</f>
        <v>0</v>
      </c>
      <c r="N56" s="1136">
        <f>$L56-SUMIF('11.2. ДА за периода'!$B$61:$B$108,$B56,'11.2. ДА за периода'!$L$61:$L$108)+SUMIF('11.2. ДА за периода'!$B$61:$B$108,$B56,'11.2. ДА за периода'!N$61:N$108)+SUMIF('11.1.Амортиз.нови активи'!$B$61:$B$108,$B56,'11.1.Амортиз.нови активи'!N$61:N$108)+('11.1.Амортиз.нови активи'!G$111*SUMIF('11.1.Амортиз.нови активи'!$B$61:$B$108,$B56,'11.1.Амортиз.нови активи'!AP$61:AP$108))</f>
        <v>0</v>
      </c>
      <c r="O56" s="1136">
        <f>$L56-SUMIF('11.2. ДА за периода'!$B$61:$B$108,$B56,'11.2. ДА за периода'!$L$61:$L$108)+SUMIF('11.2. ДА за периода'!$B$61:$B$108,$B56,'11.2. ДА за периода'!O$61:O$108)+SUMIF('11.1.Амортиз.нови активи'!$B$61:$B$108,$B56,'11.1.Амортиз.нови активи'!O$61:O$108)+('11.1.Амортиз.нови активи'!H$111*SUMIF('11.1.Амортиз.нови активи'!$B$61:$B$108,$B56,'11.1.Амортиз.нови активи'!AQ$61:AQ$108))</f>
        <v>0</v>
      </c>
      <c r="P56" s="1136">
        <f>$L56-SUMIF('11.2. ДА за периода'!$B$61:$B$108,$B56,'11.2. ДА за периода'!$L$61:$L$108)+SUMIF('11.2. ДА за периода'!$B$61:$B$108,$B56,'11.2. ДА за периода'!P$61:P$108)+SUMIF('11.1.Амортиз.нови активи'!$B$61:$B$108,$B56,'11.1.Амортиз.нови активи'!P$61:P$108)+('11.1.Амортиз.нови активи'!I$111*SUMIF('11.1.Амортиз.нови активи'!$B$61:$B$108,$B56,'11.1.Амортиз.нови активи'!AR$61:AR$108))</f>
        <v>0</v>
      </c>
      <c r="Q56" s="1136">
        <f>$L56-SUMIF('11.2. ДА за периода'!$B$61:$B$108,$B56,'11.2. ДА за периода'!$L$61:$L$108)+SUMIF('11.2. ДА за периода'!$B$61:$B$108,$B56,'11.2. ДА за периода'!Q$61:Q$108)+SUMIF('11.1.Амортиз.нови активи'!$B$61:$B$108,$B56,'11.1.Амортиз.нови активи'!Q$61:Q$108)+('11.1.Амортиз.нови активи'!J$111*SUMIF('11.1.Амортиз.нови активи'!$B$61:$B$108,$B56,'11.1.Амортиз.нови активи'!AS$61:AS$108))</f>
        <v>0</v>
      </c>
      <c r="R56" s="2656">
        <f>$L56-SUMIF('11.2. ДА за периода'!$B$61:$B$108,$B56,'11.2. ДА за периода'!$L$61:$L$108)+SUMIF('11.2. ДА за периода'!$B$61:$B$108,$B56,'11.2. ДА за периода'!R$61:R$108)+SUMIF('11.1.Амортиз.нови активи'!$B$61:$B$108,$B56,'11.1.Амортиз.нови активи'!R$61:R$108)+('11.1.Амортиз.нови активи'!K$111*SUMIF('11.1.Амортиз.нови активи'!$B$61:$B$108,$B56,'11.1.Амортиз.нови активи'!AT$61:AT$108))</f>
        <v>0</v>
      </c>
      <c r="S56" s="4453">
        <f>+'11.3. ДА Базова година'!N61</f>
        <v>0</v>
      </c>
      <c r="T56" s="2655">
        <f>$S56-SUMIF('11.2. ДА за периода'!$B$61:$B$108,$B56,'11.2. ДА за периода'!$S$61:$S$108)+SUMIF('11.2. ДА за периода'!$B$61:$B$108,$B56,'11.2. ДА за периода'!T$61:T$108)+SUMIF('11.1.Амортиз.нови активи'!$B$61:$B$108,$B56,'11.1.Амортиз.нови активи'!T$61:T$108)+('11.1.Амортиз.нови активи'!F$112*SUMIF('11.1.Амортиз.нови активи'!$B$61:$B$108,$B56,'11.1.Амортиз.нови активи'!AO$61:AO$108))</f>
        <v>0</v>
      </c>
      <c r="U56" s="1136">
        <f>$S56-SUMIF('11.2. ДА за периода'!$B$61:$B$108,$B56,'11.2. ДА за периода'!$S$61:$S$108)+SUMIF('11.2. ДА за периода'!$B$61:$B$108,$B56,'11.2. ДА за периода'!U$61:U$108)+SUMIF('11.1.Амортиз.нови активи'!$B$61:$B$108,$B56,'11.1.Амортиз.нови активи'!U$61:U$108)+('11.1.Амортиз.нови активи'!G$112*SUMIF('11.1.Амортиз.нови активи'!$B$61:$B$108,$B56,'11.1.Амортиз.нови активи'!AP$61:AP$108))</f>
        <v>0</v>
      </c>
      <c r="V56" s="1136">
        <f>$S56-SUMIF('11.2. ДА за периода'!$B$61:$B$108,$B56,'11.2. ДА за периода'!$S$61:$S$108)+SUMIF('11.2. ДА за периода'!$B$61:$B$108,$B56,'11.2. ДА за периода'!V$61:V$108)+SUMIF('11.1.Амортиз.нови активи'!$B$61:$B$108,$B56,'11.1.Амортиз.нови активи'!V$61:V$108)+('11.1.Амортиз.нови активи'!H$112*SUMIF('11.1.Амортиз.нови активи'!$B$61:$B$108,$B56,'11.1.Амортиз.нови активи'!AQ$61:AQ$108))</f>
        <v>0</v>
      </c>
      <c r="W56" s="1136">
        <f>$S56-SUMIF('11.2. ДА за периода'!$B$61:$B$108,$B56,'11.2. ДА за периода'!$S$61:$S$108)+SUMIF('11.2. ДА за периода'!$B$61:$B$108,$B56,'11.2. ДА за периода'!W$61:W$108)+SUMIF('11.1.Амортиз.нови активи'!$B$61:$B$108,$B56,'11.1.Амортиз.нови активи'!W$61:W$108)+('11.1.Амортиз.нови активи'!I$112*SUMIF('11.1.Амортиз.нови активи'!$B$61:$B$108,$B56,'11.1.Амортиз.нови активи'!AR$61:AR$108))</f>
        <v>0</v>
      </c>
      <c r="X56" s="1136">
        <f>$S56-SUMIF('11.2. ДА за периода'!$B$61:$B$108,$B56,'11.2. ДА за периода'!$S$61:$S$108)+SUMIF('11.2. ДА за периода'!$B$61:$B$108,$B56,'11.2. ДА за периода'!X$61:X$108)+SUMIF('11.1.Амортиз.нови активи'!$B$61:$B$108,$B56,'11.1.Амортиз.нови активи'!X$61:X$108)+('11.1.Амортиз.нови активи'!J$112*SUMIF('11.1.Амортиз.нови активи'!$B$61:$B$108,$B56,'11.1.Амортиз.нови активи'!AS$61:AS$108))</f>
        <v>0</v>
      </c>
      <c r="Y56" s="2656">
        <f>$S56-SUMIF('11.2. ДА за периода'!$B$61:$B$108,$B56,'11.2. ДА за периода'!$S$61:$S$108)+SUMIF('11.2. ДА за периода'!$B$61:$B$108,$B56,'11.2. ДА за периода'!Y$61:Y$108)+SUMIF('11.1.Амортиз.нови активи'!$B$61:$B$108,$B56,'11.1.Амортиз.нови активи'!Y$61:Y$108)+('11.1.Амортиз.нови активи'!K$112*SUMIF('11.1.Амортиз.нови активи'!$B$61:$B$108,$B56,'11.1.Амортиз.нови активи'!AT$61:AT$108))</f>
        <v>0</v>
      </c>
      <c r="Z56" s="4453">
        <f>+'11.3. ДА Базова година'!R61</f>
        <v>0</v>
      </c>
      <c r="AA56" s="2655">
        <f>$Z56-SUMIF('11.2. ДА за периода'!$B$61:$B$108,$B56,'11.2. ДА за периода'!$Z$61:$Z$108)+SUMIF('11.2. ДА за периода'!$B$61:$B$108,$B56,'11.2. ДА за периода'!AA$61:AA$108)+SUMIF('11.1.Амортиз.нови активи'!$B$61:$B$108,$B56,'11.1.Амортиз.нови активи'!AA$61:AA$108)</f>
        <v>0</v>
      </c>
      <c r="AB56" s="1136">
        <f>$Z56-SUMIF('11.2. ДА за периода'!$B$61:$B$108,$B56,'11.2. ДА за периода'!$Z$61:$Z$108)+SUMIF('11.2. ДА за периода'!$B$61:$B$108,$B56,'11.2. ДА за периода'!AB$61:AB$108)+SUMIF('11.1.Амортиз.нови активи'!$B$61:$B$108,$B56,'11.1.Амортиз.нови активи'!AB$61:AB$108)</f>
        <v>0</v>
      </c>
      <c r="AC56" s="1136">
        <f>$Z56-SUMIF('11.2. ДА за периода'!$B$61:$B$108,$B56,'11.2. ДА за периода'!$Z$61:$Z$108)+SUMIF('11.2. ДА за периода'!$B$61:$B$108,$B56,'11.2. ДА за периода'!AC$61:AC$108)+SUMIF('11.1.Амортиз.нови активи'!$B$61:$B$108,$B56,'11.1.Амортиз.нови активи'!AC$61:AC$108)</f>
        <v>0</v>
      </c>
      <c r="AD56" s="1136">
        <f>$Z56-SUMIF('11.2. ДА за периода'!$B$61:$B$108,$B56,'11.2. ДА за периода'!$Z$61:$Z$108)+SUMIF('11.2. ДА за периода'!$B$61:$B$108,$B56,'11.2. ДА за периода'!AD$61:AD$108)+SUMIF('11.1.Амортиз.нови активи'!$B$61:$B$108,$B56,'11.1.Амортиз.нови активи'!AD$61:AD$108)</f>
        <v>0</v>
      </c>
      <c r="AE56" s="1136">
        <f>$Z56-SUMIF('11.2. ДА за периода'!$B$61:$B$108,$B56,'11.2. ДА за периода'!$Z$61:$Z$108)+SUMIF('11.2. ДА за периода'!$B$61:$B$108,$B56,'11.2. ДА за периода'!AE$61:AE$108)+SUMIF('11.1.Амортиз.нови активи'!$B$61:$B$108,$B56,'11.1.Амортиз.нови активи'!AE$61:AE$108)</f>
        <v>0</v>
      </c>
      <c r="AF56" s="2656">
        <f>$Z56-SUMIF('11.2. ДА за периода'!$B$61:$B$108,$B56,'11.2. ДА за периода'!$Z$61:$Z$108)+SUMIF('11.2. ДА за периода'!$B$61:$B$108,$B56,'11.2. ДА за периода'!AF$61:AF$108)+SUMIF('11.1.Амортиз.нови активи'!$B$61:$B$108,$B56,'11.1.Амортиз.нови активи'!AF$61:AF$108)</f>
        <v>0</v>
      </c>
      <c r="AG56" s="4453">
        <f>+'11.3. ДА Базова година'!V61</f>
        <v>0</v>
      </c>
      <c r="AH56" s="2655">
        <f>$AG56-SUMIF('11.2. ДА за периода'!$B$61:$B$108,$B56,'11.2. ДА за периода'!$AG$61:$AG$108)+SUMIF('11.2. ДА за периода'!$B$61:$B$108,$B56,'11.2. ДА за периода'!AH$61:AH$108)+SUMIF('11.1.Амортиз.нови активи'!$B$61:$B$108,$B56,'11.1.Амортиз.нови активи'!AH$61:AH$108)+('11.1.Амортиз.нови активи'!T$112*SUMIF('11.1.Амортиз.нови активи'!$B$61:$B$108,$B56,'11.1.Амортиз.нови активи'!BB$61:BB$108))</f>
        <v>0</v>
      </c>
      <c r="AI56" s="1136">
        <f>$AG56-SUMIF('11.2. ДА за периода'!$B$61:$B$108,$B56,'11.2. ДА за периода'!$AG$61:$AG$108)+SUMIF('11.2. ДА за периода'!$B$61:$B$108,$B56,'11.2. ДА за периода'!AI$61:AI$108)+SUMIF('11.1.Амортиз.нови активи'!$B$61:$B$108,$B56,'11.1.Амортиз.нови активи'!AI$61:AI$108)+('11.1.Амортиз.нови активи'!U$112*SUMIF('11.1.Амортиз.нови активи'!$B$61:$B$108,$B56,'11.1.Амортиз.нови активи'!BC$61:BC$108))</f>
        <v>0</v>
      </c>
      <c r="AJ56" s="1136">
        <f>$AG56-SUMIF('11.2. ДА за периода'!$B$61:$B$108,$B56,'11.2. ДА за периода'!$AG$61:$AG$108)+SUMIF('11.2. ДА за периода'!$B$61:$B$108,$B56,'11.2. ДА за периода'!AJ$61:AJ$108)+SUMIF('11.1.Амортиз.нови активи'!$B$61:$B$108,$B56,'11.1.Амортиз.нови активи'!AJ$61:AJ$108)+('11.1.Амортиз.нови активи'!V$112*SUMIF('11.1.Амортиз.нови активи'!$B$61:$B$108,$B56,'11.1.Амортиз.нови активи'!BD$61:BD$108))</f>
        <v>0</v>
      </c>
      <c r="AK56" s="1136">
        <f>$AG56-SUMIF('11.2. ДА за периода'!$B$61:$B$108,$B56,'11.2. ДА за периода'!$AG$61:$AG$108)+SUMIF('11.2. ДА за периода'!$B$61:$B$108,$B56,'11.2. ДА за периода'!AK$61:AK$108)+SUMIF('11.1.Амортиз.нови активи'!$B$61:$B$108,$B56,'11.1.Амортиз.нови активи'!AK$61:AK$108)+('11.1.Амортиз.нови активи'!W$112*SUMIF('11.1.Амортиз.нови активи'!$B$61:$B$108,$B56,'11.1.Амортиз.нови активи'!BE$61:BE$108))</f>
        <v>0</v>
      </c>
      <c r="AL56" s="1136">
        <f>$AG56-SUMIF('11.2. ДА за периода'!$B$61:$B$108,$B56,'11.2. ДА за периода'!$AG$61:$AG$108)+SUMIF('11.2. ДА за периода'!$B$61:$B$108,$B56,'11.2. ДА за периода'!AL$61:AL$108)+SUMIF('11.1.Амортиз.нови активи'!$B$61:$B$108,$B56,'11.1.Амортиз.нови активи'!AL$61:AL$108)+('11.1.Амортиз.нови активи'!X$112*SUMIF('11.1.Амортиз.нови активи'!$B$61:$B$108,$B56,'11.1.Амортиз.нови активи'!BF$61:BF$108))</f>
        <v>0</v>
      </c>
      <c r="AM56" s="2656">
        <f>$AG56-SUMIF('11.2. ДА за периода'!$B$61:$B$108,$B56,'11.2. ДА за периода'!$AG$61:$AG$108)+SUMIF('11.2. ДА за периода'!$B$61:$B$108,$B56,'11.2. ДА за периода'!AM$61:AM$108)+SUMIF('11.1.Амортиз.нови активи'!$B$61:$B$108,$B56,'11.1.Амортиз.нови активи'!AM$61:AM$108)+('11.1.Амортиз.нови активи'!Y$112*SUMIF('11.1.Амортиз.нови активи'!$B$61:$B$108,$B56,'11.1.Амортиз.нови активи'!BG$61:BG$108))</f>
        <v>0</v>
      </c>
      <c r="AN56" s="2551"/>
      <c r="AO56" s="2589"/>
      <c r="AP56" s="4488"/>
      <c r="AQ56" s="4504">
        <f t="shared" si="31"/>
        <v>0</v>
      </c>
      <c r="AR56" s="4504">
        <f t="shared" si="32"/>
        <v>0</v>
      </c>
      <c r="AS56" s="4504">
        <f t="shared" si="33"/>
        <v>0</v>
      </c>
      <c r="AT56" s="4504">
        <f t="shared" si="34"/>
        <v>0</v>
      </c>
      <c r="AU56" s="4504">
        <f t="shared" si="35"/>
        <v>0</v>
      </c>
      <c r="AV56" s="4504">
        <f t="shared" si="36"/>
        <v>0</v>
      </c>
      <c r="AW56" s="4504">
        <f t="shared" si="37"/>
        <v>0</v>
      </c>
      <c r="AX56" s="4504">
        <f t="shared" si="38"/>
        <v>0</v>
      </c>
      <c r="AY56" s="4504">
        <f t="shared" si="39"/>
        <v>0</v>
      </c>
      <c r="AZ56" s="4504">
        <f t="shared" si="40"/>
        <v>0</v>
      </c>
      <c r="BA56" s="4504">
        <f t="shared" si="41"/>
        <v>0</v>
      </c>
      <c r="BB56" s="4504">
        <f t="shared" si="42"/>
        <v>0</v>
      </c>
      <c r="BC56" s="4504">
        <f t="shared" si="43"/>
        <v>0</v>
      </c>
      <c r="BD56" s="4504">
        <f t="shared" si="44"/>
        <v>0</v>
      </c>
      <c r="BE56" s="4504">
        <f t="shared" si="45"/>
        <v>0</v>
      </c>
      <c r="BF56" s="4504">
        <f t="shared" si="46"/>
        <v>0</v>
      </c>
      <c r="BG56" s="4504">
        <f t="shared" si="47"/>
        <v>0</v>
      </c>
      <c r="BH56" s="4504">
        <f t="shared" si="48"/>
        <v>0</v>
      </c>
      <c r="BI56" s="4504">
        <f t="shared" si="49"/>
        <v>0</v>
      </c>
      <c r="BJ56" s="4504">
        <f t="shared" si="50"/>
        <v>0</v>
      </c>
      <c r="BK56" s="4504">
        <f t="shared" si="51"/>
        <v>0</v>
      </c>
      <c r="BL56" s="4504">
        <f t="shared" si="52"/>
        <v>0</v>
      </c>
      <c r="BM56" s="4504">
        <f t="shared" si="53"/>
        <v>0</v>
      </c>
      <c r="BN56" s="4504">
        <f t="shared" si="54"/>
        <v>0</v>
      </c>
      <c r="BO56" s="4504">
        <f t="shared" si="55"/>
        <v>0</v>
      </c>
      <c r="BP56" s="4504">
        <f t="shared" si="56"/>
        <v>0</v>
      </c>
      <c r="BQ56" s="4504">
        <f t="shared" si="57"/>
        <v>0</v>
      </c>
      <c r="BR56" s="4504">
        <f t="shared" si="58"/>
        <v>0</v>
      </c>
      <c r="BS56" s="4504">
        <f t="shared" si="59"/>
        <v>0</v>
      </c>
      <c r="BT56" s="4504">
        <f t="shared" si="60"/>
        <v>0</v>
      </c>
      <c r="BU56" s="4504">
        <f t="shared" si="61"/>
        <v>0</v>
      </c>
      <c r="BV56" s="4504">
        <f t="shared" si="62"/>
        <v>0</v>
      </c>
      <c r="BW56" s="4504">
        <f t="shared" si="63"/>
        <v>0</v>
      </c>
      <c r="BX56" s="4504">
        <f t="shared" si="64"/>
        <v>0</v>
      </c>
      <c r="BY56" s="4504">
        <f t="shared" si="65"/>
        <v>0</v>
      </c>
    </row>
    <row r="57" spans="1:77">
      <c r="A57" s="2569">
        <v>14</v>
      </c>
      <c r="B57" s="2638"/>
      <c r="C57" s="2638"/>
      <c r="D57" s="2594" t="s">
        <v>628</v>
      </c>
      <c r="E57" s="2679">
        <f>+'11.3. ДА Базова година'!F62</f>
        <v>0</v>
      </c>
      <c r="F57" s="2655">
        <f>$E57-SUMIF('11.2. ДА за периода'!$B$61:$B$108,$B57,'11.2. ДА за периода'!$E$61:$E$108)+SUMIF('11.2. ДА за периода'!$B$61:$B$108,$B57,'11.2. ДА за периода'!F$61:F$108)+SUMIF('11.1.Амортиз.нови активи'!$B$61:$B$108,$B57,'11.1.Амортиз.нови активи'!F$61:F$108)+('11.1.Амортиз.нови активи'!F$110*SUMIF('11.1.Амортиз.нови активи'!$B$61:$B$108,$B57,'11.1.Амортиз.нови активи'!AO$61:AO$108))</f>
        <v>0</v>
      </c>
      <c r="G57" s="1136">
        <f>$E57-SUMIF('11.2. ДА за периода'!$B$61:$B$108,$B57,'11.2. ДА за периода'!$E$61:$E$108)+SUMIF('11.2. ДА за периода'!$B$61:$B$108,$B57,'11.2. ДА за периода'!G$61:G$108)+SUMIF('11.1.Амортиз.нови активи'!$B$61:$B$108,$B57,'11.1.Амортиз.нови активи'!G$61:G$108)+('11.1.Амортиз.нови активи'!G$110*SUMIF('11.1.Амортиз.нови активи'!$B$61:$B$108,$B57,'11.1.Амортиз.нови активи'!AP$61:AP$108))</f>
        <v>0</v>
      </c>
      <c r="H57" s="1136">
        <f>$E57-SUMIF('11.2. ДА за периода'!$B$61:$B$108,$B57,'11.2. ДА за периода'!$E$61:$E$108)+SUMIF('11.2. ДА за периода'!$B$61:$B$108,$B57,'11.2. ДА за периода'!H$61:H$108)+SUMIF('11.1.Амортиз.нови активи'!$B$61:$B$108,$B57,'11.1.Амортиз.нови активи'!H$61:H$108)+('11.1.Амортиз.нови активи'!H$110*SUMIF('11.1.Амортиз.нови активи'!$B$61:$B$108,$B57,'11.1.Амортиз.нови активи'!AQ$61:AQ$108))</f>
        <v>0</v>
      </c>
      <c r="I57" s="1136">
        <f>$E57-SUMIF('11.2. ДА за периода'!$B$61:$B$108,$B57,'11.2. ДА за периода'!$E$61:$E$108)+SUMIF('11.2. ДА за периода'!$B$61:$B$108,$B57,'11.2. ДА за периода'!I$61:I$108)+SUMIF('11.1.Амортиз.нови активи'!$B$61:$B$108,$B57,'11.1.Амортиз.нови активи'!I$61:I$108)+('11.1.Амортиз.нови активи'!I$110*SUMIF('11.1.Амортиз.нови активи'!$B$61:$B$108,$B57,'11.1.Амортиз.нови активи'!AR$61:AR$108))</f>
        <v>0</v>
      </c>
      <c r="J57" s="1136">
        <f>$E57-SUMIF('11.2. ДА за периода'!$B$61:$B$108,$B57,'11.2. ДА за периода'!$E$61:$E$108)+SUMIF('11.2. ДА за периода'!$B$61:$B$108,$B57,'11.2. ДА за периода'!J$61:J$108)+SUMIF('11.1.Амортиз.нови активи'!$B$61:$B$108,$B57,'11.1.Амортиз.нови активи'!J$61:J$108)+('11.1.Амортиз.нови активи'!J$110*SUMIF('11.1.Амортиз.нови активи'!$B$61:$B$108,$B57,'11.1.Амортиз.нови активи'!AS$61:AS$108))</f>
        <v>0</v>
      </c>
      <c r="K57" s="2656">
        <f>$E57-SUMIF('11.2. ДА за периода'!$B$61:$B$108,$B57,'11.2. ДА за периода'!$E$61:$E$108)+SUMIF('11.2. ДА за периода'!$B$61:$B$108,$B57,'11.2. ДА за периода'!K$61:K$108)+SUMIF('11.1.Амортиз.нови активи'!$B$61:$B$108,$B57,'11.1.Амортиз.нови активи'!K$61:K$108)+('11.1.Амортиз.нови активи'!K$110*SUMIF('11.1.Амортиз.нови активи'!$B$61:$B$108,$B57,'11.1.Амортиз.нови активи'!AT$61:AT$108))</f>
        <v>0</v>
      </c>
      <c r="L57" s="4453">
        <f>+'11.3. ДА Базова година'!J62</f>
        <v>0</v>
      </c>
      <c r="M57" s="2655">
        <f>$L57-SUMIF('11.2. ДА за периода'!$B$61:$B$108,$B57,'11.2. ДА за периода'!$L$61:$L$108)+SUMIF('11.2. ДА за периода'!$B$61:$B$108,$B57,'11.2. ДА за периода'!M$61:M$108)+SUMIF('11.1.Амортиз.нови активи'!$B$61:$B$108,$B57,'11.1.Амортиз.нови активи'!M$61:M$108)+('11.1.Амортиз.нови активи'!F$111*SUMIF('11.1.Амортиз.нови активи'!$B$61:$B$108,$B57,'11.1.Амортиз.нови активи'!AO$61:AO$108))</f>
        <v>0</v>
      </c>
      <c r="N57" s="1136">
        <f>$L57-SUMIF('11.2. ДА за периода'!$B$61:$B$108,$B57,'11.2. ДА за периода'!$L$61:$L$108)+SUMIF('11.2. ДА за периода'!$B$61:$B$108,$B57,'11.2. ДА за периода'!N$61:N$108)+SUMIF('11.1.Амортиз.нови активи'!$B$61:$B$108,$B57,'11.1.Амортиз.нови активи'!N$61:N$108)+('11.1.Амортиз.нови активи'!G$111*SUMIF('11.1.Амортиз.нови активи'!$B$61:$B$108,$B57,'11.1.Амортиз.нови активи'!AP$61:AP$108))</f>
        <v>0</v>
      </c>
      <c r="O57" s="1136">
        <f>$L57-SUMIF('11.2. ДА за периода'!$B$61:$B$108,$B57,'11.2. ДА за периода'!$L$61:$L$108)+SUMIF('11.2. ДА за периода'!$B$61:$B$108,$B57,'11.2. ДА за периода'!O$61:O$108)+SUMIF('11.1.Амортиз.нови активи'!$B$61:$B$108,$B57,'11.1.Амортиз.нови активи'!O$61:O$108)+('11.1.Амортиз.нови активи'!H$111*SUMIF('11.1.Амортиз.нови активи'!$B$61:$B$108,$B57,'11.1.Амортиз.нови активи'!AQ$61:AQ$108))</f>
        <v>0</v>
      </c>
      <c r="P57" s="1136">
        <f>$L57-SUMIF('11.2. ДА за периода'!$B$61:$B$108,$B57,'11.2. ДА за периода'!$L$61:$L$108)+SUMIF('11.2. ДА за периода'!$B$61:$B$108,$B57,'11.2. ДА за периода'!P$61:P$108)+SUMIF('11.1.Амортиз.нови активи'!$B$61:$B$108,$B57,'11.1.Амортиз.нови активи'!P$61:P$108)+('11.1.Амортиз.нови активи'!I$111*SUMIF('11.1.Амортиз.нови активи'!$B$61:$B$108,$B57,'11.1.Амортиз.нови активи'!AR$61:AR$108))</f>
        <v>0</v>
      </c>
      <c r="Q57" s="1136">
        <f>$L57-SUMIF('11.2. ДА за периода'!$B$61:$B$108,$B57,'11.2. ДА за периода'!$L$61:$L$108)+SUMIF('11.2. ДА за периода'!$B$61:$B$108,$B57,'11.2. ДА за периода'!Q$61:Q$108)+SUMIF('11.1.Амортиз.нови активи'!$B$61:$B$108,$B57,'11.1.Амортиз.нови активи'!Q$61:Q$108)+('11.1.Амортиз.нови активи'!J$111*SUMIF('11.1.Амортиз.нови активи'!$B$61:$B$108,$B57,'11.1.Амортиз.нови активи'!AS$61:AS$108))</f>
        <v>0</v>
      </c>
      <c r="R57" s="2656">
        <f>$L57-SUMIF('11.2. ДА за периода'!$B$61:$B$108,$B57,'11.2. ДА за периода'!$L$61:$L$108)+SUMIF('11.2. ДА за периода'!$B$61:$B$108,$B57,'11.2. ДА за периода'!R$61:R$108)+SUMIF('11.1.Амортиз.нови активи'!$B$61:$B$108,$B57,'11.1.Амортиз.нови активи'!R$61:R$108)+('11.1.Амортиз.нови активи'!K$111*SUMIF('11.1.Амортиз.нови активи'!$B$61:$B$108,$B57,'11.1.Амортиз.нови активи'!AT$61:AT$108))</f>
        <v>0</v>
      </c>
      <c r="S57" s="4453">
        <f>+'11.3. ДА Базова година'!N62</f>
        <v>0</v>
      </c>
      <c r="T57" s="2655">
        <f>$S57-SUMIF('11.2. ДА за периода'!$B$61:$B$108,$B57,'11.2. ДА за периода'!$S$61:$S$108)+SUMIF('11.2. ДА за периода'!$B$61:$B$108,$B57,'11.2. ДА за периода'!T$61:T$108)+SUMIF('11.1.Амортиз.нови активи'!$B$61:$B$108,$B57,'11.1.Амортиз.нови активи'!T$61:T$108)+('11.1.Амортиз.нови активи'!F$112*SUMIF('11.1.Амортиз.нови активи'!$B$61:$B$108,$B57,'11.1.Амортиз.нови активи'!AO$61:AO$108))</f>
        <v>0</v>
      </c>
      <c r="U57" s="1136">
        <f>$S57-SUMIF('11.2. ДА за периода'!$B$61:$B$108,$B57,'11.2. ДА за периода'!$S$61:$S$108)+SUMIF('11.2. ДА за периода'!$B$61:$B$108,$B57,'11.2. ДА за периода'!U$61:U$108)+SUMIF('11.1.Амортиз.нови активи'!$B$61:$B$108,$B57,'11.1.Амортиз.нови активи'!U$61:U$108)+('11.1.Амортиз.нови активи'!G$112*SUMIF('11.1.Амортиз.нови активи'!$B$61:$B$108,$B57,'11.1.Амортиз.нови активи'!AP$61:AP$108))</f>
        <v>0</v>
      </c>
      <c r="V57" s="1136">
        <f>$S57-SUMIF('11.2. ДА за периода'!$B$61:$B$108,$B57,'11.2. ДА за периода'!$S$61:$S$108)+SUMIF('11.2. ДА за периода'!$B$61:$B$108,$B57,'11.2. ДА за периода'!V$61:V$108)+SUMIF('11.1.Амортиз.нови активи'!$B$61:$B$108,$B57,'11.1.Амортиз.нови активи'!V$61:V$108)+('11.1.Амортиз.нови активи'!H$112*SUMIF('11.1.Амортиз.нови активи'!$B$61:$B$108,$B57,'11.1.Амортиз.нови активи'!AQ$61:AQ$108))</f>
        <v>0</v>
      </c>
      <c r="W57" s="1136">
        <f>$S57-SUMIF('11.2. ДА за периода'!$B$61:$B$108,$B57,'11.2. ДА за периода'!$S$61:$S$108)+SUMIF('11.2. ДА за периода'!$B$61:$B$108,$B57,'11.2. ДА за периода'!W$61:W$108)+SUMIF('11.1.Амортиз.нови активи'!$B$61:$B$108,$B57,'11.1.Амортиз.нови активи'!W$61:W$108)+('11.1.Амортиз.нови активи'!I$112*SUMIF('11.1.Амортиз.нови активи'!$B$61:$B$108,$B57,'11.1.Амортиз.нови активи'!AR$61:AR$108))</f>
        <v>0</v>
      </c>
      <c r="X57" s="1136">
        <f>$S57-SUMIF('11.2. ДА за периода'!$B$61:$B$108,$B57,'11.2. ДА за периода'!$S$61:$S$108)+SUMIF('11.2. ДА за периода'!$B$61:$B$108,$B57,'11.2. ДА за периода'!X$61:X$108)+SUMIF('11.1.Амортиз.нови активи'!$B$61:$B$108,$B57,'11.1.Амортиз.нови активи'!X$61:X$108)+('11.1.Амортиз.нови активи'!J$112*SUMIF('11.1.Амортиз.нови активи'!$B$61:$B$108,$B57,'11.1.Амортиз.нови активи'!AS$61:AS$108))</f>
        <v>0</v>
      </c>
      <c r="Y57" s="2656">
        <f>$S57-SUMIF('11.2. ДА за периода'!$B$61:$B$108,$B57,'11.2. ДА за периода'!$S$61:$S$108)+SUMIF('11.2. ДА за периода'!$B$61:$B$108,$B57,'11.2. ДА за периода'!Y$61:Y$108)+SUMIF('11.1.Амортиз.нови активи'!$B$61:$B$108,$B57,'11.1.Амортиз.нови активи'!Y$61:Y$108)+('11.1.Амортиз.нови активи'!K$112*SUMIF('11.1.Амортиз.нови активи'!$B$61:$B$108,$B57,'11.1.Амортиз.нови активи'!AT$61:AT$108))</f>
        <v>0</v>
      </c>
      <c r="Z57" s="4453">
        <f>+'11.3. ДА Базова година'!R62</f>
        <v>0</v>
      </c>
      <c r="AA57" s="2655">
        <f>$Z57-SUMIF('11.2. ДА за периода'!$B$61:$B$108,$B57,'11.2. ДА за периода'!$Z$61:$Z$108)+SUMIF('11.2. ДА за периода'!$B$61:$B$108,$B57,'11.2. ДА за периода'!AA$61:AA$108)+SUMIF('11.1.Амортиз.нови активи'!$B$61:$B$108,$B57,'11.1.Амортиз.нови активи'!AA$61:AA$108)</f>
        <v>0</v>
      </c>
      <c r="AB57" s="1136">
        <f>$Z57-SUMIF('11.2. ДА за периода'!$B$61:$B$108,$B57,'11.2. ДА за периода'!$Z$61:$Z$108)+SUMIF('11.2. ДА за периода'!$B$61:$B$108,$B57,'11.2. ДА за периода'!AB$61:AB$108)+SUMIF('11.1.Амортиз.нови активи'!$B$61:$B$108,$B57,'11.1.Амортиз.нови активи'!AB$61:AB$108)</f>
        <v>0</v>
      </c>
      <c r="AC57" s="1136">
        <f>$Z57-SUMIF('11.2. ДА за периода'!$B$61:$B$108,$B57,'11.2. ДА за периода'!$Z$61:$Z$108)+SUMIF('11.2. ДА за периода'!$B$61:$B$108,$B57,'11.2. ДА за периода'!AC$61:AC$108)+SUMIF('11.1.Амортиз.нови активи'!$B$61:$B$108,$B57,'11.1.Амортиз.нови активи'!AC$61:AC$108)</f>
        <v>0</v>
      </c>
      <c r="AD57" s="1136">
        <f>$Z57-SUMIF('11.2. ДА за периода'!$B$61:$B$108,$B57,'11.2. ДА за периода'!$Z$61:$Z$108)+SUMIF('11.2. ДА за периода'!$B$61:$B$108,$B57,'11.2. ДА за периода'!AD$61:AD$108)+SUMIF('11.1.Амортиз.нови активи'!$B$61:$B$108,$B57,'11.1.Амортиз.нови активи'!AD$61:AD$108)</f>
        <v>0</v>
      </c>
      <c r="AE57" s="1136">
        <f>$Z57-SUMIF('11.2. ДА за периода'!$B$61:$B$108,$B57,'11.2. ДА за периода'!$Z$61:$Z$108)+SUMIF('11.2. ДА за периода'!$B$61:$B$108,$B57,'11.2. ДА за периода'!AE$61:AE$108)+SUMIF('11.1.Амортиз.нови активи'!$B$61:$B$108,$B57,'11.1.Амортиз.нови активи'!AE$61:AE$108)</f>
        <v>0</v>
      </c>
      <c r="AF57" s="2656">
        <f>$Z57-SUMIF('11.2. ДА за периода'!$B$61:$B$108,$B57,'11.2. ДА за периода'!$Z$61:$Z$108)+SUMIF('11.2. ДА за периода'!$B$61:$B$108,$B57,'11.2. ДА за периода'!AF$61:AF$108)+SUMIF('11.1.Амортиз.нови активи'!$B$61:$B$108,$B57,'11.1.Амортиз.нови активи'!AF$61:AF$108)</f>
        <v>0</v>
      </c>
      <c r="AG57" s="4453">
        <f>+'11.3. ДА Базова година'!V62</f>
        <v>0</v>
      </c>
      <c r="AH57" s="2655">
        <f>$AG57-SUMIF('11.2. ДА за периода'!$B$61:$B$108,$B57,'11.2. ДА за периода'!$AG$61:$AG$108)+SUMIF('11.2. ДА за периода'!$B$61:$B$108,$B57,'11.2. ДА за периода'!AH$61:AH$108)+SUMIF('11.1.Амортиз.нови активи'!$B$61:$B$108,$B57,'11.1.Амортиз.нови активи'!AH$61:AH$108)+('11.1.Амортиз.нови активи'!T$112*SUMIF('11.1.Амортиз.нови активи'!$B$61:$B$108,$B57,'11.1.Амортиз.нови активи'!BB$61:BB$108))</f>
        <v>0</v>
      </c>
      <c r="AI57" s="1136">
        <f>$AG57-SUMIF('11.2. ДА за периода'!$B$61:$B$108,$B57,'11.2. ДА за периода'!$AG$61:$AG$108)+SUMIF('11.2. ДА за периода'!$B$61:$B$108,$B57,'11.2. ДА за периода'!AI$61:AI$108)+SUMIF('11.1.Амортиз.нови активи'!$B$61:$B$108,$B57,'11.1.Амортиз.нови активи'!AI$61:AI$108)+('11.1.Амортиз.нови активи'!U$112*SUMIF('11.1.Амортиз.нови активи'!$B$61:$B$108,$B57,'11.1.Амортиз.нови активи'!BC$61:BC$108))</f>
        <v>0</v>
      </c>
      <c r="AJ57" s="1136">
        <f>$AG57-SUMIF('11.2. ДА за периода'!$B$61:$B$108,$B57,'11.2. ДА за периода'!$AG$61:$AG$108)+SUMIF('11.2. ДА за периода'!$B$61:$B$108,$B57,'11.2. ДА за периода'!AJ$61:AJ$108)+SUMIF('11.1.Амортиз.нови активи'!$B$61:$B$108,$B57,'11.1.Амортиз.нови активи'!AJ$61:AJ$108)+('11.1.Амортиз.нови активи'!V$112*SUMIF('11.1.Амортиз.нови активи'!$B$61:$B$108,$B57,'11.1.Амортиз.нови активи'!BD$61:BD$108))</f>
        <v>0</v>
      </c>
      <c r="AK57" s="1136">
        <f>$AG57-SUMIF('11.2. ДА за периода'!$B$61:$B$108,$B57,'11.2. ДА за периода'!$AG$61:$AG$108)+SUMIF('11.2. ДА за периода'!$B$61:$B$108,$B57,'11.2. ДА за периода'!AK$61:AK$108)+SUMIF('11.1.Амортиз.нови активи'!$B$61:$B$108,$B57,'11.1.Амортиз.нови активи'!AK$61:AK$108)+('11.1.Амортиз.нови активи'!W$112*SUMIF('11.1.Амортиз.нови активи'!$B$61:$B$108,$B57,'11.1.Амортиз.нови активи'!BE$61:BE$108))</f>
        <v>0</v>
      </c>
      <c r="AL57" s="1136">
        <f>$AG57-SUMIF('11.2. ДА за периода'!$B$61:$B$108,$B57,'11.2. ДА за периода'!$AG$61:$AG$108)+SUMIF('11.2. ДА за периода'!$B$61:$B$108,$B57,'11.2. ДА за периода'!AL$61:AL$108)+SUMIF('11.1.Амортиз.нови активи'!$B$61:$B$108,$B57,'11.1.Амортиз.нови активи'!AL$61:AL$108)+('11.1.Амортиз.нови активи'!X$112*SUMIF('11.1.Амортиз.нови активи'!$B$61:$B$108,$B57,'11.1.Амортиз.нови активи'!BF$61:BF$108))</f>
        <v>0</v>
      </c>
      <c r="AM57" s="2656">
        <f>$AG57-SUMIF('11.2. ДА за периода'!$B$61:$B$108,$B57,'11.2. ДА за периода'!$AG$61:$AG$108)+SUMIF('11.2. ДА за периода'!$B$61:$B$108,$B57,'11.2. ДА за периода'!AM$61:AM$108)+SUMIF('11.1.Амортиз.нови активи'!$B$61:$B$108,$B57,'11.1.Амортиз.нови активи'!AM$61:AM$108)+('11.1.Амортиз.нови активи'!Y$112*SUMIF('11.1.Амортиз.нови активи'!$B$61:$B$108,$B57,'11.1.Амортиз.нови активи'!BG$61:BG$108))</f>
        <v>0</v>
      </c>
      <c r="AN57" s="2551"/>
      <c r="AO57" s="2559"/>
      <c r="AP57" s="4488"/>
      <c r="AQ57" s="4504">
        <f t="shared" si="31"/>
        <v>0</v>
      </c>
      <c r="AR57" s="4504">
        <f t="shared" si="32"/>
        <v>0</v>
      </c>
      <c r="AS57" s="4504">
        <f t="shared" si="33"/>
        <v>0</v>
      </c>
      <c r="AT57" s="4504">
        <f t="shared" si="34"/>
        <v>0</v>
      </c>
      <c r="AU57" s="4504">
        <f t="shared" si="35"/>
        <v>0</v>
      </c>
      <c r="AV57" s="4504">
        <f t="shared" si="36"/>
        <v>0</v>
      </c>
      <c r="AW57" s="4504">
        <f t="shared" si="37"/>
        <v>0</v>
      </c>
      <c r="AX57" s="4504">
        <f t="shared" si="38"/>
        <v>0</v>
      </c>
      <c r="AY57" s="4504">
        <f t="shared" si="39"/>
        <v>0</v>
      </c>
      <c r="AZ57" s="4504">
        <f t="shared" si="40"/>
        <v>0</v>
      </c>
      <c r="BA57" s="4504">
        <f t="shared" si="41"/>
        <v>0</v>
      </c>
      <c r="BB57" s="4504">
        <f t="shared" si="42"/>
        <v>0</v>
      </c>
      <c r="BC57" s="4504">
        <f t="shared" si="43"/>
        <v>0</v>
      </c>
      <c r="BD57" s="4504">
        <f t="shared" si="44"/>
        <v>0</v>
      </c>
      <c r="BE57" s="4504">
        <f t="shared" si="45"/>
        <v>0</v>
      </c>
      <c r="BF57" s="4504">
        <f t="shared" si="46"/>
        <v>0</v>
      </c>
      <c r="BG57" s="4504">
        <f t="shared" si="47"/>
        <v>0</v>
      </c>
      <c r="BH57" s="4504">
        <f t="shared" si="48"/>
        <v>0</v>
      </c>
      <c r="BI57" s="4504">
        <f t="shared" si="49"/>
        <v>0</v>
      </c>
      <c r="BJ57" s="4504">
        <f t="shared" si="50"/>
        <v>0</v>
      </c>
      <c r="BK57" s="4504">
        <f t="shared" si="51"/>
        <v>0</v>
      </c>
      <c r="BL57" s="4504">
        <f t="shared" si="52"/>
        <v>0</v>
      </c>
      <c r="BM57" s="4504">
        <f t="shared" si="53"/>
        <v>0</v>
      </c>
      <c r="BN57" s="4504">
        <f t="shared" si="54"/>
        <v>0</v>
      </c>
      <c r="BO57" s="4504">
        <f t="shared" si="55"/>
        <v>0</v>
      </c>
      <c r="BP57" s="4504">
        <f t="shared" si="56"/>
        <v>0</v>
      </c>
      <c r="BQ57" s="4504">
        <f t="shared" si="57"/>
        <v>0</v>
      </c>
      <c r="BR57" s="4504">
        <f t="shared" si="58"/>
        <v>0</v>
      </c>
      <c r="BS57" s="4504">
        <f t="shared" si="59"/>
        <v>0</v>
      </c>
      <c r="BT57" s="4504">
        <f t="shared" si="60"/>
        <v>0</v>
      </c>
      <c r="BU57" s="4504">
        <f t="shared" si="61"/>
        <v>0</v>
      </c>
      <c r="BV57" s="4504">
        <f t="shared" si="62"/>
        <v>0</v>
      </c>
      <c r="BW57" s="4504">
        <f t="shared" si="63"/>
        <v>0</v>
      </c>
      <c r="BX57" s="4504">
        <f t="shared" si="64"/>
        <v>0</v>
      </c>
      <c r="BY57" s="4504">
        <f t="shared" si="65"/>
        <v>0</v>
      </c>
    </row>
    <row r="58" spans="1:77" ht="24">
      <c r="A58" s="2569">
        <v>15</v>
      </c>
      <c r="B58" s="2595">
        <v>207</v>
      </c>
      <c r="C58" s="2596" t="s">
        <v>313</v>
      </c>
      <c r="D58" s="2593" t="s">
        <v>415</v>
      </c>
      <c r="E58" s="2679">
        <f>+'11.3. ДА Базова година'!F63</f>
        <v>0</v>
      </c>
      <c r="F58" s="2655">
        <f>$E58-SUMIF('11.2. ДА за периода'!$B$61:$B$108,$B58,'11.2. ДА за периода'!$E$61:$E$108)+SUMIF('11.2. ДА за периода'!$B$61:$B$108,$B58,'11.2. ДА за периода'!F$61:F$108)+SUMIF('11.1.Амортиз.нови активи'!$B$61:$B$108,$B58,'11.1.Амортиз.нови активи'!F$61:F$108)+('11.1.Амортиз.нови активи'!F$110*SUMIF('11.1.Амортиз.нови активи'!$B$61:$B$108,$B58,'11.1.Амортиз.нови активи'!AO$61:AO$108))</f>
        <v>0</v>
      </c>
      <c r="G58" s="1136">
        <f>$E58-SUMIF('11.2. ДА за периода'!$B$61:$B$108,$B58,'11.2. ДА за периода'!$E$61:$E$108)+SUMIF('11.2. ДА за периода'!$B$61:$B$108,$B58,'11.2. ДА за периода'!G$61:G$108)+SUMIF('11.1.Амортиз.нови активи'!$B$61:$B$108,$B58,'11.1.Амортиз.нови активи'!G$61:G$108)+('11.1.Амортиз.нови активи'!G$110*SUMIF('11.1.Амортиз.нови активи'!$B$61:$B$108,$B58,'11.1.Амортиз.нови активи'!AP$61:AP$108))</f>
        <v>0</v>
      </c>
      <c r="H58" s="1136">
        <f>$E58-SUMIF('11.2. ДА за периода'!$B$61:$B$108,$B58,'11.2. ДА за периода'!$E$61:$E$108)+SUMIF('11.2. ДА за периода'!$B$61:$B$108,$B58,'11.2. ДА за периода'!H$61:H$108)+SUMIF('11.1.Амортиз.нови активи'!$B$61:$B$108,$B58,'11.1.Амортиз.нови активи'!H$61:H$108)+('11.1.Амортиз.нови активи'!H$110*SUMIF('11.1.Амортиз.нови активи'!$B$61:$B$108,$B58,'11.1.Амортиз.нови активи'!AQ$61:AQ$108))</f>
        <v>0</v>
      </c>
      <c r="I58" s="1136">
        <f>$E58-SUMIF('11.2. ДА за периода'!$B$61:$B$108,$B58,'11.2. ДА за периода'!$E$61:$E$108)+SUMIF('11.2. ДА за периода'!$B$61:$B$108,$B58,'11.2. ДА за периода'!I$61:I$108)+SUMIF('11.1.Амортиз.нови активи'!$B$61:$B$108,$B58,'11.1.Амортиз.нови активи'!I$61:I$108)+('11.1.Амортиз.нови активи'!I$110*SUMIF('11.1.Амортиз.нови активи'!$B$61:$B$108,$B58,'11.1.Амортиз.нови активи'!AR$61:AR$108))</f>
        <v>0</v>
      </c>
      <c r="J58" s="1136">
        <f>$E58-SUMIF('11.2. ДА за периода'!$B$61:$B$108,$B58,'11.2. ДА за периода'!$E$61:$E$108)+SUMIF('11.2. ДА за периода'!$B$61:$B$108,$B58,'11.2. ДА за периода'!J$61:J$108)+SUMIF('11.1.Амортиз.нови активи'!$B$61:$B$108,$B58,'11.1.Амортиз.нови активи'!J$61:J$108)+('11.1.Амортиз.нови активи'!J$110*SUMIF('11.1.Амортиз.нови активи'!$B$61:$B$108,$B58,'11.1.Амортиз.нови активи'!AS$61:AS$108))</f>
        <v>0</v>
      </c>
      <c r="K58" s="2656">
        <f>$E58-SUMIF('11.2. ДА за периода'!$B$61:$B$108,$B58,'11.2. ДА за периода'!$E$61:$E$108)+SUMIF('11.2. ДА за периода'!$B$61:$B$108,$B58,'11.2. ДА за периода'!K$61:K$108)+SUMIF('11.1.Амортиз.нови активи'!$B$61:$B$108,$B58,'11.1.Амортиз.нови активи'!K$61:K$108)+('11.1.Амортиз.нови активи'!K$110*SUMIF('11.1.Амортиз.нови активи'!$B$61:$B$108,$B58,'11.1.Амортиз.нови активи'!AT$61:AT$108))</f>
        <v>0</v>
      </c>
      <c r="L58" s="4453">
        <f>+'11.3. ДА Базова година'!J63</f>
        <v>0</v>
      </c>
      <c r="M58" s="2655">
        <f>$L58-SUMIF('11.2. ДА за периода'!$B$61:$B$108,$B58,'11.2. ДА за периода'!$L$61:$L$108)+SUMIF('11.2. ДА за периода'!$B$61:$B$108,$B58,'11.2. ДА за периода'!M$61:M$108)+SUMIF('11.1.Амортиз.нови активи'!$B$61:$B$108,$B58,'11.1.Амортиз.нови активи'!M$61:M$108)+('11.1.Амортиз.нови активи'!F$111*SUMIF('11.1.Амортиз.нови активи'!$B$61:$B$108,$B58,'11.1.Амортиз.нови активи'!AO$61:AO$108))</f>
        <v>0</v>
      </c>
      <c r="N58" s="1136">
        <f>$L58-SUMIF('11.2. ДА за периода'!$B$61:$B$108,$B58,'11.2. ДА за периода'!$L$61:$L$108)+SUMIF('11.2. ДА за периода'!$B$61:$B$108,$B58,'11.2. ДА за периода'!N$61:N$108)+SUMIF('11.1.Амортиз.нови активи'!$B$61:$B$108,$B58,'11.1.Амортиз.нови активи'!N$61:N$108)+('11.1.Амортиз.нови активи'!G$111*SUMIF('11.1.Амортиз.нови активи'!$B$61:$B$108,$B58,'11.1.Амортиз.нови активи'!AP$61:AP$108))</f>
        <v>0</v>
      </c>
      <c r="O58" s="1136">
        <f>$L58-SUMIF('11.2. ДА за периода'!$B$61:$B$108,$B58,'11.2. ДА за периода'!$L$61:$L$108)+SUMIF('11.2. ДА за периода'!$B$61:$B$108,$B58,'11.2. ДА за периода'!O$61:O$108)+SUMIF('11.1.Амортиз.нови активи'!$B$61:$B$108,$B58,'11.1.Амортиз.нови активи'!O$61:O$108)+('11.1.Амортиз.нови активи'!H$111*SUMIF('11.1.Амортиз.нови активи'!$B$61:$B$108,$B58,'11.1.Амортиз.нови активи'!AQ$61:AQ$108))</f>
        <v>0</v>
      </c>
      <c r="P58" s="1136">
        <f>$L58-SUMIF('11.2. ДА за периода'!$B$61:$B$108,$B58,'11.2. ДА за периода'!$L$61:$L$108)+SUMIF('11.2. ДА за периода'!$B$61:$B$108,$B58,'11.2. ДА за периода'!P$61:P$108)+SUMIF('11.1.Амортиз.нови активи'!$B$61:$B$108,$B58,'11.1.Амортиз.нови активи'!P$61:P$108)+('11.1.Амортиз.нови активи'!I$111*SUMIF('11.1.Амортиз.нови активи'!$B$61:$B$108,$B58,'11.1.Амортиз.нови активи'!AR$61:AR$108))</f>
        <v>0</v>
      </c>
      <c r="Q58" s="1136">
        <f>$L58-SUMIF('11.2. ДА за периода'!$B$61:$B$108,$B58,'11.2. ДА за периода'!$L$61:$L$108)+SUMIF('11.2. ДА за периода'!$B$61:$B$108,$B58,'11.2. ДА за периода'!Q$61:Q$108)+SUMIF('11.1.Амортиз.нови активи'!$B$61:$B$108,$B58,'11.1.Амортиз.нови активи'!Q$61:Q$108)+('11.1.Амортиз.нови активи'!J$111*SUMIF('11.1.Амортиз.нови активи'!$B$61:$B$108,$B58,'11.1.Амортиз.нови активи'!AS$61:AS$108))</f>
        <v>0</v>
      </c>
      <c r="R58" s="2656">
        <f>$L58-SUMIF('11.2. ДА за периода'!$B$61:$B$108,$B58,'11.2. ДА за периода'!$L$61:$L$108)+SUMIF('11.2. ДА за периода'!$B$61:$B$108,$B58,'11.2. ДА за периода'!R$61:R$108)+SUMIF('11.1.Амортиз.нови активи'!$B$61:$B$108,$B58,'11.1.Амортиз.нови активи'!R$61:R$108)+('11.1.Амортиз.нови активи'!K$111*SUMIF('11.1.Амортиз.нови активи'!$B$61:$B$108,$B58,'11.1.Амортиз.нови активи'!AT$61:AT$108))</f>
        <v>0</v>
      </c>
      <c r="S58" s="4453">
        <f>+'11.3. ДА Базова година'!N63</f>
        <v>0</v>
      </c>
      <c r="T58" s="2655">
        <f>$S58-SUMIF('11.2. ДА за периода'!$B$61:$B$108,$B58,'11.2. ДА за периода'!$S$61:$S$108)+SUMIF('11.2. ДА за периода'!$B$61:$B$108,$B58,'11.2. ДА за периода'!T$61:T$108)+SUMIF('11.1.Амортиз.нови активи'!$B$61:$B$108,$B58,'11.1.Амортиз.нови активи'!T$61:T$108)+('11.1.Амортиз.нови активи'!F$112*SUMIF('11.1.Амортиз.нови активи'!$B$61:$B$108,$B58,'11.1.Амортиз.нови активи'!AO$61:AO$108))</f>
        <v>0</v>
      </c>
      <c r="U58" s="1136">
        <f>$S58-SUMIF('11.2. ДА за периода'!$B$61:$B$108,$B58,'11.2. ДА за периода'!$S$61:$S$108)+SUMIF('11.2. ДА за периода'!$B$61:$B$108,$B58,'11.2. ДА за периода'!U$61:U$108)+SUMIF('11.1.Амортиз.нови активи'!$B$61:$B$108,$B58,'11.1.Амортиз.нови активи'!U$61:U$108)+('11.1.Амортиз.нови активи'!G$112*SUMIF('11.1.Амортиз.нови активи'!$B$61:$B$108,$B58,'11.1.Амортиз.нови активи'!AP$61:AP$108))</f>
        <v>0</v>
      </c>
      <c r="V58" s="1136">
        <f>$S58-SUMIF('11.2. ДА за периода'!$B$61:$B$108,$B58,'11.2. ДА за периода'!$S$61:$S$108)+SUMIF('11.2. ДА за периода'!$B$61:$B$108,$B58,'11.2. ДА за периода'!V$61:V$108)+SUMIF('11.1.Амортиз.нови активи'!$B$61:$B$108,$B58,'11.1.Амортиз.нови активи'!V$61:V$108)+('11.1.Амортиз.нови активи'!H$112*SUMIF('11.1.Амортиз.нови активи'!$B$61:$B$108,$B58,'11.1.Амортиз.нови активи'!AQ$61:AQ$108))</f>
        <v>0</v>
      </c>
      <c r="W58" s="1136">
        <f>$S58-SUMIF('11.2. ДА за периода'!$B$61:$B$108,$B58,'11.2. ДА за периода'!$S$61:$S$108)+SUMIF('11.2. ДА за периода'!$B$61:$B$108,$B58,'11.2. ДА за периода'!W$61:W$108)+SUMIF('11.1.Амортиз.нови активи'!$B$61:$B$108,$B58,'11.1.Амортиз.нови активи'!W$61:W$108)+('11.1.Амортиз.нови активи'!I$112*SUMIF('11.1.Амортиз.нови активи'!$B$61:$B$108,$B58,'11.1.Амортиз.нови активи'!AR$61:AR$108))</f>
        <v>0</v>
      </c>
      <c r="X58" s="1136">
        <f>$S58-SUMIF('11.2. ДА за периода'!$B$61:$B$108,$B58,'11.2. ДА за периода'!$S$61:$S$108)+SUMIF('11.2. ДА за периода'!$B$61:$B$108,$B58,'11.2. ДА за периода'!X$61:X$108)+SUMIF('11.1.Амортиз.нови активи'!$B$61:$B$108,$B58,'11.1.Амортиз.нови активи'!X$61:X$108)+('11.1.Амортиз.нови активи'!J$112*SUMIF('11.1.Амортиз.нови активи'!$B$61:$B$108,$B58,'11.1.Амортиз.нови активи'!AS$61:AS$108))</f>
        <v>0</v>
      </c>
      <c r="Y58" s="2656">
        <f>$S58-SUMIF('11.2. ДА за периода'!$B$61:$B$108,$B58,'11.2. ДА за периода'!$S$61:$S$108)+SUMIF('11.2. ДА за периода'!$B$61:$B$108,$B58,'11.2. ДА за периода'!Y$61:Y$108)+SUMIF('11.1.Амортиз.нови активи'!$B$61:$B$108,$B58,'11.1.Амортиз.нови активи'!Y$61:Y$108)+('11.1.Амортиз.нови активи'!K$112*SUMIF('11.1.Амортиз.нови активи'!$B$61:$B$108,$B58,'11.1.Амортиз.нови активи'!AT$61:AT$108))</f>
        <v>0</v>
      </c>
      <c r="Z58" s="4453">
        <f>+'11.3. ДА Базова година'!R63</f>
        <v>0</v>
      </c>
      <c r="AA58" s="2655">
        <f>$Z58-SUMIF('11.2. ДА за периода'!$B$61:$B$108,$B58,'11.2. ДА за периода'!$Z$61:$Z$108)+SUMIF('11.2. ДА за периода'!$B$61:$B$108,$B58,'11.2. ДА за периода'!AA$61:AA$108)+SUMIF('11.1.Амортиз.нови активи'!$B$61:$B$108,$B58,'11.1.Амортиз.нови активи'!AA$61:AA$108)</f>
        <v>0</v>
      </c>
      <c r="AB58" s="1136">
        <f>$Z58-SUMIF('11.2. ДА за периода'!$B$61:$B$108,$B58,'11.2. ДА за периода'!$Z$61:$Z$108)+SUMIF('11.2. ДА за периода'!$B$61:$B$108,$B58,'11.2. ДА за периода'!AB$61:AB$108)+SUMIF('11.1.Амортиз.нови активи'!$B$61:$B$108,$B58,'11.1.Амортиз.нови активи'!AB$61:AB$108)</f>
        <v>0</v>
      </c>
      <c r="AC58" s="1136">
        <f>$Z58-SUMIF('11.2. ДА за периода'!$B$61:$B$108,$B58,'11.2. ДА за периода'!$Z$61:$Z$108)+SUMIF('11.2. ДА за периода'!$B$61:$B$108,$B58,'11.2. ДА за периода'!AC$61:AC$108)+SUMIF('11.1.Амортиз.нови активи'!$B$61:$B$108,$B58,'11.1.Амортиз.нови активи'!AC$61:AC$108)</f>
        <v>0</v>
      </c>
      <c r="AD58" s="1136">
        <f>$Z58-SUMIF('11.2. ДА за периода'!$B$61:$B$108,$B58,'11.2. ДА за периода'!$Z$61:$Z$108)+SUMIF('11.2. ДА за периода'!$B$61:$B$108,$B58,'11.2. ДА за периода'!AD$61:AD$108)+SUMIF('11.1.Амортиз.нови активи'!$B$61:$B$108,$B58,'11.1.Амортиз.нови активи'!AD$61:AD$108)</f>
        <v>0</v>
      </c>
      <c r="AE58" s="1136">
        <f>$Z58-SUMIF('11.2. ДА за периода'!$B$61:$B$108,$B58,'11.2. ДА за периода'!$Z$61:$Z$108)+SUMIF('11.2. ДА за периода'!$B$61:$B$108,$B58,'11.2. ДА за периода'!AE$61:AE$108)+SUMIF('11.1.Амортиз.нови активи'!$B$61:$B$108,$B58,'11.1.Амортиз.нови активи'!AE$61:AE$108)</f>
        <v>0</v>
      </c>
      <c r="AF58" s="2656">
        <f>$Z58-SUMIF('11.2. ДА за периода'!$B$61:$B$108,$B58,'11.2. ДА за периода'!$Z$61:$Z$108)+SUMIF('11.2. ДА за периода'!$B$61:$B$108,$B58,'11.2. ДА за периода'!AF$61:AF$108)+SUMIF('11.1.Амортиз.нови активи'!$B$61:$B$108,$B58,'11.1.Амортиз.нови активи'!AF$61:AF$108)</f>
        <v>0</v>
      </c>
      <c r="AG58" s="4453">
        <f>+'11.3. ДА Базова година'!V63</f>
        <v>0</v>
      </c>
      <c r="AH58" s="2655">
        <f>$AG58-SUMIF('11.2. ДА за периода'!$B$61:$B$108,$B58,'11.2. ДА за периода'!$AG$61:$AG$108)+SUMIF('11.2. ДА за периода'!$B$61:$B$108,$B58,'11.2. ДА за периода'!AH$61:AH$108)+SUMIF('11.1.Амортиз.нови активи'!$B$61:$B$108,$B58,'11.1.Амортиз.нови активи'!AH$61:AH$108)+('11.1.Амортиз.нови активи'!T$112*SUMIF('11.1.Амортиз.нови активи'!$B$61:$B$108,$B58,'11.1.Амортиз.нови активи'!BB$61:BB$108))</f>
        <v>0</v>
      </c>
      <c r="AI58" s="1136">
        <f>$AG58-SUMIF('11.2. ДА за периода'!$B$61:$B$108,$B58,'11.2. ДА за периода'!$AG$61:$AG$108)+SUMIF('11.2. ДА за периода'!$B$61:$B$108,$B58,'11.2. ДА за периода'!AI$61:AI$108)+SUMIF('11.1.Амортиз.нови активи'!$B$61:$B$108,$B58,'11.1.Амортиз.нови активи'!AI$61:AI$108)+('11.1.Амортиз.нови активи'!U$112*SUMIF('11.1.Амортиз.нови активи'!$B$61:$B$108,$B58,'11.1.Амортиз.нови активи'!BC$61:BC$108))</f>
        <v>0</v>
      </c>
      <c r="AJ58" s="1136">
        <f>$AG58-SUMIF('11.2. ДА за периода'!$B$61:$B$108,$B58,'11.2. ДА за периода'!$AG$61:$AG$108)+SUMIF('11.2. ДА за периода'!$B$61:$B$108,$B58,'11.2. ДА за периода'!AJ$61:AJ$108)+SUMIF('11.1.Амортиз.нови активи'!$B$61:$B$108,$B58,'11.1.Амортиз.нови активи'!AJ$61:AJ$108)+('11.1.Амортиз.нови активи'!V$112*SUMIF('11.1.Амортиз.нови активи'!$B$61:$B$108,$B58,'11.1.Амортиз.нови активи'!BD$61:BD$108))</f>
        <v>0</v>
      </c>
      <c r="AK58" s="1136">
        <f>$AG58-SUMIF('11.2. ДА за периода'!$B$61:$B$108,$B58,'11.2. ДА за периода'!$AG$61:$AG$108)+SUMIF('11.2. ДА за периода'!$B$61:$B$108,$B58,'11.2. ДА за периода'!AK$61:AK$108)+SUMIF('11.1.Амортиз.нови активи'!$B$61:$B$108,$B58,'11.1.Амортиз.нови активи'!AK$61:AK$108)+('11.1.Амортиз.нови активи'!W$112*SUMIF('11.1.Амортиз.нови активи'!$B$61:$B$108,$B58,'11.1.Амортиз.нови активи'!BE$61:BE$108))</f>
        <v>0</v>
      </c>
      <c r="AL58" s="1136">
        <f>$AG58-SUMIF('11.2. ДА за периода'!$B$61:$B$108,$B58,'11.2. ДА за периода'!$AG$61:$AG$108)+SUMIF('11.2. ДА за периода'!$B$61:$B$108,$B58,'11.2. ДА за периода'!AL$61:AL$108)+SUMIF('11.1.Амортиз.нови активи'!$B$61:$B$108,$B58,'11.1.Амортиз.нови активи'!AL$61:AL$108)+('11.1.Амортиз.нови активи'!X$112*SUMIF('11.1.Амортиз.нови активи'!$B$61:$B$108,$B58,'11.1.Амортиз.нови активи'!BF$61:BF$108))</f>
        <v>0</v>
      </c>
      <c r="AM58" s="2656">
        <f>$AG58-SUMIF('11.2. ДА за периода'!$B$61:$B$108,$B58,'11.2. ДА за периода'!$AG$61:$AG$108)+SUMIF('11.2. ДА за периода'!$B$61:$B$108,$B58,'11.2. ДА за периода'!AM$61:AM$108)+SUMIF('11.1.Амортиз.нови активи'!$B$61:$B$108,$B58,'11.1.Амортиз.нови активи'!AM$61:AM$108)+('11.1.Амортиз.нови активи'!Y$112*SUMIF('11.1.Амортиз.нови активи'!$B$61:$B$108,$B58,'11.1.Амортиз.нови активи'!BG$61:BG$108))</f>
        <v>0</v>
      </c>
      <c r="AN58" s="2551"/>
      <c r="AO58" s="2589"/>
      <c r="AP58" s="4488"/>
      <c r="AQ58" s="4504">
        <f t="shared" si="31"/>
        <v>0</v>
      </c>
      <c r="AR58" s="4504">
        <f t="shared" si="32"/>
        <v>0</v>
      </c>
      <c r="AS58" s="4504">
        <f t="shared" si="33"/>
        <v>0</v>
      </c>
      <c r="AT58" s="4504">
        <f t="shared" si="34"/>
        <v>0</v>
      </c>
      <c r="AU58" s="4504">
        <f t="shared" si="35"/>
        <v>0</v>
      </c>
      <c r="AV58" s="4504">
        <f t="shared" si="36"/>
        <v>0</v>
      </c>
      <c r="AW58" s="4504">
        <f t="shared" si="37"/>
        <v>0</v>
      </c>
      <c r="AX58" s="4504">
        <f t="shared" si="38"/>
        <v>0</v>
      </c>
      <c r="AY58" s="4504">
        <f t="shared" si="39"/>
        <v>0</v>
      </c>
      <c r="AZ58" s="4504">
        <f t="shared" si="40"/>
        <v>0</v>
      </c>
      <c r="BA58" s="4504">
        <f t="shared" si="41"/>
        <v>0</v>
      </c>
      <c r="BB58" s="4504">
        <f t="shared" si="42"/>
        <v>0</v>
      </c>
      <c r="BC58" s="4504">
        <f t="shared" si="43"/>
        <v>0</v>
      </c>
      <c r="BD58" s="4504">
        <f t="shared" si="44"/>
        <v>0</v>
      </c>
      <c r="BE58" s="4504">
        <f t="shared" si="45"/>
        <v>0</v>
      </c>
      <c r="BF58" s="4504">
        <f t="shared" si="46"/>
        <v>0</v>
      </c>
      <c r="BG58" s="4504">
        <f t="shared" si="47"/>
        <v>0</v>
      </c>
      <c r="BH58" s="4504">
        <f t="shared" si="48"/>
        <v>0</v>
      </c>
      <c r="BI58" s="4504">
        <f t="shared" si="49"/>
        <v>0</v>
      </c>
      <c r="BJ58" s="4504">
        <f t="shared" si="50"/>
        <v>0</v>
      </c>
      <c r="BK58" s="4504">
        <f t="shared" si="51"/>
        <v>0</v>
      </c>
      <c r="BL58" s="4504">
        <f t="shared" si="52"/>
        <v>0</v>
      </c>
      <c r="BM58" s="4504">
        <f t="shared" si="53"/>
        <v>0</v>
      </c>
      <c r="BN58" s="4504">
        <f t="shared" si="54"/>
        <v>0</v>
      </c>
      <c r="BO58" s="4504">
        <f t="shared" si="55"/>
        <v>0</v>
      </c>
      <c r="BP58" s="4504">
        <f t="shared" si="56"/>
        <v>0</v>
      </c>
      <c r="BQ58" s="4504">
        <f t="shared" si="57"/>
        <v>0</v>
      </c>
      <c r="BR58" s="4504">
        <f t="shared" si="58"/>
        <v>0</v>
      </c>
      <c r="BS58" s="4504">
        <f t="shared" si="59"/>
        <v>0</v>
      </c>
      <c r="BT58" s="4504">
        <f t="shared" si="60"/>
        <v>0</v>
      </c>
      <c r="BU58" s="4504">
        <f t="shared" si="61"/>
        <v>0</v>
      </c>
      <c r="BV58" s="4504">
        <f t="shared" si="62"/>
        <v>0</v>
      </c>
      <c r="BW58" s="4504">
        <f t="shared" si="63"/>
        <v>0</v>
      </c>
      <c r="BX58" s="4504">
        <f t="shared" si="64"/>
        <v>0</v>
      </c>
      <c r="BY58" s="4504">
        <f t="shared" si="65"/>
        <v>0</v>
      </c>
    </row>
    <row r="59" spans="1:77" ht="13.8" thickBot="1">
      <c r="A59" s="2569">
        <v>16</v>
      </c>
      <c r="B59" s="2597">
        <v>219</v>
      </c>
      <c r="C59" s="2596">
        <v>0.1</v>
      </c>
      <c r="D59" s="2598" t="s">
        <v>216</v>
      </c>
      <c r="E59" s="2679">
        <f>+'11.3. ДА Базова година'!F64</f>
        <v>15.904312009040584</v>
      </c>
      <c r="F59" s="2655">
        <f>$E59-SUMIF('11.2. ДА за периода'!$B$61:$B$108,$B59,'11.2. ДА за периода'!$E$61:$E$108)+SUMIF('11.2. ДА за периода'!$B$61:$B$108,$B59,'11.2. ДА за периода'!F$61:F$108)+SUMIF('11.1.Амортиз.нови активи'!$B$61:$B$108,$B59,'11.1.Амортиз.нови активи'!F$61:F$108)+('11.1.Амортиз.нови активи'!F$110*SUMIF('11.1.Амортиз.нови активи'!$B$61:$B$108,$B59,'11.1.Амортиз.нови активи'!AO$61:AO$108))</f>
        <v>16.613230653727637</v>
      </c>
      <c r="G59" s="1136">
        <f>$E59-SUMIF('11.2. ДА за периода'!$B$61:$B$108,$B59,'11.2. ДА за периода'!$E$61:$E$108)+SUMIF('11.2. ДА за периода'!$B$61:$B$108,$B59,'11.2. ДА за периода'!G$61:G$108)+SUMIF('11.1.Амортиз.нови активи'!$B$61:$B$108,$B59,'11.1.Амортиз.нови активи'!G$61:G$108)+('11.1.Амортиз.нови активи'!G$110*SUMIF('11.1.Амортиз.нови активи'!$B$61:$B$108,$B59,'11.1.Амортиз.нови активи'!AP$61:AP$108))</f>
        <v>16.613230653727637</v>
      </c>
      <c r="H59" s="1136">
        <f>$E59-SUMIF('11.2. ДА за периода'!$B$61:$B$108,$B59,'11.2. ДА за периода'!$E$61:$E$108)+SUMIF('11.2. ДА за периода'!$B$61:$B$108,$B59,'11.2. ДА за периода'!H$61:H$108)+SUMIF('11.1.Амортиз.нови активи'!$B$61:$B$108,$B59,'11.1.Амортиз.нови активи'!H$61:H$108)+('11.1.Амортиз.нови активи'!H$110*SUMIF('11.1.Амортиз.нови активи'!$B$61:$B$108,$B59,'11.1.Амортиз.нови активи'!AQ$61:AQ$108))</f>
        <v>16.613230653727637</v>
      </c>
      <c r="I59" s="1136">
        <f>$E59-SUMIF('11.2. ДА за периода'!$B$61:$B$108,$B59,'11.2. ДА за периода'!$E$61:$E$108)+SUMIF('11.2. ДА за периода'!$B$61:$B$108,$B59,'11.2. ДА за периода'!I$61:I$108)+SUMIF('11.1.Амортиз.нови активи'!$B$61:$B$108,$B59,'11.1.Амортиз.нови активи'!I$61:I$108)+('11.1.Амортиз.нови активи'!I$110*SUMIF('11.1.Амортиз.нови активи'!$B$61:$B$108,$B59,'11.1.Амортиз.нови активи'!AR$61:AR$108))</f>
        <v>16.613230653727637</v>
      </c>
      <c r="J59" s="1136">
        <f>$E59-SUMIF('11.2. ДА за периода'!$B$61:$B$108,$B59,'11.2. ДА за периода'!$E$61:$E$108)+SUMIF('11.2. ДА за периода'!$B$61:$B$108,$B59,'11.2. ДА за периода'!J$61:J$108)+SUMIF('11.1.Амортиз.нови активи'!$B$61:$B$108,$B59,'11.1.Амортиз.нови активи'!J$61:J$108)+('11.1.Амортиз.нови активи'!J$110*SUMIF('11.1.Амортиз.нови активи'!$B$61:$B$108,$B59,'11.1.Амортиз.нови активи'!AS$61:AS$108))</f>
        <v>16.613230653727637</v>
      </c>
      <c r="K59" s="2656">
        <f>$E59-SUMIF('11.2. ДА за периода'!$B$61:$B$108,$B59,'11.2. ДА за периода'!$E$61:$E$108)+SUMIF('11.2. ДА за периода'!$B$61:$B$108,$B59,'11.2. ДА за периода'!K$61:K$108)+SUMIF('11.1.Амортиз.нови активи'!$B$61:$B$108,$B59,'11.1.Амортиз.нови активи'!K$61:K$108)+('11.1.Амортиз.нови активи'!K$110*SUMIF('11.1.Амортиз.нови активи'!$B$61:$B$108,$B59,'11.1.Амортиз.нови активи'!AT$61:AT$108))</f>
        <v>16.613230653727637</v>
      </c>
      <c r="L59" s="4454">
        <f>+'11.3. ДА Базова година'!J64</f>
        <v>0</v>
      </c>
      <c r="M59" s="2655">
        <f>$L59-SUMIF('11.2. ДА за периода'!$B$61:$B$108,$B59,'11.2. ДА за периода'!$L$61:$L$108)+SUMIF('11.2. ДА за периода'!$B$61:$B$108,$B59,'11.2. ДА за периода'!M$61:M$108)+SUMIF('11.1.Амортиз.нови активи'!$B$61:$B$108,$B59,'11.1.Амортиз.нови активи'!M$61:M$108)+('11.1.Амортиз.нови активи'!F$111*SUMIF('11.1.Амортиз.нови активи'!$B$61:$B$108,$B59,'11.1.Амортиз.нови активи'!AO$61:AO$108))</f>
        <v>0</v>
      </c>
      <c r="N59" s="1136">
        <f>$L59-SUMIF('11.2. ДА за периода'!$B$61:$B$108,$B59,'11.2. ДА за периода'!$L$61:$L$108)+SUMIF('11.2. ДА за периода'!$B$61:$B$108,$B59,'11.2. ДА за периода'!N$61:N$108)+SUMIF('11.1.Амортиз.нови активи'!$B$61:$B$108,$B59,'11.1.Амортиз.нови активи'!N$61:N$108)+('11.1.Амортиз.нови активи'!G$111*SUMIF('11.1.Амортиз.нови активи'!$B$61:$B$108,$B59,'11.1.Амортиз.нови активи'!AP$61:AP$108))</f>
        <v>0</v>
      </c>
      <c r="O59" s="1136">
        <f>$L59-SUMIF('11.2. ДА за периода'!$B$61:$B$108,$B59,'11.2. ДА за периода'!$L$61:$L$108)+SUMIF('11.2. ДА за периода'!$B$61:$B$108,$B59,'11.2. ДА за периода'!O$61:O$108)+SUMIF('11.1.Амортиз.нови активи'!$B$61:$B$108,$B59,'11.1.Амортиз.нови активи'!O$61:O$108)+('11.1.Амортиз.нови активи'!H$111*SUMIF('11.1.Амортиз.нови активи'!$B$61:$B$108,$B59,'11.1.Амортиз.нови активи'!AQ$61:AQ$108))</f>
        <v>0</v>
      </c>
      <c r="P59" s="1136">
        <f>$L59-SUMIF('11.2. ДА за периода'!$B$61:$B$108,$B59,'11.2. ДА за периода'!$L$61:$L$108)+SUMIF('11.2. ДА за периода'!$B$61:$B$108,$B59,'11.2. ДА за периода'!P$61:P$108)+SUMIF('11.1.Амортиз.нови активи'!$B$61:$B$108,$B59,'11.1.Амортиз.нови активи'!P$61:P$108)+('11.1.Амортиз.нови активи'!I$111*SUMIF('11.1.Амортиз.нови активи'!$B$61:$B$108,$B59,'11.1.Амортиз.нови активи'!AR$61:AR$108))</f>
        <v>0</v>
      </c>
      <c r="Q59" s="1136">
        <f>$L59-SUMIF('11.2. ДА за периода'!$B$61:$B$108,$B59,'11.2. ДА за периода'!$L$61:$L$108)+SUMIF('11.2. ДА за периода'!$B$61:$B$108,$B59,'11.2. ДА за периода'!Q$61:Q$108)+SUMIF('11.1.Амортиз.нови активи'!$B$61:$B$108,$B59,'11.1.Амортиз.нови активи'!Q$61:Q$108)+('11.1.Амортиз.нови активи'!J$111*SUMIF('11.1.Амортиз.нови активи'!$B$61:$B$108,$B59,'11.1.Амортиз.нови активи'!AS$61:AS$108))</f>
        <v>0</v>
      </c>
      <c r="R59" s="2656">
        <f>$L59-SUMIF('11.2. ДА за периода'!$B$61:$B$108,$B59,'11.2. ДА за периода'!$L$61:$L$108)+SUMIF('11.2. ДА за периода'!$B$61:$B$108,$B59,'11.2. ДА за периода'!R$61:R$108)+SUMIF('11.1.Амортиз.нови активи'!$B$61:$B$108,$B59,'11.1.Амортиз.нови активи'!R$61:R$108)+('11.1.Амортиз.нови активи'!K$111*SUMIF('11.1.Амортиз.нови активи'!$B$61:$B$108,$B59,'11.1.Амортиз.нови активи'!AT$61:AT$108))</f>
        <v>0</v>
      </c>
      <c r="S59" s="4454">
        <f>+'11.3. ДА Базова година'!N64</f>
        <v>0</v>
      </c>
      <c r="T59" s="2655">
        <f>$S59-SUMIF('11.2. ДА за периода'!$B$61:$B$108,$B59,'11.2. ДА за периода'!$S$61:$S$108)+SUMIF('11.2. ДА за периода'!$B$61:$B$108,$B59,'11.2. ДА за периода'!T$61:T$108)+SUMIF('11.1.Амортиз.нови активи'!$B$61:$B$108,$B59,'11.1.Амортиз.нови активи'!T$61:T$108)+('11.1.Амортиз.нови активи'!F$112*SUMIF('11.1.Амортиз.нови активи'!$B$61:$B$108,$B59,'11.1.Амортиз.нови активи'!AO$61:AO$108))</f>
        <v>0</v>
      </c>
      <c r="U59" s="1136">
        <f>$S59-SUMIF('11.2. ДА за периода'!$B$61:$B$108,$B59,'11.2. ДА за периода'!$S$61:$S$108)+SUMIF('11.2. ДА за периода'!$B$61:$B$108,$B59,'11.2. ДА за периода'!U$61:U$108)+SUMIF('11.1.Амортиз.нови активи'!$B$61:$B$108,$B59,'11.1.Амортиз.нови активи'!U$61:U$108)+('11.1.Амортиз.нови активи'!G$112*SUMIF('11.1.Амортиз.нови активи'!$B$61:$B$108,$B59,'11.1.Амортиз.нови активи'!AP$61:AP$108))</f>
        <v>0</v>
      </c>
      <c r="V59" s="1136">
        <f>$S59-SUMIF('11.2. ДА за периода'!$B$61:$B$108,$B59,'11.2. ДА за периода'!$S$61:$S$108)+SUMIF('11.2. ДА за периода'!$B$61:$B$108,$B59,'11.2. ДА за периода'!V$61:V$108)+SUMIF('11.1.Амортиз.нови активи'!$B$61:$B$108,$B59,'11.1.Амортиз.нови активи'!V$61:V$108)+('11.1.Амортиз.нови активи'!H$112*SUMIF('11.1.Амортиз.нови активи'!$B$61:$B$108,$B59,'11.1.Амортиз.нови активи'!AQ$61:AQ$108))</f>
        <v>0</v>
      </c>
      <c r="W59" s="1136">
        <f>$S59-SUMIF('11.2. ДА за периода'!$B$61:$B$108,$B59,'11.2. ДА за периода'!$S$61:$S$108)+SUMIF('11.2. ДА за периода'!$B$61:$B$108,$B59,'11.2. ДА за периода'!W$61:W$108)+SUMIF('11.1.Амортиз.нови активи'!$B$61:$B$108,$B59,'11.1.Амортиз.нови активи'!W$61:W$108)+('11.1.Амортиз.нови активи'!I$112*SUMIF('11.1.Амортиз.нови активи'!$B$61:$B$108,$B59,'11.1.Амортиз.нови активи'!AR$61:AR$108))</f>
        <v>0</v>
      </c>
      <c r="X59" s="1136">
        <f>$S59-SUMIF('11.2. ДА за периода'!$B$61:$B$108,$B59,'11.2. ДА за периода'!$S$61:$S$108)+SUMIF('11.2. ДА за периода'!$B$61:$B$108,$B59,'11.2. ДА за периода'!X$61:X$108)+SUMIF('11.1.Амортиз.нови активи'!$B$61:$B$108,$B59,'11.1.Амортиз.нови активи'!X$61:X$108)+('11.1.Амортиз.нови активи'!J$112*SUMIF('11.1.Амортиз.нови активи'!$B$61:$B$108,$B59,'11.1.Амортиз.нови активи'!AS$61:AS$108))</f>
        <v>0</v>
      </c>
      <c r="Y59" s="2656">
        <f>$S59-SUMIF('11.2. ДА за периода'!$B$61:$B$108,$B59,'11.2. ДА за периода'!$S$61:$S$108)+SUMIF('11.2. ДА за периода'!$B$61:$B$108,$B59,'11.2. ДА за периода'!Y$61:Y$108)+SUMIF('11.1.Амортиз.нови активи'!$B$61:$B$108,$B59,'11.1.Амортиз.нови активи'!Y$61:Y$108)+('11.1.Амортиз.нови активи'!K$112*SUMIF('11.1.Амортиз.нови активи'!$B$61:$B$108,$B59,'11.1.Амортиз.нови активи'!AT$61:AT$108))</f>
        <v>0</v>
      </c>
      <c r="Z59" s="4454">
        <f>+'11.3. ДА Базова година'!R64</f>
        <v>0</v>
      </c>
      <c r="AA59" s="2655">
        <f>$Z59-SUMIF('11.2. ДА за периода'!$B$61:$B$108,$B59,'11.2. ДА за периода'!$Z$61:$Z$108)+SUMIF('11.2. ДА за периода'!$B$61:$B$108,$B59,'11.2. ДА за периода'!AA$61:AA$108)+SUMIF('11.1.Амортиз.нови активи'!$B$61:$B$108,$B59,'11.1.Амортиз.нови активи'!AA$61:AA$108)</f>
        <v>0</v>
      </c>
      <c r="AB59" s="1136">
        <f>$Z59-SUMIF('11.2. ДА за периода'!$B$61:$B$108,$B59,'11.2. ДА за периода'!$Z$61:$Z$108)+SUMIF('11.2. ДА за периода'!$B$61:$B$108,$B59,'11.2. ДА за периода'!AB$61:AB$108)+SUMIF('11.1.Амортиз.нови активи'!$B$61:$B$108,$B59,'11.1.Амортиз.нови активи'!AB$61:AB$108)</f>
        <v>0</v>
      </c>
      <c r="AC59" s="1136">
        <f>$Z59-SUMIF('11.2. ДА за периода'!$B$61:$B$108,$B59,'11.2. ДА за периода'!$Z$61:$Z$108)+SUMIF('11.2. ДА за периода'!$B$61:$B$108,$B59,'11.2. ДА за периода'!AC$61:AC$108)+SUMIF('11.1.Амортиз.нови активи'!$B$61:$B$108,$B59,'11.1.Амортиз.нови активи'!AC$61:AC$108)</f>
        <v>0</v>
      </c>
      <c r="AD59" s="1136">
        <f>$Z59-SUMIF('11.2. ДА за периода'!$B$61:$B$108,$B59,'11.2. ДА за периода'!$Z$61:$Z$108)+SUMIF('11.2. ДА за периода'!$B$61:$B$108,$B59,'11.2. ДА за периода'!AD$61:AD$108)+SUMIF('11.1.Амортиз.нови активи'!$B$61:$B$108,$B59,'11.1.Амортиз.нови активи'!AD$61:AD$108)</f>
        <v>0</v>
      </c>
      <c r="AE59" s="1136">
        <f>$Z59-SUMIF('11.2. ДА за периода'!$B$61:$B$108,$B59,'11.2. ДА за периода'!$Z$61:$Z$108)+SUMIF('11.2. ДА за периода'!$B$61:$B$108,$B59,'11.2. ДА за периода'!AE$61:AE$108)+SUMIF('11.1.Амортиз.нови активи'!$B$61:$B$108,$B59,'11.1.Амортиз.нови активи'!AE$61:AE$108)</f>
        <v>0</v>
      </c>
      <c r="AF59" s="2656">
        <f>$Z59-SUMIF('11.2. ДА за периода'!$B$61:$B$108,$B59,'11.2. ДА за периода'!$Z$61:$Z$108)+SUMIF('11.2. ДА за периода'!$B$61:$B$108,$B59,'11.2. ДА за периода'!AF$61:AF$108)+SUMIF('11.1.Амортиз.нови активи'!$B$61:$B$108,$B59,'11.1.Амортиз.нови активи'!AF$61:AF$108)</f>
        <v>0</v>
      </c>
      <c r="AG59" s="4454">
        <f>+'11.3. ДА Базова година'!V64</f>
        <v>3.9957990959419737E-2</v>
      </c>
      <c r="AH59" s="2655">
        <f>$AG59-SUMIF('11.2. ДА за периода'!$B$61:$B$108,$B59,'11.2. ДА за периода'!$AG$61:$AG$108)+SUMIF('11.2. ДА за периода'!$B$61:$B$108,$B59,'11.2. ДА за периода'!AH$61:AH$108)+SUMIF('11.1.Амортиз.нови активи'!$B$61:$B$108,$B59,'11.1.Амортиз.нови активи'!AH$61:AH$108)+('11.1.Амортиз.нови активи'!T$112*SUMIF('11.1.Амортиз.нови активи'!$B$61:$B$108,$B59,'11.1.Амортиз.нови активи'!BB$61:BB$108))</f>
        <v>8.1039346272367738E-2</v>
      </c>
      <c r="AI59" s="1136">
        <f>$AG59-SUMIF('11.2. ДА за периода'!$B$61:$B$108,$B59,'11.2. ДА за периода'!$AG$61:$AG$108)+SUMIF('11.2. ДА за периода'!$B$61:$B$108,$B59,'11.2. ДА за периода'!AI$61:AI$108)+SUMIF('11.1.Амортиз.нови активи'!$B$61:$B$108,$B59,'11.1.Амортиз.нови активи'!AI$61:AI$108)+('11.1.Амортиз.нови активи'!U$112*SUMIF('11.1.Амортиз.нови активи'!$B$61:$B$108,$B59,'11.1.Амортиз.нови активи'!BC$61:BC$108))</f>
        <v>8.1039346272367738E-2</v>
      </c>
      <c r="AJ59" s="1136">
        <f>$AG59-SUMIF('11.2. ДА за периода'!$B$61:$B$108,$B59,'11.2. ДА за периода'!$AG$61:$AG$108)+SUMIF('11.2. ДА за периода'!$B$61:$B$108,$B59,'11.2. ДА за периода'!AJ$61:AJ$108)+SUMIF('11.1.Амортиз.нови активи'!$B$61:$B$108,$B59,'11.1.Амортиз.нови активи'!AJ$61:AJ$108)+('11.1.Амортиз.нови активи'!V$112*SUMIF('11.1.Амортиз.нови активи'!$B$61:$B$108,$B59,'11.1.Амортиз.нови активи'!BD$61:BD$108))</f>
        <v>8.1039346272367738E-2</v>
      </c>
      <c r="AK59" s="1136">
        <f>$AG59-SUMIF('11.2. ДА за периода'!$B$61:$B$108,$B59,'11.2. ДА за периода'!$AG$61:$AG$108)+SUMIF('11.2. ДА за периода'!$B$61:$B$108,$B59,'11.2. ДА за периода'!AK$61:AK$108)+SUMIF('11.1.Амортиз.нови активи'!$B$61:$B$108,$B59,'11.1.Амортиз.нови активи'!AK$61:AK$108)+('11.1.Амортиз.нови активи'!W$112*SUMIF('11.1.Амортиз.нови активи'!$B$61:$B$108,$B59,'11.1.Амортиз.нови активи'!BE$61:BE$108))</f>
        <v>8.1039346272367738E-2</v>
      </c>
      <c r="AL59" s="1136">
        <f>$AG59-SUMIF('11.2. ДА за периода'!$B$61:$B$108,$B59,'11.2. ДА за периода'!$AG$61:$AG$108)+SUMIF('11.2. ДА за периода'!$B$61:$B$108,$B59,'11.2. ДА за периода'!AL$61:AL$108)+SUMIF('11.1.Амортиз.нови активи'!$B$61:$B$108,$B59,'11.1.Амортиз.нови активи'!AL$61:AL$108)+('11.1.Амортиз.нови активи'!X$112*SUMIF('11.1.Амортиз.нови активи'!$B$61:$B$108,$B59,'11.1.Амортиз.нови активи'!BF$61:BF$108))</f>
        <v>8.1039346272367738E-2</v>
      </c>
      <c r="AM59" s="2656">
        <f>$AG59-SUMIF('11.2. ДА за периода'!$B$61:$B$108,$B59,'11.2. ДА за периода'!$AG$61:$AG$108)+SUMIF('11.2. ДА за периода'!$B$61:$B$108,$B59,'11.2. ДА за периода'!AM$61:AM$108)+SUMIF('11.1.Амортиз.нови активи'!$B$61:$B$108,$B59,'11.1.Амортиз.нови активи'!AM$61:AM$108)+('11.1.Амортиз.нови активи'!Y$112*SUMIF('11.1.Амортиз.нови активи'!$B$61:$B$108,$B59,'11.1.Амортиз.нови активи'!BG$61:BG$108))</f>
        <v>8.1039346272367738E-2</v>
      </c>
      <c r="AN59" s="2551"/>
      <c r="AO59" s="2589"/>
      <c r="AP59" s="4488"/>
      <c r="AQ59" s="4504">
        <f t="shared" si="31"/>
        <v>8.1317456062339701</v>
      </c>
      <c r="AR59" s="4504">
        <f t="shared" si="32"/>
        <v>8.4942099536910867</v>
      </c>
      <c r="AS59" s="4504">
        <f t="shared" si="33"/>
        <v>8.4942099536910867</v>
      </c>
      <c r="AT59" s="4504">
        <f t="shared" si="34"/>
        <v>8.4942099536910867</v>
      </c>
      <c r="AU59" s="4504">
        <f t="shared" si="35"/>
        <v>8.4942099536910867</v>
      </c>
      <c r="AV59" s="4504">
        <f t="shared" si="36"/>
        <v>8.4942099536910867</v>
      </c>
      <c r="AW59" s="4504">
        <f t="shared" si="37"/>
        <v>8.4942099536910867</v>
      </c>
      <c r="AX59" s="4504">
        <f t="shared" si="38"/>
        <v>0</v>
      </c>
      <c r="AY59" s="4504">
        <f t="shared" si="39"/>
        <v>0</v>
      </c>
      <c r="AZ59" s="4504">
        <f t="shared" si="40"/>
        <v>0</v>
      </c>
      <c r="BA59" s="4504">
        <f t="shared" si="41"/>
        <v>0</v>
      </c>
      <c r="BB59" s="4504">
        <f t="shared" si="42"/>
        <v>0</v>
      </c>
      <c r="BC59" s="4504">
        <f t="shared" si="43"/>
        <v>0</v>
      </c>
      <c r="BD59" s="4504">
        <f t="shared" si="44"/>
        <v>0</v>
      </c>
      <c r="BE59" s="4504">
        <f t="shared" si="45"/>
        <v>0</v>
      </c>
      <c r="BF59" s="4504">
        <f t="shared" si="46"/>
        <v>0</v>
      </c>
      <c r="BG59" s="4504">
        <f t="shared" si="47"/>
        <v>0</v>
      </c>
      <c r="BH59" s="4504">
        <f t="shared" si="48"/>
        <v>0</v>
      </c>
      <c r="BI59" s="4504">
        <f t="shared" si="49"/>
        <v>0</v>
      </c>
      <c r="BJ59" s="4504">
        <f t="shared" si="50"/>
        <v>0</v>
      </c>
      <c r="BK59" s="4504">
        <f t="shared" si="51"/>
        <v>0</v>
      </c>
      <c r="BL59" s="4504">
        <f t="shared" si="52"/>
        <v>0</v>
      </c>
      <c r="BM59" s="4504">
        <f t="shared" si="53"/>
        <v>0</v>
      </c>
      <c r="BN59" s="4504">
        <f t="shared" si="54"/>
        <v>0</v>
      </c>
      <c r="BO59" s="4504">
        <f t="shared" si="55"/>
        <v>0</v>
      </c>
      <c r="BP59" s="4504">
        <f t="shared" si="56"/>
        <v>0</v>
      </c>
      <c r="BQ59" s="4504">
        <f t="shared" si="57"/>
        <v>0</v>
      </c>
      <c r="BR59" s="4504">
        <f t="shared" si="58"/>
        <v>0</v>
      </c>
      <c r="BS59" s="4504">
        <f t="shared" si="59"/>
        <v>2.0430196366463208E-2</v>
      </c>
      <c r="BT59" s="4504">
        <f t="shared" si="60"/>
        <v>4.1434759806510658E-2</v>
      </c>
      <c r="BU59" s="4504">
        <f t="shared" si="61"/>
        <v>4.1434759806510658E-2</v>
      </c>
      <c r="BV59" s="4504">
        <f t="shared" si="62"/>
        <v>4.1434759806510658E-2</v>
      </c>
      <c r="BW59" s="4504">
        <f t="shared" si="63"/>
        <v>4.1434759806510658E-2</v>
      </c>
      <c r="BX59" s="4504">
        <f t="shared" si="64"/>
        <v>4.1434759806510658E-2</v>
      </c>
      <c r="BY59" s="4504">
        <f t="shared" si="65"/>
        <v>4.1434759806510658E-2</v>
      </c>
    </row>
    <row r="60" spans="1:77" ht="13.8" thickBot="1">
      <c r="A60" s="3746" t="s">
        <v>219</v>
      </c>
      <c r="B60" s="2577"/>
      <c r="C60" s="2577"/>
      <c r="D60" s="2540" t="s">
        <v>220</v>
      </c>
      <c r="E60" s="2545">
        <f t="shared" ref="E60" si="85">SUM(E61:E84)-E63-E69</f>
        <v>4471.9860242105942</v>
      </c>
      <c r="F60" s="2542">
        <f t="shared" ref="F60:Z60" si="86">SUM(F61:F84)-F63-F69</f>
        <v>4617.2982325254234</v>
      </c>
      <c r="G60" s="2543">
        <f t="shared" si="86"/>
        <v>4769.8461729040391</v>
      </c>
      <c r="H60" s="2543">
        <f t="shared" si="86"/>
        <v>4926.1747690661114</v>
      </c>
      <c r="I60" s="2543">
        <f t="shared" si="86"/>
        <v>5087.5253874263717</v>
      </c>
      <c r="J60" s="2543">
        <f t="shared" si="86"/>
        <v>5255.1300781136051</v>
      </c>
      <c r="K60" s="2544">
        <f t="shared" si="86"/>
        <v>5427.1826196538068</v>
      </c>
      <c r="L60" s="2545">
        <f t="shared" si="86"/>
        <v>900.36394066587764</v>
      </c>
      <c r="M60" s="2542">
        <f t="shared" si="86"/>
        <v>918.08503422659669</v>
      </c>
      <c r="N60" s="2543">
        <f t="shared" si="86"/>
        <v>936.03101770778278</v>
      </c>
      <c r="O60" s="2543">
        <f t="shared" si="86"/>
        <v>954.35290513522284</v>
      </c>
      <c r="P60" s="2543">
        <f t="shared" si="86"/>
        <v>973.06562368105688</v>
      </c>
      <c r="Q60" s="2543">
        <f t="shared" si="86"/>
        <v>992.18500899756816</v>
      </c>
      <c r="R60" s="2544">
        <f t="shared" si="86"/>
        <v>1011.6868326890791</v>
      </c>
      <c r="S60" s="2545">
        <f t="shared" si="86"/>
        <v>767.78811542180244</v>
      </c>
      <c r="T60" s="2542">
        <f t="shared" si="86"/>
        <v>785.62188632683342</v>
      </c>
      <c r="U60" s="2543">
        <f t="shared" si="86"/>
        <v>803.73003524761089</v>
      </c>
      <c r="V60" s="2543">
        <f t="shared" si="86"/>
        <v>822.30162443867403</v>
      </c>
      <c r="W60" s="2543">
        <f t="shared" si="86"/>
        <v>841.38036031316074</v>
      </c>
      <c r="X60" s="2543">
        <f t="shared" si="86"/>
        <v>861.01835708999238</v>
      </c>
      <c r="Y60" s="2544">
        <f t="shared" si="86"/>
        <v>881.14606463885889</v>
      </c>
      <c r="Z60" s="2545">
        <f t="shared" si="86"/>
        <v>0</v>
      </c>
      <c r="AA60" s="2542">
        <f t="shared" ref="AA60:AM60" si="87">SUM(AA61:AA84)-AA63-AA69</f>
        <v>0</v>
      </c>
      <c r="AB60" s="2543">
        <f t="shared" si="87"/>
        <v>0</v>
      </c>
      <c r="AC60" s="2543">
        <f t="shared" si="87"/>
        <v>0</v>
      </c>
      <c r="AD60" s="2543">
        <f t="shared" si="87"/>
        <v>0</v>
      </c>
      <c r="AE60" s="2543">
        <f t="shared" si="87"/>
        <v>0</v>
      </c>
      <c r="AF60" s="2544">
        <f t="shared" si="87"/>
        <v>0</v>
      </c>
      <c r="AG60" s="2545">
        <f t="shared" si="87"/>
        <v>461.55943470071509</v>
      </c>
      <c r="AH60" s="2542">
        <f t="shared" si="87"/>
        <v>483.65349257130805</v>
      </c>
      <c r="AI60" s="2543">
        <f t="shared" si="87"/>
        <v>506.52755044190076</v>
      </c>
      <c r="AJ60" s="2543">
        <f t="shared" si="87"/>
        <v>530.00160831249377</v>
      </c>
      <c r="AK60" s="2543">
        <f t="shared" si="87"/>
        <v>554.07566618308681</v>
      </c>
      <c r="AL60" s="2543">
        <f t="shared" si="87"/>
        <v>578.74972405367964</v>
      </c>
      <c r="AM60" s="2544">
        <f t="shared" si="87"/>
        <v>604.02378192427273</v>
      </c>
      <c r="AN60" s="2546"/>
      <c r="AO60" s="2578"/>
      <c r="AP60" s="4488"/>
      <c r="AQ60" s="4504">
        <f t="shared" si="31"/>
        <v>2286.4901470018326</v>
      </c>
      <c r="AR60" s="4504">
        <f t="shared" si="32"/>
        <v>2360.7870993518986</v>
      </c>
      <c r="AS60" s="4504">
        <f t="shared" si="33"/>
        <v>2438.7836227606895</v>
      </c>
      <c r="AT60" s="4504">
        <f t="shared" si="34"/>
        <v>2518.7131647771594</v>
      </c>
      <c r="AU60" s="4504">
        <f t="shared" si="35"/>
        <v>2601.2104259707498</v>
      </c>
      <c r="AV60" s="4504">
        <f t="shared" si="36"/>
        <v>2686.9053435695359</v>
      </c>
      <c r="AW60" s="4504">
        <f t="shared" si="37"/>
        <v>2774.874411198216</v>
      </c>
      <c r="AX60" s="4504">
        <f t="shared" si="38"/>
        <v>460.348772984297</v>
      </c>
      <c r="AY60" s="4504">
        <f t="shared" si="39"/>
        <v>469.40942424781127</v>
      </c>
      <c r="AZ60" s="4504">
        <f t="shared" si="40"/>
        <v>478.58505990182317</v>
      </c>
      <c r="BA60" s="4504">
        <f t="shared" si="41"/>
        <v>487.95289219166432</v>
      </c>
      <c r="BB60" s="4504">
        <f t="shared" si="42"/>
        <v>497.5205532592592</v>
      </c>
      <c r="BC60" s="4504">
        <f t="shared" si="43"/>
        <v>507.29613974505361</v>
      </c>
      <c r="BD60" s="4504">
        <f t="shared" si="44"/>
        <v>517.2672638670432</v>
      </c>
      <c r="BE60" s="4504">
        <f t="shared" si="45"/>
        <v>392.5638298941127</v>
      </c>
      <c r="BF60" s="4504">
        <f t="shared" si="46"/>
        <v>401.68209216896838</v>
      </c>
      <c r="BG60" s="4504">
        <f t="shared" si="47"/>
        <v>410.94064169565399</v>
      </c>
      <c r="BH60" s="4504">
        <f t="shared" si="48"/>
        <v>420.43614446995599</v>
      </c>
      <c r="BI60" s="4504">
        <f t="shared" si="49"/>
        <v>430.19094722606809</v>
      </c>
      <c r="BJ60" s="4504">
        <f t="shared" si="50"/>
        <v>440.23169554101963</v>
      </c>
      <c r="BK60" s="4504">
        <f t="shared" si="51"/>
        <v>450.52282899784689</v>
      </c>
      <c r="BL60" s="4504">
        <f t="shared" si="52"/>
        <v>0</v>
      </c>
      <c r="BM60" s="4504">
        <f t="shared" si="53"/>
        <v>0</v>
      </c>
      <c r="BN60" s="4504">
        <f t="shared" si="54"/>
        <v>0</v>
      </c>
      <c r="BO60" s="4504">
        <f t="shared" si="55"/>
        <v>0</v>
      </c>
      <c r="BP60" s="4504">
        <f t="shared" si="56"/>
        <v>0</v>
      </c>
      <c r="BQ60" s="4504">
        <f t="shared" si="57"/>
        <v>0</v>
      </c>
      <c r="BR60" s="4504">
        <f t="shared" si="58"/>
        <v>0</v>
      </c>
      <c r="BS60" s="4504">
        <f t="shared" si="59"/>
        <v>235.9915916519918</v>
      </c>
      <c r="BT60" s="4504">
        <f t="shared" si="60"/>
        <v>247.28810406390539</v>
      </c>
      <c r="BU60" s="4504">
        <f t="shared" si="61"/>
        <v>258.98342414315192</v>
      </c>
      <c r="BV60" s="4504">
        <f t="shared" si="62"/>
        <v>270.9855193511163</v>
      </c>
      <c r="BW60" s="4504">
        <f t="shared" si="63"/>
        <v>283.29438968779846</v>
      </c>
      <c r="BX60" s="4504">
        <f t="shared" si="64"/>
        <v>295.91003515319824</v>
      </c>
      <c r="BY60" s="4504">
        <f t="shared" si="65"/>
        <v>308.83245574731586</v>
      </c>
    </row>
    <row r="61" spans="1:77">
      <c r="A61" s="2547">
        <v>1</v>
      </c>
      <c r="B61" s="2547">
        <v>20101</v>
      </c>
      <c r="C61" s="2596">
        <v>0</v>
      </c>
      <c r="D61" s="2599" t="s">
        <v>556</v>
      </c>
      <c r="E61" s="4453">
        <f>+'11.3. ДА Базова година'!H41</f>
        <v>0</v>
      </c>
      <c r="F61" s="2643">
        <f t="shared" ref="F61:K62" si="88">E61+F36</f>
        <v>0</v>
      </c>
      <c r="G61" s="2641">
        <f t="shared" si="88"/>
        <v>0</v>
      </c>
      <c r="H61" s="2641">
        <f t="shared" si="88"/>
        <v>0</v>
      </c>
      <c r="I61" s="2641">
        <f t="shared" si="88"/>
        <v>0</v>
      </c>
      <c r="J61" s="2641">
        <f t="shared" si="88"/>
        <v>0</v>
      </c>
      <c r="K61" s="2642">
        <f t="shared" si="88"/>
        <v>0</v>
      </c>
      <c r="L61" s="4453">
        <f>+'11.3. ДА Базова година'!L41</f>
        <v>0</v>
      </c>
      <c r="M61" s="2643">
        <f t="shared" ref="M61:R62" si="89">L61+M36</f>
        <v>0</v>
      </c>
      <c r="N61" s="2641">
        <f t="shared" si="89"/>
        <v>0</v>
      </c>
      <c r="O61" s="2641">
        <f t="shared" si="89"/>
        <v>0</v>
      </c>
      <c r="P61" s="2641">
        <f t="shared" si="89"/>
        <v>0</v>
      </c>
      <c r="Q61" s="2641">
        <f t="shared" si="89"/>
        <v>0</v>
      </c>
      <c r="R61" s="2642">
        <f t="shared" si="89"/>
        <v>0</v>
      </c>
      <c r="S61" s="4453">
        <f>+'11.3. ДА Базова година'!P41</f>
        <v>0</v>
      </c>
      <c r="T61" s="2643">
        <f t="shared" ref="T61:Y62" si="90">S61+T36</f>
        <v>0</v>
      </c>
      <c r="U61" s="2641">
        <f t="shared" si="90"/>
        <v>0</v>
      </c>
      <c r="V61" s="2641">
        <f t="shared" si="90"/>
        <v>0</v>
      </c>
      <c r="W61" s="2641">
        <f t="shared" si="90"/>
        <v>0</v>
      </c>
      <c r="X61" s="2641">
        <f t="shared" si="90"/>
        <v>0</v>
      </c>
      <c r="Y61" s="2642">
        <f t="shared" si="90"/>
        <v>0</v>
      </c>
      <c r="Z61" s="4453">
        <f>+'11.3. ДА Базова година'!T41</f>
        <v>0</v>
      </c>
      <c r="AA61" s="2643">
        <f t="shared" ref="AA61:AF62" si="91">Z61+AA36</f>
        <v>0</v>
      </c>
      <c r="AB61" s="2641">
        <f t="shared" si="91"/>
        <v>0</v>
      </c>
      <c r="AC61" s="2641">
        <f t="shared" si="91"/>
        <v>0</v>
      </c>
      <c r="AD61" s="2641">
        <f t="shared" si="91"/>
        <v>0</v>
      </c>
      <c r="AE61" s="2641">
        <f t="shared" si="91"/>
        <v>0</v>
      </c>
      <c r="AF61" s="2642">
        <f t="shared" si="91"/>
        <v>0</v>
      </c>
      <c r="AG61" s="4453">
        <f>+'11.3. ДА Базова година'!X41</f>
        <v>0</v>
      </c>
      <c r="AH61" s="2643">
        <f t="shared" ref="AH61:AM62" si="92">AG61+AH36</f>
        <v>0</v>
      </c>
      <c r="AI61" s="2641">
        <f t="shared" si="92"/>
        <v>0</v>
      </c>
      <c r="AJ61" s="2641">
        <f t="shared" si="92"/>
        <v>0</v>
      </c>
      <c r="AK61" s="2641">
        <f t="shared" si="92"/>
        <v>0</v>
      </c>
      <c r="AL61" s="2641">
        <f t="shared" si="92"/>
        <v>0</v>
      </c>
      <c r="AM61" s="2642">
        <f t="shared" si="92"/>
        <v>0</v>
      </c>
      <c r="AN61" s="2551"/>
      <c r="AO61" s="2552"/>
      <c r="AP61" s="4488"/>
      <c r="AQ61" s="4504">
        <f t="shared" si="31"/>
        <v>0</v>
      </c>
      <c r="AR61" s="4504">
        <f t="shared" si="32"/>
        <v>0</v>
      </c>
      <c r="AS61" s="4504">
        <f t="shared" si="33"/>
        <v>0</v>
      </c>
      <c r="AT61" s="4504">
        <f t="shared" si="34"/>
        <v>0</v>
      </c>
      <c r="AU61" s="4504">
        <f t="shared" si="35"/>
        <v>0</v>
      </c>
      <c r="AV61" s="4504">
        <f t="shared" si="36"/>
        <v>0</v>
      </c>
      <c r="AW61" s="4504">
        <f t="shared" si="37"/>
        <v>0</v>
      </c>
      <c r="AX61" s="4504">
        <f t="shared" si="38"/>
        <v>0</v>
      </c>
      <c r="AY61" s="4504">
        <f t="shared" si="39"/>
        <v>0</v>
      </c>
      <c r="AZ61" s="4504">
        <f t="shared" si="40"/>
        <v>0</v>
      </c>
      <c r="BA61" s="4504">
        <f t="shared" si="41"/>
        <v>0</v>
      </c>
      <c r="BB61" s="4504">
        <f t="shared" si="42"/>
        <v>0</v>
      </c>
      <c r="BC61" s="4504">
        <f t="shared" si="43"/>
        <v>0</v>
      </c>
      <c r="BD61" s="4504">
        <f t="shared" si="44"/>
        <v>0</v>
      </c>
      <c r="BE61" s="4504">
        <f t="shared" si="45"/>
        <v>0</v>
      </c>
      <c r="BF61" s="4504">
        <f t="shared" si="46"/>
        <v>0</v>
      </c>
      <c r="BG61" s="4504">
        <f t="shared" si="47"/>
        <v>0</v>
      </c>
      <c r="BH61" s="4504">
        <f t="shared" si="48"/>
        <v>0</v>
      </c>
      <c r="BI61" s="4504">
        <f t="shared" si="49"/>
        <v>0</v>
      </c>
      <c r="BJ61" s="4504">
        <f t="shared" si="50"/>
        <v>0</v>
      </c>
      <c r="BK61" s="4504">
        <f t="shared" si="51"/>
        <v>0</v>
      </c>
      <c r="BL61" s="4504">
        <f t="shared" si="52"/>
        <v>0</v>
      </c>
      <c r="BM61" s="4504">
        <f t="shared" si="53"/>
        <v>0</v>
      </c>
      <c r="BN61" s="4504">
        <f t="shared" si="54"/>
        <v>0</v>
      </c>
      <c r="BO61" s="4504">
        <f t="shared" si="55"/>
        <v>0</v>
      </c>
      <c r="BP61" s="4504">
        <f t="shared" si="56"/>
        <v>0</v>
      </c>
      <c r="BQ61" s="4504">
        <f t="shared" si="57"/>
        <v>0</v>
      </c>
      <c r="BR61" s="4504">
        <f t="shared" si="58"/>
        <v>0</v>
      </c>
      <c r="BS61" s="4504">
        <f t="shared" si="59"/>
        <v>0</v>
      </c>
      <c r="BT61" s="4504">
        <f t="shared" si="60"/>
        <v>0</v>
      </c>
      <c r="BU61" s="4504">
        <f t="shared" si="61"/>
        <v>0</v>
      </c>
      <c r="BV61" s="4504">
        <f t="shared" si="62"/>
        <v>0</v>
      </c>
      <c r="BW61" s="4504">
        <f t="shared" si="63"/>
        <v>0</v>
      </c>
      <c r="BX61" s="4504">
        <f t="shared" si="64"/>
        <v>0</v>
      </c>
      <c r="BY61" s="4504">
        <f t="shared" si="65"/>
        <v>0</v>
      </c>
    </row>
    <row r="62" spans="1:77">
      <c r="A62" s="2553">
        <v>2</v>
      </c>
      <c r="B62" s="2553">
        <v>20201</v>
      </c>
      <c r="C62" s="2600">
        <v>0.03</v>
      </c>
      <c r="D62" s="2601" t="s">
        <v>425</v>
      </c>
      <c r="E62" s="2679">
        <f>+'11.3. ДА Базова година'!H42</f>
        <v>511.89851537772631</v>
      </c>
      <c r="F62" s="1228">
        <f t="shared" si="88"/>
        <v>524.58264927017228</v>
      </c>
      <c r="G62" s="1224">
        <f t="shared" si="88"/>
        <v>537.39736491402107</v>
      </c>
      <c r="H62" s="1224">
        <f t="shared" si="88"/>
        <v>550.32411030400101</v>
      </c>
      <c r="I62" s="1224">
        <f t="shared" si="88"/>
        <v>563.36207583729868</v>
      </c>
      <c r="J62" s="1224">
        <f t="shared" si="88"/>
        <v>576.51118489098758</v>
      </c>
      <c r="K62" s="1229">
        <f t="shared" si="88"/>
        <v>589.77120100282309</v>
      </c>
      <c r="L62" s="2679">
        <f>+'11.3. ДА Базова година'!L42</f>
        <v>209.45967651215696</v>
      </c>
      <c r="M62" s="1228">
        <f t="shared" si="89"/>
        <v>216.91025398032289</v>
      </c>
      <c r="N62" s="1224">
        <f t="shared" si="89"/>
        <v>224.36218443264369</v>
      </c>
      <c r="O62" s="1224">
        <f t="shared" si="89"/>
        <v>231.81601904895993</v>
      </c>
      <c r="P62" s="1224">
        <f t="shared" si="89"/>
        <v>239.27187951266387</v>
      </c>
      <c r="Q62" s="1224">
        <f t="shared" si="89"/>
        <v>246.72974754464934</v>
      </c>
      <c r="R62" s="1229">
        <f t="shared" si="89"/>
        <v>254.18966525569718</v>
      </c>
      <c r="S62" s="2679">
        <f>+'11.3. ДА Базова година'!P42</f>
        <v>297.10999857834486</v>
      </c>
      <c r="T62" s="1228">
        <f t="shared" si="90"/>
        <v>305.98260124757985</v>
      </c>
      <c r="U62" s="1224">
        <f t="shared" si="90"/>
        <v>314.85826918125713</v>
      </c>
      <c r="V62" s="1224">
        <f t="shared" si="90"/>
        <v>323.74000320480786</v>
      </c>
      <c r="W62" s="1224">
        <f t="shared" si="90"/>
        <v>332.62849123765318</v>
      </c>
      <c r="X62" s="1224">
        <f t="shared" si="90"/>
        <v>341.52382818182571</v>
      </c>
      <c r="Y62" s="1229">
        <f t="shared" si="90"/>
        <v>350.42620838878935</v>
      </c>
      <c r="Z62" s="2679">
        <f>+'11.3. ДА Базова година'!T42</f>
        <v>0</v>
      </c>
      <c r="AA62" s="1228">
        <f t="shared" si="91"/>
        <v>0</v>
      </c>
      <c r="AB62" s="1224">
        <f t="shared" si="91"/>
        <v>0</v>
      </c>
      <c r="AC62" s="1224">
        <f t="shared" si="91"/>
        <v>0</v>
      </c>
      <c r="AD62" s="1224">
        <f t="shared" si="91"/>
        <v>0</v>
      </c>
      <c r="AE62" s="1224">
        <f t="shared" si="91"/>
        <v>0</v>
      </c>
      <c r="AF62" s="1229">
        <f t="shared" si="91"/>
        <v>0</v>
      </c>
      <c r="AG62" s="2679">
        <f>+'11.3. ДА Базова година'!X42</f>
        <v>8.6762625608396977</v>
      </c>
      <c r="AH62" s="1228">
        <f t="shared" si="92"/>
        <v>9.1015770151360655</v>
      </c>
      <c r="AI62" s="1224">
        <f t="shared" si="92"/>
        <v>9.5268914694324334</v>
      </c>
      <c r="AJ62" s="1224">
        <f t="shared" si="92"/>
        <v>9.9522059237288012</v>
      </c>
      <c r="AK62" s="1224">
        <f t="shared" si="92"/>
        <v>10.377520378025169</v>
      </c>
      <c r="AL62" s="1224">
        <f t="shared" si="92"/>
        <v>10.802834832321537</v>
      </c>
      <c r="AM62" s="1229">
        <f t="shared" si="92"/>
        <v>11.228149286617905</v>
      </c>
      <c r="AN62" s="2551"/>
      <c r="AO62" s="2557"/>
      <c r="AP62" s="4488"/>
      <c r="AQ62" s="4504">
        <f t="shared" si="31"/>
        <v>261.72955490902905</v>
      </c>
      <c r="AR62" s="4504">
        <f t="shared" si="32"/>
        <v>268.21484958824249</v>
      </c>
      <c r="AS62" s="4504">
        <f t="shared" si="33"/>
        <v>274.76690965678051</v>
      </c>
      <c r="AT62" s="4504">
        <f t="shared" si="34"/>
        <v>281.37624962496795</v>
      </c>
      <c r="AU62" s="4504">
        <f t="shared" si="35"/>
        <v>288.04245554945913</v>
      </c>
      <c r="AV62" s="4504">
        <f t="shared" si="36"/>
        <v>294.76548825357395</v>
      </c>
      <c r="AW62" s="4504">
        <f t="shared" si="37"/>
        <v>301.5452268360865</v>
      </c>
      <c r="AX62" s="4504">
        <f t="shared" si="38"/>
        <v>107.09503203865212</v>
      </c>
      <c r="AY62" s="4504">
        <f t="shared" si="39"/>
        <v>110.90445180834884</v>
      </c>
      <c r="AZ62" s="4504">
        <f t="shared" si="40"/>
        <v>114.71456334785933</v>
      </c>
      <c r="BA62" s="4504">
        <f t="shared" si="41"/>
        <v>118.52564847096114</v>
      </c>
      <c r="BB62" s="4504">
        <f t="shared" si="42"/>
        <v>122.33776939338485</v>
      </c>
      <c r="BC62" s="4504">
        <f t="shared" si="43"/>
        <v>126.15091676917183</v>
      </c>
      <c r="BD62" s="4504">
        <f t="shared" si="44"/>
        <v>129.96511212922246</v>
      </c>
      <c r="BE62" s="4504">
        <f t="shared" si="45"/>
        <v>151.90993009532775</v>
      </c>
      <c r="BF62" s="4504">
        <f t="shared" si="46"/>
        <v>156.4464198051875</v>
      </c>
      <c r="BG62" s="4504">
        <f t="shared" si="47"/>
        <v>160.98447675987029</v>
      </c>
      <c r="BH62" s="4504">
        <f t="shared" si="48"/>
        <v>165.52563525705602</v>
      </c>
      <c r="BI62" s="4504">
        <f t="shared" si="49"/>
        <v>170.07024702435959</v>
      </c>
      <c r="BJ62" s="4504">
        <f t="shared" si="50"/>
        <v>174.61836058441978</v>
      </c>
      <c r="BK62" s="4504">
        <f t="shared" si="51"/>
        <v>179.1700753075622</v>
      </c>
      <c r="BL62" s="4504">
        <f t="shared" si="52"/>
        <v>0</v>
      </c>
      <c r="BM62" s="4504">
        <f t="shared" si="53"/>
        <v>0</v>
      </c>
      <c r="BN62" s="4504">
        <f t="shared" si="54"/>
        <v>0</v>
      </c>
      <c r="BO62" s="4504">
        <f t="shared" si="55"/>
        <v>0</v>
      </c>
      <c r="BP62" s="4504">
        <f t="shared" si="56"/>
        <v>0</v>
      </c>
      <c r="BQ62" s="4504">
        <f t="shared" si="57"/>
        <v>0</v>
      </c>
      <c r="BR62" s="4504">
        <f t="shared" si="58"/>
        <v>0</v>
      </c>
      <c r="BS62" s="4504">
        <f t="shared" si="59"/>
        <v>4.4361026064840487</v>
      </c>
      <c r="BT62" s="4504">
        <f t="shared" si="60"/>
        <v>4.6535624339211825</v>
      </c>
      <c r="BU62" s="4504">
        <f t="shared" si="61"/>
        <v>4.8710222613583154</v>
      </c>
      <c r="BV62" s="4504">
        <f t="shared" si="62"/>
        <v>5.0884820887954483</v>
      </c>
      <c r="BW62" s="4504">
        <f t="shared" si="63"/>
        <v>5.3059419162325812</v>
      </c>
      <c r="BX62" s="4504">
        <f t="shared" si="64"/>
        <v>5.523401743669714</v>
      </c>
      <c r="BY62" s="4504">
        <f t="shared" si="65"/>
        <v>5.7408615711068469</v>
      </c>
    </row>
    <row r="63" spans="1:77" ht="24">
      <c r="A63" s="2553">
        <v>3</v>
      </c>
      <c r="B63" s="2554">
        <v>203</v>
      </c>
      <c r="C63" s="2549"/>
      <c r="D63" s="2585" t="s">
        <v>405</v>
      </c>
      <c r="E63" s="4125">
        <f>SUM(E64:E67)</f>
        <v>1727.6315134371332</v>
      </c>
      <c r="F63" s="2645">
        <f t="shared" ref="F63:Y63" si="93">SUM(F64:F67)</f>
        <v>1808.3974381354626</v>
      </c>
      <c r="G63" s="2646">
        <f t="shared" si="93"/>
        <v>1893.0683801654491</v>
      </c>
      <c r="H63" s="2646">
        <f t="shared" si="93"/>
        <v>1977.8277321139296</v>
      </c>
      <c r="I63" s="2646">
        <f t="shared" si="93"/>
        <v>2062.7211554873443</v>
      </c>
      <c r="J63" s="2646">
        <f t="shared" si="93"/>
        <v>2147.7753746040835</v>
      </c>
      <c r="K63" s="2646">
        <f t="shared" si="93"/>
        <v>2233.0013869457675</v>
      </c>
      <c r="L63" s="4125">
        <f>SUM(L64:L67)</f>
        <v>506.44494619800372</v>
      </c>
      <c r="M63" s="2645">
        <f t="shared" si="93"/>
        <v>509.18295501194251</v>
      </c>
      <c r="N63" s="2646">
        <f t="shared" si="93"/>
        <v>511.96283698115673</v>
      </c>
      <c r="O63" s="2646">
        <f t="shared" si="93"/>
        <v>514.76207668783366</v>
      </c>
      <c r="P63" s="2646">
        <f t="shared" si="93"/>
        <v>517.57243214337154</v>
      </c>
      <c r="Q63" s="2646">
        <f t="shared" si="93"/>
        <v>520.38897610418428</v>
      </c>
      <c r="R63" s="2646">
        <f t="shared" si="93"/>
        <v>523.2100259785999</v>
      </c>
      <c r="S63" s="2657">
        <f>SUM(S64:S67)</f>
        <v>125.50102258269169</v>
      </c>
      <c r="T63" s="2645">
        <f t="shared" si="93"/>
        <v>127.09276651461775</v>
      </c>
      <c r="U63" s="2646">
        <f t="shared" si="93"/>
        <v>128.78761995961116</v>
      </c>
      <c r="V63" s="2646">
        <f t="shared" si="93"/>
        <v>130.57470574864794</v>
      </c>
      <c r="W63" s="2646">
        <f t="shared" si="93"/>
        <v>132.41660436388929</v>
      </c>
      <c r="X63" s="2646">
        <f t="shared" si="93"/>
        <v>134.29151873053169</v>
      </c>
      <c r="Y63" s="2647">
        <f t="shared" si="93"/>
        <v>136.19013395862675</v>
      </c>
      <c r="Z63" s="2657">
        <f>SUM(Z64:Z67)</f>
        <v>0</v>
      </c>
      <c r="AA63" s="2645">
        <f t="shared" ref="AA63:AF63" si="94">SUM(AA64:AA67)</f>
        <v>0</v>
      </c>
      <c r="AB63" s="2646">
        <f t="shared" si="94"/>
        <v>0</v>
      </c>
      <c r="AC63" s="2646">
        <f t="shared" si="94"/>
        <v>0</v>
      </c>
      <c r="AD63" s="2646">
        <f t="shared" si="94"/>
        <v>0</v>
      </c>
      <c r="AE63" s="2646">
        <f t="shared" si="94"/>
        <v>0</v>
      </c>
      <c r="AF63" s="2647">
        <f t="shared" si="94"/>
        <v>0</v>
      </c>
      <c r="AG63" s="2657">
        <f>SUM(AG64:AG67)</f>
        <v>245.6604667513287</v>
      </c>
      <c r="AH63" s="2645">
        <f t="shared" ref="AH63:AM63" si="95">SUM(AH64:AH67)</f>
        <v>265.26332886256938</v>
      </c>
      <c r="AI63" s="2646">
        <f t="shared" si="95"/>
        <v>285.41619097380999</v>
      </c>
      <c r="AJ63" s="2646">
        <f t="shared" si="95"/>
        <v>305.96905308505069</v>
      </c>
      <c r="AK63" s="2646">
        <f t="shared" si="95"/>
        <v>326.92191519629137</v>
      </c>
      <c r="AL63" s="2646">
        <f t="shared" si="95"/>
        <v>348.27477730753202</v>
      </c>
      <c r="AM63" s="2647">
        <f t="shared" si="95"/>
        <v>370.02763941877265</v>
      </c>
      <c r="AN63" s="2551"/>
      <c r="AO63" s="2587"/>
      <c r="AP63" s="4488"/>
      <c r="AQ63" s="4504">
        <f t="shared" si="31"/>
        <v>883.32396651914189</v>
      </c>
      <c r="AR63" s="4504">
        <f t="shared" si="32"/>
        <v>924.61892809470282</v>
      </c>
      <c r="AS63" s="4504">
        <f t="shared" si="33"/>
        <v>967.91049332787054</v>
      </c>
      <c r="AT63" s="4504">
        <f t="shared" si="34"/>
        <v>1011.2472618345815</v>
      </c>
      <c r="AU63" s="4504">
        <f t="shared" si="35"/>
        <v>1054.6525799723618</v>
      </c>
      <c r="AV63" s="4504">
        <f t="shared" si="36"/>
        <v>1098.1401116682348</v>
      </c>
      <c r="AW63" s="4504">
        <f t="shared" si="37"/>
        <v>1141.7154798452666</v>
      </c>
      <c r="AX63" s="4504">
        <f t="shared" si="38"/>
        <v>258.94118926389501</v>
      </c>
      <c r="AY63" s="4504">
        <f t="shared" si="39"/>
        <v>260.34111094110557</v>
      </c>
      <c r="AZ63" s="4504">
        <f t="shared" si="40"/>
        <v>261.76244202264854</v>
      </c>
      <c r="BA63" s="4504">
        <f t="shared" si="41"/>
        <v>263.19367055819458</v>
      </c>
      <c r="BB63" s="4504">
        <f t="shared" si="42"/>
        <v>264.63058248588658</v>
      </c>
      <c r="BC63" s="4504">
        <f t="shared" si="43"/>
        <v>266.07065854608237</v>
      </c>
      <c r="BD63" s="4504">
        <f t="shared" si="44"/>
        <v>267.51303844332068</v>
      </c>
      <c r="BE63" s="4504">
        <f t="shared" si="45"/>
        <v>64.167653928353531</v>
      </c>
      <c r="BF63" s="4504">
        <f t="shared" si="46"/>
        <v>64.981499677690678</v>
      </c>
      <c r="BG63" s="4504">
        <f t="shared" si="47"/>
        <v>65.848064483933243</v>
      </c>
      <c r="BH63" s="4504">
        <f t="shared" si="48"/>
        <v>66.761786938868894</v>
      </c>
      <c r="BI63" s="4504">
        <f t="shared" si="49"/>
        <v>67.703534746828353</v>
      </c>
      <c r="BJ63" s="4504">
        <f t="shared" si="50"/>
        <v>68.662163240430758</v>
      </c>
      <c r="BK63" s="4504">
        <f t="shared" si="51"/>
        <v>69.632909792071274</v>
      </c>
      <c r="BL63" s="4504">
        <f t="shared" si="52"/>
        <v>0</v>
      </c>
      <c r="BM63" s="4504">
        <f t="shared" si="53"/>
        <v>0</v>
      </c>
      <c r="BN63" s="4504">
        <f t="shared" si="54"/>
        <v>0</v>
      </c>
      <c r="BO63" s="4504">
        <f t="shared" si="55"/>
        <v>0</v>
      </c>
      <c r="BP63" s="4504">
        <f t="shared" si="56"/>
        <v>0</v>
      </c>
      <c r="BQ63" s="4504">
        <f t="shared" si="57"/>
        <v>0</v>
      </c>
      <c r="BR63" s="4504">
        <f t="shared" si="58"/>
        <v>0</v>
      </c>
      <c r="BS63" s="4504">
        <f t="shared" si="59"/>
        <v>125.60420218082794</v>
      </c>
      <c r="BT63" s="4504">
        <f t="shared" si="60"/>
        <v>135.62698642651426</v>
      </c>
      <c r="BU63" s="4504">
        <f t="shared" si="61"/>
        <v>145.93098120685846</v>
      </c>
      <c r="BV63" s="4504">
        <f t="shared" si="62"/>
        <v>156.43949273968121</v>
      </c>
      <c r="BW63" s="4504">
        <f t="shared" si="63"/>
        <v>167.15252102498243</v>
      </c>
      <c r="BX63" s="4504">
        <f t="shared" si="64"/>
        <v>178.07006606276212</v>
      </c>
      <c r="BY63" s="4504">
        <f t="shared" si="65"/>
        <v>189.19212785302028</v>
      </c>
    </row>
    <row r="64" spans="1:77">
      <c r="A64" s="2553"/>
      <c r="B64" s="2554">
        <v>20301</v>
      </c>
      <c r="C64" s="2560">
        <v>0.1</v>
      </c>
      <c r="D64" s="2588" t="s">
        <v>427</v>
      </c>
      <c r="E64" s="4453">
        <f>+'11.3. ДА Базова година'!H44</f>
        <v>309.44286151377082</v>
      </c>
      <c r="F64" s="1228">
        <f t="shared" ref="F64:K68" si="96">E64+F39</f>
        <v>325.5421775180323</v>
      </c>
      <c r="G64" s="1224">
        <f t="shared" si="96"/>
        <v>341.64149352229379</v>
      </c>
      <c r="H64" s="1224">
        <f t="shared" si="96"/>
        <v>357.74080952655527</v>
      </c>
      <c r="I64" s="1224">
        <f t="shared" si="96"/>
        <v>373.84012553081675</v>
      </c>
      <c r="J64" s="1224">
        <f t="shared" si="96"/>
        <v>389.93944153507823</v>
      </c>
      <c r="K64" s="1229">
        <f t="shared" si="96"/>
        <v>406.03875753933971</v>
      </c>
      <c r="L64" s="2679">
        <f>+'11.3. ДА Базова година'!L44</f>
        <v>19.254882665770733</v>
      </c>
      <c r="M64" s="1228">
        <f t="shared" ref="M64:R68" si="97">L64+M39</f>
        <v>19.254882665770733</v>
      </c>
      <c r="N64" s="1224">
        <f t="shared" si="97"/>
        <v>19.254882665770733</v>
      </c>
      <c r="O64" s="1224">
        <f t="shared" si="97"/>
        <v>19.254882665770733</v>
      </c>
      <c r="P64" s="1224">
        <f t="shared" si="97"/>
        <v>19.254882665770733</v>
      </c>
      <c r="Q64" s="1224">
        <f t="shared" si="97"/>
        <v>19.254882665770733</v>
      </c>
      <c r="R64" s="1229">
        <f t="shared" si="97"/>
        <v>19.254882665770733</v>
      </c>
      <c r="S64" s="2679">
        <f>+'11.3. ДА Базова година'!P44</f>
        <v>3.4661107135452061</v>
      </c>
      <c r="T64" s="1228">
        <f t="shared" ref="T64:Y68" si="98">S64+T39</f>
        <v>3.7224307135452062</v>
      </c>
      <c r="U64" s="1224">
        <f t="shared" si="98"/>
        <v>3.9787507135452063</v>
      </c>
      <c r="V64" s="1224">
        <f t="shared" si="98"/>
        <v>4.2350707135452064</v>
      </c>
      <c r="W64" s="1224">
        <f t="shared" si="98"/>
        <v>4.491390713545206</v>
      </c>
      <c r="X64" s="1224">
        <f t="shared" si="98"/>
        <v>4.7477107135452057</v>
      </c>
      <c r="Y64" s="1229">
        <f t="shared" si="98"/>
        <v>5.0040307135452053</v>
      </c>
      <c r="Z64" s="4453">
        <f>+'11.3. ДА Базова година'!T44</f>
        <v>0</v>
      </c>
      <c r="AA64" s="1228">
        <f t="shared" ref="AA64:AF68" si="99">Z64+AA39</f>
        <v>0</v>
      </c>
      <c r="AB64" s="1224">
        <f t="shared" si="99"/>
        <v>0</v>
      </c>
      <c r="AC64" s="1224">
        <f t="shared" si="99"/>
        <v>0</v>
      </c>
      <c r="AD64" s="1224">
        <f t="shared" si="99"/>
        <v>0</v>
      </c>
      <c r="AE64" s="1224">
        <f t="shared" si="99"/>
        <v>0</v>
      </c>
      <c r="AF64" s="1229">
        <f t="shared" si="99"/>
        <v>0</v>
      </c>
      <c r="AG64" s="2679">
        <f>+'11.3. ДА Базова година'!X44</f>
        <v>11.57609239726383</v>
      </c>
      <c r="AH64" s="1228">
        <f t="shared" ref="AH64:AM68" si="100">AG64+AH39</f>
        <v>11.898127893002343</v>
      </c>
      <c r="AI64" s="1224">
        <f t="shared" si="100"/>
        <v>12.220163388740856</v>
      </c>
      <c r="AJ64" s="1224">
        <f t="shared" si="100"/>
        <v>12.542198884479369</v>
      </c>
      <c r="AK64" s="1224">
        <f t="shared" si="100"/>
        <v>12.864234380217882</v>
      </c>
      <c r="AL64" s="1224">
        <f t="shared" si="100"/>
        <v>13.186269875956395</v>
      </c>
      <c r="AM64" s="1229">
        <f t="shared" si="100"/>
        <v>13.508305371694908</v>
      </c>
      <c r="AN64" s="2551"/>
      <c r="AO64" s="2587"/>
      <c r="AP64" s="4488"/>
      <c r="AQ64" s="4504">
        <f t="shared" si="31"/>
        <v>158.2156227861168</v>
      </c>
      <c r="AR64" s="4504">
        <f t="shared" si="32"/>
        <v>166.44707235190805</v>
      </c>
      <c r="AS64" s="4504">
        <f t="shared" si="33"/>
        <v>174.67852191769927</v>
      </c>
      <c r="AT64" s="4504">
        <f t="shared" si="34"/>
        <v>182.90997148349052</v>
      </c>
      <c r="AU64" s="4504">
        <f t="shared" si="35"/>
        <v>191.14142104928177</v>
      </c>
      <c r="AV64" s="4504">
        <f t="shared" si="36"/>
        <v>199.372870615073</v>
      </c>
      <c r="AW64" s="4504">
        <f t="shared" si="37"/>
        <v>207.60432018086425</v>
      </c>
      <c r="AX64" s="4504">
        <f t="shared" si="38"/>
        <v>9.8448651803943772</v>
      </c>
      <c r="AY64" s="4504">
        <f t="shared" si="39"/>
        <v>9.8448651803943772</v>
      </c>
      <c r="AZ64" s="4504">
        <f t="shared" si="40"/>
        <v>9.8448651803943772</v>
      </c>
      <c r="BA64" s="4504">
        <f t="shared" si="41"/>
        <v>9.8448651803943772</v>
      </c>
      <c r="BB64" s="4504">
        <f t="shared" si="42"/>
        <v>9.8448651803943772</v>
      </c>
      <c r="BC64" s="4504">
        <f t="shared" si="43"/>
        <v>9.8448651803943772</v>
      </c>
      <c r="BD64" s="4504">
        <f t="shared" si="44"/>
        <v>9.8448651803943772</v>
      </c>
      <c r="BE64" s="4504">
        <f t="shared" si="45"/>
        <v>1.7721942671628956</v>
      </c>
      <c r="BF64" s="4504">
        <f t="shared" si="46"/>
        <v>1.9032486021511104</v>
      </c>
      <c r="BG64" s="4504">
        <f t="shared" si="47"/>
        <v>2.0343029371393251</v>
      </c>
      <c r="BH64" s="4504">
        <f t="shared" si="48"/>
        <v>2.1653572721275398</v>
      </c>
      <c r="BI64" s="4504">
        <f t="shared" si="49"/>
        <v>2.2964116071157545</v>
      </c>
      <c r="BJ64" s="4504">
        <f t="shared" si="50"/>
        <v>2.4274659421039693</v>
      </c>
      <c r="BK64" s="4504">
        <f t="shared" si="51"/>
        <v>2.5585202770921835</v>
      </c>
      <c r="BL64" s="4504">
        <f t="shared" si="52"/>
        <v>0</v>
      </c>
      <c r="BM64" s="4504">
        <f t="shared" si="53"/>
        <v>0</v>
      </c>
      <c r="BN64" s="4504">
        <f t="shared" si="54"/>
        <v>0</v>
      </c>
      <c r="BO64" s="4504">
        <f t="shared" si="55"/>
        <v>0</v>
      </c>
      <c r="BP64" s="4504">
        <f t="shared" si="56"/>
        <v>0</v>
      </c>
      <c r="BQ64" s="4504">
        <f t="shared" si="57"/>
        <v>0</v>
      </c>
      <c r="BR64" s="4504">
        <f t="shared" si="58"/>
        <v>0</v>
      </c>
      <c r="BS64" s="4504">
        <f t="shared" si="59"/>
        <v>5.9187620586982659</v>
      </c>
      <c r="BT64" s="4504">
        <f t="shared" si="60"/>
        <v>6.0834161931263671</v>
      </c>
      <c r="BU64" s="4504">
        <f t="shared" si="61"/>
        <v>6.2480703275544682</v>
      </c>
      <c r="BV64" s="4504">
        <f t="shared" si="62"/>
        <v>6.4127244619825694</v>
      </c>
      <c r="BW64" s="4504">
        <f t="shared" si="63"/>
        <v>6.5773785964106706</v>
      </c>
      <c r="BX64" s="4504">
        <f t="shared" si="64"/>
        <v>6.7420327308387717</v>
      </c>
      <c r="BY64" s="4504">
        <f t="shared" si="65"/>
        <v>6.9066868652668729</v>
      </c>
    </row>
    <row r="65" spans="1:77">
      <c r="A65" s="2553"/>
      <c r="B65" s="2554">
        <v>20302</v>
      </c>
      <c r="C65" s="2560">
        <v>0.1</v>
      </c>
      <c r="D65" s="2588" t="s">
        <v>428</v>
      </c>
      <c r="E65" s="4453">
        <f>+'11.3. ДА Базова година'!H45</f>
        <v>94.92464602363637</v>
      </c>
      <c r="F65" s="1228">
        <f t="shared" si="96"/>
        <v>97.20907947147694</v>
      </c>
      <c r="G65" s="1224">
        <f t="shared" si="96"/>
        <v>99.49351291931751</v>
      </c>
      <c r="H65" s="1224">
        <f t="shared" si="96"/>
        <v>101.77794636715808</v>
      </c>
      <c r="I65" s="1224">
        <f t="shared" si="96"/>
        <v>104.06237981499865</v>
      </c>
      <c r="J65" s="1224">
        <f t="shared" si="96"/>
        <v>106.34681326283922</v>
      </c>
      <c r="K65" s="1229">
        <f t="shared" si="96"/>
        <v>108.63124671067979</v>
      </c>
      <c r="L65" s="2679">
        <f>+'11.3. ДА Базова година'!L45</f>
        <v>35.994903317326191</v>
      </c>
      <c r="M65" s="1228">
        <f t="shared" si="97"/>
        <v>36.914570114376836</v>
      </c>
      <c r="N65" s="1224">
        <f t="shared" si="97"/>
        <v>37.834236911427482</v>
      </c>
      <c r="O65" s="1224">
        <f t="shared" si="97"/>
        <v>38.753903708478127</v>
      </c>
      <c r="P65" s="1224">
        <f t="shared" si="97"/>
        <v>39.673570505528772</v>
      </c>
      <c r="Q65" s="1224">
        <f t="shared" si="97"/>
        <v>40.593237302579418</v>
      </c>
      <c r="R65" s="1229">
        <f t="shared" si="97"/>
        <v>41.512904099630063</v>
      </c>
      <c r="S65" s="2679">
        <f>+'11.3. ДА Базова година'!P45</f>
        <v>71.689752030097338</v>
      </c>
      <c r="T65" s="1228">
        <f t="shared" si="98"/>
        <v>72.451422657552072</v>
      </c>
      <c r="U65" s="1224">
        <f t="shared" si="98"/>
        <v>73.213093285006806</v>
      </c>
      <c r="V65" s="1224">
        <f t="shared" si="98"/>
        <v>73.97476391246154</v>
      </c>
      <c r="W65" s="1224">
        <f t="shared" si="98"/>
        <v>74.736434539916274</v>
      </c>
      <c r="X65" s="1224">
        <f t="shared" si="98"/>
        <v>75.498105167371008</v>
      </c>
      <c r="Y65" s="1229">
        <f t="shared" si="98"/>
        <v>76.259775794825742</v>
      </c>
      <c r="Z65" s="4453">
        <f>+'11.3. ДА Базова година'!T45</f>
        <v>0</v>
      </c>
      <c r="AA65" s="1228">
        <f t="shared" si="99"/>
        <v>0</v>
      </c>
      <c r="AB65" s="1224">
        <f t="shared" si="99"/>
        <v>0</v>
      </c>
      <c r="AC65" s="1224">
        <f t="shared" si="99"/>
        <v>0</v>
      </c>
      <c r="AD65" s="1224">
        <f t="shared" si="99"/>
        <v>0</v>
      </c>
      <c r="AE65" s="1224">
        <f t="shared" si="99"/>
        <v>0</v>
      </c>
      <c r="AF65" s="1229">
        <f t="shared" si="99"/>
        <v>0</v>
      </c>
      <c r="AG65" s="2679">
        <f>+'11.3. ДА Базова година'!X45</f>
        <v>11.934670307746888</v>
      </c>
      <c r="AH65" s="1228">
        <f t="shared" si="100"/>
        <v>12.44660877799998</v>
      </c>
      <c r="AI65" s="1224">
        <f t="shared" si="100"/>
        <v>12.958547248253073</v>
      </c>
      <c r="AJ65" s="1224">
        <f t="shared" si="100"/>
        <v>13.470485718506165</v>
      </c>
      <c r="AK65" s="1224">
        <f t="shared" si="100"/>
        <v>13.982424188759257</v>
      </c>
      <c r="AL65" s="1224">
        <f t="shared" si="100"/>
        <v>14.494362659012349</v>
      </c>
      <c r="AM65" s="1229">
        <f t="shared" si="100"/>
        <v>15.006301129265442</v>
      </c>
      <c r="AN65" s="2551"/>
      <c r="AO65" s="2587"/>
      <c r="AP65" s="4488"/>
      <c r="AQ65" s="4504">
        <f t="shared" si="31"/>
        <v>48.534200837310181</v>
      </c>
      <c r="AR65" s="4504">
        <f t="shared" si="32"/>
        <v>49.702213112324152</v>
      </c>
      <c r="AS65" s="4504">
        <f t="shared" si="33"/>
        <v>50.870225387338117</v>
      </c>
      <c r="AT65" s="4504">
        <f t="shared" si="34"/>
        <v>52.038237662352088</v>
      </c>
      <c r="AU65" s="4504">
        <f t="shared" si="35"/>
        <v>53.206249937366053</v>
      </c>
      <c r="AV65" s="4504">
        <f t="shared" si="36"/>
        <v>54.374262212380025</v>
      </c>
      <c r="AW65" s="4504">
        <f t="shared" si="37"/>
        <v>55.542274487393989</v>
      </c>
      <c r="AX65" s="4504">
        <f t="shared" si="38"/>
        <v>18.403901830591714</v>
      </c>
      <c r="AY65" s="4504">
        <f t="shared" si="39"/>
        <v>18.874119997329441</v>
      </c>
      <c r="AZ65" s="4504">
        <f t="shared" si="40"/>
        <v>19.344338164067164</v>
      </c>
      <c r="BA65" s="4504">
        <f t="shared" si="41"/>
        <v>19.814556330804891</v>
      </c>
      <c r="BB65" s="4504">
        <f t="shared" si="42"/>
        <v>20.284774497542614</v>
      </c>
      <c r="BC65" s="4504">
        <f t="shared" si="43"/>
        <v>20.754992664280341</v>
      </c>
      <c r="BD65" s="4504">
        <f t="shared" si="44"/>
        <v>21.225210831018067</v>
      </c>
      <c r="BE65" s="4504">
        <f t="shared" si="45"/>
        <v>36.654388177958893</v>
      </c>
      <c r="BF65" s="4504">
        <f t="shared" si="46"/>
        <v>37.043824185922126</v>
      </c>
      <c r="BG65" s="4504">
        <f t="shared" si="47"/>
        <v>37.43326019388536</v>
      </c>
      <c r="BH65" s="4504">
        <f t="shared" si="48"/>
        <v>37.822696201848601</v>
      </c>
      <c r="BI65" s="4504">
        <f t="shared" si="49"/>
        <v>38.212132209811834</v>
      </c>
      <c r="BJ65" s="4504">
        <f t="shared" si="50"/>
        <v>38.601568217775068</v>
      </c>
      <c r="BK65" s="4504">
        <f t="shared" si="51"/>
        <v>38.991004225738301</v>
      </c>
      <c r="BL65" s="4504">
        <f t="shared" si="52"/>
        <v>0</v>
      </c>
      <c r="BM65" s="4504">
        <f t="shared" si="53"/>
        <v>0</v>
      </c>
      <c r="BN65" s="4504">
        <f t="shared" si="54"/>
        <v>0</v>
      </c>
      <c r="BO65" s="4504">
        <f t="shared" si="55"/>
        <v>0</v>
      </c>
      <c r="BP65" s="4504">
        <f t="shared" si="56"/>
        <v>0</v>
      </c>
      <c r="BQ65" s="4504">
        <f t="shared" si="57"/>
        <v>0</v>
      </c>
      <c r="BR65" s="4504">
        <f t="shared" si="58"/>
        <v>0</v>
      </c>
      <c r="BS65" s="4504">
        <f t="shared" si="59"/>
        <v>6.1021000331045583</v>
      </c>
      <c r="BT65" s="4504">
        <f t="shared" si="60"/>
        <v>6.3638500166169765</v>
      </c>
      <c r="BU65" s="4504">
        <f t="shared" si="61"/>
        <v>6.6256000001293938</v>
      </c>
      <c r="BV65" s="4504">
        <f t="shared" si="62"/>
        <v>6.8873499836418119</v>
      </c>
      <c r="BW65" s="4504">
        <f t="shared" si="63"/>
        <v>7.1490999671542301</v>
      </c>
      <c r="BX65" s="4504">
        <f t="shared" si="64"/>
        <v>7.4108499506666474</v>
      </c>
      <c r="BY65" s="4504">
        <f t="shared" si="65"/>
        <v>7.6725999341790656</v>
      </c>
    </row>
    <row r="66" spans="1:77">
      <c r="A66" s="2553"/>
      <c r="B66" s="2554">
        <v>20303</v>
      </c>
      <c r="C66" s="2549">
        <v>0.1</v>
      </c>
      <c r="D66" s="2588" t="s">
        <v>406</v>
      </c>
      <c r="E66" s="4453">
        <f>+'11.3. ДА Базова година'!H46</f>
        <v>1285.3333516312987</v>
      </c>
      <c r="F66" s="1228">
        <f t="shared" si="96"/>
        <v>1343.8265176240488</v>
      </c>
      <c r="G66" s="1224">
        <f t="shared" si="96"/>
        <v>1402.7121520496125</v>
      </c>
      <c r="H66" s="1224">
        <f t="shared" si="96"/>
        <v>1461.7919895878251</v>
      </c>
      <c r="I66" s="1224">
        <f t="shared" si="96"/>
        <v>1521.0684022649955</v>
      </c>
      <c r="J66" s="1224">
        <f t="shared" si="96"/>
        <v>1580.5427783574034</v>
      </c>
      <c r="K66" s="1229">
        <f t="shared" si="96"/>
        <v>1640.2156891627956</v>
      </c>
      <c r="L66" s="2679">
        <f>+'11.3. ДА Базова година'!L46</f>
        <v>451.01994861595875</v>
      </c>
      <c r="M66" s="1228">
        <f t="shared" si="97"/>
        <v>452.79047320936536</v>
      </c>
      <c r="N66" s="1224">
        <f t="shared" si="97"/>
        <v>454.56317303161745</v>
      </c>
      <c r="O66" s="1224">
        <f t="shared" si="97"/>
        <v>456.33687845062082</v>
      </c>
      <c r="P66" s="1224">
        <f t="shared" si="97"/>
        <v>458.11116131112345</v>
      </c>
      <c r="Q66" s="1224">
        <f t="shared" si="97"/>
        <v>459.88576565241959</v>
      </c>
      <c r="R66" s="1229">
        <f t="shared" si="97"/>
        <v>461.66060406714968</v>
      </c>
      <c r="S66" s="2679">
        <f>+'11.3. ДА Базова година'!P46</f>
        <v>46.644242263929442</v>
      </c>
      <c r="T66" s="1228">
        <f t="shared" si="98"/>
        <v>46.867427676017357</v>
      </c>
      <c r="U66" s="1224">
        <f t="shared" si="98"/>
        <v>47.09596942644643</v>
      </c>
      <c r="V66" s="1224">
        <f t="shared" si="98"/>
        <v>47.329302467475159</v>
      </c>
      <c r="W66" s="1224">
        <f t="shared" si="98"/>
        <v>47.565482928046983</v>
      </c>
      <c r="X66" s="1224">
        <f t="shared" si="98"/>
        <v>47.80337849258769</v>
      </c>
      <c r="Y66" s="1229">
        <f t="shared" si="98"/>
        <v>48.042505270710357</v>
      </c>
      <c r="Z66" s="4453">
        <f>+'11.3. ДА Базова година'!T46</f>
        <v>0</v>
      </c>
      <c r="AA66" s="1228">
        <f t="shared" si="99"/>
        <v>0</v>
      </c>
      <c r="AB66" s="1224">
        <f t="shared" si="99"/>
        <v>0</v>
      </c>
      <c r="AC66" s="1224">
        <f t="shared" si="99"/>
        <v>0</v>
      </c>
      <c r="AD66" s="1224">
        <f t="shared" si="99"/>
        <v>0</v>
      </c>
      <c r="AE66" s="1224">
        <f t="shared" si="99"/>
        <v>0</v>
      </c>
      <c r="AF66" s="1229">
        <f t="shared" si="99"/>
        <v>0</v>
      </c>
      <c r="AG66" s="2679">
        <f>+'11.3. ДА Базова година'!X46</f>
        <v>220.72772748881306</v>
      </c>
      <c r="AH66" s="1228">
        <f t="shared" si="100"/>
        <v>239.2847669905683</v>
      </c>
      <c r="AI66" s="1224">
        <f t="shared" si="100"/>
        <v>258.29180649232353</v>
      </c>
      <c r="AJ66" s="1224">
        <f t="shared" si="100"/>
        <v>277.69884599407879</v>
      </c>
      <c r="AK66" s="1224">
        <f t="shared" si="100"/>
        <v>297.50588549583404</v>
      </c>
      <c r="AL66" s="1224">
        <f t="shared" si="100"/>
        <v>317.71292499758925</v>
      </c>
      <c r="AM66" s="1229">
        <f t="shared" si="100"/>
        <v>338.31996449934451</v>
      </c>
      <c r="AN66" s="2551"/>
      <c r="AO66" s="2587"/>
      <c r="AP66" s="4488"/>
      <c r="AQ66" s="4504">
        <f t="shared" si="31"/>
        <v>657.18050731980725</v>
      </c>
      <c r="AR66" s="4504">
        <f t="shared" si="32"/>
        <v>687.08758819736317</v>
      </c>
      <c r="AS66" s="4504">
        <f t="shared" si="33"/>
        <v>717.19533499824252</v>
      </c>
      <c r="AT66" s="4504">
        <f t="shared" si="34"/>
        <v>747.40237627392219</v>
      </c>
      <c r="AU66" s="4504">
        <f t="shared" si="35"/>
        <v>777.70992482219594</v>
      </c>
      <c r="AV66" s="4504">
        <f t="shared" si="36"/>
        <v>808.11869045745459</v>
      </c>
      <c r="AW66" s="4504">
        <f t="shared" si="37"/>
        <v>838.62896527959776</v>
      </c>
      <c r="AX66" s="4504">
        <f t="shared" si="38"/>
        <v>230.60283798487535</v>
      </c>
      <c r="AY66" s="4504">
        <f t="shared" si="39"/>
        <v>231.50809283494237</v>
      </c>
      <c r="AZ66" s="4504">
        <f t="shared" si="40"/>
        <v>232.41445986185786</v>
      </c>
      <c r="BA66" s="4504">
        <f t="shared" si="41"/>
        <v>233.32134104222803</v>
      </c>
      <c r="BB66" s="4504">
        <f t="shared" si="42"/>
        <v>234.22851746374863</v>
      </c>
      <c r="BC66" s="4504">
        <f t="shared" si="43"/>
        <v>235.13585825578889</v>
      </c>
      <c r="BD66" s="4504">
        <f t="shared" si="44"/>
        <v>236.04331872767557</v>
      </c>
      <c r="BE66" s="4504">
        <f t="shared" si="45"/>
        <v>23.848822374096645</v>
      </c>
      <c r="BF66" s="4504">
        <f t="shared" si="46"/>
        <v>23.962935263298629</v>
      </c>
      <c r="BG66" s="4504">
        <f t="shared" si="47"/>
        <v>24.079786804807387</v>
      </c>
      <c r="BH66" s="4504">
        <f t="shared" si="48"/>
        <v>24.199088094300201</v>
      </c>
      <c r="BI66" s="4504">
        <f t="shared" si="49"/>
        <v>24.319845246287755</v>
      </c>
      <c r="BJ66" s="4504">
        <f t="shared" si="50"/>
        <v>24.44147931701001</v>
      </c>
      <c r="BK66" s="4504">
        <f t="shared" si="51"/>
        <v>24.56374289724074</v>
      </c>
      <c r="BL66" s="4504">
        <f t="shared" si="52"/>
        <v>0</v>
      </c>
      <c r="BM66" s="4504">
        <f t="shared" si="53"/>
        <v>0</v>
      </c>
      <c r="BN66" s="4504">
        <f t="shared" si="54"/>
        <v>0</v>
      </c>
      <c r="BO66" s="4504">
        <f t="shared" si="55"/>
        <v>0</v>
      </c>
      <c r="BP66" s="4504">
        <f t="shared" si="56"/>
        <v>0</v>
      </c>
      <c r="BQ66" s="4504">
        <f t="shared" si="57"/>
        <v>0</v>
      </c>
      <c r="BR66" s="4504">
        <f t="shared" si="58"/>
        <v>0</v>
      </c>
      <c r="BS66" s="4504">
        <f t="shared" si="59"/>
        <v>112.8562950199215</v>
      </c>
      <c r="BT66" s="4504">
        <f t="shared" si="60"/>
        <v>122.34435865620647</v>
      </c>
      <c r="BU66" s="4504">
        <f t="shared" si="61"/>
        <v>132.06250363902973</v>
      </c>
      <c r="BV66" s="4504">
        <f t="shared" si="62"/>
        <v>141.9851653743315</v>
      </c>
      <c r="BW66" s="4504">
        <f t="shared" si="63"/>
        <v>152.11234386211177</v>
      </c>
      <c r="BX66" s="4504">
        <f t="shared" si="64"/>
        <v>162.44403910237048</v>
      </c>
      <c r="BY66" s="4504">
        <f t="shared" si="65"/>
        <v>172.98025109510772</v>
      </c>
    </row>
    <row r="67" spans="1:77">
      <c r="A67" s="2553"/>
      <c r="B67" s="2554">
        <v>20306</v>
      </c>
      <c r="C67" s="2549">
        <v>0.1</v>
      </c>
      <c r="D67" s="2588" t="s">
        <v>409</v>
      </c>
      <c r="E67" s="4453">
        <f>+'11.3. ДА Базова година'!H47</f>
        <v>37.930654268427396</v>
      </c>
      <c r="F67" s="1228">
        <f t="shared" si="96"/>
        <v>41.819663521904424</v>
      </c>
      <c r="G67" s="1224">
        <f t="shared" si="96"/>
        <v>49.221221674225312</v>
      </c>
      <c r="H67" s="1224">
        <f t="shared" si="96"/>
        <v>56.516986632391024</v>
      </c>
      <c r="I67" s="1224">
        <f t="shared" si="96"/>
        <v>63.750247876533599</v>
      </c>
      <c r="J67" s="1224">
        <f t="shared" si="96"/>
        <v>70.946341448762695</v>
      </c>
      <c r="K67" s="1229">
        <f t="shared" si="96"/>
        <v>78.115693532952093</v>
      </c>
      <c r="L67" s="2679">
        <f>+'11.3. ДА Базова година'!L47</f>
        <v>0.17521159894800881</v>
      </c>
      <c r="M67" s="1228">
        <f t="shared" si="97"/>
        <v>0.22302902242953807</v>
      </c>
      <c r="N67" s="1224">
        <f t="shared" si="97"/>
        <v>0.31054437234102872</v>
      </c>
      <c r="O67" s="1224">
        <f t="shared" si="97"/>
        <v>0.41641186296397209</v>
      </c>
      <c r="P67" s="1224">
        <f t="shared" si="97"/>
        <v>0.53281766094856342</v>
      </c>
      <c r="Q67" s="1224">
        <f t="shared" si="97"/>
        <v>0.65509048341446641</v>
      </c>
      <c r="R67" s="1229">
        <f t="shared" si="97"/>
        <v>0.78163514604940576</v>
      </c>
      <c r="S67" s="2679">
        <f>+'11.3. ДА Базова година'!P47</f>
        <v>3.7009175751196999</v>
      </c>
      <c r="T67" s="1228">
        <f t="shared" si="98"/>
        <v>4.051485467503114</v>
      </c>
      <c r="U67" s="1224">
        <f t="shared" si="98"/>
        <v>4.4998065346127056</v>
      </c>
      <c r="V67" s="1224">
        <f t="shared" si="98"/>
        <v>5.0355686551660233</v>
      </c>
      <c r="W67" s="1224">
        <f t="shared" si="98"/>
        <v>5.6232961823808276</v>
      </c>
      <c r="X67" s="1224">
        <f t="shared" si="98"/>
        <v>6.2423243570277931</v>
      </c>
      <c r="Y67" s="1229">
        <f t="shared" si="98"/>
        <v>6.8838221795454277</v>
      </c>
      <c r="Z67" s="4453">
        <f>+'11.3. ДА Базова година'!T47</f>
        <v>0</v>
      </c>
      <c r="AA67" s="1228">
        <f t="shared" si="99"/>
        <v>0</v>
      </c>
      <c r="AB67" s="1224">
        <f t="shared" si="99"/>
        <v>0</v>
      </c>
      <c r="AC67" s="1224">
        <f t="shared" si="99"/>
        <v>0</v>
      </c>
      <c r="AD67" s="1224">
        <f t="shared" si="99"/>
        <v>0</v>
      </c>
      <c r="AE67" s="1224">
        <f t="shared" si="99"/>
        <v>0</v>
      </c>
      <c r="AF67" s="1229">
        <f t="shared" si="99"/>
        <v>0</v>
      </c>
      <c r="AG67" s="2679">
        <f>+'11.3. ДА Базова година'!X47</f>
        <v>1.4219765575049002</v>
      </c>
      <c r="AH67" s="1228">
        <f t="shared" si="100"/>
        <v>1.6338252009987231</v>
      </c>
      <c r="AI67" s="1224">
        <f t="shared" si="100"/>
        <v>1.9456738444925459</v>
      </c>
      <c r="AJ67" s="1224">
        <f t="shared" si="100"/>
        <v>2.2575224879863689</v>
      </c>
      <c r="AK67" s="1224">
        <f t="shared" si="100"/>
        <v>2.5693711314801919</v>
      </c>
      <c r="AL67" s="1224">
        <f t="shared" si="100"/>
        <v>2.8812197749740149</v>
      </c>
      <c r="AM67" s="1229">
        <f t="shared" si="100"/>
        <v>3.193068418467838</v>
      </c>
      <c r="AN67" s="2551"/>
      <c r="AO67" s="2589"/>
      <c r="AP67" s="4488"/>
      <c r="AQ67" s="4504">
        <f t="shared" si="31"/>
        <v>19.39363557590762</v>
      </c>
      <c r="AR67" s="4504">
        <f t="shared" si="32"/>
        <v>21.382054433107388</v>
      </c>
      <c r="AS67" s="4504">
        <f t="shared" si="33"/>
        <v>25.166411024590744</v>
      </c>
      <c r="AT67" s="4504">
        <f t="shared" si="34"/>
        <v>28.896676414816742</v>
      </c>
      <c r="AU67" s="4504">
        <f t="shared" si="35"/>
        <v>32.594984163518099</v>
      </c>
      <c r="AV67" s="4504">
        <f t="shared" si="36"/>
        <v>36.274288383327125</v>
      </c>
      <c r="AW67" s="4504">
        <f t="shared" si="37"/>
        <v>39.939919897410356</v>
      </c>
      <c r="AX67" s="4504">
        <f t="shared" si="38"/>
        <v>8.9584268033524803E-2</v>
      </c>
      <c r="AY67" s="4504">
        <f t="shared" si="39"/>
        <v>0.11403292843935213</v>
      </c>
      <c r="AZ67" s="4504">
        <f t="shared" si="40"/>
        <v>0.15877881632914351</v>
      </c>
      <c r="BA67" s="4504">
        <f t="shared" si="41"/>
        <v>0.21290800476727123</v>
      </c>
      <c r="BB67" s="4504">
        <f t="shared" si="42"/>
        <v>0.27242534420095993</v>
      </c>
      <c r="BC67" s="4504">
        <f t="shared" si="43"/>
        <v>0.33494244561872272</v>
      </c>
      <c r="BD67" s="4504">
        <f t="shared" si="44"/>
        <v>0.39964370423268164</v>
      </c>
      <c r="BE67" s="4504">
        <f t="shared" si="45"/>
        <v>1.8922491091350986</v>
      </c>
      <c r="BF67" s="4504">
        <f t="shared" si="46"/>
        <v>2.0714916263188079</v>
      </c>
      <c r="BG67" s="4504">
        <f t="shared" si="47"/>
        <v>2.3007145481011673</v>
      </c>
      <c r="BH67" s="4504">
        <f t="shared" si="48"/>
        <v>2.5746453705925481</v>
      </c>
      <c r="BI67" s="4504">
        <f t="shared" si="49"/>
        <v>2.8751456836130069</v>
      </c>
      <c r="BJ67" s="4504">
        <f t="shared" si="50"/>
        <v>3.1916497635417156</v>
      </c>
      <c r="BK67" s="4504">
        <f t="shared" si="51"/>
        <v>3.5196423920000348</v>
      </c>
      <c r="BL67" s="4504">
        <f t="shared" si="52"/>
        <v>0</v>
      </c>
      <c r="BM67" s="4504">
        <f t="shared" si="53"/>
        <v>0</v>
      </c>
      <c r="BN67" s="4504">
        <f t="shared" si="54"/>
        <v>0</v>
      </c>
      <c r="BO67" s="4504">
        <f t="shared" si="55"/>
        <v>0</v>
      </c>
      <c r="BP67" s="4504">
        <f t="shared" si="56"/>
        <v>0</v>
      </c>
      <c r="BQ67" s="4504">
        <f t="shared" si="57"/>
        <v>0</v>
      </c>
      <c r="BR67" s="4504">
        <f t="shared" si="58"/>
        <v>0</v>
      </c>
      <c r="BS67" s="4504">
        <f t="shared" si="59"/>
        <v>0.72704506910360311</v>
      </c>
      <c r="BT67" s="4504">
        <f t="shared" si="60"/>
        <v>0.8353615605644269</v>
      </c>
      <c r="BU67" s="4504">
        <f t="shared" si="61"/>
        <v>0.99480724014487243</v>
      </c>
      <c r="BV67" s="4504">
        <f t="shared" si="62"/>
        <v>1.1542529197253182</v>
      </c>
      <c r="BW67" s="4504">
        <f t="shared" si="63"/>
        <v>1.3136985993057637</v>
      </c>
      <c r="BX67" s="4504">
        <f t="shared" si="64"/>
        <v>1.4731442788862095</v>
      </c>
      <c r="BY67" s="4504">
        <f t="shared" si="65"/>
        <v>1.632589958466655</v>
      </c>
    </row>
    <row r="68" spans="1:77">
      <c r="A68" s="2553">
        <v>4</v>
      </c>
      <c r="B68" s="2554">
        <v>20403</v>
      </c>
      <c r="C68" s="2560">
        <v>0.04</v>
      </c>
      <c r="D68" s="2590" t="s">
        <v>434</v>
      </c>
      <c r="E68" s="4453">
        <f>+'11.3. ДА Базова година'!H48</f>
        <v>23.823729622772436</v>
      </c>
      <c r="F68" s="1228">
        <f t="shared" si="96"/>
        <v>24.817632741154583</v>
      </c>
      <c r="G68" s="1224">
        <f t="shared" si="96"/>
        <v>25.811535859536729</v>
      </c>
      <c r="H68" s="1224">
        <f t="shared" si="96"/>
        <v>26.805438977918875</v>
      </c>
      <c r="I68" s="1224">
        <f t="shared" si="96"/>
        <v>27.799342096301022</v>
      </c>
      <c r="J68" s="1224">
        <f t="shared" si="96"/>
        <v>28.793245214683168</v>
      </c>
      <c r="K68" s="1229">
        <f t="shared" si="96"/>
        <v>29.787148333065314</v>
      </c>
      <c r="L68" s="2679">
        <f>+'11.3. ДА Базова година'!L48</f>
        <v>6.0137040688264145</v>
      </c>
      <c r="M68" s="1228">
        <f t="shared" si="97"/>
        <v>6.1980422444123819</v>
      </c>
      <c r="N68" s="1224">
        <f t="shared" si="97"/>
        <v>6.3823804199983494</v>
      </c>
      <c r="O68" s="1224">
        <f t="shared" si="97"/>
        <v>6.5667185955843168</v>
      </c>
      <c r="P68" s="1224">
        <f t="shared" si="97"/>
        <v>6.7510567711702842</v>
      </c>
      <c r="Q68" s="1224">
        <f t="shared" si="97"/>
        <v>6.9353949467562517</v>
      </c>
      <c r="R68" s="1229">
        <f t="shared" si="97"/>
        <v>7.1197331223422191</v>
      </c>
      <c r="S68" s="2679">
        <f>+'11.3. ДА Базова година'!P48</f>
        <v>9.1676054280623731</v>
      </c>
      <c r="T68" s="1228">
        <f t="shared" si="98"/>
        <v>9.3925316480289194</v>
      </c>
      <c r="U68" s="1224">
        <f t="shared" si="98"/>
        <v>9.6174578679954656</v>
      </c>
      <c r="V68" s="1224">
        <f t="shared" si="98"/>
        <v>9.8423840879620119</v>
      </c>
      <c r="W68" s="1224">
        <f t="shared" si="98"/>
        <v>10.067310307928558</v>
      </c>
      <c r="X68" s="1224">
        <f t="shared" si="98"/>
        <v>10.292236527895104</v>
      </c>
      <c r="Y68" s="1229">
        <f t="shared" si="98"/>
        <v>10.517162747861651</v>
      </c>
      <c r="Z68" s="4453">
        <f>+'11.3. ДА Базова година'!T48</f>
        <v>0</v>
      </c>
      <c r="AA68" s="1228">
        <f t="shared" si="99"/>
        <v>0</v>
      </c>
      <c r="AB68" s="1224">
        <f t="shared" si="99"/>
        <v>0</v>
      </c>
      <c r="AC68" s="1224">
        <f t="shared" si="99"/>
        <v>0</v>
      </c>
      <c r="AD68" s="1224">
        <f t="shared" si="99"/>
        <v>0</v>
      </c>
      <c r="AE68" s="1224">
        <f t="shared" si="99"/>
        <v>0</v>
      </c>
      <c r="AF68" s="1229">
        <f t="shared" si="99"/>
        <v>0</v>
      </c>
      <c r="AG68" s="2679">
        <f>+'11.3. ДА Базова година'!X48</f>
        <v>0.25831934842199777</v>
      </c>
      <c r="AH68" s="1228">
        <f t="shared" si="100"/>
        <v>0.26885698685034642</v>
      </c>
      <c r="AI68" s="1224">
        <f t="shared" si="100"/>
        <v>0.27939462527869507</v>
      </c>
      <c r="AJ68" s="1224">
        <f t="shared" si="100"/>
        <v>0.28993226370704372</v>
      </c>
      <c r="AK68" s="1224">
        <f t="shared" si="100"/>
        <v>0.30046990213539237</v>
      </c>
      <c r="AL68" s="1224">
        <f t="shared" si="100"/>
        <v>0.31100754056374103</v>
      </c>
      <c r="AM68" s="1229">
        <f t="shared" si="100"/>
        <v>0.32154517899208968</v>
      </c>
      <c r="AN68" s="2551"/>
      <c r="AO68" s="2589"/>
      <c r="AP68" s="4488"/>
      <c r="AQ68" s="4504">
        <f t="shared" si="31"/>
        <v>12.180879535937397</v>
      </c>
      <c r="AR68" s="4504">
        <f t="shared" si="32"/>
        <v>12.689054131061791</v>
      </c>
      <c r="AS68" s="4504">
        <f t="shared" si="33"/>
        <v>13.197228726186188</v>
      </c>
      <c r="AT68" s="4504">
        <f t="shared" si="34"/>
        <v>13.705403321310582</v>
      </c>
      <c r="AU68" s="4504">
        <f t="shared" si="35"/>
        <v>14.213577916434977</v>
      </c>
      <c r="AV68" s="4504">
        <f t="shared" si="36"/>
        <v>14.721752511559373</v>
      </c>
      <c r="AW68" s="4504">
        <f t="shared" si="37"/>
        <v>15.229927106683768</v>
      </c>
      <c r="AX68" s="4504">
        <f t="shared" si="38"/>
        <v>3.0747580663076111</v>
      </c>
      <c r="AY68" s="4504">
        <f t="shared" si="39"/>
        <v>3.1690086788792389</v>
      </c>
      <c r="AZ68" s="4504">
        <f t="shared" si="40"/>
        <v>3.2632592914508671</v>
      </c>
      <c r="BA68" s="4504">
        <f t="shared" si="41"/>
        <v>3.3575099040224954</v>
      </c>
      <c r="BB68" s="4504">
        <f t="shared" si="42"/>
        <v>3.4517605165941232</v>
      </c>
      <c r="BC68" s="4504">
        <f t="shared" si="43"/>
        <v>3.5460111291657515</v>
      </c>
      <c r="BD68" s="4504">
        <f t="shared" si="44"/>
        <v>3.6402617417373797</v>
      </c>
      <c r="BE68" s="4504">
        <f t="shared" si="45"/>
        <v>4.6873222253786748</v>
      </c>
      <c r="BF68" s="4504">
        <f t="shared" si="46"/>
        <v>4.8023251755157244</v>
      </c>
      <c r="BG68" s="4504">
        <f t="shared" si="47"/>
        <v>4.9173281256527748</v>
      </c>
      <c r="BH68" s="4504">
        <f t="shared" si="48"/>
        <v>5.0323310757898243</v>
      </c>
      <c r="BI68" s="4504">
        <f t="shared" si="49"/>
        <v>5.1473340259268738</v>
      </c>
      <c r="BJ68" s="4504">
        <f t="shared" si="50"/>
        <v>5.2623369760639243</v>
      </c>
      <c r="BK68" s="4504">
        <f t="shared" si="51"/>
        <v>5.3773399262009738</v>
      </c>
      <c r="BL68" s="4504">
        <f t="shared" si="52"/>
        <v>0</v>
      </c>
      <c r="BM68" s="4504">
        <f t="shared" si="53"/>
        <v>0</v>
      </c>
      <c r="BN68" s="4504">
        <f t="shared" si="54"/>
        <v>0</v>
      </c>
      <c r="BO68" s="4504">
        <f t="shared" si="55"/>
        <v>0</v>
      </c>
      <c r="BP68" s="4504">
        <f t="shared" si="56"/>
        <v>0</v>
      </c>
      <c r="BQ68" s="4504">
        <f t="shared" si="57"/>
        <v>0</v>
      </c>
      <c r="BR68" s="4504">
        <f t="shared" si="58"/>
        <v>0</v>
      </c>
      <c r="BS68" s="4504">
        <f t="shared" si="59"/>
        <v>0.13207658560406466</v>
      </c>
      <c r="BT68" s="4504">
        <f t="shared" si="60"/>
        <v>0.13746439457946061</v>
      </c>
      <c r="BU68" s="4504">
        <f t="shared" si="61"/>
        <v>0.14285220355485656</v>
      </c>
      <c r="BV68" s="4504">
        <f t="shared" si="62"/>
        <v>0.14824001253025249</v>
      </c>
      <c r="BW68" s="4504">
        <f t="shared" si="63"/>
        <v>0.15362782150564844</v>
      </c>
      <c r="BX68" s="4504">
        <f t="shared" si="64"/>
        <v>0.15901563048104439</v>
      </c>
      <c r="BY68" s="4504">
        <f t="shared" si="65"/>
        <v>0.16440343945644031</v>
      </c>
    </row>
    <row r="69" spans="1:77">
      <c r="A69" s="2553">
        <v>5</v>
      </c>
      <c r="B69" s="2554">
        <v>205</v>
      </c>
      <c r="C69" s="2549"/>
      <c r="D69" s="2585" t="s">
        <v>212</v>
      </c>
      <c r="E69" s="4125">
        <f>SUM(E70:E73)</f>
        <v>1733.8624234115048</v>
      </c>
      <c r="F69" s="2645">
        <f>SUM(F70:F73)</f>
        <v>1763.5156329157817</v>
      </c>
      <c r="G69" s="2646">
        <f>SUM(G70:G73)</f>
        <v>1793.3613108528721</v>
      </c>
      <c r="H69" s="2646">
        <f t="shared" ref="H69:K69" si="101">SUM(H70:H73)</f>
        <v>1823.2011919026118</v>
      </c>
      <c r="I69" s="2646">
        <f t="shared" si="101"/>
        <v>1853.0376480913085</v>
      </c>
      <c r="J69" s="2646">
        <f t="shared" si="101"/>
        <v>1882.8720676952437</v>
      </c>
      <c r="K69" s="2646">
        <f t="shared" si="101"/>
        <v>1912.7050220121625</v>
      </c>
      <c r="L69" s="4125">
        <f>SUM(L70:L73)</f>
        <v>123.88647197702906</v>
      </c>
      <c r="M69" s="2645">
        <f>SUM(M70:M73)</f>
        <v>129.40631601003719</v>
      </c>
      <c r="N69" s="2646">
        <f>SUM(N70:N73)</f>
        <v>135.07833527189078</v>
      </c>
      <c r="O69" s="2646">
        <f t="shared" ref="O69:R69" si="102">SUM(O70:O73)</f>
        <v>141.05136013049571</v>
      </c>
      <c r="P69" s="2646">
        <f t="shared" si="102"/>
        <v>147.3249624305999</v>
      </c>
      <c r="Q69" s="2646">
        <f t="shared" si="102"/>
        <v>153.89888621149757</v>
      </c>
      <c r="R69" s="2646">
        <f t="shared" si="102"/>
        <v>160.77304406582917</v>
      </c>
      <c r="S69" s="2648">
        <f>SUM(S70:S73)</f>
        <v>247.09478434097787</v>
      </c>
      <c r="T69" s="2645">
        <f>SUM(T70:T73)</f>
        <v>251.65517076087121</v>
      </c>
      <c r="U69" s="2646">
        <f>SUM(U70:U73)</f>
        <v>256.32091351910577</v>
      </c>
      <c r="V69" s="2646">
        <f t="shared" ref="V69:Y69" si="103">SUM(V70:V73)</f>
        <v>261.19144756793997</v>
      </c>
      <c r="W69" s="2646">
        <f t="shared" si="103"/>
        <v>266.26482903631728</v>
      </c>
      <c r="X69" s="2646">
        <f t="shared" si="103"/>
        <v>271.53992560866345</v>
      </c>
      <c r="Y69" s="2647">
        <f t="shared" si="103"/>
        <v>277.01625339459162</v>
      </c>
      <c r="Z69" s="2648">
        <f>SUM(Z70:Z73)</f>
        <v>0</v>
      </c>
      <c r="AA69" s="2645">
        <f>SUM(AA70:AA73)</f>
        <v>0</v>
      </c>
      <c r="AB69" s="2646">
        <f>SUM(AB70:AB73)</f>
        <v>0</v>
      </c>
      <c r="AC69" s="2646">
        <f t="shared" ref="AC69:AF69" si="104">SUM(AC70:AC73)</f>
        <v>0</v>
      </c>
      <c r="AD69" s="2646">
        <f t="shared" si="104"/>
        <v>0</v>
      </c>
      <c r="AE69" s="2646">
        <f t="shared" si="104"/>
        <v>0</v>
      </c>
      <c r="AF69" s="2647">
        <f t="shared" si="104"/>
        <v>0</v>
      </c>
      <c r="AG69" s="2648">
        <f>SUM(AG70:AG73)</f>
        <v>180.95966137675717</v>
      </c>
      <c r="AH69" s="2645">
        <f>SUM(AH70:AH73)</f>
        <v>182.87560271324224</v>
      </c>
      <c r="AI69" s="2646">
        <f>SUM(AI70:AI73)</f>
        <v>185.02154404972728</v>
      </c>
      <c r="AJ69" s="2646">
        <f t="shared" ref="AJ69:AM69" si="105">SUM(AJ70:AJ73)</f>
        <v>187.36748538621234</v>
      </c>
      <c r="AK69" s="2646">
        <f t="shared" si="105"/>
        <v>189.91342672269738</v>
      </c>
      <c r="AL69" s="2646">
        <f t="shared" si="105"/>
        <v>192.65936805918241</v>
      </c>
      <c r="AM69" s="2647">
        <f t="shared" si="105"/>
        <v>195.60530939566749</v>
      </c>
      <c r="AN69" s="2551"/>
      <c r="AO69" s="2589"/>
      <c r="AP69" s="4488"/>
      <c r="AQ69" s="4504">
        <f t="shared" si="31"/>
        <v>886.50978020150262</v>
      </c>
      <c r="AR69" s="4504">
        <f t="shared" si="32"/>
        <v>901.67122547244992</v>
      </c>
      <c r="AS69" s="4504">
        <f t="shared" si="33"/>
        <v>916.93107829048131</v>
      </c>
      <c r="AT69" s="4504">
        <f t="shared" si="34"/>
        <v>932.18796720707417</v>
      </c>
      <c r="AU69" s="4504">
        <f t="shared" si="35"/>
        <v>947.44310502002145</v>
      </c>
      <c r="AV69" s="4504">
        <f t="shared" si="36"/>
        <v>962.69720154371475</v>
      </c>
      <c r="AW69" s="4504">
        <f t="shared" si="37"/>
        <v>977.95054887805304</v>
      </c>
      <c r="AX69" s="4504">
        <f t="shared" si="38"/>
        <v>63.342147311897797</v>
      </c>
      <c r="AY69" s="4504">
        <f t="shared" si="39"/>
        <v>66.164398751444239</v>
      </c>
      <c r="AZ69" s="4504">
        <f t="shared" si="40"/>
        <v>69.064456150018557</v>
      </c>
      <c r="BA69" s="4504">
        <f t="shared" si="41"/>
        <v>72.118415266406444</v>
      </c>
      <c r="BB69" s="4504">
        <f t="shared" si="42"/>
        <v>75.326057188303636</v>
      </c>
      <c r="BC69" s="4504">
        <f t="shared" si="43"/>
        <v>78.687251045079364</v>
      </c>
      <c r="BD69" s="4504">
        <f t="shared" si="44"/>
        <v>82.201952146060322</v>
      </c>
      <c r="BE69" s="4504">
        <f t="shared" si="45"/>
        <v>126.33755711947249</v>
      </c>
      <c r="BF69" s="4504">
        <f t="shared" si="46"/>
        <v>128.66924567108146</v>
      </c>
      <c r="BG69" s="4504">
        <f t="shared" si="47"/>
        <v>131.05480206311682</v>
      </c>
      <c r="BH69" s="4504">
        <f t="shared" si="48"/>
        <v>133.54506657937549</v>
      </c>
      <c r="BI69" s="4504">
        <f t="shared" si="49"/>
        <v>136.13904533436818</v>
      </c>
      <c r="BJ69" s="4504">
        <f t="shared" si="50"/>
        <v>138.83615938433476</v>
      </c>
      <c r="BK69" s="4504">
        <f t="shared" si="51"/>
        <v>141.6361613200491</v>
      </c>
      <c r="BL69" s="4504">
        <f t="shared" si="52"/>
        <v>0</v>
      </c>
      <c r="BM69" s="4504">
        <f t="shared" si="53"/>
        <v>0</v>
      </c>
      <c r="BN69" s="4504">
        <f t="shared" si="54"/>
        <v>0</v>
      </c>
      <c r="BO69" s="4504">
        <f t="shared" si="55"/>
        <v>0</v>
      </c>
      <c r="BP69" s="4504">
        <f t="shared" si="56"/>
        <v>0</v>
      </c>
      <c r="BQ69" s="4504">
        <f t="shared" si="57"/>
        <v>0</v>
      </c>
      <c r="BR69" s="4504">
        <f t="shared" si="58"/>
        <v>0</v>
      </c>
      <c r="BS69" s="4504">
        <f t="shared" si="59"/>
        <v>92.52320568595286</v>
      </c>
      <c r="BT69" s="4504">
        <f t="shared" si="60"/>
        <v>93.502810936145906</v>
      </c>
      <c r="BU69" s="4504">
        <f t="shared" si="61"/>
        <v>94.600013319014067</v>
      </c>
      <c r="BV69" s="4504">
        <f t="shared" si="62"/>
        <v>95.799474078121477</v>
      </c>
      <c r="BW69" s="4504">
        <f t="shared" si="63"/>
        <v>97.101193213468136</v>
      </c>
      <c r="BX69" s="4504">
        <f t="shared" si="64"/>
        <v>98.505170725054029</v>
      </c>
      <c r="BY69" s="4504">
        <f t="shared" si="65"/>
        <v>100.01140661287918</v>
      </c>
    </row>
    <row r="70" spans="1:77">
      <c r="A70" s="2564"/>
      <c r="B70" s="2565">
        <v>20501</v>
      </c>
      <c r="C70" s="2549">
        <v>0.08</v>
      </c>
      <c r="D70" s="2591" t="s">
        <v>410</v>
      </c>
      <c r="E70" s="4453">
        <f>+'11.3. ДА Базова година'!H50</f>
        <v>938.90944030333947</v>
      </c>
      <c r="F70" s="1228">
        <f t="shared" ref="F70:K76" si="106">E70+F45</f>
        <v>938.90944030333947</v>
      </c>
      <c r="G70" s="1224">
        <f t="shared" si="106"/>
        <v>938.90944030333947</v>
      </c>
      <c r="H70" s="1224">
        <f t="shared" si="106"/>
        <v>938.90944030333947</v>
      </c>
      <c r="I70" s="1224">
        <f t="shared" si="106"/>
        <v>938.90944030333947</v>
      </c>
      <c r="J70" s="1224">
        <f t="shared" si="106"/>
        <v>938.90944030333947</v>
      </c>
      <c r="K70" s="1229">
        <f t="shared" si="106"/>
        <v>938.90944030333947</v>
      </c>
      <c r="L70" s="2679">
        <f>+'11.3. ДА Базова година'!L50</f>
        <v>26.271287167938102</v>
      </c>
      <c r="M70" s="1228">
        <f t="shared" ref="M70:R77" si="107">L70+M45</f>
        <v>26.271287167938102</v>
      </c>
      <c r="N70" s="1224">
        <f t="shared" si="107"/>
        <v>26.271287167938102</v>
      </c>
      <c r="O70" s="1224">
        <f t="shared" si="107"/>
        <v>26.271287167938102</v>
      </c>
      <c r="P70" s="1224">
        <f t="shared" si="107"/>
        <v>26.271287167938102</v>
      </c>
      <c r="Q70" s="1224">
        <f t="shared" si="107"/>
        <v>26.271287167938102</v>
      </c>
      <c r="R70" s="1229">
        <f t="shared" si="107"/>
        <v>26.271287167938102</v>
      </c>
      <c r="S70" s="2679">
        <f>+'11.3. ДА Базова година'!P50</f>
        <v>40.302101091142511</v>
      </c>
      <c r="T70" s="1228">
        <f t="shared" ref="T70:Y84" si="108">S70+T45</f>
        <v>40.302101091142511</v>
      </c>
      <c r="U70" s="1224">
        <f t="shared" si="108"/>
        <v>40.302101091142511</v>
      </c>
      <c r="V70" s="1224">
        <f t="shared" si="108"/>
        <v>40.302101091142511</v>
      </c>
      <c r="W70" s="1224">
        <f t="shared" si="108"/>
        <v>40.302101091142511</v>
      </c>
      <c r="X70" s="1224">
        <f t="shared" si="108"/>
        <v>40.302101091142511</v>
      </c>
      <c r="Y70" s="1229">
        <f t="shared" si="108"/>
        <v>40.302101091142511</v>
      </c>
      <c r="Z70" s="4453">
        <f>+'11.3. ДА Базова година'!T50</f>
        <v>0</v>
      </c>
      <c r="AA70" s="1228">
        <f t="shared" ref="AA70:AF84" si="109">Z70+AA45</f>
        <v>0</v>
      </c>
      <c r="AB70" s="1224">
        <f t="shared" si="109"/>
        <v>0</v>
      </c>
      <c r="AC70" s="1224">
        <f t="shared" si="109"/>
        <v>0</v>
      </c>
      <c r="AD70" s="1224">
        <f t="shared" si="109"/>
        <v>0</v>
      </c>
      <c r="AE70" s="1224">
        <f t="shared" si="109"/>
        <v>0</v>
      </c>
      <c r="AF70" s="1229">
        <f t="shared" si="109"/>
        <v>0</v>
      </c>
      <c r="AG70" s="2679">
        <f>+'11.3. ДА Базова година'!X50</f>
        <v>108.70676143757984</v>
      </c>
      <c r="AH70" s="1228">
        <f t="shared" ref="AH70:AM84" si="110">AG70+AH45</f>
        <v>108.78676143757984</v>
      </c>
      <c r="AI70" s="1224">
        <f t="shared" si="110"/>
        <v>108.94676143757984</v>
      </c>
      <c r="AJ70" s="1224">
        <f t="shared" si="110"/>
        <v>109.10676143757983</v>
      </c>
      <c r="AK70" s="1224">
        <f t="shared" si="110"/>
        <v>109.26676143757983</v>
      </c>
      <c r="AL70" s="1224">
        <f t="shared" si="110"/>
        <v>109.42676143757983</v>
      </c>
      <c r="AM70" s="1229">
        <f t="shared" si="110"/>
        <v>109.58676143757982</v>
      </c>
      <c r="AN70" s="2551"/>
      <c r="AO70" s="2589"/>
      <c r="AP70" s="4488"/>
      <c r="AQ70" s="4504">
        <f t="shared" si="31"/>
        <v>480.05677400558307</v>
      </c>
      <c r="AR70" s="4504">
        <f t="shared" si="32"/>
        <v>480.05677400558307</v>
      </c>
      <c r="AS70" s="4504">
        <f t="shared" si="33"/>
        <v>480.05677400558307</v>
      </c>
      <c r="AT70" s="4504">
        <f t="shared" si="34"/>
        <v>480.05677400558307</v>
      </c>
      <c r="AU70" s="4504">
        <f t="shared" si="35"/>
        <v>480.05677400558307</v>
      </c>
      <c r="AV70" s="4504">
        <f t="shared" si="36"/>
        <v>480.05677400558307</v>
      </c>
      <c r="AW70" s="4504">
        <f t="shared" si="37"/>
        <v>480.05677400558307</v>
      </c>
      <c r="AX70" s="4504">
        <f t="shared" si="38"/>
        <v>13.432295837541147</v>
      </c>
      <c r="AY70" s="4504">
        <f t="shared" si="39"/>
        <v>13.432295837541147</v>
      </c>
      <c r="AZ70" s="4504">
        <f t="shared" si="40"/>
        <v>13.432295837541147</v>
      </c>
      <c r="BA70" s="4504">
        <f t="shared" si="41"/>
        <v>13.432295837541147</v>
      </c>
      <c r="BB70" s="4504">
        <f t="shared" si="42"/>
        <v>13.432295837541147</v>
      </c>
      <c r="BC70" s="4504">
        <f t="shared" si="43"/>
        <v>13.432295837541147</v>
      </c>
      <c r="BD70" s="4504">
        <f t="shared" si="44"/>
        <v>13.432295837541147</v>
      </c>
      <c r="BE70" s="4504">
        <f t="shared" si="45"/>
        <v>20.606137083050424</v>
      </c>
      <c r="BF70" s="4504">
        <f t="shared" si="46"/>
        <v>20.606137083050424</v>
      </c>
      <c r="BG70" s="4504">
        <f t="shared" si="47"/>
        <v>20.606137083050424</v>
      </c>
      <c r="BH70" s="4504">
        <f t="shared" si="48"/>
        <v>20.606137083050424</v>
      </c>
      <c r="BI70" s="4504">
        <f t="shared" si="49"/>
        <v>20.606137083050424</v>
      </c>
      <c r="BJ70" s="4504">
        <f t="shared" si="50"/>
        <v>20.606137083050424</v>
      </c>
      <c r="BK70" s="4504">
        <f t="shared" si="51"/>
        <v>20.606137083050424</v>
      </c>
      <c r="BL70" s="4504">
        <f t="shared" si="52"/>
        <v>0</v>
      </c>
      <c r="BM70" s="4504">
        <f t="shared" si="53"/>
        <v>0</v>
      </c>
      <c r="BN70" s="4504">
        <f t="shared" si="54"/>
        <v>0</v>
      </c>
      <c r="BO70" s="4504">
        <f t="shared" si="55"/>
        <v>0</v>
      </c>
      <c r="BP70" s="4504">
        <f t="shared" si="56"/>
        <v>0</v>
      </c>
      <c r="BQ70" s="4504">
        <f t="shared" si="57"/>
        <v>0</v>
      </c>
      <c r="BR70" s="4504">
        <f t="shared" si="58"/>
        <v>0</v>
      </c>
      <c r="BS70" s="4504">
        <f t="shared" si="59"/>
        <v>55.58088455416874</v>
      </c>
      <c r="BT70" s="4504">
        <f t="shared" si="60"/>
        <v>55.621787904664437</v>
      </c>
      <c r="BU70" s="4504">
        <f t="shared" si="61"/>
        <v>55.70359460565583</v>
      </c>
      <c r="BV70" s="4504">
        <f t="shared" si="62"/>
        <v>55.785401306647223</v>
      </c>
      <c r="BW70" s="4504">
        <f t="shared" si="63"/>
        <v>55.867208007638617</v>
      </c>
      <c r="BX70" s="4504">
        <f t="shared" si="64"/>
        <v>55.94901470863001</v>
      </c>
      <c r="BY70" s="4504">
        <f t="shared" si="65"/>
        <v>56.030821409621403</v>
      </c>
    </row>
    <row r="71" spans="1:77">
      <c r="A71" s="2564"/>
      <c r="B71" s="2565">
        <v>20502</v>
      </c>
      <c r="C71" s="2549">
        <v>0.1</v>
      </c>
      <c r="D71" s="2591" t="s">
        <v>411</v>
      </c>
      <c r="E71" s="4453">
        <f>+'11.3. ДА Базова година'!H51</f>
        <v>715.04918985171707</v>
      </c>
      <c r="F71" s="1228">
        <f t="shared" si="106"/>
        <v>742.70589006882449</v>
      </c>
      <c r="G71" s="1224">
        <f t="shared" si="106"/>
        <v>770.45882450233864</v>
      </c>
      <c r="H71" s="1224">
        <f t="shared" si="106"/>
        <v>798.20886049217734</v>
      </c>
      <c r="I71" s="1224">
        <f t="shared" si="106"/>
        <v>825.95718405149478</v>
      </c>
      <c r="J71" s="1224">
        <f t="shared" si="106"/>
        <v>853.70448931843111</v>
      </c>
      <c r="K71" s="1229">
        <f t="shared" si="106"/>
        <v>881.45106194185951</v>
      </c>
      <c r="L71" s="2679">
        <f>+'11.3. ДА Базова година'!L51</f>
        <v>53.946893169091986</v>
      </c>
      <c r="M71" s="1228">
        <f t="shared" si="107"/>
        <v>59.31053781721716</v>
      </c>
      <c r="N71" s="1224">
        <f t="shared" si="107"/>
        <v>64.67527007976507</v>
      </c>
      <c r="O71" s="1224">
        <f t="shared" si="107"/>
        <v>70.040505140688637</v>
      </c>
      <c r="P71" s="1224">
        <f t="shared" si="107"/>
        <v>75.406028922361841</v>
      </c>
      <c r="Q71" s="1224">
        <f t="shared" si="107"/>
        <v>80.771713444431796</v>
      </c>
      <c r="R71" s="1229">
        <f t="shared" si="107"/>
        <v>86.137515003218709</v>
      </c>
      <c r="S71" s="2679">
        <f>+'11.3. ДА Базова година'!P51</f>
        <v>70.824327176281614</v>
      </c>
      <c r="T71" s="1228">
        <f t="shared" si="108"/>
        <v>75.194136031112407</v>
      </c>
      <c r="U71" s="1224">
        <f t="shared" si="108"/>
        <v>79.56662305511378</v>
      </c>
      <c r="V71" s="1224">
        <f t="shared" si="108"/>
        <v>83.941505724414995</v>
      </c>
      <c r="W71" s="1224">
        <f t="shared" si="108"/>
        <v>88.317812103487753</v>
      </c>
      <c r="X71" s="1224">
        <f t="shared" si="108"/>
        <v>92.69497603454495</v>
      </c>
      <c r="Y71" s="1229">
        <f t="shared" si="108"/>
        <v>97.07275557239312</v>
      </c>
      <c r="Z71" s="4453">
        <f>+'11.3. ДА Базова година'!T51</f>
        <v>0</v>
      </c>
      <c r="AA71" s="1228">
        <f t="shared" si="109"/>
        <v>0</v>
      </c>
      <c r="AB71" s="1224">
        <f t="shared" si="109"/>
        <v>0</v>
      </c>
      <c r="AC71" s="1224">
        <f t="shared" si="109"/>
        <v>0</v>
      </c>
      <c r="AD71" s="1224">
        <f t="shared" si="109"/>
        <v>0</v>
      </c>
      <c r="AE71" s="1224">
        <f t="shared" si="109"/>
        <v>0</v>
      </c>
      <c r="AF71" s="1229">
        <f t="shared" si="109"/>
        <v>0</v>
      </c>
      <c r="AG71" s="2679">
        <f>+'11.3. ДА Базова година'!X51</f>
        <v>24.864240487920416</v>
      </c>
      <c r="AH71" s="1228">
        <f t="shared" si="110"/>
        <v>25.151828061520636</v>
      </c>
      <c r="AI71" s="1224">
        <f t="shared" si="110"/>
        <v>25.489415635120857</v>
      </c>
      <c r="AJ71" s="1224">
        <f t="shared" si="110"/>
        <v>25.827003208721077</v>
      </c>
      <c r="AK71" s="1224">
        <f t="shared" si="110"/>
        <v>26.164590782321298</v>
      </c>
      <c r="AL71" s="1224">
        <f t="shared" si="110"/>
        <v>26.502178355921519</v>
      </c>
      <c r="AM71" s="1229">
        <f t="shared" si="110"/>
        <v>26.839765929521739</v>
      </c>
      <c r="AN71" s="2551"/>
      <c r="AO71" s="2589"/>
      <c r="AP71" s="4488"/>
      <c r="AQ71" s="4504">
        <f t="shared" si="31"/>
        <v>365.59884542711643</v>
      </c>
      <c r="AR71" s="4504">
        <f t="shared" si="32"/>
        <v>379.7394917088011</v>
      </c>
      <c r="AS71" s="4504">
        <f t="shared" si="33"/>
        <v>393.92934176402787</v>
      </c>
      <c r="AT71" s="4504">
        <f t="shared" si="34"/>
        <v>408.11770986853526</v>
      </c>
      <c r="AU71" s="4504">
        <f t="shared" si="35"/>
        <v>422.30520242122003</v>
      </c>
      <c r="AV71" s="4504">
        <f t="shared" si="36"/>
        <v>436.49217432927765</v>
      </c>
      <c r="AW71" s="4504">
        <f t="shared" si="37"/>
        <v>450.67877164265786</v>
      </c>
      <c r="AX71" s="4504">
        <f t="shared" si="38"/>
        <v>27.582608493116471</v>
      </c>
      <c r="AY71" s="4504">
        <f t="shared" si="39"/>
        <v>30.32499645532442</v>
      </c>
      <c r="AZ71" s="4504">
        <f t="shared" si="40"/>
        <v>33.067940505956585</v>
      </c>
      <c r="BA71" s="4504">
        <f t="shared" si="41"/>
        <v>35.811141633316105</v>
      </c>
      <c r="BB71" s="4504">
        <f t="shared" si="42"/>
        <v>38.554490381250844</v>
      </c>
      <c r="BC71" s="4504">
        <f t="shared" si="43"/>
        <v>41.297921314445425</v>
      </c>
      <c r="BD71" s="4504">
        <f t="shared" si="44"/>
        <v>44.041412087563188</v>
      </c>
      <c r="BE71" s="4504">
        <f t="shared" si="45"/>
        <v>36.21190347641749</v>
      </c>
      <c r="BF71" s="4504">
        <f t="shared" si="46"/>
        <v>38.446151266271819</v>
      </c>
      <c r="BG71" s="4504">
        <f t="shared" si="47"/>
        <v>40.681768382279536</v>
      </c>
      <c r="BH71" s="4504">
        <f t="shared" si="48"/>
        <v>42.918610372279289</v>
      </c>
      <c r="BI71" s="4504">
        <f t="shared" si="49"/>
        <v>45.156180293526411</v>
      </c>
      <c r="BJ71" s="4504">
        <f t="shared" si="50"/>
        <v>47.394188674140878</v>
      </c>
      <c r="BK71" s="4504">
        <f t="shared" si="51"/>
        <v>49.63251180950958</v>
      </c>
      <c r="BL71" s="4504">
        <f t="shared" si="52"/>
        <v>0</v>
      </c>
      <c r="BM71" s="4504">
        <f t="shared" si="53"/>
        <v>0</v>
      </c>
      <c r="BN71" s="4504">
        <f t="shared" si="54"/>
        <v>0</v>
      </c>
      <c r="BO71" s="4504">
        <f t="shared" si="55"/>
        <v>0</v>
      </c>
      <c r="BP71" s="4504">
        <f t="shared" si="56"/>
        <v>0</v>
      </c>
      <c r="BQ71" s="4504">
        <f t="shared" si="57"/>
        <v>0</v>
      </c>
      <c r="BR71" s="4504">
        <f t="shared" si="58"/>
        <v>0</v>
      </c>
      <c r="BS71" s="4504">
        <f t="shared" si="59"/>
        <v>12.712884293584011</v>
      </c>
      <c r="BT71" s="4504">
        <f t="shared" si="60"/>
        <v>12.859925485098724</v>
      </c>
      <c r="BU71" s="4504">
        <f t="shared" si="61"/>
        <v>13.032531270673248</v>
      </c>
      <c r="BV71" s="4504">
        <f t="shared" si="62"/>
        <v>13.205137056247771</v>
      </c>
      <c r="BW71" s="4504">
        <f t="shared" si="63"/>
        <v>13.377742841822295</v>
      </c>
      <c r="BX71" s="4504">
        <f t="shared" si="64"/>
        <v>13.550348627396819</v>
      </c>
      <c r="BY71" s="4504">
        <f t="shared" si="65"/>
        <v>13.722954412971342</v>
      </c>
    </row>
    <row r="72" spans="1:77">
      <c r="A72" s="2564"/>
      <c r="B72" s="2565">
        <v>20503</v>
      </c>
      <c r="C72" s="2549">
        <v>0.1</v>
      </c>
      <c r="D72" s="2588" t="s">
        <v>412</v>
      </c>
      <c r="E72" s="4453">
        <f>+'11.3. ДА Базова година'!H52</f>
        <v>59.406041733504466</v>
      </c>
      <c r="F72" s="1228">
        <f t="shared" si="106"/>
        <v>61.202751020674093</v>
      </c>
      <c r="G72" s="1224">
        <f t="shared" si="106"/>
        <v>63.095694524250405</v>
      </c>
      <c r="H72" s="1224">
        <f t="shared" si="106"/>
        <v>64.985739584151233</v>
      </c>
      <c r="I72" s="1224">
        <f t="shared" si="106"/>
        <v>66.87407221353088</v>
      </c>
      <c r="J72" s="1224">
        <f t="shared" si="106"/>
        <v>68.761386550529338</v>
      </c>
      <c r="K72" s="1229">
        <f t="shared" si="106"/>
        <v>70.64796824401985</v>
      </c>
      <c r="L72" s="2679">
        <f>+'11.3. ДА Базова година'!L52</f>
        <v>39.148086995460645</v>
      </c>
      <c r="M72" s="1228">
        <f t="shared" si="107"/>
        <v>39.304286380343598</v>
      </c>
      <c r="N72" s="1224">
        <f t="shared" si="107"/>
        <v>39.611573379649293</v>
      </c>
      <c r="O72" s="1224">
        <f t="shared" si="107"/>
        <v>40.219363177330642</v>
      </c>
      <c r="P72" s="1224">
        <f t="shared" si="107"/>
        <v>41.127441695761625</v>
      </c>
      <c r="Q72" s="1224">
        <f t="shared" si="107"/>
        <v>42.335680954589357</v>
      </c>
      <c r="R72" s="1229">
        <f t="shared" si="107"/>
        <v>43.844037250134051</v>
      </c>
      <c r="S72" s="2679">
        <f>+'11.3. ДА Базова година'!P52</f>
        <v>98.921587223494058</v>
      </c>
      <c r="T72" s="1228">
        <f t="shared" si="108"/>
        <v>99.11216478855664</v>
      </c>
      <c r="U72" s="1224">
        <f t="shared" si="108"/>
        <v>99.405420522789811</v>
      </c>
      <c r="V72" s="1224">
        <f t="shared" si="108"/>
        <v>99.901071902322798</v>
      </c>
      <c r="W72" s="1224">
        <f t="shared" si="108"/>
        <v>100.59814699162733</v>
      </c>
      <c r="X72" s="1224">
        <f t="shared" si="108"/>
        <v>101.49607963291632</v>
      </c>
      <c r="Y72" s="1229">
        <f t="shared" si="108"/>
        <v>102.59462788099628</v>
      </c>
      <c r="Z72" s="4453">
        <f>+'11.3. ДА Базова година'!T52</f>
        <v>0</v>
      </c>
      <c r="AA72" s="1228">
        <f t="shared" si="109"/>
        <v>0</v>
      </c>
      <c r="AB72" s="1224">
        <f t="shared" si="109"/>
        <v>0</v>
      </c>
      <c r="AC72" s="1224">
        <f t="shared" si="109"/>
        <v>0</v>
      </c>
      <c r="AD72" s="1224">
        <f t="shared" si="109"/>
        <v>0</v>
      </c>
      <c r="AE72" s="1224">
        <f t="shared" si="109"/>
        <v>0</v>
      </c>
      <c r="AF72" s="1229">
        <f t="shared" si="109"/>
        <v>0</v>
      </c>
      <c r="AG72" s="2679">
        <f>+'11.3. ДА Базова година'!X52</f>
        <v>31.536334468798586</v>
      </c>
      <c r="AH72" s="1228">
        <f t="shared" si="110"/>
        <v>33.084688231683423</v>
      </c>
      <c r="AI72" s="1224">
        <f t="shared" si="110"/>
        <v>34.733041994568254</v>
      </c>
      <c r="AJ72" s="1224">
        <f t="shared" si="110"/>
        <v>36.581395757453087</v>
      </c>
      <c r="AK72" s="1224">
        <f t="shared" si="110"/>
        <v>38.629749520337924</v>
      </c>
      <c r="AL72" s="1224">
        <f t="shared" si="110"/>
        <v>40.878103283222757</v>
      </c>
      <c r="AM72" s="1229">
        <f t="shared" si="110"/>
        <v>43.326457046107592</v>
      </c>
      <c r="AN72" s="2551"/>
      <c r="AO72" s="2589"/>
      <c r="AP72" s="4488"/>
      <c r="AQ72" s="4504">
        <f t="shared" si="31"/>
        <v>30.373826832344562</v>
      </c>
      <c r="AR72" s="4504">
        <f t="shared" si="32"/>
        <v>31.292469703744239</v>
      </c>
      <c r="AS72" s="4504">
        <f t="shared" si="33"/>
        <v>32.260316348685933</v>
      </c>
      <c r="AT72" s="4504">
        <f t="shared" si="34"/>
        <v>33.226681042908247</v>
      </c>
      <c r="AU72" s="4504">
        <f t="shared" si="35"/>
        <v>34.192170185307965</v>
      </c>
      <c r="AV72" s="4504">
        <f t="shared" si="36"/>
        <v>35.157138683080504</v>
      </c>
      <c r="AW72" s="4504">
        <f t="shared" si="37"/>
        <v>36.121732586175611</v>
      </c>
      <c r="AX72" s="4504">
        <f t="shared" si="38"/>
        <v>20.01609904514229</v>
      </c>
      <c r="AY72" s="4504">
        <f t="shared" si="39"/>
        <v>20.095962522480786</v>
      </c>
      <c r="AZ72" s="4504">
        <f t="shared" si="40"/>
        <v>20.253075870422936</v>
      </c>
      <c r="BA72" s="4504">
        <f t="shared" si="41"/>
        <v>20.563833859451304</v>
      </c>
      <c r="BB72" s="4504">
        <f t="shared" si="42"/>
        <v>21.028127033413757</v>
      </c>
      <c r="BC72" s="4504">
        <f t="shared" si="43"/>
        <v>21.64588995699491</v>
      </c>
      <c r="BD72" s="4504">
        <f t="shared" si="44"/>
        <v>22.417100284858119</v>
      </c>
      <c r="BE72" s="4504">
        <f t="shared" si="45"/>
        <v>50.577804422416087</v>
      </c>
      <c r="BF72" s="4504">
        <f t="shared" si="46"/>
        <v>50.675245184170734</v>
      </c>
      <c r="BG72" s="4504">
        <f t="shared" si="47"/>
        <v>50.825184460198386</v>
      </c>
      <c r="BH72" s="4504">
        <f t="shared" si="48"/>
        <v>51.078606986457309</v>
      </c>
      <c r="BI72" s="4504">
        <f t="shared" si="49"/>
        <v>51.43501582020285</v>
      </c>
      <c r="BJ72" s="4504">
        <f t="shared" si="50"/>
        <v>51.894121489554983</v>
      </c>
      <c r="BK72" s="4504">
        <f t="shared" si="51"/>
        <v>52.455800289900601</v>
      </c>
      <c r="BL72" s="4504">
        <f t="shared" si="52"/>
        <v>0</v>
      </c>
      <c r="BM72" s="4504">
        <f t="shared" si="53"/>
        <v>0</v>
      </c>
      <c r="BN72" s="4504">
        <f t="shared" si="54"/>
        <v>0</v>
      </c>
      <c r="BO72" s="4504">
        <f t="shared" si="55"/>
        <v>0</v>
      </c>
      <c r="BP72" s="4504">
        <f t="shared" si="56"/>
        <v>0</v>
      </c>
      <c r="BQ72" s="4504">
        <f t="shared" si="57"/>
        <v>0</v>
      </c>
      <c r="BR72" s="4504">
        <f t="shared" si="58"/>
        <v>0</v>
      </c>
      <c r="BS72" s="4504">
        <f t="shared" si="59"/>
        <v>16.124271776585179</v>
      </c>
      <c r="BT72" s="4504">
        <f t="shared" si="60"/>
        <v>16.915932484767808</v>
      </c>
      <c r="BU72" s="4504">
        <f t="shared" si="61"/>
        <v>17.758722381070058</v>
      </c>
      <c r="BV72" s="4504">
        <f t="shared" si="62"/>
        <v>18.703770653611556</v>
      </c>
      <c r="BW72" s="4504">
        <f t="shared" si="63"/>
        <v>19.751077302392297</v>
      </c>
      <c r="BX72" s="4504">
        <f t="shared" si="64"/>
        <v>20.900642327412278</v>
      </c>
      <c r="BY72" s="4504">
        <f t="shared" si="65"/>
        <v>22.152465728671508</v>
      </c>
    </row>
    <row r="73" spans="1:77">
      <c r="A73" s="2564"/>
      <c r="B73" s="2565">
        <v>20504</v>
      </c>
      <c r="C73" s="2549">
        <v>0.1</v>
      </c>
      <c r="D73" s="2588" t="s">
        <v>557</v>
      </c>
      <c r="E73" s="4453">
        <f>+'11.3. ДА Базова година'!H53</f>
        <v>20.497751522943673</v>
      </c>
      <c r="F73" s="1228">
        <f t="shared" si="106"/>
        <v>20.697551522943673</v>
      </c>
      <c r="G73" s="1224">
        <f t="shared" si="106"/>
        <v>20.897351522943673</v>
      </c>
      <c r="H73" s="1224">
        <f t="shared" si="106"/>
        <v>21.097151522943673</v>
      </c>
      <c r="I73" s="1224">
        <f t="shared" si="106"/>
        <v>21.296951522943672</v>
      </c>
      <c r="J73" s="1224">
        <f t="shared" si="106"/>
        <v>21.496751522943672</v>
      </c>
      <c r="K73" s="1229">
        <f t="shared" si="106"/>
        <v>21.696551522943672</v>
      </c>
      <c r="L73" s="2679">
        <f>+'11.3. ДА Базова година'!L53</f>
        <v>4.5202046445383308</v>
      </c>
      <c r="M73" s="1228">
        <f t="shared" si="107"/>
        <v>4.5202046445383308</v>
      </c>
      <c r="N73" s="1224">
        <f t="shared" si="107"/>
        <v>4.5202046445383308</v>
      </c>
      <c r="O73" s="1224">
        <f t="shared" si="107"/>
        <v>4.5202046445383308</v>
      </c>
      <c r="P73" s="1224">
        <f t="shared" si="107"/>
        <v>4.5202046445383308</v>
      </c>
      <c r="Q73" s="1224">
        <f t="shared" si="107"/>
        <v>4.5202046445383308</v>
      </c>
      <c r="R73" s="1229">
        <f t="shared" si="107"/>
        <v>4.5202046445383308</v>
      </c>
      <c r="S73" s="2679">
        <f>+'11.3. ДА Базова година'!P53</f>
        <v>37.046768850059678</v>
      </c>
      <c r="T73" s="1228">
        <f t="shared" si="108"/>
        <v>37.046768850059678</v>
      </c>
      <c r="U73" s="1224">
        <f t="shared" si="108"/>
        <v>37.046768850059678</v>
      </c>
      <c r="V73" s="1224">
        <f t="shared" si="108"/>
        <v>37.046768850059678</v>
      </c>
      <c r="W73" s="1224">
        <f t="shared" si="108"/>
        <v>37.046768850059678</v>
      </c>
      <c r="X73" s="1224">
        <f t="shared" si="108"/>
        <v>37.046768850059678</v>
      </c>
      <c r="Y73" s="1229">
        <f t="shared" si="108"/>
        <v>37.046768850059678</v>
      </c>
      <c r="Z73" s="4453">
        <f>+'11.3. ДА Базова година'!T53</f>
        <v>0</v>
      </c>
      <c r="AA73" s="1228">
        <f t="shared" si="109"/>
        <v>0</v>
      </c>
      <c r="AB73" s="1224">
        <f t="shared" si="109"/>
        <v>0</v>
      </c>
      <c r="AC73" s="1224">
        <f t="shared" si="109"/>
        <v>0</v>
      </c>
      <c r="AD73" s="1224">
        <f t="shared" si="109"/>
        <v>0</v>
      </c>
      <c r="AE73" s="1224">
        <f t="shared" si="109"/>
        <v>0</v>
      </c>
      <c r="AF73" s="1229">
        <f t="shared" si="109"/>
        <v>0</v>
      </c>
      <c r="AG73" s="2679">
        <f>+'11.3. ДА Базова година'!X53</f>
        <v>15.852324982458322</v>
      </c>
      <c r="AH73" s="1228">
        <f t="shared" si="110"/>
        <v>15.852324982458322</v>
      </c>
      <c r="AI73" s="1224">
        <f t="shared" si="110"/>
        <v>15.852324982458322</v>
      </c>
      <c r="AJ73" s="1224">
        <f t="shared" si="110"/>
        <v>15.852324982458322</v>
      </c>
      <c r="AK73" s="1224">
        <f t="shared" si="110"/>
        <v>15.852324982458322</v>
      </c>
      <c r="AL73" s="1224">
        <f t="shared" si="110"/>
        <v>15.852324982458322</v>
      </c>
      <c r="AM73" s="1229">
        <f t="shared" si="110"/>
        <v>15.852324982458322</v>
      </c>
      <c r="AN73" s="2551"/>
      <c r="AO73" s="2589"/>
      <c r="AP73" s="4488"/>
      <c r="AQ73" s="4504">
        <f t="shared" si="31"/>
        <v>10.480333936458523</v>
      </c>
      <c r="AR73" s="4504">
        <f t="shared" si="32"/>
        <v>10.582490054321529</v>
      </c>
      <c r="AS73" s="4504">
        <f t="shared" si="33"/>
        <v>10.684646172184532</v>
      </c>
      <c r="AT73" s="4504">
        <f t="shared" si="34"/>
        <v>10.786802290047536</v>
      </c>
      <c r="AU73" s="4504">
        <f t="shared" si="35"/>
        <v>10.888958407910541</v>
      </c>
      <c r="AV73" s="4504">
        <f t="shared" si="36"/>
        <v>10.991114525773545</v>
      </c>
      <c r="AW73" s="4504">
        <f t="shared" si="37"/>
        <v>11.093270643636549</v>
      </c>
      <c r="AX73" s="4504">
        <f t="shared" si="38"/>
        <v>2.3111439360978872</v>
      </c>
      <c r="AY73" s="4504">
        <f t="shared" si="39"/>
        <v>2.3111439360978872</v>
      </c>
      <c r="AZ73" s="4504">
        <f t="shared" si="40"/>
        <v>2.3111439360978872</v>
      </c>
      <c r="BA73" s="4504">
        <f t="shared" si="41"/>
        <v>2.3111439360978872</v>
      </c>
      <c r="BB73" s="4504">
        <f t="shared" si="42"/>
        <v>2.3111439360978872</v>
      </c>
      <c r="BC73" s="4504">
        <f t="shared" si="43"/>
        <v>2.3111439360978872</v>
      </c>
      <c r="BD73" s="4504">
        <f t="shared" si="44"/>
        <v>2.3111439360978872</v>
      </c>
      <c r="BE73" s="4504">
        <f t="shared" si="45"/>
        <v>18.941712137588482</v>
      </c>
      <c r="BF73" s="4504">
        <f t="shared" si="46"/>
        <v>18.941712137588482</v>
      </c>
      <c r="BG73" s="4504">
        <f t="shared" si="47"/>
        <v>18.941712137588482</v>
      </c>
      <c r="BH73" s="4504">
        <f t="shared" si="48"/>
        <v>18.941712137588482</v>
      </c>
      <c r="BI73" s="4504">
        <f t="shared" si="49"/>
        <v>18.941712137588482</v>
      </c>
      <c r="BJ73" s="4504">
        <f t="shared" si="50"/>
        <v>18.941712137588482</v>
      </c>
      <c r="BK73" s="4504">
        <f t="shared" si="51"/>
        <v>18.941712137588482</v>
      </c>
      <c r="BL73" s="4504">
        <f t="shared" si="52"/>
        <v>0</v>
      </c>
      <c r="BM73" s="4504">
        <f t="shared" si="53"/>
        <v>0</v>
      </c>
      <c r="BN73" s="4504">
        <f t="shared" si="54"/>
        <v>0</v>
      </c>
      <c r="BO73" s="4504">
        <f t="shared" si="55"/>
        <v>0</v>
      </c>
      <c r="BP73" s="4504">
        <f t="shared" si="56"/>
        <v>0</v>
      </c>
      <c r="BQ73" s="4504">
        <f t="shared" si="57"/>
        <v>0</v>
      </c>
      <c r="BR73" s="4504">
        <f t="shared" si="58"/>
        <v>0</v>
      </c>
      <c r="BS73" s="4504">
        <f t="shared" si="59"/>
        <v>8.105165061614926</v>
      </c>
      <c r="BT73" s="4504">
        <f t="shared" si="60"/>
        <v>8.105165061614926</v>
      </c>
      <c r="BU73" s="4504">
        <f t="shared" si="61"/>
        <v>8.105165061614926</v>
      </c>
      <c r="BV73" s="4504">
        <f t="shared" si="62"/>
        <v>8.105165061614926</v>
      </c>
      <c r="BW73" s="4504">
        <f t="shared" si="63"/>
        <v>8.105165061614926</v>
      </c>
      <c r="BX73" s="4504">
        <f t="shared" si="64"/>
        <v>8.105165061614926</v>
      </c>
      <c r="BY73" s="4504">
        <f t="shared" si="65"/>
        <v>8.105165061614926</v>
      </c>
    </row>
    <row r="74" spans="1:77">
      <c r="A74" s="2564">
        <v>6</v>
      </c>
      <c r="B74" s="2565">
        <v>208</v>
      </c>
      <c r="C74" s="2549">
        <v>0.2</v>
      </c>
      <c r="D74" s="2590" t="s">
        <v>413</v>
      </c>
      <c r="E74" s="4453">
        <f>+'11.3. ДА Базова година'!H54</f>
        <v>50.170675755446346</v>
      </c>
      <c r="F74" s="1228">
        <f t="shared" si="106"/>
        <v>52.518125477214753</v>
      </c>
      <c r="G74" s="1224">
        <f t="shared" si="106"/>
        <v>55.733901677489357</v>
      </c>
      <c r="H74" s="1224">
        <f t="shared" si="106"/>
        <v>59.310067368327971</v>
      </c>
      <c r="I74" s="1224">
        <f t="shared" si="106"/>
        <v>63.24926093288029</v>
      </c>
      <c r="J74" s="1224">
        <f t="shared" si="106"/>
        <v>67.55435058302146</v>
      </c>
      <c r="K74" s="1229">
        <f t="shared" si="106"/>
        <v>72.225833531198788</v>
      </c>
      <c r="L74" s="2679">
        <f>+'11.3. ДА Базова година'!L54</f>
        <v>22.550013929504487</v>
      </c>
      <c r="M74" s="1228">
        <f t="shared" si="107"/>
        <v>23.247952943558122</v>
      </c>
      <c r="N74" s="1224">
        <f t="shared" si="107"/>
        <v>23.955296169696961</v>
      </c>
      <c r="O74" s="1224">
        <f t="shared" si="107"/>
        <v>24.671249201844436</v>
      </c>
      <c r="P74" s="1224">
        <f t="shared" si="107"/>
        <v>25.395254301990903</v>
      </c>
      <c r="Q74" s="1224">
        <f t="shared" si="107"/>
        <v>26.126674628194497</v>
      </c>
      <c r="R74" s="1229">
        <f t="shared" si="107"/>
        <v>26.865453883165596</v>
      </c>
      <c r="S74" s="2679">
        <f>+'11.3. ДА Базова година'!P54</f>
        <v>41.463276864244499</v>
      </c>
      <c r="T74" s="1228">
        <f t="shared" si="108"/>
        <v>42.631290490428078</v>
      </c>
      <c r="U74" s="1224">
        <f t="shared" si="108"/>
        <v>43.821573426020258</v>
      </c>
      <c r="V74" s="1224">
        <f t="shared" si="108"/>
        <v>45.04285706503979</v>
      </c>
      <c r="W74" s="1224">
        <f t="shared" si="108"/>
        <v>46.293060762346627</v>
      </c>
      <c r="X74" s="1224">
        <f t="shared" si="108"/>
        <v>47.569953148007485</v>
      </c>
      <c r="Y74" s="1229">
        <f t="shared" si="108"/>
        <v>48.873093306864689</v>
      </c>
      <c r="Z74" s="4453">
        <f>+'11.3. ДА Базова година'!T54</f>
        <v>0</v>
      </c>
      <c r="AA74" s="1228">
        <f t="shared" si="109"/>
        <v>0</v>
      </c>
      <c r="AB74" s="1224">
        <f t="shared" si="109"/>
        <v>0</v>
      </c>
      <c r="AC74" s="1224">
        <f t="shared" si="109"/>
        <v>0</v>
      </c>
      <c r="AD74" s="1224">
        <f t="shared" si="109"/>
        <v>0</v>
      </c>
      <c r="AE74" s="1224">
        <f t="shared" si="109"/>
        <v>0</v>
      </c>
      <c r="AF74" s="1229">
        <f t="shared" si="109"/>
        <v>0</v>
      </c>
      <c r="AG74" s="2679">
        <f>+'11.3. ДА Базова година'!X54</f>
        <v>1.2371972100674495</v>
      </c>
      <c r="AH74" s="1228">
        <f t="shared" si="110"/>
        <v>1.2686874197039975</v>
      </c>
      <c r="AI74" s="1224">
        <f t="shared" si="110"/>
        <v>1.3001776293405454</v>
      </c>
      <c r="AJ74" s="1224">
        <f t="shared" si="110"/>
        <v>1.3316678389770933</v>
      </c>
      <c r="AK74" s="1224">
        <f t="shared" si="110"/>
        <v>1.3631580486136412</v>
      </c>
      <c r="AL74" s="1224">
        <f t="shared" si="110"/>
        <v>1.3946482582501891</v>
      </c>
      <c r="AM74" s="1229">
        <f t="shared" si="110"/>
        <v>1.426138467886737</v>
      </c>
      <c r="AN74" s="2551"/>
      <c r="AO74" s="2589"/>
      <c r="AP74" s="4488"/>
      <c r="AQ74" s="4504">
        <f t="shared" si="31"/>
        <v>25.651859187887673</v>
      </c>
      <c r="AR74" s="4504">
        <f t="shared" si="32"/>
        <v>26.852091172144181</v>
      </c>
      <c r="AS74" s="4504">
        <f t="shared" si="33"/>
        <v>28.496291435088612</v>
      </c>
      <c r="AT74" s="4504">
        <f t="shared" si="34"/>
        <v>30.32475591862686</v>
      </c>
      <c r="AU74" s="4504">
        <f t="shared" si="35"/>
        <v>32.338833606642851</v>
      </c>
      <c r="AV74" s="4504">
        <f t="shared" si="36"/>
        <v>34.539990992581899</v>
      </c>
      <c r="AW74" s="4504">
        <f t="shared" si="37"/>
        <v>36.928482297131545</v>
      </c>
      <c r="AX74" s="4504">
        <f t="shared" si="38"/>
        <v>11.52963904301728</v>
      </c>
      <c r="AY74" s="4504">
        <f t="shared" si="39"/>
        <v>11.886489594472998</v>
      </c>
      <c r="AZ74" s="4504">
        <f t="shared" si="40"/>
        <v>12.248148443216927</v>
      </c>
      <c r="BA74" s="4504">
        <f t="shared" si="41"/>
        <v>12.614209415871745</v>
      </c>
      <c r="BB74" s="4504">
        <f t="shared" si="42"/>
        <v>12.98438734552129</v>
      </c>
      <c r="BC74" s="4504">
        <f t="shared" si="43"/>
        <v>13.358356620051076</v>
      </c>
      <c r="BD74" s="4504">
        <f t="shared" si="44"/>
        <v>13.736088455113991</v>
      </c>
      <c r="BE74" s="4504">
        <f t="shared" si="45"/>
        <v>21.199836828479214</v>
      </c>
      <c r="BF74" s="4504">
        <f t="shared" si="46"/>
        <v>21.797032712673431</v>
      </c>
      <c r="BG74" s="4504">
        <f t="shared" si="47"/>
        <v>22.405614713968117</v>
      </c>
      <c r="BH74" s="4504">
        <f t="shared" si="48"/>
        <v>23.030047123236574</v>
      </c>
      <c r="BI74" s="4504">
        <f t="shared" si="49"/>
        <v>23.669266123511054</v>
      </c>
      <c r="BJ74" s="4504">
        <f t="shared" si="50"/>
        <v>24.322130833460722</v>
      </c>
      <c r="BK74" s="4504">
        <f t="shared" si="51"/>
        <v>24.98841581674516</v>
      </c>
      <c r="BL74" s="4504">
        <f t="shared" si="52"/>
        <v>0</v>
      </c>
      <c r="BM74" s="4504">
        <f t="shared" si="53"/>
        <v>0</v>
      </c>
      <c r="BN74" s="4504">
        <f t="shared" si="54"/>
        <v>0</v>
      </c>
      <c r="BO74" s="4504">
        <f t="shared" si="55"/>
        <v>0</v>
      </c>
      <c r="BP74" s="4504">
        <f t="shared" si="56"/>
        <v>0</v>
      </c>
      <c r="BQ74" s="4504">
        <f t="shared" si="57"/>
        <v>0</v>
      </c>
      <c r="BR74" s="4504">
        <f t="shared" si="58"/>
        <v>0</v>
      </c>
      <c r="BS74" s="4504">
        <f t="shared" si="59"/>
        <v>0.63256888894609942</v>
      </c>
      <c r="BT74" s="4504">
        <f t="shared" si="60"/>
        <v>0.6486695774704333</v>
      </c>
      <c r="BU74" s="4504">
        <f t="shared" si="61"/>
        <v>0.66477026599476718</v>
      </c>
      <c r="BV74" s="4504">
        <f t="shared" si="62"/>
        <v>0.68087095451910096</v>
      </c>
      <c r="BW74" s="4504">
        <f t="shared" si="63"/>
        <v>0.69697164304343484</v>
      </c>
      <c r="BX74" s="4504">
        <f t="shared" si="64"/>
        <v>0.71307233156776872</v>
      </c>
      <c r="BY74" s="4504">
        <f t="shared" si="65"/>
        <v>0.72917302009210261</v>
      </c>
    </row>
    <row r="75" spans="1:77">
      <c r="A75" s="2564">
        <v>7</v>
      </c>
      <c r="B75" s="2568">
        <v>20601</v>
      </c>
      <c r="C75" s="2560">
        <v>0.1</v>
      </c>
      <c r="D75" s="2590" t="s">
        <v>564</v>
      </c>
      <c r="E75" s="4453">
        <f>+'11.3. ДА Базова година'!H55</f>
        <v>3.6326919949623986</v>
      </c>
      <c r="F75" s="1228">
        <f>E75+F50</f>
        <v>4.5233767079373459</v>
      </c>
      <c r="G75" s="1224">
        <f t="shared" si="106"/>
        <v>5.7038733355553699</v>
      </c>
      <c r="H75" s="1224">
        <f t="shared" si="106"/>
        <v>7.0689123739686277</v>
      </c>
      <c r="I75" s="1224">
        <f t="shared" si="106"/>
        <v>8.6180339950205109</v>
      </c>
      <c r="J75" s="1224">
        <f t="shared" si="106"/>
        <v>10.351631097438606</v>
      </c>
      <c r="K75" s="1229">
        <f t="shared" si="106"/>
        <v>12.269523814136681</v>
      </c>
      <c r="L75" s="2679">
        <f>+'11.3. ДА Базова година'!L55</f>
        <v>0.66737373376922393</v>
      </c>
      <c r="M75" s="1228">
        <f t="shared" si="107"/>
        <v>0.81035413394397093</v>
      </c>
      <c r="N75" s="1224">
        <f t="shared" si="107"/>
        <v>0.95640521852721294</v>
      </c>
      <c r="O75" s="1224">
        <f t="shared" si="107"/>
        <v>1.1060070085512872</v>
      </c>
      <c r="P75" s="1224">
        <f t="shared" si="107"/>
        <v>1.2592017514504068</v>
      </c>
      <c r="Q75" s="1224">
        <f t="shared" si="107"/>
        <v>1.4158629967829679</v>
      </c>
      <c r="R75" s="1229">
        <f t="shared" si="107"/>
        <v>1.5760281514238423</v>
      </c>
      <c r="S75" s="2679">
        <f>+'11.3. ДА Базова година'!P55</f>
        <v>2.6341070970174596</v>
      </c>
      <c r="T75" s="1228">
        <f t="shared" si="108"/>
        <v>2.8453900116344264</v>
      </c>
      <c r="U75" s="1224">
        <f t="shared" si="108"/>
        <v>3.0637903271998219</v>
      </c>
      <c r="V75" s="1224">
        <f t="shared" si="108"/>
        <v>3.2940975265291521</v>
      </c>
      <c r="W75" s="1224">
        <f t="shared" si="108"/>
        <v>3.5367291903448108</v>
      </c>
      <c r="X75" s="1224">
        <f t="shared" si="108"/>
        <v>3.7914188703608165</v>
      </c>
      <c r="Y75" s="1229">
        <f t="shared" si="108"/>
        <v>4.0583090267885291</v>
      </c>
      <c r="Z75" s="4453">
        <f>+'11.3. ДА Базова година'!T55</f>
        <v>0</v>
      </c>
      <c r="AA75" s="1228">
        <f t="shared" si="109"/>
        <v>0</v>
      </c>
      <c r="AB75" s="1224">
        <f t="shared" si="109"/>
        <v>0</v>
      </c>
      <c r="AC75" s="1224">
        <f t="shared" si="109"/>
        <v>0</v>
      </c>
      <c r="AD75" s="1224">
        <f t="shared" si="109"/>
        <v>0</v>
      </c>
      <c r="AE75" s="1224">
        <f t="shared" si="109"/>
        <v>0</v>
      </c>
      <c r="AF75" s="1229">
        <f t="shared" si="109"/>
        <v>0</v>
      </c>
      <c r="AG75" s="2679">
        <f>+'11.3. ДА Базова година'!X55</f>
        <v>1.3201475313667915E-2</v>
      </c>
      <c r="AH75" s="1228">
        <f t="shared" si="110"/>
        <v>1.8593596880204E-2</v>
      </c>
      <c r="AI75" s="1224">
        <f t="shared" si="110"/>
        <v>2.3985718446740086E-2</v>
      </c>
      <c r="AJ75" s="1224">
        <f t="shared" si="110"/>
        <v>2.9377840013276171E-2</v>
      </c>
      <c r="AK75" s="1224">
        <f t="shared" si="110"/>
        <v>3.4769961579812256E-2</v>
      </c>
      <c r="AL75" s="1224">
        <f t="shared" si="110"/>
        <v>4.0162083146348337E-2</v>
      </c>
      <c r="AM75" s="1229">
        <f t="shared" si="110"/>
        <v>4.5554204712884419E-2</v>
      </c>
      <c r="AN75" s="2551"/>
      <c r="AO75" s="2589"/>
      <c r="AP75" s="4488"/>
      <c r="AQ75" s="4504">
        <f t="shared" ref="AQ75:AQ109" si="111">IFERROR(E75/$D$1,0)</f>
        <v>1.8573659239107687</v>
      </c>
      <c r="AR75" s="4504">
        <f t="shared" ref="AR75:AR109" si="112">IFERROR(F75/$D$1,0)</f>
        <v>2.3127657863604436</v>
      </c>
      <c r="AS75" s="4504">
        <f t="shared" ref="AS75:AS109" si="113">IFERROR(G75/$D$1,0)</f>
        <v>2.9163441278410547</v>
      </c>
      <c r="AT75" s="4504">
        <f t="shared" ref="AT75:AT109" si="114">IFERROR(H75/$D$1,0)</f>
        <v>3.6142775056976464</v>
      </c>
      <c r="AU75" s="4504">
        <f t="shared" ref="AU75:AU109" si="115">IFERROR(I75/$D$1,0)</f>
        <v>4.4063308135269992</v>
      </c>
      <c r="AV75" s="4504">
        <f t="shared" ref="AV75:AV109" si="116">IFERROR(J75/$D$1,0)</f>
        <v>5.2927049372586605</v>
      </c>
      <c r="AW75" s="4504">
        <f t="shared" ref="AW75:AW109" si="117">IFERROR(K75/$D$1,0)</f>
        <v>6.2733079123117452</v>
      </c>
      <c r="AX75" s="4504">
        <f t="shared" ref="AX75:AX109" si="118">IFERROR(L75/$D$1,0)</f>
        <v>0.34122277179981081</v>
      </c>
      <c r="AY75" s="4504">
        <f t="shared" ref="AY75:AY109" si="119">IFERROR(M75/$D$1,0)</f>
        <v>0.41432748957934534</v>
      </c>
      <c r="AZ75" s="4504">
        <f t="shared" ref="AZ75:AZ109" si="120">IFERROR(N75/$D$1,0)</f>
        <v>0.48900222336665916</v>
      </c>
      <c r="BA75" s="4504">
        <f t="shared" ref="BA75:BA109" si="121">IFERROR(O75/$D$1,0)</f>
        <v>0.56549240401838974</v>
      </c>
      <c r="BB75" s="4504">
        <f t="shared" ref="BB75:BB109" si="122">IFERROR(P75/$D$1,0)</f>
        <v>0.64381963230465167</v>
      </c>
      <c r="BC75" s="4504">
        <f t="shared" ref="BC75:BC109" si="123">IFERROR(Q75/$D$1,0)</f>
        <v>0.72391925514127908</v>
      </c>
      <c r="BD75" s="4504">
        <f t="shared" ref="BD75:BD109" si="124">IFERROR(R75/$D$1,0)</f>
        <v>0.80581039835969503</v>
      </c>
      <c r="BE75" s="4504">
        <f t="shared" ref="BE75:BE109" si="125">IFERROR(S75/$D$1,0)</f>
        <v>1.346797572906367</v>
      </c>
      <c r="BF75" s="4504">
        <f t="shared" ref="BF75:BF109" si="126">IFERROR(T75/$D$1,0)</f>
        <v>1.4548248117854958</v>
      </c>
      <c r="BG75" s="4504">
        <f t="shared" ref="BG75:BG109" si="127">IFERROR(U75/$D$1,0)</f>
        <v>1.5664911199847746</v>
      </c>
      <c r="BH75" s="4504">
        <f t="shared" ref="BH75:BH109" si="128">IFERROR(V75/$D$1,0)</f>
        <v>1.6842453211829005</v>
      </c>
      <c r="BI75" s="4504">
        <f t="shared" ref="BI75:BI109" si="129">IFERROR(W75/$D$1,0)</f>
        <v>1.808300921012977</v>
      </c>
      <c r="BJ75" s="4504">
        <f t="shared" ref="BJ75:BJ109" si="130">IFERROR(X75/$D$1,0)</f>
        <v>1.9385216866296235</v>
      </c>
      <c r="BK75" s="4504">
        <f t="shared" ref="BK75:BK109" si="131">IFERROR(Y75/$D$1,0)</f>
        <v>2.0749804567823018</v>
      </c>
      <c r="BL75" s="4504">
        <f t="shared" ref="BL75:BL109" si="132">IFERROR(Z75/$D$1,0)</f>
        <v>0</v>
      </c>
      <c r="BM75" s="4504">
        <f t="shared" ref="BM75:BM109" si="133">IFERROR(AA75/$D$1,0)</f>
        <v>0</v>
      </c>
      <c r="BN75" s="4504">
        <f t="shared" ref="BN75:BN109" si="134">IFERROR(AB75/$D$1,0)</f>
        <v>0</v>
      </c>
      <c r="BO75" s="4504">
        <f t="shared" ref="BO75:BO109" si="135">IFERROR(AC75/$D$1,0)</f>
        <v>0</v>
      </c>
      <c r="BP75" s="4504">
        <f t="shared" ref="BP75:BP109" si="136">IFERROR(AD75/$D$1,0)</f>
        <v>0</v>
      </c>
      <c r="BQ75" s="4504">
        <f t="shared" ref="BQ75:BQ109" si="137">IFERROR(AE75/$D$1,0)</f>
        <v>0</v>
      </c>
      <c r="BR75" s="4504">
        <f t="shared" ref="BR75:BR109" si="138">IFERROR(AF75/$D$1,0)</f>
        <v>0</v>
      </c>
      <c r="BS75" s="4504">
        <f t="shared" ref="BS75:BS109" si="139">IFERROR(AG75/$D$1,0)</f>
        <v>6.7498071476907069E-3</v>
      </c>
      <c r="BT75" s="4504">
        <f t="shared" ref="BT75:BT109" si="140">IFERROR(AH75/$D$1,0)</f>
        <v>9.5067551270836426E-3</v>
      </c>
      <c r="BU75" s="4504">
        <f t="shared" ref="BU75:BU109" si="141">IFERROR(AI75/$D$1,0)</f>
        <v>1.2263703106476578E-2</v>
      </c>
      <c r="BV75" s="4504">
        <f t="shared" ref="BV75:BV109" si="142">IFERROR(AJ75/$D$1,0)</f>
        <v>1.5020651085869514E-2</v>
      </c>
      <c r="BW75" s="4504">
        <f t="shared" ref="BW75:BW109" si="143">IFERROR(AK75/$D$1,0)</f>
        <v>1.777759906526245E-2</v>
      </c>
      <c r="BX75" s="4504">
        <f t="shared" ref="BX75:BX109" si="144">IFERROR(AL75/$D$1,0)</f>
        <v>2.0534547044655384E-2</v>
      </c>
      <c r="BY75" s="4504">
        <f t="shared" ref="BY75:BY109" si="145">IFERROR(AM75/$D$1,0)</f>
        <v>2.3291495024048318E-2</v>
      </c>
    </row>
    <row r="76" spans="1:77">
      <c r="A76" s="2569">
        <v>8</v>
      </c>
      <c r="B76" s="2568">
        <v>20602</v>
      </c>
      <c r="C76" s="2560">
        <v>0.1</v>
      </c>
      <c r="D76" s="2590" t="s">
        <v>435</v>
      </c>
      <c r="E76" s="4453">
        <f>+'11.3. ДА Базова година'!H56</f>
        <v>39.228338606209817</v>
      </c>
      <c r="F76" s="1228">
        <f>E76+F51</f>
        <v>39.595896419739049</v>
      </c>
      <c r="G76" s="1224">
        <f t="shared" si="106"/>
        <v>39.96345423326828</v>
      </c>
      <c r="H76" s="1224">
        <f t="shared" si="106"/>
        <v>40.331012046797511</v>
      </c>
      <c r="I76" s="1224">
        <f t="shared" si="106"/>
        <v>40.698569860326742</v>
      </c>
      <c r="J76" s="1224">
        <f t="shared" si="106"/>
        <v>41.066127673855974</v>
      </c>
      <c r="K76" s="1229">
        <f t="shared" si="106"/>
        <v>41.433685487385205</v>
      </c>
      <c r="L76" s="2679">
        <f>+'11.3. ДА Базова година'!L56</f>
        <v>6.6545420849990684</v>
      </c>
      <c r="M76" s="1228">
        <f t="shared" si="107"/>
        <v>6.9206828141995071</v>
      </c>
      <c r="N76" s="1224">
        <f t="shared" si="107"/>
        <v>7.1868235433999459</v>
      </c>
      <c r="O76" s="1224">
        <f t="shared" si="107"/>
        <v>7.4529642726003846</v>
      </c>
      <c r="P76" s="1224">
        <f t="shared" si="107"/>
        <v>7.7191050018008234</v>
      </c>
      <c r="Q76" s="1224">
        <f t="shared" si="107"/>
        <v>7.9852457310012621</v>
      </c>
      <c r="R76" s="1229">
        <f t="shared" si="107"/>
        <v>8.2513864602017009</v>
      </c>
      <c r="S76" s="2679">
        <f>+'11.3. ДА Базова година'!P56</f>
        <v>6.8850119303186474</v>
      </c>
      <c r="T76" s="1228">
        <f t="shared" si="108"/>
        <v>7.2097521964513005</v>
      </c>
      <c r="U76" s="1224">
        <f>T76+U51</f>
        <v>7.5344924625839536</v>
      </c>
      <c r="V76" s="1224">
        <f t="shared" si="108"/>
        <v>7.8592327287166066</v>
      </c>
      <c r="W76" s="1224">
        <f t="shared" si="108"/>
        <v>8.1839729948492597</v>
      </c>
      <c r="X76" s="1224">
        <f t="shared" si="108"/>
        <v>8.5087132609819136</v>
      </c>
      <c r="Y76" s="1229">
        <f t="shared" si="108"/>
        <v>8.8334535271145675</v>
      </c>
      <c r="Z76" s="4453">
        <f>+'11.3. ДА Базова година'!T56</f>
        <v>0</v>
      </c>
      <c r="AA76" s="1228">
        <f t="shared" si="109"/>
        <v>0</v>
      </c>
      <c r="AB76" s="1224">
        <f>AA76+AB51</f>
        <v>0</v>
      </c>
      <c r="AC76" s="1224">
        <f t="shared" si="109"/>
        <v>0</v>
      </c>
      <c r="AD76" s="1224">
        <f t="shared" si="109"/>
        <v>0</v>
      </c>
      <c r="AE76" s="1224">
        <f t="shared" si="109"/>
        <v>0</v>
      </c>
      <c r="AF76" s="1229">
        <f t="shared" si="109"/>
        <v>0</v>
      </c>
      <c r="AG76" s="2679">
        <f>+'11.3. ДА Базова година'!X56</f>
        <v>0.27697721870901332</v>
      </c>
      <c r="AH76" s="1228">
        <f t="shared" si="110"/>
        <v>0.28730804490961387</v>
      </c>
      <c r="AI76" s="1224">
        <f>AH76+AI51</f>
        <v>0.29763887111021442</v>
      </c>
      <c r="AJ76" s="1224">
        <f t="shared" si="110"/>
        <v>0.30796969731081497</v>
      </c>
      <c r="AK76" s="1224">
        <f t="shared" si="110"/>
        <v>0.31830052351141552</v>
      </c>
      <c r="AL76" s="1224">
        <f t="shared" si="110"/>
        <v>0.32863134971201607</v>
      </c>
      <c r="AM76" s="1229">
        <f t="shared" si="110"/>
        <v>0.33896217591261663</v>
      </c>
      <c r="AN76" s="2551"/>
      <c r="AO76" s="2589"/>
      <c r="AP76" s="4488"/>
      <c r="AQ76" s="4504">
        <f t="shared" si="111"/>
        <v>20.05713104217126</v>
      </c>
      <c r="AR76" s="4504">
        <f t="shared" si="112"/>
        <v>20.24506036809899</v>
      </c>
      <c r="AS76" s="4504">
        <f t="shared" si="113"/>
        <v>20.43298969402672</v>
      </c>
      <c r="AT76" s="4504">
        <f t="shared" si="114"/>
        <v>20.620919019954449</v>
      </c>
      <c r="AU76" s="4504">
        <f t="shared" si="115"/>
        <v>20.808848345882179</v>
      </c>
      <c r="AV76" s="4504">
        <f t="shared" si="116"/>
        <v>20.996777671809909</v>
      </c>
      <c r="AW76" s="4504">
        <f t="shared" si="117"/>
        <v>21.184706997737639</v>
      </c>
      <c r="AX76" s="4504">
        <f t="shared" si="118"/>
        <v>3.4024133411385797</v>
      </c>
      <c r="AY76" s="4504">
        <f t="shared" si="119"/>
        <v>3.5384889352344056</v>
      </c>
      <c r="AZ76" s="4504">
        <f t="shared" si="120"/>
        <v>3.6745645293302314</v>
      </c>
      <c r="BA76" s="4504">
        <f t="shared" si="121"/>
        <v>3.8106401234260567</v>
      </c>
      <c r="BB76" s="4504">
        <f t="shared" si="122"/>
        <v>3.9467157175218825</v>
      </c>
      <c r="BC76" s="4504">
        <f t="shared" si="123"/>
        <v>4.0827913116177079</v>
      </c>
      <c r="BD76" s="4504">
        <f t="shared" si="124"/>
        <v>4.2188669057135337</v>
      </c>
      <c r="BE76" s="4504">
        <f t="shared" si="125"/>
        <v>3.5202507019110287</v>
      </c>
      <c r="BF76" s="4504">
        <f t="shared" si="126"/>
        <v>3.6862877634821536</v>
      </c>
      <c r="BG76" s="4504">
        <f t="shared" si="127"/>
        <v>3.8523248250532784</v>
      </c>
      <c r="BH76" s="4504">
        <f t="shared" si="128"/>
        <v>4.0183618866244037</v>
      </c>
      <c r="BI76" s="4504">
        <f t="shared" si="129"/>
        <v>4.1843989481955282</v>
      </c>
      <c r="BJ76" s="4504">
        <f t="shared" si="130"/>
        <v>4.3504360097666535</v>
      </c>
      <c r="BK76" s="4504">
        <f t="shared" si="131"/>
        <v>4.5164730713377788</v>
      </c>
      <c r="BL76" s="4504">
        <f t="shared" si="132"/>
        <v>0</v>
      </c>
      <c r="BM76" s="4504">
        <f t="shared" si="133"/>
        <v>0</v>
      </c>
      <c r="BN76" s="4504">
        <f t="shared" si="134"/>
        <v>0</v>
      </c>
      <c r="BO76" s="4504">
        <f t="shared" si="135"/>
        <v>0</v>
      </c>
      <c r="BP76" s="4504">
        <f t="shared" si="136"/>
        <v>0</v>
      </c>
      <c r="BQ76" s="4504">
        <f t="shared" si="137"/>
        <v>0</v>
      </c>
      <c r="BR76" s="4504">
        <f t="shared" si="138"/>
        <v>0</v>
      </c>
      <c r="BS76" s="4504">
        <f t="shared" si="139"/>
        <v>0.14161620320222787</v>
      </c>
      <c r="BT76" s="4504">
        <f t="shared" si="140"/>
        <v>0.1468982707646441</v>
      </c>
      <c r="BU76" s="4504">
        <f t="shared" si="141"/>
        <v>0.15218033832706035</v>
      </c>
      <c r="BV76" s="4504">
        <f t="shared" si="142"/>
        <v>0.15746240588947658</v>
      </c>
      <c r="BW76" s="4504">
        <f t="shared" si="143"/>
        <v>0.16274447345189283</v>
      </c>
      <c r="BX76" s="4504">
        <f t="shared" si="144"/>
        <v>0.16802654101430906</v>
      </c>
      <c r="BY76" s="4504">
        <f t="shared" si="145"/>
        <v>0.17330860857672528</v>
      </c>
    </row>
    <row r="77" spans="1:77">
      <c r="A77" s="2569">
        <v>9</v>
      </c>
      <c r="B77" s="2565">
        <v>20603</v>
      </c>
      <c r="C77" s="2560">
        <v>0.5</v>
      </c>
      <c r="D77" s="2590" t="s">
        <v>1015</v>
      </c>
      <c r="E77" s="4453">
        <f>+'11.3. ДА Базова година'!H57</f>
        <v>0</v>
      </c>
      <c r="F77" s="1228">
        <f t="shared" ref="F77:K84" si="146">E77+F52</f>
        <v>0</v>
      </c>
      <c r="G77" s="1224">
        <f t="shared" si="146"/>
        <v>0</v>
      </c>
      <c r="H77" s="1224">
        <f t="shared" si="146"/>
        <v>0</v>
      </c>
      <c r="I77" s="1224">
        <f t="shared" si="146"/>
        <v>0</v>
      </c>
      <c r="J77" s="1224">
        <f t="shared" si="146"/>
        <v>0</v>
      </c>
      <c r="K77" s="1229">
        <f t="shared" si="146"/>
        <v>0</v>
      </c>
      <c r="L77" s="2679">
        <f>+'11.3. ДА Базова година'!L57</f>
        <v>0</v>
      </c>
      <c r="M77" s="1228">
        <f>L77+M52</f>
        <v>0</v>
      </c>
      <c r="N77" s="1224">
        <f t="shared" si="107"/>
        <v>0</v>
      </c>
      <c r="O77" s="1224">
        <f t="shared" si="107"/>
        <v>0</v>
      </c>
      <c r="P77" s="1224">
        <f t="shared" si="107"/>
        <v>0</v>
      </c>
      <c r="Q77" s="1224">
        <f t="shared" si="107"/>
        <v>0</v>
      </c>
      <c r="R77" s="1229">
        <f t="shared" si="107"/>
        <v>0</v>
      </c>
      <c r="S77" s="2679">
        <f>+'11.3. ДА Базова година'!P57</f>
        <v>0</v>
      </c>
      <c r="T77" s="1228">
        <f t="shared" si="108"/>
        <v>0</v>
      </c>
      <c r="U77" s="1224">
        <f t="shared" si="108"/>
        <v>0</v>
      </c>
      <c r="V77" s="1224">
        <f t="shared" si="108"/>
        <v>0</v>
      </c>
      <c r="W77" s="1224">
        <f t="shared" si="108"/>
        <v>0</v>
      </c>
      <c r="X77" s="1224">
        <f t="shared" si="108"/>
        <v>0</v>
      </c>
      <c r="Y77" s="1229">
        <f t="shared" si="108"/>
        <v>0</v>
      </c>
      <c r="Z77" s="4453">
        <f>+'11.3. ДА Базова година'!T57</f>
        <v>0</v>
      </c>
      <c r="AA77" s="1228">
        <f t="shared" si="109"/>
        <v>0</v>
      </c>
      <c r="AB77" s="1224">
        <f t="shared" si="109"/>
        <v>0</v>
      </c>
      <c r="AC77" s="1224">
        <f t="shared" si="109"/>
        <v>0</v>
      </c>
      <c r="AD77" s="1224">
        <f t="shared" si="109"/>
        <v>0</v>
      </c>
      <c r="AE77" s="1224">
        <f t="shared" si="109"/>
        <v>0</v>
      </c>
      <c r="AF77" s="1229">
        <f t="shared" si="109"/>
        <v>0</v>
      </c>
      <c r="AG77" s="2679">
        <f>+'11.3. ДА Базова година'!X57</f>
        <v>0</v>
      </c>
      <c r="AH77" s="1228">
        <f t="shared" si="110"/>
        <v>0</v>
      </c>
      <c r="AI77" s="1224">
        <f t="shared" si="110"/>
        <v>0</v>
      </c>
      <c r="AJ77" s="1224">
        <f t="shared" si="110"/>
        <v>0</v>
      </c>
      <c r="AK77" s="1224">
        <f t="shared" si="110"/>
        <v>0</v>
      </c>
      <c r="AL77" s="1224">
        <f t="shared" si="110"/>
        <v>0</v>
      </c>
      <c r="AM77" s="1229">
        <f t="shared" si="110"/>
        <v>0</v>
      </c>
      <c r="AN77" s="2551"/>
      <c r="AO77" s="2589"/>
      <c r="AP77" s="4488"/>
      <c r="AQ77" s="4504">
        <f t="shared" si="111"/>
        <v>0</v>
      </c>
      <c r="AR77" s="4504">
        <f t="shared" si="112"/>
        <v>0</v>
      </c>
      <c r="AS77" s="4504">
        <f t="shared" si="113"/>
        <v>0</v>
      </c>
      <c r="AT77" s="4504">
        <f t="shared" si="114"/>
        <v>0</v>
      </c>
      <c r="AU77" s="4504">
        <f t="shared" si="115"/>
        <v>0</v>
      </c>
      <c r="AV77" s="4504">
        <f t="shared" si="116"/>
        <v>0</v>
      </c>
      <c r="AW77" s="4504">
        <f t="shared" si="117"/>
        <v>0</v>
      </c>
      <c r="AX77" s="4504">
        <f t="shared" si="118"/>
        <v>0</v>
      </c>
      <c r="AY77" s="4504">
        <f t="shared" si="119"/>
        <v>0</v>
      </c>
      <c r="AZ77" s="4504">
        <f t="shared" si="120"/>
        <v>0</v>
      </c>
      <c r="BA77" s="4504">
        <f t="shared" si="121"/>
        <v>0</v>
      </c>
      <c r="BB77" s="4504">
        <f t="shared" si="122"/>
        <v>0</v>
      </c>
      <c r="BC77" s="4504">
        <f t="shared" si="123"/>
        <v>0</v>
      </c>
      <c r="BD77" s="4504">
        <f t="shared" si="124"/>
        <v>0</v>
      </c>
      <c r="BE77" s="4504">
        <f t="shared" si="125"/>
        <v>0</v>
      </c>
      <c r="BF77" s="4504">
        <f t="shared" si="126"/>
        <v>0</v>
      </c>
      <c r="BG77" s="4504">
        <f t="shared" si="127"/>
        <v>0</v>
      </c>
      <c r="BH77" s="4504">
        <f t="shared" si="128"/>
        <v>0</v>
      </c>
      <c r="BI77" s="4504">
        <f t="shared" si="129"/>
        <v>0</v>
      </c>
      <c r="BJ77" s="4504">
        <f t="shared" si="130"/>
        <v>0</v>
      </c>
      <c r="BK77" s="4504">
        <f t="shared" si="131"/>
        <v>0</v>
      </c>
      <c r="BL77" s="4504">
        <f t="shared" si="132"/>
        <v>0</v>
      </c>
      <c r="BM77" s="4504">
        <f t="shared" si="133"/>
        <v>0</v>
      </c>
      <c r="BN77" s="4504">
        <f t="shared" si="134"/>
        <v>0</v>
      </c>
      <c r="BO77" s="4504">
        <f t="shared" si="135"/>
        <v>0</v>
      </c>
      <c r="BP77" s="4504">
        <f t="shared" si="136"/>
        <v>0</v>
      </c>
      <c r="BQ77" s="4504">
        <f t="shared" si="137"/>
        <v>0</v>
      </c>
      <c r="BR77" s="4504">
        <f t="shared" si="138"/>
        <v>0</v>
      </c>
      <c r="BS77" s="4504">
        <f t="shared" si="139"/>
        <v>0</v>
      </c>
      <c r="BT77" s="4504">
        <f t="shared" si="140"/>
        <v>0</v>
      </c>
      <c r="BU77" s="4504">
        <f t="shared" si="141"/>
        <v>0</v>
      </c>
      <c r="BV77" s="4504">
        <f t="shared" si="142"/>
        <v>0</v>
      </c>
      <c r="BW77" s="4504">
        <f t="shared" si="143"/>
        <v>0</v>
      </c>
      <c r="BX77" s="4504">
        <f t="shared" si="144"/>
        <v>0</v>
      </c>
      <c r="BY77" s="4504">
        <f t="shared" si="145"/>
        <v>0</v>
      </c>
    </row>
    <row r="78" spans="1:77">
      <c r="A78" s="2569">
        <v>10</v>
      </c>
      <c r="B78" s="2565">
        <v>209</v>
      </c>
      <c r="C78" s="2549">
        <v>0.1</v>
      </c>
      <c r="D78" s="2590" t="s">
        <v>213</v>
      </c>
      <c r="E78" s="4453">
        <f>+'11.3. ДА Базова година'!H58</f>
        <v>0</v>
      </c>
      <c r="F78" s="1228">
        <f t="shared" si="146"/>
        <v>0</v>
      </c>
      <c r="G78" s="1224">
        <f t="shared" si="146"/>
        <v>0</v>
      </c>
      <c r="H78" s="1224">
        <f t="shared" si="146"/>
        <v>0</v>
      </c>
      <c r="I78" s="1224">
        <f t="shared" si="146"/>
        <v>0</v>
      </c>
      <c r="J78" s="1224">
        <f t="shared" si="146"/>
        <v>0</v>
      </c>
      <c r="K78" s="1229">
        <f t="shared" si="146"/>
        <v>0</v>
      </c>
      <c r="L78" s="2679">
        <f>+'11.3. ДА Базова година'!L58</f>
        <v>0</v>
      </c>
      <c r="M78" s="1228">
        <f t="shared" ref="M78:R84" si="147">L78+M53</f>
        <v>0</v>
      </c>
      <c r="N78" s="1224">
        <f t="shared" si="147"/>
        <v>0</v>
      </c>
      <c r="O78" s="1224">
        <f t="shared" si="147"/>
        <v>0</v>
      </c>
      <c r="P78" s="1224">
        <f t="shared" si="147"/>
        <v>0</v>
      </c>
      <c r="Q78" s="1224">
        <f t="shared" si="147"/>
        <v>0</v>
      </c>
      <c r="R78" s="1229">
        <f t="shared" si="147"/>
        <v>0</v>
      </c>
      <c r="S78" s="2679">
        <f>+'11.3. ДА Базова година'!P58</f>
        <v>0</v>
      </c>
      <c r="T78" s="1228">
        <f t="shared" si="108"/>
        <v>0</v>
      </c>
      <c r="U78" s="1224">
        <f t="shared" si="108"/>
        <v>0</v>
      </c>
      <c r="V78" s="1224">
        <f t="shared" si="108"/>
        <v>0</v>
      </c>
      <c r="W78" s="1224">
        <f t="shared" si="108"/>
        <v>0</v>
      </c>
      <c r="X78" s="1224">
        <f t="shared" si="108"/>
        <v>0</v>
      </c>
      <c r="Y78" s="1229">
        <f t="shared" si="108"/>
        <v>0</v>
      </c>
      <c r="Z78" s="4453">
        <f>+'11.3. ДА Базова година'!T58</f>
        <v>0</v>
      </c>
      <c r="AA78" s="1228">
        <f t="shared" si="109"/>
        <v>0</v>
      </c>
      <c r="AB78" s="1224">
        <f t="shared" si="109"/>
        <v>0</v>
      </c>
      <c r="AC78" s="1224">
        <f t="shared" si="109"/>
        <v>0</v>
      </c>
      <c r="AD78" s="1224">
        <f t="shared" si="109"/>
        <v>0</v>
      </c>
      <c r="AE78" s="1224">
        <f t="shared" si="109"/>
        <v>0</v>
      </c>
      <c r="AF78" s="1229">
        <f t="shared" si="109"/>
        <v>0</v>
      </c>
      <c r="AG78" s="2679">
        <f>+'11.3. ДА Базова година'!X58</f>
        <v>0</v>
      </c>
      <c r="AH78" s="1228">
        <f t="shared" si="110"/>
        <v>0</v>
      </c>
      <c r="AI78" s="1224">
        <f t="shared" si="110"/>
        <v>0</v>
      </c>
      <c r="AJ78" s="1224">
        <f t="shared" si="110"/>
        <v>0</v>
      </c>
      <c r="AK78" s="1224">
        <f t="shared" si="110"/>
        <v>0</v>
      </c>
      <c r="AL78" s="1224">
        <f t="shared" si="110"/>
        <v>0</v>
      </c>
      <c r="AM78" s="1229">
        <f t="shared" si="110"/>
        <v>0</v>
      </c>
      <c r="AN78" s="2551"/>
      <c r="AO78" s="2589"/>
      <c r="AP78" s="4488"/>
      <c r="AQ78" s="4504">
        <f t="shared" si="111"/>
        <v>0</v>
      </c>
      <c r="AR78" s="4504">
        <f t="shared" si="112"/>
        <v>0</v>
      </c>
      <c r="AS78" s="4504">
        <f t="shared" si="113"/>
        <v>0</v>
      </c>
      <c r="AT78" s="4504">
        <f t="shared" si="114"/>
        <v>0</v>
      </c>
      <c r="AU78" s="4504">
        <f t="shared" si="115"/>
        <v>0</v>
      </c>
      <c r="AV78" s="4504">
        <f t="shared" si="116"/>
        <v>0</v>
      </c>
      <c r="AW78" s="4504">
        <f t="shared" si="117"/>
        <v>0</v>
      </c>
      <c r="AX78" s="4504">
        <f t="shared" si="118"/>
        <v>0</v>
      </c>
      <c r="AY78" s="4504">
        <f t="shared" si="119"/>
        <v>0</v>
      </c>
      <c r="AZ78" s="4504">
        <f t="shared" si="120"/>
        <v>0</v>
      </c>
      <c r="BA78" s="4504">
        <f t="shared" si="121"/>
        <v>0</v>
      </c>
      <c r="BB78" s="4504">
        <f t="shared" si="122"/>
        <v>0</v>
      </c>
      <c r="BC78" s="4504">
        <f t="shared" si="123"/>
        <v>0</v>
      </c>
      <c r="BD78" s="4504">
        <f t="shared" si="124"/>
        <v>0</v>
      </c>
      <c r="BE78" s="4504">
        <f t="shared" si="125"/>
        <v>0</v>
      </c>
      <c r="BF78" s="4504">
        <f t="shared" si="126"/>
        <v>0</v>
      </c>
      <c r="BG78" s="4504">
        <f t="shared" si="127"/>
        <v>0</v>
      </c>
      <c r="BH78" s="4504">
        <f t="shared" si="128"/>
        <v>0</v>
      </c>
      <c r="BI78" s="4504">
        <f t="shared" si="129"/>
        <v>0</v>
      </c>
      <c r="BJ78" s="4504">
        <f t="shared" si="130"/>
        <v>0</v>
      </c>
      <c r="BK78" s="4504">
        <f t="shared" si="131"/>
        <v>0</v>
      </c>
      <c r="BL78" s="4504">
        <f t="shared" si="132"/>
        <v>0</v>
      </c>
      <c r="BM78" s="4504">
        <f t="shared" si="133"/>
        <v>0</v>
      </c>
      <c r="BN78" s="4504">
        <f t="shared" si="134"/>
        <v>0</v>
      </c>
      <c r="BO78" s="4504">
        <f t="shared" si="135"/>
        <v>0</v>
      </c>
      <c r="BP78" s="4504">
        <f t="shared" si="136"/>
        <v>0</v>
      </c>
      <c r="BQ78" s="4504">
        <f t="shared" si="137"/>
        <v>0</v>
      </c>
      <c r="BR78" s="4504">
        <f t="shared" si="138"/>
        <v>0</v>
      </c>
      <c r="BS78" s="4504">
        <f t="shared" si="139"/>
        <v>0</v>
      </c>
      <c r="BT78" s="4504">
        <f t="shared" si="140"/>
        <v>0</v>
      </c>
      <c r="BU78" s="4504">
        <f t="shared" si="141"/>
        <v>0</v>
      </c>
      <c r="BV78" s="4504">
        <f t="shared" si="142"/>
        <v>0</v>
      </c>
      <c r="BW78" s="4504">
        <f t="shared" si="143"/>
        <v>0</v>
      </c>
      <c r="BX78" s="4504">
        <f t="shared" si="144"/>
        <v>0</v>
      </c>
      <c r="BY78" s="4504">
        <f t="shared" si="145"/>
        <v>0</v>
      </c>
    </row>
    <row r="79" spans="1:77" ht="24">
      <c r="A79" s="2569">
        <v>11</v>
      </c>
      <c r="B79" s="2565">
        <v>207</v>
      </c>
      <c r="C79" s="2549" t="s">
        <v>313</v>
      </c>
      <c r="D79" s="2590" t="s">
        <v>414</v>
      </c>
      <c r="E79" s="4453">
        <f>+'11.3. ДА Базова година'!H59</f>
        <v>0</v>
      </c>
      <c r="F79" s="1228">
        <f t="shared" si="146"/>
        <v>0</v>
      </c>
      <c r="G79" s="1224">
        <f t="shared" si="146"/>
        <v>0</v>
      </c>
      <c r="H79" s="1224">
        <f t="shared" si="146"/>
        <v>0</v>
      </c>
      <c r="I79" s="1224">
        <f t="shared" si="146"/>
        <v>0</v>
      </c>
      <c r="J79" s="1224">
        <f t="shared" si="146"/>
        <v>0</v>
      </c>
      <c r="K79" s="1229">
        <f t="shared" si="146"/>
        <v>0</v>
      </c>
      <c r="L79" s="2679">
        <f>+'11.3. ДА Базова година'!L59</f>
        <v>0</v>
      </c>
      <c r="M79" s="1228">
        <f t="shared" si="147"/>
        <v>0</v>
      </c>
      <c r="N79" s="1224">
        <f t="shared" si="147"/>
        <v>0</v>
      </c>
      <c r="O79" s="1224">
        <f t="shared" si="147"/>
        <v>0</v>
      </c>
      <c r="P79" s="1224">
        <f t="shared" si="147"/>
        <v>0</v>
      </c>
      <c r="Q79" s="1224">
        <f t="shared" si="147"/>
        <v>0</v>
      </c>
      <c r="R79" s="1229">
        <f t="shared" si="147"/>
        <v>0</v>
      </c>
      <c r="S79" s="2679">
        <f>+'11.3. ДА Базова година'!P59</f>
        <v>0</v>
      </c>
      <c r="T79" s="1228">
        <f t="shared" si="108"/>
        <v>0</v>
      </c>
      <c r="U79" s="1224">
        <f t="shared" si="108"/>
        <v>0</v>
      </c>
      <c r="V79" s="1224">
        <f t="shared" si="108"/>
        <v>0</v>
      </c>
      <c r="W79" s="1224">
        <f t="shared" si="108"/>
        <v>0</v>
      </c>
      <c r="X79" s="1224">
        <f t="shared" si="108"/>
        <v>0</v>
      </c>
      <c r="Y79" s="1229">
        <f t="shared" si="108"/>
        <v>0</v>
      </c>
      <c r="Z79" s="4453">
        <f>+'11.3. ДА Базова година'!T59</f>
        <v>0</v>
      </c>
      <c r="AA79" s="1228">
        <f t="shared" si="109"/>
        <v>0</v>
      </c>
      <c r="AB79" s="1224">
        <f t="shared" si="109"/>
        <v>0</v>
      </c>
      <c r="AC79" s="1224">
        <f t="shared" si="109"/>
        <v>0</v>
      </c>
      <c r="AD79" s="1224">
        <f t="shared" si="109"/>
        <v>0</v>
      </c>
      <c r="AE79" s="1224">
        <f t="shared" si="109"/>
        <v>0</v>
      </c>
      <c r="AF79" s="1229">
        <f t="shared" si="109"/>
        <v>0</v>
      </c>
      <c r="AG79" s="4453">
        <f>+'11.3. ДА Базова година'!X59</f>
        <v>0</v>
      </c>
      <c r="AH79" s="1228">
        <f t="shared" si="110"/>
        <v>0</v>
      </c>
      <c r="AI79" s="1224">
        <f t="shared" si="110"/>
        <v>0</v>
      </c>
      <c r="AJ79" s="1224">
        <f t="shared" si="110"/>
        <v>0</v>
      </c>
      <c r="AK79" s="1224">
        <f t="shared" si="110"/>
        <v>0</v>
      </c>
      <c r="AL79" s="1224">
        <f t="shared" si="110"/>
        <v>0</v>
      </c>
      <c r="AM79" s="1229">
        <f t="shared" si="110"/>
        <v>0</v>
      </c>
      <c r="AN79" s="2551"/>
      <c r="AO79" s="2589"/>
      <c r="AP79" s="4488"/>
      <c r="AQ79" s="4504">
        <f t="shared" si="111"/>
        <v>0</v>
      </c>
      <c r="AR79" s="4504">
        <f t="shared" si="112"/>
        <v>0</v>
      </c>
      <c r="AS79" s="4504">
        <f t="shared" si="113"/>
        <v>0</v>
      </c>
      <c r="AT79" s="4504">
        <f t="shared" si="114"/>
        <v>0</v>
      </c>
      <c r="AU79" s="4504">
        <f t="shared" si="115"/>
        <v>0</v>
      </c>
      <c r="AV79" s="4504">
        <f t="shared" si="116"/>
        <v>0</v>
      </c>
      <c r="AW79" s="4504">
        <f t="shared" si="117"/>
        <v>0</v>
      </c>
      <c r="AX79" s="4504">
        <f t="shared" si="118"/>
        <v>0</v>
      </c>
      <c r="AY79" s="4504">
        <f t="shared" si="119"/>
        <v>0</v>
      </c>
      <c r="AZ79" s="4504">
        <f t="shared" si="120"/>
        <v>0</v>
      </c>
      <c r="BA79" s="4504">
        <f t="shared" si="121"/>
        <v>0</v>
      </c>
      <c r="BB79" s="4504">
        <f t="shared" si="122"/>
        <v>0</v>
      </c>
      <c r="BC79" s="4504">
        <f t="shared" si="123"/>
        <v>0</v>
      </c>
      <c r="BD79" s="4504">
        <f t="shared" si="124"/>
        <v>0</v>
      </c>
      <c r="BE79" s="4504">
        <f t="shared" si="125"/>
        <v>0</v>
      </c>
      <c r="BF79" s="4504">
        <f t="shared" si="126"/>
        <v>0</v>
      </c>
      <c r="BG79" s="4504">
        <f t="shared" si="127"/>
        <v>0</v>
      </c>
      <c r="BH79" s="4504">
        <f t="shared" si="128"/>
        <v>0</v>
      </c>
      <c r="BI79" s="4504">
        <f t="shared" si="129"/>
        <v>0</v>
      </c>
      <c r="BJ79" s="4504">
        <f t="shared" si="130"/>
        <v>0</v>
      </c>
      <c r="BK79" s="4504">
        <f t="shared" si="131"/>
        <v>0</v>
      </c>
      <c r="BL79" s="4504">
        <f t="shared" si="132"/>
        <v>0</v>
      </c>
      <c r="BM79" s="4504">
        <f t="shared" si="133"/>
        <v>0</v>
      </c>
      <c r="BN79" s="4504">
        <f t="shared" si="134"/>
        <v>0</v>
      </c>
      <c r="BO79" s="4504">
        <f t="shared" si="135"/>
        <v>0</v>
      </c>
      <c r="BP79" s="4504">
        <f t="shared" si="136"/>
        <v>0</v>
      </c>
      <c r="BQ79" s="4504">
        <f t="shared" si="137"/>
        <v>0</v>
      </c>
      <c r="BR79" s="4504">
        <f t="shared" si="138"/>
        <v>0</v>
      </c>
      <c r="BS79" s="4504">
        <f t="shared" si="139"/>
        <v>0</v>
      </c>
      <c r="BT79" s="4504">
        <f t="shared" si="140"/>
        <v>0</v>
      </c>
      <c r="BU79" s="4504">
        <f t="shared" si="141"/>
        <v>0</v>
      </c>
      <c r="BV79" s="4504">
        <f t="shared" si="142"/>
        <v>0</v>
      </c>
      <c r="BW79" s="4504">
        <f t="shared" si="143"/>
        <v>0</v>
      </c>
      <c r="BX79" s="4504">
        <f t="shared" si="144"/>
        <v>0</v>
      </c>
      <c r="BY79" s="4504">
        <f t="shared" si="145"/>
        <v>0</v>
      </c>
    </row>
    <row r="80" spans="1:77">
      <c r="A80" s="2569">
        <v>12</v>
      </c>
      <c r="B80" s="2565">
        <v>212</v>
      </c>
      <c r="C80" s="2560">
        <v>0.2</v>
      </c>
      <c r="D80" s="2592" t="s">
        <v>214</v>
      </c>
      <c r="E80" s="4453">
        <f>+'11.3. ДА Базова година'!H60</f>
        <v>145.38713496376701</v>
      </c>
      <c r="F80" s="1228">
        <f t="shared" si="146"/>
        <v>146.38324916315977</v>
      </c>
      <c r="G80" s="1224">
        <f t="shared" si="146"/>
        <v>149.22888951731713</v>
      </c>
      <c r="H80" s="1224">
        <f t="shared" si="146"/>
        <v>155.11561097630047</v>
      </c>
      <c r="I80" s="1224">
        <f t="shared" si="146"/>
        <v>165.23537746990584</v>
      </c>
      <c r="J80" s="1224">
        <f t="shared" si="146"/>
        <v>180.78894204457961</v>
      </c>
      <c r="K80" s="1229">
        <f t="shared" si="146"/>
        <v>199.95843356382807</v>
      </c>
      <c r="L80" s="2679">
        <f>+'11.3. ДА Базова година'!L60</f>
        <v>17.829803568815784</v>
      </c>
      <c r="M80" s="1228">
        <f t="shared" si="147"/>
        <v>18.551068495407314</v>
      </c>
      <c r="N80" s="1224">
        <f t="shared" si="147"/>
        <v>19.289347077696181</v>
      </c>
      <c r="O80" s="1224">
        <f t="shared" si="147"/>
        <v>20.06910159658085</v>
      </c>
      <c r="P80" s="1224">
        <f t="shared" si="147"/>
        <v>20.914323175236021</v>
      </c>
      <c r="Q80" s="1224">
        <f t="shared" si="147"/>
        <v>21.846812241729257</v>
      </c>
      <c r="R80" s="1229">
        <f t="shared" si="147"/>
        <v>22.844087179046568</v>
      </c>
      <c r="S80" s="2679">
        <f>+'11.3. ДА Базова година'!P60</f>
        <v>27.412535717966417</v>
      </c>
      <c r="T80" s="1228">
        <f>S80+T55</f>
        <v>28.292610575043561</v>
      </c>
      <c r="U80" s="1224">
        <f t="shared" si="108"/>
        <v>29.206145621658798</v>
      </c>
      <c r="V80" s="1224">
        <f t="shared" si="108"/>
        <v>30.237123626852231</v>
      </c>
      <c r="W80" s="1224">
        <f t="shared" si="108"/>
        <v>31.469589537653146</v>
      </c>
      <c r="X80" s="1224">
        <f t="shared" si="108"/>
        <v>32.9809898795476</v>
      </c>
      <c r="Y80" s="1229">
        <f t="shared" si="108"/>
        <v>34.711677406043279</v>
      </c>
      <c r="Z80" s="4453">
        <f>+'11.3. ДА Базова година'!T60</f>
        <v>0</v>
      </c>
      <c r="AA80" s="1228">
        <f>Z80+AA55</f>
        <v>0</v>
      </c>
      <c r="AB80" s="1224">
        <f t="shared" si="109"/>
        <v>0</v>
      </c>
      <c r="AC80" s="1224">
        <f t="shared" si="109"/>
        <v>0</v>
      </c>
      <c r="AD80" s="1224">
        <f t="shared" si="109"/>
        <v>0</v>
      </c>
      <c r="AE80" s="1224">
        <f t="shared" si="109"/>
        <v>0</v>
      </c>
      <c r="AF80" s="1229">
        <f t="shared" si="109"/>
        <v>0</v>
      </c>
      <c r="AG80" s="4453">
        <f>+'11.3. ДА Базова година'!X60</f>
        <v>0.67767299976834494</v>
      </c>
      <c r="AH80" s="1228">
        <f>AG80+AH55</f>
        <v>0.68882282623473778</v>
      </c>
      <c r="AI80" s="1224">
        <f t="shared" si="110"/>
        <v>0.69997265270113063</v>
      </c>
      <c r="AJ80" s="1224">
        <f t="shared" si="110"/>
        <v>0.71112247916752347</v>
      </c>
      <c r="AK80" s="1224">
        <f t="shared" si="110"/>
        <v>0.72227230563391631</v>
      </c>
      <c r="AL80" s="1224">
        <f t="shared" si="110"/>
        <v>0.73342213210030915</v>
      </c>
      <c r="AM80" s="1229">
        <f t="shared" si="110"/>
        <v>0.744571958566702</v>
      </c>
      <c r="AN80" s="2551"/>
      <c r="AO80" s="2589"/>
      <c r="AP80" s="4488"/>
      <c r="AQ80" s="4504">
        <f t="shared" si="111"/>
        <v>74.335261737352951</v>
      </c>
      <c r="AR80" s="4504">
        <f t="shared" si="112"/>
        <v>74.844566840246742</v>
      </c>
      <c r="AS80" s="4504">
        <f t="shared" si="113"/>
        <v>76.299519650131728</v>
      </c>
      <c r="AT80" s="4504">
        <f t="shared" si="114"/>
        <v>79.309352538973471</v>
      </c>
      <c r="AU80" s="4504">
        <f t="shared" si="115"/>
        <v>84.483506986755415</v>
      </c>
      <c r="AV80" s="4504">
        <f t="shared" si="116"/>
        <v>92.435918277447229</v>
      </c>
      <c r="AW80" s="4504">
        <f t="shared" si="117"/>
        <v>102.23712365789874</v>
      </c>
      <c r="AX80" s="4504">
        <f t="shared" si="118"/>
        <v>9.1162338080588725</v>
      </c>
      <c r="AY80" s="4504">
        <f t="shared" si="119"/>
        <v>9.4850107092167075</v>
      </c>
      <c r="AZ80" s="4504">
        <f t="shared" si="120"/>
        <v>9.8624865544020608</v>
      </c>
      <c r="BA80" s="4504">
        <f t="shared" si="121"/>
        <v>10.261168709233855</v>
      </c>
      <c r="BB80" s="4504">
        <f t="shared" si="122"/>
        <v>10.693323640212094</v>
      </c>
      <c r="BC80" s="4504">
        <f t="shared" si="123"/>
        <v>11.170097729214326</v>
      </c>
      <c r="BD80" s="4504">
        <f t="shared" si="124"/>
        <v>11.679996307985135</v>
      </c>
      <c r="BE80" s="4504">
        <f t="shared" si="125"/>
        <v>14.015806955597581</v>
      </c>
      <c r="BF80" s="4504">
        <f t="shared" si="126"/>
        <v>14.465782084866047</v>
      </c>
      <c r="BG80" s="4504">
        <f t="shared" si="127"/>
        <v>14.932865137388628</v>
      </c>
      <c r="BH80" s="4504">
        <f t="shared" si="128"/>
        <v>15.459995821135902</v>
      </c>
      <c r="BI80" s="4504">
        <f t="shared" si="129"/>
        <v>16.090145635179514</v>
      </c>
      <c r="BJ80" s="4504">
        <f t="shared" si="130"/>
        <v>16.862912359227337</v>
      </c>
      <c r="BK80" s="4504">
        <f t="shared" si="131"/>
        <v>17.747798840412141</v>
      </c>
      <c r="BL80" s="4504">
        <f t="shared" si="132"/>
        <v>0</v>
      </c>
      <c r="BM80" s="4504">
        <f t="shared" si="133"/>
        <v>0</v>
      </c>
      <c r="BN80" s="4504">
        <f t="shared" si="134"/>
        <v>0</v>
      </c>
      <c r="BO80" s="4504">
        <f t="shared" si="135"/>
        <v>0</v>
      </c>
      <c r="BP80" s="4504">
        <f t="shared" si="136"/>
        <v>0</v>
      </c>
      <c r="BQ80" s="4504">
        <f t="shared" si="137"/>
        <v>0</v>
      </c>
      <c r="BR80" s="4504">
        <f t="shared" si="138"/>
        <v>0</v>
      </c>
      <c r="BS80" s="4504">
        <f t="shared" si="139"/>
        <v>0.3464887028874416</v>
      </c>
      <c r="BT80" s="4504">
        <f t="shared" si="140"/>
        <v>0.35218951863645503</v>
      </c>
      <c r="BU80" s="4504">
        <f t="shared" si="141"/>
        <v>0.35789033438546841</v>
      </c>
      <c r="BV80" s="4504">
        <f t="shared" si="142"/>
        <v>0.36359115013448179</v>
      </c>
      <c r="BW80" s="4504">
        <f t="shared" si="143"/>
        <v>0.36929196588349517</v>
      </c>
      <c r="BX80" s="4504">
        <f t="shared" si="144"/>
        <v>0.37499278163250854</v>
      </c>
      <c r="BY80" s="4504">
        <f t="shared" si="145"/>
        <v>0.38069359738152192</v>
      </c>
    </row>
    <row r="81" spans="1:77">
      <c r="A81" s="2569">
        <v>13</v>
      </c>
      <c r="B81" s="2564">
        <v>213</v>
      </c>
      <c r="C81" s="2571">
        <v>0.2</v>
      </c>
      <c r="D81" s="2593" t="s">
        <v>215</v>
      </c>
      <c r="E81" s="4453">
        <f>+'11.3. ДА Базова година'!H61</f>
        <v>0</v>
      </c>
      <c r="F81" s="1228">
        <f t="shared" si="146"/>
        <v>0</v>
      </c>
      <c r="G81" s="1224">
        <f t="shared" si="146"/>
        <v>0</v>
      </c>
      <c r="H81" s="1224">
        <f t="shared" si="146"/>
        <v>0</v>
      </c>
      <c r="I81" s="1224">
        <f t="shared" si="146"/>
        <v>0</v>
      </c>
      <c r="J81" s="1224">
        <f t="shared" si="146"/>
        <v>0</v>
      </c>
      <c r="K81" s="1229">
        <f t="shared" si="146"/>
        <v>0</v>
      </c>
      <c r="L81" s="4453">
        <f>+'11.3. ДА Базова година'!L61</f>
        <v>0</v>
      </c>
      <c r="M81" s="1228">
        <f t="shared" si="147"/>
        <v>0</v>
      </c>
      <c r="N81" s="1224">
        <f t="shared" si="147"/>
        <v>0</v>
      </c>
      <c r="O81" s="1224">
        <f t="shared" si="147"/>
        <v>0</v>
      </c>
      <c r="P81" s="1224">
        <f t="shared" si="147"/>
        <v>0</v>
      </c>
      <c r="Q81" s="1224">
        <f t="shared" si="147"/>
        <v>0</v>
      </c>
      <c r="R81" s="1229">
        <f t="shared" si="147"/>
        <v>0</v>
      </c>
      <c r="S81" s="4453">
        <f>+'11.3. ДА Базова година'!P61</f>
        <v>0</v>
      </c>
      <c r="T81" s="1228">
        <f>S81+T56</f>
        <v>0</v>
      </c>
      <c r="U81" s="1224">
        <f t="shared" si="108"/>
        <v>0</v>
      </c>
      <c r="V81" s="1224">
        <f t="shared" si="108"/>
        <v>0</v>
      </c>
      <c r="W81" s="1224">
        <f t="shared" si="108"/>
        <v>0</v>
      </c>
      <c r="X81" s="1224">
        <f t="shared" si="108"/>
        <v>0</v>
      </c>
      <c r="Y81" s="1229">
        <f t="shared" si="108"/>
        <v>0</v>
      </c>
      <c r="Z81" s="4453">
        <f>+'11.3. ДА Базова година'!T61</f>
        <v>0</v>
      </c>
      <c r="AA81" s="1228">
        <f>Z81+AA56</f>
        <v>0</v>
      </c>
      <c r="AB81" s="1224">
        <f t="shared" si="109"/>
        <v>0</v>
      </c>
      <c r="AC81" s="1224">
        <f t="shared" si="109"/>
        <v>0</v>
      </c>
      <c r="AD81" s="1224">
        <f t="shared" si="109"/>
        <v>0</v>
      </c>
      <c r="AE81" s="1224">
        <f t="shared" si="109"/>
        <v>0</v>
      </c>
      <c r="AF81" s="1229">
        <f t="shared" si="109"/>
        <v>0</v>
      </c>
      <c r="AG81" s="4453">
        <f>+'11.3. ДА Базова година'!X61</f>
        <v>0</v>
      </c>
      <c r="AH81" s="1228">
        <f>AG81+AH56</f>
        <v>0</v>
      </c>
      <c r="AI81" s="1224">
        <f t="shared" si="110"/>
        <v>0</v>
      </c>
      <c r="AJ81" s="1224">
        <f t="shared" si="110"/>
        <v>0</v>
      </c>
      <c r="AK81" s="1224">
        <f t="shared" si="110"/>
        <v>0</v>
      </c>
      <c r="AL81" s="1224">
        <f t="shared" si="110"/>
        <v>0</v>
      </c>
      <c r="AM81" s="1229">
        <f t="shared" si="110"/>
        <v>0</v>
      </c>
      <c r="AN81" s="2551"/>
      <c r="AO81" s="2559"/>
      <c r="AP81" s="4488"/>
      <c r="AQ81" s="4504">
        <f t="shared" si="111"/>
        <v>0</v>
      </c>
      <c r="AR81" s="4504">
        <f t="shared" si="112"/>
        <v>0</v>
      </c>
      <c r="AS81" s="4504">
        <f t="shared" si="113"/>
        <v>0</v>
      </c>
      <c r="AT81" s="4504">
        <f t="shared" si="114"/>
        <v>0</v>
      </c>
      <c r="AU81" s="4504">
        <f t="shared" si="115"/>
        <v>0</v>
      </c>
      <c r="AV81" s="4504">
        <f t="shared" si="116"/>
        <v>0</v>
      </c>
      <c r="AW81" s="4504">
        <f t="shared" si="117"/>
        <v>0</v>
      </c>
      <c r="AX81" s="4504">
        <f t="shared" si="118"/>
        <v>0</v>
      </c>
      <c r="AY81" s="4504">
        <f t="shared" si="119"/>
        <v>0</v>
      </c>
      <c r="AZ81" s="4504">
        <f t="shared" si="120"/>
        <v>0</v>
      </c>
      <c r="BA81" s="4504">
        <f t="shared" si="121"/>
        <v>0</v>
      </c>
      <c r="BB81" s="4504">
        <f t="shared" si="122"/>
        <v>0</v>
      </c>
      <c r="BC81" s="4504">
        <f t="shared" si="123"/>
        <v>0</v>
      </c>
      <c r="BD81" s="4504">
        <f t="shared" si="124"/>
        <v>0</v>
      </c>
      <c r="BE81" s="4504">
        <f t="shared" si="125"/>
        <v>0</v>
      </c>
      <c r="BF81" s="4504">
        <f t="shared" si="126"/>
        <v>0</v>
      </c>
      <c r="BG81" s="4504">
        <f t="shared" si="127"/>
        <v>0</v>
      </c>
      <c r="BH81" s="4504">
        <f t="shared" si="128"/>
        <v>0</v>
      </c>
      <c r="BI81" s="4504">
        <f t="shared" si="129"/>
        <v>0</v>
      </c>
      <c r="BJ81" s="4504">
        <f t="shared" si="130"/>
        <v>0</v>
      </c>
      <c r="BK81" s="4504">
        <f t="shared" si="131"/>
        <v>0</v>
      </c>
      <c r="BL81" s="4504">
        <f t="shared" si="132"/>
        <v>0</v>
      </c>
      <c r="BM81" s="4504">
        <f t="shared" si="133"/>
        <v>0</v>
      </c>
      <c r="BN81" s="4504">
        <f t="shared" si="134"/>
        <v>0</v>
      </c>
      <c r="BO81" s="4504">
        <f t="shared" si="135"/>
        <v>0</v>
      </c>
      <c r="BP81" s="4504">
        <f t="shared" si="136"/>
        <v>0</v>
      </c>
      <c r="BQ81" s="4504">
        <f t="shared" si="137"/>
        <v>0</v>
      </c>
      <c r="BR81" s="4504">
        <f t="shared" si="138"/>
        <v>0</v>
      </c>
      <c r="BS81" s="4504">
        <f t="shared" si="139"/>
        <v>0</v>
      </c>
      <c r="BT81" s="4504">
        <f t="shared" si="140"/>
        <v>0</v>
      </c>
      <c r="BU81" s="4504">
        <f t="shared" si="141"/>
        <v>0</v>
      </c>
      <c r="BV81" s="4504">
        <f t="shared" si="142"/>
        <v>0</v>
      </c>
      <c r="BW81" s="4504">
        <f t="shared" si="143"/>
        <v>0</v>
      </c>
      <c r="BX81" s="4504">
        <f t="shared" si="144"/>
        <v>0</v>
      </c>
      <c r="BY81" s="4504">
        <f t="shared" si="145"/>
        <v>0</v>
      </c>
    </row>
    <row r="82" spans="1:77">
      <c r="A82" s="2569">
        <v>14</v>
      </c>
      <c r="B82" s="2638"/>
      <c r="C82" s="2638"/>
      <c r="D82" s="2594" t="s">
        <v>628</v>
      </c>
      <c r="E82" s="4453">
        <f>+'11.3. ДА Базова година'!H62</f>
        <v>0</v>
      </c>
      <c r="F82" s="1228">
        <f t="shared" si="146"/>
        <v>0</v>
      </c>
      <c r="G82" s="1224">
        <f t="shared" si="146"/>
        <v>0</v>
      </c>
      <c r="H82" s="1224">
        <f t="shared" si="146"/>
        <v>0</v>
      </c>
      <c r="I82" s="1224">
        <f t="shared" si="146"/>
        <v>0</v>
      </c>
      <c r="J82" s="1224">
        <f t="shared" si="146"/>
        <v>0</v>
      </c>
      <c r="K82" s="1229">
        <f t="shared" si="146"/>
        <v>0</v>
      </c>
      <c r="L82" s="4453">
        <f>+'11.3. ДА Базова година'!L62</f>
        <v>0</v>
      </c>
      <c r="M82" s="1228">
        <f t="shared" si="147"/>
        <v>0</v>
      </c>
      <c r="N82" s="1224">
        <f t="shared" si="147"/>
        <v>0</v>
      </c>
      <c r="O82" s="1224">
        <f t="shared" si="147"/>
        <v>0</v>
      </c>
      <c r="P82" s="1224">
        <f t="shared" si="147"/>
        <v>0</v>
      </c>
      <c r="Q82" s="1224">
        <f t="shared" si="147"/>
        <v>0</v>
      </c>
      <c r="R82" s="1229">
        <f t="shared" si="147"/>
        <v>0</v>
      </c>
      <c r="S82" s="4453">
        <f>+'11.3. ДА Базова година'!P62</f>
        <v>0</v>
      </c>
      <c r="T82" s="1228">
        <f>S82+T57</f>
        <v>0</v>
      </c>
      <c r="U82" s="1224">
        <f t="shared" si="108"/>
        <v>0</v>
      </c>
      <c r="V82" s="1224">
        <f t="shared" si="108"/>
        <v>0</v>
      </c>
      <c r="W82" s="1224">
        <f t="shared" si="108"/>
        <v>0</v>
      </c>
      <c r="X82" s="1224">
        <f t="shared" si="108"/>
        <v>0</v>
      </c>
      <c r="Y82" s="1229">
        <f t="shared" si="108"/>
        <v>0</v>
      </c>
      <c r="Z82" s="4453">
        <f>+'11.3. ДА Базова година'!T62</f>
        <v>0</v>
      </c>
      <c r="AA82" s="1228">
        <f>Z82+AA57</f>
        <v>0</v>
      </c>
      <c r="AB82" s="1224">
        <f t="shared" si="109"/>
        <v>0</v>
      </c>
      <c r="AC82" s="1224">
        <f t="shared" si="109"/>
        <v>0</v>
      </c>
      <c r="AD82" s="1224">
        <f t="shared" si="109"/>
        <v>0</v>
      </c>
      <c r="AE82" s="1224">
        <f t="shared" si="109"/>
        <v>0</v>
      </c>
      <c r="AF82" s="1229">
        <f t="shared" si="109"/>
        <v>0</v>
      </c>
      <c r="AG82" s="4453">
        <f>+'11.3. ДА Базова година'!X62</f>
        <v>0</v>
      </c>
      <c r="AH82" s="1228">
        <f>AG82+AH57</f>
        <v>0</v>
      </c>
      <c r="AI82" s="1224">
        <f t="shared" si="110"/>
        <v>0</v>
      </c>
      <c r="AJ82" s="1224">
        <f t="shared" si="110"/>
        <v>0</v>
      </c>
      <c r="AK82" s="1224">
        <f t="shared" si="110"/>
        <v>0</v>
      </c>
      <c r="AL82" s="1224">
        <f t="shared" si="110"/>
        <v>0</v>
      </c>
      <c r="AM82" s="1229">
        <f t="shared" si="110"/>
        <v>0</v>
      </c>
      <c r="AN82" s="2551"/>
      <c r="AO82" s="2589"/>
      <c r="AP82" s="4488"/>
      <c r="AQ82" s="4504">
        <f t="shared" si="111"/>
        <v>0</v>
      </c>
      <c r="AR82" s="4504">
        <f t="shared" si="112"/>
        <v>0</v>
      </c>
      <c r="AS82" s="4504">
        <f t="shared" si="113"/>
        <v>0</v>
      </c>
      <c r="AT82" s="4504">
        <f t="shared" si="114"/>
        <v>0</v>
      </c>
      <c r="AU82" s="4504">
        <f t="shared" si="115"/>
        <v>0</v>
      </c>
      <c r="AV82" s="4504">
        <f t="shared" si="116"/>
        <v>0</v>
      </c>
      <c r="AW82" s="4504">
        <f t="shared" si="117"/>
        <v>0</v>
      </c>
      <c r="AX82" s="4504">
        <f t="shared" si="118"/>
        <v>0</v>
      </c>
      <c r="AY82" s="4504">
        <f t="shared" si="119"/>
        <v>0</v>
      </c>
      <c r="AZ82" s="4504">
        <f t="shared" si="120"/>
        <v>0</v>
      </c>
      <c r="BA82" s="4504">
        <f t="shared" si="121"/>
        <v>0</v>
      </c>
      <c r="BB82" s="4504">
        <f t="shared" si="122"/>
        <v>0</v>
      </c>
      <c r="BC82" s="4504">
        <f t="shared" si="123"/>
        <v>0</v>
      </c>
      <c r="BD82" s="4504">
        <f t="shared" si="124"/>
        <v>0</v>
      </c>
      <c r="BE82" s="4504">
        <f t="shared" si="125"/>
        <v>0</v>
      </c>
      <c r="BF82" s="4504">
        <f t="shared" si="126"/>
        <v>0</v>
      </c>
      <c r="BG82" s="4504">
        <f t="shared" si="127"/>
        <v>0</v>
      </c>
      <c r="BH82" s="4504">
        <f t="shared" si="128"/>
        <v>0</v>
      </c>
      <c r="BI82" s="4504">
        <f t="shared" si="129"/>
        <v>0</v>
      </c>
      <c r="BJ82" s="4504">
        <f t="shared" si="130"/>
        <v>0</v>
      </c>
      <c r="BK82" s="4504">
        <f t="shared" si="131"/>
        <v>0</v>
      </c>
      <c r="BL82" s="4504">
        <f t="shared" si="132"/>
        <v>0</v>
      </c>
      <c r="BM82" s="4504">
        <f t="shared" si="133"/>
        <v>0</v>
      </c>
      <c r="BN82" s="4504">
        <f t="shared" si="134"/>
        <v>0</v>
      </c>
      <c r="BO82" s="4504">
        <f t="shared" si="135"/>
        <v>0</v>
      </c>
      <c r="BP82" s="4504">
        <f t="shared" si="136"/>
        <v>0</v>
      </c>
      <c r="BQ82" s="4504">
        <f t="shared" si="137"/>
        <v>0</v>
      </c>
      <c r="BR82" s="4504">
        <f t="shared" si="138"/>
        <v>0</v>
      </c>
      <c r="BS82" s="4504">
        <f t="shared" si="139"/>
        <v>0</v>
      </c>
      <c r="BT82" s="4504">
        <f t="shared" si="140"/>
        <v>0</v>
      </c>
      <c r="BU82" s="4504">
        <f t="shared" si="141"/>
        <v>0</v>
      </c>
      <c r="BV82" s="4504">
        <f t="shared" si="142"/>
        <v>0</v>
      </c>
      <c r="BW82" s="4504">
        <f t="shared" si="143"/>
        <v>0</v>
      </c>
      <c r="BX82" s="4504">
        <f t="shared" si="144"/>
        <v>0</v>
      </c>
      <c r="BY82" s="4504">
        <f t="shared" si="145"/>
        <v>0</v>
      </c>
    </row>
    <row r="83" spans="1:77" ht="24">
      <c r="A83" s="2569">
        <v>15</v>
      </c>
      <c r="B83" s="2564">
        <v>207</v>
      </c>
      <c r="C83" s="2596" t="s">
        <v>313</v>
      </c>
      <c r="D83" s="2593" t="s">
        <v>415</v>
      </c>
      <c r="E83" s="4453">
        <f>+'11.3. ДА Базова година'!H63</f>
        <v>0</v>
      </c>
      <c r="F83" s="1228">
        <f t="shared" si="146"/>
        <v>0</v>
      </c>
      <c r="G83" s="1224">
        <f t="shared" si="146"/>
        <v>0</v>
      </c>
      <c r="H83" s="1224">
        <f t="shared" si="146"/>
        <v>0</v>
      </c>
      <c r="I83" s="1224">
        <f t="shared" si="146"/>
        <v>0</v>
      </c>
      <c r="J83" s="1224">
        <f t="shared" si="146"/>
        <v>0</v>
      </c>
      <c r="K83" s="1229">
        <f t="shared" si="146"/>
        <v>0</v>
      </c>
      <c r="L83" s="4453">
        <f>+'11.3. ДА Базова година'!L63</f>
        <v>0</v>
      </c>
      <c r="M83" s="1228">
        <f t="shared" si="147"/>
        <v>0</v>
      </c>
      <c r="N83" s="1224">
        <f t="shared" si="147"/>
        <v>0</v>
      </c>
      <c r="O83" s="1224">
        <f t="shared" si="147"/>
        <v>0</v>
      </c>
      <c r="P83" s="1224">
        <f t="shared" si="147"/>
        <v>0</v>
      </c>
      <c r="Q83" s="1224">
        <f t="shared" si="147"/>
        <v>0</v>
      </c>
      <c r="R83" s="1229">
        <f t="shared" si="147"/>
        <v>0</v>
      </c>
      <c r="S83" s="4453">
        <f>+'11.3. ДА Базова година'!P63</f>
        <v>0</v>
      </c>
      <c r="T83" s="1228">
        <f>S83+T58</f>
        <v>0</v>
      </c>
      <c r="U83" s="1224">
        <f t="shared" si="108"/>
        <v>0</v>
      </c>
      <c r="V83" s="1224">
        <f t="shared" si="108"/>
        <v>0</v>
      </c>
      <c r="W83" s="1224">
        <f t="shared" si="108"/>
        <v>0</v>
      </c>
      <c r="X83" s="1224">
        <f t="shared" si="108"/>
        <v>0</v>
      </c>
      <c r="Y83" s="1229">
        <f t="shared" si="108"/>
        <v>0</v>
      </c>
      <c r="Z83" s="4453">
        <f>+'11.3. ДА Базова година'!T63</f>
        <v>0</v>
      </c>
      <c r="AA83" s="1228">
        <f>Z83+AA58</f>
        <v>0</v>
      </c>
      <c r="AB83" s="1224">
        <f t="shared" si="109"/>
        <v>0</v>
      </c>
      <c r="AC83" s="1224">
        <f t="shared" si="109"/>
        <v>0</v>
      </c>
      <c r="AD83" s="1224">
        <f t="shared" si="109"/>
        <v>0</v>
      </c>
      <c r="AE83" s="1224">
        <f t="shared" si="109"/>
        <v>0</v>
      </c>
      <c r="AF83" s="1229">
        <f t="shared" si="109"/>
        <v>0</v>
      </c>
      <c r="AG83" s="4453">
        <f>+'11.3. ДА Базова година'!X63</f>
        <v>0</v>
      </c>
      <c r="AH83" s="1228">
        <f>AG83+AH58</f>
        <v>0</v>
      </c>
      <c r="AI83" s="1224">
        <f t="shared" si="110"/>
        <v>0</v>
      </c>
      <c r="AJ83" s="1224">
        <f t="shared" si="110"/>
        <v>0</v>
      </c>
      <c r="AK83" s="1224">
        <f t="shared" si="110"/>
        <v>0</v>
      </c>
      <c r="AL83" s="1224">
        <f t="shared" si="110"/>
        <v>0</v>
      </c>
      <c r="AM83" s="1229">
        <f t="shared" si="110"/>
        <v>0</v>
      </c>
      <c r="AN83" s="2551"/>
      <c r="AO83" s="2589"/>
      <c r="AP83" s="4488"/>
      <c r="AQ83" s="4504">
        <f t="shared" si="111"/>
        <v>0</v>
      </c>
      <c r="AR83" s="4504">
        <f t="shared" si="112"/>
        <v>0</v>
      </c>
      <c r="AS83" s="4504">
        <f t="shared" si="113"/>
        <v>0</v>
      </c>
      <c r="AT83" s="4504">
        <f t="shared" si="114"/>
        <v>0</v>
      </c>
      <c r="AU83" s="4504">
        <f t="shared" si="115"/>
        <v>0</v>
      </c>
      <c r="AV83" s="4504">
        <f t="shared" si="116"/>
        <v>0</v>
      </c>
      <c r="AW83" s="4504">
        <f t="shared" si="117"/>
        <v>0</v>
      </c>
      <c r="AX83" s="4504">
        <f t="shared" si="118"/>
        <v>0</v>
      </c>
      <c r="AY83" s="4504">
        <f t="shared" si="119"/>
        <v>0</v>
      </c>
      <c r="AZ83" s="4504">
        <f t="shared" si="120"/>
        <v>0</v>
      </c>
      <c r="BA83" s="4504">
        <f t="shared" si="121"/>
        <v>0</v>
      </c>
      <c r="BB83" s="4504">
        <f t="shared" si="122"/>
        <v>0</v>
      </c>
      <c r="BC83" s="4504">
        <f t="shared" si="123"/>
        <v>0</v>
      </c>
      <c r="BD83" s="4504">
        <f t="shared" si="124"/>
        <v>0</v>
      </c>
      <c r="BE83" s="4504">
        <f t="shared" si="125"/>
        <v>0</v>
      </c>
      <c r="BF83" s="4504">
        <f t="shared" si="126"/>
        <v>0</v>
      </c>
      <c r="BG83" s="4504">
        <f t="shared" si="127"/>
        <v>0</v>
      </c>
      <c r="BH83" s="4504">
        <f t="shared" si="128"/>
        <v>0</v>
      </c>
      <c r="BI83" s="4504">
        <f t="shared" si="129"/>
        <v>0</v>
      </c>
      <c r="BJ83" s="4504">
        <f t="shared" si="130"/>
        <v>0</v>
      </c>
      <c r="BK83" s="4504">
        <f t="shared" si="131"/>
        <v>0</v>
      </c>
      <c r="BL83" s="4504">
        <f t="shared" si="132"/>
        <v>0</v>
      </c>
      <c r="BM83" s="4504">
        <f t="shared" si="133"/>
        <v>0</v>
      </c>
      <c r="BN83" s="4504">
        <f t="shared" si="134"/>
        <v>0</v>
      </c>
      <c r="BO83" s="4504">
        <f t="shared" si="135"/>
        <v>0</v>
      </c>
      <c r="BP83" s="4504">
        <f t="shared" si="136"/>
        <v>0</v>
      </c>
      <c r="BQ83" s="4504">
        <f t="shared" si="137"/>
        <v>0</v>
      </c>
      <c r="BR83" s="4504">
        <f t="shared" si="138"/>
        <v>0</v>
      </c>
      <c r="BS83" s="4504">
        <f t="shared" si="139"/>
        <v>0</v>
      </c>
      <c r="BT83" s="4504">
        <f t="shared" si="140"/>
        <v>0</v>
      </c>
      <c r="BU83" s="4504">
        <f t="shared" si="141"/>
        <v>0</v>
      </c>
      <c r="BV83" s="4504">
        <f t="shared" si="142"/>
        <v>0</v>
      </c>
      <c r="BW83" s="4504">
        <f t="shared" si="143"/>
        <v>0</v>
      </c>
      <c r="BX83" s="4504">
        <f t="shared" si="144"/>
        <v>0</v>
      </c>
      <c r="BY83" s="4504">
        <f t="shared" si="145"/>
        <v>0</v>
      </c>
    </row>
    <row r="84" spans="1:77" ht="13.8" thickBot="1">
      <c r="A84" s="2569">
        <v>16</v>
      </c>
      <c r="B84" s="2574">
        <v>219</v>
      </c>
      <c r="C84" s="2602">
        <v>0.1</v>
      </c>
      <c r="D84" s="2598" t="s">
        <v>216</v>
      </c>
      <c r="E84" s="4454">
        <f>+'11.3. ДА Базова година'!H64</f>
        <v>236.35100104107286</v>
      </c>
      <c r="F84" s="1228">
        <f t="shared" si="146"/>
        <v>252.9642316948005</v>
      </c>
      <c r="G84" s="1224">
        <f t="shared" si="146"/>
        <v>269.57746234852812</v>
      </c>
      <c r="H84" s="1224">
        <f t="shared" si="146"/>
        <v>286.19069300225573</v>
      </c>
      <c r="I84" s="1224">
        <f t="shared" si="146"/>
        <v>302.80392365598334</v>
      </c>
      <c r="J84" s="1224">
        <f t="shared" si="146"/>
        <v>319.41715430971095</v>
      </c>
      <c r="K84" s="1229">
        <f t="shared" si="146"/>
        <v>336.03038496343856</v>
      </c>
      <c r="L84" s="4454">
        <f>+'11.3. ДА Базова година'!L64</f>
        <v>6.8574085927728019</v>
      </c>
      <c r="M84" s="1228">
        <f t="shared" si="147"/>
        <v>6.8574085927728019</v>
      </c>
      <c r="N84" s="1224">
        <f t="shared" si="147"/>
        <v>6.8574085927728019</v>
      </c>
      <c r="O84" s="1224">
        <f t="shared" si="147"/>
        <v>6.8574085927728019</v>
      </c>
      <c r="P84" s="1224">
        <f t="shared" si="147"/>
        <v>6.8574085927728019</v>
      </c>
      <c r="Q84" s="1224">
        <f t="shared" si="147"/>
        <v>6.8574085927728019</v>
      </c>
      <c r="R84" s="1229">
        <f t="shared" si="147"/>
        <v>6.8574085927728019</v>
      </c>
      <c r="S84" s="4454">
        <f>+'11.3. ДА Базова година'!P64</f>
        <v>10.519772882178481</v>
      </c>
      <c r="T84" s="1228">
        <f>S84+T59</f>
        <v>10.519772882178481</v>
      </c>
      <c r="U84" s="1224">
        <f t="shared" si="108"/>
        <v>10.519772882178481</v>
      </c>
      <c r="V84" s="1224">
        <f t="shared" si="108"/>
        <v>10.519772882178481</v>
      </c>
      <c r="W84" s="1224">
        <f t="shared" si="108"/>
        <v>10.519772882178481</v>
      </c>
      <c r="X84" s="1224">
        <f t="shared" si="108"/>
        <v>10.519772882178481</v>
      </c>
      <c r="Y84" s="1229">
        <f t="shared" si="108"/>
        <v>10.519772882178481</v>
      </c>
      <c r="Z84" s="4454">
        <f>+'11.3. ДА Базова година'!T64</f>
        <v>0</v>
      </c>
      <c r="AA84" s="1228">
        <f>Z84+AA59</f>
        <v>0</v>
      </c>
      <c r="AB84" s="1224">
        <f t="shared" si="109"/>
        <v>0</v>
      </c>
      <c r="AC84" s="1224">
        <f t="shared" si="109"/>
        <v>0</v>
      </c>
      <c r="AD84" s="1224">
        <f t="shared" si="109"/>
        <v>0</v>
      </c>
      <c r="AE84" s="1224">
        <f t="shared" si="109"/>
        <v>0</v>
      </c>
      <c r="AF84" s="1229">
        <f t="shared" si="109"/>
        <v>0</v>
      </c>
      <c r="AG84" s="4454">
        <f>+'11.3. ДА Базова година'!X64</f>
        <v>23.799675759509206</v>
      </c>
      <c r="AH84" s="1228">
        <f>AG84+AH59</f>
        <v>23.880715105781572</v>
      </c>
      <c r="AI84" s="1224">
        <f t="shared" si="110"/>
        <v>23.961754452053938</v>
      </c>
      <c r="AJ84" s="1224">
        <f t="shared" si="110"/>
        <v>24.042793798326304</v>
      </c>
      <c r="AK84" s="1224">
        <f t="shared" si="110"/>
        <v>24.12383314459867</v>
      </c>
      <c r="AL84" s="1224">
        <f t="shared" si="110"/>
        <v>24.204872490871036</v>
      </c>
      <c r="AM84" s="1229">
        <f t="shared" si="110"/>
        <v>24.285911837143402</v>
      </c>
      <c r="AN84" s="2551"/>
      <c r="AO84" s="2589"/>
      <c r="AP84" s="4488"/>
      <c r="AQ84" s="4504">
        <f t="shared" si="111"/>
        <v>120.84434794489954</v>
      </c>
      <c r="AR84" s="4504">
        <f t="shared" si="112"/>
        <v>129.33855789859064</v>
      </c>
      <c r="AS84" s="4504">
        <f t="shared" si="113"/>
        <v>137.83276785228171</v>
      </c>
      <c r="AT84" s="4504">
        <f t="shared" si="114"/>
        <v>146.32697780597277</v>
      </c>
      <c r="AU84" s="4504">
        <f t="shared" si="115"/>
        <v>154.82118775966384</v>
      </c>
      <c r="AV84" s="4504">
        <f t="shared" si="116"/>
        <v>163.31539771335491</v>
      </c>
      <c r="AW84" s="4504">
        <f t="shared" si="117"/>
        <v>171.80960766704601</v>
      </c>
      <c r="AX84" s="4504">
        <f t="shared" si="118"/>
        <v>3.5061373395299191</v>
      </c>
      <c r="AY84" s="4504">
        <f t="shared" si="119"/>
        <v>3.5061373395299191</v>
      </c>
      <c r="AZ84" s="4504">
        <f t="shared" si="120"/>
        <v>3.5061373395299191</v>
      </c>
      <c r="BA84" s="4504">
        <f t="shared" si="121"/>
        <v>3.5061373395299191</v>
      </c>
      <c r="BB84" s="4504">
        <f t="shared" si="122"/>
        <v>3.5061373395299191</v>
      </c>
      <c r="BC84" s="4504">
        <f t="shared" si="123"/>
        <v>3.5061373395299191</v>
      </c>
      <c r="BD84" s="4504">
        <f t="shared" si="124"/>
        <v>3.5061373395299191</v>
      </c>
      <c r="BE84" s="4504">
        <f t="shared" si="125"/>
        <v>5.3786744666860011</v>
      </c>
      <c r="BF84" s="4504">
        <f t="shared" si="126"/>
        <v>5.3786744666860011</v>
      </c>
      <c r="BG84" s="4504">
        <f t="shared" si="127"/>
        <v>5.3786744666860011</v>
      </c>
      <c r="BH84" s="4504">
        <f t="shared" si="128"/>
        <v>5.3786744666860011</v>
      </c>
      <c r="BI84" s="4504">
        <f t="shared" si="129"/>
        <v>5.3786744666860011</v>
      </c>
      <c r="BJ84" s="4504">
        <f t="shared" si="130"/>
        <v>5.3786744666860011</v>
      </c>
      <c r="BK84" s="4504">
        <f t="shared" si="131"/>
        <v>5.3786744666860011</v>
      </c>
      <c r="BL84" s="4504">
        <f t="shared" si="132"/>
        <v>0</v>
      </c>
      <c r="BM84" s="4504">
        <f t="shared" si="133"/>
        <v>0</v>
      </c>
      <c r="BN84" s="4504">
        <f t="shared" si="134"/>
        <v>0</v>
      </c>
      <c r="BO84" s="4504">
        <f t="shared" si="135"/>
        <v>0</v>
      </c>
      <c r="BP84" s="4504">
        <f t="shared" si="136"/>
        <v>0</v>
      </c>
      <c r="BQ84" s="4504">
        <f t="shared" si="137"/>
        <v>0</v>
      </c>
      <c r="BR84" s="4504">
        <f t="shared" si="138"/>
        <v>0</v>
      </c>
      <c r="BS84" s="4504">
        <f t="shared" si="139"/>
        <v>12.168580990939502</v>
      </c>
      <c r="BT84" s="4504">
        <f t="shared" si="140"/>
        <v>12.210015750746011</v>
      </c>
      <c r="BU84" s="4504">
        <f t="shared" si="141"/>
        <v>12.251450510552521</v>
      </c>
      <c r="BV84" s="4504">
        <f t="shared" si="142"/>
        <v>12.292885270359031</v>
      </c>
      <c r="BW84" s="4504">
        <f t="shared" si="143"/>
        <v>12.334320030165541</v>
      </c>
      <c r="BX84" s="4504">
        <f t="shared" si="144"/>
        <v>12.375754789972051</v>
      </c>
      <c r="BY84" s="4504">
        <f t="shared" si="145"/>
        <v>12.417189549778561</v>
      </c>
    </row>
    <row r="85" spans="1:77" ht="13.8" thickBot="1">
      <c r="A85" s="3746" t="s">
        <v>221</v>
      </c>
      <c r="B85" s="2577"/>
      <c r="C85" s="2577"/>
      <c r="D85" s="2540" t="s">
        <v>222</v>
      </c>
      <c r="E85" s="2545">
        <f t="shared" ref="E85" si="148">SUM(E86:E109)-E88-E94</f>
        <v>2503.7210757498506</v>
      </c>
      <c r="F85" s="2542">
        <f t="shared" ref="F85:AM85" si="149">SUM(F86:F109)-F88-F94</f>
        <v>2392.7422007683558</v>
      </c>
      <c r="G85" s="2543">
        <f t="shared" si="149"/>
        <v>2251.1942603897423</v>
      </c>
      <c r="H85" s="2543">
        <f t="shared" si="149"/>
        <v>2103.8656642276678</v>
      </c>
      <c r="I85" s="2543">
        <f t="shared" si="149"/>
        <v>1957.8483792007428</v>
      </c>
      <c r="J85" s="2543">
        <f t="shared" si="149"/>
        <v>1803.5770218468417</v>
      </c>
      <c r="K85" s="2544">
        <f t="shared" si="149"/>
        <v>1640.524480306641</v>
      </c>
      <c r="L85" s="2545">
        <f t="shared" si="149"/>
        <v>348.8914619666329</v>
      </c>
      <c r="M85" s="2542">
        <f t="shared" si="149"/>
        <v>363.50370173924705</v>
      </c>
      <c r="N85" s="2543">
        <f t="shared" si="149"/>
        <v>357.55771825806113</v>
      </c>
      <c r="O85" s="2543">
        <f t="shared" si="149"/>
        <v>349.23583083062033</v>
      </c>
      <c r="P85" s="2543">
        <f t="shared" si="149"/>
        <v>346.85644561812046</v>
      </c>
      <c r="Q85" s="2543">
        <f t="shared" si="149"/>
        <v>342.07039363494221</v>
      </c>
      <c r="R85" s="2544">
        <f t="shared" si="149"/>
        <v>332.56856994343144</v>
      </c>
      <c r="S85" s="2545">
        <f t="shared" si="149"/>
        <v>323.96067160777227</v>
      </c>
      <c r="T85" s="2542">
        <f t="shared" si="149"/>
        <v>338.46023403607427</v>
      </c>
      <c r="U85" s="2543">
        <f t="shared" si="149"/>
        <v>331.35208511529703</v>
      </c>
      <c r="V85" s="2543">
        <f t="shared" si="149"/>
        <v>321.78049592423389</v>
      </c>
      <c r="W85" s="2543">
        <f t="shared" si="149"/>
        <v>318.03509338308055</v>
      </c>
      <c r="X85" s="2543">
        <f t="shared" si="149"/>
        <v>311.73042993958228</v>
      </c>
      <c r="Y85" s="2544">
        <f t="shared" si="149"/>
        <v>300.60272239071571</v>
      </c>
      <c r="Z85" s="2545">
        <f t="shared" si="149"/>
        <v>0</v>
      </c>
      <c r="AA85" s="2542">
        <f t="shared" si="149"/>
        <v>0</v>
      </c>
      <c r="AB85" s="2543">
        <f t="shared" si="149"/>
        <v>0</v>
      </c>
      <c r="AC85" s="2543">
        <f t="shared" si="149"/>
        <v>0</v>
      </c>
      <c r="AD85" s="2543">
        <f t="shared" si="149"/>
        <v>0</v>
      </c>
      <c r="AE85" s="2543">
        <f t="shared" si="149"/>
        <v>0</v>
      </c>
      <c r="AF85" s="2544">
        <f t="shared" si="149"/>
        <v>0</v>
      </c>
      <c r="AG85" s="2545">
        <f t="shared" si="149"/>
        <v>195.37199573000311</v>
      </c>
      <c r="AH85" s="2542">
        <f t="shared" si="149"/>
        <v>183.27793785941023</v>
      </c>
      <c r="AI85" s="2543">
        <f t="shared" si="149"/>
        <v>166.40387998881732</v>
      </c>
      <c r="AJ85" s="2543">
        <f t="shared" si="149"/>
        <v>148.92982211822439</v>
      </c>
      <c r="AK85" s="2543">
        <f t="shared" si="149"/>
        <v>130.85576424763156</v>
      </c>
      <c r="AL85" s="2543">
        <f t="shared" si="149"/>
        <v>112.18170637703869</v>
      </c>
      <c r="AM85" s="2544">
        <f t="shared" si="149"/>
        <v>92.907648506445838</v>
      </c>
      <c r="AN85" s="2546"/>
      <c r="AO85" s="2603">
        <f>-(K85+R85+Y85+K171+R171+Y171+K258+R258+Y258)+((K10+R10+Y10+K111+R111+Y111+K192+R192+Y192)-(K60+R60+Y60+K151+R151+Y151+K236+R236+Y236))</f>
        <v>0</v>
      </c>
      <c r="AP85" s="4488"/>
      <c r="AQ85" s="4504">
        <f t="shared" si="111"/>
        <v>1280.132258810761</v>
      </c>
      <c r="AR85" s="4504">
        <f t="shared" si="112"/>
        <v>1223.3896610484326</v>
      </c>
      <c r="AS85" s="4504">
        <f t="shared" si="113"/>
        <v>1151.017348332801</v>
      </c>
      <c r="AT85" s="4504">
        <f t="shared" si="114"/>
        <v>1075.6894332470961</v>
      </c>
      <c r="AU85" s="4504">
        <f t="shared" si="115"/>
        <v>1001.0319808985151</v>
      </c>
      <c r="AV85" s="4504">
        <f t="shared" si="116"/>
        <v>922.15428838234493</v>
      </c>
      <c r="AW85" s="4504">
        <f t="shared" si="117"/>
        <v>838.78684768443111</v>
      </c>
      <c r="AX85" s="4504">
        <f t="shared" si="118"/>
        <v>178.38537192221867</v>
      </c>
      <c r="AY85" s="4504">
        <f t="shared" si="119"/>
        <v>185.85649148404875</v>
      </c>
      <c r="AZ85" s="4504">
        <f t="shared" si="120"/>
        <v>182.81635840439156</v>
      </c>
      <c r="BA85" s="4504">
        <f t="shared" si="121"/>
        <v>178.56144492651219</v>
      </c>
      <c r="BB85" s="4504">
        <f t="shared" si="122"/>
        <v>177.34488458512266</v>
      </c>
      <c r="BC85" s="4504">
        <f t="shared" si="123"/>
        <v>174.89781506314057</v>
      </c>
      <c r="BD85" s="4504">
        <f t="shared" si="124"/>
        <v>170.03960975311324</v>
      </c>
      <c r="BE85" s="4504">
        <f t="shared" si="125"/>
        <v>165.63846121992825</v>
      </c>
      <c r="BF85" s="4504">
        <f t="shared" si="126"/>
        <v>173.0519697704168</v>
      </c>
      <c r="BG85" s="4504">
        <f t="shared" si="127"/>
        <v>169.41763093688974</v>
      </c>
      <c r="BH85" s="4504">
        <f t="shared" si="128"/>
        <v>164.52375509335366</v>
      </c>
      <c r="BI85" s="4504">
        <f t="shared" si="129"/>
        <v>162.60876118225028</v>
      </c>
      <c r="BJ85" s="4504">
        <f t="shared" si="130"/>
        <v>159.38523794991502</v>
      </c>
      <c r="BK85" s="4504">
        <f t="shared" si="131"/>
        <v>153.69573142385366</v>
      </c>
      <c r="BL85" s="4504">
        <f t="shared" si="132"/>
        <v>0</v>
      </c>
      <c r="BM85" s="4504">
        <f t="shared" si="133"/>
        <v>0</v>
      </c>
      <c r="BN85" s="4504">
        <f t="shared" si="134"/>
        <v>0</v>
      </c>
      <c r="BO85" s="4504">
        <f t="shared" si="135"/>
        <v>0</v>
      </c>
      <c r="BP85" s="4504">
        <f t="shared" si="136"/>
        <v>0</v>
      </c>
      <c r="BQ85" s="4504">
        <f t="shared" si="137"/>
        <v>0</v>
      </c>
      <c r="BR85" s="4504">
        <f t="shared" si="138"/>
        <v>0</v>
      </c>
      <c r="BS85" s="4504">
        <f t="shared" si="139"/>
        <v>99.892115229852863</v>
      </c>
      <c r="BT85" s="4504">
        <f t="shared" si="140"/>
        <v>93.708521629901497</v>
      </c>
      <c r="BU85" s="4504">
        <f t="shared" si="141"/>
        <v>85.080952837832186</v>
      </c>
      <c r="BV85" s="4504">
        <f t="shared" si="142"/>
        <v>76.146608917045143</v>
      </c>
      <c r="BW85" s="4504">
        <f t="shared" si="143"/>
        <v>66.90548986754041</v>
      </c>
      <c r="BX85" s="4504">
        <f t="shared" si="144"/>
        <v>57.357595689317932</v>
      </c>
      <c r="BY85" s="4504">
        <f t="shared" si="145"/>
        <v>47.50292638237773</v>
      </c>
    </row>
    <row r="86" spans="1:77">
      <c r="A86" s="2547">
        <v>1</v>
      </c>
      <c r="B86" s="2547">
        <v>20101</v>
      </c>
      <c r="C86" s="2571">
        <v>0</v>
      </c>
      <c r="D86" s="2599" t="s">
        <v>556</v>
      </c>
      <c r="E86" s="2659">
        <f>E11-E61</f>
        <v>22.536523787844654</v>
      </c>
      <c r="F86" s="2640">
        <f t="shared" ref="F86:AM87" si="150">F11-F61</f>
        <v>22.536523787844654</v>
      </c>
      <c r="G86" s="2641">
        <f t="shared" si="150"/>
        <v>22.536523787844654</v>
      </c>
      <c r="H86" s="2641">
        <f t="shared" si="150"/>
        <v>22.536523787844654</v>
      </c>
      <c r="I86" s="2641">
        <f t="shared" si="150"/>
        <v>22.536523787844654</v>
      </c>
      <c r="J86" s="2641">
        <f t="shared" si="150"/>
        <v>22.536523787844654</v>
      </c>
      <c r="K86" s="2660">
        <f t="shared" si="150"/>
        <v>22.536523787844654</v>
      </c>
      <c r="L86" s="2659">
        <f t="shared" si="150"/>
        <v>5.3750598480652947</v>
      </c>
      <c r="M86" s="2640">
        <f t="shared" si="150"/>
        <v>5.3750598480652947</v>
      </c>
      <c r="N86" s="2641">
        <f t="shared" si="150"/>
        <v>5.3750598480652947</v>
      </c>
      <c r="O86" s="2641">
        <f t="shared" si="150"/>
        <v>5.3750598480652947</v>
      </c>
      <c r="P86" s="2641">
        <f t="shared" si="150"/>
        <v>5.3750598480652947</v>
      </c>
      <c r="Q86" s="2641">
        <f t="shared" si="150"/>
        <v>5.3750598480652947</v>
      </c>
      <c r="R86" s="2660">
        <f t="shared" si="150"/>
        <v>5.3750598480652947</v>
      </c>
      <c r="S86" s="2659">
        <f t="shared" si="150"/>
        <v>2.367113286516366</v>
      </c>
      <c r="T86" s="2643">
        <f t="shared" si="150"/>
        <v>2.367113286516366</v>
      </c>
      <c r="U86" s="2641">
        <f t="shared" si="150"/>
        <v>2.367113286516366</v>
      </c>
      <c r="V86" s="2641">
        <f t="shared" si="150"/>
        <v>2.367113286516366</v>
      </c>
      <c r="W86" s="2641">
        <f t="shared" si="150"/>
        <v>2.367113286516366</v>
      </c>
      <c r="X86" s="2641">
        <f t="shared" si="150"/>
        <v>2.367113286516366</v>
      </c>
      <c r="Y86" s="2642">
        <f t="shared" si="150"/>
        <v>2.367113286516366</v>
      </c>
      <c r="Z86" s="2659">
        <f t="shared" si="150"/>
        <v>0</v>
      </c>
      <c r="AA86" s="2643">
        <f t="shared" si="150"/>
        <v>0</v>
      </c>
      <c r="AB86" s="2641">
        <f t="shared" si="150"/>
        <v>0</v>
      </c>
      <c r="AC86" s="2641">
        <f t="shared" si="150"/>
        <v>0</v>
      </c>
      <c r="AD86" s="2641">
        <f t="shared" si="150"/>
        <v>0</v>
      </c>
      <c r="AE86" s="2641">
        <f t="shared" si="150"/>
        <v>0</v>
      </c>
      <c r="AF86" s="2642">
        <f t="shared" si="150"/>
        <v>0</v>
      </c>
      <c r="AG86" s="2659">
        <f t="shared" si="150"/>
        <v>0.14830307757368388</v>
      </c>
      <c r="AH86" s="2643">
        <f t="shared" si="150"/>
        <v>0.14830307757368388</v>
      </c>
      <c r="AI86" s="2641">
        <f t="shared" si="150"/>
        <v>0.14830307757368388</v>
      </c>
      <c r="AJ86" s="2641">
        <f t="shared" si="150"/>
        <v>0.14830307757368388</v>
      </c>
      <c r="AK86" s="2641">
        <f t="shared" si="150"/>
        <v>0.14830307757368388</v>
      </c>
      <c r="AL86" s="2641">
        <f t="shared" si="150"/>
        <v>0.14830307757368388</v>
      </c>
      <c r="AM86" s="2642">
        <f t="shared" si="150"/>
        <v>0.14830307757368388</v>
      </c>
      <c r="AN86" s="2551"/>
      <c r="AO86" s="2552"/>
      <c r="AP86" s="4488"/>
      <c r="AQ86" s="4504">
        <f t="shared" si="111"/>
        <v>11.522741643110422</v>
      </c>
      <c r="AR86" s="4504">
        <f t="shared" si="112"/>
        <v>11.522741643110422</v>
      </c>
      <c r="AS86" s="4504">
        <f t="shared" si="113"/>
        <v>11.522741643110422</v>
      </c>
      <c r="AT86" s="4504">
        <f t="shared" si="114"/>
        <v>11.522741643110422</v>
      </c>
      <c r="AU86" s="4504">
        <f t="shared" si="115"/>
        <v>11.522741643110422</v>
      </c>
      <c r="AV86" s="4504">
        <f t="shared" si="116"/>
        <v>11.522741643110422</v>
      </c>
      <c r="AW86" s="4504">
        <f t="shared" si="117"/>
        <v>11.522741643110422</v>
      </c>
      <c r="AX86" s="4504">
        <f t="shared" si="118"/>
        <v>2.7482244612595648</v>
      </c>
      <c r="AY86" s="4504">
        <f t="shared" si="119"/>
        <v>2.7482244612595648</v>
      </c>
      <c r="AZ86" s="4504">
        <f t="shared" si="120"/>
        <v>2.7482244612595648</v>
      </c>
      <c r="BA86" s="4504">
        <f t="shared" si="121"/>
        <v>2.7482244612595648</v>
      </c>
      <c r="BB86" s="4504">
        <f t="shared" si="122"/>
        <v>2.7482244612595648</v>
      </c>
      <c r="BC86" s="4504">
        <f t="shared" si="123"/>
        <v>2.7482244612595648</v>
      </c>
      <c r="BD86" s="4504">
        <f t="shared" si="124"/>
        <v>2.7482244612595648</v>
      </c>
      <c r="BE86" s="4504">
        <f t="shared" si="125"/>
        <v>1.2102858052675161</v>
      </c>
      <c r="BF86" s="4504">
        <f t="shared" si="126"/>
        <v>1.2102858052675161</v>
      </c>
      <c r="BG86" s="4504">
        <f t="shared" si="127"/>
        <v>1.2102858052675161</v>
      </c>
      <c r="BH86" s="4504">
        <f t="shared" si="128"/>
        <v>1.2102858052675161</v>
      </c>
      <c r="BI86" s="4504">
        <f t="shared" si="129"/>
        <v>1.2102858052675161</v>
      </c>
      <c r="BJ86" s="4504">
        <f t="shared" si="130"/>
        <v>1.2102858052675161</v>
      </c>
      <c r="BK86" s="4504">
        <f t="shared" si="131"/>
        <v>1.2102858052675161</v>
      </c>
      <c r="BL86" s="4504">
        <f t="shared" si="132"/>
        <v>0</v>
      </c>
      <c r="BM86" s="4504">
        <f t="shared" si="133"/>
        <v>0</v>
      </c>
      <c r="BN86" s="4504">
        <f t="shared" si="134"/>
        <v>0</v>
      </c>
      <c r="BO86" s="4504">
        <f t="shared" si="135"/>
        <v>0</v>
      </c>
      <c r="BP86" s="4504">
        <f t="shared" si="136"/>
        <v>0</v>
      </c>
      <c r="BQ86" s="4504">
        <f t="shared" si="137"/>
        <v>0</v>
      </c>
      <c r="BR86" s="4504">
        <f t="shared" si="138"/>
        <v>0</v>
      </c>
      <c r="BS86" s="4504">
        <f t="shared" si="139"/>
        <v>7.5826159519837552E-2</v>
      </c>
      <c r="BT86" s="4504">
        <f t="shared" si="140"/>
        <v>7.5826159519837552E-2</v>
      </c>
      <c r="BU86" s="4504">
        <f t="shared" si="141"/>
        <v>7.5826159519837552E-2</v>
      </c>
      <c r="BV86" s="4504">
        <f t="shared" si="142"/>
        <v>7.5826159519837552E-2</v>
      </c>
      <c r="BW86" s="4504">
        <f t="shared" si="143"/>
        <v>7.5826159519837552E-2</v>
      </c>
      <c r="BX86" s="4504">
        <f t="shared" si="144"/>
        <v>7.5826159519837552E-2</v>
      </c>
      <c r="BY86" s="4504">
        <f t="shared" si="145"/>
        <v>7.5826159519837552E-2</v>
      </c>
    </row>
    <row r="87" spans="1:77">
      <c r="A87" s="2553">
        <v>2</v>
      </c>
      <c r="B87" s="2553">
        <v>20201</v>
      </c>
      <c r="C87" s="2600">
        <v>0.03</v>
      </c>
      <c r="D87" s="2601" t="s">
        <v>425</v>
      </c>
      <c r="E87" s="1117">
        <f t="shared" ref="E87" si="151">E12-E62</f>
        <v>120.53567069588564</v>
      </c>
      <c r="F87" s="908">
        <f t="shared" si="150"/>
        <v>109.5182034701063</v>
      </c>
      <c r="G87" s="1224">
        <f t="shared" si="150"/>
        <v>98.036821159590886</v>
      </c>
      <c r="H87" s="1224">
        <f t="shared" si="150"/>
        <v>86.443409102944315</v>
      </c>
      <c r="I87" s="1224">
        <f t="shared" si="150"/>
        <v>74.738776902980021</v>
      </c>
      <c r="J87" s="1224">
        <f t="shared" si="150"/>
        <v>62.923001182624489</v>
      </c>
      <c r="K87" s="2661">
        <f t="shared" si="150"/>
        <v>50.996318404122349</v>
      </c>
      <c r="L87" s="1117">
        <f t="shared" si="150"/>
        <v>79.165192581971922</v>
      </c>
      <c r="M87" s="908">
        <f t="shared" si="150"/>
        <v>73.381281780472676</v>
      </c>
      <c r="N87" s="1224">
        <f t="shared" si="150"/>
        <v>67.262684661485196</v>
      </c>
      <c r="O87" s="1224">
        <f t="shared" si="150"/>
        <v>61.142183378502267</v>
      </c>
      <c r="P87" s="1224">
        <f t="shared" si="150"/>
        <v>55.019656248131639</v>
      </c>
      <c r="Q87" s="1224">
        <f t="shared" si="150"/>
        <v>48.895121549479484</v>
      </c>
      <c r="R87" s="2661">
        <f t="shared" si="150"/>
        <v>42.768537171764962</v>
      </c>
      <c r="S87" s="1117">
        <f t="shared" si="150"/>
        <v>122.93103786126505</v>
      </c>
      <c r="T87" s="1228">
        <f t="shared" si="150"/>
        <v>115.72510185869675</v>
      </c>
      <c r="U87" s="1224">
        <f t="shared" si="150"/>
        <v>108.18276725835278</v>
      </c>
      <c r="V87" s="1224">
        <f t="shared" si="150"/>
        <v>100.63436656813536</v>
      </c>
      <c r="W87" s="1224">
        <f t="shared" si="150"/>
        <v>93.079211868623361</v>
      </c>
      <c r="X87" s="1224">
        <f t="shared" si="150"/>
        <v>85.517208257784148</v>
      </c>
      <c r="Y87" s="1229">
        <f t="shared" si="150"/>
        <v>77.948161384153821</v>
      </c>
      <c r="Z87" s="1117">
        <f t="shared" si="150"/>
        <v>0</v>
      </c>
      <c r="AA87" s="1228">
        <f t="shared" si="150"/>
        <v>0</v>
      </c>
      <c r="AB87" s="1224">
        <f t="shared" si="150"/>
        <v>0</v>
      </c>
      <c r="AC87" s="1224">
        <f t="shared" si="150"/>
        <v>0</v>
      </c>
      <c r="AD87" s="1224">
        <f t="shared" si="150"/>
        <v>0</v>
      </c>
      <c r="AE87" s="1224">
        <f t="shared" si="150"/>
        <v>0</v>
      </c>
      <c r="AF87" s="1229">
        <f t="shared" si="150"/>
        <v>0</v>
      </c>
      <c r="AG87" s="1117">
        <f t="shared" si="150"/>
        <v>3.2278807141306061</v>
      </c>
      <c r="AH87" s="1228">
        <f t="shared" si="150"/>
        <v>2.8025662598342382</v>
      </c>
      <c r="AI87" s="1224">
        <f t="shared" si="150"/>
        <v>2.3772518055378704</v>
      </c>
      <c r="AJ87" s="1224">
        <f t="shared" si="150"/>
        <v>1.9519373512415026</v>
      </c>
      <c r="AK87" s="1224">
        <f t="shared" si="150"/>
        <v>1.5266228969451348</v>
      </c>
      <c r="AL87" s="1224">
        <f t="shared" si="150"/>
        <v>1.1013084426487669</v>
      </c>
      <c r="AM87" s="1229">
        <f t="shared" si="150"/>
        <v>0.6759939883523991</v>
      </c>
      <c r="AN87" s="2551"/>
      <c r="AO87" s="2604"/>
      <c r="AP87" s="4488"/>
      <c r="AQ87" s="4504">
        <f t="shared" si="111"/>
        <v>61.628909821347278</v>
      </c>
      <c r="AR87" s="4504">
        <f t="shared" si="112"/>
        <v>55.995768277460876</v>
      </c>
      <c r="AS87" s="4504">
        <f t="shared" si="113"/>
        <v>50.125430717184464</v>
      </c>
      <c r="AT87" s="4504">
        <f t="shared" si="114"/>
        <v>44.197813257258716</v>
      </c>
      <c r="AU87" s="4504">
        <f t="shared" si="115"/>
        <v>38.213329841029143</v>
      </c>
      <c r="AV87" s="4504">
        <f t="shared" si="116"/>
        <v>32.172019645175958</v>
      </c>
      <c r="AW87" s="4504">
        <f t="shared" si="117"/>
        <v>26.074003570925054</v>
      </c>
      <c r="AX87" s="4504">
        <f t="shared" si="118"/>
        <v>40.476520240497344</v>
      </c>
      <c r="AY87" s="4504">
        <f t="shared" si="119"/>
        <v>37.51925360612767</v>
      </c>
      <c r="AZ87" s="4504">
        <f t="shared" si="120"/>
        <v>34.390864574878798</v>
      </c>
      <c r="BA87" s="4504">
        <f t="shared" si="121"/>
        <v>31.261501960038586</v>
      </c>
      <c r="BB87" s="4504">
        <f t="shared" si="122"/>
        <v>28.131103545876503</v>
      </c>
      <c r="BC87" s="4504">
        <f t="shared" si="123"/>
        <v>24.999678678351128</v>
      </c>
      <c r="BD87" s="4504">
        <f t="shared" si="124"/>
        <v>21.867205826562106</v>
      </c>
      <c r="BE87" s="4504">
        <f t="shared" si="125"/>
        <v>62.85364160548977</v>
      </c>
      <c r="BF87" s="4504">
        <f t="shared" si="126"/>
        <v>59.169305030957062</v>
      </c>
      <c r="BG87" s="4504">
        <f t="shared" si="127"/>
        <v>55.312970584535869</v>
      </c>
      <c r="BH87" s="4504">
        <f t="shared" si="128"/>
        <v>51.453534595611771</v>
      </c>
      <c r="BI87" s="4504">
        <f t="shared" si="129"/>
        <v>47.590645336569828</v>
      </c>
      <c r="BJ87" s="4504">
        <f t="shared" si="130"/>
        <v>43.724254284771249</v>
      </c>
      <c r="BK87" s="4504">
        <f t="shared" si="131"/>
        <v>39.854262069890439</v>
      </c>
      <c r="BL87" s="4504">
        <f t="shared" si="132"/>
        <v>0</v>
      </c>
      <c r="BM87" s="4504">
        <f t="shared" si="133"/>
        <v>0</v>
      </c>
      <c r="BN87" s="4504">
        <f t="shared" si="134"/>
        <v>0</v>
      </c>
      <c r="BO87" s="4504">
        <f t="shared" si="135"/>
        <v>0</v>
      </c>
      <c r="BP87" s="4504">
        <f t="shared" si="136"/>
        <v>0</v>
      </c>
      <c r="BQ87" s="4504">
        <f t="shared" si="137"/>
        <v>0</v>
      </c>
      <c r="BR87" s="4504">
        <f t="shared" si="138"/>
        <v>0</v>
      </c>
      <c r="BS87" s="4504">
        <f t="shared" si="139"/>
        <v>1.6503892026048308</v>
      </c>
      <c r="BT87" s="4504">
        <f t="shared" si="140"/>
        <v>1.4329293751676977</v>
      </c>
      <c r="BU87" s="4504">
        <f t="shared" si="141"/>
        <v>1.2154695477305648</v>
      </c>
      <c r="BV87" s="4504">
        <f t="shared" si="142"/>
        <v>0.99800972029343171</v>
      </c>
      <c r="BW87" s="4504">
        <f t="shared" si="143"/>
        <v>0.78054989285629872</v>
      </c>
      <c r="BX87" s="4504">
        <f t="shared" si="144"/>
        <v>0.56309006541916573</v>
      </c>
      <c r="BY87" s="4504">
        <f t="shared" si="145"/>
        <v>0.34563023798203274</v>
      </c>
    </row>
    <row r="88" spans="1:77" ht="24">
      <c r="A88" s="2553">
        <v>3</v>
      </c>
      <c r="B88" s="2554">
        <v>203</v>
      </c>
      <c r="C88" s="2560"/>
      <c r="D88" s="2585" t="s">
        <v>405</v>
      </c>
      <c r="E88" s="2644">
        <f t="shared" ref="E88" si="152">SUM(E89:E92)</f>
        <v>743.92698342670315</v>
      </c>
      <c r="F88" s="2662">
        <f t="shared" ref="F88:AM88" si="153">SUM(F89:F92)</f>
        <v>690.82772539504049</v>
      </c>
      <c r="G88" s="2663">
        <f t="shared" si="153"/>
        <v>608.15678336505391</v>
      </c>
      <c r="H88" s="2663">
        <f t="shared" si="153"/>
        <v>525.39743141657357</v>
      </c>
      <c r="I88" s="2663">
        <f t="shared" si="153"/>
        <v>442.50400804315854</v>
      </c>
      <c r="J88" s="2663">
        <f t="shared" si="153"/>
        <v>359.44978892641944</v>
      </c>
      <c r="K88" s="2664">
        <f t="shared" si="153"/>
        <v>276.2237765847359</v>
      </c>
      <c r="L88" s="2644">
        <f t="shared" si="153"/>
        <v>18.302900071947036</v>
      </c>
      <c r="M88" s="2662">
        <f t="shared" si="153"/>
        <v>41.231557924674902</v>
      </c>
      <c r="N88" s="2663">
        <f t="shared" si="153"/>
        <v>38.451675955460672</v>
      </c>
      <c r="O88" s="2663">
        <f t="shared" si="153"/>
        <v>35.652436248783722</v>
      </c>
      <c r="P88" s="2663">
        <f t="shared" si="153"/>
        <v>32.842080793245849</v>
      </c>
      <c r="Q88" s="2663">
        <f t="shared" si="153"/>
        <v>30.025536832433161</v>
      </c>
      <c r="R88" s="2664">
        <f t="shared" si="153"/>
        <v>27.20448695801749</v>
      </c>
      <c r="S88" s="2644">
        <f t="shared" si="153"/>
        <v>13.994695933777599</v>
      </c>
      <c r="T88" s="2658">
        <f t="shared" si="153"/>
        <v>38.069618668518203</v>
      </c>
      <c r="U88" s="2646">
        <f t="shared" si="153"/>
        <v>36.374765223524804</v>
      </c>
      <c r="V88" s="2646">
        <f t="shared" si="153"/>
        <v>34.587679434488024</v>
      </c>
      <c r="W88" s="2646">
        <f t="shared" si="153"/>
        <v>32.745780819246662</v>
      </c>
      <c r="X88" s="2646">
        <f t="shared" si="153"/>
        <v>30.870866452604254</v>
      </c>
      <c r="Y88" s="2647">
        <f t="shared" si="153"/>
        <v>28.972251224509222</v>
      </c>
      <c r="Z88" s="2644">
        <f t="shared" si="153"/>
        <v>0</v>
      </c>
      <c r="AA88" s="2658">
        <f t="shared" si="153"/>
        <v>0</v>
      </c>
      <c r="AB88" s="2646">
        <f t="shared" si="153"/>
        <v>0</v>
      </c>
      <c r="AC88" s="2646">
        <f t="shared" si="153"/>
        <v>0</v>
      </c>
      <c r="AD88" s="2646">
        <f t="shared" si="153"/>
        <v>0</v>
      </c>
      <c r="AE88" s="2646">
        <f t="shared" si="153"/>
        <v>0</v>
      </c>
      <c r="AF88" s="2647">
        <f t="shared" si="153"/>
        <v>0</v>
      </c>
      <c r="AG88" s="2644">
        <f t="shared" si="153"/>
        <v>179.43596149472043</v>
      </c>
      <c r="AH88" s="2658">
        <f t="shared" si="153"/>
        <v>166.83309938347975</v>
      </c>
      <c r="AI88" s="2646">
        <f t="shared" si="153"/>
        <v>150.68023727223908</v>
      </c>
      <c r="AJ88" s="2646">
        <f t="shared" si="153"/>
        <v>134.12737516099841</v>
      </c>
      <c r="AK88" s="2646">
        <f t="shared" si="153"/>
        <v>117.17451304975772</v>
      </c>
      <c r="AL88" s="2646">
        <f t="shared" si="153"/>
        <v>99.821650938517081</v>
      </c>
      <c r="AM88" s="2647">
        <f t="shared" si="153"/>
        <v>82.068788827276407</v>
      </c>
      <c r="AN88" s="2551"/>
      <c r="AO88" s="2589"/>
      <c r="AP88" s="4488"/>
      <c r="AQ88" s="4504">
        <f t="shared" si="111"/>
        <v>380.3638268288671</v>
      </c>
      <c r="AR88" s="4504">
        <f t="shared" si="112"/>
        <v>353.21460729973489</v>
      </c>
      <c r="AS88" s="4504">
        <f t="shared" si="113"/>
        <v>310.94562582895952</v>
      </c>
      <c r="AT88" s="4504">
        <f t="shared" si="114"/>
        <v>268.6314410846411</v>
      </c>
      <c r="AU88" s="4504">
        <f t="shared" si="115"/>
        <v>226.24870670925313</v>
      </c>
      <c r="AV88" s="4504">
        <f t="shared" si="116"/>
        <v>183.78375877577267</v>
      </c>
      <c r="AW88" s="4504">
        <f t="shared" si="117"/>
        <v>141.23097436113358</v>
      </c>
      <c r="AX88" s="4504">
        <f t="shared" si="118"/>
        <v>9.3581242091322032</v>
      </c>
      <c r="AY88" s="4504">
        <f t="shared" si="119"/>
        <v>21.081360815957883</v>
      </c>
      <c r="AZ88" s="4504">
        <f t="shared" si="120"/>
        <v>19.660029734414888</v>
      </c>
      <c r="BA88" s="4504">
        <f t="shared" si="121"/>
        <v>18.228801198868879</v>
      </c>
      <c r="BB88" s="4504">
        <f t="shared" si="122"/>
        <v>16.791889271176867</v>
      </c>
      <c r="BC88" s="4504">
        <f t="shared" si="123"/>
        <v>15.351813210981099</v>
      </c>
      <c r="BD88" s="4504">
        <f t="shared" si="124"/>
        <v>13.909433313742754</v>
      </c>
      <c r="BE88" s="4504">
        <f t="shared" si="125"/>
        <v>7.155374410750218</v>
      </c>
      <c r="BF88" s="4504">
        <f t="shared" si="126"/>
        <v>19.464686945449351</v>
      </c>
      <c r="BG88" s="4504">
        <f t="shared" si="127"/>
        <v>18.598122139206783</v>
      </c>
      <c r="BH88" s="4504">
        <f t="shared" si="128"/>
        <v>17.684399684271142</v>
      </c>
      <c r="BI88" s="4504">
        <f t="shared" si="129"/>
        <v>16.742651876311676</v>
      </c>
      <c r="BJ88" s="4504">
        <f t="shared" si="130"/>
        <v>15.784023382709261</v>
      </c>
      <c r="BK88" s="4504">
        <f t="shared" si="131"/>
        <v>14.813276831068764</v>
      </c>
      <c r="BL88" s="4504">
        <f t="shared" si="132"/>
        <v>0</v>
      </c>
      <c r="BM88" s="4504">
        <f t="shared" si="133"/>
        <v>0</v>
      </c>
      <c r="BN88" s="4504">
        <f t="shared" si="134"/>
        <v>0</v>
      </c>
      <c r="BO88" s="4504">
        <f t="shared" si="135"/>
        <v>0</v>
      </c>
      <c r="BP88" s="4504">
        <f t="shared" si="136"/>
        <v>0</v>
      </c>
      <c r="BQ88" s="4504">
        <f t="shared" si="137"/>
        <v>0</v>
      </c>
      <c r="BR88" s="4504">
        <f t="shared" si="138"/>
        <v>0</v>
      </c>
      <c r="BS88" s="4504">
        <f t="shared" si="139"/>
        <v>91.744150306887832</v>
      </c>
      <c r="BT88" s="4504">
        <f t="shared" si="140"/>
        <v>85.300409229575038</v>
      </c>
      <c r="BU88" s="4504">
        <f t="shared" si="141"/>
        <v>77.041581974015685</v>
      </c>
      <c r="BV88" s="4504">
        <f t="shared" si="142"/>
        <v>68.578237965977834</v>
      </c>
      <c r="BW88" s="4504">
        <f t="shared" si="143"/>
        <v>59.910377205461479</v>
      </c>
      <c r="BX88" s="4504">
        <f t="shared" si="144"/>
        <v>51.03799969246667</v>
      </c>
      <c r="BY88" s="4504">
        <f t="shared" si="145"/>
        <v>41.961105426993356</v>
      </c>
    </row>
    <row r="89" spans="1:77">
      <c r="A89" s="2553"/>
      <c r="B89" s="2554">
        <v>20301</v>
      </c>
      <c r="C89" s="2560">
        <v>0.1</v>
      </c>
      <c r="D89" s="2588" t="s">
        <v>427</v>
      </c>
      <c r="E89" s="1117">
        <f t="shared" ref="E89:E93" si="154">E14-E64</f>
        <v>80.632281971316331</v>
      </c>
      <c r="F89" s="908">
        <f t="shared" ref="F89:AM93" si="155">F14-F64</f>
        <v>64.532965967054849</v>
      </c>
      <c r="G89" s="1224">
        <f t="shared" si="155"/>
        <v>48.433649962793368</v>
      </c>
      <c r="H89" s="1224">
        <f t="shared" si="155"/>
        <v>32.334333958531886</v>
      </c>
      <c r="I89" s="1224">
        <f t="shared" si="155"/>
        <v>16.235017954270404</v>
      </c>
      <c r="J89" s="1224">
        <f t="shared" si="155"/>
        <v>0.13570195000892227</v>
      </c>
      <c r="K89" s="2661">
        <f t="shared" si="155"/>
        <v>-15.96361405425256</v>
      </c>
      <c r="L89" s="1117">
        <f t="shared" si="155"/>
        <v>0</v>
      </c>
      <c r="M89" s="908">
        <f t="shared" si="155"/>
        <v>0</v>
      </c>
      <c r="N89" s="1224">
        <f t="shared" si="155"/>
        <v>0</v>
      </c>
      <c r="O89" s="1224">
        <f t="shared" si="155"/>
        <v>0</v>
      </c>
      <c r="P89" s="1224">
        <f t="shared" si="155"/>
        <v>0</v>
      </c>
      <c r="Q89" s="1224">
        <f t="shared" si="155"/>
        <v>0</v>
      </c>
      <c r="R89" s="2661">
        <f t="shared" si="155"/>
        <v>0</v>
      </c>
      <c r="S89" s="1117">
        <f t="shared" si="155"/>
        <v>1.6713900000000002</v>
      </c>
      <c r="T89" s="1228">
        <f t="shared" si="155"/>
        <v>1.4150700000000001</v>
      </c>
      <c r="U89" s="1224">
        <f t="shared" si="155"/>
        <v>1.1587499999999999</v>
      </c>
      <c r="V89" s="1224">
        <f t="shared" si="155"/>
        <v>0.90242999999999984</v>
      </c>
      <c r="W89" s="1224">
        <f t="shared" si="155"/>
        <v>0.64611000000000018</v>
      </c>
      <c r="X89" s="1224">
        <f t="shared" si="155"/>
        <v>0.38979000000000052</v>
      </c>
      <c r="Y89" s="1229">
        <f t="shared" si="155"/>
        <v>0.13347000000000087</v>
      </c>
      <c r="Z89" s="1117">
        <f t="shared" si="155"/>
        <v>0</v>
      </c>
      <c r="AA89" s="1228">
        <f t="shared" si="155"/>
        <v>0</v>
      </c>
      <c r="AB89" s="1224">
        <f t="shared" si="155"/>
        <v>0</v>
      </c>
      <c r="AC89" s="1224">
        <f t="shared" si="155"/>
        <v>0</v>
      </c>
      <c r="AD89" s="1224">
        <f t="shared" si="155"/>
        <v>0</v>
      </c>
      <c r="AE89" s="1224">
        <f t="shared" si="155"/>
        <v>0</v>
      </c>
      <c r="AF89" s="1229">
        <f t="shared" si="155"/>
        <v>0</v>
      </c>
      <c r="AG89" s="1117">
        <f t="shared" si="155"/>
        <v>2.3563380286835276</v>
      </c>
      <c r="AH89" s="1228">
        <f t="shared" si="155"/>
        <v>2.0343025329450146</v>
      </c>
      <c r="AI89" s="1224">
        <f t="shared" si="155"/>
        <v>1.7122670372065016</v>
      </c>
      <c r="AJ89" s="1224">
        <f t="shared" si="155"/>
        <v>1.3902315414679887</v>
      </c>
      <c r="AK89" s="1224">
        <f t="shared" si="155"/>
        <v>1.0681960457294757</v>
      </c>
      <c r="AL89" s="1224">
        <f t="shared" si="155"/>
        <v>0.74616054999096271</v>
      </c>
      <c r="AM89" s="1229">
        <f t="shared" si="155"/>
        <v>0.42412505425244973</v>
      </c>
      <c r="AN89" s="2551"/>
      <c r="AO89" s="2589"/>
      <c r="AP89" s="4488"/>
      <c r="AQ89" s="4504">
        <f t="shared" si="111"/>
        <v>41.226631134258263</v>
      </c>
      <c r="AR89" s="4504">
        <f t="shared" si="112"/>
        <v>32.995181568467018</v>
      </c>
      <c r="AS89" s="4504">
        <f t="shared" si="113"/>
        <v>24.763732002675781</v>
      </c>
      <c r="AT89" s="4504">
        <f t="shared" si="114"/>
        <v>16.53228243688454</v>
      </c>
      <c r="AU89" s="4504">
        <f t="shared" si="115"/>
        <v>8.3008328710932968</v>
      </c>
      <c r="AV89" s="4504">
        <f t="shared" si="116"/>
        <v>6.9383305302057066E-2</v>
      </c>
      <c r="AW89" s="4504">
        <f t="shared" si="117"/>
        <v>-8.1620662604891834</v>
      </c>
      <c r="AX89" s="4504">
        <f t="shared" si="118"/>
        <v>0</v>
      </c>
      <c r="AY89" s="4504">
        <f t="shared" si="119"/>
        <v>0</v>
      </c>
      <c r="AZ89" s="4504">
        <f t="shared" si="120"/>
        <v>0</v>
      </c>
      <c r="BA89" s="4504">
        <f t="shared" si="121"/>
        <v>0</v>
      </c>
      <c r="BB89" s="4504">
        <f t="shared" si="122"/>
        <v>0</v>
      </c>
      <c r="BC89" s="4504">
        <f t="shared" si="123"/>
        <v>0</v>
      </c>
      <c r="BD89" s="4504">
        <f t="shared" si="124"/>
        <v>0</v>
      </c>
      <c r="BE89" s="4504">
        <f t="shared" si="125"/>
        <v>0.85456813731254766</v>
      </c>
      <c r="BF89" s="4504">
        <f t="shared" si="126"/>
        <v>0.72351380232433293</v>
      </c>
      <c r="BG89" s="4504">
        <f t="shared" si="127"/>
        <v>0.59245946733611821</v>
      </c>
      <c r="BH89" s="4504">
        <f t="shared" si="128"/>
        <v>0.46140513234790337</v>
      </c>
      <c r="BI89" s="4504">
        <f t="shared" si="129"/>
        <v>0.33035079735968881</v>
      </c>
      <c r="BJ89" s="4504">
        <f t="shared" si="130"/>
        <v>0.19929646237147428</v>
      </c>
      <c r="BK89" s="4504">
        <f t="shared" si="131"/>
        <v>6.8242127383259729E-2</v>
      </c>
      <c r="BL89" s="4504">
        <f t="shared" si="132"/>
        <v>0</v>
      </c>
      <c r="BM89" s="4504">
        <f t="shared" si="133"/>
        <v>0</v>
      </c>
      <c r="BN89" s="4504">
        <f t="shared" si="134"/>
        <v>0</v>
      </c>
      <c r="BO89" s="4504">
        <f t="shared" si="135"/>
        <v>0</v>
      </c>
      <c r="BP89" s="4504">
        <f t="shared" si="136"/>
        <v>0</v>
      </c>
      <c r="BQ89" s="4504">
        <f t="shared" si="137"/>
        <v>0</v>
      </c>
      <c r="BR89" s="4504">
        <f t="shared" si="138"/>
        <v>0</v>
      </c>
      <c r="BS89" s="4504">
        <f t="shared" si="139"/>
        <v>1.2047765034197899</v>
      </c>
      <c r="BT89" s="4504">
        <f t="shared" si="140"/>
        <v>1.0401223689916888</v>
      </c>
      <c r="BU89" s="4504">
        <f t="shared" si="141"/>
        <v>0.87546823456358769</v>
      </c>
      <c r="BV89" s="4504">
        <f t="shared" si="142"/>
        <v>0.71081410013548652</v>
      </c>
      <c r="BW89" s="4504">
        <f t="shared" si="143"/>
        <v>0.54615996570738545</v>
      </c>
      <c r="BX89" s="4504">
        <f t="shared" si="144"/>
        <v>0.38150583127928434</v>
      </c>
      <c r="BY89" s="4504">
        <f t="shared" si="145"/>
        <v>0.21685169685118325</v>
      </c>
    </row>
    <row r="90" spans="1:77">
      <c r="A90" s="2553"/>
      <c r="B90" s="2554">
        <v>20302</v>
      </c>
      <c r="C90" s="2560">
        <v>0.1</v>
      </c>
      <c r="D90" s="2588" t="s">
        <v>428</v>
      </c>
      <c r="E90" s="1117">
        <f t="shared" si="154"/>
        <v>13.734643529197427</v>
      </c>
      <c r="F90" s="908">
        <f t="shared" si="155"/>
        <v>11.450210081356857</v>
      </c>
      <c r="G90" s="1224">
        <f t="shared" si="155"/>
        <v>9.1657766335162876</v>
      </c>
      <c r="H90" s="1224">
        <f t="shared" si="155"/>
        <v>6.8813431856757177</v>
      </c>
      <c r="I90" s="1224">
        <f t="shared" si="155"/>
        <v>4.5969097378351478</v>
      </c>
      <c r="J90" s="1224">
        <f t="shared" si="155"/>
        <v>2.3124762899945779</v>
      </c>
      <c r="K90" s="2661">
        <f t="shared" si="155"/>
        <v>2.8042842154007985E-2</v>
      </c>
      <c r="L90" s="1117">
        <f t="shared" si="155"/>
        <v>4.6924881957230085</v>
      </c>
      <c r="M90" s="908">
        <f t="shared" si="155"/>
        <v>3.7728213986723631</v>
      </c>
      <c r="N90" s="1224">
        <f t="shared" si="155"/>
        <v>2.8531546016217177</v>
      </c>
      <c r="O90" s="1224">
        <f t="shared" si="155"/>
        <v>1.9334878045710724</v>
      </c>
      <c r="P90" s="1224">
        <f t="shared" si="155"/>
        <v>1.013821007520427</v>
      </c>
      <c r="Q90" s="1224">
        <f t="shared" si="155"/>
        <v>9.4154210469781674E-2</v>
      </c>
      <c r="R90" s="2661">
        <f t="shared" si="155"/>
        <v>-0.82551258658086368</v>
      </c>
      <c r="S90" s="1117">
        <f t="shared" si="155"/>
        <v>6.6454359981972146</v>
      </c>
      <c r="T90" s="1228">
        <f t="shared" si="155"/>
        <v>5.8837653707424806</v>
      </c>
      <c r="U90" s="1224">
        <f t="shared" si="155"/>
        <v>5.1220947432877466</v>
      </c>
      <c r="V90" s="1224">
        <f t="shared" si="155"/>
        <v>4.3604241158330126</v>
      </c>
      <c r="W90" s="1224">
        <f t="shared" si="155"/>
        <v>3.5987534883782786</v>
      </c>
      <c r="X90" s="1224">
        <f t="shared" si="155"/>
        <v>2.8370828609235446</v>
      </c>
      <c r="Y90" s="1229">
        <f t="shared" si="155"/>
        <v>2.0754122334688105</v>
      </c>
      <c r="Z90" s="1117">
        <f t="shared" si="155"/>
        <v>0</v>
      </c>
      <c r="AA90" s="1228">
        <f t="shared" si="155"/>
        <v>0</v>
      </c>
      <c r="AB90" s="1224">
        <f t="shared" si="155"/>
        <v>0</v>
      </c>
      <c r="AC90" s="1224">
        <f t="shared" si="155"/>
        <v>0</v>
      </c>
      <c r="AD90" s="1224">
        <f t="shared" si="155"/>
        <v>0</v>
      </c>
      <c r="AE90" s="1224">
        <f t="shared" si="155"/>
        <v>0</v>
      </c>
      <c r="AF90" s="1229">
        <f t="shared" si="155"/>
        <v>0</v>
      </c>
      <c r="AG90" s="1117">
        <f t="shared" si="155"/>
        <v>3.2503189473149341</v>
      </c>
      <c r="AH90" s="1228">
        <f t="shared" si="155"/>
        <v>2.7383804770618418</v>
      </c>
      <c r="AI90" s="1224">
        <f t="shared" si="155"/>
        <v>2.2264420068087496</v>
      </c>
      <c r="AJ90" s="1224">
        <f t="shared" si="155"/>
        <v>1.7145035365556573</v>
      </c>
      <c r="AK90" s="1224">
        <f t="shared" si="155"/>
        <v>1.2025650663025651</v>
      </c>
      <c r="AL90" s="1224">
        <f t="shared" si="155"/>
        <v>0.69062659604947285</v>
      </c>
      <c r="AM90" s="1229">
        <f t="shared" si="155"/>
        <v>0.1786881257963806</v>
      </c>
      <c r="AN90" s="2551"/>
      <c r="AO90" s="2589"/>
      <c r="AP90" s="4488"/>
      <c r="AQ90" s="4504">
        <f t="shared" si="111"/>
        <v>7.0224117276028224</v>
      </c>
      <c r="AR90" s="4504">
        <f t="shared" si="112"/>
        <v>5.8543994525888534</v>
      </c>
      <c r="AS90" s="4504">
        <f t="shared" si="113"/>
        <v>4.6863871775748853</v>
      </c>
      <c r="AT90" s="4504">
        <f t="shared" si="114"/>
        <v>3.5183749025609168</v>
      </c>
      <c r="AU90" s="4504">
        <f t="shared" si="115"/>
        <v>2.3503626275469482</v>
      </c>
      <c r="AV90" s="4504">
        <f t="shared" si="116"/>
        <v>1.1823503525329799</v>
      </c>
      <c r="AW90" s="4504">
        <f t="shared" si="117"/>
        <v>1.4338077519011359E-2</v>
      </c>
      <c r="AX90" s="4504">
        <f t="shared" si="118"/>
        <v>2.399231117082266</v>
      </c>
      <c r="AY90" s="4504">
        <f t="shared" si="119"/>
        <v>1.9290129503445408</v>
      </c>
      <c r="AZ90" s="4504">
        <f t="shared" si="120"/>
        <v>1.4587947836068154</v>
      </c>
      <c r="BA90" s="4504">
        <f t="shared" si="121"/>
        <v>0.98857661686909004</v>
      </c>
      <c r="BB90" s="4504">
        <f t="shared" si="122"/>
        <v>0.51835845013136472</v>
      </c>
      <c r="BC90" s="4504">
        <f t="shared" si="123"/>
        <v>4.8140283393639363E-2</v>
      </c>
      <c r="BD90" s="4504">
        <f t="shared" si="124"/>
        <v>-0.42207788334408597</v>
      </c>
      <c r="BE90" s="4504">
        <f t="shared" si="125"/>
        <v>3.3977574728873239</v>
      </c>
      <c r="BF90" s="4504">
        <f t="shared" si="126"/>
        <v>3.008321464924089</v>
      </c>
      <c r="BG90" s="4504">
        <f t="shared" si="127"/>
        <v>2.6188854569608537</v>
      </c>
      <c r="BH90" s="4504">
        <f t="shared" si="128"/>
        <v>2.2294494489976189</v>
      </c>
      <c r="BI90" s="4504">
        <f t="shared" si="129"/>
        <v>1.8400134410343838</v>
      </c>
      <c r="BJ90" s="4504">
        <f t="shared" si="130"/>
        <v>1.4505774330711487</v>
      </c>
      <c r="BK90" s="4504">
        <f t="shared" si="131"/>
        <v>1.0611414251079136</v>
      </c>
      <c r="BL90" s="4504">
        <f t="shared" si="132"/>
        <v>0</v>
      </c>
      <c r="BM90" s="4504">
        <f t="shared" si="133"/>
        <v>0</v>
      </c>
      <c r="BN90" s="4504">
        <f t="shared" si="134"/>
        <v>0</v>
      </c>
      <c r="BO90" s="4504">
        <f t="shared" si="135"/>
        <v>0</v>
      </c>
      <c r="BP90" s="4504">
        <f t="shared" si="136"/>
        <v>0</v>
      </c>
      <c r="BQ90" s="4504">
        <f t="shared" si="137"/>
        <v>0</v>
      </c>
      <c r="BR90" s="4504">
        <f t="shared" si="138"/>
        <v>0</v>
      </c>
      <c r="BS90" s="4504">
        <f t="shared" si="139"/>
        <v>1.6618616890603652</v>
      </c>
      <c r="BT90" s="4504">
        <f t="shared" si="140"/>
        <v>1.4001117055479473</v>
      </c>
      <c r="BU90" s="4504">
        <f t="shared" si="141"/>
        <v>1.1383617220355295</v>
      </c>
      <c r="BV90" s="4504">
        <f t="shared" si="142"/>
        <v>0.87661173852311158</v>
      </c>
      <c r="BW90" s="4504">
        <f t="shared" si="143"/>
        <v>0.61486175501069373</v>
      </c>
      <c r="BX90" s="4504">
        <f t="shared" si="144"/>
        <v>0.35311177149827583</v>
      </c>
      <c r="BY90" s="4504">
        <f t="shared" si="145"/>
        <v>9.1361787985857978E-2</v>
      </c>
    </row>
    <row r="91" spans="1:77" ht="18.75" customHeight="1">
      <c r="A91" s="2553"/>
      <c r="B91" s="2554">
        <v>20303</v>
      </c>
      <c r="C91" s="2560">
        <v>0.1</v>
      </c>
      <c r="D91" s="2588" t="s">
        <v>406</v>
      </c>
      <c r="E91" s="1117">
        <f t="shared" si="154"/>
        <v>647.75983179385184</v>
      </c>
      <c r="F91" s="908">
        <f t="shared" si="155"/>
        <v>592.59999913443494</v>
      </c>
      <c r="G91" s="1224">
        <f t="shared" si="155"/>
        <v>535.71436470887124</v>
      </c>
      <c r="H91" s="1224">
        <f t="shared" si="155"/>
        <v>478.63452717065866</v>
      </c>
      <c r="I91" s="1224">
        <f t="shared" si="155"/>
        <v>421.3581144934883</v>
      </c>
      <c r="J91" s="1224">
        <f t="shared" si="155"/>
        <v>363.88373840108034</v>
      </c>
      <c r="K91" s="2661">
        <f t="shared" si="155"/>
        <v>306.21082759568822</v>
      </c>
      <c r="L91" s="1117">
        <f t="shared" si="155"/>
        <v>13.167470000000037</v>
      </c>
      <c r="M91" s="908">
        <f t="shared" si="155"/>
        <v>12.730278739926746</v>
      </c>
      <c r="N91" s="1224">
        <f t="shared" si="155"/>
        <v>10.957578917674653</v>
      </c>
      <c r="O91" s="1224">
        <f t="shared" si="155"/>
        <v>9.1838734986712893</v>
      </c>
      <c r="P91" s="1224">
        <f t="shared" si="155"/>
        <v>7.4095906381686518</v>
      </c>
      <c r="Q91" s="1224">
        <f t="shared" si="155"/>
        <v>5.634986296872512</v>
      </c>
      <c r="R91" s="2661">
        <f t="shared" si="155"/>
        <v>3.860147882142428</v>
      </c>
      <c r="S91" s="1117">
        <f t="shared" si="155"/>
        <v>4.4299500000000052</v>
      </c>
      <c r="T91" s="1228">
        <f t="shared" si="155"/>
        <v>5.540097921245426</v>
      </c>
      <c r="U91" s="1224">
        <f t="shared" si="155"/>
        <v>5.3115561708163526</v>
      </c>
      <c r="V91" s="1224">
        <f t="shared" si="155"/>
        <v>5.0782231297876237</v>
      </c>
      <c r="W91" s="1224">
        <f t="shared" si="155"/>
        <v>4.8420426692158003</v>
      </c>
      <c r="X91" s="1224">
        <f t="shared" si="155"/>
        <v>4.6041471046750928</v>
      </c>
      <c r="Y91" s="1229">
        <f t="shared" si="155"/>
        <v>4.3650203265524254</v>
      </c>
      <c r="Z91" s="1117">
        <f t="shared" si="155"/>
        <v>0</v>
      </c>
      <c r="AA91" s="1228">
        <f t="shared" si="155"/>
        <v>0</v>
      </c>
      <c r="AB91" s="1224">
        <f t="shared" si="155"/>
        <v>0</v>
      </c>
      <c r="AC91" s="1224">
        <f t="shared" si="155"/>
        <v>0</v>
      </c>
      <c r="AD91" s="1224">
        <f t="shared" si="155"/>
        <v>0</v>
      </c>
      <c r="AE91" s="1224">
        <f t="shared" si="155"/>
        <v>0</v>
      </c>
      <c r="AF91" s="1229">
        <f t="shared" si="155"/>
        <v>0</v>
      </c>
      <c r="AG91" s="1117">
        <f t="shared" si="155"/>
        <v>173.26015820614811</v>
      </c>
      <c r="AH91" s="1228">
        <f t="shared" si="155"/>
        <v>159.70311870439286</v>
      </c>
      <c r="AI91" s="1224">
        <f t="shared" si="155"/>
        <v>144.69607920263763</v>
      </c>
      <c r="AJ91" s="1224">
        <f t="shared" si="155"/>
        <v>129.28903970088237</v>
      </c>
      <c r="AK91" s="1224">
        <f t="shared" si="155"/>
        <v>113.48200019912713</v>
      </c>
      <c r="AL91" s="1224">
        <f t="shared" si="155"/>
        <v>97.27496069737191</v>
      </c>
      <c r="AM91" s="1229">
        <f t="shared" si="155"/>
        <v>80.667921195616657</v>
      </c>
      <c r="AN91" s="2551"/>
      <c r="AO91" s="2589"/>
      <c r="AP91" s="4488"/>
      <c r="AQ91" s="4504">
        <f t="shared" si="111"/>
        <v>331.19434296122455</v>
      </c>
      <c r="AR91" s="4504">
        <f t="shared" si="112"/>
        <v>302.99156835432268</v>
      </c>
      <c r="AS91" s="4504">
        <f t="shared" si="113"/>
        <v>273.90640531583585</v>
      </c>
      <c r="AT91" s="4504">
        <f t="shared" si="114"/>
        <v>244.72194780254861</v>
      </c>
      <c r="AU91" s="4504">
        <f t="shared" si="115"/>
        <v>215.43698301666726</v>
      </c>
      <c r="AV91" s="4504">
        <f t="shared" si="116"/>
        <v>186.05080114380101</v>
      </c>
      <c r="AW91" s="4504">
        <f t="shared" si="117"/>
        <v>156.56311008405035</v>
      </c>
      <c r="AX91" s="4504">
        <f t="shared" si="118"/>
        <v>6.7324205068947904</v>
      </c>
      <c r="AY91" s="4504">
        <f t="shared" si="119"/>
        <v>6.5088881650893722</v>
      </c>
      <c r="AZ91" s="4504">
        <f t="shared" si="120"/>
        <v>5.6025211381738966</v>
      </c>
      <c r="BA91" s="4504">
        <f t="shared" si="121"/>
        <v>4.6956399578037402</v>
      </c>
      <c r="BB91" s="4504">
        <f t="shared" si="122"/>
        <v>3.7884635362831389</v>
      </c>
      <c r="BC91" s="4504">
        <f t="shared" si="123"/>
        <v>2.8811227442428597</v>
      </c>
      <c r="BD91" s="4504">
        <f t="shared" si="124"/>
        <v>1.9736622723562007</v>
      </c>
      <c r="BE91" s="4504">
        <f t="shared" si="125"/>
        <v>2.2649974691051908</v>
      </c>
      <c r="BF91" s="4504">
        <f t="shared" si="126"/>
        <v>2.8326070881648335</v>
      </c>
      <c r="BG91" s="4504">
        <f t="shared" si="127"/>
        <v>2.7157555466560757</v>
      </c>
      <c r="BH91" s="4504">
        <f t="shared" si="128"/>
        <v>2.5964542571632627</v>
      </c>
      <c r="BI91" s="4504">
        <f t="shared" si="129"/>
        <v>2.4756971051757057</v>
      </c>
      <c r="BJ91" s="4504">
        <f t="shared" si="130"/>
        <v>2.3540630344534508</v>
      </c>
      <c r="BK91" s="4504">
        <f t="shared" si="131"/>
        <v>2.2317994542227217</v>
      </c>
      <c r="BL91" s="4504">
        <f t="shared" si="132"/>
        <v>0</v>
      </c>
      <c r="BM91" s="4504">
        <f t="shared" si="133"/>
        <v>0</v>
      </c>
      <c r="BN91" s="4504">
        <f t="shared" si="134"/>
        <v>0</v>
      </c>
      <c r="BO91" s="4504">
        <f t="shared" si="135"/>
        <v>0</v>
      </c>
      <c r="BP91" s="4504">
        <f t="shared" si="136"/>
        <v>0</v>
      </c>
      <c r="BQ91" s="4504">
        <f t="shared" si="137"/>
        <v>0</v>
      </c>
      <c r="BR91" s="4504">
        <f t="shared" si="138"/>
        <v>0</v>
      </c>
      <c r="BS91" s="4504">
        <f t="shared" si="139"/>
        <v>88.586512225575902</v>
      </c>
      <c r="BT91" s="4504">
        <f t="shared" si="140"/>
        <v>81.654907995272012</v>
      </c>
      <c r="BU91" s="4504">
        <f t="shared" si="141"/>
        <v>73.981930537233623</v>
      </c>
      <c r="BV91" s="4504">
        <f t="shared" si="142"/>
        <v>66.104436326716723</v>
      </c>
      <c r="BW91" s="4504">
        <f t="shared" si="143"/>
        <v>58.022425363721354</v>
      </c>
      <c r="BX91" s="4504">
        <f t="shared" si="144"/>
        <v>49.735897648247501</v>
      </c>
      <c r="BY91" s="4504">
        <f t="shared" si="145"/>
        <v>41.244853180295145</v>
      </c>
    </row>
    <row r="92" spans="1:77">
      <c r="A92" s="2553"/>
      <c r="B92" s="2554">
        <v>20306</v>
      </c>
      <c r="C92" s="2560">
        <v>0.1</v>
      </c>
      <c r="D92" s="2588" t="s">
        <v>409</v>
      </c>
      <c r="E92" s="1117">
        <f t="shared" si="154"/>
        <v>1.8002261323376061</v>
      </c>
      <c r="F92" s="908">
        <f t="shared" si="155"/>
        <v>22.244550212193907</v>
      </c>
      <c r="G92" s="1224">
        <f t="shared" si="155"/>
        <v>14.842992059873019</v>
      </c>
      <c r="H92" s="1224">
        <f t="shared" si="155"/>
        <v>7.5472271017073069</v>
      </c>
      <c r="I92" s="1224">
        <f t="shared" si="155"/>
        <v>0.31396585756473172</v>
      </c>
      <c r="J92" s="1224">
        <f t="shared" si="155"/>
        <v>-6.8821277146643638</v>
      </c>
      <c r="K92" s="2661">
        <f t="shared" si="155"/>
        <v>-14.051479798853762</v>
      </c>
      <c r="L92" s="1117">
        <f t="shared" si="155"/>
        <v>0.44294187622399178</v>
      </c>
      <c r="M92" s="908">
        <f t="shared" si="155"/>
        <v>24.728457786075793</v>
      </c>
      <c r="N92" s="1224">
        <f t="shared" si="155"/>
        <v>24.640942436164305</v>
      </c>
      <c r="O92" s="1224">
        <f t="shared" si="155"/>
        <v>24.535074945541361</v>
      </c>
      <c r="P92" s="1224">
        <f t="shared" si="155"/>
        <v>24.41866914755677</v>
      </c>
      <c r="Q92" s="1224">
        <f t="shared" si="155"/>
        <v>24.296396325090868</v>
      </c>
      <c r="R92" s="2661">
        <f t="shared" si="155"/>
        <v>24.169851662455926</v>
      </c>
      <c r="S92" s="1117">
        <f t="shared" si="155"/>
        <v>1.2479199355803781</v>
      </c>
      <c r="T92" s="1228">
        <f t="shared" si="155"/>
        <v>25.230685376530296</v>
      </c>
      <c r="U92" s="1224">
        <f t="shared" si="155"/>
        <v>24.782364309420704</v>
      </c>
      <c r="V92" s="1224">
        <f t="shared" si="155"/>
        <v>24.246602188867385</v>
      </c>
      <c r="W92" s="1224">
        <f t="shared" si="155"/>
        <v>23.658874661652582</v>
      </c>
      <c r="X92" s="1224">
        <f t="shared" si="155"/>
        <v>23.039846487005615</v>
      </c>
      <c r="Y92" s="1229">
        <f t="shared" si="155"/>
        <v>22.398348664487983</v>
      </c>
      <c r="Z92" s="1117">
        <f t="shared" si="155"/>
        <v>0</v>
      </c>
      <c r="AA92" s="1228">
        <f t="shared" si="155"/>
        <v>0</v>
      </c>
      <c r="AB92" s="1224">
        <f t="shared" si="155"/>
        <v>0</v>
      </c>
      <c r="AC92" s="1224">
        <f t="shared" si="155"/>
        <v>0</v>
      </c>
      <c r="AD92" s="1224">
        <f t="shared" si="155"/>
        <v>0</v>
      </c>
      <c r="AE92" s="1224">
        <f t="shared" si="155"/>
        <v>0</v>
      </c>
      <c r="AF92" s="1229">
        <f t="shared" si="155"/>
        <v>0</v>
      </c>
      <c r="AG92" s="1117">
        <f t="shared" si="155"/>
        <v>0.56914631257385628</v>
      </c>
      <c r="AH92" s="1228">
        <f t="shared" si="155"/>
        <v>2.3572976690800331</v>
      </c>
      <c r="AI92" s="1224">
        <f t="shared" si="155"/>
        <v>2.0454490255862106</v>
      </c>
      <c r="AJ92" s="1224">
        <f t="shared" si="155"/>
        <v>1.7336003820923875</v>
      </c>
      <c r="AK92" s="1224">
        <f t="shared" si="155"/>
        <v>1.4217517385985645</v>
      </c>
      <c r="AL92" s="1224">
        <f t="shared" si="155"/>
        <v>1.1099030951047415</v>
      </c>
      <c r="AM92" s="1229">
        <f t="shared" si="155"/>
        <v>0.79805445161091848</v>
      </c>
      <c r="AN92" s="2551"/>
      <c r="AO92" s="2589"/>
      <c r="AP92" s="4488"/>
      <c r="AQ92" s="4504">
        <f t="shared" si="111"/>
        <v>0.92044100578148724</v>
      </c>
      <c r="AR92" s="4504">
        <f t="shared" si="112"/>
        <v>11.373457924356364</v>
      </c>
      <c r="AS92" s="4504">
        <f t="shared" si="113"/>
        <v>7.5891013328730104</v>
      </c>
      <c r="AT92" s="4504">
        <f t="shared" si="114"/>
        <v>3.8588359426470129</v>
      </c>
      <c r="AU92" s="4504">
        <f t="shared" si="115"/>
        <v>0.16052819394565568</v>
      </c>
      <c r="AV92" s="4504">
        <f t="shared" si="116"/>
        <v>-3.5187760258633745</v>
      </c>
      <c r="AW92" s="4504">
        <f t="shared" si="117"/>
        <v>-7.1844075399466023</v>
      </c>
      <c r="AX92" s="4504">
        <f t="shared" si="118"/>
        <v>0.22647258515514732</v>
      </c>
      <c r="AY92" s="4504">
        <f t="shared" si="119"/>
        <v>12.64345970052397</v>
      </c>
      <c r="AZ92" s="4504">
        <f t="shared" si="120"/>
        <v>12.598713812634179</v>
      </c>
      <c r="BA92" s="4504">
        <f t="shared" si="121"/>
        <v>12.54458462419605</v>
      </c>
      <c r="BB92" s="4504">
        <f t="shared" si="122"/>
        <v>12.485067284762362</v>
      </c>
      <c r="BC92" s="4504">
        <f t="shared" si="123"/>
        <v>12.422550183344599</v>
      </c>
      <c r="BD92" s="4504">
        <f t="shared" si="124"/>
        <v>12.357848924730639</v>
      </c>
      <c r="BE92" s="4504">
        <f t="shared" si="125"/>
        <v>0.63805133144515525</v>
      </c>
      <c r="BF92" s="4504">
        <f t="shared" si="126"/>
        <v>12.900244590036095</v>
      </c>
      <c r="BG92" s="4504">
        <f t="shared" si="127"/>
        <v>12.671021668253736</v>
      </c>
      <c r="BH92" s="4504">
        <f t="shared" si="128"/>
        <v>12.397090845762355</v>
      </c>
      <c r="BI92" s="4504">
        <f t="shared" si="129"/>
        <v>12.096590532741896</v>
      </c>
      <c r="BJ92" s="4504">
        <f t="shared" si="130"/>
        <v>11.780086452813187</v>
      </c>
      <c r="BK92" s="4504">
        <f t="shared" si="131"/>
        <v>11.452093824354868</v>
      </c>
      <c r="BL92" s="4504">
        <f t="shared" si="132"/>
        <v>0</v>
      </c>
      <c r="BM92" s="4504">
        <f t="shared" si="133"/>
        <v>0</v>
      </c>
      <c r="BN92" s="4504">
        <f t="shared" si="134"/>
        <v>0</v>
      </c>
      <c r="BO92" s="4504">
        <f t="shared" si="135"/>
        <v>0</v>
      </c>
      <c r="BP92" s="4504">
        <f t="shared" si="136"/>
        <v>0</v>
      </c>
      <c r="BQ92" s="4504">
        <f t="shared" si="137"/>
        <v>0</v>
      </c>
      <c r="BR92" s="4504">
        <f t="shared" si="138"/>
        <v>0</v>
      </c>
      <c r="BS92" s="4504">
        <f t="shared" si="139"/>
        <v>0.29099988883177796</v>
      </c>
      <c r="BT92" s="4504">
        <f t="shared" si="140"/>
        <v>1.205267159763391</v>
      </c>
      <c r="BU92" s="4504">
        <f t="shared" si="141"/>
        <v>1.0458214801829457</v>
      </c>
      <c r="BV92" s="4504">
        <f t="shared" si="142"/>
        <v>0.88637580060249999</v>
      </c>
      <c r="BW92" s="4504">
        <f t="shared" si="143"/>
        <v>0.72693012102205434</v>
      </c>
      <c r="BX92" s="4504">
        <f t="shared" si="144"/>
        <v>0.5674844414416087</v>
      </c>
      <c r="BY92" s="4504">
        <f t="shared" si="145"/>
        <v>0.40803876186116306</v>
      </c>
    </row>
    <row r="93" spans="1:77">
      <c r="A93" s="2553">
        <v>4</v>
      </c>
      <c r="B93" s="2554">
        <v>20403</v>
      </c>
      <c r="C93" s="2560">
        <v>0.04</v>
      </c>
      <c r="D93" s="2590" t="s">
        <v>434</v>
      </c>
      <c r="E93" s="1117">
        <f t="shared" si="154"/>
        <v>13.082436015932426</v>
      </c>
      <c r="F93" s="908">
        <f t="shared" si="155"/>
        <v>12.08853289755028</v>
      </c>
      <c r="G93" s="1224">
        <f t="shared" si="155"/>
        <v>11.094629779168134</v>
      </c>
      <c r="H93" s="1224">
        <f t="shared" si="155"/>
        <v>10.100726660785988</v>
      </c>
      <c r="I93" s="1224">
        <f t="shared" si="155"/>
        <v>9.1068235424038413</v>
      </c>
      <c r="J93" s="1224">
        <f t="shared" si="155"/>
        <v>8.112920424021695</v>
      </c>
      <c r="K93" s="2661">
        <f t="shared" si="155"/>
        <v>7.1190173056395487</v>
      </c>
      <c r="L93" s="1117">
        <f t="shared" si="155"/>
        <v>0.70425356214613632</v>
      </c>
      <c r="M93" s="908">
        <f t="shared" si="155"/>
        <v>0.51991538656016889</v>
      </c>
      <c r="N93" s="1224">
        <f t="shared" si="155"/>
        <v>0.33557721097420146</v>
      </c>
      <c r="O93" s="1224">
        <f t="shared" si="155"/>
        <v>0.15123903538823402</v>
      </c>
      <c r="P93" s="1224">
        <f t="shared" si="155"/>
        <v>-3.3099140197733412E-2</v>
      </c>
      <c r="Q93" s="1224">
        <f t="shared" si="155"/>
        <v>-0.21743731578370085</v>
      </c>
      <c r="R93" s="2661">
        <f t="shared" si="155"/>
        <v>-0.40177549136966828</v>
      </c>
      <c r="S93" s="1117">
        <f t="shared" si="155"/>
        <v>1.1382393460716074</v>
      </c>
      <c r="T93" s="1228">
        <f t="shared" si="155"/>
        <v>0.9133131261050611</v>
      </c>
      <c r="U93" s="1224">
        <f t="shared" si="155"/>
        <v>0.68838690613851483</v>
      </c>
      <c r="V93" s="1224">
        <f t="shared" si="155"/>
        <v>0.46346068617196856</v>
      </c>
      <c r="W93" s="1224">
        <f t="shared" si="155"/>
        <v>0.23853446620542229</v>
      </c>
      <c r="X93" s="1224">
        <f t="shared" si="155"/>
        <v>1.3608246238876021E-2</v>
      </c>
      <c r="Y93" s="1229">
        <f t="shared" si="155"/>
        <v>-0.21131797372767025</v>
      </c>
      <c r="Z93" s="1117">
        <f t="shared" si="155"/>
        <v>0</v>
      </c>
      <c r="AA93" s="1228">
        <f t="shared" si="155"/>
        <v>0</v>
      </c>
      <c r="AB93" s="1224">
        <f t="shared" si="155"/>
        <v>0</v>
      </c>
      <c r="AC93" s="1224">
        <f t="shared" si="155"/>
        <v>0</v>
      </c>
      <c r="AD93" s="1224">
        <f t="shared" si="155"/>
        <v>0</v>
      </c>
      <c r="AE93" s="1224">
        <f t="shared" si="155"/>
        <v>0</v>
      </c>
      <c r="AF93" s="1229">
        <f t="shared" si="155"/>
        <v>0</v>
      </c>
      <c r="AG93" s="1117">
        <f t="shared" si="155"/>
        <v>2.7232641271678293E-2</v>
      </c>
      <c r="AH93" s="1228">
        <f t="shared" si="155"/>
        <v>1.6695002843329643E-2</v>
      </c>
      <c r="AI93" s="1224">
        <f t="shared" si="155"/>
        <v>6.1573644149809925E-3</v>
      </c>
      <c r="AJ93" s="1224">
        <f t="shared" si="155"/>
        <v>-4.3802740133676576E-3</v>
      </c>
      <c r="AK93" s="1224">
        <f t="shared" si="155"/>
        <v>-1.4917912441716308E-2</v>
      </c>
      <c r="AL93" s="1224">
        <f t="shared" si="155"/>
        <v>-2.5455550870064958E-2</v>
      </c>
      <c r="AM93" s="1229">
        <f t="shared" si="155"/>
        <v>-3.5993189298413608E-2</v>
      </c>
      <c r="AN93" s="2551"/>
      <c r="AO93" s="2589"/>
      <c r="AP93" s="4488"/>
      <c r="AQ93" s="4504">
        <f t="shared" si="111"/>
        <v>6.6889433212152518</v>
      </c>
      <c r="AR93" s="4504">
        <f t="shared" si="112"/>
        <v>6.1807687260908564</v>
      </c>
      <c r="AS93" s="4504">
        <f t="shared" si="113"/>
        <v>5.6725941309664609</v>
      </c>
      <c r="AT93" s="4504">
        <f t="shared" si="114"/>
        <v>5.1644195358420664</v>
      </c>
      <c r="AU93" s="4504">
        <f t="shared" si="115"/>
        <v>4.6562449407176709</v>
      </c>
      <c r="AV93" s="4504">
        <f t="shared" si="116"/>
        <v>4.1480703455932755</v>
      </c>
      <c r="AW93" s="4504">
        <f t="shared" si="117"/>
        <v>3.6398957504688796</v>
      </c>
      <c r="AX93" s="4504">
        <f t="shared" si="118"/>
        <v>0.36007912862883601</v>
      </c>
      <c r="AY93" s="4504">
        <f t="shared" si="119"/>
        <v>0.26582851605720786</v>
      </c>
      <c r="AZ93" s="4504">
        <f t="shared" si="120"/>
        <v>0.17157790348557977</v>
      </c>
      <c r="BA93" s="4504">
        <f t="shared" si="121"/>
        <v>7.732729091395163E-2</v>
      </c>
      <c r="BB93" s="4504">
        <f t="shared" si="122"/>
        <v>-1.6923321657676491E-2</v>
      </c>
      <c r="BC93" s="4504">
        <f t="shared" si="123"/>
        <v>-0.11117393422930462</v>
      </c>
      <c r="BD93" s="4504">
        <f t="shared" si="124"/>
        <v>-0.20542454680093275</v>
      </c>
      <c r="BE93" s="4504">
        <f t="shared" si="125"/>
        <v>0.58197253650450576</v>
      </c>
      <c r="BF93" s="4504">
        <f t="shared" si="126"/>
        <v>0.46696958636745584</v>
      </c>
      <c r="BG93" s="4504">
        <f t="shared" si="127"/>
        <v>0.35196663623040592</v>
      </c>
      <c r="BH93" s="4504">
        <f t="shared" si="128"/>
        <v>0.23696368609335605</v>
      </c>
      <c r="BI93" s="4504">
        <f t="shared" si="129"/>
        <v>0.12196073595630617</v>
      </c>
      <c r="BJ93" s="4504">
        <f t="shared" si="130"/>
        <v>6.9577858192562854E-3</v>
      </c>
      <c r="BK93" s="4504">
        <f t="shared" si="131"/>
        <v>-0.1080451643177936</v>
      </c>
      <c r="BL93" s="4504">
        <f t="shared" si="132"/>
        <v>0</v>
      </c>
      <c r="BM93" s="4504">
        <f t="shared" si="133"/>
        <v>0</v>
      </c>
      <c r="BN93" s="4504">
        <f t="shared" si="134"/>
        <v>0</v>
      </c>
      <c r="BO93" s="4504">
        <f t="shared" si="135"/>
        <v>0</v>
      </c>
      <c r="BP93" s="4504">
        <f t="shared" si="136"/>
        <v>0</v>
      </c>
      <c r="BQ93" s="4504">
        <f t="shared" si="137"/>
        <v>0</v>
      </c>
      <c r="BR93" s="4504">
        <f t="shared" si="138"/>
        <v>0</v>
      </c>
      <c r="BS93" s="4504">
        <f t="shared" si="139"/>
        <v>1.3923828385738175E-2</v>
      </c>
      <c r="BT93" s="4504">
        <f t="shared" si="140"/>
        <v>8.5360194103422295E-3</v>
      </c>
      <c r="BU93" s="4504">
        <f t="shared" si="141"/>
        <v>3.148210434946285E-3</v>
      </c>
      <c r="BV93" s="4504">
        <f t="shared" si="142"/>
        <v>-2.2395985404496596E-3</v>
      </c>
      <c r="BW93" s="4504">
        <f t="shared" si="143"/>
        <v>-7.6274075158456042E-3</v>
      </c>
      <c r="BX93" s="4504">
        <f t="shared" si="144"/>
        <v>-1.3015216491241549E-2</v>
      </c>
      <c r="BY93" s="4504">
        <f t="shared" si="145"/>
        <v>-1.8403025466637492E-2</v>
      </c>
    </row>
    <row r="94" spans="1:77">
      <c r="A94" s="2553">
        <v>5</v>
      </c>
      <c r="B94" s="2554">
        <v>205</v>
      </c>
      <c r="C94" s="2560"/>
      <c r="D94" s="2585" t="s">
        <v>212</v>
      </c>
      <c r="E94" s="2657">
        <f>SUM(E95:E98)</f>
        <v>234.14781109598886</v>
      </c>
      <c r="F94" s="2645">
        <f>SUM(F95:F98)</f>
        <v>205.8279349250451</v>
      </c>
      <c r="G94" s="2646">
        <f>SUM(G95:G98)</f>
        <v>175.98225698795466</v>
      </c>
      <c r="H94" s="2646">
        <f t="shared" ref="H94:K94" si="156">SUM(H95:H98)</f>
        <v>146.14237593821514</v>
      </c>
      <c r="I94" s="2646">
        <f t="shared" si="156"/>
        <v>116.30591974951804</v>
      </c>
      <c r="J94" s="2646">
        <f t="shared" si="156"/>
        <v>86.471500145583249</v>
      </c>
      <c r="K94" s="2665">
        <f t="shared" si="156"/>
        <v>56.638545828664348</v>
      </c>
      <c r="L94" s="2657">
        <f>SUM(L95:L98)</f>
        <v>57.173592798331704</v>
      </c>
      <c r="M94" s="2645">
        <f>SUM(M95:M98)</f>
        <v>52.987082098656913</v>
      </c>
      <c r="N94" s="2646">
        <f>SUM(N95:N98)</f>
        <v>50.315062836803307</v>
      </c>
      <c r="O94" s="2646">
        <f t="shared" ref="O94:R94" si="157">SUM(O95:O98)</f>
        <v>47.342037978198391</v>
      </c>
      <c r="P94" s="2646">
        <f t="shared" si="157"/>
        <v>44.068435678094204</v>
      </c>
      <c r="Q94" s="2646">
        <f t="shared" si="157"/>
        <v>40.494511897196517</v>
      </c>
      <c r="R94" s="2665">
        <f t="shared" si="157"/>
        <v>36.620354042864911</v>
      </c>
      <c r="S94" s="2657">
        <f>SUM(S95:S98)</f>
        <v>61.180404069550661</v>
      </c>
      <c r="T94" s="2658">
        <f>SUM(T95:T98)</f>
        <v>57.953350982990614</v>
      </c>
      <c r="U94" s="2646">
        <f>SUM(U95:U98)</f>
        <v>55.28760822475607</v>
      </c>
      <c r="V94" s="2646">
        <f t="shared" ref="V94:Y94" si="158">SUM(V95:V98)</f>
        <v>52.417074175921869</v>
      </c>
      <c r="W94" s="2646">
        <f t="shared" si="158"/>
        <v>49.343692707544577</v>
      </c>
      <c r="X94" s="2646">
        <f t="shared" si="158"/>
        <v>46.068596135198391</v>
      </c>
      <c r="Y94" s="2647">
        <f t="shared" si="158"/>
        <v>42.592268349270256</v>
      </c>
      <c r="Z94" s="2657">
        <f>SUM(Z95:Z98)</f>
        <v>0</v>
      </c>
      <c r="AA94" s="2658">
        <f>SUM(AA95:AA98)</f>
        <v>0</v>
      </c>
      <c r="AB94" s="2646">
        <f>SUM(AB95:AB98)</f>
        <v>0</v>
      </c>
      <c r="AC94" s="2646">
        <f t="shared" ref="AC94:AF94" si="159">SUM(AC95:AC98)</f>
        <v>0</v>
      </c>
      <c r="AD94" s="2646">
        <f t="shared" si="159"/>
        <v>0</v>
      </c>
      <c r="AE94" s="2646">
        <f t="shared" si="159"/>
        <v>0</v>
      </c>
      <c r="AF94" s="2647">
        <f t="shared" si="159"/>
        <v>0</v>
      </c>
      <c r="AG94" s="2657">
        <f>SUM(AG95:AG98)</f>
        <v>5.653985064990291</v>
      </c>
      <c r="AH94" s="2658">
        <f>SUM(AH95:AH98)</f>
        <v>6.7380437285052359</v>
      </c>
      <c r="AI94" s="2646">
        <f>SUM(AI95:AI98)</f>
        <v>6.5921023920201876</v>
      </c>
      <c r="AJ94" s="2646">
        <f t="shared" ref="AJ94:AM94" si="160">SUM(AJ95:AJ98)</f>
        <v>6.2461610555351363</v>
      </c>
      <c r="AK94" s="2646">
        <f t="shared" si="160"/>
        <v>5.7002197190500823</v>
      </c>
      <c r="AL94" s="2646">
        <f t="shared" si="160"/>
        <v>4.9542783825650325</v>
      </c>
      <c r="AM94" s="2647">
        <f t="shared" si="160"/>
        <v>4.0083370460799799</v>
      </c>
      <c r="AN94" s="2551"/>
      <c r="AO94" s="2589"/>
      <c r="AP94" s="4488"/>
      <c r="AQ94" s="4504">
        <f t="shared" si="111"/>
        <v>119.71787481324495</v>
      </c>
      <c r="AR94" s="4504">
        <f t="shared" si="112"/>
        <v>105.23815205055915</v>
      </c>
      <c r="AS94" s="4504">
        <f t="shared" si="113"/>
        <v>89.978299232527704</v>
      </c>
      <c r="AT94" s="4504">
        <f t="shared" si="114"/>
        <v>74.721410315934989</v>
      </c>
      <c r="AU94" s="4504">
        <f t="shared" si="115"/>
        <v>59.466272502987501</v>
      </c>
      <c r="AV94" s="4504">
        <f t="shared" si="116"/>
        <v>44.212175979294344</v>
      </c>
      <c r="AW94" s="4504">
        <f t="shared" si="117"/>
        <v>28.958828644956029</v>
      </c>
      <c r="AX94" s="4504">
        <f t="shared" si="118"/>
        <v>29.232393816605587</v>
      </c>
      <c r="AY94" s="4504">
        <f t="shared" si="119"/>
        <v>27.091864885320767</v>
      </c>
      <c r="AZ94" s="4504">
        <f t="shared" si="120"/>
        <v>25.725683130335106</v>
      </c>
      <c r="BA94" s="4504">
        <f t="shared" si="121"/>
        <v>24.205599657535878</v>
      </c>
      <c r="BB94" s="4504">
        <f t="shared" si="122"/>
        <v>22.53183337922734</v>
      </c>
      <c r="BC94" s="4504">
        <f t="shared" si="123"/>
        <v>20.70451516604026</v>
      </c>
      <c r="BD94" s="4504">
        <f t="shared" si="124"/>
        <v>18.723689708647946</v>
      </c>
      <c r="BE94" s="4504">
        <f t="shared" si="125"/>
        <v>31.281043889065341</v>
      </c>
      <c r="BF94" s="4504">
        <f t="shared" si="126"/>
        <v>29.631077845717989</v>
      </c>
      <c r="BG94" s="4504">
        <f t="shared" si="127"/>
        <v>28.268105216075053</v>
      </c>
      <c r="BH94" s="4504">
        <f t="shared" si="128"/>
        <v>26.800424462208817</v>
      </c>
      <c r="BI94" s="4504">
        <f t="shared" si="129"/>
        <v>25.229029469608594</v>
      </c>
      <c r="BJ94" s="4504">
        <f t="shared" si="130"/>
        <v>23.554499182034426</v>
      </c>
      <c r="BK94" s="4504">
        <f t="shared" si="131"/>
        <v>21.777081008712546</v>
      </c>
      <c r="BL94" s="4504">
        <f t="shared" si="132"/>
        <v>0</v>
      </c>
      <c r="BM94" s="4504">
        <f t="shared" si="133"/>
        <v>0</v>
      </c>
      <c r="BN94" s="4504">
        <f t="shared" si="134"/>
        <v>0</v>
      </c>
      <c r="BO94" s="4504">
        <f t="shared" si="135"/>
        <v>0</v>
      </c>
      <c r="BP94" s="4504">
        <f t="shared" si="136"/>
        <v>0</v>
      </c>
      <c r="BQ94" s="4504">
        <f t="shared" si="137"/>
        <v>0</v>
      </c>
      <c r="BR94" s="4504">
        <f t="shared" si="138"/>
        <v>0</v>
      </c>
      <c r="BS94" s="4504">
        <f t="shared" si="139"/>
        <v>2.8908366601342097</v>
      </c>
      <c r="BT94" s="4504">
        <f t="shared" si="140"/>
        <v>3.4451070535298243</v>
      </c>
      <c r="BU94" s="4504">
        <f t="shared" si="141"/>
        <v>3.3704884330540934</v>
      </c>
      <c r="BV94" s="4504">
        <f t="shared" si="142"/>
        <v>3.1936114363391175</v>
      </c>
      <c r="BW94" s="4504">
        <f t="shared" si="143"/>
        <v>2.9144760633848965</v>
      </c>
      <c r="BX94" s="4504">
        <f t="shared" si="144"/>
        <v>2.533082314191434</v>
      </c>
      <c r="BY94" s="4504">
        <f t="shared" si="145"/>
        <v>2.0494301887587265</v>
      </c>
    </row>
    <row r="95" spans="1:77">
      <c r="A95" s="2564"/>
      <c r="B95" s="2565">
        <v>20501</v>
      </c>
      <c r="C95" s="2560">
        <v>0.08</v>
      </c>
      <c r="D95" s="2591" t="s">
        <v>410</v>
      </c>
      <c r="E95" s="1117">
        <f t="shared" ref="E95:E100" si="161">E20-E70</f>
        <v>0</v>
      </c>
      <c r="F95" s="908">
        <f t="shared" ref="F95:AM102" si="162">F20-F70</f>
        <v>0</v>
      </c>
      <c r="G95" s="1224">
        <f t="shared" si="162"/>
        <v>0</v>
      </c>
      <c r="H95" s="1224">
        <f t="shared" si="162"/>
        <v>0</v>
      </c>
      <c r="I95" s="1224">
        <f t="shared" si="162"/>
        <v>0</v>
      </c>
      <c r="J95" s="1224">
        <f t="shared" si="162"/>
        <v>0</v>
      </c>
      <c r="K95" s="2661">
        <f t="shared" si="162"/>
        <v>0</v>
      </c>
      <c r="L95" s="1117">
        <f t="shared" ref="L95:L101" si="163">L20-L70</f>
        <v>0</v>
      </c>
      <c r="M95" s="908">
        <f t="shared" si="162"/>
        <v>0</v>
      </c>
      <c r="N95" s="1224">
        <f t="shared" si="162"/>
        <v>0</v>
      </c>
      <c r="O95" s="1224">
        <f t="shared" si="162"/>
        <v>0</v>
      </c>
      <c r="P95" s="1224">
        <f t="shared" si="162"/>
        <v>0</v>
      </c>
      <c r="Q95" s="1224">
        <f t="shared" si="162"/>
        <v>0</v>
      </c>
      <c r="R95" s="2661">
        <f t="shared" si="162"/>
        <v>0</v>
      </c>
      <c r="S95" s="1117">
        <f t="shared" ref="S95:S101" si="164">S20-S70</f>
        <v>0</v>
      </c>
      <c r="T95" s="1228">
        <f t="shared" si="162"/>
        <v>0</v>
      </c>
      <c r="U95" s="1224">
        <f t="shared" si="162"/>
        <v>0</v>
      </c>
      <c r="V95" s="1224">
        <f t="shared" si="162"/>
        <v>0</v>
      </c>
      <c r="W95" s="1224">
        <f t="shared" si="162"/>
        <v>0</v>
      </c>
      <c r="X95" s="1224">
        <f t="shared" si="162"/>
        <v>0</v>
      </c>
      <c r="Y95" s="1229">
        <f t="shared" si="162"/>
        <v>0</v>
      </c>
      <c r="Z95" s="1117">
        <f t="shared" ref="Z95:Z101" si="165">Z20-Z70</f>
        <v>0</v>
      </c>
      <c r="AA95" s="1228">
        <f t="shared" si="162"/>
        <v>0</v>
      </c>
      <c r="AB95" s="1224">
        <f t="shared" si="162"/>
        <v>0</v>
      </c>
      <c r="AC95" s="1224">
        <f t="shared" si="162"/>
        <v>0</v>
      </c>
      <c r="AD95" s="1224">
        <f t="shared" si="162"/>
        <v>0</v>
      </c>
      <c r="AE95" s="1224">
        <f t="shared" si="162"/>
        <v>0</v>
      </c>
      <c r="AF95" s="1229">
        <f t="shared" si="162"/>
        <v>0</v>
      </c>
      <c r="AG95" s="1117">
        <f t="shared" ref="AG95:AG101" si="166">AG20-AG70</f>
        <v>0</v>
      </c>
      <c r="AH95" s="1228">
        <f t="shared" si="162"/>
        <v>1.9200000000000017</v>
      </c>
      <c r="AI95" s="1224">
        <f t="shared" si="162"/>
        <v>1.7600000000000051</v>
      </c>
      <c r="AJ95" s="1224">
        <f t="shared" si="162"/>
        <v>1.6000000000000085</v>
      </c>
      <c r="AK95" s="1224">
        <f t="shared" si="162"/>
        <v>1.4400000000000119</v>
      </c>
      <c r="AL95" s="1224">
        <f t="shared" si="162"/>
        <v>1.2800000000000153</v>
      </c>
      <c r="AM95" s="1229">
        <f t="shared" si="162"/>
        <v>1.1200000000000188</v>
      </c>
      <c r="AN95" s="2551"/>
      <c r="AO95" s="2589"/>
      <c r="AP95" s="4488"/>
      <c r="AQ95" s="4504">
        <f t="shared" si="111"/>
        <v>0</v>
      </c>
      <c r="AR95" s="4504">
        <f t="shared" si="112"/>
        <v>0</v>
      </c>
      <c r="AS95" s="4504">
        <f t="shared" si="113"/>
        <v>0</v>
      </c>
      <c r="AT95" s="4504">
        <f t="shared" si="114"/>
        <v>0</v>
      </c>
      <c r="AU95" s="4504">
        <f t="shared" si="115"/>
        <v>0</v>
      </c>
      <c r="AV95" s="4504">
        <f t="shared" si="116"/>
        <v>0</v>
      </c>
      <c r="AW95" s="4504">
        <f t="shared" si="117"/>
        <v>0</v>
      </c>
      <c r="AX95" s="4504">
        <f t="shared" si="118"/>
        <v>0</v>
      </c>
      <c r="AY95" s="4504">
        <f t="shared" si="119"/>
        <v>0</v>
      </c>
      <c r="AZ95" s="4504">
        <f t="shared" si="120"/>
        <v>0</v>
      </c>
      <c r="BA95" s="4504">
        <f t="shared" si="121"/>
        <v>0</v>
      </c>
      <c r="BB95" s="4504">
        <f t="shared" si="122"/>
        <v>0</v>
      </c>
      <c r="BC95" s="4504">
        <f t="shared" si="123"/>
        <v>0</v>
      </c>
      <c r="BD95" s="4504">
        <f t="shared" si="124"/>
        <v>0</v>
      </c>
      <c r="BE95" s="4504">
        <f t="shared" si="125"/>
        <v>0</v>
      </c>
      <c r="BF95" s="4504">
        <f t="shared" si="126"/>
        <v>0</v>
      </c>
      <c r="BG95" s="4504">
        <f t="shared" si="127"/>
        <v>0</v>
      </c>
      <c r="BH95" s="4504">
        <f t="shared" si="128"/>
        <v>0</v>
      </c>
      <c r="BI95" s="4504">
        <f t="shared" si="129"/>
        <v>0</v>
      </c>
      <c r="BJ95" s="4504">
        <f t="shared" si="130"/>
        <v>0</v>
      </c>
      <c r="BK95" s="4504">
        <f t="shared" si="131"/>
        <v>0</v>
      </c>
      <c r="BL95" s="4504">
        <f t="shared" si="132"/>
        <v>0</v>
      </c>
      <c r="BM95" s="4504">
        <f t="shared" si="133"/>
        <v>0</v>
      </c>
      <c r="BN95" s="4504">
        <f t="shared" si="134"/>
        <v>0</v>
      </c>
      <c r="BO95" s="4504">
        <f t="shared" si="135"/>
        <v>0</v>
      </c>
      <c r="BP95" s="4504">
        <f t="shared" si="136"/>
        <v>0</v>
      </c>
      <c r="BQ95" s="4504">
        <f t="shared" si="137"/>
        <v>0</v>
      </c>
      <c r="BR95" s="4504">
        <f t="shared" si="138"/>
        <v>0</v>
      </c>
      <c r="BS95" s="4504">
        <f t="shared" si="139"/>
        <v>0</v>
      </c>
      <c r="BT95" s="4504">
        <f t="shared" si="140"/>
        <v>0.98168041189674038</v>
      </c>
      <c r="BU95" s="4504">
        <f t="shared" si="141"/>
        <v>0.89987371090534718</v>
      </c>
      <c r="BV95" s="4504">
        <f t="shared" si="142"/>
        <v>0.81806700991395398</v>
      </c>
      <c r="BW95" s="4504">
        <f t="shared" si="143"/>
        <v>0.73626030892256078</v>
      </c>
      <c r="BX95" s="4504">
        <f t="shared" si="144"/>
        <v>0.65445360793116747</v>
      </c>
      <c r="BY95" s="4504">
        <f t="shared" si="145"/>
        <v>0.57264690693977427</v>
      </c>
    </row>
    <row r="96" spans="1:77">
      <c r="A96" s="2564"/>
      <c r="B96" s="2565">
        <v>20502</v>
      </c>
      <c r="C96" s="2560">
        <v>0.1</v>
      </c>
      <c r="D96" s="2591" t="s">
        <v>411</v>
      </c>
      <c r="E96" s="1117">
        <f t="shared" si="161"/>
        <v>225.2265769086822</v>
      </c>
      <c r="F96" s="908">
        <f t="shared" si="162"/>
        <v>198.23654335824142</v>
      </c>
      <c r="G96" s="1224">
        <f t="shared" si="162"/>
        <v>170.48360892472726</v>
      </c>
      <c r="H96" s="1224">
        <f t="shared" si="162"/>
        <v>142.73357293488857</v>
      </c>
      <c r="I96" s="1224">
        <f t="shared" si="162"/>
        <v>114.98524937557113</v>
      </c>
      <c r="J96" s="1224">
        <f t="shared" si="162"/>
        <v>87.237944108634792</v>
      </c>
      <c r="K96" s="2661">
        <f t="shared" si="162"/>
        <v>59.4913714852064</v>
      </c>
      <c r="L96" s="1117">
        <f t="shared" si="163"/>
        <v>56.926445537616821</v>
      </c>
      <c r="M96" s="908">
        <f t="shared" si="162"/>
        <v>52.229467556158319</v>
      </c>
      <c r="N96" s="1224">
        <f t="shared" si="162"/>
        <v>46.864735293610408</v>
      </c>
      <c r="O96" s="1224">
        <f t="shared" si="162"/>
        <v>41.499500232686842</v>
      </c>
      <c r="P96" s="1224">
        <f t="shared" si="162"/>
        <v>36.133976451013638</v>
      </c>
      <c r="Q96" s="1224">
        <f t="shared" si="162"/>
        <v>30.768291928943682</v>
      </c>
      <c r="R96" s="2661">
        <f t="shared" si="162"/>
        <v>25.402490370156769</v>
      </c>
      <c r="S96" s="1117">
        <f t="shared" si="164"/>
        <v>60.752452947437106</v>
      </c>
      <c r="T96" s="1228">
        <f t="shared" si="162"/>
        <v>57.04931075927297</v>
      </c>
      <c r="U96" s="1224">
        <f t="shared" si="162"/>
        <v>52.676823735271597</v>
      </c>
      <c r="V96" s="1224">
        <f t="shared" si="162"/>
        <v>48.301941065970382</v>
      </c>
      <c r="W96" s="1224">
        <f t="shared" si="162"/>
        <v>43.925634686897624</v>
      </c>
      <c r="X96" s="1224">
        <f t="shared" si="162"/>
        <v>39.548470755840427</v>
      </c>
      <c r="Y96" s="1229">
        <f t="shared" si="162"/>
        <v>35.170691217992257</v>
      </c>
      <c r="Z96" s="1117">
        <f t="shared" si="165"/>
        <v>0</v>
      </c>
      <c r="AA96" s="1228">
        <f t="shared" si="162"/>
        <v>0</v>
      </c>
      <c r="AB96" s="1224">
        <f t="shared" si="162"/>
        <v>0</v>
      </c>
      <c r="AC96" s="1224">
        <f t="shared" si="162"/>
        <v>0</v>
      </c>
      <c r="AD96" s="1224">
        <f t="shared" si="162"/>
        <v>0</v>
      </c>
      <c r="AE96" s="1224">
        <f t="shared" si="162"/>
        <v>0</v>
      </c>
      <c r="AF96" s="1229">
        <f t="shared" si="162"/>
        <v>0</v>
      </c>
      <c r="AG96" s="1117">
        <f t="shared" si="166"/>
        <v>2.5591476351254023</v>
      </c>
      <c r="AH96" s="1228">
        <f t="shared" si="162"/>
        <v>3.2715600615251823</v>
      </c>
      <c r="AI96" s="1224">
        <f t="shared" si="162"/>
        <v>2.9339724879249616</v>
      </c>
      <c r="AJ96" s="1224">
        <f t="shared" si="162"/>
        <v>2.5963849143247408</v>
      </c>
      <c r="AK96" s="1224">
        <f t="shared" si="162"/>
        <v>2.2587973407245201</v>
      </c>
      <c r="AL96" s="1224">
        <f t="shared" si="162"/>
        <v>1.9212097671242994</v>
      </c>
      <c r="AM96" s="1229">
        <f t="shared" si="162"/>
        <v>1.5836221935240786</v>
      </c>
      <c r="AN96" s="2551"/>
      <c r="AO96" s="2589"/>
      <c r="AP96" s="4488"/>
      <c r="AQ96" s="4504">
        <f t="shared" si="111"/>
        <v>115.15652020302491</v>
      </c>
      <c r="AR96" s="4504">
        <f t="shared" si="112"/>
        <v>101.35673517547099</v>
      </c>
      <c r="AS96" s="4504">
        <f t="shared" si="113"/>
        <v>87.166885120244231</v>
      </c>
      <c r="AT96" s="4504">
        <f t="shared" si="114"/>
        <v>72.978517015736841</v>
      </c>
      <c r="AU96" s="4504">
        <f t="shared" si="115"/>
        <v>58.791024463052068</v>
      </c>
      <c r="AV96" s="4504">
        <f t="shared" si="116"/>
        <v>44.604052554994446</v>
      </c>
      <c r="AW96" s="4504">
        <f t="shared" si="117"/>
        <v>30.417455241614253</v>
      </c>
      <c r="AX96" s="4504">
        <f t="shared" si="118"/>
        <v>29.106029428742183</v>
      </c>
      <c r="AY96" s="4504">
        <f t="shared" si="119"/>
        <v>26.704502720665047</v>
      </c>
      <c r="AZ96" s="4504">
        <f t="shared" si="120"/>
        <v>23.961558670032883</v>
      </c>
      <c r="BA96" s="4504">
        <f t="shared" si="121"/>
        <v>21.218357542673363</v>
      </c>
      <c r="BB96" s="4504">
        <f t="shared" si="122"/>
        <v>18.475008794738621</v>
      </c>
      <c r="BC96" s="4504">
        <f t="shared" si="123"/>
        <v>15.731577861544041</v>
      </c>
      <c r="BD96" s="4504">
        <f t="shared" si="124"/>
        <v>12.98808708842628</v>
      </c>
      <c r="BE96" s="4504">
        <f t="shared" si="125"/>
        <v>31.062235954779869</v>
      </c>
      <c r="BF96" s="4504">
        <f t="shared" si="126"/>
        <v>29.168849419056347</v>
      </c>
      <c r="BG96" s="4504">
        <f t="shared" si="127"/>
        <v>26.933232303048626</v>
      </c>
      <c r="BH96" s="4504">
        <f t="shared" si="128"/>
        <v>24.696390313048877</v>
      </c>
      <c r="BI96" s="4504">
        <f t="shared" si="129"/>
        <v>22.458820391801755</v>
      </c>
      <c r="BJ96" s="4504">
        <f t="shared" si="130"/>
        <v>20.220812011187284</v>
      </c>
      <c r="BK96" s="4504">
        <f t="shared" si="131"/>
        <v>17.982488875818582</v>
      </c>
      <c r="BL96" s="4504">
        <f t="shared" si="132"/>
        <v>0</v>
      </c>
      <c r="BM96" s="4504">
        <f t="shared" si="133"/>
        <v>0</v>
      </c>
      <c r="BN96" s="4504">
        <f t="shared" si="134"/>
        <v>0</v>
      </c>
      <c r="BO96" s="4504">
        <f t="shared" si="135"/>
        <v>0</v>
      </c>
      <c r="BP96" s="4504">
        <f t="shared" si="136"/>
        <v>0</v>
      </c>
      <c r="BQ96" s="4504">
        <f t="shared" si="137"/>
        <v>0</v>
      </c>
      <c r="BR96" s="4504">
        <f t="shared" si="138"/>
        <v>0</v>
      </c>
      <c r="BS96" s="4504">
        <f t="shared" si="139"/>
        <v>1.3084714086221207</v>
      </c>
      <c r="BT96" s="4504">
        <f t="shared" si="140"/>
        <v>1.6727220983036268</v>
      </c>
      <c r="BU96" s="4504">
        <f t="shared" si="141"/>
        <v>1.5001163127291031</v>
      </c>
      <c r="BV96" s="4504">
        <f t="shared" si="142"/>
        <v>1.3275105271545793</v>
      </c>
      <c r="BW96" s="4504">
        <f t="shared" si="143"/>
        <v>1.1549047415800555</v>
      </c>
      <c r="BX96" s="4504">
        <f t="shared" si="144"/>
        <v>0.98229895600553185</v>
      </c>
      <c r="BY96" s="4504">
        <f t="shared" si="145"/>
        <v>0.80969317043100819</v>
      </c>
    </row>
    <row r="97" spans="1:77">
      <c r="A97" s="2564"/>
      <c r="B97" s="2565">
        <v>20503</v>
      </c>
      <c r="C97" s="2560">
        <v>0.1</v>
      </c>
      <c r="D97" s="2588" t="s">
        <v>412</v>
      </c>
      <c r="E97" s="1117">
        <f t="shared" si="161"/>
        <v>8.5715841873066552</v>
      </c>
      <c r="F97" s="908">
        <f t="shared" si="162"/>
        <v>7.4415415668036999</v>
      </c>
      <c r="G97" s="1224">
        <f t="shared" si="162"/>
        <v>5.5485980632273879</v>
      </c>
      <c r="H97" s="1224">
        <f t="shared" si="162"/>
        <v>3.6585530033265599</v>
      </c>
      <c r="I97" s="1224">
        <f t="shared" si="162"/>
        <v>1.7702203739469127</v>
      </c>
      <c r="J97" s="1224">
        <f t="shared" si="162"/>
        <v>-0.11709396305154485</v>
      </c>
      <c r="K97" s="2661">
        <f t="shared" si="162"/>
        <v>-2.0036756565420575</v>
      </c>
      <c r="L97" s="1117">
        <f t="shared" si="163"/>
        <v>0.24714726071488258</v>
      </c>
      <c r="M97" s="908">
        <f t="shared" si="162"/>
        <v>0.75761454249859383</v>
      </c>
      <c r="N97" s="1224">
        <f t="shared" si="162"/>
        <v>3.4503275431928984</v>
      </c>
      <c r="O97" s="1224">
        <f t="shared" si="162"/>
        <v>5.8425377455115495</v>
      </c>
      <c r="P97" s="1224">
        <f t="shared" si="162"/>
        <v>7.9344592270805663</v>
      </c>
      <c r="Q97" s="1224">
        <f t="shared" si="162"/>
        <v>9.7262199682528347</v>
      </c>
      <c r="R97" s="2661">
        <f t="shared" si="162"/>
        <v>11.217863672708141</v>
      </c>
      <c r="S97" s="1117">
        <f t="shared" si="164"/>
        <v>0.42795112211355502</v>
      </c>
      <c r="T97" s="1228">
        <f t="shared" si="162"/>
        <v>0.9040402237176437</v>
      </c>
      <c r="U97" s="1224">
        <f t="shared" si="162"/>
        <v>2.6107844894844732</v>
      </c>
      <c r="V97" s="1224">
        <f t="shared" si="162"/>
        <v>4.1151331099514863</v>
      </c>
      <c r="W97" s="1224">
        <f t="shared" si="162"/>
        <v>5.4180580206469529</v>
      </c>
      <c r="X97" s="1224">
        <f t="shared" si="162"/>
        <v>6.5201253793579639</v>
      </c>
      <c r="Y97" s="1229">
        <f t="shared" si="162"/>
        <v>7.4215771312779992</v>
      </c>
      <c r="Z97" s="1117">
        <f t="shared" si="165"/>
        <v>0</v>
      </c>
      <c r="AA97" s="1228">
        <f t="shared" si="162"/>
        <v>0</v>
      </c>
      <c r="AB97" s="1224">
        <f t="shared" si="162"/>
        <v>0</v>
      </c>
      <c r="AC97" s="1224">
        <f t="shared" si="162"/>
        <v>0</v>
      </c>
      <c r="AD97" s="1224">
        <f t="shared" si="162"/>
        <v>0</v>
      </c>
      <c r="AE97" s="1224">
        <f t="shared" si="162"/>
        <v>0</v>
      </c>
      <c r="AF97" s="1229">
        <f t="shared" si="162"/>
        <v>0</v>
      </c>
      <c r="AG97" s="1117">
        <f t="shared" si="166"/>
        <v>3.0948374298648886</v>
      </c>
      <c r="AH97" s="1228">
        <f t="shared" si="162"/>
        <v>1.5464836669800519</v>
      </c>
      <c r="AI97" s="1224">
        <f t="shared" si="162"/>
        <v>1.8981299040952209</v>
      </c>
      <c r="AJ97" s="1224">
        <f t="shared" si="162"/>
        <v>2.049776141210387</v>
      </c>
      <c r="AK97" s="1224">
        <f t="shared" si="162"/>
        <v>2.0014223783255503</v>
      </c>
      <c r="AL97" s="1224">
        <f t="shared" si="162"/>
        <v>1.7530686154407178</v>
      </c>
      <c r="AM97" s="1229">
        <f t="shared" si="162"/>
        <v>1.3047148525558825</v>
      </c>
      <c r="AN97" s="2551"/>
      <c r="AO97" s="2589"/>
      <c r="AP97" s="4488"/>
      <c r="AQ97" s="4504">
        <f t="shared" si="111"/>
        <v>4.3825814039597795</v>
      </c>
      <c r="AR97" s="4504">
        <f t="shared" si="112"/>
        <v>3.8047997866909191</v>
      </c>
      <c r="AS97" s="4504">
        <f t="shared" si="113"/>
        <v>2.8369531417492255</v>
      </c>
      <c r="AT97" s="4504">
        <f t="shared" si="114"/>
        <v>1.8705884475269119</v>
      </c>
      <c r="AU97" s="4504">
        <f t="shared" si="115"/>
        <v>0.90509930512719039</v>
      </c>
      <c r="AV97" s="4504">
        <f t="shared" si="116"/>
        <v>-5.9869192645344869E-2</v>
      </c>
      <c r="AW97" s="4504">
        <f t="shared" si="117"/>
        <v>-1.0244630957404568</v>
      </c>
      <c r="AX97" s="4504">
        <f t="shared" si="118"/>
        <v>0.12636438786340459</v>
      </c>
      <c r="AY97" s="4504">
        <f t="shared" si="119"/>
        <v>0.38736216465571849</v>
      </c>
      <c r="AZ97" s="4504">
        <f t="shared" si="120"/>
        <v>1.7641244603022239</v>
      </c>
      <c r="BA97" s="4504">
        <f t="shared" si="121"/>
        <v>2.9872421148625135</v>
      </c>
      <c r="BB97" s="4504">
        <f t="shared" si="122"/>
        <v>4.0568245844887167</v>
      </c>
      <c r="BC97" s="4504">
        <f t="shared" si="123"/>
        <v>4.9729373044962166</v>
      </c>
      <c r="BD97" s="4504">
        <f t="shared" si="124"/>
        <v>5.7356026202216661</v>
      </c>
      <c r="BE97" s="4504">
        <f t="shared" si="125"/>
        <v>0.21880793428547216</v>
      </c>
      <c r="BF97" s="4504">
        <f t="shared" si="126"/>
        <v>0.46222842666164426</v>
      </c>
      <c r="BG97" s="4504">
        <f t="shared" si="127"/>
        <v>1.3348729130264252</v>
      </c>
      <c r="BH97" s="4504">
        <f t="shared" si="128"/>
        <v>2.1040341491599404</v>
      </c>
      <c r="BI97" s="4504">
        <f t="shared" si="129"/>
        <v>2.7702090778068404</v>
      </c>
      <c r="BJ97" s="4504">
        <f t="shared" si="130"/>
        <v>3.3336871708471412</v>
      </c>
      <c r="BK97" s="4504">
        <f t="shared" si="131"/>
        <v>3.7945921328939627</v>
      </c>
      <c r="BL97" s="4504">
        <f t="shared" si="132"/>
        <v>0</v>
      </c>
      <c r="BM97" s="4504">
        <f t="shared" si="133"/>
        <v>0</v>
      </c>
      <c r="BN97" s="4504">
        <f t="shared" si="134"/>
        <v>0</v>
      </c>
      <c r="BO97" s="4504">
        <f t="shared" si="135"/>
        <v>0</v>
      </c>
      <c r="BP97" s="4504">
        <f t="shared" si="136"/>
        <v>0</v>
      </c>
      <c r="BQ97" s="4504">
        <f t="shared" si="137"/>
        <v>0</v>
      </c>
      <c r="BR97" s="4504">
        <f t="shared" si="138"/>
        <v>0</v>
      </c>
      <c r="BS97" s="4504">
        <f t="shared" si="139"/>
        <v>1.5823652515120887</v>
      </c>
      <c r="BT97" s="4504">
        <f t="shared" si="140"/>
        <v>0.79070454332945705</v>
      </c>
      <c r="BU97" s="4504">
        <f t="shared" si="141"/>
        <v>0.97049840941964327</v>
      </c>
      <c r="BV97" s="4504">
        <f t="shared" si="142"/>
        <v>1.0480338992705844</v>
      </c>
      <c r="BW97" s="4504">
        <f t="shared" si="143"/>
        <v>1.0233110128822802</v>
      </c>
      <c r="BX97" s="4504">
        <f t="shared" si="144"/>
        <v>0.89632975025473471</v>
      </c>
      <c r="BY97" s="4504">
        <f t="shared" si="145"/>
        <v>0.66709011138794405</v>
      </c>
    </row>
    <row r="98" spans="1:77">
      <c r="A98" s="2564"/>
      <c r="B98" s="2565">
        <v>20504</v>
      </c>
      <c r="C98" s="2560">
        <v>0.1</v>
      </c>
      <c r="D98" s="2588" t="s">
        <v>557</v>
      </c>
      <c r="E98" s="1117">
        <f t="shared" si="161"/>
        <v>0.34965000000000046</v>
      </c>
      <c r="F98" s="908">
        <f t="shared" si="162"/>
        <v>0.1498500000000007</v>
      </c>
      <c r="G98" s="1224">
        <f t="shared" si="162"/>
        <v>-4.9949999999999051E-2</v>
      </c>
      <c r="H98" s="1224">
        <f t="shared" si="162"/>
        <v>-0.24974999999999881</v>
      </c>
      <c r="I98" s="1224">
        <f t="shared" si="162"/>
        <v>-0.44954999999999856</v>
      </c>
      <c r="J98" s="1224">
        <f t="shared" si="162"/>
        <v>-0.64934999999999832</v>
      </c>
      <c r="K98" s="2661">
        <f t="shared" si="162"/>
        <v>-0.84914999999999807</v>
      </c>
      <c r="L98" s="1117">
        <f t="shared" si="163"/>
        <v>0</v>
      </c>
      <c r="M98" s="908">
        <f t="shared" si="162"/>
        <v>0</v>
      </c>
      <c r="N98" s="1224">
        <f t="shared" si="162"/>
        <v>0</v>
      </c>
      <c r="O98" s="1224">
        <f t="shared" si="162"/>
        <v>0</v>
      </c>
      <c r="P98" s="1224">
        <f t="shared" si="162"/>
        <v>0</v>
      </c>
      <c r="Q98" s="1224">
        <f t="shared" si="162"/>
        <v>0</v>
      </c>
      <c r="R98" s="2661">
        <f t="shared" si="162"/>
        <v>0</v>
      </c>
      <c r="S98" s="1117">
        <f t="shared" si="164"/>
        <v>0</v>
      </c>
      <c r="T98" s="1228">
        <f t="shared" si="162"/>
        <v>0</v>
      </c>
      <c r="U98" s="1224">
        <f t="shared" si="162"/>
        <v>0</v>
      </c>
      <c r="V98" s="1224">
        <f t="shared" si="162"/>
        <v>0</v>
      </c>
      <c r="W98" s="1224">
        <f t="shared" si="162"/>
        <v>0</v>
      </c>
      <c r="X98" s="1224">
        <f t="shared" si="162"/>
        <v>0</v>
      </c>
      <c r="Y98" s="1229">
        <f t="shared" si="162"/>
        <v>0</v>
      </c>
      <c r="Z98" s="1117">
        <f t="shared" si="165"/>
        <v>0</v>
      </c>
      <c r="AA98" s="1228">
        <f t="shared" si="162"/>
        <v>0</v>
      </c>
      <c r="AB98" s="1224">
        <f t="shared" si="162"/>
        <v>0</v>
      </c>
      <c r="AC98" s="1224">
        <f t="shared" si="162"/>
        <v>0</v>
      </c>
      <c r="AD98" s="1224">
        <f t="shared" si="162"/>
        <v>0</v>
      </c>
      <c r="AE98" s="1224">
        <f t="shared" si="162"/>
        <v>0</v>
      </c>
      <c r="AF98" s="1229">
        <f t="shared" si="162"/>
        <v>0</v>
      </c>
      <c r="AG98" s="1117">
        <f t="shared" si="166"/>
        <v>0</v>
      </c>
      <c r="AH98" s="1228">
        <f t="shared" si="162"/>
        <v>0</v>
      </c>
      <c r="AI98" s="1224">
        <f t="shared" si="162"/>
        <v>0</v>
      </c>
      <c r="AJ98" s="1224">
        <f t="shared" si="162"/>
        <v>0</v>
      </c>
      <c r="AK98" s="1224">
        <f t="shared" si="162"/>
        <v>0</v>
      </c>
      <c r="AL98" s="1224">
        <f t="shared" si="162"/>
        <v>0</v>
      </c>
      <c r="AM98" s="1229">
        <f t="shared" si="162"/>
        <v>0</v>
      </c>
      <c r="AN98" s="2551"/>
      <c r="AO98" s="2589"/>
      <c r="AP98" s="4488"/>
      <c r="AQ98" s="4504">
        <f t="shared" si="111"/>
        <v>0.17877320626025803</v>
      </c>
      <c r="AR98" s="4504">
        <f t="shared" si="112"/>
        <v>7.6617088397253702E-2</v>
      </c>
      <c r="AS98" s="4504">
        <f t="shared" si="113"/>
        <v>-2.5539029465750627E-2</v>
      </c>
      <c r="AT98" s="4504">
        <f t="shared" si="114"/>
        <v>-0.12769514732875495</v>
      </c>
      <c r="AU98" s="4504">
        <f t="shared" si="115"/>
        <v>-0.2298512651917593</v>
      </c>
      <c r="AV98" s="4504">
        <f t="shared" si="116"/>
        <v>-0.33200738305476363</v>
      </c>
      <c r="AW98" s="4504">
        <f t="shared" si="117"/>
        <v>-0.43416350091776795</v>
      </c>
      <c r="AX98" s="4504">
        <f t="shared" si="118"/>
        <v>0</v>
      </c>
      <c r="AY98" s="4504">
        <f t="shared" si="119"/>
        <v>0</v>
      </c>
      <c r="AZ98" s="4504">
        <f t="shared" si="120"/>
        <v>0</v>
      </c>
      <c r="BA98" s="4504">
        <f t="shared" si="121"/>
        <v>0</v>
      </c>
      <c r="BB98" s="4504">
        <f t="shared" si="122"/>
        <v>0</v>
      </c>
      <c r="BC98" s="4504">
        <f t="shared" si="123"/>
        <v>0</v>
      </c>
      <c r="BD98" s="4504">
        <f t="shared" si="124"/>
        <v>0</v>
      </c>
      <c r="BE98" s="4504">
        <f t="shared" si="125"/>
        <v>0</v>
      </c>
      <c r="BF98" s="4504">
        <f t="shared" si="126"/>
        <v>0</v>
      </c>
      <c r="BG98" s="4504">
        <f t="shared" si="127"/>
        <v>0</v>
      </c>
      <c r="BH98" s="4504">
        <f t="shared" si="128"/>
        <v>0</v>
      </c>
      <c r="BI98" s="4504">
        <f t="shared" si="129"/>
        <v>0</v>
      </c>
      <c r="BJ98" s="4504">
        <f t="shared" si="130"/>
        <v>0</v>
      </c>
      <c r="BK98" s="4504">
        <f t="shared" si="131"/>
        <v>0</v>
      </c>
      <c r="BL98" s="4504">
        <f t="shared" si="132"/>
        <v>0</v>
      </c>
      <c r="BM98" s="4504">
        <f t="shared" si="133"/>
        <v>0</v>
      </c>
      <c r="BN98" s="4504">
        <f t="shared" si="134"/>
        <v>0</v>
      </c>
      <c r="BO98" s="4504">
        <f t="shared" si="135"/>
        <v>0</v>
      </c>
      <c r="BP98" s="4504">
        <f t="shared" si="136"/>
        <v>0</v>
      </c>
      <c r="BQ98" s="4504">
        <f t="shared" si="137"/>
        <v>0</v>
      </c>
      <c r="BR98" s="4504">
        <f t="shared" si="138"/>
        <v>0</v>
      </c>
      <c r="BS98" s="4504">
        <f t="shared" si="139"/>
        <v>0</v>
      </c>
      <c r="BT98" s="4504">
        <f t="shared" si="140"/>
        <v>0</v>
      </c>
      <c r="BU98" s="4504">
        <f t="shared" si="141"/>
        <v>0</v>
      </c>
      <c r="BV98" s="4504">
        <f t="shared" si="142"/>
        <v>0</v>
      </c>
      <c r="BW98" s="4504">
        <f t="shared" si="143"/>
        <v>0</v>
      </c>
      <c r="BX98" s="4504">
        <f t="shared" si="144"/>
        <v>0</v>
      </c>
      <c r="BY98" s="4504">
        <f t="shared" si="145"/>
        <v>0</v>
      </c>
    </row>
    <row r="99" spans="1:77">
      <c r="A99" s="2564">
        <v>6</v>
      </c>
      <c r="B99" s="2565">
        <v>208</v>
      </c>
      <c r="C99" s="2560">
        <v>0.2</v>
      </c>
      <c r="D99" s="2590" t="s">
        <v>413</v>
      </c>
      <c r="E99" s="1117">
        <f t="shared" si="161"/>
        <v>4.4016029833814017</v>
      </c>
      <c r="F99" s="908">
        <f t="shared" si="162"/>
        <v>4.3874865949463313</v>
      </c>
      <c r="G99" s="1224">
        <f t="shared" si="162"/>
        <v>1.8383770613383916</v>
      </c>
      <c r="H99" s="1224">
        <f t="shared" si="162"/>
        <v>-1.0711219628335584</v>
      </c>
      <c r="I99" s="1224">
        <f t="shared" si="162"/>
        <v>-4.3436488607192132</v>
      </c>
      <c r="J99" s="1224">
        <f t="shared" si="162"/>
        <v>-7.9820718441937188</v>
      </c>
      <c r="K99" s="2661">
        <f t="shared" si="162"/>
        <v>-11.986888125704382</v>
      </c>
      <c r="L99" s="1117">
        <f t="shared" si="163"/>
        <v>2.1508525089920028</v>
      </c>
      <c r="M99" s="908">
        <f t="shared" si="162"/>
        <v>3.7862468282717003</v>
      </c>
      <c r="N99" s="1224">
        <f t="shared" si="162"/>
        <v>3.7455702687995291</v>
      </c>
      <c r="O99" s="1224">
        <f t="shared" si="162"/>
        <v>3.6962839033187223</v>
      </c>
      <c r="P99" s="1224">
        <f t="shared" si="162"/>
        <v>3.638945469838923</v>
      </c>
      <c r="Q99" s="1224">
        <f t="shared" si="162"/>
        <v>3.574191810301997</v>
      </c>
      <c r="R99" s="2661">
        <f t="shared" si="162"/>
        <v>3.5020792219975654</v>
      </c>
      <c r="S99" s="1117">
        <f t="shared" si="164"/>
        <v>4.5538129728306558</v>
      </c>
      <c r="T99" s="1228">
        <f t="shared" si="162"/>
        <v>5.7191326799804116</v>
      </c>
      <c r="U99" s="1224">
        <f t="shared" si="162"/>
        <v>5.1955164110548964</v>
      </c>
      <c r="V99" s="1224">
        <f t="shared" si="162"/>
        <v>4.6408994387020286</v>
      </c>
      <c r="W99" s="1224">
        <f t="shared" si="162"/>
        <v>4.0573624080618558</v>
      </c>
      <c r="X99" s="1224">
        <f t="shared" si="162"/>
        <v>3.447136689067662</v>
      </c>
      <c r="Y99" s="1229">
        <f t="shared" si="162"/>
        <v>2.8106631968771225</v>
      </c>
      <c r="Z99" s="1117">
        <f t="shared" si="165"/>
        <v>0</v>
      </c>
      <c r="AA99" s="1228">
        <f t="shared" si="162"/>
        <v>0</v>
      </c>
      <c r="AB99" s="1224">
        <f t="shared" si="162"/>
        <v>0</v>
      </c>
      <c r="AC99" s="1224">
        <f t="shared" si="162"/>
        <v>0</v>
      </c>
      <c r="AD99" s="1224">
        <f t="shared" si="162"/>
        <v>0</v>
      </c>
      <c r="AE99" s="1224">
        <f t="shared" si="162"/>
        <v>0</v>
      </c>
      <c r="AF99" s="1229">
        <f t="shared" si="162"/>
        <v>0</v>
      </c>
      <c r="AG99" s="1117">
        <f t="shared" si="166"/>
        <v>5.1451165864062842E-2</v>
      </c>
      <c r="AH99" s="1228">
        <f t="shared" si="162"/>
        <v>1.9960956227514925E-2</v>
      </c>
      <c r="AI99" s="1224">
        <f t="shared" si="162"/>
        <v>-1.1529253409032991E-2</v>
      </c>
      <c r="AJ99" s="1224">
        <f t="shared" si="162"/>
        <v>-4.3019463045580908E-2</v>
      </c>
      <c r="AK99" s="1224">
        <f t="shared" si="162"/>
        <v>-7.4509672682128825E-2</v>
      </c>
      <c r="AL99" s="1224">
        <f t="shared" si="162"/>
        <v>-0.10599988231867674</v>
      </c>
      <c r="AM99" s="1229">
        <f t="shared" si="162"/>
        <v>-0.13749009195522466</v>
      </c>
      <c r="AN99" s="2551"/>
      <c r="AO99" s="2589"/>
      <c r="AP99" s="4488"/>
      <c r="AQ99" s="4504">
        <f t="shared" si="111"/>
        <v>2.2505038696519644</v>
      </c>
      <c r="AR99" s="4504">
        <f t="shared" si="112"/>
        <v>2.2432862748533009</v>
      </c>
      <c r="AS99" s="4504">
        <f t="shared" si="113"/>
        <v>0.93994726603968226</v>
      </c>
      <c r="AT99" s="4504">
        <f t="shared" si="114"/>
        <v>-0.54765596336775613</v>
      </c>
      <c r="AU99" s="4504">
        <f t="shared" si="115"/>
        <v>-2.2208723972529376</v>
      </c>
      <c r="AV99" s="4504">
        <f t="shared" si="116"/>
        <v>-4.0811685290611752</v>
      </c>
      <c r="AW99" s="4504">
        <f t="shared" si="117"/>
        <v>-6.1287985794800077</v>
      </c>
      <c r="AX99" s="4504">
        <f t="shared" si="118"/>
        <v>1.0997134254981276</v>
      </c>
      <c r="AY99" s="4504">
        <f t="shared" si="119"/>
        <v>1.9358772635002532</v>
      </c>
      <c r="AZ99" s="4504">
        <f t="shared" si="120"/>
        <v>1.915079668887137</v>
      </c>
      <c r="BA99" s="4504">
        <f t="shared" si="121"/>
        <v>1.8898799503631309</v>
      </c>
      <c r="BB99" s="4504">
        <f t="shared" si="122"/>
        <v>1.8605632748444001</v>
      </c>
      <c r="BC99" s="4504">
        <f t="shared" si="123"/>
        <v>1.8274552544454257</v>
      </c>
      <c r="BD99" s="4504">
        <f t="shared" si="124"/>
        <v>1.7905846735133244</v>
      </c>
      <c r="BE99" s="4504">
        <f t="shared" si="125"/>
        <v>2.3283276014943302</v>
      </c>
      <c r="BF99" s="4504">
        <f t="shared" si="126"/>
        <v>2.9241461067579553</v>
      </c>
      <c r="BG99" s="4504">
        <f t="shared" si="127"/>
        <v>2.6564253595940834</v>
      </c>
      <c r="BH99" s="4504">
        <f t="shared" si="128"/>
        <v>2.3728542044564347</v>
      </c>
      <c r="BI99" s="4504">
        <f t="shared" si="129"/>
        <v>2.0744964583127654</v>
      </c>
      <c r="BJ99" s="4504">
        <f t="shared" si="130"/>
        <v>1.7624930024939089</v>
      </c>
      <c r="BK99" s="4504">
        <f t="shared" si="131"/>
        <v>1.4370692733402815</v>
      </c>
      <c r="BL99" s="4504">
        <f t="shared" si="132"/>
        <v>0</v>
      </c>
      <c r="BM99" s="4504">
        <f t="shared" si="133"/>
        <v>0</v>
      </c>
      <c r="BN99" s="4504">
        <f t="shared" si="134"/>
        <v>0</v>
      </c>
      <c r="BO99" s="4504">
        <f t="shared" si="135"/>
        <v>0</v>
      </c>
      <c r="BP99" s="4504">
        <f t="shared" si="136"/>
        <v>0</v>
      </c>
      <c r="BQ99" s="4504">
        <f t="shared" si="137"/>
        <v>0</v>
      </c>
      <c r="BR99" s="4504">
        <f t="shared" si="138"/>
        <v>0</v>
      </c>
      <c r="BS99" s="4504">
        <f t="shared" si="139"/>
        <v>2.6306563384375353E-2</v>
      </c>
      <c r="BT99" s="4504">
        <f t="shared" si="140"/>
        <v>1.0205874860041479E-2</v>
      </c>
      <c r="BU99" s="4504">
        <f t="shared" si="141"/>
        <v>-5.8948136642923933E-3</v>
      </c>
      <c r="BV99" s="4504">
        <f t="shared" si="142"/>
        <v>-2.1995502188626264E-2</v>
      </c>
      <c r="BW99" s="4504">
        <f t="shared" si="143"/>
        <v>-3.8096190712960137E-2</v>
      </c>
      <c r="BX99" s="4504">
        <f t="shared" si="144"/>
        <v>-5.4196879237294007E-2</v>
      </c>
      <c r="BY99" s="4504">
        <f t="shared" si="145"/>
        <v>-7.0297567761627877E-2</v>
      </c>
    </row>
    <row r="100" spans="1:77">
      <c r="A100" s="2564">
        <v>7</v>
      </c>
      <c r="B100" s="2568">
        <v>20601</v>
      </c>
      <c r="C100" s="2560">
        <v>0.1</v>
      </c>
      <c r="D100" s="2590" t="s">
        <v>564</v>
      </c>
      <c r="E100" s="1117">
        <f t="shared" si="161"/>
        <v>3.728508137614472</v>
      </c>
      <c r="F100" s="908">
        <f t="shared" si="162"/>
        <v>4.1711567579728586</v>
      </c>
      <c r="G100" s="1224">
        <f>G25-G75</f>
        <v>3.6573267970215007</v>
      </c>
      <c r="H100" s="1224">
        <f t="shared" si="162"/>
        <v>2.9589544252749089</v>
      </c>
      <c r="I100" s="1224">
        <f t="shared" si="162"/>
        <v>2.0764994708896918</v>
      </c>
      <c r="J100" s="1224">
        <f t="shared" si="162"/>
        <v>1.0095690351382629</v>
      </c>
      <c r="K100" s="2661">
        <f t="shared" si="162"/>
        <v>-0.24165701489314628</v>
      </c>
      <c r="L100" s="1117">
        <f t="shared" si="163"/>
        <v>0.36683788266498907</v>
      </c>
      <c r="M100" s="908">
        <f t="shared" si="162"/>
        <v>1.5571908158235752</v>
      </c>
      <c r="N100" s="1224">
        <f t="shared" si="162"/>
        <v>2.0778063979069996</v>
      </c>
      <c r="O100" s="1224">
        <f t="shared" si="162"/>
        <v>2.5948712745495919</v>
      </c>
      <c r="P100" s="1224">
        <f t="shared" si="162"/>
        <v>3.1083431983171392</v>
      </c>
      <c r="Q100" s="1224">
        <f t="shared" si="162"/>
        <v>3.6183486196512451</v>
      </c>
      <c r="R100" s="2661">
        <f t="shared" si="162"/>
        <v>4.1248501316770376</v>
      </c>
      <c r="S100" s="1117">
        <f t="shared" si="164"/>
        <v>0.33489387490213574</v>
      </c>
      <c r="T100" s="1228">
        <f t="shared" si="162"/>
        <v>1.4569442936185024</v>
      </c>
      <c r="U100" s="1224">
        <f t="shared" si="162"/>
        <v>1.9052106447197739</v>
      </c>
      <c r="V100" s="1224">
        <f t="shared" si="162"/>
        <v>2.3415701120571106</v>
      </c>
      <c r="W100" s="1224">
        <f t="shared" si="162"/>
        <v>2.7656051149081189</v>
      </c>
      <c r="X100" s="1224">
        <f t="shared" si="162"/>
        <v>3.1775821015587802</v>
      </c>
      <c r="Y100" s="1229">
        <f t="shared" si="162"/>
        <v>3.5773586117977345</v>
      </c>
      <c r="Z100" s="1117">
        <f t="shared" si="165"/>
        <v>0</v>
      </c>
      <c r="AA100" s="1228">
        <f t="shared" si="162"/>
        <v>0</v>
      </c>
      <c r="AB100" s="1224">
        <f t="shared" si="162"/>
        <v>0</v>
      </c>
      <c r="AC100" s="1224">
        <f t="shared" si="162"/>
        <v>0</v>
      </c>
      <c r="AD100" s="1224">
        <f t="shared" si="162"/>
        <v>0</v>
      </c>
      <c r="AE100" s="1224">
        <f t="shared" si="162"/>
        <v>0</v>
      </c>
      <c r="AF100" s="1229">
        <f t="shared" si="162"/>
        <v>0</v>
      </c>
      <c r="AG100" s="1117">
        <f t="shared" si="166"/>
        <v>1.2740150515939366E-2</v>
      </c>
      <c r="AH100" s="1228">
        <f t="shared" si="162"/>
        <v>7.3480289494032812E-3</v>
      </c>
      <c r="AI100" s="1224">
        <f t="shared" si="162"/>
        <v>1.9559073828671961E-3</v>
      </c>
      <c r="AJ100" s="1224">
        <f t="shared" si="162"/>
        <v>-3.4362141836688891E-3</v>
      </c>
      <c r="AK100" s="1224">
        <f t="shared" si="162"/>
        <v>-8.8283357502049742E-3</v>
      </c>
      <c r="AL100" s="1224">
        <f t="shared" si="162"/>
        <v>-1.4220457316741056E-2</v>
      </c>
      <c r="AM100" s="1229">
        <f t="shared" si="162"/>
        <v>-1.9612578883277137E-2</v>
      </c>
      <c r="AN100" s="2551"/>
      <c r="AO100" s="2589"/>
      <c r="AP100" s="4488"/>
      <c r="AQ100" s="4504">
        <f t="shared" si="111"/>
        <v>1.9063559397363126</v>
      </c>
      <c r="AR100" s="4504">
        <f t="shared" si="112"/>
        <v>2.1326785855482626</v>
      </c>
      <c r="AS100" s="4504">
        <f t="shared" si="113"/>
        <v>1.8699614981984634</v>
      </c>
      <c r="AT100" s="4504">
        <f t="shared" si="114"/>
        <v>1.5128893744726837</v>
      </c>
      <c r="AU100" s="4504">
        <f t="shared" si="115"/>
        <v>1.0616973207741429</v>
      </c>
      <c r="AV100" s="4504">
        <f t="shared" si="116"/>
        <v>0.5161844511732937</v>
      </c>
      <c r="AW100" s="4504">
        <f t="shared" si="117"/>
        <v>-0.12355726974897935</v>
      </c>
      <c r="AX100" s="4504">
        <f t="shared" si="118"/>
        <v>0.18756123112181994</v>
      </c>
      <c r="AY100" s="4504">
        <f t="shared" si="119"/>
        <v>0.79617902160390996</v>
      </c>
      <c r="AZ100" s="4504">
        <f t="shared" si="120"/>
        <v>1.0623655419474083</v>
      </c>
      <c r="BA100" s="4504">
        <f t="shared" si="121"/>
        <v>1.3267366154264899</v>
      </c>
      <c r="BB100" s="4504">
        <f t="shared" si="122"/>
        <v>1.5892706412710407</v>
      </c>
      <c r="BC100" s="4504">
        <f t="shared" si="123"/>
        <v>1.8500322725652256</v>
      </c>
      <c r="BD100" s="4504">
        <f t="shared" si="124"/>
        <v>2.1090023834776219</v>
      </c>
      <c r="BE100" s="4504">
        <f t="shared" si="125"/>
        <v>0.17122851929980404</v>
      </c>
      <c r="BF100" s="4504">
        <f t="shared" si="126"/>
        <v>0.7449237886822998</v>
      </c>
      <c r="BG100" s="4504">
        <f t="shared" si="127"/>
        <v>0.97411873461383347</v>
      </c>
      <c r="BH100" s="4504">
        <f t="shared" si="128"/>
        <v>1.1972257875465202</v>
      </c>
      <c r="BI100" s="4504">
        <f t="shared" si="129"/>
        <v>1.4140314418472562</v>
      </c>
      <c r="BJ100" s="4504">
        <f t="shared" si="130"/>
        <v>1.6246719303614221</v>
      </c>
      <c r="BK100" s="4504">
        <f t="shared" si="131"/>
        <v>1.8290744143395563</v>
      </c>
      <c r="BL100" s="4504">
        <f t="shared" si="132"/>
        <v>0</v>
      </c>
      <c r="BM100" s="4504">
        <f t="shared" si="133"/>
        <v>0</v>
      </c>
      <c r="BN100" s="4504">
        <f t="shared" si="134"/>
        <v>0</v>
      </c>
      <c r="BO100" s="4504">
        <f t="shared" si="135"/>
        <v>0</v>
      </c>
      <c r="BP100" s="4504">
        <f t="shared" si="136"/>
        <v>0</v>
      </c>
      <c r="BQ100" s="4504">
        <f t="shared" si="137"/>
        <v>0</v>
      </c>
      <c r="BR100" s="4504">
        <f t="shared" si="138"/>
        <v>0</v>
      </c>
      <c r="BS100" s="4504">
        <f t="shared" si="139"/>
        <v>6.5139355240176125E-3</v>
      </c>
      <c r="BT100" s="4504">
        <f t="shared" si="140"/>
        <v>3.7569875446246768E-3</v>
      </c>
      <c r="BU100" s="4504">
        <f t="shared" si="141"/>
        <v>1.0000395652317411E-3</v>
      </c>
      <c r="BV100" s="4504">
        <f t="shared" si="142"/>
        <v>-1.7569084141611947E-3</v>
      </c>
      <c r="BW100" s="4504">
        <f t="shared" si="143"/>
        <v>-4.5138563935541304E-3</v>
      </c>
      <c r="BX100" s="4504">
        <f t="shared" si="144"/>
        <v>-7.2708043729470644E-3</v>
      </c>
      <c r="BY100" s="4504">
        <f t="shared" si="145"/>
        <v>-1.0027752352339998E-2</v>
      </c>
    </row>
    <row r="101" spans="1:77">
      <c r="A101" s="2569">
        <v>8</v>
      </c>
      <c r="B101" s="2568">
        <v>20602</v>
      </c>
      <c r="C101" s="2560">
        <v>0.1</v>
      </c>
      <c r="D101" s="2590" t="s">
        <v>435</v>
      </c>
      <c r="E101" s="1117">
        <f>E26-E76</f>
        <v>1.0346975243697827</v>
      </c>
      <c r="F101" s="908">
        <f>F26-F76</f>
        <v>0.66713971084055146</v>
      </c>
      <c r="G101" s="1224">
        <f t="shared" ref="G101:K101" si="167">G26-G76</f>
        <v>0.29958189731132023</v>
      </c>
      <c r="H101" s="1224">
        <f t="shared" si="167"/>
        <v>-6.7975916217910992E-2</v>
      </c>
      <c r="I101" s="1224">
        <f t="shared" si="167"/>
        <v>-0.43553372974714222</v>
      </c>
      <c r="J101" s="1224">
        <f t="shared" si="167"/>
        <v>-0.80309154327637344</v>
      </c>
      <c r="K101" s="2661">
        <f t="shared" si="167"/>
        <v>-1.1706493568056047</v>
      </c>
      <c r="L101" s="1117">
        <f t="shared" si="163"/>
        <v>0.82045633209475799</v>
      </c>
      <c r="M101" s="908">
        <f t="shared" si="162"/>
        <v>0.55431560289431925</v>
      </c>
      <c r="N101" s="1224">
        <f t="shared" si="162"/>
        <v>0.28817487369388051</v>
      </c>
      <c r="O101" s="1224">
        <f t="shared" si="162"/>
        <v>2.2034144493441765E-2</v>
      </c>
      <c r="P101" s="1224">
        <f t="shared" si="162"/>
        <v>-0.24410658470699698</v>
      </c>
      <c r="Q101" s="1224">
        <f t="shared" si="162"/>
        <v>-0.51024731390743572</v>
      </c>
      <c r="R101" s="2661">
        <f t="shared" si="162"/>
        <v>-0.77638804310787446</v>
      </c>
      <c r="S101" s="1117">
        <f t="shared" si="164"/>
        <v>1.3421801374896702</v>
      </c>
      <c r="T101" s="1228">
        <f t="shared" si="162"/>
        <v>1.0174398713570172</v>
      </c>
      <c r="U101" s="1224">
        <f t="shared" si="162"/>
        <v>0.69269960522436413</v>
      </c>
      <c r="V101" s="1224">
        <f t="shared" si="162"/>
        <v>0.36795933909171108</v>
      </c>
      <c r="W101" s="1224">
        <f t="shared" si="162"/>
        <v>4.3219072959058025E-2</v>
      </c>
      <c r="X101" s="1224">
        <f t="shared" si="162"/>
        <v>-0.28152119317359592</v>
      </c>
      <c r="Y101" s="1229">
        <f t="shared" si="162"/>
        <v>-0.60626145930624986</v>
      </c>
      <c r="Z101" s="1117">
        <f t="shared" si="165"/>
        <v>0</v>
      </c>
      <c r="AA101" s="1228">
        <f t="shared" si="162"/>
        <v>0</v>
      </c>
      <c r="AB101" s="1224">
        <f t="shared" si="162"/>
        <v>0</v>
      </c>
      <c r="AC101" s="1224">
        <f t="shared" si="162"/>
        <v>0</v>
      </c>
      <c r="AD101" s="1224">
        <f t="shared" si="162"/>
        <v>0</v>
      </c>
      <c r="AE101" s="1224">
        <f t="shared" si="162"/>
        <v>0</v>
      </c>
      <c r="AF101" s="1229">
        <f t="shared" si="162"/>
        <v>0</v>
      </c>
      <c r="AG101" s="1117">
        <f t="shared" si="166"/>
        <v>3.1114653243916213E-2</v>
      </c>
      <c r="AH101" s="1228">
        <f t="shared" si="162"/>
        <v>2.0783827043315661E-2</v>
      </c>
      <c r="AI101" s="1224">
        <f t="shared" si="162"/>
        <v>1.045300084271511E-2</v>
      </c>
      <c r="AJ101" s="1224">
        <f t="shared" si="162"/>
        <v>1.2217464211455864E-4</v>
      </c>
      <c r="AK101" s="1224">
        <f t="shared" si="162"/>
        <v>-1.0208651558485993E-2</v>
      </c>
      <c r="AL101" s="1224">
        <f t="shared" si="162"/>
        <v>-2.0539477759086544E-2</v>
      </c>
      <c r="AM101" s="1229">
        <f t="shared" si="162"/>
        <v>-3.0870303959687095E-2</v>
      </c>
      <c r="AN101" s="2551"/>
      <c r="AO101" s="2589"/>
      <c r="AP101" s="4488"/>
      <c r="AQ101" s="4504">
        <f t="shared" si="111"/>
        <v>0.5290324437040963</v>
      </c>
      <c r="AR101" s="4504">
        <f t="shared" si="112"/>
        <v>0.34110311777636682</v>
      </c>
      <c r="AS101" s="4504">
        <f t="shared" si="113"/>
        <v>0.15317379184863728</v>
      </c>
      <c r="AT101" s="4504">
        <f t="shared" si="114"/>
        <v>-3.4755534079092251E-2</v>
      </c>
      <c r="AU101" s="4504">
        <f t="shared" si="115"/>
        <v>-0.22268486000682178</v>
      </c>
      <c r="AV101" s="4504">
        <f t="shared" si="116"/>
        <v>-0.41061418593455129</v>
      </c>
      <c r="AW101" s="4504">
        <f t="shared" si="117"/>
        <v>-0.59854351186228083</v>
      </c>
      <c r="AX101" s="4504">
        <f t="shared" si="118"/>
        <v>0.41949266147607817</v>
      </c>
      <c r="AY101" s="4504">
        <f t="shared" si="119"/>
        <v>0.28341706738025252</v>
      </c>
      <c r="AZ101" s="4504">
        <f t="shared" si="120"/>
        <v>0.14734147328442682</v>
      </c>
      <c r="BA101" s="4504">
        <f t="shared" si="121"/>
        <v>1.1265879188601139E-2</v>
      </c>
      <c r="BB101" s="4504">
        <f t="shared" si="122"/>
        <v>-0.12480971490722455</v>
      </c>
      <c r="BC101" s="4504">
        <f t="shared" si="123"/>
        <v>-0.26088530900305024</v>
      </c>
      <c r="BD101" s="4504">
        <f t="shared" si="124"/>
        <v>-0.39696090309887594</v>
      </c>
      <c r="BE101" s="4504">
        <f t="shared" si="125"/>
        <v>0.68624580740129271</v>
      </c>
      <c r="BF101" s="4504">
        <f t="shared" si="126"/>
        <v>0.52020874583016785</v>
      </c>
      <c r="BG101" s="4504">
        <f t="shared" si="127"/>
        <v>0.35417168425904305</v>
      </c>
      <c r="BH101" s="4504">
        <f t="shared" si="128"/>
        <v>0.18813462268791822</v>
      </c>
      <c r="BI101" s="4504">
        <f t="shared" si="129"/>
        <v>2.2097561116793396E-2</v>
      </c>
      <c r="BJ101" s="4504">
        <f t="shared" si="130"/>
        <v>-0.14393950045433188</v>
      </c>
      <c r="BK101" s="4504">
        <f t="shared" si="131"/>
        <v>-0.30997656202545715</v>
      </c>
      <c r="BL101" s="4504">
        <f t="shared" si="132"/>
        <v>0</v>
      </c>
      <c r="BM101" s="4504">
        <f t="shared" si="133"/>
        <v>0</v>
      </c>
      <c r="BN101" s="4504">
        <f t="shared" si="134"/>
        <v>0</v>
      </c>
      <c r="BO101" s="4504">
        <f t="shared" si="135"/>
        <v>0</v>
      </c>
      <c r="BP101" s="4504">
        <f t="shared" si="136"/>
        <v>0</v>
      </c>
      <c r="BQ101" s="4504">
        <f t="shared" si="137"/>
        <v>0</v>
      </c>
      <c r="BR101" s="4504">
        <f t="shared" si="138"/>
        <v>0</v>
      </c>
      <c r="BS101" s="4504">
        <f t="shared" si="139"/>
        <v>1.5908669589849943E-2</v>
      </c>
      <c r="BT101" s="4504">
        <f t="shared" si="140"/>
        <v>1.0626602027433703E-2</v>
      </c>
      <c r="BU101" s="4504">
        <f t="shared" si="141"/>
        <v>5.3445344650174661E-3</v>
      </c>
      <c r="BV101" s="4504">
        <f t="shared" si="142"/>
        <v>6.2466902601227424E-5</v>
      </c>
      <c r="BW101" s="4504">
        <f t="shared" si="143"/>
        <v>-5.2196006598150112E-3</v>
      </c>
      <c r="BX101" s="4504">
        <f t="shared" si="144"/>
        <v>-1.0501668222231249E-2</v>
      </c>
      <c r="BY101" s="4504">
        <f t="shared" si="145"/>
        <v>-1.5783735784647489E-2</v>
      </c>
    </row>
    <row r="102" spans="1:77">
      <c r="A102" s="2569">
        <v>9</v>
      </c>
      <c r="B102" s="2565">
        <v>20603</v>
      </c>
      <c r="C102" s="2560">
        <v>0.5</v>
      </c>
      <c r="D102" s="2590" t="s">
        <v>1015</v>
      </c>
      <c r="E102" s="1117">
        <f t="shared" ref="E102:E109" si="168">E27-E77</f>
        <v>0</v>
      </c>
      <c r="F102" s="908">
        <f t="shared" ref="F102:T109" si="169">F27-F77</f>
        <v>0</v>
      </c>
      <c r="G102" s="1224">
        <f t="shared" si="169"/>
        <v>0</v>
      </c>
      <c r="H102" s="1224">
        <f t="shared" si="169"/>
        <v>0</v>
      </c>
      <c r="I102" s="1224">
        <f t="shared" si="169"/>
        <v>0</v>
      </c>
      <c r="J102" s="1224">
        <f t="shared" si="169"/>
        <v>0</v>
      </c>
      <c r="K102" s="2661">
        <f t="shared" si="169"/>
        <v>0</v>
      </c>
      <c r="L102" s="1117">
        <f>L27-L77</f>
        <v>0</v>
      </c>
      <c r="M102" s="908">
        <f>M27-M77</f>
        <v>0</v>
      </c>
      <c r="N102" s="1224">
        <f t="shared" si="162"/>
        <v>0</v>
      </c>
      <c r="O102" s="1224">
        <f t="shared" si="162"/>
        <v>0</v>
      </c>
      <c r="P102" s="1224">
        <f t="shared" si="162"/>
        <v>0</v>
      </c>
      <c r="Q102" s="1224">
        <f t="shared" si="162"/>
        <v>0</v>
      </c>
      <c r="R102" s="2661">
        <f t="shared" si="162"/>
        <v>0</v>
      </c>
      <c r="S102" s="1117">
        <f>S27-S77</f>
        <v>0</v>
      </c>
      <c r="T102" s="1228">
        <f t="shared" si="162"/>
        <v>0</v>
      </c>
      <c r="U102" s="1224">
        <f t="shared" si="162"/>
        <v>0</v>
      </c>
      <c r="V102" s="1224">
        <f t="shared" si="162"/>
        <v>0</v>
      </c>
      <c r="W102" s="1224">
        <f t="shared" si="162"/>
        <v>0</v>
      </c>
      <c r="X102" s="1224">
        <f t="shared" si="162"/>
        <v>0</v>
      </c>
      <c r="Y102" s="1229">
        <f t="shared" si="162"/>
        <v>0</v>
      </c>
      <c r="Z102" s="1117">
        <f>Z27-Z77</f>
        <v>0</v>
      </c>
      <c r="AA102" s="1228">
        <f t="shared" si="162"/>
        <v>0</v>
      </c>
      <c r="AB102" s="1224">
        <f t="shared" si="162"/>
        <v>0</v>
      </c>
      <c r="AC102" s="1224">
        <f t="shared" si="162"/>
        <v>0</v>
      </c>
      <c r="AD102" s="1224">
        <f t="shared" si="162"/>
        <v>0</v>
      </c>
      <c r="AE102" s="1224">
        <f t="shared" si="162"/>
        <v>0</v>
      </c>
      <c r="AF102" s="1229">
        <f t="shared" si="162"/>
        <v>0</v>
      </c>
      <c r="AG102" s="1117">
        <f>AG27-AG77</f>
        <v>0</v>
      </c>
      <c r="AH102" s="1228">
        <f t="shared" si="162"/>
        <v>0</v>
      </c>
      <c r="AI102" s="1224">
        <f t="shared" si="162"/>
        <v>0</v>
      </c>
      <c r="AJ102" s="1224">
        <f t="shared" ref="AJ102:AM102" si="170">AJ27-AJ77</f>
        <v>0</v>
      </c>
      <c r="AK102" s="1224">
        <f t="shared" si="170"/>
        <v>0</v>
      </c>
      <c r="AL102" s="1224">
        <f t="shared" si="170"/>
        <v>0</v>
      </c>
      <c r="AM102" s="1229">
        <f t="shared" si="170"/>
        <v>0</v>
      </c>
      <c r="AN102" s="2551"/>
      <c r="AO102" s="2589"/>
      <c r="AP102" s="4488"/>
      <c r="AQ102" s="4504">
        <f t="shared" si="111"/>
        <v>0</v>
      </c>
      <c r="AR102" s="4504">
        <f t="shared" si="112"/>
        <v>0</v>
      </c>
      <c r="AS102" s="4504">
        <f t="shared" si="113"/>
        <v>0</v>
      </c>
      <c r="AT102" s="4504">
        <f t="shared" si="114"/>
        <v>0</v>
      </c>
      <c r="AU102" s="4504">
        <f t="shared" si="115"/>
        <v>0</v>
      </c>
      <c r="AV102" s="4504">
        <f t="shared" si="116"/>
        <v>0</v>
      </c>
      <c r="AW102" s="4504">
        <f t="shared" si="117"/>
        <v>0</v>
      </c>
      <c r="AX102" s="4504">
        <f t="shared" si="118"/>
        <v>0</v>
      </c>
      <c r="AY102" s="4504">
        <f t="shared" si="119"/>
        <v>0</v>
      </c>
      <c r="AZ102" s="4504">
        <f t="shared" si="120"/>
        <v>0</v>
      </c>
      <c r="BA102" s="4504">
        <f t="shared" si="121"/>
        <v>0</v>
      </c>
      <c r="BB102" s="4504">
        <f t="shared" si="122"/>
        <v>0</v>
      </c>
      <c r="BC102" s="4504">
        <f t="shared" si="123"/>
        <v>0</v>
      </c>
      <c r="BD102" s="4504">
        <f t="shared" si="124"/>
        <v>0</v>
      </c>
      <c r="BE102" s="4504">
        <f t="shared" si="125"/>
        <v>0</v>
      </c>
      <c r="BF102" s="4504">
        <f t="shared" si="126"/>
        <v>0</v>
      </c>
      <c r="BG102" s="4504">
        <f t="shared" si="127"/>
        <v>0</v>
      </c>
      <c r="BH102" s="4504">
        <f t="shared" si="128"/>
        <v>0</v>
      </c>
      <c r="BI102" s="4504">
        <f t="shared" si="129"/>
        <v>0</v>
      </c>
      <c r="BJ102" s="4504">
        <f t="shared" si="130"/>
        <v>0</v>
      </c>
      <c r="BK102" s="4504">
        <f t="shared" si="131"/>
        <v>0</v>
      </c>
      <c r="BL102" s="4504">
        <f t="shared" si="132"/>
        <v>0</v>
      </c>
      <c r="BM102" s="4504">
        <f t="shared" si="133"/>
        <v>0</v>
      </c>
      <c r="BN102" s="4504">
        <f t="shared" si="134"/>
        <v>0</v>
      </c>
      <c r="BO102" s="4504">
        <f t="shared" si="135"/>
        <v>0</v>
      </c>
      <c r="BP102" s="4504">
        <f t="shared" si="136"/>
        <v>0</v>
      </c>
      <c r="BQ102" s="4504">
        <f t="shared" si="137"/>
        <v>0</v>
      </c>
      <c r="BR102" s="4504">
        <f t="shared" si="138"/>
        <v>0</v>
      </c>
      <c r="BS102" s="4504">
        <f t="shared" si="139"/>
        <v>0</v>
      </c>
      <c r="BT102" s="4504">
        <f t="shared" si="140"/>
        <v>0</v>
      </c>
      <c r="BU102" s="4504">
        <f t="shared" si="141"/>
        <v>0</v>
      </c>
      <c r="BV102" s="4504">
        <f t="shared" si="142"/>
        <v>0</v>
      </c>
      <c r="BW102" s="4504">
        <f t="shared" si="143"/>
        <v>0</v>
      </c>
      <c r="BX102" s="4504">
        <f t="shared" si="144"/>
        <v>0</v>
      </c>
      <c r="BY102" s="4504">
        <f t="shared" si="145"/>
        <v>0</v>
      </c>
    </row>
    <row r="103" spans="1:77">
      <c r="A103" s="2569">
        <v>10</v>
      </c>
      <c r="B103" s="2565">
        <v>209</v>
      </c>
      <c r="C103" s="2560">
        <v>0.1</v>
      </c>
      <c r="D103" s="2590" t="s">
        <v>213</v>
      </c>
      <c r="E103" s="1117">
        <f t="shared" si="168"/>
        <v>0</v>
      </c>
      <c r="F103" s="908">
        <f t="shared" si="169"/>
        <v>0</v>
      </c>
      <c r="G103" s="1224">
        <f>G28-G78</f>
        <v>0</v>
      </c>
      <c r="H103" s="1224">
        <f t="shared" si="169"/>
        <v>0</v>
      </c>
      <c r="I103" s="1224">
        <f t="shared" si="169"/>
        <v>0</v>
      </c>
      <c r="J103" s="1224">
        <f t="shared" si="169"/>
        <v>0</v>
      </c>
      <c r="K103" s="2661">
        <f t="shared" si="169"/>
        <v>0</v>
      </c>
      <c r="L103" s="1117">
        <f t="shared" si="169"/>
        <v>0</v>
      </c>
      <c r="M103" s="908">
        <f t="shared" si="169"/>
        <v>0</v>
      </c>
      <c r="N103" s="1224">
        <f t="shared" si="169"/>
        <v>0</v>
      </c>
      <c r="O103" s="1224">
        <f t="shared" si="169"/>
        <v>0</v>
      </c>
      <c r="P103" s="1224">
        <f t="shared" si="169"/>
        <v>0</v>
      </c>
      <c r="Q103" s="1224">
        <f t="shared" si="169"/>
        <v>0</v>
      </c>
      <c r="R103" s="2661">
        <f t="shared" si="169"/>
        <v>0</v>
      </c>
      <c r="S103" s="1117">
        <f t="shared" si="169"/>
        <v>0</v>
      </c>
      <c r="T103" s="1228">
        <f t="shared" si="169"/>
        <v>0</v>
      </c>
      <c r="U103" s="1224">
        <f t="shared" ref="U103:AM109" si="171">U28-U78</f>
        <v>0</v>
      </c>
      <c r="V103" s="1224">
        <f t="shared" si="171"/>
        <v>0</v>
      </c>
      <c r="W103" s="1224">
        <f t="shared" si="171"/>
        <v>0</v>
      </c>
      <c r="X103" s="1224">
        <f t="shared" si="171"/>
        <v>0</v>
      </c>
      <c r="Y103" s="1229">
        <f t="shared" si="171"/>
        <v>0</v>
      </c>
      <c r="Z103" s="1117">
        <f t="shared" si="171"/>
        <v>0</v>
      </c>
      <c r="AA103" s="1228">
        <f t="shared" si="171"/>
        <v>0</v>
      </c>
      <c r="AB103" s="1224">
        <f t="shared" si="171"/>
        <v>0</v>
      </c>
      <c r="AC103" s="1224">
        <f t="shared" si="171"/>
        <v>0</v>
      </c>
      <c r="AD103" s="1224">
        <f t="shared" si="171"/>
        <v>0</v>
      </c>
      <c r="AE103" s="1224">
        <f t="shared" si="171"/>
        <v>0</v>
      </c>
      <c r="AF103" s="1229">
        <f t="shared" si="171"/>
        <v>0</v>
      </c>
      <c r="AG103" s="1117">
        <f t="shared" si="171"/>
        <v>0</v>
      </c>
      <c r="AH103" s="1228">
        <f t="shared" si="171"/>
        <v>0</v>
      </c>
      <c r="AI103" s="1224">
        <f t="shared" si="171"/>
        <v>0</v>
      </c>
      <c r="AJ103" s="1224">
        <f t="shared" si="171"/>
        <v>0</v>
      </c>
      <c r="AK103" s="1224">
        <f t="shared" si="171"/>
        <v>0</v>
      </c>
      <c r="AL103" s="1224">
        <f t="shared" si="171"/>
        <v>0</v>
      </c>
      <c r="AM103" s="1229">
        <f t="shared" si="171"/>
        <v>0</v>
      </c>
      <c r="AN103" s="2551"/>
      <c r="AO103" s="2589"/>
      <c r="AP103" s="4488"/>
      <c r="AQ103" s="4504">
        <f t="shared" si="111"/>
        <v>0</v>
      </c>
      <c r="AR103" s="4504">
        <f t="shared" si="112"/>
        <v>0</v>
      </c>
      <c r="AS103" s="4504">
        <f t="shared" si="113"/>
        <v>0</v>
      </c>
      <c r="AT103" s="4504">
        <f t="shared" si="114"/>
        <v>0</v>
      </c>
      <c r="AU103" s="4504">
        <f t="shared" si="115"/>
        <v>0</v>
      </c>
      <c r="AV103" s="4504">
        <f t="shared" si="116"/>
        <v>0</v>
      </c>
      <c r="AW103" s="4504">
        <f t="shared" si="117"/>
        <v>0</v>
      </c>
      <c r="AX103" s="4504">
        <f t="shared" si="118"/>
        <v>0</v>
      </c>
      <c r="AY103" s="4504">
        <f t="shared" si="119"/>
        <v>0</v>
      </c>
      <c r="AZ103" s="4504">
        <f t="shared" si="120"/>
        <v>0</v>
      </c>
      <c r="BA103" s="4504">
        <f t="shared" si="121"/>
        <v>0</v>
      </c>
      <c r="BB103" s="4504">
        <f t="shared" si="122"/>
        <v>0</v>
      </c>
      <c r="BC103" s="4504">
        <f t="shared" si="123"/>
        <v>0</v>
      </c>
      <c r="BD103" s="4504">
        <f t="shared" si="124"/>
        <v>0</v>
      </c>
      <c r="BE103" s="4504">
        <f t="shared" si="125"/>
        <v>0</v>
      </c>
      <c r="BF103" s="4504">
        <f t="shared" si="126"/>
        <v>0</v>
      </c>
      <c r="BG103" s="4504">
        <f t="shared" si="127"/>
        <v>0</v>
      </c>
      <c r="BH103" s="4504">
        <f t="shared" si="128"/>
        <v>0</v>
      </c>
      <c r="BI103" s="4504">
        <f t="shared" si="129"/>
        <v>0</v>
      </c>
      <c r="BJ103" s="4504">
        <f t="shared" si="130"/>
        <v>0</v>
      </c>
      <c r="BK103" s="4504">
        <f t="shared" si="131"/>
        <v>0</v>
      </c>
      <c r="BL103" s="4504">
        <f t="shared" si="132"/>
        <v>0</v>
      </c>
      <c r="BM103" s="4504">
        <f t="shared" si="133"/>
        <v>0</v>
      </c>
      <c r="BN103" s="4504">
        <f t="shared" si="134"/>
        <v>0</v>
      </c>
      <c r="BO103" s="4504">
        <f t="shared" si="135"/>
        <v>0</v>
      </c>
      <c r="BP103" s="4504">
        <f t="shared" si="136"/>
        <v>0</v>
      </c>
      <c r="BQ103" s="4504">
        <f t="shared" si="137"/>
        <v>0</v>
      </c>
      <c r="BR103" s="4504">
        <f t="shared" si="138"/>
        <v>0</v>
      </c>
      <c r="BS103" s="4504">
        <f t="shared" si="139"/>
        <v>0</v>
      </c>
      <c r="BT103" s="4504">
        <f t="shared" si="140"/>
        <v>0</v>
      </c>
      <c r="BU103" s="4504">
        <f t="shared" si="141"/>
        <v>0</v>
      </c>
      <c r="BV103" s="4504">
        <f t="shared" si="142"/>
        <v>0</v>
      </c>
      <c r="BW103" s="4504">
        <f t="shared" si="143"/>
        <v>0</v>
      </c>
      <c r="BX103" s="4504">
        <f t="shared" si="144"/>
        <v>0</v>
      </c>
      <c r="BY103" s="4504">
        <f t="shared" si="145"/>
        <v>0</v>
      </c>
    </row>
    <row r="104" spans="1:77" ht="24">
      <c r="A104" s="2569">
        <v>11</v>
      </c>
      <c r="B104" s="2565">
        <v>207</v>
      </c>
      <c r="C104" s="2560" t="s">
        <v>313</v>
      </c>
      <c r="D104" s="2590" t="s">
        <v>414</v>
      </c>
      <c r="E104" s="1117">
        <f t="shared" si="168"/>
        <v>1197.6389600545422</v>
      </c>
      <c r="F104" s="908">
        <f t="shared" si="169"/>
        <v>1197.6389600545422</v>
      </c>
      <c r="G104" s="1224">
        <f t="shared" si="169"/>
        <v>1197.6389600545422</v>
      </c>
      <c r="H104" s="1224">
        <f t="shared" si="169"/>
        <v>1197.6389600545422</v>
      </c>
      <c r="I104" s="1224">
        <f t="shared" si="169"/>
        <v>1197.6389600545422</v>
      </c>
      <c r="J104" s="1224">
        <f t="shared" si="169"/>
        <v>1197.6389600545422</v>
      </c>
      <c r="K104" s="2661">
        <f t="shared" si="169"/>
        <v>1197.6389600545422</v>
      </c>
      <c r="L104" s="1117">
        <f t="shared" si="169"/>
        <v>176.1291232228424</v>
      </c>
      <c r="M104" s="908">
        <f t="shared" si="169"/>
        <v>176.1291232228424</v>
      </c>
      <c r="N104" s="1224">
        <f t="shared" si="169"/>
        <v>176.1291232228424</v>
      </c>
      <c r="O104" s="1224">
        <f t="shared" si="169"/>
        <v>176.1291232228424</v>
      </c>
      <c r="P104" s="1224">
        <f t="shared" si="169"/>
        <v>176.1291232228424</v>
      </c>
      <c r="Q104" s="1224">
        <f t="shared" si="169"/>
        <v>176.1291232228424</v>
      </c>
      <c r="R104" s="2661">
        <f t="shared" si="169"/>
        <v>176.1291232228424</v>
      </c>
      <c r="S104" s="1117">
        <f t="shared" si="169"/>
        <v>102.54055197449465</v>
      </c>
      <c r="T104" s="1228">
        <f t="shared" si="169"/>
        <v>102.54055197449465</v>
      </c>
      <c r="U104" s="1224">
        <f t="shared" si="171"/>
        <v>102.54055197449465</v>
      </c>
      <c r="V104" s="1224">
        <f t="shared" si="171"/>
        <v>102.54055197449465</v>
      </c>
      <c r="W104" s="1224">
        <f t="shared" si="171"/>
        <v>102.54055197449465</v>
      </c>
      <c r="X104" s="1224">
        <f t="shared" si="171"/>
        <v>102.54055197449465</v>
      </c>
      <c r="Y104" s="1229">
        <f t="shared" si="171"/>
        <v>102.54055197449465</v>
      </c>
      <c r="Z104" s="1117">
        <f t="shared" si="171"/>
        <v>0</v>
      </c>
      <c r="AA104" s="1228">
        <f t="shared" si="171"/>
        <v>0</v>
      </c>
      <c r="AB104" s="1224">
        <f t="shared" si="171"/>
        <v>0</v>
      </c>
      <c r="AC104" s="1224">
        <f t="shared" si="171"/>
        <v>0</v>
      </c>
      <c r="AD104" s="1224">
        <f t="shared" si="171"/>
        <v>0</v>
      </c>
      <c r="AE104" s="1224">
        <f t="shared" si="171"/>
        <v>0</v>
      </c>
      <c r="AF104" s="1229">
        <f t="shared" si="171"/>
        <v>0</v>
      </c>
      <c r="AG104" s="1117">
        <f t="shared" si="171"/>
        <v>5.1427752714127557</v>
      </c>
      <c r="AH104" s="1228">
        <f t="shared" si="171"/>
        <v>5.1427752714127557</v>
      </c>
      <c r="AI104" s="1224">
        <f t="shared" si="171"/>
        <v>5.1427752714127557</v>
      </c>
      <c r="AJ104" s="1224">
        <f t="shared" si="171"/>
        <v>5.1427752714127557</v>
      </c>
      <c r="AK104" s="1224">
        <f t="shared" si="171"/>
        <v>5.1427752714127557</v>
      </c>
      <c r="AL104" s="1224">
        <f t="shared" si="171"/>
        <v>5.1427752714127557</v>
      </c>
      <c r="AM104" s="1229">
        <f t="shared" si="171"/>
        <v>5.1427752714127557</v>
      </c>
      <c r="AN104" s="2551"/>
      <c r="AO104" s="2559"/>
      <c r="AP104" s="4488"/>
      <c r="AQ104" s="4504">
        <f t="shared" si="111"/>
        <v>612.34307688016963</v>
      </c>
      <c r="AR104" s="4504">
        <f t="shared" si="112"/>
        <v>612.34307688016963</v>
      </c>
      <c r="AS104" s="4504">
        <f t="shared" si="113"/>
        <v>612.34307688016963</v>
      </c>
      <c r="AT104" s="4504">
        <f t="shared" si="114"/>
        <v>612.34307688016963</v>
      </c>
      <c r="AU104" s="4504">
        <f t="shared" si="115"/>
        <v>612.34307688016963</v>
      </c>
      <c r="AV104" s="4504">
        <f t="shared" si="116"/>
        <v>612.34307688016963</v>
      </c>
      <c r="AW104" s="4504">
        <f t="shared" si="117"/>
        <v>612.34307688016963</v>
      </c>
      <c r="AX104" s="4504">
        <f t="shared" si="118"/>
        <v>90.053390746047668</v>
      </c>
      <c r="AY104" s="4504">
        <f t="shared" si="119"/>
        <v>90.053390746047668</v>
      </c>
      <c r="AZ104" s="4504">
        <f t="shared" si="120"/>
        <v>90.053390746047668</v>
      </c>
      <c r="BA104" s="4504">
        <f t="shared" si="121"/>
        <v>90.053390746047668</v>
      </c>
      <c r="BB104" s="4504">
        <f t="shared" si="122"/>
        <v>90.053390746047668</v>
      </c>
      <c r="BC104" s="4504">
        <f t="shared" si="123"/>
        <v>90.053390746047668</v>
      </c>
      <c r="BD104" s="4504">
        <f t="shared" si="124"/>
        <v>90.053390746047668</v>
      </c>
      <c r="BE104" s="4504">
        <f t="shared" si="125"/>
        <v>52.428151717937986</v>
      </c>
      <c r="BF104" s="4504">
        <f t="shared" si="126"/>
        <v>52.428151717937986</v>
      </c>
      <c r="BG104" s="4504">
        <f t="shared" si="127"/>
        <v>52.428151717937986</v>
      </c>
      <c r="BH104" s="4504">
        <f t="shared" si="128"/>
        <v>52.428151717937986</v>
      </c>
      <c r="BI104" s="4504">
        <f t="shared" si="129"/>
        <v>52.428151717937986</v>
      </c>
      <c r="BJ104" s="4504">
        <f t="shared" si="130"/>
        <v>52.428151717937986</v>
      </c>
      <c r="BK104" s="4504">
        <f t="shared" si="131"/>
        <v>52.428151717937986</v>
      </c>
      <c r="BL104" s="4504">
        <f t="shared" si="132"/>
        <v>0</v>
      </c>
      <c r="BM104" s="4504">
        <f t="shared" si="133"/>
        <v>0</v>
      </c>
      <c r="BN104" s="4504">
        <f t="shared" si="134"/>
        <v>0</v>
      </c>
      <c r="BO104" s="4504">
        <f t="shared" si="135"/>
        <v>0</v>
      </c>
      <c r="BP104" s="4504">
        <f t="shared" si="136"/>
        <v>0</v>
      </c>
      <c r="BQ104" s="4504">
        <f t="shared" si="137"/>
        <v>0</v>
      </c>
      <c r="BR104" s="4504">
        <f t="shared" si="138"/>
        <v>0</v>
      </c>
      <c r="BS104" s="4504">
        <f t="shared" si="139"/>
        <v>2.6294592430900212</v>
      </c>
      <c r="BT104" s="4504">
        <f t="shared" si="140"/>
        <v>2.6294592430900212</v>
      </c>
      <c r="BU104" s="4504">
        <f t="shared" si="141"/>
        <v>2.6294592430900212</v>
      </c>
      <c r="BV104" s="4504">
        <f t="shared" si="142"/>
        <v>2.6294592430900212</v>
      </c>
      <c r="BW104" s="4504">
        <f t="shared" si="143"/>
        <v>2.6294592430900212</v>
      </c>
      <c r="BX104" s="4504">
        <f t="shared" si="144"/>
        <v>2.6294592430900212</v>
      </c>
      <c r="BY104" s="4504">
        <f t="shared" si="145"/>
        <v>2.6294592430900212</v>
      </c>
    </row>
    <row r="105" spans="1:77">
      <c r="A105" s="2569">
        <v>12</v>
      </c>
      <c r="B105" s="2565">
        <v>212</v>
      </c>
      <c r="C105" s="2560">
        <v>0.2</v>
      </c>
      <c r="D105" s="2592" t="s">
        <v>214</v>
      </c>
      <c r="E105" s="1117">
        <f t="shared" si="168"/>
        <v>11.16616483307385</v>
      </c>
      <c r="F105" s="908">
        <f t="shared" si="169"/>
        <v>10.170050633681086</v>
      </c>
      <c r="G105" s="1224">
        <f t="shared" si="169"/>
        <v>13.657743612857075</v>
      </c>
      <c r="H105" s="1224">
        <f t="shared" si="169"/>
        <v>12.104355487207073</v>
      </c>
      <c r="I105" s="1224">
        <f t="shared" si="169"/>
        <v>12.651255660268362</v>
      </c>
      <c r="J105" s="1224">
        <f t="shared" si="169"/>
        <v>5.7643577522612475</v>
      </c>
      <c r="K105" s="2661">
        <f t="shared" si="169"/>
        <v>-9.0718004336538627</v>
      </c>
      <c r="L105" s="1117">
        <f t="shared" si="169"/>
        <v>8.7031931575766812</v>
      </c>
      <c r="M105" s="908">
        <f t="shared" si="169"/>
        <v>7.9819282309851509</v>
      </c>
      <c r="N105" s="1224">
        <f t="shared" si="169"/>
        <v>13.576982982029616</v>
      </c>
      <c r="O105" s="1224">
        <f t="shared" si="169"/>
        <v>17.130561796478283</v>
      </c>
      <c r="P105" s="1224">
        <f t="shared" si="169"/>
        <v>26.952006884489776</v>
      </c>
      <c r="Q105" s="1224">
        <f t="shared" si="169"/>
        <v>34.686184484663201</v>
      </c>
      <c r="R105" s="2661">
        <f t="shared" si="169"/>
        <v>38.022242880679229</v>
      </c>
      <c r="S105" s="1117">
        <f t="shared" si="169"/>
        <v>13.577742150873942</v>
      </c>
      <c r="T105" s="1228">
        <f t="shared" si="169"/>
        <v>12.697667293796798</v>
      </c>
      <c r="U105" s="1224">
        <f t="shared" si="171"/>
        <v>18.117465580514896</v>
      </c>
      <c r="V105" s="1224">
        <f t="shared" si="171"/>
        <v>21.419820908654799</v>
      </c>
      <c r="W105" s="1224">
        <f t="shared" si="171"/>
        <v>30.854021664520548</v>
      </c>
      <c r="X105" s="1224">
        <f t="shared" si="171"/>
        <v>38.009287989292766</v>
      </c>
      <c r="Y105" s="1229">
        <f t="shared" si="171"/>
        <v>40.611933796130415</v>
      </c>
      <c r="Z105" s="1117">
        <f t="shared" si="171"/>
        <v>0</v>
      </c>
      <c r="AA105" s="1228">
        <f t="shared" si="171"/>
        <v>0</v>
      </c>
      <c r="AB105" s="1224">
        <f t="shared" si="171"/>
        <v>0</v>
      </c>
      <c r="AC105" s="1224">
        <f t="shared" si="171"/>
        <v>0</v>
      </c>
      <c r="AD105" s="1224">
        <f t="shared" si="171"/>
        <v>0</v>
      </c>
      <c r="AE105" s="1224">
        <f t="shared" si="171"/>
        <v>0</v>
      </c>
      <c r="AF105" s="1229">
        <f t="shared" si="171"/>
        <v>0</v>
      </c>
      <c r="AG105" s="1117">
        <f t="shared" si="171"/>
        <v>1.5528690794185174E-2</v>
      </c>
      <c r="AH105" s="1228">
        <f t="shared" si="171"/>
        <v>4.3788643277923311E-3</v>
      </c>
      <c r="AI105" s="1224">
        <f t="shared" si="171"/>
        <v>-6.7709621386005114E-3</v>
      </c>
      <c r="AJ105" s="1224">
        <f t="shared" si="171"/>
        <v>-1.7920788604993354E-2</v>
      </c>
      <c r="AK105" s="1224">
        <f t="shared" si="171"/>
        <v>-2.9070615071386197E-2</v>
      </c>
      <c r="AL105" s="1224">
        <f t="shared" si="171"/>
        <v>-4.0220441537779039E-2</v>
      </c>
      <c r="AM105" s="1229">
        <f t="shared" si="171"/>
        <v>-5.1370268004171882E-2</v>
      </c>
      <c r="AN105" s="2551"/>
      <c r="AO105" s="2589"/>
      <c r="AP105" s="4488"/>
      <c r="AQ105" s="4504">
        <f t="shared" si="111"/>
        <v>5.7091694232493877</v>
      </c>
      <c r="AR105" s="4504">
        <f t="shared" si="112"/>
        <v>5.1998643203555961</v>
      </c>
      <c r="AS105" s="4504">
        <f t="shared" si="113"/>
        <v>6.9830934247133314</v>
      </c>
      <c r="AT105" s="4504">
        <f t="shared" si="114"/>
        <v>6.1888586877218739</v>
      </c>
      <c r="AU105" s="4504">
        <f t="shared" si="115"/>
        <v>6.4684843060329182</v>
      </c>
      <c r="AV105" s="4504">
        <f t="shared" si="116"/>
        <v>2.9472693190416588</v>
      </c>
      <c r="AW105" s="4504">
        <f t="shared" si="117"/>
        <v>-4.6383379095595538</v>
      </c>
      <c r="AX105" s="4504">
        <f t="shared" si="118"/>
        <v>4.4498720019514382</v>
      </c>
      <c r="AY105" s="4504">
        <f t="shared" si="119"/>
        <v>4.0810951007936023</v>
      </c>
      <c r="AZ105" s="4504">
        <f t="shared" si="120"/>
        <v>6.941801169850967</v>
      </c>
      <c r="BA105" s="4504">
        <f t="shared" si="121"/>
        <v>8.7587171668694541</v>
      </c>
      <c r="BB105" s="4504">
        <f t="shared" si="122"/>
        <v>13.780342301984209</v>
      </c>
      <c r="BC105" s="4504">
        <f t="shared" si="123"/>
        <v>17.734764516682535</v>
      </c>
      <c r="BD105" s="4504">
        <f t="shared" si="124"/>
        <v>19.44046408976201</v>
      </c>
      <c r="BE105" s="4504">
        <f t="shared" si="125"/>
        <v>6.9421893267175276</v>
      </c>
      <c r="BF105" s="4504">
        <f t="shared" si="126"/>
        <v>6.4922141974490613</v>
      </c>
      <c r="BG105" s="4504">
        <f t="shared" si="127"/>
        <v>9.2633130591691994</v>
      </c>
      <c r="BH105" s="4504">
        <f t="shared" si="128"/>
        <v>10.951780527272206</v>
      </c>
      <c r="BI105" s="4504">
        <f t="shared" si="129"/>
        <v>15.775410779321591</v>
      </c>
      <c r="BJ105" s="4504">
        <f t="shared" si="130"/>
        <v>19.433840358974333</v>
      </c>
      <c r="BK105" s="4504">
        <f t="shared" si="131"/>
        <v>20.764552029639802</v>
      </c>
      <c r="BL105" s="4504">
        <f t="shared" si="132"/>
        <v>0</v>
      </c>
      <c r="BM105" s="4504">
        <f t="shared" si="133"/>
        <v>0</v>
      </c>
      <c r="BN105" s="4504">
        <f t="shared" si="134"/>
        <v>0</v>
      </c>
      <c r="BO105" s="4504">
        <f t="shared" si="135"/>
        <v>0</v>
      </c>
      <c r="BP105" s="4504">
        <f t="shared" si="136"/>
        <v>0</v>
      </c>
      <c r="BQ105" s="4504">
        <f t="shared" si="137"/>
        <v>0</v>
      </c>
      <c r="BR105" s="4504">
        <f t="shared" si="138"/>
        <v>0</v>
      </c>
      <c r="BS105" s="4504">
        <f t="shared" si="139"/>
        <v>7.9396935286733372E-3</v>
      </c>
      <c r="BT105" s="4504">
        <f t="shared" si="140"/>
        <v>2.2388777796599557E-3</v>
      </c>
      <c r="BU105" s="4504">
        <f t="shared" si="141"/>
        <v>-3.4619379693534261E-3</v>
      </c>
      <c r="BV105" s="4504">
        <f t="shared" si="142"/>
        <v>-9.1627537183668079E-3</v>
      </c>
      <c r="BW105" s="4504">
        <f t="shared" si="143"/>
        <v>-1.486356946738019E-2</v>
      </c>
      <c r="BX105" s="4504">
        <f t="shared" si="144"/>
        <v>-2.0564385216393571E-2</v>
      </c>
      <c r="BY105" s="4504">
        <f t="shared" si="145"/>
        <v>-2.6265200965406955E-2</v>
      </c>
    </row>
    <row r="106" spans="1:77">
      <c r="A106" s="2569">
        <v>13</v>
      </c>
      <c r="B106" s="2564">
        <v>213</v>
      </c>
      <c r="C106" s="2571">
        <v>0.2</v>
      </c>
      <c r="D106" s="2593" t="s">
        <v>215</v>
      </c>
      <c r="E106" s="1117">
        <f t="shared" si="168"/>
        <v>0</v>
      </c>
      <c r="F106" s="908">
        <f t="shared" si="169"/>
        <v>0</v>
      </c>
      <c r="G106" s="1224">
        <f t="shared" si="169"/>
        <v>0</v>
      </c>
      <c r="H106" s="1224">
        <f t="shared" si="169"/>
        <v>0</v>
      </c>
      <c r="I106" s="1224">
        <f t="shared" si="169"/>
        <v>0</v>
      </c>
      <c r="J106" s="1224">
        <f t="shared" si="169"/>
        <v>0</v>
      </c>
      <c r="K106" s="2661">
        <f t="shared" si="169"/>
        <v>0</v>
      </c>
      <c r="L106" s="1117">
        <f t="shared" si="169"/>
        <v>0</v>
      </c>
      <c r="M106" s="908">
        <f t="shared" si="169"/>
        <v>0</v>
      </c>
      <c r="N106" s="1224">
        <f t="shared" si="169"/>
        <v>0</v>
      </c>
      <c r="O106" s="1224">
        <f t="shared" si="169"/>
        <v>0</v>
      </c>
      <c r="P106" s="1224">
        <f t="shared" si="169"/>
        <v>0</v>
      </c>
      <c r="Q106" s="1224">
        <f t="shared" si="169"/>
        <v>0</v>
      </c>
      <c r="R106" s="2661">
        <f t="shared" si="169"/>
        <v>0</v>
      </c>
      <c r="S106" s="1117">
        <f t="shared" si="169"/>
        <v>0</v>
      </c>
      <c r="T106" s="1228">
        <f t="shared" si="169"/>
        <v>0</v>
      </c>
      <c r="U106" s="1224">
        <f t="shared" si="171"/>
        <v>0</v>
      </c>
      <c r="V106" s="1224">
        <f t="shared" si="171"/>
        <v>0</v>
      </c>
      <c r="W106" s="1224">
        <f t="shared" si="171"/>
        <v>0</v>
      </c>
      <c r="X106" s="1224">
        <f t="shared" si="171"/>
        <v>0</v>
      </c>
      <c r="Y106" s="1229">
        <f t="shared" si="171"/>
        <v>0</v>
      </c>
      <c r="Z106" s="1117">
        <f t="shared" si="171"/>
        <v>0</v>
      </c>
      <c r="AA106" s="1228">
        <f t="shared" si="171"/>
        <v>0</v>
      </c>
      <c r="AB106" s="1224">
        <f t="shared" si="171"/>
        <v>0</v>
      </c>
      <c r="AC106" s="1224">
        <f t="shared" si="171"/>
        <v>0</v>
      </c>
      <c r="AD106" s="1224">
        <f t="shared" si="171"/>
        <v>0</v>
      </c>
      <c r="AE106" s="1224">
        <f t="shared" si="171"/>
        <v>0</v>
      </c>
      <c r="AF106" s="1229">
        <f t="shared" si="171"/>
        <v>0</v>
      </c>
      <c r="AG106" s="1117">
        <f t="shared" si="171"/>
        <v>0</v>
      </c>
      <c r="AH106" s="1228">
        <f t="shared" si="171"/>
        <v>0</v>
      </c>
      <c r="AI106" s="1224">
        <f t="shared" si="171"/>
        <v>0</v>
      </c>
      <c r="AJ106" s="1224">
        <f t="shared" si="171"/>
        <v>0</v>
      </c>
      <c r="AK106" s="1224">
        <f t="shared" si="171"/>
        <v>0</v>
      </c>
      <c r="AL106" s="1224">
        <f t="shared" si="171"/>
        <v>0</v>
      </c>
      <c r="AM106" s="1229">
        <f t="shared" si="171"/>
        <v>0</v>
      </c>
      <c r="AN106" s="2551"/>
      <c r="AO106" s="2589"/>
      <c r="AP106" s="4488"/>
      <c r="AQ106" s="4504">
        <f t="shared" si="111"/>
        <v>0</v>
      </c>
      <c r="AR106" s="4504">
        <f t="shared" si="112"/>
        <v>0</v>
      </c>
      <c r="AS106" s="4504">
        <f t="shared" si="113"/>
        <v>0</v>
      </c>
      <c r="AT106" s="4504">
        <f t="shared" si="114"/>
        <v>0</v>
      </c>
      <c r="AU106" s="4504">
        <f t="shared" si="115"/>
        <v>0</v>
      </c>
      <c r="AV106" s="4504">
        <f t="shared" si="116"/>
        <v>0</v>
      </c>
      <c r="AW106" s="4504">
        <f t="shared" si="117"/>
        <v>0</v>
      </c>
      <c r="AX106" s="4504">
        <f t="shared" si="118"/>
        <v>0</v>
      </c>
      <c r="AY106" s="4504">
        <f t="shared" si="119"/>
        <v>0</v>
      </c>
      <c r="AZ106" s="4504">
        <f t="shared" si="120"/>
        <v>0</v>
      </c>
      <c r="BA106" s="4504">
        <f t="shared" si="121"/>
        <v>0</v>
      </c>
      <c r="BB106" s="4504">
        <f t="shared" si="122"/>
        <v>0</v>
      </c>
      <c r="BC106" s="4504">
        <f t="shared" si="123"/>
        <v>0</v>
      </c>
      <c r="BD106" s="4504">
        <f t="shared" si="124"/>
        <v>0</v>
      </c>
      <c r="BE106" s="4504">
        <f t="shared" si="125"/>
        <v>0</v>
      </c>
      <c r="BF106" s="4504">
        <f t="shared" si="126"/>
        <v>0</v>
      </c>
      <c r="BG106" s="4504">
        <f t="shared" si="127"/>
        <v>0</v>
      </c>
      <c r="BH106" s="4504">
        <f t="shared" si="128"/>
        <v>0</v>
      </c>
      <c r="BI106" s="4504">
        <f t="shared" si="129"/>
        <v>0</v>
      </c>
      <c r="BJ106" s="4504">
        <f t="shared" si="130"/>
        <v>0</v>
      </c>
      <c r="BK106" s="4504">
        <f t="shared" si="131"/>
        <v>0</v>
      </c>
      <c r="BL106" s="4504">
        <f t="shared" si="132"/>
        <v>0</v>
      </c>
      <c r="BM106" s="4504">
        <f t="shared" si="133"/>
        <v>0</v>
      </c>
      <c r="BN106" s="4504">
        <f t="shared" si="134"/>
        <v>0</v>
      </c>
      <c r="BO106" s="4504">
        <f t="shared" si="135"/>
        <v>0</v>
      </c>
      <c r="BP106" s="4504">
        <f t="shared" si="136"/>
        <v>0</v>
      </c>
      <c r="BQ106" s="4504">
        <f t="shared" si="137"/>
        <v>0</v>
      </c>
      <c r="BR106" s="4504">
        <f t="shared" si="138"/>
        <v>0</v>
      </c>
      <c r="BS106" s="4504">
        <f t="shared" si="139"/>
        <v>0</v>
      </c>
      <c r="BT106" s="4504">
        <f t="shared" si="140"/>
        <v>0</v>
      </c>
      <c r="BU106" s="4504">
        <f t="shared" si="141"/>
        <v>0</v>
      </c>
      <c r="BV106" s="4504">
        <f t="shared" si="142"/>
        <v>0</v>
      </c>
      <c r="BW106" s="4504">
        <f t="shared" si="143"/>
        <v>0</v>
      </c>
      <c r="BX106" s="4504">
        <f t="shared" si="144"/>
        <v>0</v>
      </c>
      <c r="BY106" s="4504">
        <f t="shared" si="145"/>
        <v>0</v>
      </c>
    </row>
    <row r="107" spans="1:77">
      <c r="A107" s="2569">
        <v>14</v>
      </c>
      <c r="B107" s="2638"/>
      <c r="C107" s="2638"/>
      <c r="D107" s="2594" t="s">
        <v>628</v>
      </c>
      <c r="E107" s="1117">
        <f t="shared" si="168"/>
        <v>0</v>
      </c>
      <c r="F107" s="908">
        <f t="shared" si="169"/>
        <v>0</v>
      </c>
      <c r="G107" s="1224">
        <f t="shared" si="169"/>
        <v>0</v>
      </c>
      <c r="H107" s="1224">
        <f t="shared" si="169"/>
        <v>0</v>
      </c>
      <c r="I107" s="1224">
        <f t="shared" si="169"/>
        <v>0</v>
      </c>
      <c r="J107" s="1224">
        <f t="shared" si="169"/>
        <v>0</v>
      </c>
      <c r="K107" s="2661">
        <f t="shared" si="169"/>
        <v>0</v>
      </c>
      <c r="L107" s="1117">
        <f t="shared" si="169"/>
        <v>0</v>
      </c>
      <c r="M107" s="908">
        <f t="shared" si="169"/>
        <v>0</v>
      </c>
      <c r="N107" s="1224">
        <f t="shared" si="169"/>
        <v>0</v>
      </c>
      <c r="O107" s="1224">
        <f t="shared" si="169"/>
        <v>0</v>
      </c>
      <c r="P107" s="1224">
        <f t="shared" si="169"/>
        <v>0</v>
      </c>
      <c r="Q107" s="1224">
        <f t="shared" si="169"/>
        <v>0</v>
      </c>
      <c r="R107" s="2661">
        <f t="shared" si="169"/>
        <v>0</v>
      </c>
      <c r="S107" s="1117">
        <f t="shared" si="169"/>
        <v>0</v>
      </c>
      <c r="T107" s="1228">
        <f t="shared" si="169"/>
        <v>0</v>
      </c>
      <c r="U107" s="1224">
        <f t="shared" si="171"/>
        <v>0</v>
      </c>
      <c r="V107" s="1224">
        <f t="shared" si="171"/>
        <v>0</v>
      </c>
      <c r="W107" s="1224">
        <f t="shared" si="171"/>
        <v>0</v>
      </c>
      <c r="X107" s="1224">
        <f t="shared" si="171"/>
        <v>0</v>
      </c>
      <c r="Y107" s="1229">
        <f t="shared" si="171"/>
        <v>0</v>
      </c>
      <c r="Z107" s="1117">
        <f t="shared" si="171"/>
        <v>0</v>
      </c>
      <c r="AA107" s="1228">
        <f t="shared" si="171"/>
        <v>0</v>
      </c>
      <c r="AB107" s="1224">
        <f t="shared" si="171"/>
        <v>0</v>
      </c>
      <c r="AC107" s="1224">
        <f t="shared" si="171"/>
        <v>0</v>
      </c>
      <c r="AD107" s="1224">
        <f t="shared" si="171"/>
        <v>0</v>
      </c>
      <c r="AE107" s="1224">
        <f t="shared" si="171"/>
        <v>0</v>
      </c>
      <c r="AF107" s="1229">
        <f t="shared" si="171"/>
        <v>0</v>
      </c>
      <c r="AG107" s="1117">
        <f t="shared" si="171"/>
        <v>0</v>
      </c>
      <c r="AH107" s="1228">
        <f t="shared" si="171"/>
        <v>0</v>
      </c>
      <c r="AI107" s="1224">
        <f t="shared" si="171"/>
        <v>0</v>
      </c>
      <c r="AJ107" s="1224">
        <f t="shared" si="171"/>
        <v>0</v>
      </c>
      <c r="AK107" s="1224">
        <f t="shared" si="171"/>
        <v>0</v>
      </c>
      <c r="AL107" s="1224">
        <f t="shared" si="171"/>
        <v>0</v>
      </c>
      <c r="AM107" s="1229">
        <f t="shared" si="171"/>
        <v>0</v>
      </c>
      <c r="AN107" s="2551"/>
      <c r="AO107" s="2589"/>
      <c r="AP107" s="4488"/>
      <c r="AQ107" s="4504">
        <f t="shared" si="111"/>
        <v>0</v>
      </c>
      <c r="AR107" s="4504">
        <f t="shared" si="112"/>
        <v>0</v>
      </c>
      <c r="AS107" s="4504">
        <f t="shared" si="113"/>
        <v>0</v>
      </c>
      <c r="AT107" s="4504">
        <f t="shared" si="114"/>
        <v>0</v>
      </c>
      <c r="AU107" s="4504">
        <f t="shared" si="115"/>
        <v>0</v>
      </c>
      <c r="AV107" s="4504">
        <f t="shared" si="116"/>
        <v>0</v>
      </c>
      <c r="AW107" s="4504">
        <f t="shared" si="117"/>
        <v>0</v>
      </c>
      <c r="AX107" s="4504">
        <f t="shared" si="118"/>
        <v>0</v>
      </c>
      <c r="AY107" s="4504">
        <f t="shared" si="119"/>
        <v>0</v>
      </c>
      <c r="AZ107" s="4504">
        <f t="shared" si="120"/>
        <v>0</v>
      </c>
      <c r="BA107" s="4504">
        <f t="shared" si="121"/>
        <v>0</v>
      </c>
      <c r="BB107" s="4504">
        <f t="shared" si="122"/>
        <v>0</v>
      </c>
      <c r="BC107" s="4504">
        <f t="shared" si="123"/>
        <v>0</v>
      </c>
      <c r="BD107" s="4504">
        <f t="shared" si="124"/>
        <v>0</v>
      </c>
      <c r="BE107" s="4504">
        <f t="shared" si="125"/>
        <v>0</v>
      </c>
      <c r="BF107" s="4504">
        <f t="shared" si="126"/>
        <v>0</v>
      </c>
      <c r="BG107" s="4504">
        <f t="shared" si="127"/>
        <v>0</v>
      </c>
      <c r="BH107" s="4504">
        <f t="shared" si="128"/>
        <v>0</v>
      </c>
      <c r="BI107" s="4504">
        <f t="shared" si="129"/>
        <v>0</v>
      </c>
      <c r="BJ107" s="4504">
        <f t="shared" si="130"/>
        <v>0</v>
      </c>
      <c r="BK107" s="4504">
        <f t="shared" si="131"/>
        <v>0</v>
      </c>
      <c r="BL107" s="4504">
        <f t="shared" si="132"/>
        <v>0</v>
      </c>
      <c r="BM107" s="4504">
        <f t="shared" si="133"/>
        <v>0</v>
      </c>
      <c r="BN107" s="4504">
        <f t="shared" si="134"/>
        <v>0</v>
      </c>
      <c r="BO107" s="4504">
        <f t="shared" si="135"/>
        <v>0</v>
      </c>
      <c r="BP107" s="4504">
        <f t="shared" si="136"/>
        <v>0</v>
      </c>
      <c r="BQ107" s="4504">
        <f t="shared" si="137"/>
        <v>0</v>
      </c>
      <c r="BR107" s="4504">
        <f t="shared" si="138"/>
        <v>0</v>
      </c>
      <c r="BS107" s="4504">
        <f t="shared" si="139"/>
        <v>0</v>
      </c>
      <c r="BT107" s="4504">
        <f t="shared" si="140"/>
        <v>0</v>
      </c>
      <c r="BU107" s="4504">
        <f t="shared" si="141"/>
        <v>0</v>
      </c>
      <c r="BV107" s="4504">
        <f t="shared" si="142"/>
        <v>0</v>
      </c>
      <c r="BW107" s="4504">
        <f t="shared" si="143"/>
        <v>0</v>
      </c>
      <c r="BX107" s="4504">
        <f t="shared" si="144"/>
        <v>0</v>
      </c>
      <c r="BY107" s="4504">
        <f t="shared" si="145"/>
        <v>0</v>
      </c>
    </row>
    <row r="108" spans="1:77" ht="24">
      <c r="A108" s="2569">
        <v>15</v>
      </c>
      <c r="B108" s="2564">
        <v>207</v>
      </c>
      <c r="C108" s="2564" t="s">
        <v>313</v>
      </c>
      <c r="D108" s="2593" t="s">
        <v>415</v>
      </c>
      <c r="E108" s="1117">
        <f t="shared" si="168"/>
        <v>69.633070000000018</v>
      </c>
      <c r="F108" s="908">
        <f t="shared" si="169"/>
        <v>69.633070000000018</v>
      </c>
      <c r="G108" s="1224">
        <f t="shared" si="169"/>
        <v>69.633070000000018</v>
      </c>
      <c r="H108" s="1224">
        <f t="shared" si="169"/>
        <v>69.633070000000018</v>
      </c>
      <c r="I108" s="1224">
        <f t="shared" si="169"/>
        <v>69.633070000000018</v>
      </c>
      <c r="J108" s="1224">
        <f t="shared" si="169"/>
        <v>69.633070000000018</v>
      </c>
      <c r="K108" s="2661">
        <f t="shared" si="169"/>
        <v>69.633070000000018</v>
      </c>
      <c r="L108" s="1117">
        <f t="shared" si="169"/>
        <v>0</v>
      </c>
      <c r="M108" s="908">
        <f t="shared" si="169"/>
        <v>0</v>
      </c>
      <c r="N108" s="1224">
        <f t="shared" si="169"/>
        <v>0</v>
      </c>
      <c r="O108" s="1224">
        <f t="shared" si="169"/>
        <v>0</v>
      </c>
      <c r="P108" s="1224">
        <f t="shared" si="169"/>
        <v>0</v>
      </c>
      <c r="Q108" s="1224">
        <f t="shared" si="169"/>
        <v>0</v>
      </c>
      <c r="R108" s="2661">
        <f t="shared" si="169"/>
        <v>0</v>
      </c>
      <c r="S108" s="1117">
        <f t="shared" si="169"/>
        <v>0</v>
      </c>
      <c r="T108" s="1228">
        <f t="shared" si="169"/>
        <v>0</v>
      </c>
      <c r="U108" s="1224">
        <f t="shared" si="171"/>
        <v>0</v>
      </c>
      <c r="V108" s="1224">
        <f t="shared" si="171"/>
        <v>0</v>
      </c>
      <c r="W108" s="1224">
        <f t="shared" si="171"/>
        <v>0</v>
      </c>
      <c r="X108" s="1224">
        <f t="shared" si="171"/>
        <v>0</v>
      </c>
      <c r="Y108" s="1229">
        <f t="shared" si="171"/>
        <v>0</v>
      </c>
      <c r="Z108" s="1117">
        <f t="shared" si="171"/>
        <v>0</v>
      </c>
      <c r="AA108" s="1228">
        <f t="shared" si="171"/>
        <v>0</v>
      </c>
      <c r="AB108" s="1224">
        <f t="shared" si="171"/>
        <v>0</v>
      </c>
      <c r="AC108" s="1224">
        <f t="shared" si="171"/>
        <v>0</v>
      </c>
      <c r="AD108" s="1224">
        <f t="shared" si="171"/>
        <v>0</v>
      </c>
      <c r="AE108" s="1224">
        <f t="shared" si="171"/>
        <v>0</v>
      </c>
      <c r="AF108" s="1229">
        <f t="shared" si="171"/>
        <v>0</v>
      </c>
      <c r="AG108" s="1117">
        <f t="shared" si="171"/>
        <v>0.8</v>
      </c>
      <c r="AH108" s="1228">
        <f t="shared" si="171"/>
        <v>0.8</v>
      </c>
      <c r="AI108" s="1224">
        <f t="shared" si="171"/>
        <v>0.8</v>
      </c>
      <c r="AJ108" s="1224">
        <f t="shared" si="171"/>
        <v>0.8</v>
      </c>
      <c r="AK108" s="1224">
        <f t="shared" si="171"/>
        <v>0.8</v>
      </c>
      <c r="AL108" s="1224">
        <f t="shared" si="171"/>
        <v>0.8</v>
      </c>
      <c r="AM108" s="1229">
        <f t="shared" si="171"/>
        <v>0.8</v>
      </c>
      <c r="AN108" s="2551"/>
      <c r="AO108" s="2589"/>
      <c r="AP108" s="4488"/>
      <c r="AQ108" s="4504">
        <f t="shared" si="111"/>
        <v>35.602823353767974</v>
      </c>
      <c r="AR108" s="4504">
        <f t="shared" si="112"/>
        <v>35.602823353767974</v>
      </c>
      <c r="AS108" s="4504">
        <f t="shared" si="113"/>
        <v>35.602823353767974</v>
      </c>
      <c r="AT108" s="4504">
        <f t="shared" si="114"/>
        <v>35.602823353767974</v>
      </c>
      <c r="AU108" s="4504">
        <f t="shared" si="115"/>
        <v>35.602823353767974</v>
      </c>
      <c r="AV108" s="4504">
        <f t="shared" si="116"/>
        <v>35.602823353767974</v>
      </c>
      <c r="AW108" s="4504">
        <f t="shared" si="117"/>
        <v>35.602823353767974</v>
      </c>
      <c r="AX108" s="4504">
        <f t="shared" si="118"/>
        <v>0</v>
      </c>
      <c r="AY108" s="4504">
        <f t="shared" si="119"/>
        <v>0</v>
      </c>
      <c r="AZ108" s="4504">
        <f t="shared" si="120"/>
        <v>0</v>
      </c>
      <c r="BA108" s="4504">
        <f t="shared" si="121"/>
        <v>0</v>
      </c>
      <c r="BB108" s="4504">
        <f t="shared" si="122"/>
        <v>0</v>
      </c>
      <c r="BC108" s="4504">
        <f t="shared" si="123"/>
        <v>0</v>
      </c>
      <c r="BD108" s="4504">
        <f t="shared" si="124"/>
        <v>0</v>
      </c>
      <c r="BE108" s="4504">
        <f t="shared" si="125"/>
        <v>0</v>
      </c>
      <c r="BF108" s="4504">
        <f t="shared" si="126"/>
        <v>0</v>
      </c>
      <c r="BG108" s="4504">
        <f t="shared" si="127"/>
        <v>0</v>
      </c>
      <c r="BH108" s="4504">
        <f t="shared" si="128"/>
        <v>0</v>
      </c>
      <c r="BI108" s="4504">
        <f t="shared" si="129"/>
        <v>0</v>
      </c>
      <c r="BJ108" s="4504">
        <f t="shared" si="130"/>
        <v>0</v>
      </c>
      <c r="BK108" s="4504">
        <f t="shared" si="131"/>
        <v>0</v>
      </c>
      <c r="BL108" s="4504">
        <f t="shared" si="132"/>
        <v>0</v>
      </c>
      <c r="BM108" s="4504">
        <f t="shared" si="133"/>
        <v>0</v>
      </c>
      <c r="BN108" s="4504">
        <f t="shared" si="134"/>
        <v>0</v>
      </c>
      <c r="BO108" s="4504">
        <f t="shared" si="135"/>
        <v>0</v>
      </c>
      <c r="BP108" s="4504">
        <f t="shared" si="136"/>
        <v>0</v>
      </c>
      <c r="BQ108" s="4504">
        <f t="shared" si="137"/>
        <v>0</v>
      </c>
      <c r="BR108" s="4504">
        <f t="shared" si="138"/>
        <v>0</v>
      </c>
      <c r="BS108" s="4504">
        <f t="shared" si="139"/>
        <v>0.40903350495697482</v>
      </c>
      <c r="BT108" s="4504">
        <f t="shared" si="140"/>
        <v>0.40903350495697482</v>
      </c>
      <c r="BU108" s="4504">
        <f t="shared" si="141"/>
        <v>0.40903350495697482</v>
      </c>
      <c r="BV108" s="4504">
        <f t="shared" si="142"/>
        <v>0.40903350495697482</v>
      </c>
      <c r="BW108" s="4504">
        <f t="shared" si="143"/>
        <v>0.40903350495697482</v>
      </c>
      <c r="BX108" s="4504">
        <f t="shared" si="144"/>
        <v>0.40903350495697482</v>
      </c>
      <c r="BY108" s="4504">
        <f t="shared" si="145"/>
        <v>0.40903350495697482</v>
      </c>
    </row>
    <row r="109" spans="1:77" ht="13.8" thickBot="1">
      <c r="A109" s="2569">
        <v>16</v>
      </c>
      <c r="B109" s="2574">
        <v>219</v>
      </c>
      <c r="C109" s="2575">
        <v>0.1</v>
      </c>
      <c r="D109" s="2598" t="s">
        <v>216</v>
      </c>
      <c r="E109" s="2666">
        <f t="shared" si="168"/>
        <v>81.888647194514448</v>
      </c>
      <c r="F109" s="908">
        <f t="shared" si="169"/>
        <v>65.275416540786807</v>
      </c>
      <c r="G109" s="1224">
        <f t="shared" si="169"/>
        <v>48.662185887059195</v>
      </c>
      <c r="H109" s="1224">
        <f t="shared" si="169"/>
        <v>32.048955233331583</v>
      </c>
      <c r="I109" s="1224">
        <f t="shared" si="169"/>
        <v>15.435724579603971</v>
      </c>
      <c r="J109" s="1224">
        <f t="shared" si="169"/>
        <v>-1.1775060741236416</v>
      </c>
      <c r="K109" s="2661">
        <f t="shared" si="169"/>
        <v>-17.790736727851254</v>
      </c>
      <c r="L109" s="2666">
        <f t="shared" si="169"/>
        <v>0</v>
      </c>
      <c r="M109" s="908">
        <f t="shared" si="169"/>
        <v>0</v>
      </c>
      <c r="N109" s="1224">
        <f t="shared" si="169"/>
        <v>0</v>
      </c>
      <c r="O109" s="1224">
        <f t="shared" si="169"/>
        <v>0</v>
      </c>
      <c r="P109" s="1224">
        <f t="shared" si="169"/>
        <v>0</v>
      </c>
      <c r="Q109" s="1224">
        <f t="shared" si="169"/>
        <v>0</v>
      </c>
      <c r="R109" s="2661">
        <f t="shared" si="169"/>
        <v>0</v>
      </c>
      <c r="S109" s="2666">
        <f t="shared" si="169"/>
        <v>0</v>
      </c>
      <c r="T109" s="1228">
        <f t="shared" si="169"/>
        <v>0</v>
      </c>
      <c r="U109" s="1224">
        <f t="shared" si="171"/>
        <v>0</v>
      </c>
      <c r="V109" s="1224">
        <f t="shared" si="171"/>
        <v>0</v>
      </c>
      <c r="W109" s="1224">
        <f t="shared" si="171"/>
        <v>0</v>
      </c>
      <c r="X109" s="1224">
        <f t="shared" si="171"/>
        <v>0</v>
      </c>
      <c r="Y109" s="1229">
        <f t="shared" si="171"/>
        <v>0</v>
      </c>
      <c r="Z109" s="2666">
        <f t="shared" si="171"/>
        <v>0</v>
      </c>
      <c r="AA109" s="1228">
        <f t="shared" si="171"/>
        <v>0</v>
      </c>
      <c r="AB109" s="1224">
        <f t="shared" si="171"/>
        <v>0</v>
      </c>
      <c r="AC109" s="1224">
        <f t="shared" si="171"/>
        <v>0</v>
      </c>
      <c r="AD109" s="1224">
        <f t="shared" si="171"/>
        <v>0</v>
      </c>
      <c r="AE109" s="1224">
        <f t="shared" si="171"/>
        <v>0</v>
      </c>
      <c r="AF109" s="1229">
        <f t="shared" si="171"/>
        <v>0</v>
      </c>
      <c r="AG109" s="2666">
        <f t="shared" si="171"/>
        <v>0.82502280548554197</v>
      </c>
      <c r="AH109" s="1228">
        <f t="shared" si="171"/>
        <v>0.74398345921317599</v>
      </c>
      <c r="AI109" s="1224">
        <f t="shared" si="171"/>
        <v>0.66294411294081002</v>
      </c>
      <c r="AJ109" s="1224">
        <f t="shared" si="171"/>
        <v>0.58190476666844404</v>
      </c>
      <c r="AK109" s="1224">
        <f t="shared" si="171"/>
        <v>0.50086542039607806</v>
      </c>
      <c r="AL109" s="1224">
        <f t="shared" si="171"/>
        <v>0.41982607412371209</v>
      </c>
      <c r="AM109" s="1229">
        <f t="shared" si="171"/>
        <v>0.33878672785134611</v>
      </c>
      <c r="AN109" s="2605"/>
      <c r="AO109" s="2587"/>
      <c r="AP109" s="4488"/>
      <c r="AQ109" s="4504">
        <f t="shared" si="111"/>
        <v>41.869000472696733</v>
      </c>
      <c r="AR109" s="4504">
        <f t="shared" si="112"/>
        <v>33.374790519005643</v>
      </c>
      <c r="AS109" s="4504">
        <f t="shared" si="113"/>
        <v>24.88058056531457</v>
      </c>
      <c r="AT109" s="4504">
        <f t="shared" si="114"/>
        <v>16.386370611623498</v>
      </c>
      <c r="AU109" s="4504">
        <f t="shared" si="115"/>
        <v>7.8921606579324228</v>
      </c>
      <c r="AV109" s="4504">
        <f t="shared" si="116"/>
        <v>-0.60204929575865063</v>
      </c>
      <c r="AW109" s="4504">
        <f t="shared" si="117"/>
        <v>-9.0962592494497247</v>
      </c>
      <c r="AX109" s="4504">
        <f t="shared" si="118"/>
        <v>0</v>
      </c>
      <c r="AY109" s="4504">
        <f t="shared" si="119"/>
        <v>0</v>
      </c>
      <c r="AZ109" s="4504">
        <f t="shared" si="120"/>
        <v>0</v>
      </c>
      <c r="BA109" s="4504">
        <f t="shared" si="121"/>
        <v>0</v>
      </c>
      <c r="BB109" s="4504">
        <f t="shared" si="122"/>
        <v>0</v>
      </c>
      <c r="BC109" s="4504">
        <f t="shared" si="123"/>
        <v>0</v>
      </c>
      <c r="BD109" s="4504">
        <f t="shared" si="124"/>
        <v>0</v>
      </c>
      <c r="BE109" s="4504">
        <f t="shared" si="125"/>
        <v>0</v>
      </c>
      <c r="BF109" s="4504">
        <f t="shared" si="126"/>
        <v>0</v>
      </c>
      <c r="BG109" s="4504">
        <f t="shared" si="127"/>
        <v>0</v>
      </c>
      <c r="BH109" s="4504">
        <f t="shared" si="128"/>
        <v>0</v>
      </c>
      <c r="BI109" s="4504">
        <f t="shared" si="129"/>
        <v>0</v>
      </c>
      <c r="BJ109" s="4504">
        <f t="shared" si="130"/>
        <v>0</v>
      </c>
      <c r="BK109" s="4504">
        <f t="shared" si="131"/>
        <v>0</v>
      </c>
      <c r="BL109" s="4504">
        <f t="shared" si="132"/>
        <v>0</v>
      </c>
      <c r="BM109" s="4504">
        <f t="shared" si="133"/>
        <v>0</v>
      </c>
      <c r="BN109" s="4504">
        <f t="shared" si="134"/>
        <v>0</v>
      </c>
      <c r="BO109" s="4504">
        <f t="shared" si="135"/>
        <v>0</v>
      </c>
      <c r="BP109" s="4504">
        <f t="shared" si="136"/>
        <v>0</v>
      </c>
      <c r="BQ109" s="4504">
        <f t="shared" si="137"/>
        <v>0</v>
      </c>
      <c r="BR109" s="4504">
        <f t="shared" si="138"/>
        <v>0</v>
      </c>
      <c r="BS109" s="4504">
        <f t="shared" si="139"/>
        <v>0.4218274622464846</v>
      </c>
      <c r="BT109" s="4504">
        <f t="shared" si="140"/>
        <v>0.38039270243997486</v>
      </c>
      <c r="BU109" s="4504">
        <f t="shared" si="141"/>
        <v>0.33895794263346507</v>
      </c>
      <c r="BV109" s="4504">
        <f t="shared" si="142"/>
        <v>0.29752318282695533</v>
      </c>
      <c r="BW109" s="4504">
        <f t="shared" si="143"/>
        <v>0.2560884230204456</v>
      </c>
      <c r="BX109" s="4504">
        <f t="shared" si="144"/>
        <v>0.21465366321393584</v>
      </c>
      <c r="BY109" s="4504">
        <f t="shared" si="145"/>
        <v>0.17321890340742607</v>
      </c>
    </row>
    <row r="110" spans="1:77" ht="23.4" thickBot="1">
      <c r="A110" s="2606" t="s">
        <v>416</v>
      </c>
      <c r="B110" s="2606"/>
      <c r="C110" s="2606"/>
      <c r="D110" s="2607" t="s">
        <v>644</v>
      </c>
      <c r="E110" s="2667"/>
      <c r="F110" s="2668"/>
      <c r="G110" s="2533"/>
      <c r="H110" s="2533"/>
      <c r="I110" s="2533"/>
      <c r="J110" s="2533"/>
      <c r="K110" s="2669"/>
      <c r="L110" s="2667"/>
      <c r="M110" s="2668"/>
      <c r="N110" s="2533"/>
      <c r="O110" s="2533"/>
      <c r="P110" s="2533"/>
      <c r="Q110" s="2533"/>
      <c r="R110" s="2669"/>
      <c r="S110" s="2667"/>
      <c r="T110" s="2668"/>
      <c r="U110" s="2533"/>
      <c r="V110" s="2533"/>
      <c r="W110" s="2533"/>
      <c r="X110" s="2533"/>
      <c r="Y110" s="2669"/>
      <c r="Z110" s="2667"/>
      <c r="AA110" s="2668"/>
      <c r="AB110" s="2533"/>
      <c r="AC110" s="2533"/>
      <c r="AD110" s="2533"/>
      <c r="AE110" s="2533"/>
      <c r="AF110" s="2669"/>
      <c r="AG110" s="2667"/>
      <c r="AH110" s="2668"/>
      <c r="AI110" s="2533"/>
      <c r="AJ110" s="2533"/>
      <c r="AK110" s="2533"/>
      <c r="AL110" s="2533"/>
      <c r="AM110" s="2669"/>
      <c r="AN110" s="2608"/>
      <c r="AO110" s="2587"/>
      <c r="AP110" s="4488"/>
    </row>
    <row r="111" spans="1:77" s="1323" customFormat="1" ht="11.25" customHeight="1" thickBot="1">
      <c r="A111" s="2539" t="s">
        <v>205</v>
      </c>
      <c r="B111" s="2540"/>
      <c r="C111" s="2540"/>
      <c r="D111" s="2540" t="s">
        <v>334</v>
      </c>
      <c r="E111" s="1246">
        <f t="shared" ref="E111" si="172">SUM(E112:E130)</f>
        <v>4618.1424575682258</v>
      </c>
      <c r="F111" s="2670">
        <f t="shared" ref="F111:AM111" si="173">SUM(F112:F130)</f>
        <v>5437.7257909015589</v>
      </c>
      <c r="G111" s="1147">
        <f t="shared" si="173"/>
        <v>6092.0591242348919</v>
      </c>
      <c r="H111" s="1147">
        <f t="shared" si="173"/>
        <v>6751.3924575682258</v>
      </c>
      <c r="I111" s="1148">
        <f t="shared" si="173"/>
        <v>7441.7257909015598</v>
      </c>
      <c r="J111" s="1147">
        <f t="shared" si="173"/>
        <v>8143.0591242348928</v>
      </c>
      <c r="K111" s="1147">
        <f t="shared" si="173"/>
        <v>8832.3924575682267</v>
      </c>
      <c r="L111" s="1246">
        <f t="shared" si="173"/>
        <v>79.538929999999993</v>
      </c>
      <c r="M111" s="2670">
        <f t="shared" si="173"/>
        <v>108.87226333333332</v>
      </c>
      <c r="N111" s="1147">
        <f t="shared" si="173"/>
        <v>157.20559666666665</v>
      </c>
      <c r="O111" s="1147">
        <f t="shared" si="173"/>
        <v>205.53892999999999</v>
      </c>
      <c r="P111" s="1148">
        <f t="shared" si="173"/>
        <v>253.87226333333331</v>
      </c>
      <c r="Q111" s="1147">
        <f t="shared" si="173"/>
        <v>302.20559666666662</v>
      </c>
      <c r="R111" s="1147">
        <f t="shared" si="173"/>
        <v>350.53892999999994</v>
      </c>
      <c r="S111" s="1246">
        <f t="shared" si="173"/>
        <v>433.53920000000005</v>
      </c>
      <c r="T111" s="2670">
        <f t="shared" si="173"/>
        <v>454.87253333333337</v>
      </c>
      <c r="U111" s="1147">
        <f t="shared" si="173"/>
        <v>528.20586666666668</v>
      </c>
      <c r="V111" s="1147">
        <f t="shared" si="173"/>
        <v>601.53919999999994</v>
      </c>
      <c r="W111" s="1148">
        <f t="shared" si="173"/>
        <v>674.87253333333342</v>
      </c>
      <c r="X111" s="1147">
        <f t="shared" si="173"/>
        <v>748.20586666666668</v>
      </c>
      <c r="Y111" s="2671">
        <f t="shared" si="173"/>
        <v>821.53920000000016</v>
      </c>
      <c r="Z111" s="1246">
        <f t="shared" si="173"/>
        <v>0</v>
      </c>
      <c r="AA111" s="2670">
        <f t="shared" si="173"/>
        <v>0</v>
      </c>
      <c r="AB111" s="1147">
        <f t="shared" si="173"/>
        <v>0</v>
      </c>
      <c r="AC111" s="1147">
        <f t="shared" si="173"/>
        <v>0</v>
      </c>
      <c r="AD111" s="1148">
        <f t="shared" si="173"/>
        <v>0</v>
      </c>
      <c r="AE111" s="1147">
        <f t="shared" si="173"/>
        <v>0</v>
      </c>
      <c r="AF111" s="2671">
        <f t="shared" si="173"/>
        <v>0</v>
      </c>
      <c r="AG111" s="1246">
        <f t="shared" si="173"/>
        <v>267.35267243177321</v>
      </c>
      <c r="AH111" s="2670">
        <f t="shared" si="173"/>
        <v>287.35267243177316</v>
      </c>
      <c r="AI111" s="1147">
        <f t="shared" si="173"/>
        <v>577.35267243177327</v>
      </c>
      <c r="AJ111" s="1147">
        <f t="shared" si="173"/>
        <v>712.35267243177327</v>
      </c>
      <c r="AK111" s="1148">
        <f t="shared" si="173"/>
        <v>842.35267243177327</v>
      </c>
      <c r="AL111" s="1147">
        <f t="shared" si="173"/>
        <v>997.35267243177327</v>
      </c>
      <c r="AM111" s="2671">
        <f t="shared" si="173"/>
        <v>1152.3526724317733</v>
      </c>
      <c r="AN111" s="2546"/>
      <c r="AO111" s="2589"/>
      <c r="AP111" s="4488"/>
      <c r="AQ111" s="4504">
        <f t="shared" ref="AQ111:AQ174" si="174">IFERROR(E111/$D$1,0)</f>
        <v>2361.2187447621859</v>
      </c>
      <c r="AR111" s="4504">
        <f t="shared" ref="AR111:AR174" si="175">IFERROR(F111/$D$1,0)</f>
        <v>2780.2650490592532</v>
      </c>
      <c r="AS111" s="4504">
        <f t="shared" ref="AS111:AS174" si="176">IFERROR(G111/$D$1,0)</f>
        <v>3114.8203699886453</v>
      </c>
      <c r="AT111" s="4504">
        <f t="shared" ref="AT111:AT174" si="177">IFERROR(H111/$D$1,0)</f>
        <v>3451.9321503240189</v>
      </c>
      <c r="AU111" s="4504">
        <f t="shared" ref="AU111:AU174" si="178">IFERROR(I111/$D$1,0)</f>
        <v>3804.8939789764754</v>
      </c>
      <c r="AV111" s="4504">
        <f t="shared" ref="AV111:AV174" si="179">IFERROR(J111/$D$1,0)</f>
        <v>4163.4800183220896</v>
      </c>
      <c r="AW111" s="4504">
        <f t="shared" ref="AW111:AW174" si="180">IFERROR(K111/$D$1,0)</f>
        <v>4515.9305550933504</v>
      </c>
      <c r="AX111" s="4504">
        <f t="shared" ref="AX111:AX174" si="181">IFERROR(L111/$D$1,0)</f>
        <v>40.667609148034337</v>
      </c>
      <c r="AY111" s="4504">
        <f t="shared" ref="AY111:AY174" si="182">IFERROR(M111/$D$1,0)</f>
        <v>55.665504329790075</v>
      </c>
      <c r="AZ111" s="4504">
        <f t="shared" ref="AZ111:AZ174" si="183">IFERROR(N111/$D$1,0)</f>
        <v>80.377945254273968</v>
      </c>
      <c r="BA111" s="4504">
        <f t="shared" ref="BA111:BA174" si="184">IFERROR(O111/$D$1,0)</f>
        <v>105.09038617875787</v>
      </c>
      <c r="BB111" s="4504">
        <f t="shared" ref="BB111:BB174" si="185">IFERROR(P111/$D$1,0)</f>
        <v>129.80282710324175</v>
      </c>
      <c r="BC111" s="4504">
        <f t="shared" ref="BC111:BC174" si="186">IFERROR(Q111/$D$1,0)</f>
        <v>154.51526802772563</v>
      </c>
      <c r="BD111" s="4504">
        <f t="shared" ref="BD111:BD174" si="187">IFERROR(R111/$D$1,0)</f>
        <v>179.22770895220953</v>
      </c>
      <c r="BE111" s="4504">
        <f t="shared" ref="BE111:BE174" si="188">IFERROR(S111/$D$1,0)</f>
        <v>221.66507314030363</v>
      </c>
      <c r="BF111" s="4504">
        <f t="shared" ref="BF111:BF174" si="189">IFERROR(T111/$D$1,0)</f>
        <v>232.57263327248961</v>
      </c>
      <c r="BG111" s="4504">
        <f t="shared" ref="BG111:BG174" si="190">IFERROR(U111/$D$1,0)</f>
        <v>270.06737122687895</v>
      </c>
      <c r="BH111" s="4504">
        <f t="shared" ref="BH111:BH174" si="191">IFERROR(V111/$D$1,0)</f>
        <v>307.56210918126828</v>
      </c>
      <c r="BI111" s="4504">
        <f t="shared" ref="BI111:BI174" si="192">IFERROR(W111/$D$1,0)</f>
        <v>345.05684713565773</v>
      </c>
      <c r="BJ111" s="4504">
        <f t="shared" ref="BJ111:BJ174" si="193">IFERROR(X111/$D$1,0)</f>
        <v>382.55158509004701</v>
      </c>
      <c r="BK111" s="4504">
        <f t="shared" ref="BK111:BK174" si="194">IFERROR(Y111/$D$1,0)</f>
        <v>420.04632304443646</v>
      </c>
      <c r="BL111" s="4504">
        <f t="shared" ref="BL111:BL174" si="195">IFERROR(Z111/$D$1,0)</f>
        <v>0</v>
      </c>
      <c r="BM111" s="4504">
        <f t="shared" ref="BM111:BM174" si="196">IFERROR(AA111/$D$1,0)</f>
        <v>0</v>
      </c>
      <c r="BN111" s="4504">
        <f t="shared" ref="BN111:BN174" si="197">IFERROR(AB111/$D$1,0)</f>
        <v>0</v>
      </c>
      <c r="BO111" s="4504">
        <f t="shared" ref="BO111:BO174" si="198">IFERROR(AC111/$D$1,0)</f>
        <v>0</v>
      </c>
      <c r="BP111" s="4504">
        <f t="shared" ref="BP111:BP174" si="199">IFERROR(AD111/$D$1,0)</f>
        <v>0</v>
      </c>
      <c r="BQ111" s="4504">
        <f t="shared" ref="BQ111:BQ174" si="200">IFERROR(AE111/$D$1,0)</f>
        <v>0</v>
      </c>
      <c r="BR111" s="4504">
        <f t="shared" ref="BR111:BR174" si="201">IFERROR(AF111/$D$1,0)</f>
        <v>0</v>
      </c>
      <c r="BS111" s="4504">
        <f t="shared" ref="BS111:BS174" si="202">IFERROR(AG111/$D$1,0)</f>
        <v>136.6952508304777</v>
      </c>
      <c r="BT111" s="4504">
        <f t="shared" ref="BT111:BT174" si="203">IFERROR(AH111/$D$1,0)</f>
        <v>146.92108845440205</v>
      </c>
      <c r="BU111" s="4504">
        <f t="shared" ref="BU111:BU174" si="204">IFERROR(AI111/$D$1,0)</f>
        <v>295.19573400130548</v>
      </c>
      <c r="BV111" s="4504">
        <f t="shared" ref="BV111:BV174" si="205">IFERROR(AJ111/$D$1,0)</f>
        <v>364.22013796279498</v>
      </c>
      <c r="BW111" s="4504">
        <f t="shared" ref="BW111:BW174" si="206">IFERROR(AK111/$D$1,0)</f>
        <v>430.68808251830336</v>
      </c>
      <c r="BX111" s="4504">
        <f t="shared" ref="BX111:BX174" si="207">IFERROR(AL111/$D$1,0)</f>
        <v>509.93832410371726</v>
      </c>
      <c r="BY111" s="4504">
        <f t="shared" ref="BY111:BY174" si="208">IFERROR(AM111/$D$1,0)</f>
        <v>589.18856568913111</v>
      </c>
    </row>
    <row r="112" spans="1:77" s="1323" customFormat="1">
      <c r="A112" s="2553">
        <v>1</v>
      </c>
      <c r="B112" s="2547">
        <v>20102</v>
      </c>
      <c r="C112" s="2571">
        <v>0</v>
      </c>
      <c r="D112" s="2601" t="s">
        <v>558</v>
      </c>
      <c r="E112" s="4453">
        <f>+'11.3. ДА Базова година'!H92</f>
        <v>0</v>
      </c>
      <c r="F112" s="2652">
        <f>E112+SUMIF('11.1.Амортиз.нови активи'!$B$12:$B$59,$B112,'11.1.Амортиз.нови активи'!F$12:F$59)+('9.Инвестиционна програма'!H$130*SUMIF('11.1.Амортиз.нови активи'!$B$12:$B$59,$B112,'11.1.Амортиз.нови активи'!AO$12:AO$59))</f>
        <v>0</v>
      </c>
      <c r="G112" s="1140">
        <f>F112+SUMIF('11.1.Амортиз.нови активи'!$B$12:$B$59,$B112,'11.1.Амортиз.нови активи'!G$12:G$59)+('9.Инвестиционна програма'!I$130*SUMIF('11.1.Амортиз.нови активи'!$B$12:$B$59,$B112,'11.1.Амортиз.нови активи'!AP$12:AP$59))</f>
        <v>0</v>
      </c>
      <c r="H112" s="1145">
        <f>G112+SUMIF('11.1.Амортиз.нови активи'!$B$12:$B$59,$B112,'11.1.Амортиз.нови активи'!H$12:H$59)+('9.Инвестиционна програма'!J$130*SUMIF('11.1.Амортиз.нови активи'!$B$12:$B$59,$B112,'11.1.Амортиз.нови активи'!AQ$12:AQ$59))</f>
        <v>0</v>
      </c>
      <c r="I112" s="1145">
        <f>H112+SUMIF('11.1.Амортиз.нови активи'!$B$12:$B$59,$B112,'11.1.Амортиз.нови активи'!I$12:I$59)+('9.Инвестиционна програма'!K$130*SUMIF('11.1.Амортиз.нови активи'!$B$12:$B$59,$B112,'11.1.Амортиз.нови активи'!AR$12:AR$59))</f>
        <v>0</v>
      </c>
      <c r="J112" s="1145">
        <f>I112+SUMIF('11.1.Амортиз.нови активи'!$B$12:$B$59,$B112,'11.1.Амортиз.нови активи'!J$12:J$59)+('9.Инвестиционна програма'!L$130*SUMIF('11.1.Амортиз.нови активи'!$B$12:$B$59,$B112,'11.1.Амортиз.нови активи'!AS$12:AS$59))</f>
        <v>0</v>
      </c>
      <c r="K112" s="2653">
        <f>J112+SUMIF('11.1.Амортиз.нови активи'!$B$12:$B$59,$B112,'11.1.Амортиз.нови активи'!K$12:K$59)+('9.Инвестиционна програма'!M$130*SUMIF('11.1.Амортиз.нови активи'!$B$12:$B$59,$B112,'11.1.Амортиз.нови активи'!AT$12:AT$59))</f>
        <v>0</v>
      </c>
      <c r="L112" s="4453">
        <f>+'11.3. ДА Базова година'!L92</f>
        <v>0</v>
      </c>
      <c r="M112" s="2652">
        <f>L112+SUMIF('11.1.Амортиз.нови активи'!$B$12:$B$59,$B112,'11.1.Амортиз.нови активи'!M$12:M$59)+('9.Инвестиционна програма'!H$131*SUMIF('11.1.Амортиз.нови активи'!$B$12:$B$59,$B112,'11.1.Амортиз.нови активи'!AO$12:AO$59))</f>
        <v>0</v>
      </c>
      <c r="N112" s="1145">
        <f>M112+SUMIF('11.1.Амортиз.нови активи'!$B$12:$B$59,$B112,'11.1.Амортиз.нови активи'!N$12:N$59)+('9.Инвестиционна програма'!I$131*SUMIF('11.1.Амортиз.нови активи'!$B$12:$B$59,$B112,'11.1.Амортиз.нови активи'!AP$12:AP$59))</f>
        <v>0</v>
      </c>
      <c r="O112" s="1145">
        <f>N112+SUMIF('11.1.Амортиз.нови активи'!$B$12:$B$59,$B112,'11.1.Амортиз.нови активи'!O$12:O$59)+('9.Инвестиционна програма'!J$131*SUMIF('11.1.Амортиз.нови активи'!$B$12:$B$59,$B112,'11.1.Амортиз.нови активи'!AQ$12:AQ$59))</f>
        <v>0</v>
      </c>
      <c r="P112" s="1145">
        <f>O112+SUMIF('11.1.Амортиз.нови активи'!$B$12:$B$59,$B112,'11.1.Амортиз.нови активи'!P$12:P$59)+('9.Инвестиционна програма'!K$131*SUMIF('11.1.Амортиз.нови активи'!$B$12:$B$59,$B112,'11.1.Амортиз.нови активи'!AR$12:AR$59))</f>
        <v>0</v>
      </c>
      <c r="Q112" s="1145">
        <f>P112+SUMIF('11.1.Амортиз.нови активи'!$B$12:$B$59,$B112,'11.1.Амортиз.нови активи'!Q$12:Q$59)+('9.Инвестиционна програма'!L$131*SUMIF('11.1.Амортиз.нови активи'!$B$12:$B$59,$B112,'11.1.Амортиз.нови активи'!AS$12:AS$59))</f>
        <v>0</v>
      </c>
      <c r="R112" s="2653">
        <f>Q112+SUMIF('11.1.Амортиз.нови активи'!$B$12:$B$59,$B112,'11.1.Амортиз.нови активи'!R$12:R$59)+('9.Инвестиционна програма'!M$131*SUMIF('11.1.Амортиз.нови активи'!$B$12:$B$59,$B112,'11.1.Амортиз.нови активи'!AT$12:AT$59))</f>
        <v>0</v>
      </c>
      <c r="S112" s="4453">
        <f>+'11.3. ДА Базова година'!P92</f>
        <v>0</v>
      </c>
      <c r="T112" s="2652">
        <f>S112+SUMIF('11.1.Амортиз.нови активи'!$B$12:$B$59,$B112,'11.1.Амортиз.нови активи'!T$12:T$59)+('9.Инвестиционна програма'!H$132*SUMIF('11.1.Амортиз.нови активи'!$B$12:$B$59,$B112,'11.1.Амортиз.нови активи'!AO$12:AO$59))</f>
        <v>0</v>
      </c>
      <c r="U112" s="1145">
        <f>T112+SUMIF('11.1.Амортиз.нови активи'!$B$12:$B$59,$B112,'11.1.Амортиз.нови активи'!U$12:U$59)+('9.Инвестиционна програма'!I$132*SUMIF('11.1.Амортиз.нови активи'!$B$12:$B$59,$B112,'11.1.Амортиз.нови активи'!AP$12:AP$59))</f>
        <v>0</v>
      </c>
      <c r="V112" s="1145">
        <f>U112+SUMIF('11.1.Амортиз.нови активи'!$B$12:$B$59,$B112,'11.1.Амортиз.нови активи'!V$12:V$59)+('9.Инвестиционна програма'!J$132*SUMIF('11.1.Амортиз.нови активи'!$B$12:$B$59,$B112,'11.1.Амортиз.нови активи'!AQ$12:AQ$59))</f>
        <v>0</v>
      </c>
      <c r="W112" s="1145">
        <f>V112+SUMIF('11.1.Амортиз.нови активи'!$B$12:$B$59,$B112,'11.1.Амортиз.нови активи'!W$12:W$59)+('9.Инвестиционна програма'!K$132*SUMIF('11.1.Амортиз.нови активи'!$B$12:$B$59,$B112,'11.1.Амортиз.нови активи'!AR$12:AR$59))</f>
        <v>0</v>
      </c>
      <c r="X112" s="1145">
        <f>W112+SUMIF('11.1.Амортиз.нови активи'!$B$12:$B$59,$B112,'11.1.Амортиз.нови активи'!X$12:X$59)+('9.Инвестиционна програма'!L$132*SUMIF('11.1.Амортиз.нови активи'!$B$12:$B$59,$B112,'11.1.Амортиз.нови активи'!AS$12:AS$59))</f>
        <v>0</v>
      </c>
      <c r="Y112" s="2653">
        <f>X112+SUMIF('11.1.Амортиз.нови активи'!$B$12:$B$59,$B112,'11.1.Амортиз.нови активи'!Y$12:Y$59)+('9.Инвестиционна програма'!M$132*SUMIF('11.1.Амортиз.нови активи'!$B$12:$B$59,$B112,'11.1.Амортиз.нови активи'!AT$12:AT$59))</f>
        <v>0</v>
      </c>
      <c r="Z112" s="4453">
        <f>+'11.3. ДА Базова година'!T92</f>
        <v>0</v>
      </c>
      <c r="AA112" s="2652">
        <f>Z112+SUMIF('11.1.Амортиз.нови активи'!$B$12:$B$59,$B112,'11.1.Амортиз.нови активи'!AA$12:AA$59)</f>
        <v>0</v>
      </c>
      <c r="AB112" s="1145">
        <f>AA112+SUMIF('11.1.Амортиз.нови активи'!$B$12:$B$59,$B112,'11.1.Амортиз.нови активи'!AB$12:AB$59)</f>
        <v>0</v>
      </c>
      <c r="AC112" s="1145">
        <f>AB112+SUMIF('11.1.Амортиз.нови активи'!$B$12:$B$59,$B112,'11.1.Амортиз.нови активи'!AC$12:AC$59)</f>
        <v>0</v>
      </c>
      <c r="AD112" s="1145">
        <f>AC112+SUMIF('11.1.Амортиз.нови активи'!$B$12:$B$59,$B112,'11.1.Амортиз.нови активи'!AD$12:AD$59)</f>
        <v>0</v>
      </c>
      <c r="AE112" s="1145">
        <f>AD112+SUMIF('11.1.Амортиз.нови активи'!$B$12:$B$59,$B112,'11.1.Амортиз.нови активи'!AE$12:AE$59)</f>
        <v>0</v>
      </c>
      <c r="AF112" s="2653">
        <f>AE112+SUMIF('11.1.Амортиз.нови активи'!$B$12:$B$59,$B112,'11.1.Амортиз.нови активи'!AF$12:AF$59)</f>
        <v>0</v>
      </c>
      <c r="AG112" s="4453">
        <f>+'11.3. ДА Базова година'!X92</f>
        <v>0</v>
      </c>
      <c r="AH112" s="2652">
        <f>AG112+SUMIF('11.1.Амортиз.нови активи'!$B$12:$B$59,$B112,'11.1.Амортиз.нови активи'!AH$12:AH$59)</f>
        <v>0</v>
      </c>
      <c r="AI112" s="1145">
        <f>AH112+SUMIF('11.1.Амортиз.нови активи'!$B$12:$B$59,$B112,'11.1.Амортиз.нови активи'!AI$12:AI$59)</f>
        <v>0</v>
      </c>
      <c r="AJ112" s="1145">
        <f>AI112+SUMIF('11.1.Амортиз.нови активи'!$B$12:$B$59,$B112,'11.1.Амортиз.нови активи'!AJ$12:AJ$59)</f>
        <v>0</v>
      </c>
      <c r="AK112" s="1145">
        <f>AJ112+SUMIF('11.1.Амортиз.нови активи'!$B$12:$B$59,$B112,'11.1.Амортиз.нови активи'!AK$12:AK$59)</f>
        <v>0</v>
      </c>
      <c r="AL112" s="1145">
        <f>AK112+SUMIF('11.1.Амортиз.нови активи'!$B$12:$B$59,$B112,'11.1.Амортиз.нови активи'!AL$12:AL$59)</f>
        <v>0</v>
      </c>
      <c r="AM112" s="2653">
        <f>AL112+SUMIF('11.1.Амортиз.нови активи'!$B$12:$B$59,$B112,'11.1.Амортиз.нови активи'!AM$12:AM$59)</f>
        <v>0</v>
      </c>
      <c r="AN112" s="2551"/>
      <c r="AO112" s="2589"/>
      <c r="AP112" s="4488"/>
      <c r="AQ112" s="4504">
        <f t="shared" si="174"/>
        <v>0</v>
      </c>
      <c r="AR112" s="4504">
        <f t="shared" si="175"/>
        <v>0</v>
      </c>
      <c r="AS112" s="4504">
        <f t="shared" si="176"/>
        <v>0</v>
      </c>
      <c r="AT112" s="4504">
        <f t="shared" si="177"/>
        <v>0</v>
      </c>
      <c r="AU112" s="4504">
        <f t="shared" si="178"/>
        <v>0</v>
      </c>
      <c r="AV112" s="4504">
        <f t="shared" si="179"/>
        <v>0</v>
      </c>
      <c r="AW112" s="4504">
        <f t="shared" si="180"/>
        <v>0</v>
      </c>
      <c r="AX112" s="4504">
        <f t="shared" si="181"/>
        <v>0</v>
      </c>
      <c r="AY112" s="4504">
        <f t="shared" si="182"/>
        <v>0</v>
      </c>
      <c r="AZ112" s="4504">
        <f t="shared" si="183"/>
        <v>0</v>
      </c>
      <c r="BA112" s="4504">
        <f t="shared" si="184"/>
        <v>0</v>
      </c>
      <c r="BB112" s="4504">
        <f t="shared" si="185"/>
        <v>0</v>
      </c>
      <c r="BC112" s="4504">
        <f t="shared" si="186"/>
        <v>0</v>
      </c>
      <c r="BD112" s="4504">
        <f t="shared" si="187"/>
        <v>0</v>
      </c>
      <c r="BE112" s="4504">
        <f t="shared" si="188"/>
        <v>0</v>
      </c>
      <c r="BF112" s="4504">
        <f t="shared" si="189"/>
        <v>0</v>
      </c>
      <c r="BG112" s="4504">
        <f t="shared" si="190"/>
        <v>0</v>
      </c>
      <c r="BH112" s="4504">
        <f t="shared" si="191"/>
        <v>0</v>
      </c>
      <c r="BI112" s="4504">
        <f t="shared" si="192"/>
        <v>0</v>
      </c>
      <c r="BJ112" s="4504">
        <f t="shared" si="193"/>
        <v>0</v>
      </c>
      <c r="BK112" s="4504">
        <f t="shared" si="194"/>
        <v>0</v>
      </c>
      <c r="BL112" s="4504">
        <f t="shared" si="195"/>
        <v>0</v>
      </c>
      <c r="BM112" s="4504">
        <f t="shared" si="196"/>
        <v>0</v>
      </c>
      <c r="BN112" s="4504">
        <f t="shared" si="197"/>
        <v>0</v>
      </c>
      <c r="BO112" s="4504">
        <f t="shared" si="198"/>
        <v>0</v>
      </c>
      <c r="BP112" s="4504">
        <f t="shared" si="199"/>
        <v>0</v>
      </c>
      <c r="BQ112" s="4504">
        <f t="shared" si="200"/>
        <v>0</v>
      </c>
      <c r="BR112" s="4504">
        <f t="shared" si="201"/>
        <v>0</v>
      </c>
      <c r="BS112" s="4504">
        <f t="shared" si="202"/>
        <v>0</v>
      </c>
      <c r="BT112" s="4504">
        <f t="shared" si="203"/>
        <v>0</v>
      </c>
      <c r="BU112" s="4504">
        <f t="shared" si="204"/>
        <v>0</v>
      </c>
      <c r="BV112" s="4504">
        <f t="shared" si="205"/>
        <v>0</v>
      </c>
      <c r="BW112" s="4504">
        <f t="shared" si="206"/>
        <v>0</v>
      </c>
      <c r="BX112" s="4504">
        <f t="shared" si="207"/>
        <v>0</v>
      </c>
      <c r="BY112" s="4504">
        <f t="shared" si="208"/>
        <v>0</v>
      </c>
    </row>
    <row r="113" spans="1:77" s="1323" customFormat="1">
      <c r="A113" s="2553">
        <v>2</v>
      </c>
      <c r="B113" s="2554">
        <v>20202</v>
      </c>
      <c r="C113" s="2555">
        <v>0.03</v>
      </c>
      <c r="D113" s="2609" t="s">
        <v>426</v>
      </c>
      <c r="E113" s="4453">
        <f>+'11.3. ДА Базова година'!H93</f>
        <v>69.957164438803218</v>
      </c>
      <c r="F113" s="2655">
        <f>E113+SUMIF('11.1.Амортиз.нови активи'!$B$12:$B$59,$B113,'11.1.Амортиз.нови активи'!F$12:F$59)+('9.Инвестиционна програма'!H$130*SUMIF('11.1.Амортиз.нови активи'!$B$12:$B$59,$B113,'11.1.Амортиз.нови активи'!AO$12:AO$59))</f>
        <v>89.957164438803218</v>
      </c>
      <c r="G113" s="1136">
        <f>F113+SUMIF('11.1.Амортиз.нови активи'!$B$12:$B$59,$B113,'11.1.Амортиз.нови активи'!G$12:G$59)+('9.Инвестиционна програма'!I$130*SUMIF('11.1.Амортиз.нови активи'!$B$12:$B$59,$B113,'11.1.Амортиз.нови активи'!AP$12:AP$59))</f>
        <v>97.957164438803218</v>
      </c>
      <c r="H113" s="1136">
        <f>G113+SUMIF('11.1.Амортиз.нови активи'!$B$12:$B$59,$B113,'11.1.Амортиз.нови активи'!H$12:H$59)+('9.Инвестиционна програма'!J$130*SUMIF('11.1.Амортиз.нови активи'!$B$12:$B$59,$B113,'11.1.Амортиз.нови активи'!AQ$12:AQ$59))</f>
        <v>105.95716443880322</v>
      </c>
      <c r="I113" s="1136">
        <f>H113+SUMIF('11.1.Амортиз.нови активи'!$B$12:$B$59,$B113,'11.1.Амортиз.нови активи'!I$12:I$59)+('9.Инвестиционна програма'!K$130*SUMIF('11.1.Амортиз.нови активи'!$B$12:$B$59,$B113,'11.1.Амортиз.нови активи'!AR$12:AR$59))</f>
        <v>113.95716443880322</v>
      </c>
      <c r="J113" s="1136">
        <f>I113+SUMIF('11.1.Амортиз.нови активи'!$B$12:$B$59,$B113,'11.1.Амортиз.нови активи'!J$12:J$59)+('9.Инвестиционна програма'!L$130*SUMIF('11.1.Амортиз.нови активи'!$B$12:$B$59,$B113,'11.1.Амортиз.нови активи'!AS$12:AS$59))</f>
        <v>121.95716443880322</v>
      </c>
      <c r="K113" s="2656">
        <f>J113+SUMIF('11.1.Амортиз.нови активи'!$B$12:$B$59,$B113,'11.1.Амортиз.нови активи'!K$12:K$59)+('9.Инвестиционна програма'!M$130*SUMIF('11.1.Амортиз.нови активи'!$B$12:$B$59,$B113,'11.1.Амортиз.нови активи'!AT$12:AT$59))</f>
        <v>129.9571644388032</v>
      </c>
      <c r="L113" s="4453">
        <f>+'11.3. ДА Базова година'!L93</f>
        <v>0</v>
      </c>
      <c r="M113" s="2655">
        <f>L113+SUMIF('11.1.Амортиз.нови активи'!$B$12:$B$59,$B113,'11.1.Амортиз.нови активи'!M$12:M$59)+('9.Инвестиционна програма'!H$131*SUMIF('11.1.Амортиз.нови активи'!$B$12:$B$59,$B113,'11.1.Амортиз.нови активи'!AO$12:AO$59))</f>
        <v>0</v>
      </c>
      <c r="N113" s="1136">
        <f>M113+SUMIF('11.1.Амортиз.нови активи'!$B$12:$B$59,$B113,'11.1.Амортиз.нови активи'!N$12:N$59)+('9.Инвестиционна програма'!I$131*SUMIF('11.1.Амортиз.нови активи'!$B$12:$B$59,$B113,'11.1.Амортиз.нови активи'!AP$12:AP$59))</f>
        <v>0</v>
      </c>
      <c r="O113" s="1136">
        <f>N113+SUMIF('11.1.Амортиз.нови активи'!$B$12:$B$59,$B113,'11.1.Амортиз.нови активи'!O$12:O$59)+('9.Инвестиционна програма'!J$131*SUMIF('11.1.Амортиз.нови активи'!$B$12:$B$59,$B113,'11.1.Амортиз.нови активи'!AQ$12:AQ$59))</f>
        <v>0</v>
      </c>
      <c r="P113" s="1136">
        <f>O113+SUMIF('11.1.Амортиз.нови активи'!$B$12:$B$59,$B113,'11.1.Амортиз.нови активи'!P$12:P$59)+('9.Инвестиционна програма'!K$131*SUMIF('11.1.Амортиз.нови активи'!$B$12:$B$59,$B113,'11.1.Амортиз.нови активи'!AR$12:AR$59))</f>
        <v>0</v>
      </c>
      <c r="Q113" s="1136">
        <f>P113+SUMIF('11.1.Амортиз.нови активи'!$B$12:$B$59,$B113,'11.1.Амортиз.нови активи'!Q$12:Q$59)+('9.Инвестиционна програма'!L$131*SUMIF('11.1.Амортиз.нови активи'!$B$12:$B$59,$B113,'11.1.Амортиз.нови активи'!AS$12:AS$59))</f>
        <v>0</v>
      </c>
      <c r="R113" s="2656">
        <f>Q113+SUMIF('11.1.Амортиз.нови активи'!$B$12:$B$59,$B113,'11.1.Амортиз.нови активи'!R$12:R$59)+('9.Инвестиционна програма'!M$131*SUMIF('11.1.Амортиз.нови активи'!$B$12:$B$59,$B113,'11.1.Амортиз.нови активи'!AT$12:AT$59))</f>
        <v>0</v>
      </c>
      <c r="S113" s="4453">
        <f>+'11.3. ДА Базова година'!P93</f>
        <v>72.07368000000001</v>
      </c>
      <c r="T113" s="2655">
        <f>S113+SUMIF('11.1.Амортиз.нови активи'!$B$12:$B$59,$B113,'11.1.Амортиз.нови активи'!T$12:T$59)+('9.Инвестиционна програма'!H$132*SUMIF('11.1.Амортиз.нови активи'!$B$12:$B$59,$B113,'11.1.Амортиз.нови активи'!AO$12:AO$59))</f>
        <v>72.07368000000001</v>
      </c>
      <c r="U113" s="1136">
        <f>T113+SUMIF('11.1.Амортиз.нови активи'!$B$12:$B$59,$B113,'11.1.Амортиз.нови активи'!U$12:U$59)+('9.Инвестиционна програма'!I$132*SUMIF('11.1.Амортиз.нови активи'!$B$12:$B$59,$B113,'11.1.Амортиз.нови активи'!AP$12:AP$59))</f>
        <v>72.07368000000001</v>
      </c>
      <c r="V113" s="1136">
        <f>U113+SUMIF('11.1.Амортиз.нови активи'!$B$12:$B$59,$B113,'11.1.Амортиз.нови активи'!V$12:V$59)+('9.Инвестиционна програма'!J$132*SUMIF('11.1.Амортиз.нови активи'!$B$12:$B$59,$B113,'11.1.Амортиз.нови активи'!AQ$12:AQ$59))</f>
        <v>72.07368000000001</v>
      </c>
      <c r="W113" s="1136">
        <f>V113+SUMIF('11.1.Амортиз.нови активи'!$B$12:$B$59,$B113,'11.1.Амортиз.нови активи'!W$12:W$59)+('9.Инвестиционна програма'!K$132*SUMIF('11.1.Амортиз.нови активи'!$B$12:$B$59,$B113,'11.1.Амортиз.нови активи'!AR$12:AR$59))</f>
        <v>72.07368000000001</v>
      </c>
      <c r="X113" s="1136">
        <f>W113+SUMIF('11.1.Амортиз.нови активи'!$B$12:$B$59,$B113,'11.1.Амортиз.нови активи'!X$12:X$59)+('9.Инвестиционна програма'!L$132*SUMIF('11.1.Амортиз.нови активи'!$B$12:$B$59,$B113,'11.1.Амортиз.нови активи'!AS$12:AS$59))</f>
        <v>72.07368000000001</v>
      </c>
      <c r="Y113" s="2656">
        <f>X113+SUMIF('11.1.Амортиз.нови активи'!$B$12:$B$59,$B113,'11.1.Амортиз.нови активи'!Y$12:Y$59)+('9.Инвестиционна програма'!M$132*SUMIF('11.1.Амортиз.нови активи'!$B$12:$B$59,$B113,'11.1.Амортиз.нови активи'!AT$12:AT$59))</f>
        <v>72.07368000000001</v>
      </c>
      <c r="Z113" s="4453">
        <f>+'11.3. ДА Базова година'!T93</f>
        <v>0</v>
      </c>
      <c r="AA113" s="2655">
        <f>Z113+SUMIF('11.1.Амортиз.нови активи'!$B$12:$B$59,$B113,'11.1.Амортиз.нови активи'!AA$12:AA$59)</f>
        <v>0</v>
      </c>
      <c r="AB113" s="1136">
        <f>AA113+SUMIF('11.1.Амортиз.нови активи'!$B$12:$B$59,$B113,'11.1.Амортиз.нови активи'!AB$12:AB$59)</f>
        <v>0</v>
      </c>
      <c r="AC113" s="1136">
        <f>AB113+SUMIF('11.1.Амортиз.нови активи'!$B$12:$B$59,$B113,'11.1.Амортиз.нови активи'!AC$12:AC$59)</f>
        <v>0</v>
      </c>
      <c r="AD113" s="1136">
        <f>AC113+SUMIF('11.1.Амортиз.нови активи'!$B$12:$B$59,$B113,'11.1.Амортиз.нови активи'!AD$12:AD$59)</f>
        <v>0</v>
      </c>
      <c r="AE113" s="1136">
        <f>AD113+SUMIF('11.1.Амортиз.нови активи'!$B$12:$B$59,$B113,'11.1.Амортиз.нови активи'!AE$12:AE$59)</f>
        <v>0</v>
      </c>
      <c r="AF113" s="2656">
        <f>AE113+SUMIF('11.1.Амортиз.нови активи'!$B$12:$B$59,$B113,'11.1.Амортиз.нови активи'!AF$12:AF$59)</f>
        <v>0</v>
      </c>
      <c r="AG113" s="4453">
        <f>+'11.3. ДА Базова година'!X93</f>
        <v>10.269315561196786</v>
      </c>
      <c r="AH113" s="2655">
        <f>AG113+SUMIF('11.1.Амортиз.нови активи'!$B$12:$B$59,$B113,'11.1.Амортиз.нови активи'!AH$12:AH$59)</f>
        <v>10.269315561196786</v>
      </c>
      <c r="AI113" s="1136">
        <f>AH113+SUMIF('11.1.Амортиз.нови активи'!$B$12:$B$59,$B113,'11.1.Амортиз.нови активи'!AI$12:AI$59)</f>
        <v>10.269315561196786</v>
      </c>
      <c r="AJ113" s="1136">
        <f>AI113+SUMIF('11.1.Амортиз.нови активи'!$B$12:$B$59,$B113,'11.1.Амортиз.нови активи'!AJ$12:AJ$59)</f>
        <v>10.269315561196786</v>
      </c>
      <c r="AK113" s="1136">
        <f>AJ113+SUMIF('11.1.Амортиз.нови активи'!$B$12:$B$59,$B113,'11.1.Амортиз.нови активи'!AK$12:AK$59)</f>
        <v>10.269315561196786</v>
      </c>
      <c r="AL113" s="1136">
        <f>AK113+SUMIF('11.1.Амортиз.нови активи'!$B$12:$B$59,$B113,'11.1.Амортиз.нови активи'!AL$12:AL$59)</f>
        <v>10.269315561196786</v>
      </c>
      <c r="AM113" s="2656">
        <f>AL113+SUMIF('11.1.Амортиз.нови активи'!$B$12:$B$59,$B113,'11.1.Амортиз.нови активи'!AM$12:AM$59)</f>
        <v>10.269315561196786</v>
      </c>
      <c r="AN113" s="2551"/>
      <c r="AO113" s="2589"/>
      <c r="AP113" s="4488"/>
      <c r="AQ113" s="4504">
        <f t="shared" si="174"/>
        <v>35.768530209068899</v>
      </c>
      <c r="AR113" s="4504">
        <f t="shared" si="175"/>
        <v>45.994367832993269</v>
      </c>
      <c r="AS113" s="4504">
        <f t="shared" si="176"/>
        <v>50.084702882563015</v>
      </c>
      <c r="AT113" s="4504">
        <f t="shared" si="177"/>
        <v>54.17503793213276</v>
      </c>
      <c r="AU113" s="4504">
        <f t="shared" si="178"/>
        <v>58.265372981702512</v>
      </c>
      <c r="AV113" s="4504">
        <f t="shared" si="179"/>
        <v>62.355708031272258</v>
      </c>
      <c r="AW113" s="4504">
        <f t="shared" si="180"/>
        <v>66.446043080842003</v>
      </c>
      <c r="AX113" s="4504">
        <f t="shared" si="181"/>
        <v>0</v>
      </c>
      <c r="AY113" s="4504">
        <f t="shared" si="182"/>
        <v>0</v>
      </c>
      <c r="AZ113" s="4504">
        <f t="shared" si="183"/>
        <v>0</v>
      </c>
      <c r="BA113" s="4504">
        <f t="shared" si="184"/>
        <v>0</v>
      </c>
      <c r="BB113" s="4504">
        <f t="shared" si="185"/>
        <v>0</v>
      </c>
      <c r="BC113" s="4504">
        <f t="shared" si="186"/>
        <v>0</v>
      </c>
      <c r="BD113" s="4504">
        <f t="shared" si="187"/>
        <v>0</v>
      </c>
      <c r="BE113" s="4504">
        <f t="shared" si="188"/>
        <v>36.850687431934276</v>
      </c>
      <c r="BF113" s="4504">
        <f t="shared" si="189"/>
        <v>36.850687431934276</v>
      </c>
      <c r="BG113" s="4504">
        <f t="shared" si="190"/>
        <v>36.850687431934276</v>
      </c>
      <c r="BH113" s="4504">
        <f t="shared" si="191"/>
        <v>36.850687431934276</v>
      </c>
      <c r="BI113" s="4504">
        <f t="shared" si="192"/>
        <v>36.850687431934276</v>
      </c>
      <c r="BJ113" s="4504">
        <f t="shared" si="193"/>
        <v>36.850687431934276</v>
      </c>
      <c r="BK113" s="4504">
        <f t="shared" si="194"/>
        <v>36.850687431934276</v>
      </c>
      <c r="BL113" s="4504">
        <f t="shared" si="195"/>
        <v>0</v>
      </c>
      <c r="BM113" s="4504">
        <f t="shared" si="196"/>
        <v>0</v>
      </c>
      <c r="BN113" s="4504">
        <f t="shared" si="197"/>
        <v>0</v>
      </c>
      <c r="BO113" s="4504">
        <f t="shared" si="198"/>
        <v>0</v>
      </c>
      <c r="BP113" s="4504">
        <f t="shared" si="199"/>
        <v>0</v>
      </c>
      <c r="BQ113" s="4504">
        <f t="shared" si="200"/>
        <v>0</v>
      </c>
      <c r="BR113" s="4504">
        <f t="shared" si="201"/>
        <v>0</v>
      </c>
      <c r="BS113" s="4504">
        <f t="shared" si="202"/>
        <v>5.2506176718819049</v>
      </c>
      <c r="BT113" s="4504">
        <f t="shared" si="203"/>
        <v>5.2506176718819049</v>
      </c>
      <c r="BU113" s="4504">
        <f t="shared" si="204"/>
        <v>5.2506176718819049</v>
      </c>
      <c r="BV113" s="4504">
        <f t="shared" si="205"/>
        <v>5.2506176718819049</v>
      </c>
      <c r="BW113" s="4504">
        <f t="shared" si="206"/>
        <v>5.2506176718819049</v>
      </c>
      <c r="BX113" s="4504">
        <f t="shared" si="207"/>
        <v>5.2506176718819049</v>
      </c>
      <c r="BY113" s="4504">
        <f t="shared" si="208"/>
        <v>5.2506176718819049</v>
      </c>
    </row>
    <row r="114" spans="1:77" s="1323" customFormat="1">
      <c r="A114" s="2553">
        <v>3</v>
      </c>
      <c r="B114" s="2554">
        <v>2030401</v>
      </c>
      <c r="C114" s="2560">
        <v>0.1</v>
      </c>
      <c r="D114" s="2590" t="s">
        <v>1031</v>
      </c>
      <c r="E114" s="4453">
        <f>+'11.3. ДА Базова година'!H94</f>
        <v>447.17693437149143</v>
      </c>
      <c r="F114" s="2655">
        <f>E114+SUMIF('11.1.Амортиз.нови активи'!$B$12:$B$59,$B114,'11.1.Амортиз.нови активи'!F$12:F$59)+('9.Инвестиционна програма'!H$130*SUMIF('11.1.Амортиз.нови активи'!$B$12:$B$59,$B114,'11.1.Амортиз.нови активи'!AO$12:AO$59))</f>
        <v>647.17693437149137</v>
      </c>
      <c r="G114" s="1136">
        <f>F114+SUMIF('11.1.Амортиз.нови активи'!$B$12:$B$59,$B114,'11.1.Амортиз.нови активи'!G$12:G$59)+('9.Инвестиционна програма'!I$130*SUMIF('11.1.Амортиз.нови активи'!$B$12:$B$59,$B114,'11.1.Амортиз.нови активи'!AP$12:AP$59))</f>
        <v>683.17693437149137</v>
      </c>
      <c r="H114" s="1136">
        <f>G114+SUMIF('11.1.Амортиз.нови активи'!$B$12:$B$59,$B114,'11.1.Амортиз.нови активи'!H$12:H$59)+('9.Инвестиционна програма'!J$130*SUMIF('11.1.Амортиз.нови активи'!$B$12:$B$59,$B114,'11.1.Амортиз.нови активи'!AQ$12:AQ$59))</f>
        <v>719.17693437149137</v>
      </c>
      <c r="I114" s="1136">
        <f>H114+SUMIF('11.1.Амортиз.нови активи'!$B$12:$B$59,$B114,'11.1.Амортиз.нови активи'!I$12:I$59)+('9.Инвестиционна програма'!K$130*SUMIF('11.1.Амортиз.нови активи'!$B$12:$B$59,$B114,'11.1.Амортиз.нови активи'!AR$12:AR$59))</f>
        <v>755.17693437149137</v>
      </c>
      <c r="J114" s="1136">
        <f>I114+SUMIF('11.1.Амортиз.нови активи'!$B$12:$B$59,$B114,'11.1.Амортиз.нови активи'!J$12:J$59)+('9.Инвестиционна програма'!L$130*SUMIF('11.1.Амортиз.нови активи'!$B$12:$B$59,$B114,'11.1.Амортиз.нови активи'!AS$12:AS$59))</f>
        <v>791.17693437149137</v>
      </c>
      <c r="K114" s="2656">
        <f>J114+SUMIF('11.1.Амортиз.нови активи'!$B$12:$B$59,$B114,'11.1.Амортиз.нови активи'!K$12:K$59)+('9.Инвестиционна програма'!M$130*SUMIF('11.1.Амортиз.нови активи'!$B$12:$B$59,$B114,'11.1.Амортиз.нови активи'!AT$12:AT$59))</f>
        <v>827.17693437149137</v>
      </c>
      <c r="L114" s="4453">
        <f>+'11.3. ДА Базова година'!L94</f>
        <v>0</v>
      </c>
      <c r="M114" s="2655">
        <f>L114+SUMIF('11.1.Амортиз.нови активи'!$B$12:$B$59,$B114,'11.1.Амортиз.нови активи'!M$12:M$59)+('9.Инвестиционна програма'!H$131*SUMIF('11.1.Амортиз.нови активи'!$B$12:$B$59,$B114,'11.1.Амортиз.нови активи'!AO$12:AO$59))</f>
        <v>0</v>
      </c>
      <c r="N114" s="1136">
        <f>M114+SUMIF('11.1.Амортиз.нови активи'!$B$12:$B$59,$B114,'11.1.Амортиз.нови активи'!N$12:N$59)+('9.Инвестиционна програма'!I$131*SUMIF('11.1.Амортиз.нови активи'!$B$12:$B$59,$B114,'11.1.Амортиз.нови активи'!AP$12:AP$59))</f>
        <v>0</v>
      </c>
      <c r="O114" s="1136">
        <f>N114+SUMIF('11.1.Амортиз.нови активи'!$B$12:$B$59,$B114,'11.1.Амортиз.нови активи'!O$12:O$59)+('9.Инвестиционна програма'!J$131*SUMIF('11.1.Амортиз.нови активи'!$B$12:$B$59,$B114,'11.1.Амортиз.нови активи'!AQ$12:AQ$59))</f>
        <v>0</v>
      </c>
      <c r="P114" s="1136">
        <f>O114+SUMIF('11.1.Амортиз.нови активи'!$B$12:$B$59,$B114,'11.1.Амортиз.нови активи'!P$12:P$59)+('9.Инвестиционна програма'!K$131*SUMIF('11.1.Амортиз.нови активи'!$B$12:$B$59,$B114,'11.1.Амортиз.нови активи'!AR$12:AR$59))</f>
        <v>0</v>
      </c>
      <c r="Q114" s="1136">
        <f>P114+SUMIF('11.1.Амортиз.нови активи'!$B$12:$B$59,$B114,'11.1.Амортиз.нови активи'!Q$12:Q$59)+('9.Инвестиционна програма'!L$131*SUMIF('11.1.Амортиз.нови активи'!$B$12:$B$59,$B114,'11.1.Амортиз.нови активи'!AS$12:AS$59))</f>
        <v>0</v>
      </c>
      <c r="R114" s="2656">
        <f>Q114+SUMIF('11.1.Амортиз.нови активи'!$B$12:$B$59,$B114,'11.1.Амортиз.нови активи'!R$12:R$59)+('9.Инвестиционна програма'!M$131*SUMIF('11.1.Амортиз.нови активи'!$B$12:$B$59,$B114,'11.1.Амортиз.нови активи'!AT$12:AT$59))</f>
        <v>0</v>
      </c>
      <c r="S114" s="4453">
        <f>+'11.3. ДА Базова година'!P94</f>
        <v>89.263679999999994</v>
      </c>
      <c r="T114" s="2655">
        <f>S114+SUMIF('11.1.Амортиз.нови активи'!$B$12:$B$59,$B114,'11.1.Амортиз.нови активи'!T$12:T$59)+('9.Инвестиционна програма'!H$132*SUMIF('11.1.Амортиз.нови активи'!$B$12:$B$59,$B114,'11.1.Амортиз.нови активи'!AO$12:AO$59))</f>
        <v>89.263679999999994</v>
      </c>
      <c r="U114" s="1136">
        <f>T114+SUMIF('11.1.Амортиз.нови активи'!$B$12:$B$59,$B114,'11.1.Амортиз.нови активи'!U$12:U$59)+('9.Инвестиционна програма'!I$132*SUMIF('11.1.Амортиз.нови активи'!$B$12:$B$59,$B114,'11.1.Амортиз.нови активи'!AP$12:AP$59))</f>
        <v>89.263679999999994</v>
      </c>
      <c r="V114" s="1136">
        <f>U114+SUMIF('11.1.Амортиз.нови активи'!$B$12:$B$59,$B114,'11.1.Амортиз.нови активи'!V$12:V$59)+('9.Инвестиционна програма'!J$132*SUMIF('11.1.Амортиз.нови активи'!$B$12:$B$59,$B114,'11.1.Амортиз.нови активи'!AQ$12:AQ$59))</f>
        <v>89.263679999999994</v>
      </c>
      <c r="W114" s="1136">
        <f>V114+SUMIF('11.1.Амортиз.нови активи'!$B$12:$B$59,$B114,'11.1.Амортиз.нови активи'!W$12:W$59)+('9.Инвестиционна програма'!K$132*SUMIF('11.1.Амортиз.нови активи'!$B$12:$B$59,$B114,'11.1.Амортиз.нови активи'!AR$12:AR$59))</f>
        <v>89.263679999999994</v>
      </c>
      <c r="X114" s="1136">
        <f>W114+SUMIF('11.1.Амортиз.нови активи'!$B$12:$B$59,$B114,'11.1.Амортиз.нови активи'!X$12:X$59)+('9.Инвестиционна програма'!L$132*SUMIF('11.1.Амортиз.нови активи'!$B$12:$B$59,$B114,'11.1.Амортиз.нови активи'!AS$12:AS$59))</f>
        <v>89.263679999999994</v>
      </c>
      <c r="Y114" s="2656">
        <f>X114+SUMIF('11.1.Амортиз.нови активи'!$B$12:$B$59,$B114,'11.1.Амортиз.нови активи'!Y$12:Y$59)+('9.Инвестиционна програма'!M$132*SUMIF('11.1.Амортиз.нови активи'!$B$12:$B$59,$B114,'11.1.Амортиз.нови активи'!AT$12:AT$59))</f>
        <v>89.263679999999994</v>
      </c>
      <c r="Z114" s="4453">
        <f>+'11.3. ДА Базова година'!T94</f>
        <v>0</v>
      </c>
      <c r="AA114" s="2655">
        <f>Z114+SUMIF('11.1.Амортиз.нови активи'!$B$12:$B$59,$B114,'11.1.Амортиз.нови активи'!AA$12:AA$59)</f>
        <v>0</v>
      </c>
      <c r="AB114" s="1136">
        <f>AA114+SUMIF('11.1.Амортиз.нови активи'!$B$12:$B$59,$B114,'11.1.Амортиз.нови активи'!AB$12:AB$59)</f>
        <v>0</v>
      </c>
      <c r="AC114" s="1136">
        <f>AB114+SUMIF('11.1.Амортиз.нови активи'!$B$12:$B$59,$B114,'11.1.Амортиз.нови активи'!AC$12:AC$59)</f>
        <v>0</v>
      </c>
      <c r="AD114" s="1136">
        <f>AC114+SUMIF('11.1.Амортиз.нови активи'!$B$12:$B$59,$B114,'11.1.Амортиз.нови активи'!AD$12:AD$59)</f>
        <v>0</v>
      </c>
      <c r="AE114" s="1136">
        <f>AD114+SUMIF('11.1.Амортиз.нови активи'!$B$12:$B$59,$B114,'11.1.Амортиз.нови активи'!AE$12:AE$59)</f>
        <v>0</v>
      </c>
      <c r="AF114" s="2656">
        <f>AE114+SUMIF('11.1.Амортиз.нови активи'!$B$12:$B$59,$B114,'11.1.Амортиз.нови активи'!AF$12:AF$59)</f>
        <v>0</v>
      </c>
      <c r="AG114" s="4453">
        <f>+'11.3. ДА Базова година'!X94</f>
        <v>111.59485562850864</v>
      </c>
      <c r="AH114" s="2655">
        <f>AG114+SUMIF('11.1.Амортиз.нови активи'!$B$12:$B$59,$B114,'11.1.Амортиз.нови активи'!AH$12:AH$59)</f>
        <v>126.59485562850864</v>
      </c>
      <c r="AI114" s="1136">
        <f>AH114+SUMIF('11.1.Амортиз.нови активи'!$B$12:$B$59,$B114,'11.1.Амортиз.нови активи'!AI$12:AI$59)</f>
        <v>186.59485562850864</v>
      </c>
      <c r="AJ114" s="1136">
        <f>AI114+SUMIF('11.1.Амортиз.нови активи'!$B$12:$B$59,$B114,'11.1.Амортиз.нови активи'!AJ$12:AJ$59)</f>
        <v>216.59485562850864</v>
      </c>
      <c r="AK114" s="1136">
        <f>AJ114+SUMIF('11.1.Амортиз.нови активи'!$B$12:$B$59,$B114,'11.1.Амортиз.нови активи'!AK$12:AK$59)</f>
        <v>246.59485562850864</v>
      </c>
      <c r="AL114" s="1136">
        <f>AK114+SUMIF('11.1.Амортиз.нови активи'!$B$12:$B$59,$B114,'11.1.Амортиз.нови активи'!AL$12:AL$59)</f>
        <v>276.59485562850864</v>
      </c>
      <c r="AM114" s="2656">
        <f>AL114+SUMIF('11.1.Амортиз.нови активи'!$B$12:$B$59,$B114,'11.1.Амортиз.нови активи'!AM$12:AM$59)</f>
        <v>306.59485562850864</v>
      </c>
      <c r="AN114" s="2551"/>
      <c r="AO114" s="2589"/>
      <c r="AP114" s="4488"/>
      <c r="AQ114" s="4504">
        <f t="shared" si="174"/>
        <v>228.63793600235778</v>
      </c>
      <c r="AR114" s="4504">
        <f t="shared" si="175"/>
        <v>330.89631224160144</v>
      </c>
      <c r="AS114" s="4504">
        <f t="shared" si="176"/>
        <v>349.30281996466533</v>
      </c>
      <c r="AT114" s="4504">
        <f t="shared" si="177"/>
        <v>367.70932768772917</v>
      </c>
      <c r="AU114" s="4504">
        <f t="shared" si="178"/>
        <v>386.11583541079307</v>
      </c>
      <c r="AV114" s="4504">
        <f t="shared" si="179"/>
        <v>404.52234313385691</v>
      </c>
      <c r="AW114" s="4504">
        <f t="shared" si="180"/>
        <v>422.9288508569208</v>
      </c>
      <c r="AX114" s="4504">
        <f t="shared" si="181"/>
        <v>0</v>
      </c>
      <c r="AY114" s="4504">
        <f t="shared" si="182"/>
        <v>0</v>
      </c>
      <c r="AZ114" s="4504">
        <f t="shared" si="183"/>
        <v>0</v>
      </c>
      <c r="BA114" s="4504">
        <f t="shared" si="184"/>
        <v>0</v>
      </c>
      <c r="BB114" s="4504">
        <f t="shared" si="185"/>
        <v>0</v>
      </c>
      <c r="BC114" s="4504">
        <f t="shared" si="186"/>
        <v>0</v>
      </c>
      <c r="BD114" s="4504">
        <f t="shared" si="187"/>
        <v>0</v>
      </c>
      <c r="BE114" s="4504">
        <f t="shared" si="188"/>
        <v>45.639794869697262</v>
      </c>
      <c r="BF114" s="4504">
        <f t="shared" si="189"/>
        <v>45.639794869697262</v>
      </c>
      <c r="BG114" s="4504">
        <f t="shared" si="190"/>
        <v>45.639794869697262</v>
      </c>
      <c r="BH114" s="4504">
        <f t="shared" si="191"/>
        <v>45.639794869697262</v>
      </c>
      <c r="BI114" s="4504">
        <f t="shared" si="192"/>
        <v>45.639794869697262</v>
      </c>
      <c r="BJ114" s="4504">
        <f t="shared" si="193"/>
        <v>45.639794869697262</v>
      </c>
      <c r="BK114" s="4504">
        <f t="shared" si="194"/>
        <v>45.639794869697262</v>
      </c>
      <c r="BL114" s="4504">
        <f t="shared" si="195"/>
        <v>0</v>
      </c>
      <c r="BM114" s="4504">
        <f t="shared" si="196"/>
        <v>0</v>
      </c>
      <c r="BN114" s="4504">
        <f t="shared" si="197"/>
        <v>0</v>
      </c>
      <c r="BO114" s="4504">
        <f t="shared" si="198"/>
        <v>0</v>
      </c>
      <c r="BP114" s="4504">
        <f t="shared" si="199"/>
        <v>0</v>
      </c>
      <c r="BQ114" s="4504">
        <f t="shared" si="200"/>
        <v>0</v>
      </c>
      <c r="BR114" s="4504">
        <f t="shared" si="201"/>
        <v>0</v>
      </c>
      <c r="BS114" s="4504">
        <f t="shared" si="202"/>
        <v>57.057543666120594</v>
      </c>
      <c r="BT114" s="4504">
        <f t="shared" si="203"/>
        <v>64.72692188406387</v>
      </c>
      <c r="BU114" s="4504">
        <f t="shared" si="204"/>
        <v>95.404434755836988</v>
      </c>
      <c r="BV114" s="4504">
        <f t="shared" si="205"/>
        <v>110.74319119172354</v>
      </c>
      <c r="BW114" s="4504">
        <f t="shared" si="206"/>
        <v>126.08194762761009</v>
      </c>
      <c r="BX114" s="4504">
        <f t="shared" si="207"/>
        <v>141.42070406349666</v>
      </c>
      <c r="BY114" s="4504">
        <f t="shared" si="208"/>
        <v>156.75946049938321</v>
      </c>
    </row>
    <row r="115" spans="1:77" s="1323" customFormat="1">
      <c r="A115" s="2553">
        <v>4</v>
      </c>
      <c r="B115" s="2554">
        <v>2030402</v>
      </c>
      <c r="C115" s="2560">
        <v>0.1</v>
      </c>
      <c r="D115" s="2590" t="s">
        <v>429</v>
      </c>
      <c r="E115" s="4453">
        <f>+'11.3. ДА Базова година'!H95</f>
        <v>11.3222239644608</v>
      </c>
      <c r="F115" s="2655">
        <f>E115+SUMIF('11.1.Амортиз.нови активи'!$B$12:$B$59,$B115,'11.1.Амортиз.нови активи'!F$12:F$59)+('9.Инвестиционна програма'!H$130*SUMIF('11.1.Амортиз.нови активи'!$B$12:$B$59,$B115,'11.1.Амортиз.нови активи'!AO$12:AO$59))</f>
        <v>11.3222239644608</v>
      </c>
      <c r="G115" s="1136">
        <f>F115+SUMIF('11.1.Амортиз.нови активи'!$B$12:$B$59,$B115,'11.1.Амортиз.нови активи'!G$12:G$59)+('9.Инвестиционна програма'!I$130*SUMIF('11.1.Амортиз.нови активи'!$B$12:$B$59,$B115,'11.1.Амортиз.нови активи'!AP$12:AP$59))</f>
        <v>11.3222239644608</v>
      </c>
      <c r="H115" s="1136">
        <f>G115+SUMIF('11.1.Амортиз.нови активи'!$B$12:$B$59,$B115,'11.1.Амортиз.нови активи'!H$12:H$59)+('9.Инвестиционна програма'!J$130*SUMIF('11.1.Амортиз.нови активи'!$B$12:$B$59,$B115,'11.1.Амортиз.нови активи'!AQ$12:AQ$59))</f>
        <v>11.3222239644608</v>
      </c>
      <c r="I115" s="1136">
        <f>H115+SUMIF('11.1.Амортиз.нови активи'!$B$12:$B$59,$B115,'11.1.Амортиз.нови активи'!I$12:I$59)+('9.Инвестиционна програма'!K$130*SUMIF('11.1.Амортиз.нови активи'!$B$12:$B$59,$B115,'11.1.Амортиз.нови активи'!AR$12:AR$59))</f>
        <v>11.3222239644608</v>
      </c>
      <c r="J115" s="1136">
        <f>I115+SUMIF('11.1.Амортиз.нови активи'!$B$12:$B$59,$B115,'11.1.Амортиз.нови активи'!J$12:J$59)+('9.Инвестиционна програма'!L$130*SUMIF('11.1.Амортиз.нови активи'!$B$12:$B$59,$B115,'11.1.Амортиз.нови активи'!AS$12:AS$59))</f>
        <v>11.3222239644608</v>
      </c>
      <c r="K115" s="2656">
        <f>J115+SUMIF('11.1.Амортиз.нови активи'!$B$12:$B$59,$B115,'11.1.Амортиз.нови активи'!K$12:K$59)+('9.Инвестиционна програма'!M$130*SUMIF('11.1.Амортиз.нови активи'!$B$12:$B$59,$B115,'11.1.Амортиз.нови активи'!AT$12:AT$59))</f>
        <v>11.3222239644608</v>
      </c>
      <c r="L115" s="4453">
        <f>+'11.3. ДА Базова година'!L95</f>
        <v>0</v>
      </c>
      <c r="M115" s="2655">
        <f>L115+SUMIF('11.1.Амортиз.нови активи'!$B$12:$B$59,$B115,'11.1.Амортиз.нови активи'!M$12:M$59)+('9.Инвестиционна програма'!H$131*SUMIF('11.1.Амортиз.нови активи'!$B$12:$B$59,$B115,'11.1.Амортиз.нови активи'!AO$12:AO$59))</f>
        <v>0</v>
      </c>
      <c r="N115" s="1136">
        <f>M115+SUMIF('11.1.Амортиз.нови активи'!$B$12:$B$59,$B115,'11.1.Амортиз.нови активи'!N$12:N$59)+('9.Инвестиционна програма'!I$131*SUMIF('11.1.Амортиз.нови активи'!$B$12:$B$59,$B115,'11.1.Амортиз.нови активи'!AP$12:AP$59))</f>
        <v>0</v>
      </c>
      <c r="O115" s="1136">
        <f>N115+SUMIF('11.1.Амортиз.нови активи'!$B$12:$B$59,$B115,'11.1.Амортиз.нови активи'!O$12:O$59)+('9.Инвестиционна програма'!J$131*SUMIF('11.1.Амортиз.нови активи'!$B$12:$B$59,$B115,'11.1.Амортиз.нови активи'!AQ$12:AQ$59))</f>
        <v>0</v>
      </c>
      <c r="P115" s="1136">
        <f>O115+SUMIF('11.1.Амортиз.нови активи'!$B$12:$B$59,$B115,'11.1.Амортиз.нови активи'!P$12:P$59)+('9.Инвестиционна програма'!K$131*SUMIF('11.1.Амортиз.нови активи'!$B$12:$B$59,$B115,'11.1.Амортиз.нови активи'!AR$12:AR$59))</f>
        <v>0</v>
      </c>
      <c r="Q115" s="1136">
        <f>P115+SUMIF('11.1.Амортиз.нови активи'!$B$12:$B$59,$B115,'11.1.Амортиз.нови активи'!Q$12:Q$59)+('9.Инвестиционна програма'!L$131*SUMIF('11.1.Амортиз.нови активи'!$B$12:$B$59,$B115,'11.1.Амортиз.нови активи'!AS$12:AS$59))</f>
        <v>0</v>
      </c>
      <c r="R115" s="2656">
        <f>Q115+SUMIF('11.1.Амортиз.нови активи'!$B$12:$B$59,$B115,'11.1.Амортиз.нови активи'!R$12:R$59)+('9.Инвестиционна програма'!M$131*SUMIF('11.1.Амортиз.нови активи'!$B$12:$B$59,$B115,'11.1.Амортиз.нови активи'!AT$12:AT$59))</f>
        <v>0</v>
      </c>
      <c r="S115" s="4453">
        <f>+'11.3. ДА Базова година'!P95</f>
        <v>0</v>
      </c>
      <c r="T115" s="2655">
        <f>S115+SUMIF('11.1.Амортиз.нови активи'!$B$12:$B$59,$B115,'11.1.Амортиз.нови активи'!T$12:T$59)+('9.Инвестиционна програма'!H$132*SUMIF('11.1.Амортиз.нови активи'!$B$12:$B$59,$B115,'11.1.Амортиз.нови активи'!AO$12:AO$59))</f>
        <v>0</v>
      </c>
      <c r="U115" s="1136">
        <f>T115+SUMIF('11.1.Амортиз.нови активи'!$B$12:$B$59,$B115,'11.1.Амортиз.нови активи'!U$12:U$59)+('9.Инвестиционна програма'!I$132*SUMIF('11.1.Амортиз.нови активи'!$B$12:$B$59,$B115,'11.1.Амортиз.нови активи'!AP$12:AP$59))</f>
        <v>0</v>
      </c>
      <c r="V115" s="1136">
        <f>U115+SUMIF('11.1.Амортиз.нови активи'!$B$12:$B$59,$B115,'11.1.Амортиз.нови активи'!V$12:V$59)+('9.Инвестиционна програма'!J$132*SUMIF('11.1.Амортиз.нови активи'!$B$12:$B$59,$B115,'11.1.Амортиз.нови активи'!AQ$12:AQ$59))</f>
        <v>0</v>
      </c>
      <c r="W115" s="1136">
        <f>V115+SUMIF('11.1.Амортиз.нови активи'!$B$12:$B$59,$B115,'11.1.Амортиз.нови активи'!W$12:W$59)+('9.Инвестиционна програма'!K$132*SUMIF('11.1.Амортиз.нови активи'!$B$12:$B$59,$B115,'11.1.Амортиз.нови активи'!AR$12:AR$59))</f>
        <v>0</v>
      </c>
      <c r="X115" s="1136">
        <f>W115+SUMIF('11.1.Амортиз.нови активи'!$B$12:$B$59,$B115,'11.1.Амортиз.нови активи'!X$12:X$59)+('9.Инвестиционна програма'!L$132*SUMIF('11.1.Амортиз.нови активи'!$B$12:$B$59,$B115,'11.1.Амортиз.нови активи'!AS$12:AS$59))</f>
        <v>0</v>
      </c>
      <c r="Y115" s="2656">
        <f>X115+SUMIF('11.1.Амортиз.нови активи'!$B$12:$B$59,$B115,'11.1.Амортиз.нови активи'!Y$12:Y$59)+('9.Инвестиционна програма'!M$132*SUMIF('11.1.Амортиз.нови активи'!$B$12:$B$59,$B115,'11.1.Амортиз.нови активи'!AT$12:AT$59))</f>
        <v>0</v>
      </c>
      <c r="Z115" s="4453">
        <f>+'11.3. ДА Базова година'!T95</f>
        <v>0</v>
      </c>
      <c r="AA115" s="2655">
        <f>Z115+SUMIF('11.1.Амортиз.нови активи'!$B$12:$B$59,$B115,'11.1.Амортиз.нови активи'!AA$12:AA$59)</f>
        <v>0</v>
      </c>
      <c r="AB115" s="1136">
        <f>AA115+SUMIF('11.1.Амортиз.нови активи'!$B$12:$B$59,$B115,'11.1.Амортиз.нови активи'!AB$12:AB$59)</f>
        <v>0</v>
      </c>
      <c r="AC115" s="1136">
        <f>AB115+SUMIF('11.1.Амортиз.нови активи'!$B$12:$B$59,$B115,'11.1.Амортиз.нови активи'!AC$12:AC$59)</f>
        <v>0</v>
      </c>
      <c r="AD115" s="1136">
        <f>AC115+SUMIF('11.1.Амортиз.нови активи'!$B$12:$B$59,$B115,'11.1.Амортиз.нови активи'!AD$12:AD$59)</f>
        <v>0</v>
      </c>
      <c r="AE115" s="1136">
        <f>AD115+SUMIF('11.1.Амортиз.нови активи'!$B$12:$B$59,$B115,'11.1.Амортиз.нови активи'!AE$12:AE$59)</f>
        <v>0</v>
      </c>
      <c r="AF115" s="2656">
        <f>AE115+SUMIF('11.1.Амортиз.нови активи'!$B$12:$B$59,$B115,'11.1.Амортиз.нови активи'!AF$12:AF$59)</f>
        <v>0</v>
      </c>
      <c r="AG115" s="4453">
        <f>+'11.3. ДА Базова година'!X95</f>
        <v>1.3183860355391994</v>
      </c>
      <c r="AH115" s="2655">
        <f>AG115+SUMIF('11.1.Амортиз.нови активи'!$B$12:$B$59,$B115,'11.1.Амортиз.нови активи'!AH$12:AH$59)</f>
        <v>1.3183860355391994</v>
      </c>
      <c r="AI115" s="1136">
        <f>AH115+SUMIF('11.1.Амортиз.нови активи'!$B$12:$B$59,$B115,'11.1.Амортиз.нови активи'!AI$12:AI$59)</f>
        <v>1.3183860355391994</v>
      </c>
      <c r="AJ115" s="1136">
        <f>AI115+SUMIF('11.1.Амортиз.нови активи'!$B$12:$B$59,$B115,'11.1.Амортиз.нови активи'!AJ$12:AJ$59)</f>
        <v>1.3183860355391994</v>
      </c>
      <c r="AK115" s="1136">
        <f>AJ115+SUMIF('11.1.Амортиз.нови активи'!$B$12:$B$59,$B115,'11.1.Амортиз.нови активи'!AK$12:AK$59)</f>
        <v>1.3183860355391994</v>
      </c>
      <c r="AL115" s="1136">
        <f>AK115+SUMIF('11.1.Амортиз.нови активи'!$B$12:$B$59,$B115,'11.1.Амортиз.нови активи'!AL$12:AL$59)</f>
        <v>1.3183860355391994</v>
      </c>
      <c r="AM115" s="2656">
        <f>AL115+SUMIF('11.1.Амортиз.нови активи'!$B$12:$B$59,$B115,'11.1.Амортиз.нови активи'!AM$12:AM$59)</f>
        <v>1.3183860355391994</v>
      </c>
      <c r="AN115" s="2551"/>
      <c r="AO115" s="2589"/>
      <c r="AP115" s="4488"/>
      <c r="AQ115" s="4504">
        <f t="shared" si="174"/>
        <v>5.7889611901140698</v>
      </c>
      <c r="AR115" s="4504">
        <f t="shared" si="175"/>
        <v>5.7889611901140698</v>
      </c>
      <c r="AS115" s="4504">
        <f t="shared" si="176"/>
        <v>5.7889611901140698</v>
      </c>
      <c r="AT115" s="4504">
        <f t="shared" si="177"/>
        <v>5.7889611901140698</v>
      </c>
      <c r="AU115" s="4504">
        <f t="shared" si="178"/>
        <v>5.7889611901140698</v>
      </c>
      <c r="AV115" s="4504">
        <f t="shared" si="179"/>
        <v>5.7889611901140698</v>
      </c>
      <c r="AW115" s="4504">
        <f t="shared" si="180"/>
        <v>5.7889611901140698</v>
      </c>
      <c r="AX115" s="4504">
        <f t="shared" si="181"/>
        <v>0</v>
      </c>
      <c r="AY115" s="4504">
        <f t="shared" si="182"/>
        <v>0</v>
      </c>
      <c r="AZ115" s="4504">
        <f t="shared" si="183"/>
        <v>0</v>
      </c>
      <c r="BA115" s="4504">
        <f t="shared" si="184"/>
        <v>0</v>
      </c>
      <c r="BB115" s="4504">
        <f t="shared" si="185"/>
        <v>0</v>
      </c>
      <c r="BC115" s="4504">
        <f t="shared" si="186"/>
        <v>0</v>
      </c>
      <c r="BD115" s="4504">
        <f t="shared" si="187"/>
        <v>0</v>
      </c>
      <c r="BE115" s="4504">
        <f t="shared" si="188"/>
        <v>0</v>
      </c>
      <c r="BF115" s="4504">
        <f t="shared" si="189"/>
        <v>0</v>
      </c>
      <c r="BG115" s="4504">
        <f t="shared" si="190"/>
        <v>0</v>
      </c>
      <c r="BH115" s="4504">
        <f t="shared" si="191"/>
        <v>0</v>
      </c>
      <c r="BI115" s="4504">
        <f t="shared" si="192"/>
        <v>0</v>
      </c>
      <c r="BJ115" s="4504">
        <f t="shared" si="193"/>
        <v>0</v>
      </c>
      <c r="BK115" s="4504">
        <f t="shared" si="194"/>
        <v>0</v>
      </c>
      <c r="BL115" s="4504">
        <f t="shared" si="195"/>
        <v>0</v>
      </c>
      <c r="BM115" s="4504">
        <f t="shared" si="196"/>
        <v>0</v>
      </c>
      <c r="BN115" s="4504">
        <f t="shared" si="197"/>
        <v>0</v>
      </c>
      <c r="BO115" s="4504">
        <f t="shared" si="198"/>
        <v>0</v>
      </c>
      <c r="BP115" s="4504">
        <f t="shared" si="199"/>
        <v>0</v>
      </c>
      <c r="BQ115" s="4504">
        <f t="shared" si="200"/>
        <v>0</v>
      </c>
      <c r="BR115" s="4504">
        <f t="shared" si="201"/>
        <v>0</v>
      </c>
      <c r="BS115" s="4504">
        <f t="shared" si="202"/>
        <v>0.67408007625366184</v>
      </c>
      <c r="BT115" s="4504">
        <f t="shared" si="203"/>
        <v>0.67408007625366184</v>
      </c>
      <c r="BU115" s="4504">
        <f t="shared" si="204"/>
        <v>0.67408007625366184</v>
      </c>
      <c r="BV115" s="4504">
        <f t="shared" si="205"/>
        <v>0.67408007625366184</v>
      </c>
      <c r="BW115" s="4504">
        <f t="shared" si="206"/>
        <v>0.67408007625366184</v>
      </c>
      <c r="BX115" s="4504">
        <f t="shared" si="207"/>
        <v>0.67408007625366184</v>
      </c>
      <c r="BY115" s="4504">
        <f t="shared" si="208"/>
        <v>0.67408007625366184</v>
      </c>
    </row>
    <row r="116" spans="1:77" s="1323" customFormat="1">
      <c r="A116" s="2553">
        <v>5</v>
      </c>
      <c r="B116" s="2554">
        <v>2030501</v>
      </c>
      <c r="C116" s="2560">
        <v>0.1</v>
      </c>
      <c r="D116" s="2590" t="s">
        <v>1001</v>
      </c>
      <c r="E116" s="4453">
        <f>+'11.3. ДА Базова година'!H96</f>
        <v>448.09098046309816</v>
      </c>
      <c r="F116" s="2655">
        <f>E116+SUMIF('11.1.Амортиз.нови активи'!$B$12:$B$59,$B116,'11.1.Амортиз.нови активи'!F$12:F$59)+('9.Инвестиционна програма'!H$130*SUMIF('11.1.Амортиз.нови активи'!$B$12:$B$59,$B116,'11.1.Амортиз.нови активи'!AO$12:AO$59))</f>
        <v>493.42431379643148</v>
      </c>
      <c r="G116" s="1136">
        <f>F116+SUMIF('11.1.Амортиз.нови активи'!$B$12:$B$59,$B116,'11.1.Амортиз.нови активи'!G$12:G$59)+('9.Инвестиционна програма'!I$130*SUMIF('11.1.Амортиз.нови активи'!$B$12:$B$59,$B116,'11.1.Амортиз.нови активи'!AP$12:AP$59))</f>
        <v>553.75764712976479</v>
      </c>
      <c r="H116" s="1136">
        <f>G116+SUMIF('11.1.Амортиз.нови активи'!$B$12:$B$59,$B116,'11.1.Амортиз.нови активи'!H$12:H$59)+('9.Инвестиционна програма'!J$130*SUMIF('11.1.Амортиз.нови активи'!$B$12:$B$59,$B116,'11.1.Амортиз.нови активи'!AQ$12:AQ$59))</f>
        <v>611.09098046309816</v>
      </c>
      <c r="I116" s="1136">
        <f>H116+SUMIF('11.1.Амортиз.нови активи'!$B$12:$B$59,$B116,'11.1.Амортиз.нови активи'!I$12:I$59)+('9.Инвестиционна програма'!K$130*SUMIF('11.1.Амортиз.нови активи'!$B$12:$B$59,$B116,'11.1.Амортиз.нови активи'!AR$12:AR$59))</f>
        <v>681.42431379643153</v>
      </c>
      <c r="J116" s="1136">
        <f>I116+SUMIF('11.1.Амортиз.нови активи'!$B$12:$B$59,$B116,'11.1.Амортиз.нови активи'!J$12:J$59)+('9.Инвестиционна програма'!L$130*SUMIF('11.1.Амортиз.нови активи'!$B$12:$B$59,$B116,'11.1.Амортиз.нови активи'!AS$12:AS$59))</f>
        <v>757.75764712976491</v>
      </c>
      <c r="K116" s="2656">
        <f>J116+SUMIF('11.1.Амортиз.нови активи'!$B$12:$B$59,$B116,'11.1.Амортиз.нови активи'!K$12:K$59)+('9.Инвестиционна програма'!M$130*SUMIF('11.1.Амортиз.нови активи'!$B$12:$B$59,$B116,'11.1.Амортиз.нови активи'!AT$12:AT$59))</f>
        <v>833.09098046309828</v>
      </c>
      <c r="L116" s="4453">
        <f>+'11.3. ДА Базова година'!L96</f>
        <v>0</v>
      </c>
      <c r="M116" s="2655">
        <f>L116+SUMIF('11.1.Амортиз.нови активи'!$B$12:$B$59,$B116,'11.1.Амортиз.нови активи'!M$12:M$59)+('9.Инвестиционна програма'!H$131*SUMIF('11.1.Амортиз.нови активи'!$B$12:$B$59,$B116,'11.1.Амортиз.нови активи'!AO$12:AO$59))</f>
        <v>9.3333333333333321</v>
      </c>
      <c r="N116" s="1136">
        <f>M116+SUMIF('11.1.Амортиз.нови активи'!$B$12:$B$59,$B116,'11.1.Амортиз.нови активи'!N$12:N$59)+('9.Инвестиционна програма'!I$131*SUMIF('11.1.Амортиз.нови активи'!$B$12:$B$59,$B116,'11.1.Амортиз.нови активи'!AP$12:AP$59))</f>
        <v>52.666666666666657</v>
      </c>
      <c r="O116" s="1136">
        <f>N116+SUMIF('11.1.Амортиз.нови активи'!$B$12:$B$59,$B116,'11.1.Амортиз.нови активи'!O$12:O$59)+('9.Инвестиционна програма'!J$131*SUMIF('11.1.Амортиз.нови активи'!$B$12:$B$59,$B116,'11.1.Амортиз.нови активи'!AQ$12:AQ$59))</f>
        <v>95.999999999999986</v>
      </c>
      <c r="P116" s="1136">
        <f>O116+SUMIF('11.1.Амортиз.нови активи'!$B$12:$B$59,$B116,'11.1.Амортиз.нови активи'!P$12:P$59)+('9.Инвестиционна програма'!K$131*SUMIF('11.1.Амортиз.нови активи'!$B$12:$B$59,$B116,'11.1.Амортиз.нови активи'!AR$12:AR$59))</f>
        <v>139.33333333333331</v>
      </c>
      <c r="Q116" s="1136">
        <f>P116+SUMIF('11.1.Амортиз.нови активи'!$B$12:$B$59,$B116,'11.1.Амортиз.нови активи'!Q$12:Q$59)+('9.Инвестиционна програма'!L$131*SUMIF('11.1.Амортиз.нови активи'!$B$12:$B$59,$B116,'11.1.Амортиз.нови активи'!AS$12:AS$59))</f>
        <v>182.66666666666663</v>
      </c>
      <c r="R116" s="2656">
        <f>Q116+SUMIF('11.1.Амортиз.нови активи'!$B$12:$B$59,$B116,'11.1.Амортиз.нови активи'!R$12:R$59)+('9.Инвестиционна програма'!M$131*SUMIF('11.1.Амортиз.нови активи'!$B$12:$B$59,$B116,'11.1.Амортиз.нови активи'!AT$12:AT$59))</f>
        <v>225.99999999999994</v>
      </c>
      <c r="S116" s="4453">
        <f>+'11.3. ДА Базова година'!P96</f>
        <v>6.7286200000000003</v>
      </c>
      <c r="T116" s="2655">
        <f>S116+SUMIF('11.1.Амортиз.нови активи'!$B$12:$B$59,$B116,'11.1.Амортиз.нови активи'!T$12:T$59)+('9.Инвестиционна програма'!H$132*SUMIF('11.1.Амортиз.нови активи'!$B$12:$B$59,$B116,'11.1.Амортиз.нови активи'!AO$12:AO$59))</f>
        <v>16.061953333333332</v>
      </c>
      <c r="U116" s="1136">
        <f>T116+SUMIF('11.1.Амортиз.нови активи'!$B$12:$B$59,$B116,'11.1.Амортиз.нови активи'!U$12:U$59)+('9.Инвестиционна програма'!I$132*SUMIF('11.1.Амортиз.нови активи'!$B$12:$B$59,$B116,'11.1.Амортиз.нови активи'!AP$12:AP$59))</f>
        <v>59.395286666666664</v>
      </c>
      <c r="V116" s="1136">
        <f>U116+SUMIF('11.1.Амортиз.нови активи'!$B$12:$B$59,$B116,'11.1.Амортиз.нови активи'!V$12:V$59)+('9.Инвестиционна програма'!J$132*SUMIF('11.1.Амортиз.нови активи'!$B$12:$B$59,$B116,'11.1.Амортиз.нови активи'!AQ$12:AQ$59))</f>
        <v>102.72861999999999</v>
      </c>
      <c r="W116" s="1136">
        <f>V116+SUMIF('11.1.Амортиз.нови активи'!$B$12:$B$59,$B116,'11.1.Амортиз.нови активи'!W$12:W$59)+('9.Инвестиционна програма'!K$132*SUMIF('11.1.Амортиз.нови активи'!$B$12:$B$59,$B116,'11.1.Амортиз.нови активи'!AR$12:AR$59))</f>
        <v>146.06195333333332</v>
      </c>
      <c r="X116" s="1136">
        <f>W116+SUMIF('11.1.Амортиз.нови активи'!$B$12:$B$59,$B116,'11.1.Амортиз.нови активи'!X$12:X$59)+('9.Инвестиционна програма'!L$132*SUMIF('11.1.Амортиз.нови активи'!$B$12:$B$59,$B116,'11.1.Амортиз.нови активи'!AS$12:AS$59))</f>
        <v>189.39528666666666</v>
      </c>
      <c r="Y116" s="2656">
        <f>X116+SUMIF('11.1.Амортиз.нови активи'!$B$12:$B$59,$B116,'11.1.Амортиз.нови активи'!Y$12:Y$59)+('9.Инвестиционна програма'!M$132*SUMIF('11.1.Амортиз.нови активи'!$B$12:$B$59,$B116,'11.1.Амортиз.нови активи'!AT$12:AT$59))</f>
        <v>232.72861999999998</v>
      </c>
      <c r="Z116" s="4453">
        <f>+'11.3. ДА Базова година'!T96</f>
        <v>0</v>
      </c>
      <c r="AA116" s="2655">
        <f>Z116+SUMIF('11.1.Амортиз.нови активи'!$B$12:$B$59,$B116,'11.1.Амортиз.нови активи'!AA$12:AA$59)</f>
        <v>0</v>
      </c>
      <c r="AB116" s="1136">
        <f>AA116+SUMIF('11.1.Амортиз.нови активи'!$B$12:$B$59,$B116,'11.1.Амортиз.нови активи'!AB$12:AB$59)</f>
        <v>0</v>
      </c>
      <c r="AC116" s="1136">
        <f>AB116+SUMIF('11.1.Амортиз.нови активи'!$B$12:$B$59,$B116,'11.1.Амортиз.нови активи'!AC$12:AC$59)</f>
        <v>0</v>
      </c>
      <c r="AD116" s="1136">
        <f>AC116+SUMIF('11.1.Амортиз.нови активи'!$B$12:$B$59,$B116,'11.1.Амортиз.нови активи'!AD$12:AD$59)</f>
        <v>0</v>
      </c>
      <c r="AE116" s="1136">
        <f>AD116+SUMIF('11.1.Амортиз.нови активи'!$B$12:$B$59,$B116,'11.1.Амортиз.нови активи'!AE$12:AE$59)</f>
        <v>0</v>
      </c>
      <c r="AF116" s="2656">
        <f>AE116+SUMIF('11.1.Амортиз.нови активи'!$B$12:$B$59,$B116,'11.1.Амортиз.нови активи'!AF$12:AF$59)</f>
        <v>0</v>
      </c>
      <c r="AG116" s="4453">
        <f>+'11.3. ДА Базова година'!X96</f>
        <v>56.819089536901899</v>
      </c>
      <c r="AH116" s="2655">
        <f>AG116+SUMIF('11.1.Амортиз.нови активи'!$B$12:$B$59,$B116,'11.1.Амортиз.нови активи'!AH$12:AH$59)</f>
        <v>56.819089536901899</v>
      </c>
      <c r="AI116" s="1136">
        <f>AH116+SUMIF('11.1.Амортиз.нови активи'!$B$12:$B$59,$B116,'11.1.Амортиз.нови активи'!AI$12:AI$59)</f>
        <v>63.819089536901899</v>
      </c>
      <c r="AJ116" s="1136">
        <f>AI116+SUMIF('11.1.Амортиз.нови активи'!$B$12:$B$59,$B116,'11.1.Амортиз.нови активи'!AJ$12:AJ$59)</f>
        <v>70.819089536901899</v>
      </c>
      <c r="AK116" s="1136">
        <f>AJ116+SUMIF('11.1.Амортиз.нови активи'!$B$12:$B$59,$B116,'11.1.Амортиз.нови активи'!AK$12:AK$59)</f>
        <v>77.819089536901899</v>
      </c>
      <c r="AL116" s="1136">
        <f>AK116+SUMIF('11.1.Амортиз.нови активи'!$B$12:$B$59,$B116,'11.1.Амортиз.нови активи'!AL$12:AL$59)</f>
        <v>84.819089536901899</v>
      </c>
      <c r="AM116" s="2656">
        <f>AL116+SUMIF('11.1.Амортиз.нови активи'!$B$12:$B$59,$B116,'11.1.Амортиз.нови активи'!AM$12:AM$59)</f>
        <v>91.819089536901899</v>
      </c>
      <c r="AN116" s="2562"/>
      <c r="AO116" s="2589"/>
      <c r="AP116" s="4488"/>
      <c r="AQ116" s="4504">
        <f t="shared" si="174"/>
        <v>229.10528034803545</v>
      </c>
      <c r="AR116" s="4504">
        <f t="shared" si="175"/>
        <v>252.28384562893069</v>
      </c>
      <c r="AS116" s="4504">
        <f t="shared" si="176"/>
        <v>283.1317891277692</v>
      </c>
      <c r="AT116" s="4504">
        <f t="shared" si="177"/>
        <v>312.44585698301904</v>
      </c>
      <c r="AU116" s="4504">
        <f t="shared" si="178"/>
        <v>348.40671929381978</v>
      </c>
      <c r="AV116" s="4504">
        <f t="shared" si="179"/>
        <v>387.43533289179783</v>
      </c>
      <c r="AW116" s="4504">
        <f t="shared" si="180"/>
        <v>425.95265460857962</v>
      </c>
      <c r="AX116" s="4504">
        <f t="shared" si="181"/>
        <v>0</v>
      </c>
      <c r="AY116" s="4504">
        <f t="shared" si="182"/>
        <v>4.7720575578313724</v>
      </c>
      <c r="AZ116" s="4504">
        <f t="shared" si="183"/>
        <v>26.928039076334169</v>
      </c>
      <c r="BA116" s="4504">
        <f t="shared" si="184"/>
        <v>49.084020594836971</v>
      </c>
      <c r="BB116" s="4504">
        <f t="shared" si="185"/>
        <v>71.24000211333977</v>
      </c>
      <c r="BC116" s="4504">
        <f t="shared" si="186"/>
        <v>93.395983631842554</v>
      </c>
      <c r="BD116" s="4504">
        <f t="shared" si="187"/>
        <v>115.55196515034535</v>
      </c>
      <c r="BE116" s="4504">
        <f t="shared" si="188"/>
        <v>3.4402887776544997</v>
      </c>
      <c r="BF116" s="4504">
        <f t="shared" si="189"/>
        <v>8.2123463354858721</v>
      </c>
      <c r="BG116" s="4504">
        <f t="shared" si="190"/>
        <v>30.368327853988671</v>
      </c>
      <c r="BH116" s="4504">
        <f t="shared" si="191"/>
        <v>52.524309372491473</v>
      </c>
      <c r="BI116" s="4504">
        <f t="shared" si="192"/>
        <v>74.680290890994272</v>
      </c>
      <c r="BJ116" s="4504">
        <f t="shared" si="193"/>
        <v>96.83627240949707</v>
      </c>
      <c r="BK116" s="4504">
        <f t="shared" si="194"/>
        <v>118.99225392799987</v>
      </c>
      <c r="BL116" s="4504">
        <f t="shared" si="195"/>
        <v>0</v>
      </c>
      <c r="BM116" s="4504">
        <f t="shared" si="196"/>
        <v>0</v>
      </c>
      <c r="BN116" s="4504">
        <f t="shared" si="197"/>
        <v>0</v>
      </c>
      <c r="BO116" s="4504">
        <f t="shared" si="198"/>
        <v>0</v>
      </c>
      <c r="BP116" s="4504">
        <f t="shared" si="199"/>
        <v>0</v>
      </c>
      <c r="BQ116" s="4504">
        <f t="shared" si="200"/>
        <v>0</v>
      </c>
      <c r="BR116" s="4504">
        <f t="shared" si="201"/>
        <v>0</v>
      </c>
      <c r="BS116" s="4504">
        <f t="shared" si="202"/>
        <v>29.051139177178946</v>
      </c>
      <c r="BT116" s="4504">
        <f t="shared" si="203"/>
        <v>29.051139177178946</v>
      </c>
      <c r="BU116" s="4504">
        <f t="shared" si="204"/>
        <v>32.630182345552477</v>
      </c>
      <c r="BV116" s="4504">
        <f t="shared" si="205"/>
        <v>36.209225513926008</v>
      </c>
      <c r="BW116" s="4504">
        <f t="shared" si="206"/>
        <v>39.788268682299538</v>
      </c>
      <c r="BX116" s="4504">
        <f t="shared" si="207"/>
        <v>43.367311850673062</v>
      </c>
      <c r="BY116" s="4504">
        <f t="shared" si="208"/>
        <v>46.946355019046592</v>
      </c>
    </row>
    <row r="117" spans="1:77" s="1323" customFormat="1" ht="24">
      <c r="A117" s="2553">
        <v>6</v>
      </c>
      <c r="B117" s="2554">
        <v>2030502</v>
      </c>
      <c r="C117" s="2560">
        <v>0.1</v>
      </c>
      <c r="D117" s="2590" t="s">
        <v>695</v>
      </c>
      <c r="E117" s="4453">
        <f>+'11.3. ДА Базова година'!H97</f>
        <v>131.45097481250099</v>
      </c>
      <c r="F117" s="2655">
        <f>E117+SUMIF('11.1.Амортиз.нови активи'!$B$12:$B$59,$B117,'11.1.Амортиз.нови активи'!F$12:F$59)+('9.Инвестиционна програма'!H$130*SUMIF('11.1.Амортиз.нови активи'!$B$12:$B$59,$B117,'11.1.Амортиз.нови активи'!AO$12:AO$59))</f>
        <v>161.45097481250099</v>
      </c>
      <c r="G117" s="1136">
        <f>F117+SUMIF('11.1.Амортиз.нови активи'!$B$12:$B$59,$B117,'11.1.Амортиз.нови активи'!G$12:G$59)+('9.Инвестиционна програма'!I$130*SUMIF('11.1.Амортиз.нови активи'!$B$12:$B$59,$B117,'11.1.Амортиз.нови активи'!AP$12:AP$59))</f>
        <v>174.45097481250099</v>
      </c>
      <c r="H117" s="1136">
        <f>G117+SUMIF('11.1.Амортиз.нови активи'!$B$12:$B$59,$B117,'11.1.Амортиз.нови активи'!H$12:H$59)+('9.Инвестиционна програма'!J$130*SUMIF('11.1.Амортиз.нови активи'!$B$12:$B$59,$B117,'11.1.Амортиз.нови активи'!AQ$12:AQ$59))</f>
        <v>187.45097481250099</v>
      </c>
      <c r="I117" s="1136">
        <f>H117+SUMIF('11.1.Амортиз.нови активи'!$B$12:$B$59,$B117,'11.1.Амортиз.нови активи'!I$12:I$59)+('9.Инвестиционна програма'!K$130*SUMIF('11.1.Амортиз.нови активи'!$B$12:$B$59,$B117,'11.1.Амортиз.нови активи'!AR$12:AR$59))</f>
        <v>207.45097481250099</v>
      </c>
      <c r="J117" s="1136">
        <f>I117+SUMIF('11.1.Амортиз.нови активи'!$B$12:$B$59,$B117,'11.1.Амортиз.нови активи'!J$12:J$59)+('9.Инвестиционна програма'!L$130*SUMIF('11.1.Амортиз.нови активи'!$B$12:$B$59,$B117,'11.1.Амортиз.нови активи'!AS$12:AS$59))</f>
        <v>230.45097481250099</v>
      </c>
      <c r="K117" s="2656">
        <f>J117+SUMIF('11.1.Амортиз.нови активи'!$B$12:$B$59,$B117,'11.1.Амортиз.нови активи'!K$12:K$59)+('9.Инвестиционна програма'!M$130*SUMIF('11.1.Амортиз.нови активи'!$B$12:$B$59,$B117,'11.1.Амортиз.нови активи'!AT$12:AT$59))</f>
        <v>240.45097481250099</v>
      </c>
      <c r="L117" s="4453">
        <f>+'11.3. ДА Базова година'!L97</f>
        <v>0</v>
      </c>
      <c r="M117" s="2655">
        <f>L117+SUMIF('11.1.Амортиз.нови активи'!$B$12:$B$59,$B117,'11.1.Амортиз.нови активи'!M$12:M$59)+('9.Инвестиционна програма'!H$131*SUMIF('11.1.Амортиз.нови активи'!$B$12:$B$59,$B117,'11.1.Амортиз.нови активи'!AO$12:AO$59))</f>
        <v>0</v>
      </c>
      <c r="N117" s="1136">
        <f>M117+SUMIF('11.1.Амортиз.нови активи'!$B$12:$B$59,$B117,'11.1.Амортиз.нови активи'!N$12:N$59)+('9.Инвестиционна програма'!I$131*SUMIF('11.1.Амортиз.нови активи'!$B$12:$B$59,$B117,'11.1.Амортиз.нови активи'!AP$12:AP$59))</f>
        <v>0</v>
      </c>
      <c r="O117" s="1136">
        <f>N117+SUMIF('11.1.Амортиз.нови активи'!$B$12:$B$59,$B117,'11.1.Амортиз.нови активи'!O$12:O$59)+('9.Инвестиционна програма'!J$131*SUMIF('11.1.Амортиз.нови активи'!$B$12:$B$59,$B117,'11.1.Амортиз.нови активи'!AQ$12:AQ$59))</f>
        <v>0</v>
      </c>
      <c r="P117" s="1136">
        <f>O117+SUMIF('11.1.Амортиз.нови активи'!$B$12:$B$59,$B117,'11.1.Амортиз.нови активи'!P$12:P$59)+('9.Инвестиционна програма'!K$131*SUMIF('11.1.Амортиз.нови активи'!$B$12:$B$59,$B117,'11.1.Амортиз.нови активи'!AR$12:AR$59))</f>
        <v>0</v>
      </c>
      <c r="Q117" s="1136">
        <f>P117+SUMIF('11.1.Амортиз.нови активи'!$B$12:$B$59,$B117,'11.1.Амортиз.нови активи'!Q$12:Q$59)+('9.Инвестиционна програма'!L$131*SUMIF('11.1.Амортиз.нови активи'!$B$12:$B$59,$B117,'11.1.Амортиз.нови активи'!AS$12:AS$59))</f>
        <v>0</v>
      </c>
      <c r="R117" s="2656">
        <f>Q117+SUMIF('11.1.Амортиз.нови активи'!$B$12:$B$59,$B117,'11.1.Амортиз.нови активи'!R$12:R$59)+('9.Инвестиционна програма'!M$131*SUMIF('11.1.Амортиз.нови активи'!$B$12:$B$59,$B117,'11.1.Амортиз.нови активи'!AT$12:AT$59))</f>
        <v>0</v>
      </c>
      <c r="S117" s="4453">
        <f>+'11.3. ДА Базова година'!P97</f>
        <v>219.70395000000005</v>
      </c>
      <c r="T117" s="2655">
        <f>S117+SUMIF('11.1.Амортиз.нови активи'!$B$12:$B$59,$B117,'11.1.Амортиз.нови активи'!T$12:T$59)+('9.Инвестиционна програма'!H$132*SUMIF('11.1.Амортиз.нови активи'!$B$12:$B$59,$B117,'11.1.Амортиз.нови активи'!AO$12:AO$59))</f>
        <v>219.70395000000005</v>
      </c>
      <c r="U117" s="1136">
        <f>T117+SUMIF('11.1.Амортиз.нови активи'!$B$12:$B$59,$B117,'11.1.Амортиз.нови активи'!U$12:U$59)+('9.Инвестиционна програма'!I$132*SUMIF('11.1.Амортиз.нови активи'!$B$12:$B$59,$B117,'11.1.Амортиз.нови активи'!AP$12:AP$59))</f>
        <v>219.70395000000005</v>
      </c>
      <c r="V117" s="1136">
        <f>U117+SUMIF('11.1.Амортиз.нови активи'!$B$12:$B$59,$B117,'11.1.Амортиз.нови активи'!V$12:V$59)+('9.Инвестиционна програма'!J$132*SUMIF('11.1.Амортиз.нови активи'!$B$12:$B$59,$B117,'11.1.Амортиз.нови активи'!AQ$12:AQ$59))</f>
        <v>219.70395000000005</v>
      </c>
      <c r="W117" s="1136">
        <f>V117+SUMIF('11.1.Амортиз.нови активи'!$B$12:$B$59,$B117,'11.1.Амортиз.нови активи'!W$12:W$59)+('9.Инвестиционна програма'!K$132*SUMIF('11.1.Амортиз.нови активи'!$B$12:$B$59,$B117,'11.1.Амортиз.нови активи'!AR$12:AR$59))</f>
        <v>219.70395000000005</v>
      </c>
      <c r="X117" s="1136">
        <f>W117+SUMIF('11.1.Амортиз.нови активи'!$B$12:$B$59,$B117,'11.1.Амортиз.нови активи'!X$12:X$59)+('9.Инвестиционна програма'!L$132*SUMIF('11.1.Амортиз.нови активи'!$B$12:$B$59,$B117,'11.1.Амортиз.нови активи'!AS$12:AS$59))</f>
        <v>219.70395000000005</v>
      </c>
      <c r="Y117" s="2656">
        <f>X117+SUMIF('11.1.Амортиз.нови активи'!$B$12:$B$59,$B117,'11.1.Амортиз.нови активи'!Y$12:Y$59)+('9.Инвестиционна програма'!M$132*SUMIF('11.1.Амортиз.нови активи'!$B$12:$B$59,$B117,'11.1.Амортиз.нови активи'!AT$12:AT$59))</f>
        <v>219.70395000000005</v>
      </c>
      <c r="Z117" s="4453">
        <f>+'11.3. ДА Базова година'!T97</f>
        <v>0</v>
      </c>
      <c r="AA117" s="2655">
        <f>Z117+SUMIF('11.1.Амортиз.нови активи'!$B$12:$B$59,$B117,'11.1.Амортиз.нови активи'!AA$12:AA$59)</f>
        <v>0</v>
      </c>
      <c r="AB117" s="1136">
        <f>AA117+SUMIF('11.1.Амортиз.нови активи'!$B$12:$B$59,$B117,'11.1.Амортиз.нови активи'!AB$12:AB$59)</f>
        <v>0</v>
      </c>
      <c r="AC117" s="1136">
        <f>AB117+SUMIF('11.1.Амортиз.нови активи'!$B$12:$B$59,$B117,'11.1.Амортиз.нови активи'!AC$12:AC$59)</f>
        <v>0</v>
      </c>
      <c r="AD117" s="1136">
        <f>AC117+SUMIF('11.1.Амортиз.нови активи'!$B$12:$B$59,$B117,'11.1.Амортиз.нови активи'!AD$12:AD$59)</f>
        <v>0</v>
      </c>
      <c r="AE117" s="1136">
        <f>AD117+SUMIF('11.1.Амортиз.нови активи'!$B$12:$B$59,$B117,'11.1.Амортиз.нови активи'!AE$12:AE$59)</f>
        <v>0</v>
      </c>
      <c r="AF117" s="2656">
        <f>AE117+SUMIF('11.1.Амортиз.нови активи'!$B$12:$B$59,$B117,'11.1.Амортиз.нови активи'!AF$12:AF$59)</f>
        <v>0</v>
      </c>
      <c r="AG117" s="4453">
        <f>+'11.3. ДА Базова година'!X97</f>
        <v>17.283345187499016</v>
      </c>
      <c r="AH117" s="2655">
        <f>AG117+SUMIF('11.1.Амортиз.нови активи'!$B$12:$B$59,$B117,'11.1.Амортиз.нови активи'!AH$12:AH$59)</f>
        <v>19.283345187499016</v>
      </c>
      <c r="AI117" s="1136">
        <f>AH117+SUMIF('11.1.Амортиз.нови активи'!$B$12:$B$59,$B117,'11.1.Амортиз.нови активи'!AI$12:AI$59)</f>
        <v>22.283345187499016</v>
      </c>
      <c r="AJ117" s="1136">
        <f>AI117+SUMIF('11.1.Амортиз.нови активи'!$B$12:$B$59,$B117,'11.1.Амортиз.нови активи'!AJ$12:AJ$59)</f>
        <v>25.283345187499016</v>
      </c>
      <c r="AK117" s="1136">
        <f>AJ117+SUMIF('11.1.Амортиз.нови активи'!$B$12:$B$59,$B117,'11.1.Амортиз.нови активи'!AK$12:AK$59)</f>
        <v>28.283345187499016</v>
      </c>
      <c r="AL117" s="1136">
        <f>AK117+SUMIF('11.1.Амортиз.нови активи'!$B$12:$B$59,$B117,'11.1.Амортиз.нови активи'!AL$12:AL$59)</f>
        <v>31.283345187499016</v>
      </c>
      <c r="AM117" s="2656">
        <f>AL117+SUMIF('11.1.Амортиз.нови активи'!$B$12:$B$59,$B117,'11.1.Амортиз.нови активи'!AM$12:AM$59)</f>
        <v>34.283345187499016</v>
      </c>
      <c r="AN117" s="2551"/>
      <c r="AO117" s="2589"/>
      <c r="AP117" s="4488"/>
      <c r="AQ117" s="4504">
        <f t="shared" si="174"/>
        <v>67.209816196960361</v>
      </c>
      <c r="AR117" s="4504">
        <f t="shared" si="175"/>
        <v>82.548572632846927</v>
      </c>
      <c r="AS117" s="4504">
        <f t="shared" si="176"/>
        <v>89.195367088397759</v>
      </c>
      <c r="AT117" s="4504">
        <f t="shared" si="177"/>
        <v>95.842161543948606</v>
      </c>
      <c r="AU117" s="4504">
        <f t="shared" si="178"/>
        <v>106.06799916787297</v>
      </c>
      <c r="AV117" s="4504">
        <f t="shared" si="179"/>
        <v>117.82771243538599</v>
      </c>
      <c r="AW117" s="4504">
        <f t="shared" si="180"/>
        <v>122.94063124734818</v>
      </c>
      <c r="AX117" s="4504">
        <f t="shared" si="181"/>
        <v>0</v>
      </c>
      <c r="AY117" s="4504">
        <f t="shared" si="182"/>
        <v>0</v>
      </c>
      <c r="AZ117" s="4504">
        <f t="shared" si="183"/>
        <v>0</v>
      </c>
      <c r="BA117" s="4504">
        <f t="shared" si="184"/>
        <v>0</v>
      </c>
      <c r="BB117" s="4504">
        <f t="shared" si="185"/>
        <v>0</v>
      </c>
      <c r="BC117" s="4504">
        <f t="shared" si="186"/>
        <v>0</v>
      </c>
      <c r="BD117" s="4504">
        <f t="shared" si="187"/>
        <v>0</v>
      </c>
      <c r="BE117" s="4504">
        <f t="shared" si="188"/>
        <v>112.33284590173996</v>
      </c>
      <c r="BF117" s="4504">
        <f t="shared" si="189"/>
        <v>112.33284590173996</v>
      </c>
      <c r="BG117" s="4504">
        <f t="shared" si="190"/>
        <v>112.33284590173996</v>
      </c>
      <c r="BH117" s="4504">
        <f t="shared" si="191"/>
        <v>112.33284590173996</v>
      </c>
      <c r="BI117" s="4504">
        <f t="shared" si="192"/>
        <v>112.33284590173996</v>
      </c>
      <c r="BJ117" s="4504">
        <f t="shared" si="193"/>
        <v>112.33284590173996</v>
      </c>
      <c r="BK117" s="4504">
        <f t="shared" si="194"/>
        <v>112.33284590173996</v>
      </c>
      <c r="BL117" s="4504">
        <f t="shared" si="195"/>
        <v>0</v>
      </c>
      <c r="BM117" s="4504">
        <f t="shared" si="196"/>
        <v>0</v>
      </c>
      <c r="BN117" s="4504">
        <f t="shared" si="197"/>
        <v>0</v>
      </c>
      <c r="BO117" s="4504">
        <f t="shared" si="198"/>
        <v>0</v>
      </c>
      <c r="BP117" s="4504">
        <f t="shared" si="199"/>
        <v>0</v>
      </c>
      <c r="BQ117" s="4504">
        <f t="shared" si="200"/>
        <v>0</v>
      </c>
      <c r="BR117" s="4504">
        <f t="shared" si="201"/>
        <v>0</v>
      </c>
      <c r="BS117" s="4504">
        <f t="shared" si="202"/>
        <v>8.8368340742799809</v>
      </c>
      <c r="BT117" s="4504">
        <f t="shared" si="203"/>
        <v>9.859417836672419</v>
      </c>
      <c r="BU117" s="4504">
        <f t="shared" si="204"/>
        <v>11.393293480261073</v>
      </c>
      <c r="BV117" s="4504">
        <f t="shared" si="205"/>
        <v>12.92716912384973</v>
      </c>
      <c r="BW117" s="4504">
        <f t="shared" si="206"/>
        <v>14.461044767438384</v>
      </c>
      <c r="BX117" s="4504">
        <f t="shared" si="207"/>
        <v>15.99492041102704</v>
      </c>
      <c r="BY117" s="4504">
        <f t="shared" si="208"/>
        <v>17.528796054615697</v>
      </c>
    </row>
    <row r="118" spans="1:77" s="1323" customFormat="1">
      <c r="A118" s="2553">
        <v>7</v>
      </c>
      <c r="B118" s="2554">
        <v>2030503</v>
      </c>
      <c r="C118" s="2560">
        <v>0.1</v>
      </c>
      <c r="D118" s="2590" t="s">
        <v>713</v>
      </c>
      <c r="E118" s="4453">
        <f>+'11.3. ДА Базова година'!H98</f>
        <v>34.448120560328853</v>
      </c>
      <c r="F118" s="2655">
        <f>E118+SUMIF('11.1.Амортиз.нови активи'!$B$12:$B$59,$B118,'11.1.Амортиз.нови активи'!F$12:F$59)+('9.Инвестиционна програма'!H$130*SUMIF('11.1.Амортиз.нови активи'!$B$12:$B$59,$B118,'11.1.Амортиз.нови активи'!AO$12:AO$59))</f>
        <v>34.448120560328853</v>
      </c>
      <c r="G118" s="1136">
        <f>F118+SUMIF('11.1.Амортиз.нови активи'!$B$12:$B$59,$B118,'11.1.Амортиз.нови активи'!G$12:G$59)+('9.Инвестиционна програма'!I$130*SUMIF('11.1.Амортиз.нови активи'!$B$12:$B$59,$B118,'11.1.Амортиз.нови активи'!AP$12:AP$59))</f>
        <v>40.448120560328853</v>
      </c>
      <c r="H118" s="1136">
        <f>G118+SUMIF('11.1.Амортиз.нови активи'!$B$12:$B$59,$B118,'11.1.Амортиз.нови активи'!H$12:H$59)+('9.Инвестиционна програма'!J$130*SUMIF('11.1.Амортиз.нови активи'!$B$12:$B$59,$B118,'11.1.Амортиз.нови активи'!AQ$12:AQ$59))</f>
        <v>46.448120560328853</v>
      </c>
      <c r="I118" s="1136">
        <f>H118+SUMIF('11.1.Амортиз.нови активи'!$B$12:$B$59,$B118,'11.1.Амортиз.нови активи'!I$12:I$59)+('9.Инвестиционна програма'!K$130*SUMIF('11.1.Амортиз.нови активи'!$B$12:$B$59,$B118,'11.1.Амортиз.нови активи'!AR$12:AR$59))</f>
        <v>52.448120560328853</v>
      </c>
      <c r="J118" s="1136">
        <f>I118+SUMIF('11.1.Амортиз.нови активи'!$B$12:$B$59,$B118,'11.1.Амортиз.нови активи'!J$12:J$59)+('9.Инвестиционна програма'!L$130*SUMIF('11.1.Амортиз.нови активи'!$B$12:$B$59,$B118,'11.1.Амортиз.нови активи'!AS$12:AS$59))</f>
        <v>58.448120560328853</v>
      </c>
      <c r="K118" s="2656">
        <f>J118+SUMIF('11.1.Амортиз.нови активи'!$B$12:$B$59,$B118,'11.1.Амортиз.нови активи'!K$12:K$59)+('9.Инвестиционна програма'!M$130*SUMIF('11.1.Амортиз.нови активи'!$B$12:$B$59,$B118,'11.1.Амортиз.нови активи'!AT$12:AT$59))</f>
        <v>64.448120560328846</v>
      </c>
      <c r="L118" s="4453">
        <f>+'11.3. ДА Базова година'!L98</f>
        <v>0</v>
      </c>
      <c r="M118" s="2655">
        <f>L118+SUMIF('11.1.Амортиз.нови активи'!$B$12:$B$59,$B118,'11.1.Амортиз.нови активи'!M$12:M$59)+('9.Инвестиционна програма'!H$131*SUMIF('11.1.Амортиз.нови активи'!$B$12:$B$59,$B118,'11.1.Амортиз.нови активи'!AO$12:AO$59))</f>
        <v>0</v>
      </c>
      <c r="N118" s="1136">
        <f>M118+SUMIF('11.1.Амортиз.нови активи'!$B$12:$B$59,$B118,'11.1.Амортиз.нови активи'!N$12:N$59)+('9.Инвестиционна програма'!I$131*SUMIF('11.1.Амортиз.нови активи'!$B$12:$B$59,$B118,'11.1.Амортиз.нови активи'!AP$12:AP$59))</f>
        <v>0</v>
      </c>
      <c r="O118" s="1136">
        <f>N118+SUMIF('11.1.Амортиз.нови активи'!$B$12:$B$59,$B118,'11.1.Амортиз.нови активи'!O$12:O$59)+('9.Инвестиционна програма'!J$131*SUMIF('11.1.Амортиз.нови активи'!$B$12:$B$59,$B118,'11.1.Амортиз.нови активи'!AQ$12:AQ$59))</f>
        <v>0</v>
      </c>
      <c r="P118" s="1136">
        <f>O118+SUMIF('11.1.Амортиз.нови активи'!$B$12:$B$59,$B118,'11.1.Амортиз.нови активи'!P$12:P$59)+('9.Инвестиционна програма'!K$131*SUMIF('11.1.Амортиз.нови активи'!$B$12:$B$59,$B118,'11.1.Амортиз.нови активи'!AR$12:AR$59))</f>
        <v>0</v>
      </c>
      <c r="Q118" s="1136">
        <f>P118+SUMIF('11.1.Амортиз.нови активи'!$B$12:$B$59,$B118,'11.1.Амортиз.нови активи'!Q$12:Q$59)+('9.Инвестиционна програма'!L$131*SUMIF('11.1.Амортиз.нови активи'!$B$12:$B$59,$B118,'11.1.Амортиз.нови активи'!AS$12:AS$59))</f>
        <v>0</v>
      </c>
      <c r="R118" s="2656">
        <f>Q118+SUMIF('11.1.Амортиз.нови активи'!$B$12:$B$59,$B118,'11.1.Амортиз.нови активи'!R$12:R$59)+('9.Инвестиционна програма'!M$131*SUMIF('11.1.Амортиз.нови активи'!$B$12:$B$59,$B118,'11.1.Амортиз.нови активи'!AT$12:AT$59))</f>
        <v>0</v>
      </c>
      <c r="S118" s="4453">
        <f>+'11.3. ДА Базова година'!P98</f>
        <v>23.021239999999999</v>
      </c>
      <c r="T118" s="2655">
        <f>S118+SUMIF('11.1.Амортиз.нови активи'!$B$12:$B$59,$B118,'11.1.Амортиз.нови активи'!T$12:T$59)+('9.Инвестиционна програма'!H$132*SUMIF('11.1.Амортиз.нови активи'!$B$12:$B$59,$B118,'11.1.Амортиз.нови активи'!AO$12:AO$59))</f>
        <v>23.021239999999999</v>
      </c>
      <c r="U118" s="1136">
        <f>T118+SUMIF('11.1.Амортиз.нови активи'!$B$12:$B$59,$B118,'11.1.Амортиз.нови активи'!U$12:U$59)+('9.Инвестиционна програма'!I$132*SUMIF('11.1.Амортиз.нови активи'!$B$12:$B$59,$B118,'11.1.Амортиз.нови активи'!AP$12:AP$59))</f>
        <v>23.021239999999999</v>
      </c>
      <c r="V118" s="1136">
        <f>U118+SUMIF('11.1.Амортиз.нови активи'!$B$12:$B$59,$B118,'11.1.Амортиз.нови активи'!V$12:V$59)+('9.Инвестиционна програма'!J$132*SUMIF('11.1.Амортиз.нови активи'!$B$12:$B$59,$B118,'11.1.Амортиз.нови активи'!AQ$12:AQ$59))</f>
        <v>23.021239999999999</v>
      </c>
      <c r="W118" s="1136">
        <f>V118+SUMIF('11.1.Амортиз.нови активи'!$B$12:$B$59,$B118,'11.1.Амортиз.нови активи'!W$12:W$59)+('9.Инвестиционна програма'!K$132*SUMIF('11.1.Амортиз.нови активи'!$B$12:$B$59,$B118,'11.1.Амортиз.нови активи'!AR$12:AR$59))</f>
        <v>23.021239999999999</v>
      </c>
      <c r="X118" s="1136">
        <f>W118+SUMIF('11.1.Амортиз.нови активи'!$B$12:$B$59,$B118,'11.1.Амортиз.нови активи'!X$12:X$59)+('9.Инвестиционна програма'!L$132*SUMIF('11.1.Амортиз.нови активи'!$B$12:$B$59,$B118,'11.1.Амортиз.нови активи'!AS$12:AS$59))</f>
        <v>23.021239999999999</v>
      </c>
      <c r="Y118" s="2656">
        <f>X118+SUMIF('11.1.Амортиз.нови активи'!$B$12:$B$59,$B118,'11.1.Амортиз.нови активи'!Y$12:Y$59)+('9.Инвестиционна програма'!M$132*SUMIF('11.1.Амортиз.нови активи'!$B$12:$B$59,$B118,'11.1.Амортиз.нови активи'!AT$12:AT$59))</f>
        <v>23.021239999999999</v>
      </c>
      <c r="Z118" s="4453">
        <f>+'11.3. ДА Базова година'!T98</f>
        <v>0</v>
      </c>
      <c r="AA118" s="2655">
        <f>Z118+SUMIF('11.1.Амортиз.нови активи'!$B$12:$B$59,$B118,'11.1.Амортиз.нови активи'!AA$12:AA$59)</f>
        <v>0</v>
      </c>
      <c r="AB118" s="1136">
        <f>AA118+SUMIF('11.1.Амортиз.нови активи'!$B$12:$B$59,$B118,'11.1.Амортиз.нови активи'!AB$12:AB$59)</f>
        <v>0</v>
      </c>
      <c r="AC118" s="1136">
        <f>AB118+SUMIF('11.1.Амортиз.нови активи'!$B$12:$B$59,$B118,'11.1.Амортиз.нови активи'!AC$12:AC$59)</f>
        <v>0</v>
      </c>
      <c r="AD118" s="1136">
        <f>AC118+SUMIF('11.1.Амортиз.нови активи'!$B$12:$B$59,$B118,'11.1.Амортиз.нови активи'!AD$12:AD$59)</f>
        <v>0</v>
      </c>
      <c r="AE118" s="1136">
        <f>AD118+SUMIF('11.1.Амортиз.нови активи'!$B$12:$B$59,$B118,'11.1.Амортиз.нови активи'!AE$12:AE$59)</f>
        <v>0</v>
      </c>
      <c r="AF118" s="2656">
        <f>AE118+SUMIF('11.1.Амортиз.нови активи'!$B$12:$B$59,$B118,'11.1.Амортиз.нови активи'!AF$12:AF$59)</f>
        <v>0</v>
      </c>
      <c r="AG118" s="4453">
        <f>+'11.3. ДА Базова година'!X98</f>
        <v>4.5734694396711468</v>
      </c>
      <c r="AH118" s="2655">
        <f>AG118+SUMIF('11.1.Амортиз.нови активи'!$B$12:$B$59,$B118,'11.1.Амортиз.нови активи'!AH$12:AH$59)</f>
        <v>4.5734694396711468</v>
      </c>
      <c r="AI118" s="1136">
        <f>AH118+SUMIF('11.1.Амортиз.нови активи'!$B$12:$B$59,$B118,'11.1.Амортиз.нови активи'!AI$12:AI$59)</f>
        <v>4.5734694396711468</v>
      </c>
      <c r="AJ118" s="1136">
        <f>AI118+SUMIF('11.1.Амортиз.нови активи'!$B$12:$B$59,$B118,'11.1.Амортиз.нови активи'!AJ$12:AJ$59)</f>
        <v>4.5734694396711468</v>
      </c>
      <c r="AK118" s="1136">
        <f>AJ118+SUMIF('11.1.Амортиз.нови активи'!$B$12:$B$59,$B118,'11.1.Амортиз.нови активи'!AK$12:AK$59)</f>
        <v>4.5734694396711468</v>
      </c>
      <c r="AL118" s="1136">
        <f>AK118+SUMIF('11.1.Амортиз.нови активи'!$B$12:$B$59,$B118,'11.1.Амортиз.нови активи'!AL$12:AL$59)</f>
        <v>4.5734694396711468</v>
      </c>
      <c r="AM118" s="2656">
        <f>AL118+SUMIF('11.1.Амортиз.нови активи'!$B$12:$B$59,$B118,'11.1.Амортиз.нови активи'!AM$12:AM$59)</f>
        <v>4.5734694396711468</v>
      </c>
      <c r="AN118" s="2551"/>
      <c r="AO118" s="2589"/>
      <c r="AP118" s="4488"/>
      <c r="AQ118" s="4504">
        <f t="shared" si="174"/>
        <v>17.613044364964672</v>
      </c>
      <c r="AR118" s="4504">
        <f t="shared" si="175"/>
        <v>17.613044364964672</v>
      </c>
      <c r="AS118" s="4504">
        <f t="shared" si="176"/>
        <v>20.680795652141981</v>
      </c>
      <c r="AT118" s="4504">
        <f t="shared" si="177"/>
        <v>23.748546939319294</v>
      </c>
      <c r="AU118" s="4504">
        <f t="shared" si="178"/>
        <v>26.816298226496606</v>
      </c>
      <c r="AV118" s="4504">
        <f t="shared" si="179"/>
        <v>29.884049513673915</v>
      </c>
      <c r="AW118" s="4504">
        <f t="shared" si="180"/>
        <v>32.951800800851224</v>
      </c>
      <c r="AX118" s="4504">
        <f t="shared" si="181"/>
        <v>0</v>
      </c>
      <c r="AY118" s="4504">
        <f t="shared" si="182"/>
        <v>0</v>
      </c>
      <c r="AZ118" s="4504">
        <f t="shared" si="183"/>
        <v>0</v>
      </c>
      <c r="BA118" s="4504">
        <f t="shared" si="184"/>
        <v>0</v>
      </c>
      <c r="BB118" s="4504">
        <f t="shared" si="185"/>
        <v>0</v>
      </c>
      <c r="BC118" s="4504">
        <f t="shared" si="186"/>
        <v>0</v>
      </c>
      <c r="BD118" s="4504">
        <f t="shared" si="187"/>
        <v>0</v>
      </c>
      <c r="BE118" s="4504">
        <f t="shared" si="188"/>
        <v>11.770573107069632</v>
      </c>
      <c r="BF118" s="4504">
        <f t="shared" si="189"/>
        <v>11.770573107069632</v>
      </c>
      <c r="BG118" s="4504">
        <f t="shared" si="190"/>
        <v>11.770573107069632</v>
      </c>
      <c r="BH118" s="4504">
        <f t="shared" si="191"/>
        <v>11.770573107069632</v>
      </c>
      <c r="BI118" s="4504">
        <f t="shared" si="192"/>
        <v>11.770573107069632</v>
      </c>
      <c r="BJ118" s="4504">
        <f t="shared" si="193"/>
        <v>11.770573107069632</v>
      </c>
      <c r="BK118" s="4504">
        <f t="shared" si="194"/>
        <v>11.770573107069632</v>
      </c>
      <c r="BL118" s="4504">
        <f t="shared" si="195"/>
        <v>0</v>
      </c>
      <c r="BM118" s="4504">
        <f t="shared" si="196"/>
        <v>0</v>
      </c>
      <c r="BN118" s="4504">
        <f t="shared" si="197"/>
        <v>0</v>
      </c>
      <c r="BO118" s="4504">
        <f t="shared" si="198"/>
        <v>0</v>
      </c>
      <c r="BP118" s="4504">
        <f t="shared" si="199"/>
        <v>0</v>
      </c>
      <c r="BQ118" s="4504">
        <f t="shared" si="200"/>
        <v>0</v>
      </c>
      <c r="BR118" s="4504">
        <f t="shared" si="201"/>
        <v>0</v>
      </c>
      <c r="BS118" s="4504">
        <f t="shared" si="202"/>
        <v>2.3383777934028758</v>
      </c>
      <c r="BT118" s="4504">
        <f t="shared" si="203"/>
        <v>2.3383777934028758</v>
      </c>
      <c r="BU118" s="4504">
        <f t="shared" si="204"/>
        <v>2.3383777934028758</v>
      </c>
      <c r="BV118" s="4504">
        <f t="shared" si="205"/>
        <v>2.3383777934028758</v>
      </c>
      <c r="BW118" s="4504">
        <f t="shared" si="206"/>
        <v>2.3383777934028758</v>
      </c>
      <c r="BX118" s="4504">
        <f t="shared" si="207"/>
        <v>2.3383777934028758</v>
      </c>
      <c r="BY118" s="4504">
        <f t="shared" si="208"/>
        <v>2.3383777934028758</v>
      </c>
    </row>
    <row r="119" spans="1:77" s="1323" customFormat="1">
      <c r="A119" s="2553">
        <v>8</v>
      </c>
      <c r="B119" s="2554">
        <v>2040101</v>
      </c>
      <c r="C119" s="2610">
        <v>0.1</v>
      </c>
      <c r="D119" s="2584" t="s">
        <v>1016</v>
      </c>
      <c r="E119" s="4453">
        <f>+'11.3. ДА Базова година'!H99</f>
        <v>34.108702541127144</v>
      </c>
      <c r="F119" s="2655">
        <f>E119+SUMIF('11.1.Амортиз.нови активи'!$B$12:$B$59,$B119,'11.1.Амортиз.нови активи'!F$12:F$59)+('9.Инвестиционна програма'!H$130*SUMIF('11.1.Амортиз.нови активи'!$B$12:$B$59,$B119,'11.1.Амортиз.нови активи'!AO$12:AO$59))</f>
        <v>34.108702541127144</v>
      </c>
      <c r="G119" s="1136">
        <f>F119+SUMIF('11.1.Амортиз.нови активи'!$B$12:$B$59,$B119,'11.1.Амортиз.нови активи'!G$12:G$59)+('9.Инвестиционна програма'!I$130*SUMIF('11.1.Амортиз.нови активи'!$B$12:$B$59,$B119,'11.1.Амортиз.нови активи'!AP$12:AP$59))</f>
        <v>34.108702541127144</v>
      </c>
      <c r="H119" s="1136">
        <f>G119+SUMIF('11.1.Амортиз.нови активи'!$B$12:$B$59,$B119,'11.1.Амортиз.нови активи'!H$12:H$59)+('9.Инвестиционна програма'!J$130*SUMIF('11.1.Амортиз.нови активи'!$B$12:$B$59,$B119,'11.1.Амортиз.нови активи'!AQ$12:AQ$59))</f>
        <v>34.108702541127144</v>
      </c>
      <c r="I119" s="1136">
        <f>H119+SUMIF('11.1.Амортиз.нови активи'!$B$12:$B$59,$B119,'11.1.Амортиз.нови активи'!I$12:I$59)+('9.Инвестиционна програма'!K$130*SUMIF('11.1.Амортиз.нови активи'!$B$12:$B$59,$B119,'11.1.Амортиз.нови активи'!AR$12:AR$59))</f>
        <v>34.108702541127144</v>
      </c>
      <c r="J119" s="1136">
        <f>I119+SUMIF('11.1.Амортиз.нови активи'!$B$12:$B$59,$B119,'11.1.Амортиз.нови активи'!J$12:J$59)+('9.Инвестиционна програма'!L$130*SUMIF('11.1.Амортиз.нови активи'!$B$12:$B$59,$B119,'11.1.Амортиз.нови активи'!AS$12:AS$59))</f>
        <v>34.108702541127144</v>
      </c>
      <c r="K119" s="2656">
        <f>J119+SUMIF('11.1.Амортиз.нови активи'!$B$12:$B$59,$B119,'11.1.Амортиз.нови активи'!K$12:K$59)+('9.Инвестиционна програма'!M$130*SUMIF('11.1.Амортиз.нови активи'!$B$12:$B$59,$B119,'11.1.Амортиз.нови активи'!AT$12:AT$59))</f>
        <v>34.108702541127144</v>
      </c>
      <c r="L119" s="4453">
        <f>+'11.3. ДА Базова година'!L99</f>
        <v>0</v>
      </c>
      <c r="M119" s="2655">
        <f>L119+SUMIF('11.1.Амортиз.нови активи'!$B$12:$B$59,$B119,'11.1.Амортиз.нови активи'!M$12:M$59)+('9.Инвестиционна програма'!H$131*SUMIF('11.1.Амортиз.нови активи'!$B$12:$B$59,$B119,'11.1.Амортиз.нови активи'!AO$12:AO$59))</f>
        <v>0</v>
      </c>
      <c r="N119" s="1136">
        <f>M119+SUMIF('11.1.Амортиз.нови активи'!$B$12:$B$59,$B119,'11.1.Амортиз.нови активи'!N$12:N$59)+('9.Инвестиционна програма'!I$131*SUMIF('11.1.Амортиз.нови активи'!$B$12:$B$59,$B119,'11.1.Амортиз.нови активи'!AP$12:AP$59))</f>
        <v>0</v>
      </c>
      <c r="O119" s="1136">
        <f>N119+SUMIF('11.1.Амортиз.нови активи'!$B$12:$B$59,$B119,'11.1.Амортиз.нови активи'!O$12:O$59)+('9.Инвестиционна програма'!J$131*SUMIF('11.1.Амортиз.нови активи'!$B$12:$B$59,$B119,'11.1.Амортиз.нови активи'!AQ$12:AQ$59))</f>
        <v>0</v>
      </c>
      <c r="P119" s="1136">
        <f>O119+SUMIF('11.1.Амортиз.нови активи'!$B$12:$B$59,$B119,'11.1.Амортиз.нови активи'!P$12:P$59)+('9.Инвестиционна програма'!K$131*SUMIF('11.1.Амортиз.нови активи'!$B$12:$B$59,$B119,'11.1.Амортиз.нови активи'!AR$12:AR$59))</f>
        <v>0</v>
      </c>
      <c r="Q119" s="1136">
        <f>P119+SUMIF('11.1.Амортиз.нови активи'!$B$12:$B$59,$B119,'11.1.Амортиз.нови активи'!Q$12:Q$59)+('9.Инвестиционна програма'!L$131*SUMIF('11.1.Амортиз.нови активи'!$B$12:$B$59,$B119,'11.1.Амортиз.нови активи'!AS$12:AS$59))</f>
        <v>0</v>
      </c>
      <c r="R119" s="2656">
        <f>Q119+SUMIF('11.1.Амортиз.нови активи'!$B$12:$B$59,$B119,'11.1.Амортиз.нови активи'!R$12:R$59)+('9.Инвестиционна програма'!M$131*SUMIF('11.1.Амортиз.нови активи'!$B$12:$B$59,$B119,'11.1.Амортиз.нови активи'!AT$12:AT$59))</f>
        <v>0</v>
      </c>
      <c r="S119" s="4453">
        <f>+'11.3. ДА Базова година'!P99</f>
        <v>0</v>
      </c>
      <c r="T119" s="2655">
        <f>S119+SUMIF('11.1.Амортиз.нови активи'!$B$12:$B$59,$B119,'11.1.Амортиз.нови активи'!T$12:T$59)+('9.Инвестиционна програма'!H$132*SUMIF('11.1.Амортиз.нови активи'!$B$12:$B$59,$B119,'11.1.Амортиз.нови активи'!AO$12:AO$59))</f>
        <v>0</v>
      </c>
      <c r="U119" s="1136">
        <f>T119+SUMIF('11.1.Амортиз.нови активи'!$B$12:$B$59,$B119,'11.1.Амортиз.нови активи'!U$12:U$59)+('9.Инвестиционна програма'!I$132*SUMIF('11.1.Амортиз.нови активи'!$B$12:$B$59,$B119,'11.1.Амортиз.нови активи'!AP$12:AP$59))</f>
        <v>0</v>
      </c>
      <c r="V119" s="1136">
        <f>U119+SUMIF('11.1.Амортиз.нови активи'!$B$12:$B$59,$B119,'11.1.Амортиз.нови активи'!V$12:V$59)+('9.Инвестиционна програма'!J$132*SUMIF('11.1.Амортиз.нови активи'!$B$12:$B$59,$B119,'11.1.Амортиз.нови активи'!AQ$12:AQ$59))</f>
        <v>0</v>
      </c>
      <c r="W119" s="1136">
        <f>V119+SUMIF('11.1.Амортиз.нови активи'!$B$12:$B$59,$B119,'11.1.Амортиз.нови активи'!W$12:W$59)+('9.Инвестиционна програма'!K$132*SUMIF('11.1.Амортиз.нови активи'!$B$12:$B$59,$B119,'11.1.Амортиз.нови активи'!AR$12:AR$59))</f>
        <v>0</v>
      </c>
      <c r="X119" s="1136">
        <f>W119+SUMIF('11.1.Амортиз.нови активи'!$B$12:$B$59,$B119,'11.1.Амортиз.нови активи'!X$12:X$59)+('9.Инвестиционна програма'!L$132*SUMIF('11.1.Амортиз.нови активи'!$B$12:$B$59,$B119,'11.1.Амортиз.нови активи'!AS$12:AS$59))</f>
        <v>0</v>
      </c>
      <c r="Y119" s="2656">
        <f>X119+SUMIF('11.1.Амортиз.нови активи'!$B$12:$B$59,$B119,'11.1.Амортиз.нови активи'!Y$12:Y$59)+('9.Инвестиционна програма'!M$132*SUMIF('11.1.Амортиз.нови активи'!$B$12:$B$59,$B119,'11.1.Амортиз.нови активи'!AT$12:AT$59))</f>
        <v>0</v>
      </c>
      <c r="Z119" s="4453">
        <f>+'11.3. ДА Базова година'!T99</f>
        <v>0</v>
      </c>
      <c r="AA119" s="2655">
        <f>Z119+SUMIF('11.1.Амортиз.нови активи'!$B$12:$B$59,$B119,'11.1.Амортиз.нови активи'!AA$12:AA$59)</f>
        <v>0</v>
      </c>
      <c r="AB119" s="1136">
        <f>AA119+SUMIF('11.1.Амортиз.нови активи'!$B$12:$B$59,$B119,'11.1.Амортиз.нови активи'!AB$12:AB$59)</f>
        <v>0</v>
      </c>
      <c r="AC119" s="1136">
        <f>AB119+SUMIF('11.1.Амортиз.нови активи'!$B$12:$B$59,$B119,'11.1.Амортиз.нови активи'!AC$12:AC$59)</f>
        <v>0</v>
      </c>
      <c r="AD119" s="1136">
        <f>AC119+SUMIF('11.1.Амортиз.нови активи'!$B$12:$B$59,$B119,'11.1.Амортиз.нови активи'!AD$12:AD$59)</f>
        <v>0</v>
      </c>
      <c r="AE119" s="1136">
        <f>AD119+SUMIF('11.1.Амортиз.нови активи'!$B$12:$B$59,$B119,'11.1.Амортиз.нови активи'!AE$12:AE$59)</f>
        <v>0</v>
      </c>
      <c r="AF119" s="2656">
        <f>AE119+SUMIF('11.1.Амортиз.нови активи'!$B$12:$B$59,$B119,'11.1.Амортиз.нови активи'!AF$12:AF$59)</f>
        <v>0</v>
      </c>
      <c r="AG119" s="4453">
        <f>+'11.3. ДА Базова година'!X99</f>
        <v>1.7354074588728572</v>
      </c>
      <c r="AH119" s="2655">
        <f>AG119+SUMIF('11.1.Амортиз.нови активи'!$B$12:$B$59,$B119,'11.1.Амортиз.нови активи'!AH$12:AH$59)</f>
        <v>1.7354074588728572</v>
      </c>
      <c r="AI119" s="1136">
        <f>AH119+SUMIF('11.1.Амортиз.нови активи'!$B$12:$B$59,$B119,'11.1.Амортиз.нови активи'!AI$12:AI$59)</f>
        <v>1.7354074588728572</v>
      </c>
      <c r="AJ119" s="1136">
        <f>AI119+SUMIF('11.1.Амортиз.нови активи'!$B$12:$B$59,$B119,'11.1.Амортиз.нови активи'!AJ$12:AJ$59)</f>
        <v>1.7354074588728572</v>
      </c>
      <c r="AK119" s="1136">
        <f>AJ119+SUMIF('11.1.Амортиз.нови активи'!$B$12:$B$59,$B119,'11.1.Амортиз.нови активи'!AK$12:AK$59)</f>
        <v>1.7354074588728572</v>
      </c>
      <c r="AL119" s="1136">
        <f>AK119+SUMIF('11.1.Амортиз.нови активи'!$B$12:$B$59,$B119,'11.1.Амортиз.нови активи'!AL$12:AL$59)</f>
        <v>1.7354074588728572</v>
      </c>
      <c r="AM119" s="2656">
        <f>AL119+SUMIF('11.1.Амортиз.нови активи'!$B$12:$B$59,$B119,'11.1.Амортиз.нови активи'!AM$12:AM$59)</f>
        <v>1.7354074588728572</v>
      </c>
      <c r="AN119" s="2551"/>
      <c r="AO119" s="2589"/>
      <c r="AP119" s="4488"/>
      <c r="AQ119" s="4504">
        <f t="shared" si="174"/>
        <v>17.439502687415136</v>
      </c>
      <c r="AR119" s="4504">
        <f t="shared" si="175"/>
        <v>17.439502687415136</v>
      </c>
      <c r="AS119" s="4504">
        <f t="shared" si="176"/>
        <v>17.439502687415136</v>
      </c>
      <c r="AT119" s="4504">
        <f t="shared" si="177"/>
        <v>17.439502687415136</v>
      </c>
      <c r="AU119" s="4504">
        <f t="shared" si="178"/>
        <v>17.439502687415136</v>
      </c>
      <c r="AV119" s="4504">
        <f t="shared" si="179"/>
        <v>17.439502687415136</v>
      </c>
      <c r="AW119" s="4504">
        <f t="shared" si="180"/>
        <v>17.439502687415136</v>
      </c>
      <c r="AX119" s="4504">
        <f t="shared" si="181"/>
        <v>0</v>
      </c>
      <c r="AY119" s="4504">
        <f t="shared" si="182"/>
        <v>0</v>
      </c>
      <c r="AZ119" s="4504">
        <f t="shared" si="183"/>
        <v>0</v>
      </c>
      <c r="BA119" s="4504">
        <f t="shared" si="184"/>
        <v>0</v>
      </c>
      <c r="BB119" s="4504">
        <f t="shared" si="185"/>
        <v>0</v>
      </c>
      <c r="BC119" s="4504">
        <f t="shared" si="186"/>
        <v>0</v>
      </c>
      <c r="BD119" s="4504">
        <f t="shared" si="187"/>
        <v>0</v>
      </c>
      <c r="BE119" s="4504">
        <f t="shared" si="188"/>
        <v>0</v>
      </c>
      <c r="BF119" s="4504">
        <f t="shared" si="189"/>
        <v>0</v>
      </c>
      <c r="BG119" s="4504">
        <f t="shared" si="190"/>
        <v>0</v>
      </c>
      <c r="BH119" s="4504">
        <f t="shared" si="191"/>
        <v>0</v>
      </c>
      <c r="BI119" s="4504">
        <f t="shared" si="192"/>
        <v>0</v>
      </c>
      <c r="BJ119" s="4504">
        <f t="shared" si="193"/>
        <v>0</v>
      </c>
      <c r="BK119" s="4504">
        <f t="shared" si="194"/>
        <v>0</v>
      </c>
      <c r="BL119" s="4504">
        <f t="shared" si="195"/>
        <v>0</v>
      </c>
      <c r="BM119" s="4504">
        <f t="shared" si="196"/>
        <v>0</v>
      </c>
      <c r="BN119" s="4504">
        <f t="shared" si="197"/>
        <v>0</v>
      </c>
      <c r="BO119" s="4504">
        <f t="shared" si="198"/>
        <v>0</v>
      </c>
      <c r="BP119" s="4504">
        <f t="shared" si="199"/>
        <v>0</v>
      </c>
      <c r="BQ119" s="4504">
        <f t="shared" si="200"/>
        <v>0</v>
      </c>
      <c r="BR119" s="4504">
        <f t="shared" si="201"/>
        <v>0</v>
      </c>
      <c r="BS119" s="4504">
        <f t="shared" si="202"/>
        <v>0.88729974428905234</v>
      </c>
      <c r="BT119" s="4504">
        <f t="shared" si="203"/>
        <v>0.88729974428905234</v>
      </c>
      <c r="BU119" s="4504">
        <f t="shared" si="204"/>
        <v>0.88729974428905234</v>
      </c>
      <c r="BV119" s="4504">
        <f t="shared" si="205"/>
        <v>0.88729974428905234</v>
      </c>
      <c r="BW119" s="4504">
        <f t="shared" si="206"/>
        <v>0.88729974428905234</v>
      </c>
      <c r="BX119" s="4504">
        <f t="shared" si="207"/>
        <v>0.88729974428905234</v>
      </c>
      <c r="BY119" s="4504">
        <f t="shared" si="208"/>
        <v>0.88729974428905234</v>
      </c>
    </row>
    <row r="120" spans="1:77" s="1323" customFormat="1">
      <c r="A120" s="2611">
        <v>9</v>
      </c>
      <c r="B120" s="2554">
        <v>2040102</v>
      </c>
      <c r="C120" s="2610">
        <v>0.04</v>
      </c>
      <c r="D120" s="2584" t="s">
        <v>432</v>
      </c>
      <c r="E120" s="4453">
        <f>+'11.3. ДА Базова година'!H100</f>
        <v>1.28</v>
      </c>
      <c r="F120" s="2655">
        <f>E120+SUMIF('11.1.Амортиз.нови активи'!$B$12:$B$59,$B120,'11.1.Амортиз.нови активи'!F$12:F$59)+('9.Инвестиционна програма'!H$130*SUMIF('11.1.Амортиз.нови активи'!$B$12:$B$59,$B120,'11.1.Амортиз.нови активи'!AO$12:AO$59))</f>
        <v>1.28</v>
      </c>
      <c r="G120" s="1136">
        <f>F120+SUMIF('11.1.Амортиз.нови активи'!$B$12:$B$59,$B120,'11.1.Амортиз.нови активи'!G$12:G$59)+('9.Инвестиционна програма'!I$130*SUMIF('11.1.Амортиз.нови активи'!$B$12:$B$59,$B120,'11.1.Амортиз.нови активи'!AP$12:AP$59))</f>
        <v>1.28</v>
      </c>
      <c r="H120" s="1136">
        <f>G120+SUMIF('11.1.Амортиз.нови активи'!$B$12:$B$59,$B120,'11.1.Амортиз.нови активи'!H$12:H$59)+('9.Инвестиционна програма'!J$130*SUMIF('11.1.Амортиз.нови активи'!$B$12:$B$59,$B120,'11.1.Амортиз.нови активи'!AQ$12:AQ$59))</f>
        <v>1.28</v>
      </c>
      <c r="I120" s="1136">
        <f>H120+SUMIF('11.1.Амортиз.нови активи'!$B$12:$B$59,$B120,'11.1.Амортиз.нови активи'!I$12:I$59)+('9.Инвестиционна програма'!K$130*SUMIF('11.1.Амортиз.нови активи'!$B$12:$B$59,$B120,'11.1.Амортиз.нови активи'!AR$12:AR$59))</f>
        <v>1.28</v>
      </c>
      <c r="J120" s="1136">
        <f>I120+SUMIF('11.1.Амортиз.нови активи'!$B$12:$B$59,$B120,'11.1.Амортиз.нови активи'!J$12:J$59)+('9.Инвестиционна програма'!L$130*SUMIF('11.1.Амортиз.нови активи'!$B$12:$B$59,$B120,'11.1.Амортиз.нови активи'!AS$12:AS$59))</f>
        <v>1.28</v>
      </c>
      <c r="K120" s="2656">
        <f>J120+SUMIF('11.1.Амортиз.нови активи'!$B$12:$B$59,$B120,'11.1.Амортиз.нови активи'!K$12:K$59)+('9.Инвестиционна програма'!M$130*SUMIF('11.1.Амортиз.нови активи'!$B$12:$B$59,$B120,'11.1.Амортиз.нови активи'!AT$12:AT$59))</f>
        <v>1.28</v>
      </c>
      <c r="L120" s="4453">
        <f>+'11.3. ДА Базова година'!L100</f>
        <v>0</v>
      </c>
      <c r="M120" s="2655">
        <f>L120+SUMIF('11.1.Амортиз.нови активи'!$B$12:$B$59,$B120,'11.1.Амортиз.нови активи'!M$12:M$59)+('9.Инвестиционна програма'!H$131*SUMIF('11.1.Амортиз.нови активи'!$B$12:$B$59,$B120,'11.1.Амортиз.нови активи'!AO$12:AO$59))</f>
        <v>0</v>
      </c>
      <c r="N120" s="1136">
        <f>M120+SUMIF('11.1.Амортиз.нови активи'!$B$12:$B$59,$B120,'11.1.Амортиз.нови активи'!N$12:N$59)+('9.Инвестиционна програма'!I$131*SUMIF('11.1.Амортиз.нови активи'!$B$12:$B$59,$B120,'11.1.Амортиз.нови активи'!AP$12:AP$59))</f>
        <v>0</v>
      </c>
      <c r="O120" s="1136">
        <f>N120+SUMIF('11.1.Амортиз.нови активи'!$B$12:$B$59,$B120,'11.1.Амортиз.нови активи'!O$12:O$59)+('9.Инвестиционна програма'!J$131*SUMIF('11.1.Амортиз.нови активи'!$B$12:$B$59,$B120,'11.1.Амортиз.нови активи'!AQ$12:AQ$59))</f>
        <v>0</v>
      </c>
      <c r="P120" s="1136">
        <f>O120+SUMIF('11.1.Амортиз.нови активи'!$B$12:$B$59,$B120,'11.1.Амортиз.нови активи'!P$12:P$59)+('9.Инвестиционна програма'!K$131*SUMIF('11.1.Амортиз.нови активи'!$B$12:$B$59,$B120,'11.1.Амортиз.нови активи'!AR$12:AR$59))</f>
        <v>0</v>
      </c>
      <c r="Q120" s="1136">
        <f>P120+SUMIF('11.1.Амортиз.нови активи'!$B$12:$B$59,$B120,'11.1.Амортиз.нови активи'!Q$12:Q$59)+('9.Инвестиционна програма'!L$131*SUMIF('11.1.Амортиз.нови активи'!$B$12:$B$59,$B120,'11.1.Амортиз.нови активи'!AS$12:AS$59))</f>
        <v>0</v>
      </c>
      <c r="R120" s="2656">
        <f>Q120+SUMIF('11.1.Амортиз.нови активи'!$B$12:$B$59,$B120,'11.1.Амортиз.нови активи'!R$12:R$59)+('9.Инвестиционна програма'!M$131*SUMIF('11.1.Амортиз.нови активи'!$B$12:$B$59,$B120,'11.1.Амортиз.нови активи'!AT$12:AT$59))</f>
        <v>0</v>
      </c>
      <c r="S120" s="4453">
        <f>+'11.3. ДА Базова година'!P100</f>
        <v>0</v>
      </c>
      <c r="T120" s="2655">
        <f>S120+SUMIF('11.1.Амортиз.нови активи'!$B$12:$B$59,$B120,'11.1.Амортиз.нови активи'!T$12:T$59)+('9.Инвестиционна програма'!H$132*SUMIF('11.1.Амортиз.нови активи'!$B$12:$B$59,$B120,'11.1.Амортиз.нови активи'!AO$12:AO$59))</f>
        <v>0</v>
      </c>
      <c r="U120" s="1136">
        <f>T120+SUMIF('11.1.Амортиз.нови активи'!$B$12:$B$59,$B120,'11.1.Амортиз.нови активи'!U$12:U$59)+('9.Инвестиционна програма'!I$132*SUMIF('11.1.Амортиз.нови активи'!$B$12:$B$59,$B120,'11.1.Амортиз.нови активи'!AP$12:AP$59))</f>
        <v>0</v>
      </c>
      <c r="V120" s="1136">
        <f>U120+SUMIF('11.1.Амортиз.нови активи'!$B$12:$B$59,$B120,'11.1.Амортиз.нови активи'!V$12:V$59)+('9.Инвестиционна програма'!J$132*SUMIF('11.1.Амортиз.нови активи'!$B$12:$B$59,$B120,'11.1.Амортиз.нови активи'!AQ$12:AQ$59))</f>
        <v>0</v>
      </c>
      <c r="W120" s="1136">
        <f>V120+SUMIF('11.1.Амортиз.нови активи'!$B$12:$B$59,$B120,'11.1.Амортиз.нови активи'!W$12:W$59)+('9.Инвестиционна програма'!K$132*SUMIF('11.1.Амортиз.нови активи'!$B$12:$B$59,$B120,'11.1.Амортиз.нови активи'!AR$12:AR$59))</f>
        <v>0</v>
      </c>
      <c r="X120" s="1136">
        <f>W120+SUMIF('11.1.Амортиз.нови активи'!$B$12:$B$59,$B120,'11.1.Амортиз.нови активи'!X$12:X$59)+('9.Инвестиционна програма'!L$132*SUMIF('11.1.Амортиз.нови активи'!$B$12:$B$59,$B120,'11.1.Амортиз.нови активи'!AS$12:AS$59))</f>
        <v>0</v>
      </c>
      <c r="Y120" s="2656">
        <f>X120+SUMIF('11.1.Амортиз.нови активи'!$B$12:$B$59,$B120,'11.1.Амортиз.нови активи'!Y$12:Y$59)+('9.Инвестиционна програма'!M$132*SUMIF('11.1.Амортиз.нови активи'!$B$12:$B$59,$B120,'11.1.Амортиз.нови активи'!AT$12:AT$59))</f>
        <v>0</v>
      </c>
      <c r="Z120" s="4453">
        <f>+'11.3. ДА Базова година'!T100</f>
        <v>0</v>
      </c>
      <c r="AA120" s="2655">
        <f>Z120+SUMIF('11.1.Амортиз.нови активи'!$B$12:$B$59,$B120,'11.1.Амортиз.нови активи'!AA$12:AA$59)</f>
        <v>0</v>
      </c>
      <c r="AB120" s="1136">
        <f>AA120+SUMIF('11.1.Амортиз.нови активи'!$B$12:$B$59,$B120,'11.1.Амортиз.нови активи'!AB$12:AB$59)</f>
        <v>0</v>
      </c>
      <c r="AC120" s="1136">
        <f>AB120+SUMIF('11.1.Амортиз.нови активи'!$B$12:$B$59,$B120,'11.1.Амортиз.нови активи'!AC$12:AC$59)</f>
        <v>0</v>
      </c>
      <c r="AD120" s="1136">
        <f>AC120+SUMIF('11.1.Амортиз.нови активи'!$B$12:$B$59,$B120,'11.1.Амортиз.нови активи'!AD$12:AD$59)</f>
        <v>0</v>
      </c>
      <c r="AE120" s="1136">
        <f>AD120+SUMIF('11.1.Амортиз.нови активи'!$B$12:$B$59,$B120,'11.1.Амортиз.нови активи'!AE$12:AE$59)</f>
        <v>0</v>
      </c>
      <c r="AF120" s="2656">
        <f>AE120+SUMIF('11.1.Амортиз.нови активи'!$B$12:$B$59,$B120,'11.1.Амортиз.нови активи'!AF$12:AF$59)</f>
        <v>0</v>
      </c>
      <c r="AG120" s="4453">
        <f>+'11.3. ДА Базова година'!X100</f>
        <v>0</v>
      </c>
      <c r="AH120" s="2655">
        <f>AG120+SUMIF('11.1.Амортиз.нови активи'!$B$12:$B$59,$B120,'11.1.Амортиз.нови активи'!AH$12:AH$59)</f>
        <v>0</v>
      </c>
      <c r="AI120" s="1136">
        <f>AH120+SUMIF('11.1.Амортиз.нови активи'!$B$12:$B$59,$B120,'11.1.Амортиз.нови активи'!AI$12:AI$59)</f>
        <v>0</v>
      </c>
      <c r="AJ120" s="1136">
        <f>AI120+SUMIF('11.1.Амортиз.нови активи'!$B$12:$B$59,$B120,'11.1.Амортиз.нови активи'!AJ$12:AJ$59)</f>
        <v>0</v>
      </c>
      <c r="AK120" s="1136">
        <f>AJ120+SUMIF('11.1.Амортиз.нови активи'!$B$12:$B$59,$B120,'11.1.Амортиз.нови активи'!AK$12:AK$59)</f>
        <v>0</v>
      </c>
      <c r="AL120" s="1136">
        <f>AK120+SUMIF('11.1.Амортиз.нови активи'!$B$12:$B$59,$B120,'11.1.Амортиз.нови активи'!AL$12:AL$59)</f>
        <v>0</v>
      </c>
      <c r="AM120" s="2656">
        <f>AL120+SUMIF('11.1.Амортиз.нови активи'!$B$12:$B$59,$B120,'11.1.Амортиз.нови активи'!AM$12:AM$59)</f>
        <v>0</v>
      </c>
      <c r="AN120" s="2551"/>
      <c r="AO120" s="2589"/>
      <c r="AP120" s="4488"/>
      <c r="AQ120" s="4504">
        <f t="shared" si="174"/>
        <v>0.6544536079311597</v>
      </c>
      <c r="AR120" s="4504">
        <f t="shared" si="175"/>
        <v>0.6544536079311597</v>
      </c>
      <c r="AS120" s="4504">
        <f t="shared" si="176"/>
        <v>0.6544536079311597</v>
      </c>
      <c r="AT120" s="4504">
        <f t="shared" si="177"/>
        <v>0.6544536079311597</v>
      </c>
      <c r="AU120" s="4504">
        <f t="shared" si="178"/>
        <v>0.6544536079311597</v>
      </c>
      <c r="AV120" s="4504">
        <f t="shared" si="179"/>
        <v>0.6544536079311597</v>
      </c>
      <c r="AW120" s="4504">
        <f t="shared" si="180"/>
        <v>0.6544536079311597</v>
      </c>
      <c r="AX120" s="4504">
        <f t="shared" si="181"/>
        <v>0</v>
      </c>
      <c r="AY120" s="4504">
        <f t="shared" si="182"/>
        <v>0</v>
      </c>
      <c r="AZ120" s="4504">
        <f t="shared" si="183"/>
        <v>0</v>
      </c>
      <c r="BA120" s="4504">
        <f t="shared" si="184"/>
        <v>0</v>
      </c>
      <c r="BB120" s="4504">
        <f t="shared" si="185"/>
        <v>0</v>
      </c>
      <c r="BC120" s="4504">
        <f t="shared" si="186"/>
        <v>0</v>
      </c>
      <c r="BD120" s="4504">
        <f t="shared" si="187"/>
        <v>0</v>
      </c>
      <c r="BE120" s="4504">
        <f t="shared" si="188"/>
        <v>0</v>
      </c>
      <c r="BF120" s="4504">
        <f t="shared" si="189"/>
        <v>0</v>
      </c>
      <c r="BG120" s="4504">
        <f t="shared" si="190"/>
        <v>0</v>
      </c>
      <c r="BH120" s="4504">
        <f t="shared" si="191"/>
        <v>0</v>
      </c>
      <c r="BI120" s="4504">
        <f t="shared" si="192"/>
        <v>0</v>
      </c>
      <c r="BJ120" s="4504">
        <f t="shared" si="193"/>
        <v>0</v>
      </c>
      <c r="BK120" s="4504">
        <f t="shared" si="194"/>
        <v>0</v>
      </c>
      <c r="BL120" s="4504">
        <f t="shared" si="195"/>
        <v>0</v>
      </c>
      <c r="BM120" s="4504">
        <f t="shared" si="196"/>
        <v>0</v>
      </c>
      <c r="BN120" s="4504">
        <f t="shared" si="197"/>
        <v>0</v>
      </c>
      <c r="BO120" s="4504">
        <f t="shared" si="198"/>
        <v>0</v>
      </c>
      <c r="BP120" s="4504">
        <f t="shared" si="199"/>
        <v>0</v>
      </c>
      <c r="BQ120" s="4504">
        <f t="shared" si="200"/>
        <v>0</v>
      </c>
      <c r="BR120" s="4504">
        <f t="shared" si="201"/>
        <v>0</v>
      </c>
      <c r="BS120" s="4504">
        <f t="shared" si="202"/>
        <v>0</v>
      </c>
      <c r="BT120" s="4504">
        <f t="shared" si="203"/>
        <v>0</v>
      </c>
      <c r="BU120" s="4504">
        <f t="shared" si="204"/>
        <v>0</v>
      </c>
      <c r="BV120" s="4504">
        <f t="shared" si="205"/>
        <v>0</v>
      </c>
      <c r="BW120" s="4504">
        <f t="shared" si="206"/>
        <v>0</v>
      </c>
      <c r="BX120" s="4504">
        <f t="shared" si="207"/>
        <v>0</v>
      </c>
      <c r="BY120" s="4504">
        <f t="shared" si="208"/>
        <v>0</v>
      </c>
    </row>
    <row r="121" spans="1:77" s="1323" customFormat="1">
      <c r="A121" s="2611">
        <v>10</v>
      </c>
      <c r="B121" s="2554">
        <v>2040201</v>
      </c>
      <c r="C121" s="2555">
        <v>0.02</v>
      </c>
      <c r="D121" s="2585" t="s">
        <v>738</v>
      </c>
      <c r="E121" s="4453">
        <f>+'11.3. ДА Базова година'!H101</f>
        <v>0</v>
      </c>
      <c r="F121" s="2655">
        <f>E121+SUMIF('11.1.Амортиз.нови активи'!$B$12:$B$59,$B121,'11.1.Амортиз.нови активи'!F$12:F$59)+('9.Инвестиционна програма'!H$130*SUMIF('11.1.Амортиз.нови активи'!$B$12:$B$59,$B121,'11.1.Амортиз.нови активи'!AO$12:AO$59))</f>
        <v>0</v>
      </c>
      <c r="G121" s="1136">
        <f>F121+SUMIF('11.1.Амортиз.нови активи'!$B$12:$B$59,$B121,'11.1.Амортиз.нови активи'!G$12:G$59)+('9.Инвестиционна програма'!I$130*SUMIF('11.1.Амортиз.нови активи'!$B$12:$B$59,$B121,'11.1.Амортиз.нови активи'!AP$12:AP$59))</f>
        <v>0</v>
      </c>
      <c r="H121" s="1136">
        <f>G121+SUMIF('11.1.Амортиз.нови активи'!$B$12:$B$59,$B121,'11.1.Амортиз.нови активи'!H$12:H$59)+('9.Инвестиционна програма'!J$130*SUMIF('11.1.Амортиз.нови активи'!$B$12:$B$59,$B121,'11.1.Амортиз.нови активи'!AQ$12:AQ$59))</f>
        <v>0</v>
      </c>
      <c r="I121" s="1136">
        <f>H121+SUMIF('11.1.Амортиз.нови активи'!$B$12:$B$59,$B121,'11.1.Амортиз.нови активи'!I$12:I$59)+('9.Инвестиционна програма'!K$130*SUMIF('11.1.Амортиз.нови активи'!$B$12:$B$59,$B121,'11.1.Амортиз.нови активи'!AR$12:AR$59))</f>
        <v>0</v>
      </c>
      <c r="J121" s="1136">
        <f>I121+SUMIF('11.1.Амортиз.нови активи'!$B$12:$B$59,$B121,'11.1.Амортиз.нови активи'!J$12:J$59)+('9.Инвестиционна програма'!L$130*SUMIF('11.1.Амортиз.нови активи'!$B$12:$B$59,$B121,'11.1.Амортиз.нови активи'!AS$12:AS$59))</f>
        <v>0</v>
      </c>
      <c r="K121" s="2656">
        <f>J121+SUMIF('11.1.Амортиз.нови активи'!$B$12:$B$59,$B121,'11.1.Амортиз.нови активи'!K$12:K$59)+('9.Инвестиционна програма'!M$130*SUMIF('11.1.Амортиз.нови активи'!$B$12:$B$59,$B121,'11.1.Амортиз.нови активи'!AT$12:AT$59))</f>
        <v>0</v>
      </c>
      <c r="L121" s="4453">
        <f>+'11.3. ДА Базова година'!L101</f>
        <v>0</v>
      </c>
      <c r="M121" s="2655">
        <f>L121+SUMIF('11.1.Амортиз.нови активи'!$B$12:$B$59,$B121,'11.1.Амортиз.нови активи'!M$12:M$59)+('9.Инвестиционна програма'!H$131*SUMIF('11.1.Амортиз.нови активи'!$B$12:$B$59,$B121,'11.1.Амортиз.нови активи'!AO$12:AO$59))</f>
        <v>0</v>
      </c>
      <c r="N121" s="1136">
        <f>M121+SUMIF('11.1.Амортиз.нови активи'!$B$12:$B$59,$B121,'11.1.Амортиз.нови активи'!N$12:N$59)+('9.Инвестиционна програма'!I$131*SUMIF('11.1.Амортиз.нови активи'!$B$12:$B$59,$B121,'11.1.Амортиз.нови активи'!AP$12:AP$59))</f>
        <v>0</v>
      </c>
      <c r="O121" s="1136">
        <f>N121+SUMIF('11.1.Амортиз.нови активи'!$B$12:$B$59,$B121,'11.1.Амортиз.нови активи'!O$12:O$59)+('9.Инвестиционна програма'!J$131*SUMIF('11.1.Амортиз.нови активи'!$B$12:$B$59,$B121,'11.1.Амортиз.нови активи'!AQ$12:AQ$59))</f>
        <v>0</v>
      </c>
      <c r="P121" s="1136">
        <f>O121+SUMIF('11.1.Амортиз.нови активи'!$B$12:$B$59,$B121,'11.1.Амортиз.нови активи'!P$12:P$59)+('9.Инвестиционна програма'!K$131*SUMIF('11.1.Амортиз.нови активи'!$B$12:$B$59,$B121,'11.1.Амортиз.нови активи'!AR$12:AR$59))</f>
        <v>0</v>
      </c>
      <c r="Q121" s="1136">
        <f>P121+SUMIF('11.1.Амортиз.нови активи'!$B$12:$B$59,$B121,'11.1.Амортиз.нови активи'!Q$12:Q$59)+('9.Инвестиционна програма'!L$131*SUMIF('11.1.Амортиз.нови активи'!$B$12:$B$59,$B121,'11.1.Амортиз.нови активи'!AS$12:AS$59))</f>
        <v>0</v>
      </c>
      <c r="R121" s="2656">
        <f>Q121+SUMIF('11.1.Амортиз.нови активи'!$B$12:$B$59,$B121,'11.1.Амортиз.нови активи'!R$12:R$59)+('9.Инвестиционна програма'!M$131*SUMIF('11.1.Амортиз.нови активи'!$B$12:$B$59,$B121,'11.1.Амортиз.нови активи'!AT$12:AT$59))</f>
        <v>0</v>
      </c>
      <c r="S121" s="4453">
        <f>+'11.3. ДА Базова година'!P101</f>
        <v>0</v>
      </c>
      <c r="T121" s="2655">
        <f>S121+SUMIF('11.1.Амортиз.нови активи'!$B$12:$B$59,$B121,'11.1.Амортиз.нови активи'!T$12:T$59)+('9.Инвестиционна програма'!H$132*SUMIF('11.1.Амортиз.нови активи'!$B$12:$B$59,$B121,'11.1.Амортиз.нови активи'!AO$12:AO$59))</f>
        <v>0</v>
      </c>
      <c r="U121" s="1136">
        <f>T121+SUMIF('11.1.Амортиз.нови активи'!$B$12:$B$59,$B121,'11.1.Амортиз.нови активи'!U$12:U$59)+('9.Инвестиционна програма'!I$132*SUMIF('11.1.Амортиз.нови активи'!$B$12:$B$59,$B121,'11.1.Амортиз.нови активи'!AP$12:AP$59))</f>
        <v>0</v>
      </c>
      <c r="V121" s="1136">
        <f>U121+SUMIF('11.1.Амортиз.нови активи'!$B$12:$B$59,$B121,'11.1.Амортиз.нови активи'!V$12:V$59)+('9.Инвестиционна програма'!J$132*SUMIF('11.1.Амортиз.нови активи'!$B$12:$B$59,$B121,'11.1.Амортиз.нови активи'!AQ$12:AQ$59))</f>
        <v>0</v>
      </c>
      <c r="W121" s="1136">
        <f>V121+SUMIF('11.1.Амортиз.нови активи'!$B$12:$B$59,$B121,'11.1.Амортиз.нови активи'!W$12:W$59)+('9.Инвестиционна програма'!K$132*SUMIF('11.1.Амортиз.нови активи'!$B$12:$B$59,$B121,'11.1.Амортиз.нови активи'!AR$12:AR$59))</f>
        <v>0</v>
      </c>
      <c r="X121" s="1136">
        <f>W121+SUMIF('11.1.Амортиз.нови активи'!$B$12:$B$59,$B121,'11.1.Амортиз.нови активи'!X$12:X$59)+('9.Инвестиционна програма'!L$132*SUMIF('11.1.Амортиз.нови активи'!$B$12:$B$59,$B121,'11.1.Амортиз.нови активи'!AS$12:AS$59))</f>
        <v>0</v>
      </c>
      <c r="Y121" s="2656">
        <f>X121+SUMIF('11.1.Амортиз.нови активи'!$B$12:$B$59,$B121,'11.1.Амортиз.нови активи'!Y$12:Y$59)+('9.Инвестиционна програма'!M$132*SUMIF('11.1.Амортиз.нови активи'!$B$12:$B$59,$B121,'11.1.Амортиз.нови активи'!AT$12:AT$59))</f>
        <v>0</v>
      </c>
      <c r="Z121" s="4453">
        <f>+'11.3. ДА Базова година'!T101</f>
        <v>0</v>
      </c>
      <c r="AA121" s="2655">
        <f>Z121+SUMIF('11.1.Амортиз.нови активи'!$B$12:$B$59,$B121,'11.1.Амортиз.нови активи'!AA$12:AA$59)</f>
        <v>0</v>
      </c>
      <c r="AB121" s="1136">
        <f>AA121+SUMIF('11.1.Амортиз.нови активи'!$B$12:$B$59,$B121,'11.1.Амортиз.нови активи'!AB$12:AB$59)</f>
        <v>0</v>
      </c>
      <c r="AC121" s="1136">
        <f>AB121+SUMIF('11.1.Амортиз.нови активи'!$B$12:$B$59,$B121,'11.1.Амортиз.нови активи'!AC$12:AC$59)</f>
        <v>0</v>
      </c>
      <c r="AD121" s="1136">
        <f>AC121+SUMIF('11.1.Амортиз.нови активи'!$B$12:$B$59,$B121,'11.1.Амортиз.нови активи'!AD$12:AD$59)</f>
        <v>0</v>
      </c>
      <c r="AE121" s="1136">
        <f>AD121+SUMIF('11.1.Амортиз.нови активи'!$B$12:$B$59,$B121,'11.1.Амортиз.нови активи'!AE$12:AE$59)</f>
        <v>0</v>
      </c>
      <c r="AF121" s="2656">
        <f>AE121+SUMIF('11.1.Амортиз.нови активи'!$B$12:$B$59,$B121,'11.1.Амортиз.нови активи'!AF$12:AF$59)</f>
        <v>0</v>
      </c>
      <c r="AG121" s="4453">
        <f>+'11.3. ДА Базова година'!X101</f>
        <v>0</v>
      </c>
      <c r="AH121" s="2655">
        <f>AG121+SUMIF('11.1.Амортиз.нови активи'!$B$12:$B$59,$B121,'11.1.Амортиз.нови активи'!AH$12:AH$59)</f>
        <v>0</v>
      </c>
      <c r="AI121" s="1136">
        <f>AH121+SUMIF('11.1.Амортиз.нови активи'!$B$12:$B$59,$B121,'11.1.Амортиз.нови активи'!AI$12:AI$59)</f>
        <v>0</v>
      </c>
      <c r="AJ121" s="1136">
        <f>AI121+SUMIF('11.1.Амортиз.нови активи'!$B$12:$B$59,$B121,'11.1.Амортиз.нови активи'!AJ$12:AJ$59)</f>
        <v>0</v>
      </c>
      <c r="AK121" s="1136">
        <f>AJ121+SUMIF('11.1.Амортиз.нови активи'!$B$12:$B$59,$B121,'11.1.Амортиз.нови активи'!AK$12:AK$59)</f>
        <v>0</v>
      </c>
      <c r="AL121" s="1136">
        <f>AK121+SUMIF('11.1.Амортиз.нови активи'!$B$12:$B$59,$B121,'11.1.Амортиз.нови активи'!AL$12:AL$59)</f>
        <v>0</v>
      </c>
      <c r="AM121" s="2656">
        <f>AL121+SUMIF('11.1.Амортиз.нови активи'!$B$12:$B$59,$B121,'11.1.Амортиз.нови активи'!AM$12:AM$59)</f>
        <v>0</v>
      </c>
      <c r="AN121" s="2551"/>
      <c r="AO121" s="2589"/>
      <c r="AP121" s="4488"/>
      <c r="AQ121" s="4504">
        <f t="shared" si="174"/>
        <v>0</v>
      </c>
      <c r="AR121" s="4504">
        <f t="shared" si="175"/>
        <v>0</v>
      </c>
      <c r="AS121" s="4504">
        <f t="shared" si="176"/>
        <v>0</v>
      </c>
      <c r="AT121" s="4504">
        <f t="shared" si="177"/>
        <v>0</v>
      </c>
      <c r="AU121" s="4504">
        <f t="shared" si="178"/>
        <v>0</v>
      </c>
      <c r="AV121" s="4504">
        <f t="shared" si="179"/>
        <v>0</v>
      </c>
      <c r="AW121" s="4504">
        <f t="shared" si="180"/>
        <v>0</v>
      </c>
      <c r="AX121" s="4504">
        <f t="shared" si="181"/>
        <v>0</v>
      </c>
      <c r="AY121" s="4504">
        <f t="shared" si="182"/>
        <v>0</v>
      </c>
      <c r="AZ121" s="4504">
        <f t="shared" si="183"/>
        <v>0</v>
      </c>
      <c r="BA121" s="4504">
        <f t="shared" si="184"/>
        <v>0</v>
      </c>
      <c r="BB121" s="4504">
        <f t="shared" si="185"/>
        <v>0</v>
      </c>
      <c r="BC121" s="4504">
        <f t="shared" si="186"/>
        <v>0</v>
      </c>
      <c r="BD121" s="4504">
        <f t="shared" si="187"/>
        <v>0</v>
      </c>
      <c r="BE121" s="4504">
        <f t="shared" si="188"/>
        <v>0</v>
      </c>
      <c r="BF121" s="4504">
        <f t="shared" si="189"/>
        <v>0</v>
      </c>
      <c r="BG121" s="4504">
        <f t="shared" si="190"/>
        <v>0</v>
      </c>
      <c r="BH121" s="4504">
        <f t="shared" si="191"/>
        <v>0</v>
      </c>
      <c r="BI121" s="4504">
        <f t="shared" si="192"/>
        <v>0</v>
      </c>
      <c r="BJ121" s="4504">
        <f t="shared" si="193"/>
        <v>0</v>
      </c>
      <c r="BK121" s="4504">
        <f t="shared" si="194"/>
        <v>0</v>
      </c>
      <c r="BL121" s="4504">
        <f t="shared" si="195"/>
        <v>0</v>
      </c>
      <c r="BM121" s="4504">
        <f t="shared" si="196"/>
        <v>0</v>
      </c>
      <c r="BN121" s="4504">
        <f t="shared" si="197"/>
        <v>0</v>
      </c>
      <c r="BO121" s="4504">
        <f t="shared" si="198"/>
        <v>0</v>
      </c>
      <c r="BP121" s="4504">
        <f t="shared" si="199"/>
        <v>0</v>
      </c>
      <c r="BQ121" s="4504">
        <f t="shared" si="200"/>
        <v>0</v>
      </c>
      <c r="BR121" s="4504">
        <f t="shared" si="201"/>
        <v>0</v>
      </c>
      <c r="BS121" s="4504">
        <f t="shared" si="202"/>
        <v>0</v>
      </c>
      <c r="BT121" s="4504">
        <f t="shared" si="203"/>
        <v>0</v>
      </c>
      <c r="BU121" s="4504">
        <f t="shared" si="204"/>
        <v>0</v>
      </c>
      <c r="BV121" s="4504">
        <f t="shared" si="205"/>
        <v>0</v>
      </c>
      <c r="BW121" s="4504">
        <f t="shared" si="206"/>
        <v>0</v>
      </c>
      <c r="BX121" s="4504">
        <f t="shared" si="207"/>
        <v>0</v>
      </c>
      <c r="BY121" s="4504">
        <f t="shared" si="208"/>
        <v>0</v>
      </c>
    </row>
    <row r="122" spans="1:77" s="1323" customFormat="1">
      <c r="A122" s="2611">
        <v>11</v>
      </c>
      <c r="B122" s="2554">
        <v>2040202</v>
      </c>
      <c r="C122" s="2555">
        <v>0.02</v>
      </c>
      <c r="D122" s="2585" t="s">
        <v>739</v>
      </c>
      <c r="E122" s="4453">
        <f>+'11.3. ДА Базова година'!H102</f>
        <v>104.91771527341668</v>
      </c>
      <c r="F122" s="2655">
        <f>E122+SUMIF('11.1.Амортиз.нови активи'!$B$12:$B$59,$B122,'11.1.Амортиз.нови активи'!F$12:F$59)+('9.Инвестиционна програма'!H$130*SUMIF('11.1.Амортиз.нови активи'!$B$12:$B$59,$B122,'11.1.Амортиз.нови активи'!AO$12:AO$59))</f>
        <v>106.91771527341668</v>
      </c>
      <c r="G122" s="1136">
        <f>F122+SUMIF('11.1.Амортиз.нови активи'!$B$12:$B$59,$B122,'11.1.Амортиз.нови активи'!G$12:G$59)+('9.Инвестиционна програма'!I$130*SUMIF('11.1.Амортиз.нови активи'!$B$12:$B$59,$B122,'11.1.Амортиз.нови активи'!AP$12:AP$59))</f>
        <v>109.91771527341668</v>
      </c>
      <c r="H122" s="1136">
        <f>G122+SUMIF('11.1.Амортиз.нови активи'!$B$12:$B$59,$B122,'11.1.Амортиз.нови активи'!H$12:H$59)+('9.Инвестиционна програма'!J$130*SUMIF('11.1.Амортиз.нови активи'!$B$12:$B$59,$B122,'11.1.Амортиз.нови активи'!AQ$12:AQ$59))</f>
        <v>112.91771527341668</v>
      </c>
      <c r="I122" s="1136">
        <f>H122+SUMIF('11.1.Амортиз.нови активи'!$B$12:$B$59,$B122,'11.1.Амортиз.нови активи'!I$12:I$59)+('9.Инвестиционна програма'!K$130*SUMIF('11.1.Амортиз.нови активи'!$B$12:$B$59,$B122,'11.1.Амортиз.нови активи'!AR$12:AR$59))</f>
        <v>115.91771527341668</v>
      </c>
      <c r="J122" s="1136">
        <f>I122+SUMIF('11.1.Амортиз.нови активи'!$B$12:$B$59,$B122,'11.1.Амортиз.нови активи'!J$12:J$59)+('9.Инвестиционна програма'!L$130*SUMIF('11.1.Амортиз.нови активи'!$B$12:$B$59,$B122,'11.1.Амортиз.нови активи'!AS$12:AS$59))</f>
        <v>118.91771527341668</v>
      </c>
      <c r="K122" s="2656">
        <f>J122+SUMIF('11.1.Амортиз.нови активи'!$B$12:$B$59,$B122,'11.1.Амортиз.нови активи'!K$12:K$59)+('9.Инвестиционна програма'!M$130*SUMIF('11.1.Амортиз.нови активи'!$B$12:$B$59,$B122,'11.1.Амортиз.нови активи'!AT$12:AT$59))</f>
        <v>121.91771527341668</v>
      </c>
      <c r="L122" s="4453">
        <f>+'11.3. ДА Базова година'!L102</f>
        <v>0</v>
      </c>
      <c r="M122" s="2655">
        <f>L122+SUMIF('11.1.Амортиз.нови активи'!$B$12:$B$59,$B122,'11.1.Амортиз.нови активи'!M$12:M$59)+('9.Инвестиционна програма'!H$131*SUMIF('11.1.Амортиз.нови активи'!$B$12:$B$59,$B122,'11.1.Амортиз.нови активи'!AO$12:AO$59))</f>
        <v>0</v>
      </c>
      <c r="N122" s="1136">
        <f>M122+SUMIF('11.1.Амортиз.нови активи'!$B$12:$B$59,$B122,'11.1.Амортиз.нови активи'!N$12:N$59)+('9.Инвестиционна програма'!I$131*SUMIF('11.1.Амортиз.нови активи'!$B$12:$B$59,$B122,'11.1.Амортиз.нови активи'!AP$12:AP$59))</f>
        <v>0</v>
      </c>
      <c r="O122" s="1136">
        <f>N122+SUMIF('11.1.Амортиз.нови активи'!$B$12:$B$59,$B122,'11.1.Амортиз.нови активи'!O$12:O$59)+('9.Инвестиционна програма'!J$131*SUMIF('11.1.Амортиз.нови активи'!$B$12:$B$59,$B122,'11.1.Амортиз.нови активи'!AQ$12:AQ$59))</f>
        <v>0</v>
      </c>
      <c r="P122" s="1136">
        <f>O122+SUMIF('11.1.Амортиз.нови активи'!$B$12:$B$59,$B122,'11.1.Амортиз.нови активи'!P$12:P$59)+('9.Инвестиционна програма'!K$131*SUMIF('11.1.Амортиз.нови активи'!$B$12:$B$59,$B122,'11.1.Амортиз.нови активи'!AR$12:AR$59))</f>
        <v>0</v>
      </c>
      <c r="Q122" s="1136">
        <f>P122+SUMIF('11.1.Амортиз.нови активи'!$B$12:$B$59,$B122,'11.1.Амортиз.нови активи'!Q$12:Q$59)+('9.Инвестиционна програма'!L$131*SUMIF('11.1.Амортиз.нови активи'!$B$12:$B$59,$B122,'11.1.Амортиз.нови активи'!AS$12:AS$59))</f>
        <v>0</v>
      </c>
      <c r="R122" s="2656">
        <f>Q122+SUMIF('11.1.Амортиз.нови активи'!$B$12:$B$59,$B122,'11.1.Амортиз.нови активи'!R$12:R$59)+('9.Инвестиционна програма'!M$131*SUMIF('11.1.Амортиз.нови активи'!$B$12:$B$59,$B122,'11.1.Амортиз.нови активи'!AT$12:AT$59))</f>
        <v>0</v>
      </c>
      <c r="S122" s="4453">
        <f>+'11.3. ДА Базова година'!P102</f>
        <v>0</v>
      </c>
      <c r="T122" s="2655">
        <f>S122+SUMIF('11.1.Амортиз.нови активи'!$B$12:$B$59,$B122,'11.1.Амортиз.нови активи'!T$12:T$59)+('9.Инвестиционна програма'!H$132*SUMIF('11.1.Амортиз.нови активи'!$B$12:$B$59,$B122,'11.1.Амортиз.нови активи'!AO$12:AO$59))</f>
        <v>0</v>
      </c>
      <c r="U122" s="1136">
        <f>T122+SUMIF('11.1.Амортиз.нови активи'!$B$12:$B$59,$B122,'11.1.Амортиз.нови активи'!U$12:U$59)+('9.Инвестиционна програма'!I$132*SUMIF('11.1.Амортиз.нови активи'!$B$12:$B$59,$B122,'11.1.Амортиз.нови активи'!AP$12:AP$59))</f>
        <v>0</v>
      </c>
      <c r="V122" s="1136">
        <f>U122+SUMIF('11.1.Амортиз.нови активи'!$B$12:$B$59,$B122,'11.1.Амортиз.нови активи'!V$12:V$59)+('9.Инвестиционна програма'!J$132*SUMIF('11.1.Амортиз.нови активи'!$B$12:$B$59,$B122,'11.1.Амортиз.нови активи'!AQ$12:AQ$59))</f>
        <v>0</v>
      </c>
      <c r="W122" s="1136">
        <f>V122+SUMIF('11.1.Амортиз.нови активи'!$B$12:$B$59,$B122,'11.1.Амортиз.нови активи'!W$12:W$59)+('9.Инвестиционна програма'!K$132*SUMIF('11.1.Амортиз.нови активи'!$B$12:$B$59,$B122,'11.1.Амортиз.нови активи'!AR$12:AR$59))</f>
        <v>0</v>
      </c>
      <c r="X122" s="1136">
        <f>W122+SUMIF('11.1.Амортиз.нови активи'!$B$12:$B$59,$B122,'11.1.Амортиз.нови активи'!X$12:X$59)+('9.Инвестиционна програма'!L$132*SUMIF('11.1.Амортиз.нови активи'!$B$12:$B$59,$B122,'11.1.Амортиз.нови активи'!AS$12:AS$59))</f>
        <v>0</v>
      </c>
      <c r="Y122" s="2656">
        <f>X122+SUMIF('11.1.Амортиз.нови активи'!$B$12:$B$59,$B122,'11.1.Амортиз.нови активи'!Y$12:Y$59)+('9.Инвестиционна програма'!M$132*SUMIF('11.1.Амортиз.нови активи'!$B$12:$B$59,$B122,'11.1.Амортиз.нови активи'!AT$12:AT$59))</f>
        <v>0</v>
      </c>
      <c r="Z122" s="4453">
        <f>+'11.3. ДА Базова година'!T102</f>
        <v>0</v>
      </c>
      <c r="AA122" s="2655">
        <f>Z122+SUMIF('11.1.Амортиз.нови активи'!$B$12:$B$59,$B122,'11.1.Амортиз.нови активи'!AA$12:AA$59)</f>
        <v>0</v>
      </c>
      <c r="AB122" s="1136">
        <f>AA122+SUMIF('11.1.Амортиз.нови активи'!$B$12:$B$59,$B122,'11.1.Амортиз.нови активи'!AB$12:AB$59)</f>
        <v>0</v>
      </c>
      <c r="AC122" s="1136">
        <f>AB122+SUMIF('11.1.Амортиз.нови активи'!$B$12:$B$59,$B122,'11.1.Амортиз.нови активи'!AC$12:AC$59)</f>
        <v>0</v>
      </c>
      <c r="AD122" s="1136">
        <f>AC122+SUMIF('11.1.Амортиз.нови активи'!$B$12:$B$59,$B122,'11.1.Амортиз.нови активи'!AD$12:AD$59)</f>
        <v>0</v>
      </c>
      <c r="AE122" s="1136">
        <f>AD122+SUMIF('11.1.Амортиз.нови активи'!$B$12:$B$59,$B122,'11.1.Амортиз.нови активи'!AE$12:AE$59)</f>
        <v>0</v>
      </c>
      <c r="AF122" s="2656">
        <f>AE122+SUMIF('11.1.Амортиз.нови активи'!$B$12:$B$59,$B122,'11.1.Амортиз.нови активи'!AF$12:AF$59)</f>
        <v>0</v>
      </c>
      <c r="AG122" s="4453">
        <f>+'11.3. ДА Базова година'!X102</f>
        <v>24.516414726583331</v>
      </c>
      <c r="AH122" s="2655">
        <f>AG122+SUMIF('11.1.Амортиз.нови активи'!$B$12:$B$59,$B122,'11.1.Амортиз.нови активи'!AH$12:AH$59)</f>
        <v>24.516414726583331</v>
      </c>
      <c r="AI122" s="1136">
        <f>AH122+SUMIF('11.1.Амортиз.нови активи'!$B$12:$B$59,$B122,'11.1.Амортиз.нови активи'!AI$12:AI$59)</f>
        <v>99.516414726583335</v>
      </c>
      <c r="AJ122" s="1136">
        <f>AI122+SUMIF('11.1.Амортиз.нови активи'!$B$12:$B$59,$B122,'11.1.Амортиз.нови активи'!AJ$12:AJ$59)</f>
        <v>119.51641472658333</v>
      </c>
      <c r="AK122" s="1136">
        <f>AJ122+SUMIF('11.1.Амортиз.нови активи'!$B$12:$B$59,$B122,'11.1.Амортиз.нови активи'!AK$12:AK$59)</f>
        <v>134.51641472658332</v>
      </c>
      <c r="AL122" s="1136">
        <f>AK122+SUMIF('11.1.Амортиз.нови активи'!$B$12:$B$59,$B122,'11.1.Амортиз.нови активи'!AL$12:AL$59)</f>
        <v>134.51641472658332</v>
      </c>
      <c r="AM122" s="2656">
        <f>AL122+SUMIF('11.1.Амортиз.нови активи'!$B$12:$B$59,$B122,'11.1.Амортиз.нови активи'!AM$12:AM$59)</f>
        <v>134.51641472658332</v>
      </c>
      <c r="AN122" s="2551"/>
      <c r="AO122" s="2589"/>
      <c r="AP122" s="4488"/>
      <c r="AQ122" s="4504">
        <f t="shared" si="174"/>
        <v>53.643576012954441</v>
      </c>
      <c r="AR122" s="4504">
        <f t="shared" si="175"/>
        <v>54.666159775346877</v>
      </c>
      <c r="AS122" s="4504">
        <f t="shared" si="176"/>
        <v>56.200035418935528</v>
      </c>
      <c r="AT122" s="4504">
        <f t="shared" si="177"/>
        <v>57.733911062524186</v>
      </c>
      <c r="AU122" s="4504">
        <f t="shared" si="178"/>
        <v>59.267786706112844</v>
      </c>
      <c r="AV122" s="4504">
        <f t="shared" si="179"/>
        <v>60.801662349701495</v>
      </c>
      <c r="AW122" s="4504">
        <f t="shared" si="180"/>
        <v>62.335537993290153</v>
      </c>
      <c r="AX122" s="4504">
        <f t="shared" si="181"/>
        <v>0</v>
      </c>
      <c r="AY122" s="4504">
        <f t="shared" si="182"/>
        <v>0</v>
      </c>
      <c r="AZ122" s="4504">
        <f t="shared" si="183"/>
        <v>0</v>
      </c>
      <c r="BA122" s="4504">
        <f t="shared" si="184"/>
        <v>0</v>
      </c>
      <c r="BB122" s="4504">
        <f t="shared" si="185"/>
        <v>0</v>
      </c>
      <c r="BC122" s="4504">
        <f t="shared" si="186"/>
        <v>0</v>
      </c>
      <c r="BD122" s="4504">
        <f t="shared" si="187"/>
        <v>0</v>
      </c>
      <c r="BE122" s="4504">
        <f t="shared" si="188"/>
        <v>0</v>
      </c>
      <c r="BF122" s="4504">
        <f t="shared" si="189"/>
        <v>0</v>
      </c>
      <c r="BG122" s="4504">
        <f t="shared" si="190"/>
        <v>0</v>
      </c>
      <c r="BH122" s="4504">
        <f t="shared" si="191"/>
        <v>0</v>
      </c>
      <c r="BI122" s="4504">
        <f t="shared" si="192"/>
        <v>0</v>
      </c>
      <c r="BJ122" s="4504">
        <f t="shared" si="193"/>
        <v>0</v>
      </c>
      <c r="BK122" s="4504">
        <f t="shared" si="194"/>
        <v>0</v>
      </c>
      <c r="BL122" s="4504">
        <f t="shared" si="195"/>
        <v>0</v>
      </c>
      <c r="BM122" s="4504">
        <f t="shared" si="196"/>
        <v>0</v>
      </c>
      <c r="BN122" s="4504">
        <f t="shared" si="197"/>
        <v>0</v>
      </c>
      <c r="BO122" s="4504">
        <f t="shared" si="198"/>
        <v>0</v>
      </c>
      <c r="BP122" s="4504">
        <f t="shared" si="199"/>
        <v>0</v>
      </c>
      <c r="BQ122" s="4504">
        <f t="shared" si="200"/>
        <v>0</v>
      </c>
      <c r="BR122" s="4504">
        <f t="shared" si="201"/>
        <v>0</v>
      </c>
      <c r="BS122" s="4504">
        <f t="shared" si="202"/>
        <v>12.535043805741466</v>
      </c>
      <c r="BT122" s="4504">
        <f t="shared" si="203"/>
        <v>12.535043805741466</v>
      </c>
      <c r="BU122" s="4504">
        <f t="shared" si="204"/>
        <v>50.881934895457853</v>
      </c>
      <c r="BV122" s="4504">
        <f t="shared" si="205"/>
        <v>61.107772519382223</v>
      </c>
      <c r="BW122" s="4504">
        <f t="shared" si="206"/>
        <v>68.777150737325499</v>
      </c>
      <c r="BX122" s="4504">
        <f t="shared" si="207"/>
        <v>68.777150737325499</v>
      </c>
      <c r="BY122" s="4504">
        <f t="shared" si="208"/>
        <v>68.777150737325499</v>
      </c>
    </row>
    <row r="123" spans="1:77" s="1323" customFormat="1">
      <c r="A123" s="2611">
        <v>12</v>
      </c>
      <c r="B123" s="2554">
        <v>2040203</v>
      </c>
      <c r="C123" s="2555">
        <v>0.02</v>
      </c>
      <c r="D123" s="2585" t="s">
        <v>418</v>
      </c>
      <c r="E123" s="4453">
        <f>+'11.3. ДА Базова година'!H103</f>
        <v>0</v>
      </c>
      <c r="F123" s="2655">
        <f>E123+SUMIF('11.1.Амортиз.нови активи'!$B$12:$B$59,$B123,'11.1.Амортиз.нови активи'!F$12:F$59)+('9.Инвестиционна програма'!H$130*SUMIF('11.1.Амортиз.нови активи'!$B$12:$B$59,$B123,'11.1.Амортиз.нови активи'!AO$12:AO$59))</f>
        <v>0</v>
      </c>
      <c r="G123" s="1136">
        <f>F123+SUMIF('11.1.Амортиз.нови активи'!$B$12:$B$59,$B123,'11.1.Амортиз.нови активи'!G$12:G$59)+('9.Инвестиционна програма'!I$130*SUMIF('11.1.Амортиз.нови активи'!$B$12:$B$59,$B123,'11.1.Амортиз.нови активи'!AP$12:AP$59))</f>
        <v>0</v>
      </c>
      <c r="H123" s="1136">
        <f>G123+SUMIF('11.1.Амортиз.нови активи'!$B$12:$B$59,$B123,'11.1.Амортиз.нови активи'!H$12:H$59)+('9.Инвестиционна програма'!J$130*SUMIF('11.1.Амортиз.нови активи'!$B$12:$B$59,$B123,'11.1.Амортиз.нови активи'!AQ$12:AQ$59))</f>
        <v>0</v>
      </c>
      <c r="I123" s="1136">
        <f>H123+SUMIF('11.1.Амортиз.нови активи'!$B$12:$B$59,$B123,'11.1.Амортиз.нови активи'!I$12:I$59)+('9.Инвестиционна програма'!K$130*SUMIF('11.1.Амортиз.нови активи'!$B$12:$B$59,$B123,'11.1.Амортиз.нови активи'!AR$12:AR$59))</f>
        <v>0</v>
      </c>
      <c r="J123" s="1136">
        <f>I123+SUMIF('11.1.Амортиз.нови активи'!$B$12:$B$59,$B123,'11.1.Амортиз.нови активи'!J$12:J$59)+('9.Инвестиционна програма'!L$130*SUMIF('11.1.Амортиз.нови активи'!$B$12:$B$59,$B123,'11.1.Амортиз.нови активи'!AS$12:AS$59))</f>
        <v>0</v>
      </c>
      <c r="K123" s="2656">
        <f>J123+SUMIF('11.1.Амортиз.нови активи'!$B$12:$B$59,$B123,'11.1.Амортиз.нови активи'!K$12:K$59)+('9.Инвестиционна програма'!M$130*SUMIF('11.1.Амортиз.нови активи'!$B$12:$B$59,$B123,'11.1.Амортиз.нови активи'!AT$12:AT$59))</f>
        <v>0</v>
      </c>
      <c r="L123" s="4453">
        <f>+'11.3. ДА Базова година'!L103</f>
        <v>0</v>
      </c>
      <c r="M123" s="2655">
        <f>L123+SUMIF('11.1.Амортиз.нови активи'!$B$12:$B$59,$B123,'11.1.Амортиз.нови активи'!M$12:M$59)+('9.Инвестиционна програма'!H$131*SUMIF('11.1.Амортиз.нови активи'!$B$12:$B$59,$B123,'11.1.Амортиз.нови активи'!AO$12:AO$59))</f>
        <v>0</v>
      </c>
      <c r="N123" s="1136">
        <f>M123+SUMIF('11.1.Амортиз.нови активи'!$B$12:$B$59,$B123,'11.1.Амортиз.нови активи'!N$12:N$59)+('9.Инвестиционна програма'!I$131*SUMIF('11.1.Амортиз.нови активи'!$B$12:$B$59,$B123,'11.1.Амортиз.нови активи'!AP$12:AP$59))</f>
        <v>0</v>
      </c>
      <c r="O123" s="1136">
        <f>N123+SUMIF('11.1.Амортиз.нови активи'!$B$12:$B$59,$B123,'11.1.Амортиз.нови активи'!O$12:O$59)+('9.Инвестиционна програма'!J$131*SUMIF('11.1.Амортиз.нови активи'!$B$12:$B$59,$B123,'11.1.Амортиз.нови активи'!AQ$12:AQ$59))</f>
        <v>0</v>
      </c>
      <c r="P123" s="1136">
        <f>O123+SUMIF('11.1.Амортиз.нови активи'!$B$12:$B$59,$B123,'11.1.Амортиз.нови активи'!P$12:P$59)+('9.Инвестиционна програма'!K$131*SUMIF('11.1.Амортиз.нови активи'!$B$12:$B$59,$B123,'11.1.Амортиз.нови активи'!AR$12:AR$59))</f>
        <v>0</v>
      </c>
      <c r="Q123" s="1136">
        <f>P123+SUMIF('11.1.Амортиз.нови активи'!$B$12:$B$59,$B123,'11.1.Амортиз.нови активи'!Q$12:Q$59)+('9.Инвестиционна програма'!L$131*SUMIF('11.1.Амортиз.нови активи'!$B$12:$B$59,$B123,'11.1.Амортиз.нови активи'!AS$12:AS$59))</f>
        <v>0</v>
      </c>
      <c r="R123" s="2656">
        <f>Q123+SUMIF('11.1.Амортиз.нови активи'!$B$12:$B$59,$B123,'11.1.Амортиз.нови активи'!R$12:R$59)+('9.Инвестиционна програма'!M$131*SUMIF('11.1.Амортиз.нови активи'!$B$12:$B$59,$B123,'11.1.Амортиз.нови активи'!AT$12:AT$59))</f>
        <v>0</v>
      </c>
      <c r="S123" s="4453">
        <f>+'11.3. ДА Базова година'!P103</f>
        <v>0</v>
      </c>
      <c r="T123" s="2655">
        <f>S123+SUMIF('11.1.Амортиз.нови активи'!$B$12:$B$59,$B123,'11.1.Амортиз.нови активи'!T$12:T$59)+('9.Инвестиционна програма'!H$132*SUMIF('11.1.Амортиз.нови активи'!$B$12:$B$59,$B123,'11.1.Амортиз.нови активи'!AO$12:AO$59))</f>
        <v>0</v>
      </c>
      <c r="U123" s="1136">
        <f>T123+SUMIF('11.1.Амортиз.нови активи'!$B$12:$B$59,$B123,'11.1.Амортиз.нови активи'!U$12:U$59)+('9.Инвестиционна програма'!I$132*SUMIF('11.1.Амортиз.нови активи'!$B$12:$B$59,$B123,'11.1.Амортиз.нови активи'!AP$12:AP$59))</f>
        <v>0</v>
      </c>
      <c r="V123" s="1136">
        <f>U123+SUMIF('11.1.Амортиз.нови активи'!$B$12:$B$59,$B123,'11.1.Амортиз.нови активи'!V$12:V$59)+('9.Инвестиционна програма'!J$132*SUMIF('11.1.Амортиз.нови активи'!$B$12:$B$59,$B123,'11.1.Амортиз.нови активи'!AQ$12:AQ$59))</f>
        <v>0</v>
      </c>
      <c r="W123" s="1136">
        <f>V123+SUMIF('11.1.Амортиз.нови активи'!$B$12:$B$59,$B123,'11.1.Амортиз.нови активи'!W$12:W$59)+('9.Инвестиционна програма'!K$132*SUMIF('11.1.Амортиз.нови активи'!$B$12:$B$59,$B123,'11.1.Амортиз.нови активи'!AR$12:AR$59))</f>
        <v>0</v>
      </c>
      <c r="X123" s="1136">
        <f>W123+SUMIF('11.1.Амортиз.нови активи'!$B$12:$B$59,$B123,'11.1.Амортиз.нови активи'!X$12:X$59)+('9.Инвестиционна програма'!L$132*SUMIF('11.1.Амортиз.нови активи'!$B$12:$B$59,$B123,'11.1.Амортиз.нови активи'!AS$12:AS$59))</f>
        <v>0</v>
      </c>
      <c r="Y123" s="2656">
        <f>X123+SUMIF('11.1.Амортиз.нови активи'!$B$12:$B$59,$B123,'11.1.Амортиз.нови активи'!Y$12:Y$59)+('9.Инвестиционна програма'!M$132*SUMIF('11.1.Амортиз.нови активи'!$B$12:$B$59,$B123,'11.1.Амортиз.нови активи'!AT$12:AT$59))</f>
        <v>0</v>
      </c>
      <c r="Z123" s="4453">
        <f>+'11.3. ДА Базова година'!T103</f>
        <v>0</v>
      </c>
      <c r="AA123" s="2655">
        <f>Z123+SUMIF('11.1.Амортиз.нови активи'!$B$12:$B$59,$B123,'11.1.Амортиз.нови активи'!AA$12:AA$59)</f>
        <v>0</v>
      </c>
      <c r="AB123" s="1136">
        <f>AA123+SUMIF('11.1.Амортиз.нови активи'!$B$12:$B$59,$B123,'11.1.Амортиз.нови активи'!AB$12:AB$59)</f>
        <v>0</v>
      </c>
      <c r="AC123" s="1136">
        <f>AB123+SUMIF('11.1.Амортиз.нови активи'!$B$12:$B$59,$B123,'11.1.Амортиз.нови активи'!AC$12:AC$59)</f>
        <v>0</v>
      </c>
      <c r="AD123" s="1136">
        <f>AC123+SUMIF('11.1.Амортиз.нови активи'!$B$12:$B$59,$B123,'11.1.Амортиз.нови активи'!AD$12:AD$59)</f>
        <v>0</v>
      </c>
      <c r="AE123" s="1136">
        <f>AD123+SUMIF('11.1.Амортиз.нови активи'!$B$12:$B$59,$B123,'11.1.Амортиз.нови активи'!AE$12:AE$59)</f>
        <v>0</v>
      </c>
      <c r="AF123" s="2656">
        <f>AE123+SUMIF('11.1.Амортиз.нови активи'!$B$12:$B$59,$B123,'11.1.Амортиз.нови активи'!AF$12:AF$59)</f>
        <v>0</v>
      </c>
      <c r="AG123" s="4453">
        <f>+'11.3. ДА Базова година'!X103</f>
        <v>0</v>
      </c>
      <c r="AH123" s="2655">
        <f>AG123+SUMIF('11.1.Амортиз.нови активи'!$B$12:$B$59,$B123,'11.1.Амортиз.нови активи'!AH$12:AH$59)</f>
        <v>0</v>
      </c>
      <c r="AI123" s="1136">
        <f>AH123+SUMIF('11.1.Амортиз.нови активи'!$B$12:$B$59,$B123,'11.1.Амортиз.нови активи'!AI$12:AI$59)</f>
        <v>0</v>
      </c>
      <c r="AJ123" s="1136">
        <f>AI123+SUMIF('11.1.Амортиз.нови активи'!$B$12:$B$59,$B123,'11.1.Амортиз.нови активи'!AJ$12:AJ$59)</f>
        <v>0</v>
      </c>
      <c r="AK123" s="1136">
        <f>AJ123+SUMIF('11.1.Амортиз.нови активи'!$B$12:$B$59,$B123,'11.1.Амортиз.нови активи'!AK$12:AK$59)</f>
        <v>0</v>
      </c>
      <c r="AL123" s="1136">
        <f>AK123+SUMIF('11.1.Амортиз.нови активи'!$B$12:$B$59,$B123,'11.1.Амортиз.нови активи'!AL$12:AL$59)</f>
        <v>0</v>
      </c>
      <c r="AM123" s="2656">
        <f>AL123+SUMIF('11.1.Амортиз.нови активи'!$B$12:$B$59,$B123,'11.1.Амортиз.нови активи'!AM$12:AM$59)</f>
        <v>0</v>
      </c>
      <c r="AN123" s="2551"/>
      <c r="AO123" s="2589"/>
      <c r="AP123" s="4488"/>
      <c r="AQ123" s="4504">
        <f t="shared" si="174"/>
        <v>0</v>
      </c>
      <c r="AR123" s="4504">
        <f t="shared" si="175"/>
        <v>0</v>
      </c>
      <c r="AS123" s="4504">
        <f t="shared" si="176"/>
        <v>0</v>
      </c>
      <c r="AT123" s="4504">
        <f t="shared" si="177"/>
        <v>0</v>
      </c>
      <c r="AU123" s="4504">
        <f t="shared" si="178"/>
        <v>0</v>
      </c>
      <c r="AV123" s="4504">
        <f t="shared" si="179"/>
        <v>0</v>
      </c>
      <c r="AW123" s="4504">
        <f t="shared" si="180"/>
        <v>0</v>
      </c>
      <c r="AX123" s="4504">
        <f t="shared" si="181"/>
        <v>0</v>
      </c>
      <c r="AY123" s="4504">
        <f t="shared" si="182"/>
        <v>0</v>
      </c>
      <c r="AZ123" s="4504">
        <f t="shared" si="183"/>
        <v>0</v>
      </c>
      <c r="BA123" s="4504">
        <f t="shared" si="184"/>
        <v>0</v>
      </c>
      <c r="BB123" s="4504">
        <f t="shared" si="185"/>
        <v>0</v>
      </c>
      <c r="BC123" s="4504">
        <f t="shared" si="186"/>
        <v>0</v>
      </c>
      <c r="BD123" s="4504">
        <f t="shared" si="187"/>
        <v>0</v>
      </c>
      <c r="BE123" s="4504">
        <f t="shared" si="188"/>
        <v>0</v>
      </c>
      <c r="BF123" s="4504">
        <f t="shared" si="189"/>
        <v>0</v>
      </c>
      <c r="BG123" s="4504">
        <f t="shared" si="190"/>
        <v>0</v>
      </c>
      <c r="BH123" s="4504">
        <f t="shared" si="191"/>
        <v>0</v>
      </c>
      <c r="BI123" s="4504">
        <f t="shared" si="192"/>
        <v>0</v>
      </c>
      <c r="BJ123" s="4504">
        <f t="shared" si="193"/>
        <v>0</v>
      </c>
      <c r="BK123" s="4504">
        <f t="shared" si="194"/>
        <v>0</v>
      </c>
      <c r="BL123" s="4504">
        <f t="shared" si="195"/>
        <v>0</v>
      </c>
      <c r="BM123" s="4504">
        <f t="shared" si="196"/>
        <v>0</v>
      </c>
      <c r="BN123" s="4504">
        <f t="shared" si="197"/>
        <v>0</v>
      </c>
      <c r="BO123" s="4504">
        <f t="shared" si="198"/>
        <v>0</v>
      </c>
      <c r="BP123" s="4504">
        <f t="shared" si="199"/>
        <v>0</v>
      </c>
      <c r="BQ123" s="4504">
        <f t="shared" si="200"/>
        <v>0</v>
      </c>
      <c r="BR123" s="4504">
        <f t="shared" si="201"/>
        <v>0</v>
      </c>
      <c r="BS123" s="4504">
        <f t="shared" si="202"/>
        <v>0</v>
      </c>
      <c r="BT123" s="4504">
        <f t="shared" si="203"/>
        <v>0</v>
      </c>
      <c r="BU123" s="4504">
        <f t="shared" si="204"/>
        <v>0</v>
      </c>
      <c r="BV123" s="4504">
        <f t="shared" si="205"/>
        <v>0</v>
      </c>
      <c r="BW123" s="4504">
        <f t="shared" si="206"/>
        <v>0</v>
      </c>
      <c r="BX123" s="4504">
        <f t="shared" si="207"/>
        <v>0</v>
      </c>
      <c r="BY123" s="4504">
        <f t="shared" si="208"/>
        <v>0</v>
      </c>
    </row>
    <row r="124" spans="1:77" s="1323" customFormat="1">
      <c r="A124" s="2611">
        <v>13</v>
      </c>
      <c r="B124" s="2554">
        <v>2040204</v>
      </c>
      <c r="C124" s="2555">
        <v>0.02</v>
      </c>
      <c r="D124" s="2584" t="s">
        <v>419</v>
      </c>
      <c r="E124" s="4453">
        <f>+'11.3. ДА Базова година'!H104</f>
        <v>0</v>
      </c>
      <c r="F124" s="2655">
        <f>E124+SUMIF('11.1.Амортиз.нови активи'!$B$12:$B$59,$B124,'11.1.Амортиз.нови активи'!F$12:F$59)+('9.Инвестиционна програма'!H$130*SUMIF('11.1.Амортиз.нови активи'!$B$12:$B$59,$B124,'11.1.Амортиз.нови активи'!AO$12:AO$59))</f>
        <v>2</v>
      </c>
      <c r="G124" s="1136">
        <f>F124+SUMIF('11.1.Амортиз.нови активи'!$B$12:$B$59,$B124,'11.1.Амортиз.нови активи'!G$12:G$59)+('9.Инвестиционна програма'!I$130*SUMIF('11.1.Амортиз.нови активи'!$B$12:$B$59,$B124,'11.1.Амортиз.нови активи'!AP$12:AP$59))</f>
        <v>4</v>
      </c>
      <c r="H124" s="1136">
        <f>G124+SUMIF('11.1.Амортиз.нови активи'!$B$12:$B$59,$B124,'11.1.Амортиз.нови активи'!H$12:H$59)+('9.Инвестиционна програма'!J$130*SUMIF('11.1.Амортиз.нови активи'!$B$12:$B$59,$B124,'11.1.Амортиз.нови активи'!AQ$12:AQ$59))</f>
        <v>6</v>
      </c>
      <c r="I124" s="1136">
        <f>H124+SUMIF('11.1.Амортиз.нови активи'!$B$12:$B$59,$B124,'11.1.Амортиз.нови активи'!I$12:I$59)+('9.Инвестиционна програма'!K$130*SUMIF('11.1.Амортиз.нови активи'!$B$12:$B$59,$B124,'11.1.Амортиз.нови активи'!AR$12:AR$59))</f>
        <v>8</v>
      </c>
      <c r="J124" s="1136">
        <f>I124+SUMIF('11.1.Амортиз.нови активи'!$B$12:$B$59,$B124,'11.1.Амортиз.нови активи'!J$12:J$59)+('9.Инвестиционна програма'!L$130*SUMIF('11.1.Амортиз.нови активи'!$B$12:$B$59,$B124,'11.1.Амортиз.нови активи'!AS$12:AS$59))</f>
        <v>10</v>
      </c>
      <c r="K124" s="2656">
        <f>J124+SUMIF('11.1.Амортиз.нови активи'!$B$12:$B$59,$B124,'11.1.Амортиз.нови активи'!K$12:K$59)+('9.Инвестиционна програма'!M$130*SUMIF('11.1.Амортиз.нови активи'!$B$12:$B$59,$B124,'11.1.Амортиз.нови активи'!AT$12:AT$59))</f>
        <v>12</v>
      </c>
      <c r="L124" s="4453">
        <f>+'11.3. ДА Базова година'!L104</f>
        <v>0</v>
      </c>
      <c r="M124" s="2655">
        <f>L124+SUMIF('11.1.Амортиз.нови активи'!$B$12:$B$59,$B124,'11.1.Амортиз.нови активи'!M$12:M$59)+('9.Инвестиционна програма'!H$131*SUMIF('11.1.Амортиз.нови активи'!$B$12:$B$59,$B124,'11.1.Амортиз.нови активи'!AO$12:AO$59))</f>
        <v>0</v>
      </c>
      <c r="N124" s="1136">
        <f>M124+SUMIF('11.1.Амортиз.нови активи'!$B$12:$B$59,$B124,'11.1.Амортиз.нови активи'!N$12:N$59)+('9.Инвестиционна програма'!I$131*SUMIF('11.1.Амортиз.нови активи'!$B$12:$B$59,$B124,'11.1.Амортиз.нови активи'!AP$12:AP$59))</f>
        <v>0</v>
      </c>
      <c r="O124" s="1136">
        <f>N124+SUMIF('11.1.Амортиз.нови активи'!$B$12:$B$59,$B124,'11.1.Амортиз.нови активи'!O$12:O$59)+('9.Инвестиционна програма'!J$131*SUMIF('11.1.Амортиз.нови активи'!$B$12:$B$59,$B124,'11.1.Амортиз.нови активи'!AQ$12:AQ$59))</f>
        <v>0</v>
      </c>
      <c r="P124" s="1136">
        <f>O124+SUMIF('11.1.Амортиз.нови активи'!$B$12:$B$59,$B124,'11.1.Амортиз.нови активи'!P$12:P$59)+('9.Инвестиционна програма'!K$131*SUMIF('11.1.Амортиз.нови активи'!$B$12:$B$59,$B124,'11.1.Амортиз.нови активи'!AR$12:AR$59))</f>
        <v>0</v>
      </c>
      <c r="Q124" s="1136">
        <f>P124+SUMIF('11.1.Амортиз.нови активи'!$B$12:$B$59,$B124,'11.1.Амортиз.нови активи'!Q$12:Q$59)+('9.Инвестиционна програма'!L$131*SUMIF('11.1.Амортиз.нови активи'!$B$12:$B$59,$B124,'11.1.Амортиз.нови активи'!AS$12:AS$59))</f>
        <v>0</v>
      </c>
      <c r="R124" s="2656">
        <f>Q124+SUMIF('11.1.Амортиз.нови активи'!$B$12:$B$59,$B124,'11.1.Амортиз.нови активи'!R$12:R$59)+('9.Инвестиционна програма'!M$131*SUMIF('11.1.Амортиз.нови активи'!$B$12:$B$59,$B124,'11.1.Амортиз.нови активи'!AT$12:AT$59))</f>
        <v>0</v>
      </c>
      <c r="S124" s="4453">
        <f>+'11.3. ДА Базова година'!P104</f>
        <v>0</v>
      </c>
      <c r="T124" s="2655">
        <f>S124+SUMIF('11.1.Амортиз.нови активи'!$B$12:$B$59,$B124,'11.1.Амортиз.нови активи'!T$12:T$59)+('9.Инвестиционна програма'!H$132*SUMIF('11.1.Амортиз.нови активи'!$B$12:$B$59,$B124,'11.1.Амортиз.нови активи'!AO$12:AO$59))</f>
        <v>0</v>
      </c>
      <c r="U124" s="1136">
        <f>T124+SUMIF('11.1.Амортиз.нови активи'!$B$12:$B$59,$B124,'11.1.Амортиз.нови активи'!U$12:U$59)+('9.Инвестиционна програма'!I$132*SUMIF('11.1.Амортиз.нови активи'!$B$12:$B$59,$B124,'11.1.Амортиз.нови активи'!AP$12:AP$59))</f>
        <v>0</v>
      </c>
      <c r="V124" s="1136">
        <f>U124+SUMIF('11.1.Амортиз.нови активи'!$B$12:$B$59,$B124,'11.1.Амортиз.нови активи'!V$12:V$59)+('9.Инвестиционна програма'!J$132*SUMIF('11.1.Амортиз.нови активи'!$B$12:$B$59,$B124,'11.1.Амортиз.нови активи'!AQ$12:AQ$59))</f>
        <v>0</v>
      </c>
      <c r="W124" s="1136">
        <f>V124+SUMIF('11.1.Амортиз.нови активи'!$B$12:$B$59,$B124,'11.1.Амортиз.нови активи'!W$12:W$59)+('9.Инвестиционна програма'!K$132*SUMIF('11.1.Амортиз.нови активи'!$B$12:$B$59,$B124,'11.1.Амортиз.нови активи'!AR$12:AR$59))</f>
        <v>0</v>
      </c>
      <c r="X124" s="1136">
        <f>W124+SUMIF('11.1.Амортиз.нови активи'!$B$12:$B$59,$B124,'11.1.Амортиз.нови активи'!X$12:X$59)+('9.Инвестиционна програма'!L$132*SUMIF('11.1.Амортиз.нови активи'!$B$12:$B$59,$B124,'11.1.Амортиз.нови активи'!AS$12:AS$59))</f>
        <v>0</v>
      </c>
      <c r="Y124" s="2656">
        <f>X124+SUMIF('11.1.Амортиз.нови активи'!$B$12:$B$59,$B124,'11.1.Амортиз.нови активи'!Y$12:Y$59)+('9.Инвестиционна програма'!M$132*SUMIF('11.1.Амортиз.нови активи'!$B$12:$B$59,$B124,'11.1.Амортиз.нови активи'!AT$12:AT$59))</f>
        <v>0</v>
      </c>
      <c r="Z124" s="4453">
        <f>+'11.3. ДА Базова година'!T104</f>
        <v>0</v>
      </c>
      <c r="AA124" s="2655">
        <f>Z124+SUMIF('11.1.Амортиз.нови активи'!$B$12:$B$59,$B124,'11.1.Амортиз.нови активи'!AA$12:AA$59)</f>
        <v>0</v>
      </c>
      <c r="AB124" s="1136">
        <f>AA124+SUMIF('11.1.Амортиз.нови активи'!$B$12:$B$59,$B124,'11.1.Амортиз.нови активи'!AB$12:AB$59)</f>
        <v>0</v>
      </c>
      <c r="AC124" s="1136">
        <f>AB124+SUMIF('11.1.Амортиз.нови активи'!$B$12:$B$59,$B124,'11.1.Амортиз.нови активи'!AC$12:AC$59)</f>
        <v>0</v>
      </c>
      <c r="AD124" s="1136">
        <f>AC124+SUMIF('11.1.Амортиз.нови активи'!$B$12:$B$59,$B124,'11.1.Амортиз.нови активи'!AD$12:AD$59)</f>
        <v>0</v>
      </c>
      <c r="AE124" s="1136">
        <f>AD124+SUMIF('11.1.Амортиз.нови активи'!$B$12:$B$59,$B124,'11.1.Амортиз.нови активи'!AE$12:AE$59)</f>
        <v>0</v>
      </c>
      <c r="AF124" s="2656">
        <f>AE124+SUMIF('11.1.Амортиз.нови активи'!$B$12:$B$59,$B124,'11.1.Амортиз.нови активи'!AF$12:AF$59)</f>
        <v>0</v>
      </c>
      <c r="AG124" s="4453">
        <f>+'11.3. ДА Базова година'!X104</f>
        <v>0</v>
      </c>
      <c r="AH124" s="2655">
        <f>AG124+SUMIF('11.1.Амортиз.нови активи'!$B$12:$B$59,$B124,'11.1.Амортиз.нови активи'!AH$12:AH$59)</f>
        <v>0</v>
      </c>
      <c r="AI124" s="1136">
        <f>AH124+SUMIF('11.1.Амортиз.нови активи'!$B$12:$B$59,$B124,'11.1.Амортиз.нови активи'!AI$12:AI$59)</f>
        <v>35</v>
      </c>
      <c r="AJ124" s="1136">
        <f>AI124+SUMIF('11.1.Амортиз.нови активи'!$B$12:$B$59,$B124,'11.1.Амортиз.нови активи'!AJ$12:AJ$59)</f>
        <v>35</v>
      </c>
      <c r="AK124" s="1136">
        <f>AJ124+SUMIF('11.1.Амортиз.нови активи'!$B$12:$B$59,$B124,'11.1.Амортиз.нови активи'!AK$12:AK$59)</f>
        <v>35</v>
      </c>
      <c r="AL124" s="1136">
        <f>AK124+SUMIF('11.1.Амортиз.нови активи'!$B$12:$B$59,$B124,'11.1.Амортиз.нови активи'!AL$12:AL$59)</f>
        <v>75</v>
      </c>
      <c r="AM124" s="2656">
        <f>AL124+SUMIF('11.1.Амортиз.нови активи'!$B$12:$B$59,$B124,'11.1.Амортиз.нови активи'!AM$12:AM$59)</f>
        <v>115</v>
      </c>
      <c r="AN124" s="2551"/>
      <c r="AO124" s="2589"/>
      <c r="AP124" s="4488"/>
      <c r="AQ124" s="4504">
        <f t="shared" si="174"/>
        <v>0</v>
      </c>
      <c r="AR124" s="4504">
        <f t="shared" si="175"/>
        <v>1.022583762392437</v>
      </c>
      <c r="AS124" s="4504">
        <f t="shared" si="176"/>
        <v>2.045167524784874</v>
      </c>
      <c r="AT124" s="4504">
        <f t="shared" si="177"/>
        <v>3.0677512871773112</v>
      </c>
      <c r="AU124" s="4504">
        <f t="shared" si="178"/>
        <v>4.0903350495697479</v>
      </c>
      <c r="AV124" s="4504">
        <f t="shared" si="179"/>
        <v>5.1129188119621851</v>
      </c>
      <c r="AW124" s="4504">
        <f t="shared" si="180"/>
        <v>6.1355025743546223</v>
      </c>
      <c r="AX124" s="4504">
        <f t="shared" si="181"/>
        <v>0</v>
      </c>
      <c r="AY124" s="4504">
        <f t="shared" si="182"/>
        <v>0</v>
      </c>
      <c r="AZ124" s="4504">
        <f t="shared" si="183"/>
        <v>0</v>
      </c>
      <c r="BA124" s="4504">
        <f t="shared" si="184"/>
        <v>0</v>
      </c>
      <c r="BB124" s="4504">
        <f t="shared" si="185"/>
        <v>0</v>
      </c>
      <c r="BC124" s="4504">
        <f t="shared" si="186"/>
        <v>0</v>
      </c>
      <c r="BD124" s="4504">
        <f t="shared" si="187"/>
        <v>0</v>
      </c>
      <c r="BE124" s="4504">
        <f t="shared" si="188"/>
        <v>0</v>
      </c>
      <c r="BF124" s="4504">
        <f t="shared" si="189"/>
        <v>0</v>
      </c>
      <c r="BG124" s="4504">
        <f t="shared" si="190"/>
        <v>0</v>
      </c>
      <c r="BH124" s="4504">
        <f t="shared" si="191"/>
        <v>0</v>
      </c>
      <c r="BI124" s="4504">
        <f t="shared" si="192"/>
        <v>0</v>
      </c>
      <c r="BJ124" s="4504">
        <f t="shared" si="193"/>
        <v>0</v>
      </c>
      <c r="BK124" s="4504">
        <f t="shared" si="194"/>
        <v>0</v>
      </c>
      <c r="BL124" s="4504">
        <f t="shared" si="195"/>
        <v>0</v>
      </c>
      <c r="BM124" s="4504">
        <f t="shared" si="196"/>
        <v>0</v>
      </c>
      <c r="BN124" s="4504">
        <f t="shared" si="197"/>
        <v>0</v>
      </c>
      <c r="BO124" s="4504">
        <f t="shared" si="198"/>
        <v>0</v>
      </c>
      <c r="BP124" s="4504">
        <f t="shared" si="199"/>
        <v>0</v>
      </c>
      <c r="BQ124" s="4504">
        <f t="shared" si="200"/>
        <v>0</v>
      </c>
      <c r="BR124" s="4504">
        <f t="shared" si="201"/>
        <v>0</v>
      </c>
      <c r="BS124" s="4504">
        <f t="shared" si="202"/>
        <v>0</v>
      </c>
      <c r="BT124" s="4504">
        <f t="shared" si="203"/>
        <v>0</v>
      </c>
      <c r="BU124" s="4504">
        <f t="shared" si="204"/>
        <v>17.895215841867646</v>
      </c>
      <c r="BV124" s="4504">
        <f t="shared" si="205"/>
        <v>17.895215841867646</v>
      </c>
      <c r="BW124" s="4504">
        <f t="shared" si="206"/>
        <v>17.895215841867646</v>
      </c>
      <c r="BX124" s="4504">
        <f t="shared" si="207"/>
        <v>38.346891089716387</v>
      </c>
      <c r="BY124" s="4504">
        <f t="shared" si="208"/>
        <v>58.798566337565127</v>
      </c>
    </row>
    <row r="125" spans="1:77" s="1323" customFormat="1">
      <c r="A125" s="2611">
        <v>14</v>
      </c>
      <c r="B125" s="2554">
        <v>2040205</v>
      </c>
      <c r="C125" s="2555">
        <v>0.02</v>
      </c>
      <c r="D125" s="2585" t="s">
        <v>420</v>
      </c>
      <c r="E125" s="4453">
        <f>+'11.3. ДА Базова година'!H105</f>
        <v>3285.1258511429983</v>
      </c>
      <c r="F125" s="2655">
        <f>E125+SUMIF('11.1.Амортиз.нови активи'!$B$12:$B$59,$B125,'11.1.Амортиз.нови активи'!F$12:F$59)+('9.Инвестиционна програма'!H$130*SUMIF('11.1.Амортиз.нови активи'!$B$12:$B$59,$B125,'11.1.Амортиз.нови активи'!AO$12:AO$59))</f>
        <v>3699.8758511429983</v>
      </c>
      <c r="G125" s="1136">
        <f>F125+SUMIF('11.1.Амортиз.нови активи'!$B$12:$B$59,$B125,'11.1.Амортиз.нови активи'!G$12:G$59)+('9.Инвестиционна програма'!I$130*SUMIF('11.1.Амортиз.нови активи'!$B$12:$B$59,$B125,'11.1.Амортиз.нови активи'!AP$12:AP$59))</f>
        <v>4215.8758511429987</v>
      </c>
      <c r="H125" s="1136">
        <f>G125+SUMIF('11.1.Амортиз.нови активи'!$B$12:$B$59,$B125,'11.1.Амортиз.нови активи'!H$12:H$59)+('9.Инвестиционна програма'!J$130*SUMIF('11.1.Амортиз.нови активи'!$B$12:$B$59,$B125,'11.1.Амортиз.нови активи'!AQ$12:AQ$59))</f>
        <v>4739.8758511429987</v>
      </c>
      <c r="I125" s="1136">
        <f>H125+SUMIF('11.1.Амортиз.нови активи'!$B$12:$B$59,$B125,'11.1.Амортиз.нови активи'!I$12:I$59)+('9.Инвестиционна програма'!K$130*SUMIF('11.1.Амортиз.нови активи'!$B$12:$B$59,$B125,'11.1.Амортиз.нови активи'!AR$12:AR$59))</f>
        <v>5274.8758511429987</v>
      </c>
      <c r="J125" s="1136">
        <f>I125+SUMIF('11.1.Амортиз.нови активи'!$B$12:$B$59,$B125,'11.1.Амортиз.нови активи'!J$12:J$59)+('9.Инвестиционна програма'!L$130*SUMIF('11.1.Амортиз.нови активи'!$B$12:$B$59,$B125,'11.1.Амортиз.нови активи'!AS$12:AS$59))</f>
        <v>5811.8758511429987</v>
      </c>
      <c r="K125" s="2656">
        <f>J125+SUMIF('11.1.Амортиз.нови активи'!$B$12:$B$59,$B125,'11.1.Амортиз.нови активи'!K$12:K$59)+('9.Инвестиционна програма'!M$130*SUMIF('11.1.Амортиз.нови активи'!$B$12:$B$59,$B125,'11.1.Амортиз.нови активи'!AT$12:AT$59))</f>
        <v>6350.8758511429987</v>
      </c>
      <c r="L125" s="4453">
        <f>+'11.3. ДА Базова година'!L105</f>
        <v>0</v>
      </c>
      <c r="M125" s="2655">
        <f>L125+SUMIF('11.1.Амортиз.нови активи'!$B$12:$B$59,$B125,'11.1.Амортиз.нови активи'!M$12:M$59)+('9.Инвестиционна програма'!H$131*SUMIF('11.1.Амортиз.нови активи'!$B$12:$B$59,$B125,'11.1.Амортиз.нови активи'!AO$12:AO$59))</f>
        <v>0</v>
      </c>
      <c r="N125" s="1136">
        <f>M125+SUMIF('11.1.Амортиз.нови активи'!$B$12:$B$59,$B125,'11.1.Амортиз.нови активи'!N$12:N$59)+('9.Инвестиционна програма'!I$131*SUMIF('11.1.Амортиз.нови активи'!$B$12:$B$59,$B125,'11.1.Амортиз.нови активи'!AP$12:AP$59))</f>
        <v>0</v>
      </c>
      <c r="O125" s="1136">
        <f>N125+SUMIF('11.1.Амортиз.нови активи'!$B$12:$B$59,$B125,'11.1.Амортиз.нови активи'!O$12:O$59)+('9.Инвестиционна програма'!J$131*SUMIF('11.1.Амортиз.нови активи'!$B$12:$B$59,$B125,'11.1.Амортиз.нови активи'!AQ$12:AQ$59))</f>
        <v>0</v>
      </c>
      <c r="P125" s="1136">
        <f>O125+SUMIF('11.1.Амортиз.нови активи'!$B$12:$B$59,$B125,'11.1.Амортиз.нови активи'!P$12:P$59)+('9.Инвестиционна програма'!K$131*SUMIF('11.1.Амортиз.нови активи'!$B$12:$B$59,$B125,'11.1.Амортиз.нови активи'!AR$12:AR$59))</f>
        <v>0</v>
      </c>
      <c r="Q125" s="1136">
        <f>P125+SUMIF('11.1.Амортиз.нови активи'!$B$12:$B$59,$B125,'11.1.Амортиз.нови активи'!Q$12:Q$59)+('9.Инвестиционна програма'!L$131*SUMIF('11.1.Амортиз.нови активи'!$B$12:$B$59,$B125,'11.1.Амортиз.нови активи'!AS$12:AS$59))</f>
        <v>0</v>
      </c>
      <c r="R125" s="2656">
        <f>Q125+SUMIF('11.1.Амортиз.нови активи'!$B$12:$B$59,$B125,'11.1.Амортиз.нови активи'!R$12:R$59)+('9.Инвестиционна програма'!M$131*SUMIF('11.1.Амортиз.нови активи'!$B$12:$B$59,$B125,'11.1.Амортиз.нови активи'!AT$12:AT$59))</f>
        <v>0</v>
      </c>
      <c r="S125" s="4453">
        <f>+'11.3. ДА Базова година'!P105</f>
        <v>12.49977</v>
      </c>
      <c r="T125" s="2655">
        <f>S125+SUMIF('11.1.Амортиз.нови активи'!$B$12:$B$59,$B125,'11.1.Амортиз.нови активи'!T$12:T$59)+('9.Инвестиционна програма'!H$132*SUMIF('11.1.Амортиз.нови активи'!$B$12:$B$59,$B125,'11.1.Амортиз.нови активи'!AO$12:AO$59))</f>
        <v>12.49977</v>
      </c>
      <c r="U125" s="1136">
        <f>T125+SUMIF('11.1.Амортиз.нови активи'!$B$12:$B$59,$B125,'11.1.Амортиз.нови активи'!U$12:U$59)+('9.Инвестиционна програма'!I$132*SUMIF('11.1.Амортиз.нови активи'!$B$12:$B$59,$B125,'11.1.Амортиз.нови активи'!AP$12:AP$59))</f>
        <v>12.49977</v>
      </c>
      <c r="V125" s="1136">
        <f>U125+SUMIF('11.1.Амортиз.нови активи'!$B$12:$B$59,$B125,'11.1.Амортиз.нови активи'!V$12:V$59)+('9.Инвестиционна програма'!J$132*SUMIF('11.1.Амортиз.нови активи'!$B$12:$B$59,$B125,'11.1.Амортиз.нови активи'!AQ$12:AQ$59))</f>
        <v>12.49977</v>
      </c>
      <c r="W125" s="1136">
        <f>V125+SUMIF('11.1.Амортиз.нови активи'!$B$12:$B$59,$B125,'11.1.Амортиз.нови активи'!W$12:W$59)+('9.Инвестиционна програма'!K$132*SUMIF('11.1.Амортиз.нови активи'!$B$12:$B$59,$B125,'11.1.Амортиз.нови активи'!AR$12:AR$59))</f>
        <v>12.49977</v>
      </c>
      <c r="X125" s="1136">
        <f>W125+SUMIF('11.1.Амортиз.нови активи'!$B$12:$B$59,$B125,'11.1.Амортиз.нови активи'!X$12:X$59)+('9.Инвестиционна програма'!L$132*SUMIF('11.1.Амортиз.нови активи'!$B$12:$B$59,$B125,'11.1.Амортиз.нови активи'!AS$12:AS$59))</f>
        <v>12.49977</v>
      </c>
      <c r="Y125" s="2656">
        <f>X125+SUMIF('11.1.Амортиз.нови активи'!$B$12:$B$59,$B125,'11.1.Амортиз.нови активи'!Y$12:Y$59)+('9.Инвестиционна програма'!M$132*SUMIF('11.1.Амортиз.нови активи'!$B$12:$B$59,$B125,'11.1.Амортиз.нови активи'!AT$12:AT$59))</f>
        <v>12.49977</v>
      </c>
      <c r="Z125" s="4453">
        <f>+'11.3. ДА Базова година'!T105</f>
        <v>0</v>
      </c>
      <c r="AA125" s="2655">
        <f>Z125+SUMIF('11.1.Амортиз.нови активи'!$B$12:$B$59,$B125,'11.1.Амортиз.нови активи'!AA$12:AA$59)</f>
        <v>0</v>
      </c>
      <c r="AB125" s="1136">
        <f>AA125+SUMIF('11.1.Амортиз.нови активи'!$B$12:$B$59,$B125,'11.1.Амортиз.нови активи'!AB$12:AB$59)</f>
        <v>0</v>
      </c>
      <c r="AC125" s="1136">
        <f>AB125+SUMIF('11.1.Амортиз.нови активи'!$B$12:$B$59,$B125,'11.1.Амортиз.нови активи'!AC$12:AC$59)</f>
        <v>0</v>
      </c>
      <c r="AD125" s="1136">
        <f>AC125+SUMIF('11.1.Амортиз.нови активи'!$B$12:$B$59,$B125,'11.1.Амортиз.нови активи'!AD$12:AD$59)</f>
        <v>0</v>
      </c>
      <c r="AE125" s="1136">
        <f>AD125+SUMIF('11.1.Амортиз.нови активи'!$B$12:$B$59,$B125,'11.1.Амортиз.нови активи'!AE$12:AE$59)</f>
        <v>0</v>
      </c>
      <c r="AF125" s="2656">
        <f>AE125+SUMIF('11.1.Амортиз.нови активи'!$B$12:$B$59,$B125,'11.1.Амортиз.нови активи'!AF$12:AF$59)</f>
        <v>0</v>
      </c>
      <c r="AG125" s="4453">
        <f>+'11.3. ДА Базова година'!X105</f>
        <v>39.242388857000329</v>
      </c>
      <c r="AH125" s="2655">
        <f>AG125+SUMIF('11.1.Амортиз.нови активи'!$B$12:$B$59,$B125,'11.1.Амортиз.нови активи'!AH$12:AH$59)</f>
        <v>39.242388857000329</v>
      </c>
      <c r="AI125" s="1136">
        <f>AH125+SUMIF('11.1.Амортиз.нови активи'!$B$12:$B$59,$B125,'11.1.Амортиз.нови активи'!AI$12:AI$59)</f>
        <v>119.24238885700032</v>
      </c>
      <c r="AJ125" s="1136">
        <f>AI125+SUMIF('11.1.Амортиз.нови активи'!$B$12:$B$59,$B125,'11.1.Амортиз.нови активи'!AJ$12:AJ$59)</f>
        <v>194.24238885700032</v>
      </c>
      <c r="AK125" s="1136">
        <f>AJ125+SUMIF('11.1.Амортиз.нови активи'!$B$12:$B$59,$B125,'11.1.Амортиз.нови активи'!AK$12:AK$59)</f>
        <v>269.24238885700032</v>
      </c>
      <c r="AL125" s="1136">
        <f>AK125+SUMIF('11.1.Амортиз.нови активи'!$B$12:$B$59,$B125,'11.1.Амортиз.нови активи'!AL$12:AL$59)</f>
        <v>344.24238885700032</v>
      </c>
      <c r="AM125" s="2656">
        <f>AL125+SUMIF('11.1.Амортиз.нови активи'!$B$12:$B$59,$B125,'11.1.Амортиз.нови активи'!AM$12:AM$59)</f>
        <v>419.24238885700032</v>
      </c>
      <c r="AN125" s="2551"/>
      <c r="AO125" s="2589"/>
      <c r="AP125" s="4488"/>
      <c r="AQ125" s="4504">
        <f t="shared" si="174"/>
        <v>1679.658176397232</v>
      </c>
      <c r="AR125" s="4504">
        <f t="shared" si="175"/>
        <v>1891.7164841233637</v>
      </c>
      <c r="AS125" s="4504">
        <f t="shared" si="176"/>
        <v>2155.5430948206126</v>
      </c>
      <c r="AT125" s="4504">
        <f t="shared" si="177"/>
        <v>2423.460040567431</v>
      </c>
      <c r="AU125" s="4504">
        <f t="shared" si="178"/>
        <v>2697.0011970074079</v>
      </c>
      <c r="AV125" s="4504">
        <f t="shared" si="179"/>
        <v>2971.5649372097773</v>
      </c>
      <c r="AW125" s="4504">
        <f t="shared" si="180"/>
        <v>3247.1512611745393</v>
      </c>
      <c r="AX125" s="4504">
        <f t="shared" si="181"/>
        <v>0</v>
      </c>
      <c r="AY125" s="4504">
        <f t="shared" si="182"/>
        <v>0</v>
      </c>
      <c r="AZ125" s="4504">
        <f t="shared" si="183"/>
        <v>0</v>
      </c>
      <c r="BA125" s="4504">
        <f t="shared" si="184"/>
        <v>0</v>
      </c>
      <c r="BB125" s="4504">
        <f t="shared" si="185"/>
        <v>0</v>
      </c>
      <c r="BC125" s="4504">
        <f t="shared" si="186"/>
        <v>0</v>
      </c>
      <c r="BD125" s="4504">
        <f t="shared" si="187"/>
        <v>0</v>
      </c>
      <c r="BE125" s="4504">
        <f t="shared" si="188"/>
        <v>6.3910309178200562</v>
      </c>
      <c r="BF125" s="4504">
        <f t="shared" si="189"/>
        <v>6.3910309178200562</v>
      </c>
      <c r="BG125" s="4504">
        <f t="shared" si="190"/>
        <v>6.3910309178200562</v>
      </c>
      <c r="BH125" s="4504">
        <f t="shared" si="191"/>
        <v>6.3910309178200562</v>
      </c>
      <c r="BI125" s="4504">
        <f t="shared" si="192"/>
        <v>6.3910309178200562</v>
      </c>
      <c r="BJ125" s="4504">
        <f t="shared" si="193"/>
        <v>6.3910309178200562</v>
      </c>
      <c r="BK125" s="4504">
        <f t="shared" si="194"/>
        <v>6.3910309178200562</v>
      </c>
      <c r="BL125" s="4504">
        <f t="shared" si="195"/>
        <v>0</v>
      </c>
      <c r="BM125" s="4504">
        <f t="shared" si="196"/>
        <v>0</v>
      </c>
      <c r="BN125" s="4504">
        <f t="shared" si="197"/>
        <v>0</v>
      </c>
      <c r="BO125" s="4504">
        <f t="shared" si="198"/>
        <v>0</v>
      </c>
      <c r="BP125" s="4504">
        <f t="shared" si="199"/>
        <v>0</v>
      </c>
      <c r="BQ125" s="4504">
        <f t="shared" si="200"/>
        <v>0</v>
      </c>
      <c r="BR125" s="4504">
        <f t="shared" si="201"/>
        <v>0</v>
      </c>
      <c r="BS125" s="4504">
        <f t="shared" si="202"/>
        <v>20.064314821329219</v>
      </c>
      <c r="BT125" s="4504">
        <f t="shared" si="203"/>
        <v>20.064314821329219</v>
      </c>
      <c r="BU125" s="4504">
        <f t="shared" si="204"/>
        <v>60.967665317026693</v>
      </c>
      <c r="BV125" s="4504">
        <f t="shared" si="205"/>
        <v>99.31455640674308</v>
      </c>
      <c r="BW125" s="4504">
        <f t="shared" si="206"/>
        <v>137.66144749645946</v>
      </c>
      <c r="BX125" s="4504">
        <f t="shared" si="207"/>
        <v>176.00833858617585</v>
      </c>
      <c r="BY125" s="4504">
        <f t="shared" si="208"/>
        <v>214.35522967589225</v>
      </c>
    </row>
    <row r="126" spans="1:77" s="1323" customFormat="1">
      <c r="A126" s="2611">
        <v>15</v>
      </c>
      <c r="B126" s="2554">
        <v>2040206</v>
      </c>
      <c r="C126" s="2555">
        <v>0.02</v>
      </c>
      <c r="D126" s="2590" t="s">
        <v>421</v>
      </c>
      <c r="E126" s="4453">
        <f>+'11.3. ДА Базова година'!H106</f>
        <v>0</v>
      </c>
      <c r="F126" s="2655">
        <f>E126+SUMIF('11.1.Амортиз.нови активи'!$B$12:$B$59,$B126,'11.1.Амортиз.нови активи'!F$12:F$59)+('9.Инвестиционна програма'!H$130*SUMIF('11.1.Амортиз.нови активи'!$B$12:$B$59,$B126,'11.1.Амортиз.нови активи'!AO$12:AO$59))</f>
        <v>0</v>
      </c>
      <c r="G126" s="1136">
        <f>F126+SUMIF('11.1.Амортиз.нови активи'!$B$12:$B$59,$B126,'11.1.Амортиз.нови активи'!G$12:G$59)+('9.Инвестиционна програма'!I$130*SUMIF('11.1.Амортиз.нови активи'!$B$12:$B$59,$B126,'11.1.Амортиз.нови активи'!AP$12:AP$59))</f>
        <v>0</v>
      </c>
      <c r="H126" s="1136">
        <f>G126+SUMIF('11.1.Амортиз.нови активи'!$B$12:$B$59,$B126,'11.1.Амортиз.нови активи'!H$12:H$59)+('9.Инвестиционна програма'!J$130*SUMIF('11.1.Амортиз.нови активи'!$B$12:$B$59,$B126,'11.1.Амортиз.нови активи'!AQ$12:AQ$59))</f>
        <v>0</v>
      </c>
      <c r="I126" s="1136">
        <f>H126+SUMIF('11.1.Амортиз.нови активи'!$B$12:$B$59,$B126,'11.1.Амортиз.нови активи'!I$12:I$59)+('9.Инвестиционна програма'!K$130*SUMIF('11.1.Амортиз.нови активи'!$B$12:$B$59,$B126,'11.1.Амортиз.нови активи'!AR$12:AR$59))</f>
        <v>0</v>
      </c>
      <c r="J126" s="1136">
        <f>I126+SUMIF('11.1.Амортиз.нови активи'!$B$12:$B$59,$B126,'11.1.Амортиз.нови активи'!J$12:J$59)+('9.Инвестиционна програма'!L$130*SUMIF('11.1.Амортиз.нови активи'!$B$12:$B$59,$B126,'11.1.Амортиз.нови активи'!AS$12:AS$59))</f>
        <v>0</v>
      </c>
      <c r="K126" s="2656">
        <f>J126+SUMIF('11.1.Амортиз.нови активи'!$B$12:$B$59,$B126,'11.1.Амортиз.нови активи'!K$12:K$59)+('9.Инвестиционна програма'!M$130*SUMIF('11.1.Амортиз.нови активи'!$B$12:$B$59,$B126,'11.1.Амортиз.нови активи'!AT$12:AT$59))</f>
        <v>0</v>
      </c>
      <c r="L126" s="4453">
        <f>+'11.3. ДА Базова година'!L106</f>
        <v>79.538929999999993</v>
      </c>
      <c r="M126" s="2655">
        <f>L126+SUMIF('11.1.Амортиз.нови активи'!$B$12:$B$59,$B126,'11.1.Амортиз.нови активи'!M$12:M$59)+('9.Инвестиционна програма'!H$131*SUMIF('11.1.Амортиз.нови активи'!$B$12:$B$59,$B126,'11.1.Амортиз.нови активи'!AO$12:AO$59))</f>
        <v>99.538929999999993</v>
      </c>
      <c r="N126" s="1136">
        <f>M126+SUMIF('11.1.Амортиз.нови активи'!$B$12:$B$59,$B126,'11.1.Амортиз.нови активи'!N$12:N$59)+('9.Инвестиционна програма'!I$131*SUMIF('11.1.Амортиз.нови активи'!$B$12:$B$59,$B126,'11.1.Амортиз.нови активи'!AP$12:AP$59))</f>
        <v>104.53892999999999</v>
      </c>
      <c r="O126" s="1136">
        <f>N126+SUMIF('11.1.Амортиз.нови активи'!$B$12:$B$59,$B126,'11.1.Амортиз.нови активи'!O$12:O$59)+('9.Инвестиционна програма'!J$131*SUMIF('11.1.Амортиз.нови активи'!$B$12:$B$59,$B126,'11.1.Амортиз.нови активи'!AQ$12:AQ$59))</f>
        <v>109.53892999999999</v>
      </c>
      <c r="P126" s="1136">
        <f>O126+SUMIF('11.1.Амортиз.нови активи'!$B$12:$B$59,$B126,'11.1.Амортиз.нови активи'!P$12:P$59)+('9.Инвестиционна програма'!K$131*SUMIF('11.1.Амортиз.нови активи'!$B$12:$B$59,$B126,'11.1.Амортиз.нови активи'!AR$12:AR$59))</f>
        <v>114.53892999999999</v>
      </c>
      <c r="Q126" s="1136">
        <f>P126+SUMIF('11.1.Амортиз.нови активи'!$B$12:$B$59,$B126,'11.1.Амортиз.нови активи'!Q$12:Q$59)+('9.Инвестиционна програма'!L$131*SUMIF('11.1.Амортиз.нови активи'!$B$12:$B$59,$B126,'11.1.Амортиз.нови активи'!AS$12:AS$59))</f>
        <v>119.53892999999999</v>
      </c>
      <c r="R126" s="2656">
        <f>Q126+SUMIF('11.1.Амортиз.нови активи'!$B$12:$B$59,$B126,'11.1.Амортиз.нови активи'!R$12:R$59)+('9.Инвестиционна програма'!M$131*SUMIF('11.1.Амортиз.нови активи'!$B$12:$B$59,$B126,'11.1.Амортиз.нови активи'!AT$12:AT$59))</f>
        <v>124.53892999999999</v>
      </c>
      <c r="S126" s="4453">
        <f>+'11.3. ДА Базова година'!P106</f>
        <v>0</v>
      </c>
      <c r="T126" s="2655">
        <f>S126+SUMIF('11.1.Амортиз.нови активи'!$B$12:$B$59,$B126,'11.1.Амортиз.нови активи'!T$12:T$59)+('9.Инвестиционна програма'!H$132*SUMIF('11.1.Амортиз.нови активи'!$B$12:$B$59,$B126,'11.1.Амортиз.нови активи'!AO$12:AO$59))</f>
        <v>0</v>
      </c>
      <c r="U126" s="1136">
        <f>T126+SUMIF('11.1.Амортиз.нови активи'!$B$12:$B$59,$B126,'11.1.Амортиз.нови активи'!U$12:U$59)+('9.Инвестиционна програма'!I$132*SUMIF('11.1.Амортиз.нови активи'!$B$12:$B$59,$B126,'11.1.Амортиз.нови активи'!AP$12:AP$59))</f>
        <v>0</v>
      </c>
      <c r="V126" s="1136">
        <f>U126+SUMIF('11.1.Амортиз.нови активи'!$B$12:$B$59,$B126,'11.1.Амортиз.нови активи'!V$12:V$59)+('9.Инвестиционна програма'!J$132*SUMIF('11.1.Амортиз.нови активи'!$B$12:$B$59,$B126,'11.1.Амортиз.нови активи'!AQ$12:AQ$59))</f>
        <v>0</v>
      </c>
      <c r="W126" s="1136">
        <f>V126+SUMIF('11.1.Амортиз.нови активи'!$B$12:$B$59,$B126,'11.1.Амортиз.нови активи'!W$12:W$59)+('9.Инвестиционна програма'!K$132*SUMIF('11.1.Амортиз.нови активи'!$B$12:$B$59,$B126,'11.1.Амортиз.нови активи'!AR$12:AR$59))</f>
        <v>0</v>
      </c>
      <c r="X126" s="1136">
        <f>W126+SUMIF('11.1.Амортиз.нови активи'!$B$12:$B$59,$B126,'11.1.Амортиз.нови активи'!X$12:X$59)+('9.Инвестиционна програма'!L$132*SUMIF('11.1.Амортиз.нови активи'!$B$12:$B$59,$B126,'11.1.Амортиз.нови активи'!AS$12:AS$59))</f>
        <v>0</v>
      </c>
      <c r="Y126" s="2656">
        <f>X126+SUMIF('11.1.Амортиз.нови активи'!$B$12:$B$59,$B126,'11.1.Амортиз.нови активи'!Y$12:Y$59)+('9.Инвестиционна програма'!M$132*SUMIF('11.1.Амортиз.нови активи'!$B$12:$B$59,$B126,'11.1.Амортиз.нови активи'!AT$12:AT$59))</f>
        <v>0</v>
      </c>
      <c r="Z126" s="4453">
        <f>+'11.3. ДА Базова година'!T106</f>
        <v>0</v>
      </c>
      <c r="AA126" s="2655">
        <f>Z126+SUMIF('11.1.Амортиз.нови активи'!$B$12:$B$59,$B126,'11.1.Амортиз.нови активи'!AA$12:AA$59)</f>
        <v>0</v>
      </c>
      <c r="AB126" s="1136">
        <f>AA126+SUMIF('11.1.Амортиз.нови активи'!$B$12:$B$59,$B126,'11.1.Амортиз.нови активи'!AB$12:AB$59)</f>
        <v>0</v>
      </c>
      <c r="AC126" s="1136">
        <f>AB126+SUMIF('11.1.Амортиз.нови активи'!$B$12:$B$59,$B126,'11.1.Амортиз.нови активи'!AC$12:AC$59)</f>
        <v>0</v>
      </c>
      <c r="AD126" s="1136">
        <f>AC126+SUMIF('11.1.Амортиз.нови активи'!$B$12:$B$59,$B126,'11.1.Амортиз.нови активи'!AD$12:AD$59)</f>
        <v>0</v>
      </c>
      <c r="AE126" s="1136">
        <f>AD126+SUMIF('11.1.Амортиз.нови активи'!$B$12:$B$59,$B126,'11.1.Амортиз.нови активи'!AE$12:AE$59)</f>
        <v>0</v>
      </c>
      <c r="AF126" s="2656">
        <f>AE126+SUMIF('11.1.Амортиз.нови активи'!$B$12:$B$59,$B126,'11.1.Амортиз.нови активи'!AF$12:AF$59)</f>
        <v>0</v>
      </c>
      <c r="AG126" s="4453">
        <f>+'11.3. ДА Базова година'!X106</f>
        <v>0</v>
      </c>
      <c r="AH126" s="2655">
        <f>AG126+SUMIF('11.1.Амортиз.нови активи'!$B$12:$B$59,$B126,'11.1.Амортиз.нови активи'!AH$12:AH$59)</f>
        <v>0</v>
      </c>
      <c r="AI126" s="1136">
        <f>AH126+SUMIF('11.1.Амортиз.нови активи'!$B$12:$B$59,$B126,'11.1.Амортиз.нови активи'!AI$12:AI$59)</f>
        <v>0</v>
      </c>
      <c r="AJ126" s="1136">
        <f>AI126+SUMIF('11.1.Амортиз.нови активи'!$B$12:$B$59,$B126,'11.1.Амортиз.нови активи'!AJ$12:AJ$59)</f>
        <v>0</v>
      </c>
      <c r="AK126" s="1136">
        <f>AJ126+SUMIF('11.1.Амортиз.нови активи'!$B$12:$B$59,$B126,'11.1.Амортиз.нови активи'!AK$12:AK$59)</f>
        <v>0</v>
      </c>
      <c r="AL126" s="1136">
        <f>AK126+SUMIF('11.1.Амортиз.нови активи'!$B$12:$B$59,$B126,'11.1.Амортиз.нови активи'!AL$12:AL$59)</f>
        <v>0</v>
      </c>
      <c r="AM126" s="2656">
        <f>AL126+SUMIF('11.1.Амортиз.нови активи'!$B$12:$B$59,$B126,'11.1.Амортиз.нови активи'!AM$12:AM$59)</f>
        <v>0</v>
      </c>
      <c r="AN126" s="2551"/>
      <c r="AO126" s="2589"/>
      <c r="AP126" s="4488"/>
      <c r="AQ126" s="4504">
        <f t="shared" si="174"/>
        <v>0</v>
      </c>
      <c r="AR126" s="4504">
        <f t="shared" si="175"/>
        <v>0</v>
      </c>
      <c r="AS126" s="4504">
        <f t="shared" si="176"/>
        <v>0</v>
      </c>
      <c r="AT126" s="4504">
        <f t="shared" si="177"/>
        <v>0</v>
      </c>
      <c r="AU126" s="4504">
        <f t="shared" si="178"/>
        <v>0</v>
      </c>
      <c r="AV126" s="4504">
        <f t="shared" si="179"/>
        <v>0</v>
      </c>
      <c r="AW126" s="4504">
        <f t="shared" si="180"/>
        <v>0</v>
      </c>
      <c r="AX126" s="4504">
        <f t="shared" si="181"/>
        <v>40.667609148034337</v>
      </c>
      <c r="AY126" s="4504">
        <f t="shared" si="182"/>
        <v>50.893446771958708</v>
      </c>
      <c r="AZ126" s="4504">
        <f t="shared" si="183"/>
        <v>53.449906177939795</v>
      </c>
      <c r="BA126" s="4504">
        <f t="shared" si="184"/>
        <v>56.006365583920889</v>
      </c>
      <c r="BB126" s="4504">
        <f t="shared" si="185"/>
        <v>58.562824989901983</v>
      </c>
      <c r="BC126" s="4504">
        <f t="shared" si="186"/>
        <v>61.119284395883078</v>
      </c>
      <c r="BD126" s="4504">
        <f t="shared" si="187"/>
        <v>63.675743801864165</v>
      </c>
      <c r="BE126" s="4504">
        <f t="shared" si="188"/>
        <v>0</v>
      </c>
      <c r="BF126" s="4504">
        <f t="shared" si="189"/>
        <v>0</v>
      </c>
      <c r="BG126" s="4504">
        <f t="shared" si="190"/>
        <v>0</v>
      </c>
      <c r="BH126" s="4504">
        <f t="shared" si="191"/>
        <v>0</v>
      </c>
      <c r="BI126" s="4504">
        <f t="shared" si="192"/>
        <v>0</v>
      </c>
      <c r="BJ126" s="4504">
        <f t="shared" si="193"/>
        <v>0</v>
      </c>
      <c r="BK126" s="4504">
        <f t="shared" si="194"/>
        <v>0</v>
      </c>
      <c r="BL126" s="4504">
        <f t="shared" si="195"/>
        <v>0</v>
      </c>
      <c r="BM126" s="4504">
        <f t="shared" si="196"/>
        <v>0</v>
      </c>
      <c r="BN126" s="4504">
        <f t="shared" si="197"/>
        <v>0</v>
      </c>
      <c r="BO126" s="4504">
        <f t="shared" si="198"/>
        <v>0</v>
      </c>
      <c r="BP126" s="4504">
        <f t="shared" si="199"/>
        <v>0</v>
      </c>
      <c r="BQ126" s="4504">
        <f t="shared" si="200"/>
        <v>0</v>
      </c>
      <c r="BR126" s="4504">
        <f t="shared" si="201"/>
        <v>0</v>
      </c>
      <c r="BS126" s="4504">
        <f t="shared" si="202"/>
        <v>0</v>
      </c>
      <c r="BT126" s="4504">
        <f t="shared" si="203"/>
        <v>0</v>
      </c>
      <c r="BU126" s="4504">
        <f t="shared" si="204"/>
        <v>0</v>
      </c>
      <c r="BV126" s="4504">
        <f t="shared" si="205"/>
        <v>0</v>
      </c>
      <c r="BW126" s="4504">
        <f t="shared" si="206"/>
        <v>0</v>
      </c>
      <c r="BX126" s="4504">
        <f t="shared" si="207"/>
        <v>0</v>
      </c>
      <c r="BY126" s="4504">
        <f t="shared" si="208"/>
        <v>0</v>
      </c>
    </row>
    <row r="127" spans="1:77" s="1323" customFormat="1" ht="24">
      <c r="A127" s="2611">
        <v>16</v>
      </c>
      <c r="B127" s="2554">
        <v>2040207</v>
      </c>
      <c r="C127" s="2555">
        <v>0.04</v>
      </c>
      <c r="D127" s="2590" t="s">
        <v>422</v>
      </c>
      <c r="E127" s="4453">
        <f>+'11.3. ДА Базова година'!H107</f>
        <v>0</v>
      </c>
      <c r="F127" s="2655">
        <f>E127+SUMIF('11.1.Амортиз.нови активи'!$B$12:$B$59,$B127,'11.1.Амортиз.нови активи'!F$12:F$59)+('9.Инвестиционна програма'!H$130*SUMIF('11.1.Амортиз.нови активи'!$B$12:$B$59,$B127,'11.1.Амортиз.нови активи'!AO$12:AO$59))</f>
        <v>5.5</v>
      </c>
      <c r="G127" s="1136">
        <f>F127+SUMIF('11.1.Амортиз.нови активи'!$B$12:$B$59,$B127,'11.1.Амортиз.нови активи'!G$12:G$59)+('9.Инвестиционна програма'!I$130*SUMIF('11.1.Амортиз.нови активи'!$B$12:$B$59,$B127,'11.1.Амортиз.нови активи'!AP$12:AP$59))</f>
        <v>15.5</v>
      </c>
      <c r="H127" s="1136">
        <f>G127+SUMIF('11.1.Амортиз.нови активи'!$B$12:$B$59,$B127,'11.1.Амортиз.нови активи'!H$12:H$59)+('9.Инвестиционна програма'!J$130*SUMIF('11.1.Амортиз.нови активи'!$B$12:$B$59,$B127,'11.1.Амортиз.нови активи'!AQ$12:AQ$59))</f>
        <v>25.5</v>
      </c>
      <c r="I127" s="1136">
        <f>H127+SUMIF('11.1.Амортиз.нови активи'!$B$12:$B$59,$B127,'11.1.Амортиз.нови активи'!I$12:I$59)+('9.Инвестиционна програма'!K$130*SUMIF('11.1.Амортиз.нови активи'!$B$12:$B$59,$B127,'11.1.Амортиз.нови активи'!AR$12:AR$59))</f>
        <v>35.5</v>
      </c>
      <c r="J127" s="1136">
        <f>I127+SUMIF('11.1.Амортиз.нови активи'!$B$12:$B$59,$B127,'11.1.Амортиз.нови активи'!J$12:J$59)+('9.Инвестиционна програма'!L$130*SUMIF('11.1.Амортиз.нови активи'!$B$12:$B$59,$B127,'11.1.Амортиз.нови активи'!AS$12:AS$59))</f>
        <v>45.5</v>
      </c>
      <c r="K127" s="2656">
        <f>J127+SUMIF('11.1.Амортиз.нови активи'!$B$12:$B$59,$B127,'11.1.Амортиз.нови активи'!K$12:K$59)+('9.Инвестиционна програма'!M$130*SUMIF('11.1.Амортиз.нови активи'!$B$12:$B$59,$B127,'11.1.Амортиз.нови активи'!AT$12:AT$59))</f>
        <v>55.5</v>
      </c>
      <c r="L127" s="4453">
        <f>+'11.3. ДА Базова година'!L107</f>
        <v>0</v>
      </c>
      <c r="M127" s="2655">
        <f>L127+SUMIF('11.1.Амортиз.нови активи'!$B$12:$B$59,$B127,'11.1.Амортиз.нови активи'!M$12:M$59)+('9.Инвестиционна програма'!H$131*SUMIF('11.1.Амортиз.нови активи'!$B$12:$B$59,$B127,'11.1.Амортиз.нови активи'!AO$12:AO$59))</f>
        <v>0</v>
      </c>
      <c r="N127" s="1136">
        <f>M127+SUMIF('11.1.Амортиз.нови активи'!$B$12:$B$59,$B127,'11.1.Амортиз.нови активи'!N$12:N$59)+('9.Инвестиционна програма'!I$131*SUMIF('11.1.Амортиз.нови активи'!$B$12:$B$59,$B127,'11.1.Амортиз.нови активи'!AP$12:AP$59))</f>
        <v>0</v>
      </c>
      <c r="O127" s="1136">
        <f>N127+SUMIF('11.1.Амортиз.нови активи'!$B$12:$B$59,$B127,'11.1.Амортиз.нови активи'!O$12:O$59)+('9.Инвестиционна програма'!J$131*SUMIF('11.1.Амортиз.нови активи'!$B$12:$B$59,$B127,'11.1.Амортиз.нови активи'!AQ$12:AQ$59))</f>
        <v>0</v>
      </c>
      <c r="P127" s="1136">
        <f>O127+SUMIF('11.1.Амортиз.нови активи'!$B$12:$B$59,$B127,'11.1.Амортиз.нови активи'!P$12:P$59)+('9.Инвестиционна програма'!K$131*SUMIF('11.1.Амортиз.нови активи'!$B$12:$B$59,$B127,'11.1.Амортиз.нови активи'!AR$12:AR$59))</f>
        <v>0</v>
      </c>
      <c r="Q127" s="1136">
        <f>P127+SUMIF('11.1.Амортиз.нови активи'!$B$12:$B$59,$B127,'11.1.Амортиз.нови активи'!Q$12:Q$59)+('9.Инвестиционна програма'!L$131*SUMIF('11.1.Амортиз.нови активи'!$B$12:$B$59,$B127,'11.1.Амортиз.нови активи'!AS$12:AS$59))</f>
        <v>0</v>
      </c>
      <c r="R127" s="2656">
        <f>Q127+SUMIF('11.1.Амортиз.нови активи'!$B$12:$B$59,$B127,'11.1.Амортиз.нови активи'!R$12:R$59)+('9.Инвестиционна програма'!M$131*SUMIF('11.1.Амортиз.нови активи'!$B$12:$B$59,$B127,'11.1.Амортиз.нови активи'!AT$12:AT$59))</f>
        <v>0</v>
      </c>
      <c r="S127" s="4453">
        <f>+'11.3. ДА Базова година'!P107</f>
        <v>10.24826</v>
      </c>
      <c r="T127" s="2655">
        <f>S127+SUMIF('11.1.Амортиз.нови активи'!$B$12:$B$59,$B127,'11.1.Амортиз.нови активи'!T$12:T$59)+('9.Инвестиционна програма'!H$132*SUMIF('11.1.Амортиз.нови активи'!$B$12:$B$59,$B127,'11.1.Амортиз.нови активи'!AO$12:AO$59))</f>
        <v>22.248260000000002</v>
      </c>
      <c r="U127" s="1136">
        <f>T127+SUMIF('11.1.Амортиз.нови активи'!$B$12:$B$59,$B127,'11.1.Амортиз.нови активи'!U$12:U$59)+('9.Инвестиционна програма'!I$132*SUMIF('11.1.Амортиз.нови активи'!$B$12:$B$59,$B127,'11.1.Амортиз.нови активи'!AP$12:AP$59))</f>
        <v>52.248260000000002</v>
      </c>
      <c r="V127" s="1136">
        <f>U127+SUMIF('11.1.Амортиз.нови активи'!$B$12:$B$59,$B127,'11.1.Амортиз.нови активи'!V$12:V$59)+('9.Инвестиционна програма'!J$132*SUMIF('11.1.Амортиз.нови активи'!$B$12:$B$59,$B127,'11.1.Амортиз.нови активи'!AQ$12:AQ$59))</f>
        <v>82.248260000000002</v>
      </c>
      <c r="W127" s="1136">
        <f>V127+SUMIF('11.1.Амортиз.нови активи'!$B$12:$B$59,$B127,'11.1.Амортиз.нови активи'!W$12:W$59)+('9.Инвестиционна програма'!K$132*SUMIF('11.1.Амортиз.нови активи'!$B$12:$B$59,$B127,'11.1.Амортиз.нови активи'!AR$12:AR$59))</f>
        <v>112.24826</v>
      </c>
      <c r="X127" s="1136">
        <f>W127+SUMIF('11.1.Амортиз.нови активи'!$B$12:$B$59,$B127,'11.1.Амортиз.нови активи'!X$12:X$59)+('9.Инвестиционна програма'!L$132*SUMIF('11.1.Амортиз.нови активи'!$B$12:$B$59,$B127,'11.1.Амортиз.нови активи'!AS$12:AS$59))</f>
        <v>142.24826000000002</v>
      </c>
      <c r="Y127" s="2656">
        <f>X127+SUMIF('11.1.Амортиз.нови активи'!$B$12:$B$59,$B127,'11.1.Амортиз.нови активи'!Y$12:Y$59)+('9.Инвестиционна програма'!M$132*SUMIF('11.1.Амортиз.нови активи'!$B$12:$B$59,$B127,'11.1.Амортиз.нови активи'!AT$12:AT$59))</f>
        <v>172.24826000000002</v>
      </c>
      <c r="Z127" s="4453">
        <f>+'11.3. ДА Базова година'!T107</f>
        <v>0</v>
      </c>
      <c r="AA127" s="2655">
        <f>Z127+SUMIF('11.1.Амортиз.нови активи'!$B$12:$B$59,$B127,'11.1.Амортиз.нови активи'!AA$12:AA$59)</f>
        <v>0</v>
      </c>
      <c r="AB127" s="1136">
        <f>AA127+SUMIF('11.1.Амортиз.нови активи'!$B$12:$B$59,$B127,'11.1.Амортиз.нови активи'!AB$12:AB$59)</f>
        <v>0</v>
      </c>
      <c r="AC127" s="1136">
        <f>AB127+SUMIF('11.1.Амортиз.нови активи'!$B$12:$B$59,$B127,'11.1.Амортиз.нови активи'!AC$12:AC$59)</f>
        <v>0</v>
      </c>
      <c r="AD127" s="1136">
        <f>AC127+SUMIF('11.1.Амортиз.нови активи'!$B$12:$B$59,$B127,'11.1.Амортиз.нови активи'!AD$12:AD$59)</f>
        <v>0</v>
      </c>
      <c r="AE127" s="1136">
        <f>AD127+SUMIF('11.1.Амортиз.нови активи'!$B$12:$B$59,$B127,'11.1.Амортиз.нови активи'!AE$12:AE$59)</f>
        <v>0</v>
      </c>
      <c r="AF127" s="2656">
        <f>AE127+SUMIF('11.1.Амортиз.нови активи'!$B$12:$B$59,$B127,'11.1.Амортиз.нови активи'!AF$12:AF$59)</f>
        <v>0</v>
      </c>
      <c r="AG127" s="4453">
        <f>+'11.3. ДА Базова година'!X107</f>
        <v>0</v>
      </c>
      <c r="AH127" s="2655">
        <f>AG127+SUMIF('11.1.Амортиз.нови активи'!$B$12:$B$59,$B127,'11.1.Амортиз.нови активи'!AH$12:AH$59)</f>
        <v>3</v>
      </c>
      <c r="AI127" s="1136">
        <f>AH127+SUMIF('11.1.Амортиз.нови активи'!$B$12:$B$59,$B127,'11.1.Амортиз.нови активи'!AI$12:AI$59)</f>
        <v>33</v>
      </c>
      <c r="AJ127" s="1136">
        <f>AI127+SUMIF('11.1.Амортиз.нови активи'!$B$12:$B$59,$B127,'11.1.Амортиз.нови активи'!AJ$12:AJ$59)</f>
        <v>33</v>
      </c>
      <c r="AK127" s="1136">
        <f>AJ127+SUMIF('11.1.Амортиз.нови активи'!$B$12:$B$59,$B127,'11.1.Амортиз.нови активи'!AK$12:AK$59)</f>
        <v>33</v>
      </c>
      <c r="AL127" s="1136">
        <f>AK127+SUMIF('11.1.Амортиз.нови активи'!$B$12:$B$59,$B127,'11.1.Амортиз.нови активи'!AL$12:AL$59)</f>
        <v>33</v>
      </c>
      <c r="AM127" s="2656">
        <f>AL127+SUMIF('11.1.Амортиз.нови активи'!$B$12:$B$59,$B127,'11.1.Амортиз.нови активи'!AM$12:AM$59)</f>
        <v>33</v>
      </c>
      <c r="AN127" s="2551"/>
      <c r="AO127" s="2589"/>
      <c r="AP127" s="4488"/>
      <c r="AQ127" s="4504">
        <f t="shared" si="174"/>
        <v>0</v>
      </c>
      <c r="AR127" s="4504">
        <f t="shared" si="175"/>
        <v>2.8121053465792016</v>
      </c>
      <c r="AS127" s="4504">
        <f t="shared" si="176"/>
        <v>7.9250241585413868</v>
      </c>
      <c r="AT127" s="4504">
        <f t="shared" si="177"/>
        <v>13.037942970503572</v>
      </c>
      <c r="AU127" s="4504">
        <f t="shared" si="178"/>
        <v>18.150861782465757</v>
      </c>
      <c r="AV127" s="4504">
        <f t="shared" si="179"/>
        <v>23.263780594427942</v>
      </c>
      <c r="AW127" s="4504">
        <f t="shared" si="180"/>
        <v>28.376699406390127</v>
      </c>
      <c r="AX127" s="4504">
        <f t="shared" si="181"/>
        <v>0</v>
      </c>
      <c r="AY127" s="4504">
        <f t="shared" si="182"/>
        <v>0</v>
      </c>
      <c r="AZ127" s="4504">
        <f t="shared" si="183"/>
        <v>0</v>
      </c>
      <c r="BA127" s="4504">
        <f t="shared" si="184"/>
        <v>0</v>
      </c>
      <c r="BB127" s="4504">
        <f t="shared" si="185"/>
        <v>0</v>
      </c>
      <c r="BC127" s="4504">
        <f t="shared" si="186"/>
        <v>0</v>
      </c>
      <c r="BD127" s="4504">
        <f t="shared" si="187"/>
        <v>0</v>
      </c>
      <c r="BE127" s="4504">
        <f t="shared" si="188"/>
        <v>5.2398521343879585</v>
      </c>
      <c r="BF127" s="4504">
        <f t="shared" si="189"/>
        <v>11.375354708742581</v>
      </c>
      <c r="BG127" s="4504">
        <f t="shared" si="190"/>
        <v>26.714111144629136</v>
      </c>
      <c r="BH127" s="4504">
        <f t="shared" si="191"/>
        <v>42.052867580515688</v>
      </c>
      <c r="BI127" s="4504">
        <f t="shared" si="192"/>
        <v>57.391624016402247</v>
      </c>
      <c r="BJ127" s="4504">
        <f t="shared" si="193"/>
        <v>72.730380452288813</v>
      </c>
      <c r="BK127" s="4504">
        <f t="shared" si="194"/>
        <v>88.069136888175365</v>
      </c>
      <c r="BL127" s="4504">
        <f t="shared" si="195"/>
        <v>0</v>
      </c>
      <c r="BM127" s="4504">
        <f t="shared" si="196"/>
        <v>0</v>
      </c>
      <c r="BN127" s="4504">
        <f t="shared" si="197"/>
        <v>0</v>
      </c>
      <c r="BO127" s="4504">
        <f t="shared" si="198"/>
        <v>0</v>
      </c>
      <c r="BP127" s="4504">
        <f t="shared" si="199"/>
        <v>0</v>
      </c>
      <c r="BQ127" s="4504">
        <f t="shared" si="200"/>
        <v>0</v>
      </c>
      <c r="BR127" s="4504">
        <f t="shared" si="201"/>
        <v>0</v>
      </c>
      <c r="BS127" s="4504">
        <f t="shared" si="202"/>
        <v>0</v>
      </c>
      <c r="BT127" s="4504">
        <f t="shared" si="203"/>
        <v>1.5338756435886556</v>
      </c>
      <c r="BU127" s="4504">
        <f t="shared" si="204"/>
        <v>16.87263207947521</v>
      </c>
      <c r="BV127" s="4504">
        <f t="shared" si="205"/>
        <v>16.87263207947521</v>
      </c>
      <c r="BW127" s="4504">
        <f t="shared" si="206"/>
        <v>16.87263207947521</v>
      </c>
      <c r="BX127" s="4504">
        <f t="shared" si="207"/>
        <v>16.87263207947521</v>
      </c>
      <c r="BY127" s="4504">
        <f t="shared" si="208"/>
        <v>16.87263207947521</v>
      </c>
    </row>
    <row r="128" spans="1:77" s="1323" customFormat="1">
      <c r="A128" s="2611">
        <v>17</v>
      </c>
      <c r="B128" s="2554">
        <v>2040208</v>
      </c>
      <c r="C128" s="2555">
        <v>0.04</v>
      </c>
      <c r="D128" s="2590" t="s">
        <v>423</v>
      </c>
      <c r="E128" s="4453">
        <f>+'11.3. ДА Базова година'!H108</f>
        <v>0</v>
      </c>
      <c r="F128" s="2655">
        <f>E128+SUMIF('11.1.Амортиз.нови активи'!$B$12:$B$59,$B128,'11.1.Амортиз.нови активи'!F$12:F$59)+('9.Инвестиционна програма'!H$130*SUMIF('11.1.Амортиз.нови активи'!$B$12:$B$59,$B128,'11.1.Амортиз.нови активи'!AO$12:AO$59))</f>
        <v>0</v>
      </c>
      <c r="G128" s="1136">
        <f>F128+SUMIF('11.1.Амортиз.нови активи'!$B$12:$B$59,$B128,'11.1.Амортиз.нови активи'!G$12:G$59)+('9.Инвестиционна програма'!I$130*SUMIF('11.1.Амортиз.нови активи'!$B$12:$B$59,$B128,'11.1.Амортиз.нови активи'!AP$12:AP$59))</f>
        <v>0</v>
      </c>
      <c r="H128" s="1136">
        <f>G128+SUMIF('11.1.Амортиз.нови активи'!$B$12:$B$59,$B128,'11.1.Амортиз.нови активи'!H$12:H$59)+('9.Инвестиционна програма'!J$130*SUMIF('11.1.Амортиз.нови активи'!$B$12:$B$59,$B128,'11.1.Амортиз.нови активи'!AQ$12:AQ$59))</f>
        <v>0</v>
      </c>
      <c r="I128" s="1136">
        <f>H128+SUMIF('11.1.Амортиз.нови активи'!$B$12:$B$59,$B128,'11.1.Амортиз.нови активи'!I$12:I$59)+('9.Инвестиционна програма'!K$130*SUMIF('11.1.Амортиз.нови активи'!$B$12:$B$59,$B128,'11.1.Амортиз.нови активи'!AR$12:AR$59))</f>
        <v>0</v>
      </c>
      <c r="J128" s="1136">
        <f>I128+SUMIF('11.1.Амортиз.нови активи'!$B$12:$B$59,$B128,'11.1.Амортиз.нови активи'!J$12:J$59)+('9.Инвестиционна програма'!L$130*SUMIF('11.1.Амортиз.нови активи'!$B$12:$B$59,$B128,'11.1.Амортиз.нови активи'!AS$12:AS$59))</f>
        <v>0</v>
      </c>
      <c r="K128" s="2656">
        <f>J128+SUMIF('11.1.Амортиз.нови активи'!$B$12:$B$59,$B128,'11.1.Амортиз.нови активи'!K$12:K$59)+('9.Инвестиционна програма'!M$130*SUMIF('11.1.Амортиз.нови активи'!$B$12:$B$59,$B128,'11.1.Амортиз.нови активи'!AT$12:AT$59))</f>
        <v>0</v>
      </c>
      <c r="L128" s="4453">
        <f>+'11.3. ДА Базова година'!L108</f>
        <v>0</v>
      </c>
      <c r="M128" s="2655">
        <f>L128+SUMIF('11.1.Амортиз.нови активи'!$B$12:$B$59,$B128,'11.1.Амортиз.нови активи'!M$12:M$59)+('9.Инвестиционна програма'!H$131*SUMIF('11.1.Амортиз.нови активи'!$B$12:$B$59,$B128,'11.1.Амортиз.нови активи'!AO$12:AO$59))</f>
        <v>0</v>
      </c>
      <c r="N128" s="1136">
        <f>M128+SUMIF('11.1.Амортиз.нови активи'!$B$12:$B$59,$B128,'11.1.Амортиз.нови активи'!N$12:N$59)+('9.Инвестиционна програма'!I$131*SUMIF('11.1.Амортиз.нови активи'!$B$12:$B$59,$B128,'11.1.Амортиз.нови активи'!AP$12:AP$59))</f>
        <v>0</v>
      </c>
      <c r="O128" s="1136">
        <f>N128+SUMIF('11.1.Амортиз.нови активи'!$B$12:$B$59,$B128,'11.1.Амортиз.нови активи'!O$12:O$59)+('9.Инвестиционна програма'!J$131*SUMIF('11.1.Амортиз.нови активи'!$B$12:$B$59,$B128,'11.1.Амортиз.нови активи'!AQ$12:AQ$59))</f>
        <v>0</v>
      </c>
      <c r="P128" s="1136">
        <f>O128+SUMIF('11.1.Амортиз.нови активи'!$B$12:$B$59,$B128,'11.1.Амортиз.нови активи'!P$12:P$59)+('9.Инвестиционна програма'!K$131*SUMIF('11.1.Амортиз.нови активи'!$B$12:$B$59,$B128,'11.1.Амортиз.нови активи'!AR$12:AR$59))</f>
        <v>0</v>
      </c>
      <c r="Q128" s="1136">
        <f>P128+SUMIF('11.1.Амортиз.нови активи'!$B$12:$B$59,$B128,'11.1.Амортиз.нови активи'!Q$12:Q$59)+('9.Инвестиционна програма'!L$131*SUMIF('11.1.Амортиз.нови активи'!$B$12:$B$59,$B128,'11.1.Амортиз.нови активи'!AS$12:AS$59))</f>
        <v>0</v>
      </c>
      <c r="R128" s="2656">
        <f>Q128+SUMIF('11.1.Амортиз.нови активи'!$B$12:$B$59,$B128,'11.1.Амортиз.нови активи'!R$12:R$59)+('9.Инвестиционна програма'!M$131*SUMIF('11.1.Амортиз.нови активи'!$B$12:$B$59,$B128,'11.1.Амортиз.нови активи'!AT$12:AT$59))</f>
        <v>0</v>
      </c>
      <c r="S128" s="4453">
        <f>+'11.3. ДА Базова година'!P108</f>
        <v>0</v>
      </c>
      <c r="T128" s="2655">
        <f>S128+SUMIF('11.1.Амортиз.нови активи'!$B$12:$B$59,$B128,'11.1.Амортиз.нови активи'!T$12:T$59)+('9.Инвестиционна програма'!H$132*SUMIF('11.1.Амортиз.нови активи'!$B$12:$B$59,$B128,'11.1.Амортиз.нови активи'!AO$12:AO$59))</f>
        <v>0</v>
      </c>
      <c r="U128" s="1136">
        <f>T128+SUMIF('11.1.Амортиз.нови активи'!$B$12:$B$59,$B128,'11.1.Амортиз.нови активи'!U$12:U$59)+('9.Инвестиционна програма'!I$132*SUMIF('11.1.Амортиз.нови активи'!$B$12:$B$59,$B128,'11.1.Амортиз.нови активи'!AP$12:AP$59))</f>
        <v>0</v>
      </c>
      <c r="V128" s="1136">
        <f>U128+SUMIF('11.1.Амортиз.нови активи'!$B$12:$B$59,$B128,'11.1.Амортиз.нови активи'!V$12:V$59)+('9.Инвестиционна програма'!J$132*SUMIF('11.1.Амортиз.нови активи'!$B$12:$B$59,$B128,'11.1.Амортиз.нови активи'!AQ$12:AQ$59))</f>
        <v>0</v>
      </c>
      <c r="W128" s="1136">
        <f>V128+SUMIF('11.1.Амортиз.нови активи'!$B$12:$B$59,$B128,'11.1.Амортиз.нови активи'!W$12:W$59)+('9.Инвестиционна програма'!K$132*SUMIF('11.1.Амортиз.нови активи'!$B$12:$B$59,$B128,'11.1.Амортиз.нови активи'!AR$12:AR$59))</f>
        <v>0</v>
      </c>
      <c r="X128" s="1136">
        <f>W128+SUMIF('11.1.Амортиз.нови активи'!$B$12:$B$59,$B128,'11.1.Амортиз.нови активи'!X$12:X$59)+('9.Инвестиционна програма'!L$132*SUMIF('11.1.Амортиз.нови активи'!$B$12:$B$59,$B128,'11.1.Амортиз.нови активи'!AS$12:AS$59))</f>
        <v>0</v>
      </c>
      <c r="Y128" s="2656">
        <f>X128+SUMIF('11.1.Амортиз.нови активи'!$B$12:$B$59,$B128,'11.1.Амортиз.нови активи'!Y$12:Y$59)+('9.Инвестиционна програма'!M$132*SUMIF('11.1.Амортиз.нови активи'!$B$12:$B$59,$B128,'11.1.Амортиз.нови активи'!AT$12:AT$59))</f>
        <v>0</v>
      </c>
      <c r="Z128" s="4453">
        <f>+'11.3. ДА Базова година'!T108</f>
        <v>0</v>
      </c>
      <c r="AA128" s="2655">
        <f>Z128+SUMIF('11.1.Амортиз.нови активи'!$B$12:$B$59,$B128,'11.1.Амортиз.нови активи'!AA$12:AA$59)</f>
        <v>0</v>
      </c>
      <c r="AB128" s="1136">
        <f>AA128+SUMIF('11.1.Амортиз.нови активи'!$B$12:$B$59,$B128,'11.1.Амортиз.нови активи'!AB$12:AB$59)</f>
        <v>0</v>
      </c>
      <c r="AC128" s="1136">
        <f>AB128+SUMIF('11.1.Амортиз.нови активи'!$B$12:$B$59,$B128,'11.1.Амортиз.нови активи'!AC$12:AC$59)</f>
        <v>0</v>
      </c>
      <c r="AD128" s="1136">
        <f>AC128+SUMIF('11.1.Амортиз.нови активи'!$B$12:$B$59,$B128,'11.1.Амортиз.нови активи'!AD$12:AD$59)</f>
        <v>0</v>
      </c>
      <c r="AE128" s="1136">
        <f>AD128+SUMIF('11.1.Амортиз.нови активи'!$B$12:$B$59,$B128,'11.1.Амортиз.нови активи'!AE$12:AE$59)</f>
        <v>0</v>
      </c>
      <c r="AF128" s="2656">
        <f>AE128+SUMIF('11.1.Амортиз.нови активи'!$B$12:$B$59,$B128,'11.1.Амортиз.нови активи'!AF$12:AF$59)</f>
        <v>0</v>
      </c>
      <c r="AG128" s="4453">
        <f>+'11.3. ДА Базова година'!X108</f>
        <v>0</v>
      </c>
      <c r="AH128" s="2655">
        <f>AG128+SUMIF('11.1.Амортиз.нови активи'!$B$12:$B$59,$B128,'11.1.Амортиз.нови активи'!AH$12:AH$59)</f>
        <v>0</v>
      </c>
      <c r="AI128" s="1136">
        <f>AH128+SUMIF('11.1.Амортиз.нови активи'!$B$12:$B$59,$B128,'11.1.Амортиз.нови активи'!AI$12:AI$59)</f>
        <v>0</v>
      </c>
      <c r="AJ128" s="1136">
        <f>AI128+SUMIF('11.1.Амортиз.нови активи'!$B$12:$B$59,$B128,'11.1.Амортиз.нови активи'!AJ$12:AJ$59)</f>
        <v>0</v>
      </c>
      <c r="AK128" s="1136">
        <f>AJ128+SUMIF('11.1.Амортиз.нови активи'!$B$12:$B$59,$B128,'11.1.Амортиз.нови активи'!AK$12:AK$59)</f>
        <v>0</v>
      </c>
      <c r="AL128" s="1136">
        <f>AK128+SUMIF('11.1.Амортиз.нови активи'!$B$12:$B$59,$B128,'11.1.Амортиз.нови активи'!AL$12:AL$59)</f>
        <v>0</v>
      </c>
      <c r="AM128" s="2656">
        <f>AL128+SUMIF('11.1.Амортиз.нови активи'!$B$12:$B$59,$B128,'11.1.Амортиз.нови активи'!AM$12:AM$59)</f>
        <v>0</v>
      </c>
      <c r="AN128" s="2551"/>
      <c r="AO128" s="2589"/>
      <c r="AP128" s="4488"/>
      <c r="AQ128" s="4504">
        <f t="shared" si="174"/>
        <v>0</v>
      </c>
      <c r="AR128" s="4504">
        <f t="shared" si="175"/>
        <v>0</v>
      </c>
      <c r="AS128" s="4504">
        <f t="shared" si="176"/>
        <v>0</v>
      </c>
      <c r="AT128" s="4504">
        <f t="shared" si="177"/>
        <v>0</v>
      </c>
      <c r="AU128" s="4504">
        <f t="shared" si="178"/>
        <v>0</v>
      </c>
      <c r="AV128" s="4504">
        <f t="shared" si="179"/>
        <v>0</v>
      </c>
      <c r="AW128" s="4504">
        <f t="shared" si="180"/>
        <v>0</v>
      </c>
      <c r="AX128" s="4504">
        <f t="shared" si="181"/>
        <v>0</v>
      </c>
      <c r="AY128" s="4504">
        <f t="shared" si="182"/>
        <v>0</v>
      </c>
      <c r="AZ128" s="4504">
        <f t="shared" si="183"/>
        <v>0</v>
      </c>
      <c r="BA128" s="4504">
        <f t="shared" si="184"/>
        <v>0</v>
      </c>
      <c r="BB128" s="4504">
        <f t="shared" si="185"/>
        <v>0</v>
      </c>
      <c r="BC128" s="4504">
        <f t="shared" si="186"/>
        <v>0</v>
      </c>
      <c r="BD128" s="4504">
        <f t="shared" si="187"/>
        <v>0</v>
      </c>
      <c r="BE128" s="4504">
        <f t="shared" si="188"/>
        <v>0</v>
      </c>
      <c r="BF128" s="4504">
        <f t="shared" si="189"/>
        <v>0</v>
      </c>
      <c r="BG128" s="4504">
        <f t="shared" si="190"/>
        <v>0</v>
      </c>
      <c r="BH128" s="4504">
        <f t="shared" si="191"/>
        <v>0</v>
      </c>
      <c r="BI128" s="4504">
        <f t="shared" si="192"/>
        <v>0</v>
      </c>
      <c r="BJ128" s="4504">
        <f t="shared" si="193"/>
        <v>0</v>
      </c>
      <c r="BK128" s="4504">
        <f t="shared" si="194"/>
        <v>0</v>
      </c>
      <c r="BL128" s="4504">
        <f t="shared" si="195"/>
        <v>0</v>
      </c>
      <c r="BM128" s="4504">
        <f t="shared" si="196"/>
        <v>0</v>
      </c>
      <c r="BN128" s="4504">
        <f t="shared" si="197"/>
        <v>0</v>
      </c>
      <c r="BO128" s="4504">
        <f t="shared" si="198"/>
        <v>0</v>
      </c>
      <c r="BP128" s="4504">
        <f t="shared" si="199"/>
        <v>0</v>
      </c>
      <c r="BQ128" s="4504">
        <f t="shared" si="200"/>
        <v>0</v>
      </c>
      <c r="BR128" s="4504">
        <f t="shared" si="201"/>
        <v>0</v>
      </c>
      <c r="BS128" s="4504">
        <f t="shared" si="202"/>
        <v>0</v>
      </c>
      <c r="BT128" s="4504">
        <f t="shared" si="203"/>
        <v>0</v>
      </c>
      <c r="BU128" s="4504">
        <f t="shared" si="204"/>
        <v>0</v>
      </c>
      <c r="BV128" s="4504">
        <f t="shared" si="205"/>
        <v>0</v>
      </c>
      <c r="BW128" s="4504">
        <f t="shared" si="206"/>
        <v>0</v>
      </c>
      <c r="BX128" s="4504">
        <f t="shared" si="207"/>
        <v>0</v>
      </c>
      <c r="BY128" s="4504">
        <f t="shared" si="208"/>
        <v>0</v>
      </c>
    </row>
    <row r="129" spans="1:77" s="1323" customFormat="1">
      <c r="A129" s="2611">
        <v>18</v>
      </c>
      <c r="B129" s="2612" t="s">
        <v>1051</v>
      </c>
      <c r="C129" s="2555">
        <v>0.04</v>
      </c>
      <c r="D129" s="2609" t="s">
        <v>434</v>
      </c>
      <c r="E129" s="4453">
        <f>+'11.3. ДА Базова година'!H109</f>
        <v>2.2637899999999997</v>
      </c>
      <c r="F129" s="2655">
        <f>E129+SUMIF('11.1.Амортиз.нови активи'!$B$12:$B$59,$B129,'11.1.Амортиз.нови активи'!F$12:F$59)+('9.Инвестиционна програма'!H$130*SUMIF('11.1.Амортиз.нови активи'!$B$12:$B$59,$B129,'11.1.Амортиз.нови активи'!AO$12:AO$59))</f>
        <v>2.2637899999999997</v>
      </c>
      <c r="G129" s="1136">
        <f>F129+SUMIF('11.1.Амортиз.нови активи'!$B$12:$B$59,$B129,'11.1.Амортиз.нови активи'!G$12:G$59)+('9.Инвестиционна програма'!I$130*SUMIF('11.1.Амортиз.нови активи'!$B$12:$B$59,$B129,'11.1.Амортиз.нови активи'!AP$12:AP$59))</f>
        <v>2.2637899999999997</v>
      </c>
      <c r="H129" s="1136">
        <f>G129+SUMIF('11.1.Амортиз.нови активи'!$B$12:$B$59,$B129,'11.1.Амортиз.нови активи'!H$12:H$59)+('9.Инвестиционна програма'!J$130*SUMIF('11.1.Амортиз.нови активи'!$B$12:$B$59,$B129,'11.1.Амортиз.нови активи'!AQ$12:AQ$59))</f>
        <v>2.2637899999999997</v>
      </c>
      <c r="I129" s="1136">
        <f>H129+SUMIF('11.1.Амортиз.нови активи'!$B$12:$B$59,$B129,'11.1.Амортиз.нови активи'!I$12:I$59)+('9.Инвестиционна програма'!K$130*SUMIF('11.1.Амортиз.нови активи'!$B$12:$B$59,$B129,'11.1.Амортиз.нови активи'!AR$12:AR$59))</f>
        <v>2.2637899999999997</v>
      </c>
      <c r="J129" s="1136">
        <f>I129+SUMIF('11.1.Амортиз.нови активи'!$B$12:$B$59,$B129,'11.1.Амортиз.нови активи'!J$12:J$59)+('9.Инвестиционна програма'!L$130*SUMIF('11.1.Амортиз.нови активи'!$B$12:$B$59,$B129,'11.1.Амортиз.нови активи'!AS$12:AS$59))</f>
        <v>2.2637899999999997</v>
      </c>
      <c r="K129" s="2656">
        <f>J129+SUMIF('11.1.Амортиз.нови активи'!$B$12:$B$59,$B129,'11.1.Амортиз.нови активи'!K$12:K$59)+('9.Инвестиционна програма'!M$130*SUMIF('11.1.Амортиз.нови активи'!$B$12:$B$59,$B129,'11.1.Амортиз.нови активи'!AT$12:AT$59))</f>
        <v>2.2637899999999997</v>
      </c>
      <c r="L129" s="4453">
        <f>+'11.3. ДА Базова година'!L109</f>
        <v>0</v>
      </c>
      <c r="M129" s="2655">
        <f>L129+SUMIF('11.1.Амортиз.нови активи'!$B$12:$B$59,$B129,'11.1.Амортиз.нови активи'!M$12:M$59)+('9.Инвестиционна програма'!H$131*SUMIF('11.1.Амортиз.нови активи'!$B$12:$B$59,$B129,'11.1.Амортиз.нови активи'!AO$12:AO$59))</f>
        <v>0</v>
      </c>
      <c r="N129" s="1136">
        <f>M129+SUMIF('11.1.Амортиз.нови активи'!$B$12:$B$59,$B129,'11.1.Амортиз.нови активи'!N$12:N$59)+('9.Инвестиционна програма'!I$131*SUMIF('11.1.Амортиз.нови активи'!$B$12:$B$59,$B129,'11.1.Амортиз.нови активи'!AP$12:AP$59))</f>
        <v>0</v>
      </c>
      <c r="O129" s="1136">
        <f>N129+SUMIF('11.1.Амортиз.нови активи'!$B$12:$B$59,$B129,'11.1.Амортиз.нови активи'!O$12:O$59)+('9.Инвестиционна програма'!J$131*SUMIF('11.1.Амортиз.нови активи'!$B$12:$B$59,$B129,'11.1.Амортиз.нови активи'!AQ$12:AQ$59))</f>
        <v>0</v>
      </c>
      <c r="P129" s="1136">
        <f>O129+SUMIF('11.1.Амортиз.нови активи'!$B$12:$B$59,$B129,'11.1.Амортиз.нови активи'!P$12:P$59)+('9.Инвестиционна програма'!K$131*SUMIF('11.1.Амортиз.нови активи'!$B$12:$B$59,$B129,'11.1.Амортиз.нови активи'!AR$12:AR$59))</f>
        <v>0</v>
      </c>
      <c r="Q129" s="1136">
        <f>P129+SUMIF('11.1.Амортиз.нови активи'!$B$12:$B$59,$B129,'11.1.Амортиз.нови активи'!Q$12:Q$59)+('9.Инвестиционна програма'!L$131*SUMIF('11.1.Амортиз.нови активи'!$B$12:$B$59,$B129,'11.1.Амортиз.нови активи'!AS$12:AS$59))</f>
        <v>0</v>
      </c>
      <c r="R129" s="2656">
        <f>Q129+SUMIF('11.1.Амортиз.нови активи'!$B$12:$B$59,$B129,'11.1.Амортиз.нови активи'!R$12:R$59)+('9.Инвестиционна програма'!M$131*SUMIF('11.1.Амортиз.нови активи'!$B$12:$B$59,$B129,'11.1.Амортиз.нови активи'!AT$12:AT$59))</f>
        <v>0</v>
      </c>
      <c r="S129" s="4453">
        <f>+'11.3. ДА Базова година'!P109</f>
        <v>0</v>
      </c>
      <c r="T129" s="2655">
        <f>S129+SUMIF('11.1.Амортиз.нови активи'!$B$12:$B$59,$B129,'11.1.Амортиз.нови активи'!T$12:T$59)+('9.Инвестиционна програма'!H$132*SUMIF('11.1.Амортиз.нови активи'!$B$12:$B$59,$B129,'11.1.Амортиз.нови активи'!AO$12:AO$59))</f>
        <v>0</v>
      </c>
      <c r="U129" s="1136">
        <f>T129+SUMIF('11.1.Амортиз.нови активи'!$B$12:$B$59,$B129,'11.1.Амортиз.нови активи'!U$12:U$59)+('9.Инвестиционна програма'!I$132*SUMIF('11.1.Амортиз.нови активи'!$B$12:$B$59,$B129,'11.1.Амортиз.нови активи'!AP$12:AP$59))</f>
        <v>0</v>
      </c>
      <c r="V129" s="1136">
        <f>U129+SUMIF('11.1.Амортиз.нови активи'!$B$12:$B$59,$B129,'11.1.Амортиз.нови активи'!V$12:V$59)+('9.Инвестиционна програма'!J$132*SUMIF('11.1.Амортиз.нови активи'!$B$12:$B$59,$B129,'11.1.Амортиз.нови активи'!AQ$12:AQ$59))</f>
        <v>0</v>
      </c>
      <c r="W129" s="1136">
        <f>V129+SUMIF('11.1.Амортиз.нови активи'!$B$12:$B$59,$B129,'11.1.Амортиз.нови активи'!W$12:W$59)+('9.Инвестиционна програма'!K$132*SUMIF('11.1.Амортиз.нови активи'!$B$12:$B$59,$B129,'11.1.Амортиз.нови активи'!AR$12:AR$59))</f>
        <v>0</v>
      </c>
      <c r="X129" s="1136">
        <f>W129+SUMIF('11.1.Амортиз.нови активи'!$B$12:$B$59,$B129,'11.1.Амортиз.нови активи'!X$12:X$59)+('9.Инвестиционна програма'!L$132*SUMIF('11.1.Амортиз.нови активи'!$B$12:$B$59,$B129,'11.1.Амортиз.нови активи'!AS$12:AS$59))</f>
        <v>0</v>
      </c>
      <c r="Y129" s="2656">
        <f>X129+SUMIF('11.1.Амортиз.нови активи'!$B$12:$B$59,$B129,'11.1.Амортиз.нови активи'!Y$12:Y$59)+('9.Инвестиционна програма'!M$132*SUMIF('11.1.Амортиз.нови активи'!$B$12:$B$59,$B129,'11.1.Амортиз.нови активи'!AT$12:AT$59))</f>
        <v>0</v>
      </c>
      <c r="Z129" s="4453">
        <f>+'11.3. ДА Базова година'!T109</f>
        <v>0</v>
      </c>
      <c r="AA129" s="2655">
        <f>Z129+SUMIF('11.1.Амортиз.нови активи'!$B$12:$B$59,$B129,'11.1.Амортиз.нови активи'!AA$12:AA$59)</f>
        <v>0</v>
      </c>
      <c r="AB129" s="1136">
        <f>AA129+SUMIF('11.1.Амортиз.нови активи'!$B$12:$B$59,$B129,'11.1.Амортиз.нови активи'!AB$12:AB$59)</f>
        <v>0</v>
      </c>
      <c r="AC129" s="1136">
        <f>AB129+SUMIF('11.1.Амортиз.нови активи'!$B$12:$B$59,$B129,'11.1.Амортиз.нови активи'!AC$12:AC$59)</f>
        <v>0</v>
      </c>
      <c r="AD129" s="1136">
        <f>AC129+SUMIF('11.1.Амортиз.нови активи'!$B$12:$B$59,$B129,'11.1.Амортиз.нови активи'!AD$12:AD$59)</f>
        <v>0</v>
      </c>
      <c r="AE129" s="1136">
        <f>AD129+SUMIF('11.1.Амортиз.нови активи'!$B$12:$B$59,$B129,'11.1.Амортиз.нови активи'!AE$12:AE$59)</f>
        <v>0</v>
      </c>
      <c r="AF129" s="2656">
        <f>AE129+SUMIF('11.1.Амортиз.нови активи'!$B$12:$B$59,$B129,'11.1.Амортиз.нови активи'!AF$12:AF$59)</f>
        <v>0</v>
      </c>
      <c r="AG129" s="4453">
        <f>+'11.3. ДА Базова година'!X109</f>
        <v>0</v>
      </c>
      <c r="AH129" s="2655">
        <f>AG129+SUMIF('11.1.Амортиз.нови активи'!$B$12:$B$59,$B129,'11.1.Амортиз.нови активи'!AH$12:AH$59)</f>
        <v>0</v>
      </c>
      <c r="AI129" s="1136">
        <f>AH129+SUMIF('11.1.Амортиз.нови активи'!$B$12:$B$59,$B129,'11.1.Амортиз.нови активи'!AI$12:AI$59)</f>
        <v>0</v>
      </c>
      <c r="AJ129" s="1136">
        <f>AI129+SUMIF('11.1.Амортиз.нови активи'!$B$12:$B$59,$B129,'11.1.Амортиз.нови активи'!AJ$12:AJ$59)</f>
        <v>0</v>
      </c>
      <c r="AK129" s="1136">
        <f>AJ129+SUMIF('11.1.Амортиз.нови активи'!$B$12:$B$59,$B129,'11.1.Амортиз.нови активи'!AK$12:AK$59)</f>
        <v>0</v>
      </c>
      <c r="AL129" s="1136">
        <f>AK129+SUMIF('11.1.Амортиз.нови активи'!$B$12:$B$59,$B129,'11.1.Амортиз.нови активи'!AL$12:AL$59)</f>
        <v>0</v>
      </c>
      <c r="AM129" s="2656">
        <f>AL129+SUMIF('11.1.Амортиз.нови активи'!$B$12:$B$59,$B129,'11.1.Амортиз.нови активи'!AM$12:AM$59)</f>
        <v>0</v>
      </c>
      <c r="AN129" s="2551"/>
      <c r="AO129" s="2589"/>
      <c r="AP129" s="4488"/>
      <c r="AQ129" s="4504">
        <f t="shared" si="174"/>
        <v>1.1574574477331874</v>
      </c>
      <c r="AR129" s="4504">
        <f t="shared" si="175"/>
        <v>1.1574574477331874</v>
      </c>
      <c r="AS129" s="4504">
        <f t="shared" si="176"/>
        <v>1.1574574477331874</v>
      </c>
      <c r="AT129" s="4504">
        <f t="shared" si="177"/>
        <v>1.1574574477331874</v>
      </c>
      <c r="AU129" s="4504">
        <f t="shared" si="178"/>
        <v>1.1574574477331874</v>
      </c>
      <c r="AV129" s="4504">
        <f t="shared" si="179"/>
        <v>1.1574574477331874</v>
      </c>
      <c r="AW129" s="4504">
        <f t="shared" si="180"/>
        <v>1.1574574477331874</v>
      </c>
      <c r="AX129" s="4504">
        <f t="shared" si="181"/>
        <v>0</v>
      </c>
      <c r="AY129" s="4504">
        <f t="shared" si="182"/>
        <v>0</v>
      </c>
      <c r="AZ129" s="4504">
        <f t="shared" si="183"/>
        <v>0</v>
      </c>
      <c r="BA129" s="4504">
        <f t="shared" si="184"/>
        <v>0</v>
      </c>
      <c r="BB129" s="4504">
        <f t="shared" si="185"/>
        <v>0</v>
      </c>
      <c r="BC129" s="4504">
        <f t="shared" si="186"/>
        <v>0</v>
      </c>
      <c r="BD129" s="4504">
        <f t="shared" si="187"/>
        <v>0</v>
      </c>
      <c r="BE129" s="4504">
        <f t="shared" si="188"/>
        <v>0</v>
      </c>
      <c r="BF129" s="4504">
        <f t="shared" si="189"/>
        <v>0</v>
      </c>
      <c r="BG129" s="4504">
        <f t="shared" si="190"/>
        <v>0</v>
      </c>
      <c r="BH129" s="4504">
        <f t="shared" si="191"/>
        <v>0</v>
      </c>
      <c r="BI129" s="4504">
        <f t="shared" si="192"/>
        <v>0</v>
      </c>
      <c r="BJ129" s="4504">
        <f t="shared" si="193"/>
        <v>0</v>
      </c>
      <c r="BK129" s="4504">
        <f t="shared" si="194"/>
        <v>0</v>
      </c>
      <c r="BL129" s="4504">
        <f t="shared" si="195"/>
        <v>0</v>
      </c>
      <c r="BM129" s="4504">
        <f t="shared" si="196"/>
        <v>0</v>
      </c>
      <c r="BN129" s="4504">
        <f t="shared" si="197"/>
        <v>0</v>
      </c>
      <c r="BO129" s="4504">
        <f t="shared" si="198"/>
        <v>0</v>
      </c>
      <c r="BP129" s="4504">
        <f t="shared" si="199"/>
        <v>0</v>
      </c>
      <c r="BQ129" s="4504">
        <f t="shared" si="200"/>
        <v>0</v>
      </c>
      <c r="BR129" s="4504">
        <f t="shared" si="201"/>
        <v>0</v>
      </c>
      <c r="BS129" s="4504">
        <f t="shared" si="202"/>
        <v>0</v>
      </c>
      <c r="BT129" s="4504">
        <f t="shared" si="203"/>
        <v>0</v>
      </c>
      <c r="BU129" s="4504">
        <f t="shared" si="204"/>
        <v>0</v>
      </c>
      <c r="BV129" s="4504">
        <f t="shared" si="205"/>
        <v>0</v>
      </c>
      <c r="BW129" s="4504">
        <f t="shared" si="206"/>
        <v>0</v>
      </c>
      <c r="BX129" s="4504">
        <f t="shared" si="207"/>
        <v>0</v>
      </c>
      <c r="BY129" s="4504">
        <f t="shared" si="208"/>
        <v>0</v>
      </c>
    </row>
    <row r="130" spans="1:77" s="1323" customFormat="1" ht="24.6" thickBot="1">
      <c r="A130" s="2611">
        <v>19</v>
      </c>
      <c r="B130" s="2554">
        <v>215</v>
      </c>
      <c r="C130" s="2560">
        <v>0.2</v>
      </c>
      <c r="D130" s="2590" t="s">
        <v>679</v>
      </c>
      <c r="E130" s="4453">
        <f>+'11.3. ДА Базова година'!H110</f>
        <v>48</v>
      </c>
      <c r="F130" s="2672">
        <f>E130+SUMIF('11.1.Амортиз.нови активи'!$B$12:$B$59,$B130,'11.1.Амортиз.нови активи'!F$12:F$59)+('9.Инвестиционна програма'!H$130*SUMIF('11.1.Амортиз.нови активи'!$B$12:$B$59,$B130,'11.1.Амортиз.нови активи'!AO$12:AO$59))</f>
        <v>148</v>
      </c>
      <c r="G130" s="1138">
        <f>F130+SUMIF('11.1.Амортиз.нови активи'!$B$12:$B$59,$B130,'11.1.Амортиз.нови активи'!G$12:G$59)+('9.Инвестиционна програма'!I$130*SUMIF('11.1.Амортиз.нови активи'!$B$12:$B$59,$B130,'11.1.Амортиз.нови активи'!AP$12:AP$59))</f>
        <v>148</v>
      </c>
      <c r="H130" s="1138">
        <f>G130+SUMIF('11.1.Амортиз.нови активи'!$B$12:$B$59,$B130,'11.1.Амортиз.нови активи'!H$12:H$59)+('9.Инвестиционна програма'!J$130*SUMIF('11.1.Амортиз.нови активи'!$B$12:$B$59,$B130,'11.1.Амортиз.нови активи'!AQ$12:AQ$59))</f>
        <v>148</v>
      </c>
      <c r="I130" s="1138">
        <f>H130+SUMIF('11.1.Амортиз.нови активи'!$B$12:$B$59,$B130,'11.1.Амортиз.нови активи'!I$12:I$59)+('9.Инвестиционна програма'!K$130*SUMIF('11.1.Амортиз.нови активи'!$B$12:$B$59,$B130,'11.1.Амортиз.нови активи'!AR$12:AR$59))</f>
        <v>148</v>
      </c>
      <c r="J130" s="1138">
        <f>I130+SUMIF('11.1.Амортиз.нови активи'!$B$12:$B$59,$B130,'11.1.Амортиз.нови активи'!J$12:J$59)+('9.Инвестиционна програма'!L$130*SUMIF('11.1.Амортиз.нови активи'!$B$12:$B$59,$B130,'11.1.Амортиз.нови активи'!AS$12:AS$59))</f>
        <v>148</v>
      </c>
      <c r="K130" s="2673">
        <f>J130+SUMIF('11.1.Амортиз.нови активи'!$B$12:$B$59,$B130,'11.1.Амортиз.нови активи'!K$12:K$59)+('9.Инвестиционна програма'!M$130*SUMIF('11.1.Амортиз.нови активи'!$B$12:$B$59,$B130,'11.1.Амортиз.нови активи'!AT$12:AT$59))</f>
        <v>148</v>
      </c>
      <c r="L130" s="4453">
        <f>+'11.3. ДА Базова година'!L110</f>
        <v>0</v>
      </c>
      <c r="M130" s="2672">
        <f>L130+SUMIF('11.1.Амортиз.нови активи'!$B$12:$B$59,$B130,'11.1.Амортиз.нови активи'!M$12:M$59)+('9.Инвестиционна програма'!H$131*SUMIF('11.1.Амортиз.нови активи'!$B$12:$B$59,$B130,'11.1.Амортиз.нови активи'!AO$12:AO$59))</f>
        <v>0</v>
      </c>
      <c r="N130" s="1138">
        <f>M130+SUMIF('11.1.Амортиз.нови активи'!$B$12:$B$59,$B130,'11.1.Амортиз.нови активи'!N$12:N$59)+('9.Инвестиционна програма'!I$131*SUMIF('11.1.Амортиз.нови активи'!$B$12:$B$59,$B130,'11.1.Амортиз.нови активи'!AP$12:AP$59))</f>
        <v>0</v>
      </c>
      <c r="O130" s="1138">
        <f>N130+SUMIF('11.1.Амортиз.нови активи'!$B$12:$B$59,$B130,'11.1.Амортиз.нови активи'!O$12:O$59)+('9.Инвестиционна програма'!J$131*SUMIF('11.1.Амортиз.нови активи'!$B$12:$B$59,$B130,'11.1.Амортиз.нови активи'!AQ$12:AQ$59))</f>
        <v>0</v>
      </c>
      <c r="P130" s="1138">
        <f>O130+SUMIF('11.1.Амортиз.нови активи'!$B$12:$B$59,$B130,'11.1.Амортиз.нови активи'!P$12:P$59)+('9.Инвестиционна програма'!K$131*SUMIF('11.1.Амортиз.нови активи'!$B$12:$B$59,$B130,'11.1.Амортиз.нови активи'!AR$12:AR$59))</f>
        <v>0</v>
      </c>
      <c r="Q130" s="1138">
        <f>P130+SUMIF('11.1.Амортиз.нови активи'!$B$12:$B$59,$B130,'11.1.Амортиз.нови активи'!Q$12:Q$59)+('9.Инвестиционна програма'!L$131*SUMIF('11.1.Амортиз.нови активи'!$B$12:$B$59,$B130,'11.1.Амортиз.нови активи'!AS$12:AS$59))</f>
        <v>0</v>
      </c>
      <c r="R130" s="2673">
        <f>Q130+SUMIF('11.1.Амортиз.нови активи'!$B$12:$B$59,$B130,'11.1.Амортиз.нови активи'!R$12:R$59)+('9.Инвестиционна програма'!M$131*SUMIF('11.1.Амортиз.нови активи'!$B$12:$B$59,$B130,'11.1.Амортиз.нови активи'!AT$12:AT$59))</f>
        <v>0</v>
      </c>
      <c r="S130" s="4453">
        <f>+'11.3. ДА Базова година'!P110</f>
        <v>0</v>
      </c>
      <c r="T130" s="2672">
        <f>S130+SUMIF('11.1.Амортиз.нови активи'!$B$12:$B$59,$B130,'11.1.Амортиз.нови активи'!T$12:T$59)+('9.Инвестиционна програма'!H$132*SUMIF('11.1.Амортиз.нови активи'!$B$12:$B$59,$B130,'11.1.Амортиз.нови активи'!AO$12:AO$59))</f>
        <v>0</v>
      </c>
      <c r="U130" s="1138">
        <f>T130+SUMIF('11.1.Амортиз.нови активи'!$B$12:$B$59,$B130,'11.1.Амортиз.нови активи'!U$12:U$59)+('9.Инвестиционна програма'!I$132*SUMIF('11.1.Амортиз.нови активи'!$B$12:$B$59,$B130,'11.1.Амортиз.нови активи'!AP$12:AP$59))</f>
        <v>0</v>
      </c>
      <c r="V130" s="1138">
        <f>U130+SUMIF('11.1.Амортиз.нови активи'!$B$12:$B$59,$B130,'11.1.Амортиз.нови активи'!V$12:V$59)+('9.Инвестиционна програма'!J$132*SUMIF('11.1.Амортиз.нови активи'!$B$12:$B$59,$B130,'11.1.Амортиз.нови активи'!AQ$12:AQ$59))</f>
        <v>0</v>
      </c>
      <c r="W130" s="1138">
        <f>V130+SUMIF('11.1.Амортиз.нови активи'!$B$12:$B$59,$B130,'11.1.Амортиз.нови активи'!W$12:W$59)+('9.Инвестиционна програма'!K$132*SUMIF('11.1.Амортиз.нови активи'!$B$12:$B$59,$B130,'11.1.Амортиз.нови активи'!AR$12:AR$59))</f>
        <v>0</v>
      </c>
      <c r="X130" s="1138">
        <f>W130+SUMIF('11.1.Амортиз.нови активи'!$B$12:$B$59,$B130,'11.1.Амортиз.нови активи'!X$12:X$59)+('9.Инвестиционна програма'!L$132*SUMIF('11.1.Амортиз.нови активи'!$B$12:$B$59,$B130,'11.1.Амортиз.нови активи'!AS$12:AS$59))</f>
        <v>0</v>
      </c>
      <c r="Y130" s="2673">
        <f>X130+SUMIF('11.1.Амортиз.нови активи'!$B$12:$B$59,$B130,'11.1.Амортиз.нови активи'!Y$12:Y$59)+('9.Инвестиционна програма'!M$132*SUMIF('11.1.Амортиз.нови активи'!$B$12:$B$59,$B130,'11.1.Амортиз.нови активи'!AT$12:AT$59))</f>
        <v>0</v>
      </c>
      <c r="Z130" s="4453">
        <f>+'11.3. ДА Базова година'!T110</f>
        <v>0</v>
      </c>
      <c r="AA130" s="2672">
        <f>Z130+SUMIF('11.1.Амортиз.нови активи'!$B$12:$B$59,$B130,'11.1.Амортиз.нови активи'!AA$12:AA$59)</f>
        <v>0</v>
      </c>
      <c r="AB130" s="1138">
        <f>AA130+SUMIF('11.1.Амортиз.нови активи'!$B$12:$B$59,$B130,'11.1.Амортиз.нови активи'!AB$12:AB$59)</f>
        <v>0</v>
      </c>
      <c r="AC130" s="1138">
        <f>AB130+SUMIF('11.1.Амортиз.нови активи'!$B$12:$B$59,$B130,'11.1.Амортиз.нови активи'!AC$12:AC$59)</f>
        <v>0</v>
      </c>
      <c r="AD130" s="1138">
        <f>AC130+SUMIF('11.1.Амортиз.нови активи'!$B$12:$B$59,$B130,'11.1.Амортиз.нови активи'!AD$12:AD$59)</f>
        <v>0</v>
      </c>
      <c r="AE130" s="1138">
        <f>AD130+SUMIF('11.1.Амортиз.нови активи'!$B$12:$B$59,$B130,'11.1.Амортиз.нови активи'!AE$12:AE$59)</f>
        <v>0</v>
      </c>
      <c r="AF130" s="2673">
        <f>AE130+SUMIF('11.1.Амортиз.нови активи'!$B$12:$B$59,$B130,'11.1.Амортиз.нови активи'!AF$12:AF$59)</f>
        <v>0</v>
      </c>
      <c r="AG130" s="4453">
        <f>+'11.3. ДА Базова година'!X110</f>
        <v>0</v>
      </c>
      <c r="AH130" s="2672">
        <f>AG130+SUMIF('11.1.Амортиз.нови активи'!$B$12:$B$59,$B130,'11.1.Амортиз.нови активи'!AH$12:AH$59)</f>
        <v>0</v>
      </c>
      <c r="AI130" s="1138">
        <f>AH130+SUMIF('11.1.Амортиз.нови активи'!$B$12:$B$59,$B130,'11.1.Амортиз.нови активи'!AI$12:AI$59)</f>
        <v>0</v>
      </c>
      <c r="AJ130" s="1138">
        <f>AI130+SUMIF('11.1.Амортиз.нови активи'!$B$12:$B$59,$B130,'11.1.Амортиз.нови активи'!AJ$12:AJ$59)</f>
        <v>0</v>
      </c>
      <c r="AK130" s="1138">
        <f>AJ130+SUMIF('11.1.Амортиз.нови активи'!$B$12:$B$59,$B130,'11.1.Амортиз.нови активи'!AK$12:AK$59)</f>
        <v>0</v>
      </c>
      <c r="AL130" s="1138">
        <f>AK130+SUMIF('11.1.Амортиз.нови активи'!$B$12:$B$59,$B130,'11.1.Амортиз.нови активи'!AL$12:AL$59)</f>
        <v>0</v>
      </c>
      <c r="AM130" s="2673">
        <f>AL130+SUMIF('11.1.Амортиз.нови активи'!$B$12:$B$59,$B130,'11.1.Амортиз.нови активи'!AM$12:AM$59)</f>
        <v>0</v>
      </c>
      <c r="AN130" s="2551"/>
      <c r="AO130" s="2589"/>
      <c r="AP130" s="4488"/>
      <c r="AQ130" s="4504">
        <f t="shared" si="174"/>
        <v>24.542010297418489</v>
      </c>
      <c r="AR130" s="4504">
        <f t="shared" si="175"/>
        <v>75.671198417040344</v>
      </c>
      <c r="AS130" s="4504">
        <f t="shared" si="176"/>
        <v>75.671198417040344</v>
      </c>
      <c r="AT130" s="4504">
        <f t="shared" si="177"/>
        <v>75.671198417040344</v>
      </c>
      <c r="AU130" s="4504">
        <f t="shared" si="178"/>
        <v>75.671198417040344</v>
      </c>
      <c r="AV130" s="4504">
        <f t="shared" si="179"/>
        <v>75.671198417040344</v>
      </c>
      <c r="AW130" s="4504">
        <f t="shared" si="180"/>
        <v>75.671198417040344</v>
      </c>
      <c r="AX130" s="4504">
        <f t="shared" si="181"/>
        <v>0</v>
      </c>
      <c r="AY130" s="4504">
        <f t="shared" si="182"/>
        <v>0</v>
      </c>
      <c r="AZ130" s="4504">
        <f t="shared" si="183"/>
        <v>0</v>
      </c>
      <c r="BA130" s="4504">
        <f t="shared" si="184"/>
        <v>0</v>
      </c>
      <c r="BB130" s="4504">
        <f t="shared" si="185"/>
        <v>0</v>
      </c>
      <c r="BC130" s="4504">
        <f t="shared" si="186"/>
        <v>0</v>
      </c>
      <c r="BD130" s="4504">
        <f t="shared" si="187"/>
        <v>0</v>
      </c>
      <c r="BE130" s="4504">
        <f t="shared" si="188"/>
        <v>0</v>
      </c>
      <c r="BF130" s="4504">
        <f t="shared" si="189"/>
        <v>0</v>
      </c>
      <c r="BG130" s="4504">
        <f t="shared" si="190"/>
        <v>0</v>
      </c>
      <c r="BH130" s="4504">
        <f t="shared" si="191"/>
        <v>0</v>
      </c>
      <c r="BI130" s="4504">
        <f t="shared" si="192"/>
        <v>0</v>
      </c>
      <c r="BJ130" s="4504">
        <f t="shared" si="193"/>
        <v>0</v>
      </c>
      <c r="BK130" s="4504">
        <f t="shared" si="194"/>
        <v>0</v>
      </c>
      <c r="BL130" s="4504">
        <f t="shared" si="195"/>
        <v>0</v>
      </c>
      <c r="BM130" s="4504">
        <f t="shared" si="196"/>
        <v>0</v>
      </c>
      <c r="BN130" s="4504">
        <f t="shared" si="197"/>
        <v>0</v>
      </c>
      <c r="BO130" s="4504">
        <f t="shared" si="198"/>
        <v>0</v>
      </c>
      <c r="BP130" s="4504">
        <f t="shared" si="199"/>
        <v>0</v>
      </c>
      <c r="BQ130" s="4504">
        <f t="shared" si="200"/>
        <v>0</v>
      </c>
      <c r="BR130" s="4504">
        <f t="shared" si="201"/>
        <v>0</v>
      </c>
      <c r="BS130" s="4504">
        <f t="shared" si="202"/>
        <v>0</v>
      </c>
      <c r="BT130" s="4504">
        <f t="shared" si="203"/>
        <v>0</v>
      </c>
      <c r="BU130" s="4504">
        <f t="shared" si="204"/>
        <v>0</v>
      </c>
      <c r="BV130" s="4504">
        <f t="shared" si="205"/>
        <v>0</v>
      </c>
      <c r="BW130" s="4504">
        <f t="shared" si="206"/>
        <v>0</v>
      </c>
      <c r="BX130" s="4504">
        <f t="shared" si="207"/>
        <v>0</v>
      </c>
      <c r="BY130" s="4504">
        <f t="shared" si="208"/>
        <v>0</v>
      </c>
    </row>
    <row r="131" spans="1:77" s="1323" customFormat="1" ht="13.8" thickBot="1">
      <c r="A131" s="3746" t="s">
        <v>206</v>
      </c>
      <c r="B131" s="2577"/>
      <c r="C131" s="2577"/>
      <c r="D131" s="2540" t="s">
        <v>218</v>
      </c>
      <c r="E131" s="1246">
        <f t="shared" ref="E131" si="209">SUM(E132:E150)</f>
        <v>147.5935315407767</v>
      </c>
      <c r="F131" s="2670">
        <f t="shared" ref="F131:AM131" si="210">SUM(F132:F150)</f>
        <v>197.79040971600489</v>
      </c>
      <c r="G131" s="1147">
        <f t="shared" si="210"/>
        <v>242.49251506462986</v>
      </c>
      <c r="H131" s="1147">
        <f t="shared" si="210"/>
        <v>273.01399123267618</v>
      </c>
      <c r="I131" s="1148">
        <f t="shared" si="210"/>
        <v>304.40800104464404</v>
      </c>
      <c r="J131" s="1147">
        <f t="shared" si="210"/>
        <v>337.32702924966594</v>
      </c>
      <c r="K131" s="1147">
        <f t="shared" si="210"/>
        <v>369.9912308247853</v>
      </c>
      <c r="L131" s="1246">
        <f t="shared" si="210"/>
        <v>1.4074199999999999</v>
      </c>
      <c r="M131" s="2670">
        <f t="shared" si="210"/>
        <v>1.7090568538461537</v>
      </c>
      <c r="N131" s="1147">
        <f t="shared" si="210"/>
        <v>2.0324880673606445</v>
      </c>
      <c r="O131" s="1147">
        <f t="shared" si="210"/>
        <v>2.3049593094386145</v>
      </c>
      <c r="P131" s="1148">
        <f t="shared" si="210"/>
        <v>2.6050096393590039</v>
      </c>
      <c r="Q131" s="1147">
        <f t="shared" si="210"/>
        <v>2.9116864115098871</v>
      </c>
      <c r="R131" s="1147">
        <f t="shared" si="210"/>
        <v>3.2258642573829102</v>
      </c>
      <c r="S131" s="1246">
        <f t="shared" si="210"/>
        <v>32.261279999999999</v>
      </c>
      <c r="T131" s="2670">
        <f t="shared" si="210"/>
        <v>34.761221684615386</v>
      </c>
      <c r="U131" s="1147">
        <f t="shared" si="210"/>
        <v>35.753185122475927</v>
      </c>
      <c r="V131" s="1147">
        <f t="shared" si="210"/>
        <v>37.449237712351618</v>
      </c>
      <c r="W131" s="1148">
        <f t="shared" si="210"/>
        <v>39.285177570463446</v>
      </c>
      <c r="X131" s="1147">
        <f t="shared" si="210"/>
        <v>41.169472593290656</v>
      </c>
      <c r="Y131" s="2671">
        <f t="shared" si="210"/>
        <v>43.091093172298237</v>
      </c>
      <c r="Z131" s="1246">
        <f t="shared" si="210"/>
        <v>0</v>
      </c>
      <c r="AA131" s="2670">
        <f t="shared" si="210"/>
        <v>0</v>
      </c>
      <c r="AB131" s="1147">
        <f t="shared" si="210"/>
        <v>0</v>
      </c>
      <c r="AC131" s="1147">
        <f t="shared" si="210"/>
        <v>0</v>
      </c>
      <c r="AD131" s="1148">
        <f t="shared" si="210"/>
        <v>0</v>
      </c>
      <c r="AE131" s="1147">
        <f t="shared" si="210"/>
        <v>0</v>
      </c>
      <c r="AF131" s="2671">
        <f t="shared" si="210"/>
        <v>0</v>
      </c>
      <c r="AG131" s="1246">
        <f t="shared" si="210"/>
        <v>18.600048459223355</v>
      </c>
      <c r="AH131" s="2670">
        <f t="shared" si="210"/>
        <v>20.818701945533615</v>
      </c>
      <c r="AI131" s="1147">
        <f t="shared" si="210"/>
        <v>27.728701945533619</v>
      </c>
      <c r="AJ131" s="1147">
        <f t="shared" si="210"/>
        <v>36.678701945533618</v>
      </c>
      <c r="AK131" s="1148">
        <f t="shared" si="210"/>
        <v>42.528701945533619</v>
      </c>
      <c r="AL131" s="1147">
        <f t="shared" si="210"/>
        <v>48.578701945533624</v>
      </c>
      <c r="AM131" s="2671">
        <f t="shared" si="210"/>
        <v>54.878701945533621</v>
      </c>
      <c r="AN131" s="2546"/>
      <c r="AO131" s="2589"/>
      <c r="AP131" s="4488"/>
      <c r="AQ131" s="4504">
        <f t="shared" si="174"/>
        <v>75.463374393877132</v>
      </c>
      <c r="AR131" s="4504">
        <f t="shared" si="175"/>
        <v>101.12863066626696</v>
      </c>
      <c r="AS131" s="4504">
        <f t="shared" si="176"/>
        <v>123.98445420339695</v>
      </c>
      <c r="AT131" s="4504">
        <f t="shared" si="177"/>
        <v>139.5898371702429</v>
      </c>
      <c r="AU131" s="4504">
        <f t="shared" si="178"/>
        <v>155.64133950529649</v>
      </c>
      <c r="AV131" s="4504">
        <f t="shared" si="179"/>
        <v>172.47257136339351</v>
      </c>
      <c r="AW131" s="4504">
        <f t="shared" si="180"/>
        <v>189.17351243450878</v>
      </c>
      <c r="AX131" s="4504">
        <f t="shared" si="181"/>
        <v>0.71960241943318182</v>
      </c>
      <c r="AY131" s="4504">
        <f t="shared" si="182"/>
        <v>0.87382689387429058</v>
      </c>
      <c r="AZ131" s="4504">
        <f t="shared" si="183"/>
        <v>1.0391946474696903</v>
      </c>
      <c r="BA131" s="4504">
        <f t="shared" si="184"/>
        <v>1.178506981403606</v>
      </c>
      <c r="BB131" s="4504">
        <f t="shared" si="185"/>
        <v>1.3319202790421478</v>
      </c>
      <c r="BC131" s="4504">
        <f t="shared" si="186"/>
        <v>1.4887216227943569</v>
      </c>
      <c r="BD131" s="4504">
        <f t="shared" si="187"/>
        <v>1.6493582046409505</v>
      </c>
      <c r="BE131" s="4504">
        <f t="shared" si="188"/>
        <v>16.494930540997938</v>
      </c>
      <c r="BF131" s="4504">
        <f t="shared" si="189"/>
        <v>17.773130427805786</v>
      </c>
      <c r="BG131" s="4504">
        <f t="shared" si="190"/>
        <v>18.280313280027368</v>
      </c>
      <c r="BH131" s="4504">
        <f t="shared" si="191"/>
        <v>19.147491199312629</v>
      </c>
      <c r="BI131" s="4504">
        <f t="shared" si="192"/>
        <v>20.086192343129746</v>
      </c>
      <c r="BJ131" s="4504">
        <f t="shared" si="193"/>
        <v>21.049617090079739</v>
      </c>
      <c r="BK131" s="4504">
        <f t="shared" si="194"/>
        <v>22.032126090865891</v>
      </c>
      <c r="BL131" s="4504">
        <f t="shared" si="195"/>
        <v>0</v>
      </c>
      <c r="BM131" s="4504">
        <f t="shared" si="196"/>
        <v>0</v>
      </c>
      <c r="BN131" s="4504">
        <f t="shared" si="197"/>
        <v>0</v>
      </c>
      <c r="BO131" s="4504">
        <f t="shared" si="198"/>
        <v>0</v>
      </c>
      <c r="BP131" s="4504">
        <f t="shared" si="199"/>
        <v>0</v>
      </c>
      <c r="BQ131" s="4504">
        <f t="shared" si="200"/>
        <v>0</v>
      </c>
      <c r="BR131" s="4504">
        <f t="shared" si="201"/>
        <v>0</v>
      </c>
      <c r="BS131" s="4504">
        <f t="shared" si="202"/>
        <v>9.5100537670571352</v>
      </c>
      <c r="BT131" s="4504">
        <f t="shared" si="203"/>
        <v>10.644433281795257</v>
      </c>
      <c r="BU131" s="4504">
        <f t="shared" si="204"/>
        <v>14.177460180861127</v>
      </c>
      <c r="BV131" s="4504">
        <f t="shared" si="205"/>
        <v>18.753522517567284</v>
      </c>
      <c r="BW131" s="4504">
        <f t="shared" si="206"/>
        <v>21.744580022565163</v>
      </c>
      <c r="BX131" s="4504">
        <f t="shared" si="207"/>
        <v>24.837895903802284</v>
      </c>
      <c r="BY131" s="4504">
        <f t="shared" si="208"/>
        <v>28.059034755338462</v>
      </c>
    </row>
    <row r="132" spans="1:77" s="1323" customFormat="1">
      <c r="A132" s="2553">
        <v>1</v>
      </c>
      <c r="B132" s="2547">
        <v>20102</v>
      </c>
      <c r="C132" s="2571">
        <v>0</v>
      </c>
      <c r="D132" s="2601" t="s">
        <v>558</v>
      </c>
      <c r="E132" s="4453">
        <f>+'11.3. ДА Базова година'!F112</f>
        <v>0</v>
      </c>
      <c r="F132" s="2655">
        <f>$E132-SUMIF('11.2. ДА за периода'!$B$61:$B$108,$B132,'11.2. ДА за периода'!$E$61:$E$108)+SUMIF('11.2. ДА за периода'!$B$61:$B$108,$B132,'11.2. ДА за периода'!F$61:F$108)+SUMIF('11.1.Амортиз.нови активи'!$B$61:$B$108,$B132,'11.1.Амортиз.нови активи'!F$61:F$108)+('11.1.Амортиз.нови активи'!F$110*SUMIF('11.1.Амортиз.нови активи'!$B$61:$B$108,$B132,'11.1.Амортиз.нови активи'!AO$61:AO$108))</f>
        <v>0</v>
      </c>
      <c r="G132" s="1136">
        <f>$E132-SUMIF('11.2. ДА за периода'!$B$61:$B$108,$B132,'11.2. ДА за периода'!$E$61:$E$108)+SUMIF('11.2. ДА за периода'!$B$61:$B$108,$B132,'11.2. ДА за периода'!G$61:G$108)+SUMIF('11.1.Амортиз.нови активи'!$B$61:$B$108,$B132,'11.1.Амортиз.нови активи'!G$61:G$108)+('11.1.Амортиз.нови активи'!G$110*SUMIF('11.1.Амортиз.нови активи'!$B$61:$B$108,$B132,'11.1.Амортиз.нови активи'!AP$61:AP$108))</f>
        <v>0</v>
      </c>
      <c r="H132" s="1136">
        <f>$E132-SUMIF('11.2. ДА за периода'!$B$61:$B$108,$B132,'11.2. ДА за периода'!$E$61:$E$108)+SUMIF('11.2. ДА за периода'!$B$61:$B$108,$B132,'11.2. ДА за периода'!H$61:H$108)+SUMIF('11.1.Амортиз.нови активи'!$B$61:$B$108,$B132,'11.1.Амортиз.нови активи'!H$61:H$108)+('11.1.Амортиз.нови активи'!H$110*SUMIF('11.1.Амортиз.нови активи'!$B$61:$B$108,$B132,'11.1.Амортиз.нови активи'!AQ$61:AQ$108))</f>
        <v>0</v>
      </c>
      <c r="I132" s="1136">
        <f>$E132-SUMIF('11.2. ДА за периода'!$B$61:$B$108,$B132,'11.2. ДА за периода'!$E$61:$E$108)+SUMIF('11.2. ДА за периода'!$B$61:$B$108,$B132,'11.2. ДА за периода'!I$61:I$108)+SUMIF('11.1.Амортиз.нови активи'!$B$61:$B$108,$B132,'11.1.Амортиз.нови активи'!I$61:I$108)+('11.1.Амортиз.нови активи'!I$110*SUMIF('11.1.Амортиз.нови активи'!$B$61:$B$108,$B132,'11.1.Амортиз.нови активи'!AR$61:AR$108))</f>
        <v>0</v>
      </c>
      <c r="J132" s="1136">
        <f>$E132-SUMIF('11.2. ДА за периода'!$B$61:$B$108,$B132,'11.2. ДА за периода'!$E$61:$E$108)+SUMIF('11.2. ДА за периода'!$B$61:$B$108,$B132,'11.2. ДА за периода'!J$61:J$108)+SUMIF('11.1.Амортиз.нови активи'!$B$61:$B$108,$B132,'11.1.Амортиз.нови активи'!J$61:J$108)+('11.1.Амортиз.нови активи'!J$110*SUMIF('11.1.Амортиз.нови активи'!$B$61:$B$108,$B132,'11.1.Амортиз.нови активи'!AS$61:AS$108))</f>
        <v>0</v>
      </c>
      <c r="K132" s="1136">
        <f>$E132-SUMIF('11.2. ДА за периода'!$B$61:$B$108,$B132,'11.2. ДА за периода'!$E$61:$E$108)+SUMIF('11.2. ДА за периода'!$B$61:$B$108,$B132,'11.2. ДА за периода'!K$61:K$108)+SUMIF('11.1.Амортиз.нови активи'!$B$61:$B$108,$B132,'11.1.Амортиз.нови активи'!K$61:K$108)+('11.1.Амортиз.нови активи'!K$110*SUMIF('11.1.Амортиз.нови активи'!$B$61:$B$108,$B132,'11.1.Амортиз.нови активи'!AT$61:AT$108))</f>
        <v>0</v>
      </c>
      <c r="L132" s="4453">
        <f>+'11.3. ДА Базова година'!J112</f>
        <v>0</v>
      </c>
      <c r="M132" s="2652">
        <f>$L132-SUMIF('11.2. ДА за периода'!$B$61:$B$108,$B132,'11.2. ДА за периода'!$L$61:$L$108)+SUMIF('11.2. ДА за периода'!$B$61:$B$108,$B132,'11.2. ДА за периода'!M$61:M$108)+SUMIF('11.1.Амортиз.нови активи'!$B$61:$B$108,$B132,'11.1.Амортиз.нови активи'!M$61:M$108)+('11.1.Амортиз.нови активи'!F$111*SUMIF('11.1.Амортиз.нови активи'!$B$61:$B$108,$B132,'11.1.Амортиз.нови активи'!AO$61:AO$108))</f>
        <v>0</v>
      </c>
      <c r="N132" s="1145">
        <f>$L132-SUMIF('11.2. ДА за периода'!$B$61:$B$108,$B132,'11.2. ДА за периода'!$L$61:$L$108)+SUMIF('11.2. ДА за периода'!$B$61:$B$108,$B132,'11.2. ДА за периода'!N$61:N$108)+SUMIF('11.1.Амортиз.нови активи'!$B$61:$B$108,$B132,'11.1.Амортиз.нови активи'!N$61:N$108)+('11.1.Амортиз.нови активи'!G$111*SUMIF('11.1.Амортиз.нови активи'!$B$61:$B$108,$B132,'11.1.Амортиз.нови активи'!AP$61:AP$108))</f>
        <v>0</v>
      </c>
      <c r="O132" s="1145">
        <f>$L132-SUMIF('11.2. ДА за периода'!$B$61:$B$108,$B132,'11.2. ДА за периода'!$L$61:$L$108)+SUMIF('11.2. ДА за периода'!$B$61:$B$108,$B132,'11.2. ДА за периода'!O$61:O$108)+SUMIF('11.1.Амортиз.нови активи'!$B$61:$B$108,$B132,'11.1.Амортиз.нови активи'!O$61:O$108)+('11.1.Амортиз.нови активи'!H$111*SUMIF('11.1.Амортиз.нови активи'!$B$61:$B$108,$B132,'11.1.Амортиз.нови активи'!AQ$61:AQ$108))</f>
        <v>0</v>
      </c>
      <c r="P132" s="1145">
        <f>$L132-SUMIF('11.2. ДА за периода'!$B$61:$B$108,$B132,'11.2. ДА за периода'!$L$61:$L$108)+SUMIF('11.2. ДА за периода'!$B$61:$B$108,$B132,'11.2. ДА за периода'!P$61:P$108)+SUMIF('11.1.Амортиз.нови активи'!$B$61:$B$108,$B132,'11.1.Амортиз.нови активи'!P$61:P$108)+('11.1.Амортиз.нови активи'!I$111*SUMIF('11.1.Амортиз.нови активи'!$B$61:$B$108,$B132,'11.1.Амортиз.нови активи'!AR$61:AR$108))</f>
        <v>0</v>
      </c>
      <c r="Q132" s="1145">
        <f>$L132-SUMIF('11.2. ДА за периода'!$B$61:$B$108,$B132,'11.2. ДА за периода'!$L$61:$L$108)+SUMIF('11.2. ДА за периода'!$B$61:$B$108,$B132,'11.2. ДА за периода'!Q$61:Q$108)+SUMIF('11.1.Амортиз.нови активи'!$B$61:$B$108,$B132,'11.1.Амортиз.нови активи'!Q$61:Q$108)+('11.1.Амортиз.нови активи'!J$111*SUMIF('11.1.Амортиз.нови активи'!$B$61:$B$108,$B132,'11.1.Амортиз.нови активи'!AS$61:AS$108))</f>
        <v>0</v>
      </c>
      <c r="R132" s="2653">
        <f>$L132-SUMIF('11.2. ДА за периода'!$B$61:$B$108,$B132,'11.2. ДА за периода'!$L$61:$L$108)+SUMIF('11.2. ДА за периода'!$B$61:$B$108,$B132,'11.2. ДА за периода'!R$61:R$108)+SUMIF('11.1.Амортиз.нови активи'!$B$61:$B$108,$B132,'11.1.Амортиз.нови активи'!R$61:R$108)+('11.1.Амортиз.нови активи'!K$111*SUMIF('11.1.Амортиз.нови активи'!$B$61:$B$108,$B132,'11.1.Амортиз.нови активи'!AT$61:AT$108))</f>
        <v>0</v>
      </c>
      <c r="S132" s="4453">
        <f>+'11.3. ДА Базова година'!N112</f>
        <v>0</v>
      </c>
      <c r="T132" s="2655">
        <f>$S132-SUMIF('11.2. ДА за периода'!$B$61:$B$108,$B132,'11.2. ДА за периода'!$S$61:$S$108)+SUMIF('11.2. ДА за периода'!$B$61:$B$108,$B132,'11.2. ДА за периода'!T$61:T$108)+SUMIF('11.1.Амортиз.нови активи'!$B$61:$B$108,$B132,'11.1.Амортиз.нови активи'!T$61:T$108)+('11.1.Амортиз.нови активи'!F$112*SUMIF('11.1.Амортиз.нови активи'!$B$61:$B$108,$B132,'11.1.Амортиз.нови активи'!AO$61:AO$108))</f>
        <v>0</v>
      </c>
      <c r="U132" s="1136">
        <f>$S132-SUMIF('11.2. ДА за периода'!$B$61:$B$108,$B132,'11.2. ДА за периода'!$S$61:$S$108)+SUMIF('11.2. ДА за периода'!$B$61:$B$108,$B132,'11.2. ДА за периода'!U$61:U$108)+SUMIF('11.1.Амортиз.нови активи'!$B$61:$B$108,$B132,'11.1.Амортиз.нови активи'!U$61:U$108)+('11.1.Амортиз.нови активи'!G$112*SUMIF('11.1.Амортиз.нови активи'!$B$61:$B$108,$B132,'11.1.Амортиз.нови активи'!AP$61:AP$108))</f>
        <v>0</v>
      </c>
      <c r="V132" s="1136">
        <f>$S132-SUMIF('11.2. ДА за периода'!$B$61:$B$108,$B132,'11.2. ДА за периода'!$S$61:$S$108)+SUMIF('11.2. ДА за периода'!$B$61:$B$108,$B132,'11.2. ДА за периода'!V$61:V$108)+SUMIF('11.1.Амортиз.нови активи'!$B$61:$B$108,$B132,'11.1.Амортиз.нови активи'!V$61:V$108)+('11.1.Амортиз.нови активи'!H$112*SUMIF('11.1.Амортиз.нови активи'!$B$61:$B$108,$B132,'11.1.Амортиз.нови активи'!AQ$61:AQ$108))</f>
        <v>0</v>
      </c>
      <c r="W132" s="1136">
        <f>$S132-SUMIF('11.2. ДА за периода'!$B$61:$B$108,$B132,'11.2. ДА за периода'!$S$61:$S$108)+SUMIF('11.2. ДА за периода'!$B$61:$B$108,$B132,'11.2. ДА за периода'!W$61:W$108)+SUMIF('11.1.Амортиз.нови активи'!$B$61:$B$108,$B132,'11.1.Амортиз.нови активи'!W$61:W$108)+('11.1.Амортиз.нови активи'!I$112*SUMIF('11.1.Амортиз.нови активи'!$B$61:$B$108,$B132,'11.1.Амортиз.нови активи'!AR$61:AR$108))</f>
        <v>0</v>
      </c>
      <c r="X132" s="1136">
        <f>$S132-SUMIF('11.2. ДА за периода'!$B$61:$B$108,$B132,'11.2. ДА за периода'!$S$61:$S$108)+SUMIF('11.2. ДА за периода'!$B$61:$B$108,$B132,'11.2. ДА за периода'!X$61:X$108)+SUMIF('11.1.Амортиз.нови активи'!$B$61:$B$108,$B132,'11.1.Амортиз.нови активи'!X$61:X$108)+('11.1.Амортиз.нови активи'!J$112*SUMIF('11.1.Амортиз.нови активи'!$B$61:$B$108,$B132,'11.1.Амортиз.нови активи'!AS$61:AS$108))</f>
        <v>0</v>
      </c>
      <c r="Y132" s="2656">
        <f>$S132-SUMIF('11.2. ДА за периода'!$B$61:$B$108,$B132,'11.2. ДА за периода'!$S$61:$S$108)+SUMIF('11.2. ДА за периода'!$B$61:$B$108,$B132,'11.2. ДА за периода'!Y$61:Y$108)+SUMIF('11.1.Амортиз.нови активи'!$B$61:$B$108,$B132,'11.1.Амортиз.нови активи'!Y$61:Y$108)+('11.1.Амортиз.нови активи'!K$112*SUMIF('11.1.Амортиз.нови активи'!$B$61:$B$108,$B132,'11.1.Амортиз.нови активи'!AT$61:AT$108))</f>
        <v>0</v>
      </c>
      <c r="Z132" s="4453">
        <f>+'11.3. ДА Базова година'!R112</f>
        <v>0</v>
      </c>
      <c r="AA132" s="2655">
        <f>$Z132-SUMIF('11.2. ДА за периода'!$B$61:$B$108,$B132,'11.2. ДА за периода'!$Z$61:$Z$108)+SUMIF('11.2. ДА за периода'!$B$61:$B$108,$B132,'11.2. ДА за периода'!AA$61:AA$108)+SUMIF('11.1.Амортиз.нови активи'!$B$61:$B$108,$B132,'11.1.Амортиз.нови активи'!AA$61:AA$108)</f>
        <v>0</v>
      </c>
      <c r="AB132" s="1136">
        <f>$Z132-SUMIF('11.2. ДА за периода'!$B$61:$B$108,$B132,'11.2. ДА за периода'!$Z$61:$Z$108)+SUMIF('11.2. ДА за периода'!$B$61:$B$108,$B132,'11.2. ДА за периода'!AB$61:AB$108)+SUMIF('11.1.Амортиз.нови активи'!$B$61:$B$108,$B132,'11.1.Амортиз.нови активи'!AB$61:AB$108)</f>
        <v>0</v>
      </c>
      <c r="AC132" s="1136">
        <f>$Z132-SUMIF('11.2. ДА за периода'!$B$61:$B$108,$B132,'11.2. ДА за периода'!$Z$61:$Z$108)+SUMIF('11.2. ДА за периода'!$B$61:$B$108,$B132,'11.2. ДА за периода'!AC$61:AC$108)+SUMIF('11.1.Амортиз.нови активи'!$B$61:$B$108,$B132,'11.1.Амортиз.нови активи'!AC$61:AC$108)</f>
        <v>0</v>
      </c>
      <c r="AD132" s="1136">
        <f>$Z132-SUMIF('11.2. ДА за периода'!$B$61:$B$108,$B132,'11.2. ДА за периода'!$Z$61:$Z$108)+SUMIF('11.2. ДА за периода'!$B$61:$B$108,$B132,'11.2. ДА за периода'!AD$61:AD$108)+SUMIF('11.1.Амортиз.нови активи'!$B$61:$B$108,$B132,'11.1.Амортиз.нови активи'!AD$61:AD$108)</f>
        <v>0</v>
      </c>
      <c r="AE132" s="1136">
        <f>$Z132-SUMIF('11.2. ДА за периода'!$B$61:$B$108,$B132,'11.2. ДА за периода'!$Z$61:$Z$108)+SUMIF('11.2. ДА за периода'!$B$61:$B$108,$B132,'11.2. ДА за периода'!AE$61:AE$108)+SUMIF('11.1.Амортиз.нови активи'!$B$61:$B$108,$B132,'11.1.Амортиз.нови активи'!AE$61:AE$108)</f>
        <v>0</v>
      </c>
      <c r="AF132" s="2656">
        <f>$Z132-SUMIF('11.2. ДА за периода'!$B$61:$B$108,$B132,'11.2. ДА за периода'!$Z$61:$Z$108)+SUMIF('11.2. ДА за периода'!$B$61:$B$108,$B132,'11.2. ДА за периода'!AF$61:AF$108)+SUMIF('11.1.Амортиз.нови активи'!$B$61:$B$108,$B132,'11.1.Амортиз.нови активи'!AF$61:AF$108)</f>
        <v>0</v>
      </c>
      <c r="AG132" s="4453">
        <f>+'11.3. ДА Базова година'!V112</f>
        <v>0</v>
      </c>
      <c r="AH132" s="2655">
        <f>$AG132-SUMIF('11.2. ДА за периода'!$B$61:$B$108,$B132,'11.2. ДА за периода'!$AG$61:$AG$108)+SUMIF('11.2. ДА за периода'!$B$61:$B$108,$B132,'11.2. ДА за периода'!AH$61:AH$108)+SUMIF('11.1.Амортиз.нови активи'!$B$61:$B$108,$B132,'11.1.Амортиз.нови активи'!AH$61:AH$108)</f>
        <v>0</v>
      </c>
      <c r="AI132" s="1136">
        <f>$AG132-SUMIF('11.2. ДА за периода'!$B$61:$B$108,$B132,'11.2. ДА за периода'!$AG$61:$AG$108)+SUMIF('11.2. ДА за периода'!$B$61:$B$108,$B132,'11.2. ДА за периода'!AI$61:AI$108)+SUMIF('11.1.Амортиз.нови активи'!$B$61:$B$108,$B132,'11.1.Амортиз.нови активи'!AI$61:AI$108)</f>
        <v>0</v>
      </c>
      <c r="AJ132" s="1136">
        <f>$AG132-SUMIF('11.2. ДА за периода'!$B$61:$B$108,$B132,'11.2. ДА за периода'!$AG$61:$AG$108)+SUMIF('11.2. ДА за периода'!$B$61:$B$108,$B132,'11.2. ДА за периода'!AJ$61:AJ$108)+SUMIF('11.1.Амортиз.нови активи'!$B$61:$B$108,$B132,'11.1.Амортиз.нови активи'!AJ$61:AJ$108)</f>
        <v>0</v>
      </c>
      <c r="AK132" s="1136">
        <f>$AG132-SUMIF('11.2. ДА за периода'!$B$61:$B$108,$B132,'11.2. ДА за периода'!$AG$61:$AG$108)+SUMIF('11.2. ДА за периода'!$B$61:$B$108,$B132,'11.2. ДА за периода'!AK$61:AK$108)+SUMIF('11.1.Амортиз.нови активи'!$B$61:$B$108,$B132,'11.1.Амортиз.нови активи'!AK$61:AK$108)</f>
        <v>0</v>
      </c>
      <c r="AL132" s="1136">
        <f>$AG132-SUMIF('11.2. ДА за периода'!$B$61:$B$108,$B132,'11.2. ДА за периода'!$AG$61:$AG$108)+SUMIF('11.2. ДА за периода'!$B$61:$B$108,$B132,'11.2. ДА за периода'!AL$61:AL$108)+SUMIF('11.1.Амортиз.нови активи'!$B$61:$B$108,$B132,'11.1.Амортиз.нови активи'!AL$61:AL$108)</f>
        <v>0</v>
      </c>
      <c r="AM132" s="2656">
        <f>$AG132-SUMIF('11.2. ДА за периода'!$B$61:$B$108,$B132,'11.2. ДА за периода'!$AG$61:$AG$108)+SUMIF('11.2. ДА за периода'!$B$61:$B$108,$B132,'11.2. ДА за периода'!AM$61:AM$108)+SUMIF('11.1.Амортиз.нови активи'!$B$61:$B$108,$B132,'11.1.Амортиз.нови активи'!AM$61:AM$108)</f>
        <v>0</v>
      </c>
      <c r="AN132" s="2581"/>
      <c r="AO132" s="2589"/>
      <c r="AP132" s="4488"/>
      <c r="AQ132" s="4504">
        <f t="shared" si="174"/>
        <v>0</v>
      </c>
      <c r="AR132" s="4504">
        <f t="shared" si="175"/>
        <v>0</v>
      </c>
      <c r="AS132" s="4504">
        <f t="shared" si="176"/>
        <v>0</v>
      </c>
      <c r="AT132" s="4504">
        <f t="shared" si="177"/>
        <v>0</v>
      </c>
      <c r="AU132" s="4504">
        <f t="shared" si="178"/>
        <v>0</v>
      </c>
      <c r="AV132" s="4504">
        <f t="shared" si="179"/>
        <v>0</v>
      </c>
      <c r="AW132" s="4504">
        <f t="shared" si="180"/>
        <v>0</v>
      </c>
      <c r="AX132" s="4504">
        <f t="shared" si="181"/>
        <v>0</v>
      </c>
      <c r="AY132" s="4504">
        <f t="shared" si="182"/>
        <v>0</v>
      </c>
      <c r="AZ132" s="4504">
        <f t="shared" si="183"/>
        <v>0</v>
      </c>
      <c r="BA132" s="4504">
        <f t="shared" si="184"/>
        <v>0</v>
      </c>
      <c r="BB132" s="4504">
        <f t="shared" si="185"/>
        <v>0</v>
      </c>
      <c r="BC132" s="4504">
        <f t="shared" si="186"/>
        <v>0</v>
      </c>
      <c r="BD132" s="4504">
        <f t="shared" si="187"/>
        <v>0</v>
      </c>
      <c r="BE132" s="4504">
        <f t="shared" si="188"/>
        <v>0</v>
      </c>
      <c r="BF132" s="4504">
        <f t="shared" si="189"/>
        <v>0</v>
      </c>
      <c r="BG132" s="4504">
        <f t="shared" si="190"/>
        <v>0</v>
      </c>
      <c r="BH132" s="4504">
        <f t="shared" si="191"/>
        <v>0</v>
      </c>
      <c r="BI132" s="4504">
        <f t="shared" si="192"/>
        <v>0</v>
      </c>
      <c r="BJ132" s="4504">
        <f t="shared" si="193"/>
        <v>0</v>
      </c>
      <c r="BK132" s="4504">
        <f t="shared" si="194"/>
        <v>0</v>
      </c>
      <c r="BL132" s="4504">
        <f t="shared" si="195"/>
        <v>0</v>
      </c>
      <c r="BM132" s="4504">
        <f t="shared" si="196"/>
        <v>0</v>
      </c>
      <c r="BN132" s="4504">
        <f t="shared" si="197"/>
        <v>0</v>
      </c>
      <c r="BO132" s="4504">
        <f t="shared" si="198"/>
        <v>0</v>
      </c>
      <c r="BP132" s="4504">
        <f t="shared" si="199"/>
        <v>0</v>
      </c>
      <c r="BQ132" s="4504">
        <f t="shared" si="200"/>
        <v>0</v>
      </c>
      <c r="BR132" s="4504">
        <f t="shared" si="201"/>
        <v>0</v>
      </c>
      <c r="BS132" s="4504">
        <f t="shared" si="202"/>
        <v>0</v>
      </c>
      <c r="BT132" s="4504">
        <f t="shared" si="203"/>
        <v>0</v>
      </c>
      <c r="BU132" s="4504">
        <f t="shared" si="204"/>
        <v>0</v>
      </c>
      <c r="BV132" s="4504">
        <f t="shared" si="205"/>
        <v>0</v>
      </c>
      <c r="BW132" s="4504">
        <f t="shared" si="206"/>
        <v>0</v>
      </c>
      <c r="BX132" s="4504">
        <f t="shared" si="207"/>
        <v>0</v>
      </c>
      <c r="BY132" s="4504">
        <f t="shared" si="208"/>
        <v>0</v>
      </c>
    </row>
    <row r="133" spans="1:77" s="1323" customFormat="1">
      <c r="A133" s="2553">
        <v>2</v>
      </c>
      <c r="B133" s="2554">
        <v>20202</v>
      </c>
      <c r="C133" s="2555">
        <v>0.03</v>
      </c>
      <c r="D133" s="2609" t="s">
        <v>426</v>
      </c>
      <c r="E133" s="4453">
        <f>+'11.3. ДА Базова година'!F113</f>
        <v>2.2207213111045609</v>
      </c>
      <c r="F133" s="2655">
        <f>$E133-SUMIF('11.2. ДА за периода'!$B$61:$B$108,$B133,'11.2. ДА за периода'!$E$61:$E$108)+SUMIF('11.2. ДА за периода'!$B$61:$B$108,$B133,'11.2. ДА за периода'!F$61:F$108)+SUMIF('11.1.Амортиз.нови активи'!$B$61:$B$108,$B133,'11.1.Амортиз.нови активи'!F$61:F$108)+('11.1.Амортиз.нови активи'!F$110*SUMIF('11.1.Амортиз.нови активи'!$B$61:$B$108,$B133,'11.1.Амортиз.нови активи'!AO$61:AO$108))</f>
        <v>2.5207213111045608</v>
      </c>
      <c r="G133" s="1136">
        <f>$E133-SUMIF('11.2. ДА за периода'!$B$61:$B$108,$B133,'11.2. ДА за периода'!$E$61:$E$108)+SUMIF('11.2. ДА за периода'!$B$61:$B$108,$B133,'11.2. ДА за периода'!G$61:G$108)+SUMIF('11.1.Амортиз.нови активи'!$B$61:$B$108,$B133,'11.1.Амортиз.нови активи'!G$61:G$108)+('11.1.Амортиз.нови активи'!G$110*SUMIF('11.1.Амортиз.нови активи'!$B$61:$B$108,$B133,'11.1.Амортиз.нови активи'!AP$61:AP$108))</f>
        <v>2.9407213111045607</v>
      </c>
      <c r="H133" s="1136">
        <f>$E133-SUMIF('11.2. ДА за периода'!$B$61:$B$108,$B133,'11.2. ДА за периода'!$E$61:$E$108)+SUMIF('11.2. ДА за периода'!$B$61:$B$108,$B133,'11.2. ДА за периода'!H$61:H$108)+SUMIF('11.1.Амортиз.нови активи'!$B$61:$B$108,$B133,'11.1.Амортиз.нови активи'!H$61:H$108)+('11.1.Амортиз.нови активи'!H$110*SUMIF('11.1.Амортиз.нови активи'!$B$61:$B$108,$B133,'11.1.Амортиз.нови активи'!AQ$61:AQ$108))</f>
        <v>3.1807213111045609</v>
      </c>
      <c r="I133" s="1136">
        <f>$E133-SUMIF('11.2. ДА за периода'!$B$61:$B$108,$B133,'11.2. ДА за периода'!$E$61:$E$108)+SUMIF('11.2. ДА за периода'!$B$61:$B$108,$B133,'11.2. ДА за периода'!I$61:I$108)+SUMIF('11.1.Амортиз.нови активи'!$B$61:$B$108,$B133,'11.1.Амортиз.нови активи'!I$61:I$108)+('11.1.Амортиз.нови активи'!I$110*SUMIF('11.1.Амортиз.нови активи'!$B$61:$B$108,$B133,'11.1.Амортиз.нови активи'!AR$61:AR$108))</f>
        <v>3.4207213111045611</v>
      </c>
      <c r="J133" s="1136">
        <f>$E133-SUMIF('11.2. ДА за периода'!$B$61:$B$108,$B133,'11.2. ДА за периода'!$E$61:$E$108)+SUMIF('11.2. ДА за периода'!$B$61:$B$108,$B133,'11.2. ДА за периода'!J$61:J$108)+SUMIF('11.1.Амортиз.нови активи'!$B$61:$B$108,$B133,'11.1.Амортиз.нови активи'!J$61:J$108)+('11.1.Амортиз.нови активи'!J$110*SUMIF('11.1.Амортиз.нови активи'!$B$61:$B$108,$B133,'11.1.Амортиз.нови активи'!AS$61:AS$108))</f>
        <v>3.6607213111045609</v>
      </c>
      <c r="K133" s="1136">
        <f>$E133-SUMIF('11.2. ДА за периода'!$B$61:$B$108,$B133,'11.2. ДА за периода'!$E$61:$E$108)+SUMIF('11.2. ДА за периода'!$B$61:$B$108,$B133,'11.2. ДА за периода'!K$61:K$108)+SUMIF('11.1.Амортиз.нови активи'!$B$61:$B$108,$B133,'11.1.Амортиз.нови активи'!K$61:K$108)+('11.1.Амортиз.нови активи'!K$110*SUMIF('11.1.Амортиз.нови активи'!$B$61:$B$108,$B133,'11.1.Амортиз.нови активи'!AT$61:AT$108))</f>
        <v>3.9007213111045611</v>
      </c>
      <c r="L133" s="4453">
        <f>+'11.3. ДА Базова година'!J113</f>
        <v>0</v>
      </c>
      <c r="M133" s="2655">
        <f>$L133-SUMIF('11.2. ДА за периода'!$B$61:$B$108,$B133,'11.2. ДА за периода'!$L$61:$L$108)+SUMIF('11.2. ДА за периода'!$B$61:$B$108,$B133,'11.2. ДА за периода'!M$61:M$108)+SUMIF('11.1.Амортиз.нови активи'!$B$61:$B$108,$B133,'11.1.Амортиз.нови активи'!M$61:M$108)+('11.1.Амортиз.нови активи'!F$111*SUMIF('11.1.Амортиз.нови активи'!$B$61:$B$108,$B133,'11.1.Амортиз.нови активи'!AO$61:AO$108))</f>
        <v>0</v>
      </c>
      <c r="N133" s="1136">
        <f>$L133-SUMIF('11.2. ДА за периода'!$B$61:$B$108,$B133,'11.2. ДА за периода'!$L$61:$L$108)+SUMIF('11.2. ДА за периода'!$B$61:$B$108,$B133,'11.2. ДА за периода'!N$61:N$108)+SUMIF('11.1.Амортиз.нови активи'!$B$61:$B$108,$B133,'11.1.Амортиз.нови активи'!N$61:N$108)+('11.1.Амортиз.нови активи'!G$111*SUMIF('11.1.Амортиз.нови активи'!$B$61:$B$108,$B133,'11.1.Амортиз.нови активи'!AP$61:AP$108))</f>
        <v>0</v>
      </c>
      <c r="O133" s="1136">
        <f>$L133-SUMIF('11.2. ДА за периода'!$B$61:$B$108,$B133,'11.2. ДА за периода'!$L$61:$L$108)+SUMIF('11.2. ДА за периода'!$B$61:$B$108,$B133,'11.2. ДА за периода'!O$61:O$108)+SUMIF('11.1.Амортиз.нови активи'!$B$61:$B$108,$B133,'11.1.Амортиз.нови активи'!O$61:O$108)+('11.1.Амортиз.нови активи'!H$111*SUMIF('11.1.Амортиз.нови активи'!$B$61:$B$108,$B133,'11.1.Амортиз.нови активи'!AQ$61:AQ$108))</f>
        <v>0</v>
      </c>
      <c r="P133" s="1136">
        <f>$L133-SUMIF('11.2. ДА за периода'!$B$61:$B$108,$B133,'11.2. ДА за периода'!$L$61:$L$108)+SUMIF('11.2. ДА за периода'!$B$61:$B$108,$B133,'11.2. ДА за периода'!P$61:P$108)+SUMIF('11.1.Амортиз.нови активи'!$B$61:$B$108,$B133,'11.1.Амортиз.нови активи'!P$61:P$108)+('11.1.Амортиз.нови активи'!I$111*SUMIF('11.1.Амортиз.нови активи'!$B$61:$B$108,$B133,'11.1.Амортиз.нови активи'!AR$61:AR$108))</f>
        <v>0</v>
      </c>
      <c r="Q133" s="1136">
        <f>$L133-SUMIF('11.2. ДА за периода'!$B$61:$B$108,$B133,'11.2. ДА за периода'!$L$61:$L$108)+SUMIF('11.2. ДА за периода'!$B$61:$B$108,$B133,'11.2. ДА за периода'!Q$61:Q$108)+SUMIF('11.1.Амортиз.нови активи'!$B$61:$B$108,$B133,'11.1.Амортиз.нови активи'!Q$61:Q$108)+('11.1.Амортиз.нови активи'!J$111*SUMIF('11.1.Амортиз.нови активи'!$B$61:$B$108,$B133,'11.1.Амортиз.нови активи'!AS$61:AS$108))</f>
        <v>0</v>
      </c>
      <c r="R133" s="2656">
        <f>$L133-SUMIF('11.2. ДА за периода'!$B$61:$B$108,$B133,'11.2. ДА за периода'!$L$61:$L$108)+SUMIF('11.2. ДА за периода'!$B$61:$B$108,$B133,'11.2. ДА за периода'!R$61:R$108)+SUMIF('11.1.Амортиз.нови активи'!$B$61:$B$108,$B133,'11.1.Амортиз.нови активи'!R$61:R$108)+('11.1.Амортиз.нови активи'!K$111*SUMIF('11.1.Амортиз.нови активи'!$B$61:$B$108,$B133,'11.1.Амортиз.нови активи'!AT$61:AT$108))</f>
        <v>0</v>
      </c>
      <c r="S133" s="4453">
        <f>+'11.3. ДА Базова година'!N113</f>
        <v>2.06046</v>
      </c>
      <c r="T133" s="2655">
        <f>$S133-SUMIF('11.2. ДА за периода'!$B$61:$B$108,$B133,'11.2. ДА за периода'!$S$61:$S$108)+SUMIF('11.2. ДА за периода'!$B$61:$B$108,$B133,'11.2. ДА за периода'!T$61:T$108)+SUMIF('11.1.Амортиз.нови активи'!$B$61:$B$108,$B133,'11.1.Амортиз.нови активи'!T$61:T$108)+('11.1.Амортиз.нови активи'!F$112*SUMIF('11.1.Амортиз.нови активи'!$B$61:$B$108,$B133,'11.1.Амортиз.нови активи'!AO$61:AO$108))</f>
        <v>2.1113672999999999</v>
      </c>
      <c r="U133" s="1136">
        <f>$S133-SUMIF('11.2. ДА за периода'!$B$61:$B$108,$B133,'11.2. ДА за периода'!$S$61:$S$108)+SUMIF('11.2. ДА за периода'!$B$61:$B$108,$B133,'11.2. ДА за периода'!U$61:U$108)+SUMIF('11.1.Амортиз.нови активи'!$B$61:$B$108,$B133,'11.1.Амортиз.нови активи'!U$61:U$108)+('11.1.Амортиз.нови активи'!G$112*SUMIF('11.1.Амортиз.нови активи'!$B$61:$B$108,$B133,'11.1.Амортиз.нови активи'!AP$61:AP$108))</f>
        <v>2.1113672999999999</v>
      </c>
      <c r="V133" s="1136">
        <f>$S133-SUMIF('11.2. ДА за периода'!$B$61:$B$108,$B133,'11.2. ДА за периода'!$S$61:$S$108)+SUMIF('11.2. ДА за периода'!$B$61:$B$108,$B133,'11.2. ДА за периода'!V$61:V$108)+SUMIF('11.1.Амортиз.нови активи'!$B$61:$B$108,$B133,'11.1.Амортиз.нови активи'!V$61:V$108)+('11.1.Амортиз.нови активи'!H$112*SUMIF('11.1.Амортиз.нови активи'!$B$61:$B$108,$B133,'11.1.Амортиз.нови активи'!AQ$61:AQ$108))</f>
        <v>2.1113672999999999</v>
      </c>
      <c r="W133" s="1136">
        <f>$S133-SUMIF('11.2. ДА за периода'!$B$61:$B$108,$B133,'11.2. ДА за периода'!$S$61:$S$108)+SUMIF('11.2. ДА за периода'!$B$61:$B$108,$B133,'11.2. ДА за периода'!W$61:W$108)+SUMIF('11.1.Амортиз.нови активи'!$B$61:$B$108,$B133,'11.1.Амортиз.нови активи'!W$61:W$108)+('11.1.Амортиз.нови активи'!I$112*SUMIF('11.1.Амортиз.нови активи'!$B$61:$B$108,$B133,'11.1.Амортиз.нови активи'!AR$61:AR$108))</f>
        <v>2.1113672999999999</v>
      </c>
      <c r="X133" s="1136">
        <f>$S133-SUMIF('11.2. ДА за периода'!$B$61:$B$108,$B133,'11.2. ДА за периода'!$S$61:$S$108)+SUMIF('11.2. ДА за периода'!$B$61:$B$108,$B133,'11.2. ДА за периода'!X$61:X$108)+SUMIF('11.1.Амортиз.нови активи'!$B$61:$B$108,$B133,'11.1.Амортиз.нови активи'!X$61:X$108)+('11.1.Амортиз.нови активи'!J$112*SUMIF('11.1.Амортиз.нови активи'!$B$61:$B$108,$B133,'11.1.Амортиз.нови активи'!AS$61:AS$108))</f>
        <v>2.1113672999999999</v>
      </c>
      <c r="Y133" s="2656">
        <f>$S133-SUMIF('11.2. ДА за периода'!$B$61:$B$108,$B133,'11.2. ДА за периода'!$S$61:$S$108)+SUMIF('11.2. ДА за периода'!$B$61:$B$108,$B133,'11.2. ДА за периода'!Y$61:Y$108)+SUMIF('11.1.Амортиз.нови активи'!$B$61:$B$108,$B133,'11.1.Амортиз.нови активи'!Y$61:Y$108)+('11.1.Амортиз.нови активи'!K$112*SUMIF('11.1.Амортиз.нови активи'!$B$61:$B$108,$B133,'11.1.Амортиз.нови активи'!AT$61:AT$108))</f>
        <v>2.1113672999999999</v>
      </c>
      <c r="Z133" s="4453">
        <f>+'11.3. ДА Базова година'!R113</f>
        <v>0</v>
      </c>
      <c r="AA133" s="2655">
        <f>$Z133-SUMIF('11.2. ДА за периода'!$B$61:$B$108,$B133,'11.2. ДА за периода'!$Z$61:$Z$108)+SUMIF('11.2. ДА за периода'!$B$61:$B$108,$B133,'11.2. ДА за периода'!AA$61:AA$108)+SUMIF('11.1.Амортиз.нови активи'!$B$61:$B$108,$B133,'11.1.Амортиз.нови активи'!AA$61:AA$108)</f>
        <v>0</v>
      </c>
      <c r="AB133" s="1136">
        <f>$Z133-SUMIF('11.2. ДА за периода'!$B$61:$B$108,$B133,'11.2. ДА за периода'!$Z$61:$Z$108)+SUMIF('11.2. ДА за периода'!$B$61:$B$108,$B133,'11.2. ДА за периода'!AB$61:AB$108)+SUMIF('11.1.Амортиз.нови активи'!$B$61:$B$108,$B133,'11.1.Амортиз.нови активи'!AB$61:AB$108)</f>
        <v>0</v>
      </c>
      <c r="AC133" s="1136">
        <f>$Z133-SUMIF('11.2. ДА за периода'!$B$61:$B$108,$B133,'11.2. ДА за периода'!$Z$61:$Z$108)+SUMIF('11.2. ДА за периода'!$B$61:$B$108,$B133,'11.2. ДА за периода'!AC$61:AC$108)+SUMIF('11.1.Амортиз.нови активи'!$B$61:$B$108,$B133,'11.1.Амортиз.нови активи'!AC$61:AC$108)</f>
        <v>0</v>
      </c>
      <c r="AD133" s="1136">
        <f>$Z133-SUMIF('11.2. ДА за периода'!$B$61:$B$108,$B133,'11.2. ДА за периода'!$Z$61:$Z$108)+SUMIF('11.2. ДА за периода'!$B$61:$B$108,$B133,'11.2. ДА за периода'!AD$61:AD$108)+SUMIF('11.1.Амортиз.нови активи'!$B$61:$B$108,$B133,'11.1.Амортиз.нови активи'!AD$61:AD$108)</f>
        <v>0</v>
      </c>
      <c r="AE133" s="1136">
        <f>$Z133-SUMIF('11.2. ДА за периода'!$B$61:$B$108,$B133,'11.2. ДА за периода'!$Z$61:$Z$108)+SUMIF('11.2. ДА за периода'!$B$61:$B$108,$B133,'11.2. ДА за периода'!AE$61:AE$108)+SUMIF('11.1.Амортиз.нови активи'!$B$61:$B$108,$B133,'11.1.Амортиз.нови активи'!AE$61:AE$108)</f>
        <v>0</v>
      </c>
      <c r="AF133" s="2656">
        <f>$Z133-SUMIF('11.2. ДА за периода'!$B$61:$B$108,$B133,'11.2. ДА за периода'!$Z$61:$Z$108)+SUMIF('11.2. ДА за периода'!$B$61:$B$108,$B133,'11.2. ДА за периода'!AF$61:AF$108)+SUMIF('11.1.Амортиз.нови активи'!$B$61:$B$108,$B133,'11.1.Амортиз.нови активи'!AF$61:AF$108)</f>
        <v>0</v>
      </c>
      <c r="AG133" s="4453">
        <f>+'11.3. ДА Базова година'!V113</f>
        <v>0.23747868889543841</v>
      </c>
      <c r="AH133" s="2655">
        <f>$AG133-SUMIF('11.2. ДА за периода'!$B$61:$B$108,$B133,'11.2. ДА за периода'!$AG$61:$AG$108)+SUMIF('11.2. ДА за периода'!$B$61:$B$108,$B133,'11.2. ДА за периода'!AH$61:AH$108)+SUMIF('11.1.Амортиз.нови активи'!$B$61:$B$108,$B133,'11.1.Амортиз.нови активи'!AH$61:AH$108)</f>
        <v>0.23747868889543841</v>
      </c>
      <c r="AI133" s="1136">
        <f>$AG133-SUMIF('11.2. ДА за периода'!$B$61:$B$108,$B133,'11.2. ДА за периода'!$AG$61:$AG$108)+SUMIF('11.2. ДА за периода'!$B$61:$B$108,$B133,'11.2. ДА за периода'!AI$61:AI$108)+SUMIF('11.1.Амортиз.нови активи'!$B$61:$B$108,$B133,'11.1.Амортиз.нови активи'!AI$61:AI$108)</f>
        <v>0.23747868889543841</v>
      </c>
      <c r="AJ133" s="1136">
        <f>$AG133-SUMIF('11.2. ДА за периода'!$B$61:$B$108,$B133,'11.2. ДА за периода'!$AG$61:$AG$108)+SUMIF('11.2. ДА за периода'!$B$61:$B$108,$B133,'11.2. ДА за периода'!AJ$61:AJ$108)+SUMIF('11.1.Амортиз.нови активи'!$B$61:$B$108,$B133,'11.1.Амортиз.нови активи'!AJ$61:AJ$108)</f>
        <v>0.23747868889543841</v>
      </c>
      <c r="AK133" s="1136">
        <f>$AG133-SUMIF('11.2. ДА за периода'!$B$61:$B$108,$B133,'11.2. ДА за периода'!$AG$61:$AG$108)+SUMIF('11.2. ДА за периода'!$B$61:$B$108,$B133,'11.2. ДА за периода'!AK$61:AK$108)+SUMIF('11.1.Амортиз.нови активи'!$B$61:$B$108,$B133,'11.1.Амортиз.нови активи'!AK$61:AK$108)</f>
        <v>0.23747868889543841</v>
      </c>
      <c r="AL133" s="1136">
        <f>$AG133-SUMIF('11.2. ДА за периода'!$B$61:$B$108,$B133,'11.2. ДА за периода'!$AG$61:$AG$108)+SUMIF('11.2. ДА за периода'!$B$61:$B$108,$B133,'11.2. ДА за периода'!AL$61:AL$108)+SUMIF('11.1.Амортиз.нови активи'!$B$61:$B$108,$B133,'11.1.Амортиз.нови активи'!AL$61:AL$108)</f>
        <v>0.23747868889543841</v>
      </c>
      <c r="AM133" s="2656">
        <f>$AG133-SUMIF('11.2. ДА за периода'!$B$61:$B$108,$B133,'11.2. ДА за периода'!$AG$61:$AG$108)+SUMIF('11.2. ДА за периода'!$B$61:$B$108,$B133,'11.2. ДА за периода'!AM$61:AM$108)+SUMIF('11.1.Амортиз.нови активи'!$B$61:$B$108,$B133,'11.1.Амортиз.нови активи'!AM$61:AM$108)</f>
        <v>0.23747868889543841</v>
      </c>
      <c r="AN133" s="2551"/>
      <c r="AO133" s="2589"/>
      <c r="AP133" s="4488"/>
      <c r="AQ133" s="4504">
        <f t="shared" si="174"/>
        <v>1.1354367767671838</v>
      </c>
      <c r="AR133" s="4504">
        <f t="shared" si="175"/>
        <v>1.2888243411260492</v>
      </c>
      <c r="AS133" s="4504">
        <f t="shared" si="176"/>
        <v>1.503566931228461</v>
      </c>
      <c r="AT133" s="4504">
        <f t="shared" si="177"/>
        <v>1.6262769827155534</v>
      </c>
      <c r="AU133" s="4504">
        <f t="shared" si="178"/>
        <v>1.7489870342026461</v>
      </c>
      <c r="AV133" s="4504">
        <f t="shared" si="179"/>
        <v>1.8716970856897384</v>
      </c>
      <c r="AW133" s="4504">
        <f t="shared" si="180"/>
        <v>1.9944071371768308</v>
      </c>
      <c r="AX133" s="4504">
        <f t="shared" si="181"/>
        <v>0</v>
      </c>
      <c r="AY133" s="4504">
        <f t="shared" si="182"/>
        <v>0</v>
      </c>
      <c r="AZ133" s="4504">
        <f t="shared" si="183"/>
        <v>0</v>
      </c>
      <c r="BA133" s="4504">
        <f t="shared" si="184"/>
        <v>0</v>
      </c>
      <c r="BB133" s="4504">
        <f t="shared" si="185"/>
        <v>0</v>
      </c>
      <c r="BC133" s="4504">
        <f t="shared" si="186"/>
        <v>0</v>
      </c>
      <c r="BD133" s="4504">
        <f t="shared" si="187"/>
        <v>0</v>
      </c>
      <c r="BE133" s="4504">
        <f t="shared" si="188"/>
        <v>1.0534964695295603</v>
      </c>
      <c r="BF133" s="4504">
        <f t="shared" si="189"/>
        <v>1.0795249587131805</v>
      </c>
      <c r="BG133" s="4504">
        <f t="shared" si="190"/>
        <v>1.0795249587131805</v>
      </c>
      <c r="BH133" s="4504">
        <f t="shared" si="191"/>
        <v>1.0795249587131805</v>
      </c>
      <c r="BI133" s="4504">
        <f t="shared" si="192"/>
        <v>1.0795249587131805</v>
      </c>
      <c r="BJ133" s="4504">
        <f t="shared" si="193"/>
        <v>1.0795249587131805</v>
      </c>
      <c r="BK133" s="4504">
        <f t="shared" si="194"/>
        <v>1.0795249587131805</v>
      </c>
      <c r="BL133" s="4504">
        <f t="shared" si="195"/>
        <v>0</v>
      </c>
      <c r="BM133" s="4504">
        <f t="shared" si="196"/>
        <v>0</v>
      </c>
      <c r="BN133" s="4504">
        <f t="shared" si="197"/>
        <v>0</v>
      </c>
      <c r="BO133" s="4504">
        <f t="shared" si="198"/>
        <v>0</v>
      </c>
      <c r="BP133" s="4504">
        <f t="shared" si="199"/>
        <v>0</v>
      </c>
      <c r="BQ133" s="4504">
        <f t="shared" si="200"/>
        <v>0</v>
      </c>
      <c r="BR133" s="4504">
        <f t="shared" si="201"/>
        <v>0</v>
      </c>
      <c r="BS133" s="4504">
        <f t="shared" si="202"/>
        <v>0.12142092558936023</v>
      </c>
      <c r="BT133" s="4504">
        <f t="shared" si="203"/>
        <v>0.12142092558936023</v>
      </c>
      <c r="BU133" s="4504">
        <f t="shared" si="204"/>
        <v>0.12142092558936023</v>
      </c>
      <c r="BV133" s="4504">
        <f t="shared" si="205"/>
        <v>0.12142092558936023</v>
      </c>
      <c r="BW133" s="4504">
        <f t="shared" si="206"/>
        <v>0.12142092558936023</v>
      </c>
      <c r="BX133" s="4504">
        <f t="shared" si="207"/>
        <v>0.12142092558936023</v>
      </c>
      <c r="BY133" s="4504">
        <f t="shared" si="208"/>
        <v>0.12142092558936023</v>
      </c>
    </row>
    <row r="134" spans="1:77" s="1323" customFormat="1">
      <c r="A134" s="2553">
        <v>3</v>
      </c>
      <c r="B134" s="2554">
        <v>2030401</v>
      </c>
      <c r="C134" s="2560">
        <v>0.1</v>
      </c>
      <c r="D134" s="2590" t="s">
        <v>1031</v>
      </c>
      <c r="E134" s="4453">
        <f>+'11.3. ДА Базова година'!F114</f>
        <v>39.497184810488662</v>
      </c>
      <c r="F134" s="2655">
        <f>$E134-SUMIF('11.2. ДА за периода'!$B$61:$B$108,$B134,'11.2. ДА за периода'!$E$61:$E$108)+SUMIF('11.2. ДА за периода'!$B$61:$B$108,$B134,'11.2. ДА за периода'!F$61:F$108)+SUMIF('11.1.Амортиз.нови активи'!$B$61:$B$108,$B134,'11.1.Амортиз.нови активи'!F$61:F$108)+('11.1.Амортиз.нови активи'!F$110*SUMIF('11.1.Амортиз.нови активи'!$B$61:$B$108,$B134,'11.1.Амортиз.нови активи'!AO$61:AO$108))</f>
        <v>51.830784621522149</v>
      </c>
      <c r="G134" s="1136">
        <f>$E134-SUMIF('11.2. ДА за периода'!$B$61:$B$108,$B134,'11.2. ДА за периода'!$E$61:$E$108)+SUMIF('11.2. ДА за периода'!$B$61:$B$108,$B134,'11.2. ДА за периода'!G$61:G$108)+SUMIF('11.1.Амортиз.нови активи'!$B$61:$B$108,$B134,'11.1.Амортиз.нови активи'!G$61:G$108)+('11.1.Амортиз.нови активи'!G$110*SUMIF('11.1.Амортиз.нови активи'!$B$61:$B$108,$B134,'11.1.Амортиз.нови активи'!AP$61:AP$108))</f>
        <v>63.630784621522153</v>
      </c>
      <c r="H134" s="1136">
        <f>$E134-SUMIF('11.2. ДА за периода'!$B$61:$B$108,$B134,'11.2. ДА за периода'!$E$61:$E$108)+SUMIF('11.2. ДА за периода'!$B$61:$B$108,$B134,'11.2. ДА за периода'!H$61:H$108)+SUMIF('11.1.Амортиз.нови активи'!$B$61:$B$108,$B134,'11.1.Амортиз.нови активи'!H$61:H$108)+('11.1.Амортиз.нови активи'!H$110*SUMIF('11.1.Амортиз.нови активи'!$B$61:$B$108,$B134,'11.1.Амортиз.нови активи'!AQ$61:AQ$108))</f>
        <v>67.230784621522147</v>
      </c>
      <c r="I134" s="1136">
        <f>$E134-SUMIF('11.2. ДА за периода'!$B$61:$B$108,$B134,'11.2. ДА за периода'!$E$61:$E$108)+SUMIF('11.2. ДА за периода'!$B$61:$B$108,$B134,'11.2. ДА за периода'!I$61:I$108)+SUMIF('11.1.Амортиз.нови активи'!$B$61:$B$108,$B134,'11.1.Амортиз.нови активи'!I$61:I$108)+('11.1.Амортиз.нови активи'!I$110*SUMIF('11.1.Амортиз.нови активи'!$B$61:$B$108,$B134,'11.1.Амортиз.нови активи'!AR$61:AR$108))</f>
        <v>70.830784621522156</v>
      </c>
      <c r="J134" s="1136">
        <f>$E134-SUMIF('11.2. ДА за периода'!$B$61:$B$108,$B134,'11.2. ДА за периода'!$E$61:$E$108)+SUMIF('11.2. ДА за периода'!$B$61:$B$108,$B134,'11.2. ДА за периода'!J$61:J$108)+SUMIF('11.1.Амортиз.нови активи'!$B$61:$B$108,$B134,'11.1.Амортиз.нови активи'!J$61:J$108)+('11.1.Амортиз.нови активи'!J$110*SUMIF('11.1.Амортиз.нови активи'!$B$61:$B$108,$B134,'11.1.Амортиз.нови активи'!AS$61:AS$108))</f>
        <v>74.43078462152215</v>
      </c>
      <c r="K134" s="1136">
        <f>$E134-SUMIF('11.2. ДА за периода'!$B$61:$B$108,$B134,'11.2. ДА за периода'!$E$61:$E$108)+SUMIF('11.2. ДА за периода'!$B$61:$B$108,$B134,'11.2. ДА за периода'!K$61:K$108)+SUMIF('11.1.Амортиз.нови активи'!$B$61:$B$108,$B134,'11.1.Амортиз.нови активи'!K$61:K$108)+('11.1.Амортиз.нови активи'!K$110*SUMIF('11.1.Амортиз.нови активи'!$B$61:$B$108,$B134,'11.1.Амортиз.нови активи'!AT$61:AT$108))</f>
        <v>78.030784621522145</v>
      </c>
      <c r="L134" s="4453">
        <f>+'11.3. ДА Базова година'!J114</f>
        <v>0</v>
      </c>
      <c r="M134" s="2655">
        <f>$L134-SUMIF('11.2. ДА за периода'!$B$61:$B$108,$B134,'11.2. ДА за периода'!$L$61:$L$108)+SUMIF('11.2. ДА за периода'!$B$61:$B$108,$B134,'11.2. ДА за периода'!M$61:M$108)+SUMIF('11.1.Амортиз.нови активи'!$B$61:$B$108,$B134,'11.1.Амортиз.нови активи'!M$61:M$108)+('11.1.Амортиз.нови активи'!F$111*SUMIF('11.1.Амортиз.нови активи'!$B$61:$B$108,$B134,'11.1.Амортиз.нови активи'!AO$61:AO$108))</f>
        <v>0</v>
      </c>
      <c r="N134" s="1136">
        <f>$L134-SUMIF('11.2. ДА за периода'!$B$61:$B$108,$B134,'11.2. ДА за периода'!$L$61:$L$108)+SUMIF('11.2. ДА за периода'!$B$61:$B$108,$B134,'11.2. ДА за периода'!N$61:N$108)+SUMIF('11.1.Амортиз.нови активи'!$B$61:$B$108,$B134,'11.1.Амортиз.нови активи'!N$61:N$108)+('11.1.Амортиз.нови активи'!G$111*SUMIF('11.1.Амортиз.нови активи'!$B$61:$B$108,$B134,'11.1.Амортиз.нови активи'!AP$61:AP$108))</f>
        <v>0</v>
      </c>
      <c r="O134" s="1136">
        <f>$L134-SUMIF('11.2. ДА за периода'!$B$61:$B$108,$B134,'11.2. ДА за периода'!$L$61:$L$108)+SUMIF('11.2. ДА за периода'!$B$61:$B$108,$B134,'11.2. ДА за периода'!O$61:O$108)+SUMIF('11.1.Амортиз.нови активи'!$B$61:$B$108,$B134,'11.1.Амортиз.нови активи'!O$61:O$108)+('11.1.Амортиз.нови активи'!H$111*SUMIF('11.1.Амортиз.нови активи'!$B$61:$B$108,$B134,'11.1.Амортиз.нови активи'!AQ$61:AQ$108))</f>
        <v>0</v>
      </c>
      <c r="P134" s="1136">
        <f>$L134-SUMIF('11.2. ДА за периода'!$B$61:$B$108,$B134,'11.2. ДА за периода'!$L$61:$L$108)+SUMIF('11.2. ДА за периода'!$B$61:$B$108,$B134,'11.2. ДА за периода'!P$61:P$108)+SUMIF('11.1.Амортиз.нови активи'!$B$61:$B$108,$B134,'11.1.Амортиз.нови активи'!P$61:P$108)+('11.1.Амортиз.нови активи'!I$111*SUMIF('11.1.Амортиз.нови активи'!$B$61:$B$108,$B134,'11.1.Амортиз.нови активи'!AR$61:AR$108))</f>
        <v>0</v>
      </c>
      <c r="Q134" s="1136">
        <f>$L134-SUMIF('11.2. ДА за периода'!$B$61:$B$108,$B134,'11.2. ДА за периода'!$L$61:$L$108)+SUMIF('11.2. ДА за периода'!$B$61:$B$108,$B134,'11.2. ДА за периода'!Q$61:Q$108)+SUMIF('11.1.Амортиз.нови активи'!$B$61:$B$108,$B134,'11.1.Амортиз.нови активи'!Q$61:Q$108)+('11.1.Амортиз.нови активи'!J$111*SUMIF('11.1.Амортиз.нови активи'!$B$61:$B$108,$B134,'11.1.Амортиз.нови активи'!AS$61:AS$108))</f>
        <v>0</v>
      </c>
      <c r="R134" s="2656">
        <f>$L134-SUMIF('11.2. ДА за периода'!$B$61:$B$108,$B134,'11.2. ДА за периода'!$L$61:$L$108)+SUMIF('11.2. ДА за периода'!$B$61:$B$108,$B134,'11.2. ДА за периода'!R$61:R$108)+SUMIF('11.1.Амортиз.нови активи'!$B$61:$B$108,$B134,'11.1.Амортиз.нови активи'!R$61:R$108)+('11.1.Амортиз.нови активи'!K$111*SUMIF('11.1.Амортиз.нови активи'!$B$61:$B$108,$B134,'11.1.Амортиз.нови активи'!AT$61:AT$108))</f>
        <v>0</v>
      </c>
      <c r="S134" s="4453">
        <f>+'11.3. ДА Базова година'!N114</f>
        <v>7.7761900000000015</v>
      </c>
      <c r="T134" s="2655">
        <f>$S134-SUMIF('11.2. ДА за периода'!$B$61:$B$108,$B134,'11.2. ДА за периода'!$S$61:$S$108)+SUMIF('11.2. ДА за периода'!$B$61:$B$108,$B134,'11.2. ДА за периода'!T$61:T$108)+SUMIF('11.1.Амортиз.нови активи'!$B$61:$B$108,$B134,'11.1.Амортиз.нови активи'!T$61:T$108)+('11.1.Амортиз.нови активи'!F$112*SUMIF('11.1.Амортиз.нови активи'!$B$61:$B$108,$B134,'11.1.Амортиз.нови активи'!AO$61:AO$108))</f>
        <v>8.3513595000000009</v>
      </c>
      <c r="U134" s="1136">
        <f>$S134-SUMIF('11.2. ДА за периода'!$B$61:$B$108,$B134,'11.2. ДА за периода'!$S$61:$S$108)+SUMIF('11.2. ДА за периода'!$B$61:$B$108,$B134,'11.2. ДА за периода'!U$61:U$108)+SUMIF('11.1.Амортиз.нови активи'!$B$61:$B$108,$B134,'11.1.Амортиз.нови активи'!U$61:U$108)+('11.1.Амортиз.нови активи'!G$112*SUMIF('11.1.Амортиз.нови активи'!$B$61:$B$108,$B134,'11.1.Амортиз.нови активи'!AP$61:AP$108))</f>
        <v>8.3513595000000009</v>
      </c>
      <c r="V134" s="1136">
        <f>$S134-SUMIF('11.2. ДА за периода'!$B$61:$B$108,$B134,'11.2. ДА за периода'!$S$61:$S$108)+SUMIF('11.2. ДА за периода'!$B$61:$B$108,$B134,'11.2. ДА за периода'!V$61:V$108)+SUMIF('11.1.Амортиз.нови активи'!$B$61:$B$108,$B134,'11.1.Амортиз.нови активи'!V$61:V$108)+('11.1.Амортиз.нови активи'!H$112*SUMIF('11.1.Амортиз.нови активи'!$B$61:$B$108,$B134,'11.1.Амортиз.нови активи'!AQ$61:AQ$108))</f>
        <v>8.3513595000000009</v>
      </c>
      <c r="W134" s="1136">
        <f>$S134-SUMIF('11.2. ДА за периода'!$B$61:$B$108,$B134,'11.2. ДА за периода'!$S$61:$S$108)+SUMIF('11.2. ДА за периода'!$B$61:$B$108,$B134,'11.2. ДА за периода'!W$61:W$108)+SUMIF('11.1.Амортиз.нови активи'!$B$61:$B$108,$B134,'11.1.Амортиз.нови активи'!W$61:W$108)+('11.1.Амортиз.нови активи'!I$112*SUMIF('11.1.Амортиз.нови активи'!$B$61:$B$108,$B134,'11.1.Амортиз.нови активи'!AR$61:AR$108))</f>
        <v>8.3513595000000009</v>
      </c>
      <c r="X134" s="1136">
        <f>$S134-SUMIF('11.2. ДА за периода'!$B$61:$B$108,$B134,'11.2. ДА за периода'!$S$61:$S$108)+SUMIF('11.2. ДА за периода'!$B$61:$B$108,$B134,'11.2. ДА за периода'!X$61:X$108)+SUMIF('11.1.Амортиз.нови активи'!$B$61:$B$108,$B134,'11.1.Амортиз.нови активи'!X$61:X$108)+('11.1.Амортиз.нови активи'!J$112*SUMIF('11.1.Амортиз.нови активи'!$B$61:$B$108,$B134,'11.1.Амортиз.нови активи'!AS$61:AS$108))</f>
        <v>8.3513595000000009</v>
      </c>
      <c r="Y134" s="2656">
        <f>$S134-SUMIF('11.2. ДА за периода'!$B$61:$B$108,$B134,'11.2. ДА за периода'!$S$61:$S$108)+SUMIF('11.2. ДА за периода'!$B$61:$B$108,$B134,'11.2. ДА за периода'!Y$61:Y$108)+SUMIF('11.1.Амортиз.нови активи'!$B$61:$B$108,$B134,'11.1.Амортиз.нови активи'!Y$61:Y$108)+('11.1.Амортиз.нови активи'!K$112*SUMIF('11.1.Амортиз.нови активи'!$B$61:$B$108,$B134,'11.1.Амортиз.нови активи'!AT$61:AT$108))</f>
        <v>8.3513595000000009</v>
      </c>
      <c r="Z134" s="4453">
        <f>+'11.3. ДА Базова година'!R114</f>
        <v>0</v>
      </c>
      <c r="AA134" s="2655">
        <f>$Z134-SUMIF('11.2. ДА за периода'!$B$61:$B$108,$B134,'11.2. ДА за периода'!$Z$61:$Z$108)+SUMIF('11.2. ДА за периода'!$B$61:$B$108,$B134,'11.2. ДА за периода'!AA$61:AA$108)+SUMIF('11.1.Амортиз.нови активи'!$B$61:$B$108,$B134,'11.1.Амортиз.нови активи'!AA$61:AA$108)</f>
        <v>0</v>
      </c>
      <c r="AB134" s="1136">
        <f>$Z134-SUMIF('11.2. ДА за периода'!$B$61:$B$108,$B134,'11.2. ДА за периода'!$Z$61:$Z$108)+SUMIF('11.2. ДА за периода'!$B$61:$B$108,$B134,'11.2. ДА за периода'!AB$61:AB$108)+SUMIF('11.1.Амортиз.нови активи'!$B$61:$B$108,$B134,'11.1.Амортиз.нови активи'!AB$61:AB$108)</f>
        <v>0</v>
      </c>
      <c r="AC134" s="1136">
        <f>$Z134-SUMIF('11.2. ДА за периода'!$B$61:$B$108,$B134,'11.2. ДА за периода'!$Z$61:$Z$108)+SUMIF('11.2. ДА за периода'!$B$61:$B$108,$B134,'11.2. ДА за периода'!AC$61:AC$108)+SUMIF('11.1.Амортиз.нови активи'!$B$61:$B$108,$B134,'11.1.Амортиз.нови активи'!AC$61:AC$108)</f>
        <v>0</v>
      </c>
      <c r="AD134" s="1136">
        <f>$Z134-SUMIF('11.2. ДА за периода'!$B$61:$B$108,$B134,'11.2. ДА за периода'!$Z$61:$Z$108)+SUMIF('11.2. ДА за периода'!$B$61:$B$108,$B134,'11.2. ДА за периода'!AD$61:AD$108)+SUMIF('11.1.Амортиз.нови активи'!$B$61:$B$108,$B134,'11.1.Амортиз.нови активи'!AD$61:AD$108)</f>
        <v>0</v>
      </c>
      <c r="AE134" s="1136">
        <f>$Z134-SUMIF('11.2. ДА за периода'!$B$61:$B$108,$B134,'11.2. ДА за периода'!$Z$61:$Z$108)+SUMIF('11.2. ДА за периода'!$B$61:$B$108,$B134,'11.2. ДА за периода'!AE$61:AE$108)+SUMIF('11.1.Амортиз.нови активи'!$B$61:$B$108,$B134,'11.1.Амортиз.нови активи'!AE$61:AE$108)</f>
        <v>0</v>
      </c>
      <c r="AF134" s="2656">
        <f>$Z134-SUMIF('11.2. ДА за периода'!$B$61:$B$108,$B134,'11.2. ДА за периода'!$Z$61:$Z$108)+SUMIF('11.2. ДА за периода'!$B$61:$B$108,$B134,'11.2. ДА за периода'!AF$61:AF$108)+SUMIF('11.1.Амортиз.нови активи'!$B$61:$B$108,$B134,'11.1.Амортиз.нови активи'!AF$61:AF$108)</f>
        <v>0</v>
      </c>
      <c r="AG134" s="4453">
        <f>+'11.3. ДА Базова година'!V114</f>
        <v>10.424625189511355</v>
      </c>
      <c r="AH134" s="2655">
        <f>$AG134-SUMIF('11.2. ДА за периода'!$B$61:$B$108,$B134,'11.2. ДА за периода'!$AG$61:$AG$108)+SUMIF('11.2. ДА за периода'!$B$61:$B$108,$B134,'11.2. ДА за периода'!AH$61:AH$108)+SUMIF('11.1.Амортиз.нови активи'!$B$61:$B$108,$B134,'11.1.Амортиз.нови активи'!AH$61:AH$108)</f>
        <v>11.590434878477872</v>
      </c>
      <c r="AI134" s="1136">
        <f>$AG134-SUMIF('11.2. ДА за периода'!$B$61:$B$108,$B134,'11.2. ДА за периода'!$AG$61:$AG$108)+SUMIF('11.2. ДА за периода'!$B$61:$B$108,$B134,'11.2. ДА за периода'!AI$61:AI$108)+SUMIF('11.1.Амортиз.нови активи'!$B$61:$B$108,$B134,'11.1.Амортиз.нови активи'!AI$61:AI$108)</f>
        <v>15.340434878477872</v>
      </c>
      <c r="AJ134" s="1136">
        <f>$AG134-SUMIF('11.2. ДА за периода'!$B$61:$B$108,$B134,'11.2. ДА за периода'!$AG$61:$AG$108)+SUMIF('11.2. ДА за периода'!$B$61:$B$108,$B134,'11.2. ДА за периода'!AJ$61:AJ$108)+SUMIF('11.1.Амортиз.нови активи'!$B$61:$B$108,$B134,'11.1.Амортиз.нови активи'!AJ$61:AJ$108)</f>
        <v>19.840434878477872</v>
      </c>
      <c r="AK134" s="1136">
        <f>$AG134-SUMIF('11.2. ДА за периода'!$B$61:$B$108,$B134,'11.2. ДА за периода'!$AG$61:$AG$108)+SUMIF('11.2. ДА за периода'!$B$61:$B$108,$B134,'11.2. ДА за периода'!AK$61:AK$108)+SUMIF('11.1.Амортиз.нови активи'!$B$61:$B$108,$B134,'11.1.Амортиз.нови активи'!AK$61:AK$108)</f>
        <v>22.840434878477872</v>
      </c>
      <c r="AL134" s="1136">
        <f>$AG134-SUMIF('11.2. ДА за периода'!$B$61:$B$108,$B134,'11.2. ДА за периода'!$AG$61:$AG$108)+SUMIF('11.2. ДА за периода'!$B$61:$B$108,$B134,'11.2. ДА за периода'!AL$61:AL$108)+SUMIF('11.1.Амортиз.нови активи'!$B$61:$B$108,$B134,'11.1.Амортиз.нови активи'!AL$61:AL$108)</f>
        <v>25.840434878477872</v>
      </c>
      <c r="AM134" s="2656">
        <f>$AG134-SUMIF('11.2. ДА за периода'!$B$61:$B$108,$B134,'11.2. ДА за периода'!$AG$61:$AG$108)+SUMIF('11.2. ДА за периода'!$B$61:$B$108,$B134,'11.2. ДА за периода'!AM$61:AM$108)+SUMIF('11.1.Амортиз.нови активи'!$B$61:$B$108,$B134,'11.1.Амортиз.нови активи'!AM$61:AM$108)</f>
        <v>28.840434878477872</v>
      </c>
      <c r="AN134" s="2551"/>
      <c r="AO134" s="2589"/>
      <c r="AP134" s="4488"/>
      <c r="AQ134" s="4504">
        <f t="shared" si="174"/>
        <v>20.194589923709454</v>
      </c>
      <c r="AR134" s="4504">
        <f t="shared" si="175"/>
        <v>26.500659373014091</v>
      </c>
      <c r="AS134" s="4504">
        <f t="shared" si="176"/>
        <v>32.533903571129471</v>
      </c>
      <c r="AT134" s="4504">
        <f t="shared" si="177"/>
        <v>34.374554343435854</v>
      </c>
      <c r="AU134" s="4504">
        <f t="shared" si="178"/>
        <v>36.215205115742243</v>
      </c>
      <c r="AV134" s="4504">
        <f t="shared" si="179"/>
        <v>38.055855888048633</v>
      </c>
      <c r="AW134" s="4504">
        <f t="shared" si="180"/>
        <v>39.896506660355016</v>
      </c>
      <c r="AX134" s="4504">
        <f t="shared" si="181"/>
        <v>0</v>
      </c>
      <c r="AY134" s="4504">
        <f t="shared" si="182"/>
        <v>0</v>
      </c>
      <c r="AZ134" s="4504">
        <f t="shared" si="183"/>
        <v>0</v>
      </c>
      <c r="BA134" s="4504">
        <f t="shared" si="184"/>
        <v>0</v>
      </c>
      <c r="BB134" s="4504">
        <f t="shared" si="185"/>
        <v>0</v>
      </c>
      <c r="BC134" s="4504">
        <f t="shared" si="186"/>
        <v>0</v>
      </c>
      <c r="BD134" s="4504">
        <f t="shared" si="187"/>
        <v>0</v>
      </c>
      <c r="BE134" s="4504">
        <f t="shared" si="188"/>
        <v>3.9759028136392232</v>
      </c>
      <c r="BF134" s="4504">
        <f t="shared" si="189"/>
        <v>4.2699823093009108</v>
      </c>
      <c r="BG134" s="4504">
        <f t="shared" si="190"/>
        <v>4.2699823093009108</v>
      </c>
      <c r="BH134" s="4504">
        <f t="shared" si="191"/>
        <v>4.2699823093009108</v>
      </c>
      <c r="BI134" s="4504">
        <f t="shared" si="192"/>
        <v>4.2699823093009108</v>
      </c>
      <c r="BJ134" s="4504">
        <f t="shared" si="193"/>
        <v>4.2699823093009108</v>
      </c>
      <c r="BK134" s="4504">
        <f t="shared" si="194"/>
        <v>4.2699823093009108</v>
      </c>
      <c r="BL134" s="4504">
        <f t="shared" si="195"/>
        <v>0</v>
      </c>
      <c r="BM134" s="4504">
        <f t="shared" si="196"/>
        <v>0</v>
      </c>
      <c r="BN134" s="4504">
        <f t="shared" si="197"/>
        <v>0</v>
      </c>
      <c r="BO134" s="4504">
        <f t="shared" si="198"/>
        <v>0</v>
      </c>
      <c r="BP134" s="4504">
        <f t="shared" si="199"/>
        <v>0</v>
      </c>
      <c r="BQ134" s="4504">
        <f t="shared" si="200"/>
        <v>0</v>
      </c>
      <c r="BR134" s="4504">
        <f t="shared" si="201"/>
        <v>0</v>
      </c>
      <c r="BS134" s="4504">
        <f t="shared" si="202"/>
        <v>5.3300262239107461</v>
      </c>
      <c r="BT134" s="4504">
        <f t="shared" si="203"/>
        <v>5.9260952528992155</v>
      </c>
      <c r="BU134" s="4504">
        <f t="shared" si="204"/>
        <v>7.8434398073850344</v>
      </c>
      <c r="BV134" s="4504">
        <f t="shared" si="205"/>
        <v>10.144253272768017</v>
      </c>
      <c r="BW134" s="4504">
        <f t="shared" si="206"/>
        <v>11.678128916356673</v>
      </c>
      <c r="BX134" s="4504">
        <f t="shared" si="207"/>
        <v>13.21200455994533</v>
      </c>
      <c r="BY134" s="4504">
        <f t="shared" si="208"/>
        <v>14.745880203533984</v>
      </c>
    </row>
    <row r="135" spans="1:77" s="1323" customFormat="1">
      <c r="A135" s="2553">
        <v>4</v>
      </c>
      <c r="B135" s="2554">
        <v>2030402</v>
      </c>
      <c r="C135" s="2560">
        <v>0.1</v>
      </c>
      <c r="D135" s="2590" t="s">
        <v>429</v>
      </c>
      <c r="E135" s="4453">
        <f>+'11.3. ДА Базова година'!F115</f>
        <v>1.1281282299925783</v>
      </c>
      <c r="F135" s="2655">
        <f>$E135-SUMIF('11.2. ДА за периода'!$B$61:$B$108,$B135,'11.2. ДА за периода'!$E$61:$E$108)+SUMIF('11.2. ДА за периода'!$B$61:$B$108,$B135,'11.2. ДА за периода'!F$61:F$108)+SUMIF('11.1.Амортиз.нови активи'!$B$61:$B$108,$B135,'11.1.Амортиз.нови активи'!F$61:F$108)+('11.1.Амортиз.нови активи'!F$110*SUMIF('11.1.Амортиз.нови активи'!$B$61:$B$108,$B135,'11.1.Амортиз.нови активи'!AO$61:AO$108))</f>
        <v>1.1281282299925783</v>
      </c>
      <c r="G135" s="1136">
        <f>$E135-SUMIF('11.2. ДА за периода'!$B$61:$B$108,$B135,'11.2. ДА за периода'!$E$61:$E$108)+SUMIF('11.2. ДА за периода'!$B$61:$B$108,$B135,'11.2. ДА за периода'!G$61:G$108)+SUMIF('11.1.Амортиз.нови активи'!$B$61:$B$108,$B135,'11.1.Амортиз.нови активи'!G$61:G$108)+('11.1.Амортиз.нови активи'!G$110*SUMIF('11.1.Амортиз.нови активи'!$B$61:$B$108,$B135,'11.1.Амортиз.нови активи'!AP$61:AP$108))</f>
        <v>1.1281282299925783</v>
      </c>
      <c r="H135" s="1136">
        <f>$E135-SUMIF('11.2. ДА за периода'!$B$61:$B$108,$B135,'11.2. ДА за периода'!$E$61:$E$108)+SUMIF('11.2. ДА за периода'!$B$61:$B$108,$B135,'11.2. ДА за периода'!H$61:H$108)+SUMIF('11.1.Амортиз.нови активи'!$B$61:$B$108,$B135,'11.1.Амортиз.нови активи'!H$61:H$108)+('11.1.Амортиз.нови активи'!H$110*SUMIF('11.1.Амортиз.нови активи'!$B$61:$B$108,$B135,'11.1.Амортиз.нови активи'!AQ$61:AQ$108))</f>
        <v>1.1281282299925783</v>
      </c>
      <c r="I135" s="1136">
        <f>$E135-SUMIF('11.2. ДА за периода'!$B$61:$B$108,$B135,'11.2. ДА за периода'!$E$61:$E$108)+SUMIF('11.2. ДА за периода'!$B$61:$B$108,$B135,'11.2. ДА за периода'!I$61:I$108)+SUMIF('11.1.Амортиз.нови активи'!$B$61:$B$108,$B135,'11.1.Амортиз.нови активи'!I$61:I$108)+('11.1.Амортиз.нови активи'!I$110*SUMIF('11.1.Амортиз.нови активи'!$B$61:$B$108,$B135,'11.1.Амортиз.нови активи'!AR$61:AR$108))</f>
        <v>1.1281282299925783</v>
      </c>
      <c r="J135" s="1136">
        <f>$E135-SUMIF('11.2. ДА за периода'!$B$61:$B$108,$B135,'11.2. ДА за периода'!$E$61:$E$108)+SUMIF('11.2. ДА за периода'!$B$61:$B$108,$B135,'11.2. ДА за периода'!J$61:J$108)+SUMIF('11.1.Амортиз.нови активи'!$B$61:$B$108,$B135,'11.1.Амортиз.нови активи'!J$61:J$108)+('11.1.Амортиз.нови активи'!J$110*SUMIF('11.1.Амортиз.нови активи'!$B$61:$B$108,$B135,'11.1.Амортиз.нови активи'!AS$61:AS$108))</f>
        <v>1.1281282299925783</v>
      </c>
      <c r="K135" s="1136">
        <f>$E135-SUMIF('11.2. ДА за периода'!$B$61:$B$108,$B135,'11.2. ДА за периода'!$E$61:$E$108)+SUMIF('11.2. ДА за периода'!$B$61:$B$108,$B135,'11.2. ДА за периода'!K$61:K$108)+SUMIF('11.1.Амортиз.нови активи'!$B$61:$B$108,$B135,'11.1.Амортиз.нови активи'!K$61:K$108)+('11.1.Амортиз.нови активи'!K$110*SUMIF('11.1.Амортиз.нови активи'!$B$61:$B$108,$B135,'11.1.Амортиз.нови активи'!AT$61:AT$108))</f>
        <v>1.1281282299925783</v>
      </c>
      <c r="L135" s="4453">
        <f>+'11.3. ДА Базова година'!J115</f>
        <v>0</v>
      </c>
      <c r="M135" s="2655">
        <f>$L135-SUMIF('11.2. ДА за периода'!$B$61:$B$108,$B135,'11.2. ДА за периода'!$L$61:$L$108)+SUMIF('11.2. ДА за периода'!$B$61:$B$108,$B135,'11.2. ДА за периода'!M$61:M$108)+SUMIF('11.1.Амортиз.нови активи'!$B$61:$B$108,$B135,'11.1.Амортиз.нови активи'!M$61:M$108)+('11.1.Амортиз.нови активи'!F$111*SUMIF('11.1.Амортиз.нови активи'!$B$61:$B$108,$B135,'11.1.Амортиз.нови активи'!AO$61:AO$108))</f>
        <v>0</v>
      </c>
      <c r="N135" s="1136">
        <f>$L135-SUMIF('11.2. ДА за периода'!$B$61:$B$108,$B135,'11.2. ДА за периода'!$L$61:$L$108)+SUMIF('11.2. ДА за периода'!$B$61:$B$108,$B135,'11.2. ДА за периода'!N$61:N$108)+SUMIF('11.1.Амортиз.нови активи'!$B$61:$B$108,$B135,'11.1.Амортиз.нови активи'!N$61:N$108)+('11.1.Амортиз.нови активи'!G$111*SUMIF('11.1.Амортиз.нови активи'!$B$61:$B$108,$B135,'11.1.Амортиз.нови активи'!AP$61:AP$108))</f>
        <v>0</v>
      </c>
      <c r="O135" s="1136">
        <f>$L135-SUMIF('11.2. ДА за периода'!$B$61:$B$108,$B135,'11.2. ДА за периода'!$L$61:$L$108)+SUMIF('11.2. ДА за периода'!$B$61:$B$108,$B135,'11.2. ДА за периода'!O$61:O$108)+SUMIF('11.1.Амортиз.нови активи'!$B$61:$B$108,$B135,'11.1.Амортиз.нови активи'!O$61:O$108)+('11.1.Амортиз.нови активи'!H$111*SUMIF('11.1.Амортиз.нови активи'!$B$61:$B$108,$B135,'11.1.Амортиз.нови активи'!AQ$61:AQ$108))</f>
        <v>0</v>
      </c>
      <c r="P135" s="1136">
        <f>$L135-SUMIF('11.2. ДА за периода'!$B$61:$B$108,$B135,'11.2. ДА за периода'!$L$61:$L$108)+SUMIF('11.2. ДА за периода'!$B$61:$B$108,$B135,'11.2. ДА за периода'!P$61:P$108)+SUMIF('11.1.Амортиз.нови активи'!$B$61:$B$108,$B135,'11.1.Амортиз.нови активи'!P$61:P$108)+('11.1.Амортиз.нови активи'!I$111*SUMIF('11.1.Амортиз.нови активи'!$B$61:$B$108,$B135,'11.1.Амортиз.нови активи'!AR$61:AR$108))</f>
        <v>0</v>
      </c>
      <c r="Q135" s="1136">
        <f>$L135-SUMIF('11.2. ДА за периода'!$B$61:$B$108,$B135,'11.2. ДА за периода'!$L$61:$L$108)+SUMIF('11.2. ДА за периода'!$B$61:$B$108,$B135,'11.2. ДА за периода'!Q$61:Q$108)+SUMIF('11.1.Амортиз.нови активи'!$B$61:$B$108,$B135,'11.1.Амортиз.нови активи'!Q$61:Q$108)+('11.1.Амортиз.нови активи'!J$111*SUMIF('11.1.Амортиз.нови активи'!$B$61:$B$108,$B135,'11.1.Амортиз.нови активи'!AS$61:AS$108))</f>
        <v>0</v>
      </c>
      <c r="R135" s="2656">
        <f>$L135-SUMIF('11.2. ДА за периода'!$B$61:$B$108,$B135,'11.2. ДА за периода'!$L$61:$L$108)+SUMIF('11.2. ДА за периода'!$B$61:$B$108,$B135,'11.2. ДА за периода'!R$61:R$108)+SUMIF('11.1.Амортиз.нови активи'!$B$61:$B$108,$B135,'11.1.Амортиз.нови активи'!R$61:R$108)+('11.1.Амортиз.нови активи'!K$111*SUMIF('11.1.Амортиз.нови активи'!$B$61:$B$108,$B135,'11.1.Амортиз.нови активи'!AT$61:AT$108))</f>
        <v>0</v>
      </c>
      <c r="S135" s="4453">
        <f>+'11.3. ДА Базова година'!N115</f>
        <v>0</v>
      </c>
      <c r="T135" s="2655">
        <f>$S135-SUMIF('11.2. ДА за периода'!$B$61:$B$108,$B135,'11.2. ДА за периода'!$S$61:$S$108)+SUMIF('11.2. ДА за периода'!$B$61:$B$108,$B135,'11.2. ДА за периода'!T$61:T$108)+SUMIF('11.1.Амортиз.нови активи'!$B$61:$B$108,$B135,'11.1.Амортиз.нови активи'!T$61:T$108)+('11.1.Амортиз.нови активи'!F$112*SUMIF('11.1.Амортиз.нови активи'!$B$61:$B$108,$B135,'11.1.Амортиз.нови активи'!AO$61:AO$108))</f>
        <v>0</v>
      </c>
      <c r="U135" s="1136">
        <f>$S135-SUMIF('11.2. ДА за периода'!$B$61:$B$108,$B135,'11.2. ДА за периода'!$S$61:$S$108)+SUMIF('11.2. ДА за периода'!$B$61:$B$108,$B135,'11.2. ДА за периода'!U$61:U$108)+SUMIF('11.1.Амортиз.нови активи'!$B$61:$B$108,$B135,'11.1.Амортиз.нови активи'!U$61:U$108)+('11.1.Амортиз.нови активи'!G$112*SUMIF('11.1.Амортиз.нови активи'!$B$61:$B$108,$B135,'11.1.Амортиз.нови активи'!AP$61:AP$108))</f>
        <v>0</v>
      </c>
      <c r="V135" s="1136">
        <f>$S135-SUMIF('11.2. ДА за периода'!$B$61:$B$108,$B135,'11.2. ДА за периода'!$S$61:$S$108)+SUMIF('11.2. ДА за периода'!$B$61:$B$108,$B135,'11.2. ДА за периода'!V$61:V$108)+SUMIF('11.1.Амортиз.нови активи'!$B$61:$B$108,$B135,'11.1.Амортиз.нови активи'!V$61:V$108)+('11.1.Амортиз.нови активи'!H$112*SUMIF('11.1.Амортиз.нови активи'!$B$61:$B$108,$B135,'11.1.Амортиз.нови активи'!AQ$61:AQ$108))</f>
        <v>0</v>
      </c>
      <c r="W135" s="1136">
        <f>$S135-SUMIF('11.2. ДА за периода'!$B$61:$B$108,$B135,'11.2. ДА за периода'!$S$61:$S$108)+SUMIF('11.2. ДА за периода'!$B$61:$B$108,$B135,'11.2. ДА за периода'!W$61:W$108)+SUMIF('11.1.Амортиз.нови активи'!$B$61:$B$108,$B135,'11.1.Амортиз.нови активи'!W$61:W$108)+('11.1.Амортиз.нови активи'!I$112*SUMIF('11.1.Амортиз.нови активи'!$B$61:$B$108,$B135,'11.1.Амортиз.нови активи'!AR$61:AR$108))</f>
        <v>0</v>
      </c>
      <c r="X135" s="1136">
        <f>$S135-SUMIF('11.2. ДА за периода'!$B$61:$B$108,$B135,'11.2. ДА за периода'!$S$61:$S$108)+SUMIF('11.2. ДА за периода'!$B$61:$B$108,$B135,'11.2. ДА за периода'!X$61:X$108)+SUMIF('11.1.Амортиз.нови активи'!$B$61:$B$108,$B135,'11.1.Амортиз.нови активи'!X$61:X$108)+('11.1.Амортиз.нови активи'!J$112*SUMIF('11.1.Амортиз.нови активи'!$B$61:$B$108,$B135,'11.1.Амортиз.нови активи'!AS$61:AS$108))</f>
        <v>0</v>
      </c>
      <c r="Y135" s="2656">
        <f>$S135-SUMIF('11.2. ДА за периода'!$B$61:$B$108,$B135,'11.2. ДА за периода'!$S$61:$S$108)+SUMIF('11.2. ДА за периода'!$B$61:$B$108,$B135,'11.2. ДА за периода'!Y$61:Y$108)+SUMIF('11.1.Амортиз.нови активи'!$B$61:$B$108,$B135,'11.1.Амортиз.нови активи'!Y$61:Y$108)+('11.1.Амортиз.нови активи'!K$112*SUMIF('11.1.Амортиз.нови активи'!$B$61:$B$108,$B135,'11.1.Амортиз.нови активи'!AT$61:AT$108))</f>
        <v>0</v>
      </c>
      <c r="Z135" s="4453">
        <f>+'11.3. ДА Базова година'!R115</f>
        <v>0</v>
      </c>
      <c r="AA135" s="2655">
        <f>$Z135-SUMIF('11.2. ДА за периода'!$B$61:$B$108,$B135,'11.2. ДА за периода'!$Z$61:$Z$108)+SUMIF('11.2. ДА за периода'!$B$61:$B$108,$B135,'11.2. ДА за периода'!AA$61:AA$108)+SUMIF('11.1.Амортиз.нови активи'!$B$61:$B$108,$B135,'11.1.Амортиз.нови активи'!AA$61:AA$108)</f>
        <v>0</v>
      </c>
      <c r="AB135" s="1136">
        <f>$Z135-SUMIF('11.2. ДА за периода'!$B$61:$B$108,$B135,'11.2. ДА за периода'!$Z$61:$Z$108)+SUMIF('11.2. ДА за периода'!$B$61:$B$108,$B135,'11.2. ДА за периода'!AB$61:AB$108)+SUMIF('11.1.Амортиз.нови активи'!$B$61:$B$108,$B135,'11.1.Амортиз.нови активи'!AB$61:AB$108)</f>
        <v>0</v>
      </c>
      <c r="AC135" s="1136">
        <f>$Z135-SUMIF('11.2. ДА за периода'!$B$61:$B$108,$B135,'11.2. ДА за периода'!$Z$61:$Z$108)+SUMIF('11.2. ДА за периода'!$B$61:$B$108,$B135,'11.2. ДА за периода'!AC$61:AC$108)+SUMIF('11.1.Амортиз.нови активи'!$B$61:$B$108,$B135,'11.1.Амортиз.нови активи'!AC$61:AC$108)</f>
        <v>0</v>
      </c>
      <c r="AD135" s="1136">
        <f>$Z135-SUMIF('11.2. ДА за периода'!$B$61:$B$108,$B135,'11.2. ДА за периода'!$Z$61:$Z$108)+SUMIF('11.2. ДА за периода'!$B$61:$B$108,$B135,'11.2. ДА за периода'!AD$61:AD$108)+SUMIF('11.1.Амортиз.нови активи'!$B$61:$B$108,$B135,'11.1.Амортиз.нови активи'!AD$61:AD$108)</f>
        <v>0</v>
      </c>
      <c r="AE135" s="1136">
        <f>$Z135-SUMIF('11.2. ДА за периода'!$B$61:$B$108,$B135,'11.2. ДА за периода'!$Z$61:$Z$108)+SUMIF('11.2. ДА за периода'!$B$61:$B$108,$B135,'11.2. ДА за периода'!AE$61:AE$108)+SUMIF('11.1.Амортиз.нови активи'!$B$61:$B$108,$B135,'11.1.Амортиз.нови активи'!AE$61:AE$108)</f>
        <v>0</v>
      </c>
      <c r="AF135" s="2656">
        <f>$Z135-SUMIF('11.2. ДА за периода'!$B$61:$B$108,$B135,'11.2. ДА за периода'!$Z$61:$Z$108)+SUMIF('11.2. ДА за периода'!$B$61:$B$108,$B135,'11.2. ДА за периода'!AF$61:AF$108)+SUMIF('11.1.Амортиз.нови активи'!$B$61:$B$108,$B135,'11.1.Амортиз.нови активи'!AF$61:AF$108)</f>
        <v>0</v>
      </c>
      <c r="AG135" s="4453">
        <f>+'11.3. ДА Базова година'!V115</f>
        <v>0.13622177000742156</v>
      </c>
      <c r="AH135" s="2655">
        <f>$AG135-SUMIF('11.2. ДА за периода'!$B$61:$B$108,$B135,'11.2. ДА за периода'!$AG$61:$AG$108)+SUMIF('11.2. ДА за периода'!$B$61:$B$108,$B135,'11.2. ДА за периода'!AH$61:AH$108)+SUMIF('11.1.Амортиз.нови активи'!$B$61:$B$108,$B135,'11.1.Амортиз.нови активи'!AH$61:AH$108)</f>
        <v>0.13622177000742156</v>
      </c>
      <c r="AI135" s="1136">
        <f>$AG135-SUMIF('11.2. ДА за периода'!$B$61:$B$108,$B135,'11.2. ДА за периода'!$AG$61:$AG$108)+SUMIF('11.2. ДА за периода'!$B$61:$B$108,$B135,'11.2. ДА за периода'!AI$61:AI$108)+SUMIF('11.1.Амортиз.нови активи'!$B$61:$B$108,$B135,'11.1.Амортиз.нови активи'!AI$61:AI$108)</f>
        <v>0.13622177000742156</v>
      </c>
      <c r="AJ135" s="1136">
        <f>$AG135-SUMIF('11.2. ДА за периода'!$B$61:$B$108,$B135,'11.2. ДА за периода'!$AG$61:$AG$108)+SUMIF('11.2. ДА за периода'!$B$61:$B$108,$B135,'11.2. ДА за периода'!AJ$61:AJ$108)+SUMIF('11.1.Амортиз.нови активи'!$B$61:$B$108,$B135,'11.1.Амортиз.нови активи'!AJ$61:AJ$108)</f>
        <v>0.13622177000742156</v>
      </c>
      <c r="AK135" s="1136">
        <f>$AG135-SUMIF('11.2. ДА за периода'!$B$61:$B$108,$B135,'11.2. ДА за периода'!$AG$61:$AG$108)+SUMIF('11.2. ДА за периода'!$B$61:$B$108,$B135,'11.2. ДА за периода'!AK$61:AK$108)+SUMIF('11.1.Амортиз.нови активи'!$B$61:$B$108,$B135,'11.1.Амортиз.нови активи'!AK$61:AK$108)</f>
        <v>0.13622177000742156</v>
      </c>
      <c r="AL135" s="1136">
        <f>$AG135-SUMIF('11.2. ДА за периода'!$B$61:$B$108,$B135,'11.2. ДА за периода'!$AG$61:$AG$108)+SUMIF('11.2. ДА за периода'!$B$61:$B$108,$B135,'11.2. ДА за периода'!AL$61:AL$108)+SUMIF('11.1.Амортиз.нови активи'!$B$61:$B$108,$B135,'11.1.Амортиз.нови активи'!AL$61:AL$108)</f>
        <v>0.13622177000742156</v>
      </c>
      <c r="AM135" s="2656">
        <f>$AG135-SUMIF('11.2. ДА за периода'!$B$61:$B$108,$B135,'11.2. ДА за периода'!$AG$61:$AG$108)+SUMIF('11.2. ДА за периода'!$B$61:$B$108,$B135,'11.2. ДА за периода'!AM$61:AM$108)+SUMIF('11.1.Амортиз.нови активи'!$B$61:$B$108,$B135,'11.1.Амортиз.нови активи'!AM$61:AM$108)</f>
        <v>0.13622177000742156</v>
      </c>
      <c r="AN135" s="2551"/>
      <c r="AO135" s="2589"/>
      <c r="AP135" s="4488"/>
      <c r="AQ135" s="4504">
        <f t="shared" si="174"/>
        <v>0.57680280494346559</v>
      </c>
      <c r="AR135" s="4504">
        <f t="shared" si="175"/>
        <v>0.57680280494346559</v>
      </c>
      <c r="AS135" s="4504">
        <f t="shared" si="176"/>
        <v>0.57680280494346559</v>
      </c>
      <c r="AT135" s="4504">
        <f t="shared" si="177"/>
        <v>0.57680280494346559</v>
      </c>
      <c r="AU135" s="4504">
        <f t="shared" si="178"/>
        <v>0.57680280494346559</v>
      </c>
      <c r="AV135" s="4504">
        <f t="shared" si="179"/>
        <v>0.57680280494346559</v>
      </c>
      <c r="AW135" s="4504">
        <f t="shared" si="180"/>
        <v>0.57680280494346559</v>
      </c>
      <c r="AX135" s="4504">
        <f t="shared" si="181"/>
        <v>0</v>
      </c>
      <c r="AY135" s="4504">
        <f t="shared" si="182"/>
        <v>0</v>
      </c>
      <c r="AZ135" s="4504">
        <f t="shared" si="183"/>
        <v>0</v>
      </c>
      <c r="BA135" s="4504">
        <f t="shared" si="184"/>
        <v>0</v>
      </c>
      <c r="BB135" s="4504">
        <f t="shared" si="185"/>
        <v>0</v>
      </c>
      <c r="BC135" s="4504">
        <f t="shared" si="186"/>
        <v>0</v>
      </c>
      <c r="BD135" s="4504">
        <f t="shared" si="187"/>
        <v>0</v>
      </c>
      <c r="BE135" s="4504">
        <f t="shared" si="188"/>
        <v>0</v>
      </c>
      <c r="BF135" s="4504">
        <f t="shared" si="189"/>
        <v>0</v>
      </c>
      <c r="BG135" s="4504">
        <f t="shared" si="190"/>
        <v>0</v>
      </c>
      <c r="BH135" s="4504">
        <f t="shared" si="191"/>
        <v>0</v>
      </c>
      <c r="BI135" s="4504">
        <f t="shared" si="192"/>
        <v>0</v>
      </c>
      <c r="BJ135" s="4504">
        <f t="shared" si="193"/>
        <v>0</v>
      </c>
      <c r="BK135" s="4504">
        <f t="shared" si="194"/>
        <v>0</v>
      </c>
      <c r="BL135" s="4504">
        <f t="shared" si="195"/>
        <v>0</v>
      </c>
      <c r="BM135" s="4504">
        <f t="shared" si="196"/>
        <v>0</v>
      </c>
      <c r="BN135" s="4504">
        <f t="shared" si="197"/>
        <v>0</v>
      </c>
      <c r="BO135" s="4504">
        <f t="shared" si="198"/>
        <v>0</v>
      </c>
      <c r="BP135" s="4504">
        <f t="shared" si="199"/>
        <v>0</v>
      </c>
      <c r="BQ135" s="4504">
        <f t="shared" si="200"/>
        <v>0</v>
      </c>
      <c r="BR135" s="4504">
        <f t="shared" si="201"/>
        <v>0</v>
      </c>
      <c r="BS135" s="4504">
        <f t="shared" si="202"/>
        <v>6.9649085046973189E-2</v>
      </c>
      <c r="BT135" s="4504">
        <f t="shared" si="203"/>
        <v>6.9649085046973189E-2</v>
      </c>
      <c r="BU135" s="4504">
        <f t="shared" si="204"/>
        <v>6.9649085046973189E-2</v>
      </c>
      <c r="BV135" s="4504">
        <f t="shared" si="205"/>
        <v>6.9649085046973189E-2</v>
      </c>
      <c r="BW135" s="4504">
        <f t="shared" si="206"/>
        <v>6.9649085046973189E-2</v>
      </c>
      <c r="BX135" s="4504">
        <f t="shared" si="207"/>
        <v>6.9649085046973189E-2</v>
      </c>
      <c r="BY135" s="4504">
        <f t="shared" si="208"/>
        <v>6.9649085046973189E-2</v>
      </c>
    </row>
    <row r="136" spans="1:77" s="1323" customFormat="1">
      <c r="A136" s="2553">
        <v>5</v>
      </c>
      <c r="B136" s="2554">
        <v>2030501</v>
      </c>
      <c r="C136" s="2560">
        <v>0.1</v>
      </c>
      <c r="D136" s="2590" t="s">
        <v>408</v>
      </c>
      <c r="E136" s="4453">
        <f>+'11.3. ДА Базова година'!F116</f>
        <v>30.922473849495645</v>
      </c>
      <c r="F136" s="2655">
        <f>$E136-SUMIF('11.2. ДА за периода'!$B$61:$B$108,$B136,'11.2. ДА за периода'!$E$61:$E$108)+SUMIF('11.2. ДА за периода'!$B$61:$B$108,$B136,'11.2. ДА за периода'!F$61:F$108)+SUMIF('11.1.Амортиз.нови активи'!$B$61:$B$108,$B136,'11.1.Амортиз.нови активи'!F$61:F$108)+('11.1.Амортиз.нови активи'!F$110*SUMIF('11.1.Амортиз.нови активи'!$B$61:$B$108,$B136,'11.1.Амортиз.нови активи'!AO$61:AO$108))</f>
        <v>40.894840114523426</v>
      </c>
      <c r="G136" s="1136">
        <f>$E136-SUMIF('11.2. ДА за периода'!$B$61:$B$108,$B136,'11.2. ДА за периода'!$E$61:$E$108)+SUMIF('11.2. ДА за периода'!$B$61:$B$108,$B136,'11.2. ДА за периода'!G$61:G$108)+SUMIF('11.1.Амортиз.нови активи'!$B$61:$B$108,$B136,'11.1.Амортиз.нови активи'!G$61:G$108)+('11.1.Амортиз.нови активи'!G$110*SUMIF('11.1.Амортиз.нови активи'!$B$61:$B$108,$B136,'11.1.Амортиз.нови активи'!AP$61:AP$108))</f>
        <v>51.219445463148389</v>
      </c>
      <c r="H136" s="1136">
        <f>$E136-SUMIF('11.2. ДА за периода'!$B$61:$B$108,$B136,'11.2. ДА за периода'!$E$61:$E$108)+SUMIF('11.2. ДА за периода'!$B$61:$B$108,$B136,'11.2. ДА за периода'!H$61:H$108)+SUMIF('11.1.Амортиз.нови активи'!$B$61:$B$108,$B136,'11.1.Амортиз.нови активи'!H$61:H$108)+('11.1.Амортиз.нови активи'!H$110*SUMIF('11.1.Амортиз.нови активи'!$B$61:$B$108,$B136,'11.1.Амортиз.нови активи'!AQ$61:AQ$108))</f>
        <v>65.100921631194723</v>
      </c>
      <c r="I136" s="1136">
        <f>$E136-SUMIF('11.2. ДА за периода'!$B$61:$B$108,$B136,'11.2. ДА за периода'!$E$61:$E$108)+SUMIF('11.2. ДА за периода'!$B$61:$B$108,$B136,'11.2. ДА за периода'!I$61:I$108)+SUMIF('11.1.Амортиз.нови активи'!$B$61:$B$108,$B136,'11.1.Амортиз.нови активи'!I$61:I$108)+('11.1.Амортиз.нови активи'!I$110*SUMIF('11.1.Амортиз.нови активи'!$B$61:$B$108,$B136,'11.1.Амортиз.нови активи'!AR$61:AR$108))</f>
        <v>79.314931443162507</v>
      </c>
      <c r="J136" s="1136">
        <f>$E136-SUMIF('11.2. ДА за периода'!$B$61:$B$108,$B136,'11.2. ДА за периода'!$E$61:$E$108)+SUMIF('11.2. ДА за периода'!$B$61:$B$108,$B136,'11.2. ДА за периода'!J$61:J$108)+SUMIF('11.1.Амортиз.нови активи'!$B$61:$B$108,$B136,'11.1.Амортиз.нови активи'!J$61:J$108)+('11.1.Амортиз.нови активи'!J$110*SUMIF('11.1.Амортиз.нови активи'!$B$61:$B$108,$B136,'11.1.Амортиз.нови активи'!AS$61:AS$108))</f>
        <v>94.423959648184422</v>
      </c>
      <c r="K136" s="1136">
        <f>$E136-SUMIF('11.2. ДА за периода'!$B$61:$B$108,$B136,'11.2. ДА за периода'!$E$61:$E$108)+SUMIF('11.2. ДА за периода'!$B$61:$B$108,$B136,'11.2. ДА за периода'!K$61:K$108)+SUMIF('11.1.Амортиз.нови активи'!$B$61:$B$108,$B136,'11.1.Амортиз.нови активи'!K$61:K$108)+('11.1.Амортиз.нови активи'!K$110*SUMIF('11.1.Амортиз.нови активи'!$B$61:$B$108,$B136,'11.1.Амортиз.нови активи'!AT$61:AT$108))</f>
        <v>109.73816122330382</v>
      </c>
      <c r="L136" s="4453">
        <f>+'11.3. ДА Базова година'!J116</f>
        <v>0</v>
      </c>
      <c r="M136" s="2655">
        <f>$L136-SUMIF('11.2. ДА за периода'!$B$61:$B$108,$B136,'11.2. ДА за периода'!$L$61:$L$108)+SUMIF('11.2. ДА за периода'!$B$61:$B$108,$B136,'11.2. ДА за периода'!M$61:M$108)+SUMIF('11.1.Амортиз.нови активи'!$B$61:$B$108,$B136,'11.1.Амортиз.нови активи'!M$61:M$108)+('11.1.Амортиз.нови активи'!F$111*SUMIF('11.1.Амортиз.нови активи'!$B$61:$B$108,$B136,'11.1.Амортиз.нови активи'!AO$61:AO$108))</f>
        <v>9.8461538461538465E-3</v>
      </c>
      <c r="N136" s="1136">
        <f>$L136-SUMIF('11.2. ДА за периода'!$B$61:$B$108,$B136,'11.2. ДА за периода'!$L$61:$L$108)+SUMIF('11.2. ДА за периода'!$B$61:$B$108,$B136,'11.2. ДА за периода'!N$61:N$108)+SUMIF('11.1.Амортиз.нови активи'!$B$61:$B$108,$B136,'11.1.Амортиз.нови активи'!N$61:N$108)+('11.1.Амортиз.нови активи'!G$111*SUMIF('11.1.Амортиз.нови активи'!$B$61:$B$108,$B136,'11.1.Амортиз.нови активи'!AP$61:AP$108))</f>
        <v>8.3277367360644741E-2</v>
      </c>
      <c r="O136" s="1136">
        <f>$L136-SUMIF('11.2. ДА за периода'!$B$61:$B$108,$B136,'11.2. ДА за периода'!$L$61:$L$108)+SUMIF('11.2. ДА за периода'!$B$61:$B$108,$B136,'11.2. ДА за периода'!O$61:O$108)+SUMIF('11.1.Амортиз.нови активи'!$B$61:$B$108,$B136,'11.1.Амортиз.нови активи'!O$61:O$108)+('11.1.Амортиз.нови активи'!H$111*SUMIF('11.1.Амортиз.нови активи'!$B$61:$B$108,$B136,'11.1.Амортиз.нови активи'!AQ$61:AQ$108))</f>
        <v>0.2557486094386146</v>
      </c>
      <c r="P136" s="1136">
        <f>$L136-SUMIF('11.2. ДА за периода'!$B$61:$B$108,$B136,'11.2. ДА за периода'!$L$61:$L$108)+SUMIF('11.2. ДА за периода'!$B$61:$B$108,$B136,'11.2. ДА за периода'!P$61:P$108)+SUMIF('11.1.Амортиз.нови активи'!$B$61:$B$108,$B136,'11.1.Амортиз.нови активи'!P$61:P$108)+('11.1.Амортиз.нови активи'!I$111*SUMIF('11.1.Амортиз.нови активи'!$B$61:$B$108,$B136,'11.1.Амортиз.нови активи'!AR$61:AR$108))</f>
        <v>0.45579893935900395</v>
      </c>
      <c r="Q136" s="1136">
        <f>$L136-SUMIF('11.2. ДА за периода'!$B$61:$B$108,$B136,'11.2. ДА за периода'!$L$61:$L$108)+SUMIF('11.2. ДА за периода'!$B$61:$B$108,$B136,'11.2. ДА за периода'!Q$61:Q$108)+SUMIF('11.1.Амортиз.нови активи'!$B$61:$B$108,$B136,'11.1.Амортиз.нови активи'!Q$61:Q$108)+('11.1.Амортиз.нови активи'!J$111*SUMIF('11.1.Амортиз.нови активи'!$B$61:$B$108,$B136,'11.1.Амортиз.нови активи'!AS$61:AS$108))</f>
        <v>0.66247571150988693</v>
      </c>
      <c r="R136" s="2656">
        <f>$L136-SUMIF('11.2. ДА за периода'!$B$61:$B$108,$B136,'11.2. ДА за периода'!$L$61:$L$108)+SUMIF('11.2. ДА за периода'!$B$61:$B$108,$B136,'11.2. ДА за периода'!R$61:R$108)+SUMIF('11.1.Амортиз.нови активи'!$B$61:$B$108,$B136,'11.1.Амортиз.нови активи'!R$61:R$108)+('11.1.Амортиз.нови активи'!K$111*SUMIF('11.1.Амортиз.нови активи'!$B$61:$B$108,$B136,'11.1.Амортиз.нови активи'!AT$61:AT$108))</f>
        <v>0.87665355738291018</v>
      </c>
      <c r="S136" s="4453">
        <f>+'11.3. ДА Базова година'!N116</f>
        <v>0.28033999999999998</v>
      </c>
      <c r="T136" s="2655">
        <f>$S136-SUMIF('11.2. ДА за периода'!$B$61:$B$108,$B136,'11.2. ДА за периода'!$S$61:$S$108)+SUMIF('11.2. ДА за периода'!$B$61:$B$108,$B136,'11.2. ДА за периода'!T$61:T$108)+SUMIF('11.1.Амортиз.нови активи'!$B$61:$B$108,$B136,'11.1.Амортиз.нови активи'!T$61:T$108)+('11.1.Амортиз.нови активи'!F$112*SUMIF('11.1.Амортиз.нови активи'!$B$61:$B$108,$B136,'11.1.Амортиз.нови активи'!AO$61:AO$108))</f>
        <v>0.48841638461538461</v>
      </c>
      <c r="U136" s="1136">
        <f>$S136-SUMIF('11.2. ДА за периода'!$B$61:$B$108,$B136,'11.2. ДА за периода'!$S$61:$S$108)+SUMIF('11.2. ДА за периода'!$B$61:$B$108,$B136,'11.2. ДА за периода'!U$61:U$108)+SUMIF('11.1.Амортиз.нови активи'!$B$61:$B$108,$B136,'11.1.Амортиз.нови активи'!U$61:U$108)+('11.1.Амортиз.нови активи'!G$112*SUMIF('11.1.Амортиз.нови активи'!$B$61:$B$108,$B136,'11.1.Амортиз.нови активи'!AP$61:AP$108))</f>
        <v>0.64037982247593461</v>
      </c>
      <c r="V136" s="1136">
        <f>$S136-SUMIF('11.2. ДА за периода'!$B$61:$B$108,$B136,'11.2. ДА за периода'!$S$61:$S$108)+SUMIF('11.2. ДА за периода'!$B$61:$B$108,$B136,'11.2. ДА за периода'!V$61:V$108)+SUMIF('11.1.Амортиз.нови активи'!$B$61:$B$108,$B136,'11.1.Амортиз.нови активи'!V$61:V$108)+('11.1.Амортиз.нови активи'!H$112*SUMIF('11.1.Амортиз.нови активи'!$B$61:$B$108,$B136,'11.1.Амортиз.нови активи'!AQ$61:AQ$108))</f>
        <v>1.1364324123516256</v>
      </c>
      <c r="W136" s="1136">
        <f>$S136-SUMIF('11.2. ДА за периода'!$B$61:$B$108,$B136,'11.2. ДА за периода'!$S$61:$S$108)+SUMIF('11.2. ДА за периода'!$B$61:$B$108,$B136,'11.2. ДА за периода'!W$61:W$108)+SUMIF('11.1.Амортиз.нови активи'!$B$61:$B$108,$B136,'11.1.Амортиз.нови активи'!W$61:W$108)+('11.1.Амортиз.нови активи'!I$112*SUMIF('11.1.Амортиз.нови активи'!$B$61:$B$108,$B136,'11.1.Амортиз.нови активи'!AR$61:AR$108))</f>
        <v>1.7723722704634539</v>
      </c>
      <c r="X136" s="1136">
        <f>$S136-SUMIF('11.2. ДА за периода'!$B$61:$B$108,$B136,'11.2. ДА за периода'!$S$61:$S$108)+SUMIF('11.2. ДА за периода'!$B$61:$B$108,$B136,'11.2. ДА за периода'!X$61:X$108)+SUMIF('11.1.Амортиз.нови активи'!$B$61:$B$108,$B136,'11.1.Амортиз.нови активи'!X$61:X$108)+('11.1.Амортиз.нови активи'!J$112*SUMIF('11.1.Амортиз.нови активи'!$B$61:$B$108,$B136,'11.1.Амортиз.нови активи'!AS$61:AS$108))</f>
        <v>2.4566672932906619</v>
      </c>
      <c r="Y136" s="2656">
        <f>$S136-SUMIF('11.2. ДА за периода'!$B$61:$B$108,$B136,'11.2. ДА за периода'!$S$61:$S$108)+SUMIF('11.2. ДА за периода'!$B$61:$B$108,$B136,'11.2. ДА за периода'!Y$61:Y$108)+SUMIF('11.1.Амортиз.нови активи'!$B$61:$B$108,$B136,'11.1.Амортиз.нови активи'!Y$61:Y$108)+('11.1.Амортиз.нови активи'!K$112*SUMIF('11.1.Амортиз.нови активи'!$B$61:$B$108,$B136,'11.1.Амортиз.нови активи'!AT$61:AT$108))</f>
        <v>3.1782878722982417</v>
      </c>
      <c r="Z136" s="4453">
        <f>+'11.3. ДА Базова година'!R116</f>
        <v>0</v>
      </c>
      <c r="AA136" s="2655">
        <f>$Z136-SUMIF('11.2. ДА за периода'!$B$61:$B$108,$B136,'11.2. ДА за периода'!$Z$61:$Z$108)+SUMIF('11.2. ДА за периода'!$B$61:$B$108,$B136,'11.2. ДА за периода'!AA$61:AA$108)+SUMIF('11.1.Амортиз.нови активи'!$B$61:$B$108,$B136,'11.1.Амортиз.нови активи'!AA$61:AA$108)</f>
        <v>0</v>
      </c>
      <c r="AB136" s="1136">
        <f>$Z136-SUMIF('11.2. ДА за периода'!$B$61:$B$108,$B136,'11.2. ДА за периода'!$Z$61:$Z$108)+SUMIF('11.2. ДА за периода'!$B$61:$B$108,$B136,'11.2. ДА за периода'!AB$61:AB$108)+SUMIF('11.1.Амортиз.нови активи'!$B$61:$B$108,$B136,'11.1.Амортиз.нови активи'!AB$61:AB$108)</f>
        <v>0</v>
      </c>
      <c r="AC136" s="1136">
        <f>$Z136-SUMIF('11.2. ДА за периода'!$B$61:$B$108,$B136,'11.2. ДА за периода'!$Z$61:$Z$108)+SUMIF('11.2. ДА за периода'!$B$61:$B$108,$B136,'11.2. ДА за периода'!AC$61:AC$108)+SUMIF('11.1.Амортиз.нови активи'!$B$61:$B$108,$B136,'11.1.Амортиз.нови активи'!AC$61:AC$108)</f>
        <v>0</v>
      </c>
      <c r="AD136" s="1136">
        <f>$Z136-SUMIF('11.2. ДА за периода'!$B$61:$B$108,$B136,'11.2. ДА за периода'!$Z$61:$Z$108)+SUMIF('11.2. ДА за периода'!$B$61:$B$108,$B136,'11.2. ДА за периода'!AD$61:AD$108)+SUMIF('11.1.Амортиз.нови активи'!$B$61:$B$108,$B136,'11.1.Амортиз.нови активи'!AD$61:AD$108)</f>
        <v>0</v>
      </c>
      <c r="AE136" s="1136">
        <f>$Z136-SUMIF('11.2. ДА за периода'!$B$61:$B$108,$B136,'11.2. ДА за периода'!$Z$61:$Z$108)+SUMIF('11.2. ДА за периода'!$B$61:$B$108,$B136,'11.2. ДА за периода'!AE$61:AE$108)+SUMIF('11.1.Амортиз.нови активи'!$B$61:$B$108,$B136,'11.1.Амортиз.нови активи'!AE$61:AE$108)</f>
        <v>0</v>
      </c>
      <c r="AF136" s="2656">
        <f>$Z136-SUMIF('11.2. ДА за периода'!$B$61:$B$108,$B136,'11.2. ДА за периода'!$Z$61:$Z$108)+SUMIF('11.2. ДА за периода'!$B$61:$B$108,$B136,'11.2. ДА за периода'!AF$61:AF$108)+SUMIF('11.1.Амортиз.нови активи'!$B$61:$B$108,$B136,'11.1.Амортиз.нови активи'!AF$61:AF$108)</f>
        <v>0</v>
      </c>
      <c r="AG136" s="4453">
        <f>+'11.3. ДА Базова година'!V116</f>
        <v>5.2180161505043579</v>
      </c>
      <c r="AH136" s="2655">
        <f>$AG136-SUMIF('11.2. ДА за периода'!$B$61:$B$108,$B136,'11.2. ДА за периода'!$AG$61:$AG$108)+SUMIF('11.2. ДА за периода'!$B$61:$B$108,$B136,'11.2. ДА за периода'!AH$61:AH$108)+SUMIF('11.1.Амортиз.нови активи'!$B$61:$B$108,$B136,'11.1.Амортиз.нови активи'!AH$61:AH$108)</f>
        <v>5.549667847015038</v>
      </c>
      <c r="AI136" s="1136">
        <f>$AG136-SUMIF('11.2. ДА за периода'!$B$61:$B$108,$B136,'11.2. ДА за периода'!$AG$61:$AG$108)+SUMIF('11.2. ДА за периода'!$B$61:$B$108,$B136,'11.2. ДА за периода'!AI$61:AI$108)+SUMIF('11.1.Амортиз.нови активи'!$B$61:$B$108,$B136,'11.1.Амортиз.нови активи'!AI$61:AI$108)</f>
        <v>5.8996678470150377</v>
      </c>
      <c r="AJ136" s="1136">
        <f>$AG136-SUMIF('11.2. ДА за периода'!$B$61:$B$108,$B136,'11.2. ДА за периода'!$AG$61:$AG$108)+SUMIF('11.2. ДА за периода'!$B$61:$B$108,$B136,'11.2. ДА за периода'!AJ$61:AJ$108)+SUMIF('11.1.Амортиз.нови активи'!$B$61:$B$108,$B136,'11.1.Амортиз.нови активи'!AJ$61:AJ$108)</f>
        <v>6.5996678470150378</v>
      </c>
      <c r="AK136" s="1136">
        <f>$AG136-SUMIF('11.2. ДА за периода'!$B$61:$B$108,$B136,'11.2. ДА за периода'!$AG$61:$AG$108)+SUMIF('11.2. ДА за периода'!$B$61:$B$108,$B136,'11.2. ДА за периода'!AK$61:AK$108)+SUMIF('11.1.Амортиз.нови активи'!$B$61:$B$108,$B136,'11.1.Амортиз.нови активи'!AK$61:AK$108)</f>
        <v>7.299667847015038</v>
      </c>
      <c r="AL136" s="1136">
        <f>$AG136-SUMIF('11.2. ДА за периода'!$B$61:$B$108,$B136,'11.2. ДА за периода'!$AG$61:$AG$108)+SUMIF('11.2. ДА за периода'!$B$61:$B$108,$B136,'11.2. ДА за периода'!AL$61:AL$108)+SUMIF('11.1.Амортиз.нови активи'!$B$61:$B$108,$B136,'11.1.Амортиз.нови активи'!AL$61:AL$108)</f>
        <v>7.9996678470150382</v>
      </c>
      <c r="AM136" s="2656">
        <f>$AG136-SUMIF('11.2. ДА за периода'!$B$61:$B$108,$B136,'11.2. ДА за периода'!$AG$61:$AG$108)+SUMIF('11.2. ДА за периода'!$B$61:$B$108,$B136,'11.2. ДА за периода'!AM$61:AM$108)+SUMIF('11.1.Амортиз.нови активи'!$B$61:$B$108,$B136,'11.1.Амортиз.нови активи'!AM$61:AM$108)</f>
        <v>8.6996678470150393</v>
      </c>
      <c r="AN136" s="2562"/>
      <c r="AO136" s="2589"/>
      <c r="AP136" s="4488"/>
      <c r="AQ136" s="4504">
        <f t="shared" si="174"/>
        <v>15.810409825749501</v>
      </c>
      <c r="AR136" s="4504">
        <f t="shared" si="175"/>
        <v>20.909199733373264</v>
      </c>
      <c r="AS136" s="4504">
        <f t="shared" si="176"/>
        <v>26.18808662468026</v>
      </c>
      <c r="AT136" s="4504">
        <f t="shared" si="177"/>
        <v>33.285572688421141</v>
      </c>
      <c r="AU136" s="4504">
        <f t="shared" si="178"/>
        <v>40.553080504523656</v>
      </c>
      <c r="AV136" s="4504">
        <f t="shared" si="179"/>
        <v>48.278203958516038</v>
      </c>
      <c r="AW136" s="4504">
        <f t="shared" si="180"/>
        <v>56.108230890876925</v>
      </c>
      <c r="AX136" s="4504">
        <f t="shared" si="181"/>
        <v>0</v>
      </c>
      <c r="AY136" s="4504">
        <f t="shared" si="182"/>
        <v>5.0342585225473819E-3</v>
      </c>
      <c r="AZ136" s="4504">
        <f t="shared" si="183"/>
        <v>4.2579041818892611E-2</v>
      </c>
      <c r="BA136" s="4504">
        <f t="shared" si="184"/>
        <v>0.13076218763318623</v>
      </c>
      <c r="BB136" s="4504">
        <f t="shared" si="185"/>
        <v>0.23304629715210626</v>
      </c>
      <c r="BC136" s="4504">
        <f t="shared" si="186"/>
        <v>0.33871845278469342</v>
      </c>
      <c r="BD136" s="4504">
        <f t="shared" si="187"/>
        <v>0.44822584651166525</v>
      </c>
      <c r="BE136" s="4504">
        <f t="shared" si="188"/>
        <v>0.14333556597454788</v>
      </c>
      <c r="BF136" s="4504">
        <f t="shared" si="189"/>
        <v>0.2497233320970558</v>
      </c>
      <c r="BG136" s="4504">
        <f t="shared" si="190"/>
        <v>0.32742100411382102</v>
      </c>
      <c r="BH136" s="4504">
        <f t="shared" si="191"/>
        <v>0.58104866596361937</v>
      </c>
      <c r="BI136" s="4504">
        <f t="shared" si="192"/>
        <v>0.90619955234527227</v>
      </c>
      <c r="BJ136" s="4504">
        <f t="shared" si="193"/>
        <v>1.2560740418598049</v>
      </c>
      <c r="BK136" s="4504">
        <f t="shared" si="194"/>
        <v>1.6250327852104947</v>
      </c>
      <c r="BL136" s="4504">
        <f t="shared" si="195"/>
        <v>0</v>
      </c>
      <c r="BM136" s="4504">
        <f t="shared" si="196"/>
        <v>0</v>
      </c>
      <c r="BN136" s="4504">
        <f t="shared" si="197"/>
        <v>0</v>
      </c>
      <c r="BO136" s="4504">
        <f t="shared" si="198"/>
        <v>0</v>
      </c>
      <c r="BP136" s="4504">
        <f t="shared" si="199"/>
        <v>0</v>
      </c>
      <c r="BQ136" s="4504">
        <f t="shared" si="200"/>
        <v>0</v>
      </c>
      <c r="BR136" s="4504">
        <f t="shared" si="201"/>
        <v>0</v>
      </c>
      <c r="BS136" s="4504">
        <f t="shared" si="202"/>
        <v>2.6679292937036236</v>
      </c>
      <c r="BT136" s="4504">
        <f t="shared" si="203"/>
        <v>2.8375001135144866</v>
      </c>
      <c r="BU136" s="4504">
        <f t="shared" si="204"/>
        <v>3.0164522719331628</v>
      </c>
      <c r="BV136" s="4504">
        <f t="shared" si="205"/>
        <v>3.374356588770516</v>
      </c>
      <c r="BW136" s="4504">
        <f t="shared" si="206"/>
        <v>3.7322609056078688</v>
      </c>
      <c r="BX136" s="4504">
        <f t="shared" si="207"/>
        <v>4.0901652224452221</v>
      </c>
      <c r="BY136" s="4504">
        <f t="shared" si="208"/>
        <v>4.4480695392825753</v>
      </c>
    </row>
    <row r="137" spans="1:77" s="1323" customFormat="1" ht="24">
      <c r="A137" s="2553">
        <v>6</v>
      </c>
      <c r="B137" s="2554">
        <v>2030502</v>
      </c>
      <c r="C137" s="2560">
        <v>0.1</v>
      </c>
      <c r="D137" s="2590" t="s">
        <v>695</v>
      </c>
      <c r="E137" s="4453">
        <f>+'11.3. ДА Базова година'!F117</f>
        <v>10.625459228202217</v>
      </c>
      <c r="F137" s="2655">
        <f>$E137-SUMIF('11.2. ДА за периода'!$B$61:$B$108,$B137,'11.2. ДА за периода'!$E$61:$E$108)+SUMIF('11.2. ДА за периода'!$B$61:$B$108,$B137,'11.2. ДА за периода'!F$61:F$108)+SUMIF('11.1.Амортиз.нови активи'!$B$61:$B$108,$B137,'11.1.Амортиз.нови активи'!F$61:F$108)+('11.1.Амортиз.нови активи'!F$110*SUMIF('11.1.Амортиз.нови активи'!$B$61:$B$108,$B137,'11.1.Амортиз.нови активи'!AO$61:AO$108))</f>
        <v>13.315591569240844</v>
      </c>
      <c r="G137" s="1136">
        <f>$E137-SUMIF('11.2. ДА за периода'!$B$61:$B$108,$B137,'11.2. ДА за периода'!$E$61:$E$108)+SUMIF('11.2. ДА за периода'!$B$61:$B$108,$B137,'11.2. ДА за периода'!G$61:G$108)+SUMIF('11.1.Амортиз.нови активи'!$B$61:$B$108,$B137,'11.1.Амортиз.нови активи'!G$61:G$108)+('11.1.Амортиз.нови активи'!G$110*SUMIF('11.1.Амортиз.нови активи'!$B$61:$B$108,$B137,'11.1.Амортиз.нови активи'!AP$61:AP$108))</f>
        <v>15.465591569240845</v>
      </c>
      <c r="H137" s="1136">
        <f>$E137-SUMIF('11.2. ДА за периода'!$B$61:$B$108,$B137,'11.2. ДА за периода'!$E$61:$E$108)+SUMIF('11.2. ДА за периода'!$B$61:$B$108,$B137,'11.2. ДА за периода'!H$61:H$108)+SUMIF('11.1.Амортиз.нови активи'!$B$61:$B$108,$B137,'11.1.Амортиз.нови активи'!H$61:H$108)+('11.1.Амортиз.нови активи'!H$110*SUMIF('11.1.Амортиз.нови активи'!$B$61:$B$108,$B137,'11.1.Амортиз.нови активи'!AQ$61:AQ$108))</f>
        <v>16.765591569240843</v>
      </c>
      <c r="I137" s="1136">
        <f>$E137-SUMIF('11.2. ДА за периода'!$B$61:$B$108,$B137,'11.2. ДА за периода'!$E$61:$E$108)+SUMIF('11.2. ДА за периода'!$B$61:$B$108,$B137,'11.2. ДА за периода'!I$61:I$108)+SUMIF('11.1.Амортиз.нови активи'!$B$61:$B$108,$B137,'11.1.Амортиз.нови активи'!I$61:I$108)+('11.1.Амортиз.нови активи'!I$110*SUMIF('11.1.Амортиз.нови активи'!$B$61:$B$108,$B137,'11.1.Амортиз.нови активи'!AR$61:AR$108))</f>
        <v>18.415591569240846</v>
      </c>
      <c r="J137" s="1136">
        <f>$E137-SUMIF('11.2. ДА за периода'!$B$61:$B$108,$B137,'11.2. ДА за периода'!$E$61:$E$108)+SUMIF('11.2. ДА за периода'!$B$61:$B$108,$B137,'11.2. ДА за периода'!J$61:J$108)+SUMIF('11.1.Амортиз.нови активи'!$B$61:$B$108,$B137,'11.1.Амортиз.нови активи'!J$61:J$108)+('11.1.Амортиз.нови активи'!J$110*SUMIF('11.1.Амортиз.нови активи'!$B$61:$B$108,$B137,'11.1.Амортиз.нови активи'!AS$61:AS$108))</f>
        <v>20.565591569240844</v>
      </c>
      <c r="K137" s="1136">
        <f>$E137-SUMIF('11.2. ДА за периода'!$B$61:$B$108,$B137,'11.2. ДА за периода'!$E$61:$E$108)+SUMIF('11.2. ДА за периода'!$B$61:$B$108,$B137,'11.2. ДА за периода'!K$61:K$108)+SUMIF('11.1.Амортиз.нови активи'!$B$61:$B$108,$B137,'11.1.Амортиз.нови активи'!K$61:K$108)+('11.1.Амортиз.нови активи'!K$110*SUMIF('11.1.Амортиз.нови активи'!$B$61:$B$108,$B137,'11.1.Амортиз.нови активи'!AT$61:AT$108))</f>
        <v>22.215591569240843</v>
      </c>
      <c r="L137" s="4453">
        <f>+'11.3. ДА Базова година'!J117</f>
        <v>0</v>
      </c>
      <c r="M137" s="2655">
        <f>$L137-SUMIF('11.2. ДА за периода'!$B$61:$B$108,$B137,'11.2. ДА за периода'!$L$61:$L$108)+SUMIF('11.2. ДА за периода'!$B$61:$B$108,$B137,'11.2. ДА за периода'!M$61:M$108)+SUMIF('11.1.Амортиз.нови активи'!$B$61:$B$108,$B137,'11.1.Амортиз.нови активи'!M$61:M$108)+('11.1.Амортиз.нови активи'!F$111*SUMIF('11.1.Амортиз.нови активи'!$B$61:$B$108,$B137,'11.1.Амортиз.нови активи'!AO$61:AO$108))</f>
        <v>0</v>
      </c>
      <c r="N137" s="1136">
        <f>$L137-SUMIF('11.2. ДА за периода'!$B$61:$B$108,$B137,'11.2. ДА за периода'!$L$61:$L$108)+SUMIF('11.2. ДА за периода'!$B$61:$B$108,$B137,'11.2. ДА за периода'!N$61:N$108)+SUMIF('11.1.Амортиз.нови активи'!$B$61:$B$108,$B137,'11.1.Амортиз.нови активи'!N$61:N$108)+('11.1.Амортиз.нови активи'!G$111*SUMIF('11.1.Амортиз.нови активи'!$B$61:$B$108,$B137,'11.1.Амортиз.нови активи'!AP$61:AP$108))</f>
        <v>0</v>
      </c>
      <c r="O137" s="1136">
        <f>$L137-SUMIF('11.2. ДА за периода'!$B$61:$B$108,$B137,'11.2. ДА за периода'!$L$61:$L$108)+SUMIF('11.2. ДА за периода'!$B$61:$B$108,$B137,'11.2. ДА за периода'!O$61:O$108)+SUMIF('11.1.Амортиз.нови активи'!$B$61:$B$108,$B137,'11.1.Амортиз.нови активи'!O$61:O$108)+('11.1.Амортиз.нови активи'!H$111*SUMIF('11.1.Амортиз.нови активи'!$B$61:$B$108,$B137,'11.1.Амортиз.нови активи'!AQ$61:AQ$108))</f>
        <v>0</v>
      </c>
      <c r="P137" s="1136">
        <f>$L137-SUMIF('11.2. ДА за периода'!$B$61:$B$108,$B137,'11.2. ДА за периода'!$L$61:$L$108)+SUMIF('11.2. ДА за периода'!$B$61:$B$108,$B137,'11.2. ДА за периода'!P$61:P$108)+SUMIF('11.1.Амортиз.нови активи'!$B$61:$B$108,$B137,'11.1.Амортиз.нови активи'!P$61:P$108)+('11.1.Амортиз.нови активи'!I$111*SUMIF('11.1.Амортиз.нови активи'!$B$61:$B$108,$B137,'11.1.Амортиз.нови активи'!AR$61:AR$108))</f>
        <v>0</v>
      </c>
      <c r="Q137" s="1136">
        <f>$L137-SUMIF('11.2. ДА за периода'!$B$61:$B$108,$B137,'11.2. ДА за периода'!$L$61:$L$108)+SUMIF('11.2. ДА за периода'!$B$61:$B$108,$B137,'11.2. ДА за периода'!Q$61:Q$108)+SUMIF('11.1.Амортиз.нови активи'!$B$61:$B$108,$B137,'11.1.Амортиз.нови активи'!Q$61:Q$108)+('11.1.Амортиз.нови активи'!J$111*SUMIF('11.1.Амортиз.нови активи'!$B$61:$B$108,$B137,'11.1.Амортиз.нови активи'!AS$61:AS$108))</f>
        <v>0</v>
      </c>
      <c r="R137" s="2656">
        <f>$L137-SUMIF('11.2. ДА за периода'!$B$61:$B$108,$B137,'11.2. ДА за периода'!$L$61:$L$108)+SUMIF('11.2. ДА за периода'!$B$61:$B$108,$B137,'11.2. ДА за периода'!R$61:R$108)+SUMIF('11.1.Амортиз.нови активи'!$B$61:$B$108,$B137,'11.1.Амортиз.нови активи'!R$61:R$108)+('11.1.Амортиз.нови активи'!K$111*SUMIF('11.1.Амортиз.нови активи'!$B$61:$B$108,$B137,'11.1.Амортиз.нови активи'!AT$61:AT$108))</f>
        <v>0</v>
      </c>
      <c r="S137" s="4453">
        <f>+'11.3. ДА Базова година'!N117</f>
        <v>19.182329999999993</v>
      </c>
      <c r="T137" s="2655">
        <f>$S137-SUMIF('11.2. ДА за периода'!$B$61:$B$108,$B137,'11.2. ДА за периода'!$S$61:$S$108)+SUMIF('11.2. ДА за периода'!$B$61:$B$108,$B137,'11.2. ДА за периода'!T$61:T$108)+SUMIF('11.1.Амортиз.нови активи'!$B$61:$B$108,$B137,'11.1.Амортиз.нови активи'!T$61:T$108)+('11.1.Амортиз.нови активи'!F$112*SUMIF('11.1.Амортиз.нови активи'!$B$61:$B$108,$B137,'11.1.Амортиз.нови активи'!AO$61:AO$108))</f>
        <v>20.608118499999993</v>
      </c>
      <c r="U137" s="1136">
        <f>$S137-SUMIF('11.2. ДА за периода'!$B$61:$B$108,$B137,'11.2. ДА за периода'!$S$61:$S$108)+SUMIF('11.2. ДА за периода'!$B$61:$B$108,$B137,'11.2. ДА за периода'!U$61:U$108)+SUMIF('11.1.Амортиз.нови активи'!$B$61:$B$108,$B137,'11.1.Амортиз.нови активи'!U$61:U$108)+('11.1.Амортиз.нови активи'!G$112*SUMIF('11.1.Амортиз.нови активи'!$B$61:$B$108,$B137,'11.1.Амортиз.нови активи'!AP$61:AP$108))</f>
        <v>20.608118499999993</v>
      </c>
      <c r="V137" s="1136">
        <f>$S137-SUMIF('11.2. ДА за периода'!$B$61:$B$108,$B137,'11.2. ДА за периода'!$S$61:$S$108)+SUMIF('11.2. ДА за периода'!$B$61:$B$108,$B137,'11.2. ДА за периода'!V$61:V$108)+SUMIF('11.1.Амортиз.нови активи'!$B$61:$B$108,$B137,'11.1.Амортиз.нови активи'!V$61:V$108)+('11.1.Амортиз.нови активи'!H$112*SUMIF('11.1.Амортиз.нови активи'!$B$61:$B$108,$B137,'11.1.Амортиз.нови активи'!AQ$61:AQ$108))</f>
        <v>20.608118499999993</v>
      </c>
      <c r="W137" s="1136">
        <f>$S137-SUMIF('11.2. ДА за периода'!$B$61:$B$108,$B137,'11.2. ДА за периода'!$S$61:$S$108)+SUMIF('11.2. ДА за периода'!$B$61:$B$108,$B137,'11.2. ДА за периода'!W$61:W$108)+SUMIF('11.1.Амортиз.нови активи'!$B$61:$B$108,$B137,'11.1.Амортиз.нови активи'!W$61:W$108)+('11.1.Амортиз.нови активи'!I$112*SUMIF('11.1.Амортиз.нови активи'!$B$61:$B$108,$B137,'11.1.Амортиз.нови активи'!AR$61:AR$108))</f>
        <v>20.608118499999993</v>
      </c>
      <c r="X137" s="1136">
        <f>$S137-SUMIF('11.2. ДА за периода'!$B$61:$B$108,$B137,'11.2. ДА за периода'!$S$61:$S$108)+SUMIF('11.2. ДА за периода'!$B$61:$B$108,$B137,'11.2. ДА за периода'!X$61:X$108)+SUMIF('11.1.Амортиз.нови активи'!$B$61:$B$108,$B137,'11.1.Амортиз.нови активи'!X$61:X$108)+('11.1.Амортиз.нови активи'!J$112*SUMIF('11.1.Амортиз.нови активи'!$B$61:$B$108,$B137,'11.1.Амортиз.нови активи'!AS$61:AS$108))</f>
        <v>20.608118499999993</v>
      </c>
      <c r="Y137" s="2656">
        <f>$S137-SUMIF('11.2. ДА за периода'!$B$61:$B$108,$B137,'11.2. ДА за периода'!$S$61:$S$108)+SUMIF('11.2. ДА за периода'!$B$61:$B$108,$B137,'11.2. ДА за периода'!Y$61:Y$108)+SUMIF('11.1.Амортиз.нови активи'!$B$61:$B$108,$B137,'11.1.Амортиз.нови активи'!Y$61:Y$108)+('11.1.Амортиз.нови активи'!K$112*SUMIF('11.1.Амортиз.нови активи'!$B$61:$B$108,$B137,'11.1.Амортиз.нови активи'!AT$61:AT$108))</f>
        <v>20.608118499999993</v>
      </c>
      <c r="Z137" s="4453">
        <f>+'11.3. ДА Базова година'!R117</f>
        <v>0</v>
      </c>
      <c r="AA137" s="2655">
        <f>$Z137-SUMIF('11.2. ДА за периода'!$B$61:$B$108,$B137,'11.2. ДА за периода'!$Z$61:$Z$108)+SUMIF('11.2. ДА за периода'!$B$61:$B$108,$B137,'11.2. ДА за периода'!AA$61:AA$108)+SUMIF('11.1.Амортиз.нови активи'!$B$61:$B$108,$B137,'11.1.Амортиз.нови активи'!AA$61:AA$108)</f>
        <v>0</v>
      </c>
      <c r="AB137" s="1136">
        <f>$Z137-SUMIF('11.2. ДА за периода'!$B$61:$B$108,$B137,'11.2. ДА за периода'!$Z$61:$Z$108)+SUMIF('11.2. ДА за периода'!$B$61:$B$108,$B137,'11.2. ДА за периода'!AB$61:AB$108)+SUMIF('11.1.Амортиз.нови активи'!$B$61:$B$108,$B137,'11.1.Амортиз.нови активи'!AB$61:AB$108)</f>
        <v>0</v>
      </c>
      <c r="AC137" s="1136">
        <f>$Z137-SUMIF('11.2. ДА за периода'!$B$61:$B$108,$B137,'11.2. ДА за периода'!$Z$61:$Z$108)+SUMIF('11.2. ДА за периода'!$B$61:$B$108,$B137,'11.2. ДА за периода'!AC$61:AC$108)+SUMIF('11.1.Амортиз.нови активи'!$B$61:$B$108,$B137,'11.1.Амортиз.нови активи'!AC$61:AC$108)</f>
        <v>0</v>
      </c>
      <c r="AD137" s="1136">
        <f>$Z137-SUMIF('11.2. ДА за периода'!$B$61:$B$108,$B137,'11.2. ДА за периода'!$Z$61:$Z$108)+SUMIF('11.2. ДА за периода'!$B$61:$B$108,$B137,'11.2. ДА за периода'!AD$61:AD$108)+SUMIF('11.1.Амортиз.нови активи'!$B$61:$B$108,$B137,'11.1.Амортиз.нови активи'!AD$61:AD$108)</f>
        <v>0</v>
      </c>
      <c r="AE137" s="1136">
        <f>$Z137-SUMIF('11.2. ДА за периода'!$B$61:$B$108,$B137,'11.2. ДА за периода'!$Z$61:$Z$108)+SUMIF('11.2. ДА за периода'!$B$61:$B$108,$B137,'11.2. ДА за периода'!AE$61:AE$108)+SUMIF('11.1.Амортиз.нови активи'!$B$61:$B$108,$B137,'11.1.Амортиз.нови активи'!AE$61:AE$108)</f>
        <v>0</v>
      </c>
      <c r="AF137" s="2656">
        <f>$Z137-SUMIF('11.2. ДА за периода'!$B$61:$B$108,$B137,'11.2. ДА за периода'!$Z$61:$Z$108)+SUMIF('11.2. ДА за периода'!$B$61:$B$108,$B137,'11.2. ДА за периода'!AF$61:AF$108)+SUMIF('11.1.Амортиз.нови активи'!$B$61:$B$108,$B137,'11.1.Амортиз.нови активи'!AF$61:AF$108)</f>
        <v>0</v>
      </c>
      <c r="AG137" s="4453">
        <f>+'11.3. ДА Базова година'!V117</f>
        <v>1.2342707717977819</v>
      </c>
      <c r="AH137" s="2655">
        <f>$AG137-SUMIF('11.2. ДА за периода'!$B$61:$B$108,$B137,'11.2. ДА за периода'!$AG$61:$AG$108)+SUMIF('11.2. ДА за периода'!$B$61:$B$108,$B137,'11.2. ДА за периода'!AH$61:AH$108)+SUMIF('11.1.Амортиз.нови активи'!$B$61:$B$108,$B137,'11.1.Амортиз.нови активи'!AH$61:AH$108)</f>
        <v>1.6034159307591551</v>
      </c>
      <c r="AI137" s="1136">
        <f>$AG137-SUMIF('11.2. ДА за периода'!$B$61:$B$108,$B137,'11.2. ДА за периода'!$AG$61:$AG$108)+SUMIF('11.2. ДА за периода'!$B$61:$B$108,$B137,'11.2. ДА за периода'!AI$61:AI$108)+SUMIF('11.1.Амортиз.нови активи'!$B$61:$B$108,$B137,'11.1.Амортиз.нови активи'!AI$61:AI$108)</f>
        <v>1.8534159307591551</v>
      </c>
      <c r="AJ137" s="1136">
        <f>$AG137-SUMIF('11.2. ДА за периода'!$B$61:$B$108,$B137,'11.2. ДА за периода'!$AG$61:$AG$108)+SUMIF('11.2. ДА за периода'!$B$61:$B$108,$B137,'11.2. ДА за периода'!AJ$61:AJ$108)+SUMIF('11.1.Амортиз.нови активи'!$B$61:$B$108,$B137,'11.1.Амортиз.нови активи'!AJ$61:AJ$108)</f>
        <v>2.1534159307591549</v>
      </c>
      <c r="AK137" s="1136">
        <f>$AG137-SUMIF('11.2. ДА за периода'!$B$61:$B$108,$B137,'11.2. ДА за периода'!$AG$61:$AG$108)+SUMIF('11.2. ДА за периода'!$B$61:$B$108,$B137,'11.2. ДА за периода'!AK$61:AK$108)+SUMIF('11.1.Амортиз.нови активи'!$B$61:$B$108,$B137,'11.1.Амортиз.нови активи'!AK$61:AK$108)</f>
        <v>2.4534159307591552</v>
      </c>
      <c r="AL137" s="1136">
        <f>$AG137-SUMIF('11.2. ДА за периода'!$B$61:$B$108,$B137,'11.2. ДА за периода'!$AG$61:$AG$108)+SUMIF('11.2. ДА за периода'!$B$61:$B$108,$B137,'11.2. ДА за периода'!AL$61:AL$108)+SUMIF('11.1.Амортиз.нови активи'!$B$61:$B$108,$B137,'11.1.Амортиз.нови активи'!AL$61:AL$108)</f>
        <v>2.753415930759155</v>
      </c>
      <c r="AM137" s="2656">
        <f>$AG137-SUMIF('11.2. ДА за периода'!$B$61:$B$108,$B137,'11.2. ДА за периода'!$AG$61:$AG$108)+SUMIF('11.2. ДА за периода'!$B$61:$B$108,$B137,'11.2. ДА за периода'!AM$61:AM$108)+SUMIF('11.1.Амортиз.нови активи'!$B$61:$B$108,$B137,'11.1.Амортиз.нови активи'!AM$61:AM$108)</f>
        <v>3.0534159307591553</v>
      </c>
      <c r="AN137" s="2551"/>
      <c r="AO137" s="2589"/>
      <c r="AP137" s="4488"/>
      <c r="AQ137" s="4504">
        <f t="shared" si="174"/>
        <v>5.4327110373612317</v>
      </c>
      <c r="AR137" s="4504">
        <f t="shared" si="175"/>
        <v>6.8081538626776581</v>
      </c>
      <c r="AS137" s="4504">
        <f t="shared" si="176"/>
        <v>7.9074314072495282</v>
      </c>
      <c r="AT137" s="4504">
        <f t="shared" si="177"/>
        <v>8.5721108528046113</v>
      </c>
      <c r="AU137" s="4504">
        <f t="shared" si="178"/>
        <v>9.4157424567783732</v>
      </c>
      <c r="AV137" s="4504">
        <f t="shared" si="179"/>
        <v>10.515020001350242</v>
      </c>
      <c r="AW137" s="4504">
        <f t="shared" si="180"/>
        <v>11.358651605324003</v>
      </c>
      <c r="AX137" s="4504">
        <f t="shared" si="181"/>
        <v>0</v>
      </c>
      <c r="AY137" s="4504">
        <f t="shared" si="182"/>
        <v>0</v>
      </c>
      <c r="AZ137" s="4504">
        <f t="shared" si="183"/>
        <v>0</v>
      </c>
      <c r="BA137" s="4504">
        <f t="shared" si="184"/>
        <v>0</v>
      </c>
      <c r="BB137" s="4504">
        <f t="shared" si="185"/>
        <v>0</v>
      </c>
      <c r="BC137" s="4504">
        <f t="shared" si="186"/>
        <v>0</v>
      </c>
      <c r="BD137" s="4504">
        <f t="shared" si="187"/>
        <v>0</v>
      </c>
      <c r="BE137" s="4504">
        <f t="shared" si="188"/>
        <v>9.8077695914266538</v>
      </c>
      <c r="BF137" s="4504">
        <f t="shared" si="189"/>
        <v>10.536763675779589</v>
      </c>
      <c r="BG137" s="4504">
        <f t="shared" si="190"/>
        <v>10.536763675779589</v>
      </c>
      <c r="BH137" s="4504">
        <f t="shared" si="191"/>
        <v>10.536763675779589</v>
      </c>
      <c r="BI137" s="4504">
        <f t="shared" si="192"/>
        <v>10.536763675779589</v>
      </c>
      <c r="BJ137" s="4504">
        <f t="shared" si="193"/>
        <v>10.536763675779589</v>
      </c>
      <c r="BK137" s="4504">
        <f t="shared" si="194"/>
        <v>10.536763675779589</v>
      </c>
      <c r="BL137" s="4504">
        <f t="shared" si="195"/>
        <v>0</v>
      </c>
      <c r="BM137" s="4504">
        <f t="shared" si="196"/>
        <v>0</v>
      </c>
      <c r="BN137" s="4504">
        <f t="shared" si="197"/>
        <v>0</v>
      </c>
      <c r="BO137" s="4504">
        <f t="shared" si="198"/>
        <v>0</v>
      </c>
      <c r="BP137" s="4504">
        <f t="shared" si="199"/>
        <v>0</v>
      </c>
      <c r="BQ137" s="4504">
        <f t="shared" si="200"/>
        <v>0</v>
      </c>
      <c r="BR137" s="4504">
        <f t="shared" si="201"/>
        <v>0</v>
      </c>
      <c r="BS137" s="4504">
        <f t="shared" si="202"/>
        <v>0.63107262481799642</v>
      </c>
      <c r="BT137" s="4504">
        <f t="shared" si="203"/>
        <v>0.81981354757783409</v>
      </c>
      <c r="BU137" s="4504">
        <f t="shared" si="204"/>
        <v>0.94763651787688863</v>
      </c>
      <c r="BV137" s="4504">
        <f t="shared" si="205"/>
        <v>1.1010240822357542</v>
      </c>
      <c r="BW137" s="4504">
        <f t="shared" si="206"/>
        <v>1.2544116465946198</v>
      </c>
      <c r="BX137" s="4504">
        <f t="shared" si="207"/>
        <v>1.4077992109534854</v>
      </c>
      <c r="BY137" s="4504">
        <f t="shared" si="208"/>
        <v>1.5611867753123509</v>
      </c>
    </row>
    <row r="138" spans="1:77" s="1323" customFormat="1">
      <c r="A138" s="2553">
        <v>7</v>
      </c>
      <c r="B138" s="2554">
        <v>2030503</v>
      </c>
      <c r="C138" s="2560">
        <v>0.1</v>
      </c>
      <c r="D138" s="2590" t="s">
        <v>713</v>
      </c>
      <c r="E138" s="4453">
        <f>+'11.3. ДА Базова година'!F118</f>
        <v>3.425603817159717</v>
      </c>
      <c r="F138" s="2655">
        <f>$E138-SUMIF('11.2. ДА за периода'!$B$61:$B$108,$B138,'11.2. ДА за периода'!$E$61:$E$108)+SUMIF('11.2. ДА за периода'!$B$61:$B$108,$B138,'11.2. ДА за периода'!F$61:F$108)+SUMIF('11.1.Амортиз.нови активи'!$B$61:$B$108,$B138,'11.1.Амортиз.нови активи'!F$61:F$108)+('11.1.Амортиз.нови активи'!F$110*SUMIF('11.1.Амортиз.нови активи'!$B$61:$B$108,$B138,'11.1.Амортиз.нови активи'!AO$61:AO$108))</f>
        <v>3.425603817159717</v>
      </c>
      <c r="G138" s="1136">
        <f>$E138-SUMIF('11.2. ДА за периода'!$B$61:$B$108,$B138,'11.2. ДА за периода'!$E$61:$E$108)+SUMIF('11.2. ДА за периода'!$B$61:$B$108,$B138,'11.2. ДА за периода'!G$61:G$108)+SUMIF('11.1.Амортиз.нови активи'!$B$61:$B$108,$B138,'11.1.Амортиз.нови активи'!G$61:G$108)+('11.1.Амортиз.нови активи'!G$110*SUMIF('11.1.Амортиз.нови активи'!$B$61:$B$108,$B138,'11.1.Амортиз.нови активи'!AP$61:AP$108))</f>
        <v>3.7256038171597172</v>
      </c>
      <c r="H138" s="1136">
        <f>$E138-SUMIF('11.2. ДА за периода'!$B$61:$B$108,$B138,'11.2. ДА за периода'!$E$61:$E$108)+SUMIF('11.2. ДА за периода'!$B$61:$B$108,$B138,'11.2. ДА за периода'!H$61:H$108)+SUMIF('11.1.Амортиз.нови активи'!$B$61:$B$108,$B138,'11.1.Амортиз.нови активи'!H$61:H$108)+('11.1.Амортиз.нови активи'!H$110*SUMIF('11.1.Амортиз.нови активи'!$B$61:$B$108,$B138,'11.1.Амортиз.нови активи'!AQ$61:AQ$108))</f>
        <v>4.3256038171597169</v>
      </c>
      <c r="I138" s="1136">
        <f>$E138-SUMIF('11.2. ДА за периода'!$B$61:$B$108,$B138,'11.2. ДА за периода'!$E$61:$E$108)+SUMIF('11.2. ДА за периода'!$B$61:$B$108,$B138,'11.2. ДА за периода'!I$61:I$108)+SUMIF('11.1.Амортиз.нови активи'!$B$61:$B$108,$B138,'11.1.Амортиз.нови активи'!I$61:I$108)+('11.1.Амортиз.нови активи'!I$110*SUMIF('11.1.Амортиз.нови активи'!$B$61:$B$108,$B138,'11.1.Амортиз.нови активи'!AR$61:AR$108))</f>
        <v>4.9256038171597174</v>
      </c>
      <c r="J138" s="1136">
        <f>$E138-SUMIF('11.2. ДА за периода'!$B$61:$B$108,$B138,'11.2. ДА за периода'!$E$61:$E$108)+SUMIF('11.2. ДА за периода'!$B$61:$B$108,$B138,'11.2. ДА за периода'!J$61:J$108)+SUMIF('11.1.Амортиз.нови активи'!$B$61:$B$108,$B138,'11.1.Амортиз.нови активи'!J$61:J$108)+('11.1.Амортиз.нови активи'!J$110*SUMIF('11.1.Амортиз.нови активи'!$B$61:$B$108,$B138,'11.1.Амортиз.нови активи'!AS$61:AS$108))</f>
        <v>5.5256038171597179</v>
      </c>
      <c r="K138" s="1136">
        <f>$E138-SUMIF('11.2. ДА за периода'!$B$61:$B$108,$B138,'11.2. ДА за периода'!$E$61:$E$108)+SUMIF('11.2. ДА за периода'!$B$61:$B$108,$B138,'11.2. ДА за периода'!K$61:K$108)+SUMIF('11.1.Амортиз.нови активи'!$B$61:$B$108,$B138,'11.1.Амортиз.нови активи'!K$61:K$108)+('11.1.Амортиз.нови активи'!K$110*SUMIF('11.1.Амортиз.нови активи'!$B$61:$B$108,$B138,'11.1.Амортиз.нови активи'!AT$61:AT$108))</f>
        <v>6.1256038171597176</v>
      </c>
      <c r="L138" s="4453">
        <f>+'11.3. ДА Базова година'!J118</f>
        <v>0</v>
      </c>
      <c r="M138" s="2655">
        <f>$L138-SUMIF('11.2. ДА за периода'!$B$61:$B$108,$B138,'11.2. ДА за периода'!$L$61:$L$108)+SUMIF('11.2. ДА за периода'!$B$61:$B$108,$B138,'11.2. ДА за периода'!M$61:M$108)+SUMIF('11.1.Амортиз.нови активи'!$B$61:$B$108,$B138,'11.1.Амортиз.нови активи'!M$61:M$108)+('11.1.Амортиз.нови активи'!F$111*SUMIF('11.1.Амортиз.нови активи'!$B$61:$B$108,$B138,'11.1.Амортиз.нови активи'!AO$61:AO$108))</f>
        <v>0</v>
      </c>
      <c r="N138" s="1136">
        <f>$L138-SUMIF('11.2. ДА за периода'!$B$61:$B$108,$B138,'11.2. ДА за периода'!$L$61:$L$108)+SUMIF('11.2. ДА за периода'!$B$61:$B$108,$B138,'11.2. ДА за периода'!N$61:N$108)+SUMIF('11.1.Амортиз.нови активи'!$B$61:$B$108,$B138,'11.1.Амортиз.нови активи'!N$61:N$108)+('11.1.Амортиз.нови активи'!G$111*SUMIF('11.1.Амортиз.нови активи'!$B$61:$B$108,$B138,'11.1.Амортиз.нови активи'!AP$61:AP$108))</f>
        <v>0</v>
      </c>
      <c r="O138" s="1136">
        <f>$L138-SUMIF('11.2. ДА за периода'!$B$61:$B$108,$B138,'11.2. ДА за периода'!$L$61:$L$108)+SUMIF('11.2. ДА за периода'!$B$61:$B$108,$B138,'11.2. ДА за периода'!O$61:O$108)+SUMIF('11.1.Амортиз.нови активи'!$B$61:$B$108,$B138,'11.1.Амортиз.нови активи'!O$61:O$108)+('11.1.Амортиз.нови активи'!H$111*SUMIF('11.1.Амортиз.нови активи'!$B$61:$B$108,$B138,'11.1.Амортиз.нови активи'!AQ$61:AQ$108))</f>
        <v>0</v>
      </c>
      <c r="P138" s="1136">
        <f>$L138-SUMIF('11.2. ДА за периода'!$B$61:$B$108,$B138,'11.2. ДА за периода'!$L$61:$L$108)+SUMIF('11.2. ДА за периода'!$B$61:$B$108,$B138,'11.2. ДА за периода'!P$61:P$108)+SUMIF('11.1.Амортиз.нови активи'!$B$61:$B$108,$B138,'11.1.Амортиз.нови активи'!P$61:P$108)+('11.1.Амортиз.нови активи'!I$111*SUMIF('11.1.Амортиз.нови активи'!$B$61:$B$108,$B138,'11.1.Амортиз.нови активи'!AR$61:AR$108))</f>
        <v>0</v>
      </c>
      <c r="Q138" s="1136">
        <f>$L138-SUMIF('11.2. ДА за периода'!$B$61:$B$108,$B138,'11.2. ДА за периода'!$L$61:$L$108)+SUMIF('11.2. ДА за периода'!$B$61:$B$108,$B138,'11.2. ДА за периода'!Q$61:Q$108)+SUMIF('11.1.Амортиз.нови активи'!$B$61:$B$108,$B138,'11.1.Амортиз.нови активи'!Q$61:Q$108)+('11.1.Амортиз.нови активи'!J$111*SUMIF('11.1.Амортиз.нови активи'!$B$61:$B$108,$B138,'11.1.Амортиз.нови активи'!AS$61:AS$108))</f>
        <v>0</v>
      </c>
      <c r="R138" s="2656">
        <f>$L138-SUMIF('11.2. ДА за периода'!$B$61:$B$108,$B138,'11.2. ДА за периода'!$L$61:$L$108)+SUMIF('11.2. ДА за периода'!$B$61:$B$108,$B138,'11.2. ДА за периода'!R$61:R$108)+SUMIF('11.1.Амортиз.нови активи'!$B$61:$B$108,$B138,'11.1.Амортиз.нови активи'!R$61:R$108)+('11.1.Амортиз.нови активи'!K$111*SUMIF('11.1.Амортиз.нови активи'!$B$61:$B$108,$B138,'11.1.Амортиз.нови активи'!AT$61:AT$108))</f>
        <v>0</v>
      </c>
      <c r="S138" s="4453">
        <f>+'11.3. ДА Базова година'!N118</f>
        <v>2.3020800000000001</v>
      </c>
      <c r="T138" s="2655">
        <f>$S138-SUMIF('11.2. ДА за периода'!$B$61:$B$108,$B138,'11.2. ДА за периода'!$S$61:$S$108)+SUMIF('11.2. ДА за периода'!$B$61:$B$108,$B138,'11.2. ДА за периода'!T$61:T$108)+SUMIF('11.1.Амортиз.нови активи'!$B$61:$B$108,$B138,'11.1.Амортиз.нови активи'!T$61:T$108)+('11.1.Амортиз.нови активи'!F$112*SUMIF('11.1.Амортиз.нови активи'!$B$61:$B$108,$B138,'11.1.Амортиз.нови активи'!AO$61:AO$108))</f>
        <v>2.3020800000000001</v>
      </c>
      <c r="U138" s="1136">
        <f>$S138-SUMIF('11.2. ДА за периода'!$B$61:$B$108,$B138,'11.2. ДА за периода'!$S$61:$S$108)+SUMIF('11.2. ДА за периода'!$B$61:$B$108,$B138,'11.2. ДА за периода'!U$61:U$108)+SUMIF('11.1.Амортиз.нови активи'!$B$61:$B$108,$B138,'11.1.Амортиз.нови активи'!U$61:U$108)+('11.1.Амортиз.нови активи'!G$112*SUMIF('11.1.Амортиз.нови активи'!$B$61:$B$108,$B138,'11.1.Амортиз.нови активи'!AP$61:AP$108))</f>
        <v>2.3020800000000001</v>
      </c>
      <c r="V138" s="1136">
        <f>$S138-SUMIF('11.2. ДА за периода'!$B$61:$B$108,$B138,'11.2. ДА за периода'!$S$61:$S$108)+SUMIF('11.2. ДА за периода'!$B$61:$B$108,$B138,'11.2. ДА за периода'!V$61:V$108)+SUMIF('11.1.Амортиз.нови активи'!$B$61:$B$108,$B138,'11.1.Амортиз.нови активи'!V$61:V$108)+('11.1.Амортиз.нови активи'!H$112*SUMIF('11.1.Амортиз.нови активи'!$B$61:$B$108,$B138,'11.1.Амортиз.нови активи'!AQ$61:AQ$108))</f>
        <v>2.3020800000000001</v>
      </c>
      <c r="W138" s="1136">
        <f>$S138-SUMIF('11.2. ДА за периода'!$B$61:$B$108,$B138,'11.2. ДА за периода'!$S$61:$S$108)+SUMIF('11.2. ДА за периода'!$B$61:$B$108,$B138,'11.2. ДА за периода'!W$61:W$108)+SUMIF('11.1.Амортиз.нови активи'!$B$61:$B$108,$B138,'11.1.Амортиз.нови активи'!W$61:W$108)+('11.1.Амортиз.нови активи'!I$112*SUMIF('11.1.Амортиз.нови активи'!$B$61:$B$108,$B138,'11.1.Амортиз.нови активи'!AR$61:AR$108))</f>
        <v>2.3020800000000001</v>
      </c>
      <c r="X138" s="1136">
        <f>$S138-SUMIF('11.2. ДА за периода'!$B$61:$B$108,$B138,'11.2. ДА за периода'!$S$61:$S$108)+SUMIF('11.2. ДА за периода'!$B$61:$B$108,$B138,'11.2. ДА за периода'!X$61:X$108)+SUMIF('11.1.Амортиз.нови активи'!$B$61:$B$108,$B138,'11.1.Амортиз.нови активи'!X$61:X$108)+('11.1.Амортиз.нови активи'!J$112*SUMIF('11.1.Амортиз.нови активи'!$B$61:$B$108,$B138,'11.1.Амортиз.нови активи'!AS$61:AS$108))</f>
        <v>2.3020800000000001</v>
      </c>
      <c r="Y138" s="2656">
        <f>$S138-SUMIF('11.2. ДА за периода'!$B$61:$B$108,$B138,'11.2. ДА за периода'!$S$61:$S$108)+SUMIF('11.2. ДА за периода'!$B$61:$B$108,$B138,'11.2. ДА за периода'!Y$61:Y$108)+SUMIF('11.1.Амортиз.нови активи'!$B$61:$B$108,$B138,'11.1.Амортиз.нови активи'!Y$61:Y$108)+('11.1.Амортиз.нови активи'!K$112*SUMIF('11.1.Амортиз.нови активи'!$B$61:$B$108,$B138,'11.1.Амортиз.нови активи'!AT$61:AT$108))</f>
        <v>2.3020800000000001</v>
      </c>
      <c r="Z138" s="4453">
        <f>+'11.3. ДА Базова година'!R118</f>
        <v>0</v>
      </c>
      <c r="AA138" s="2655">
        <f>$Z138-SUMIF('11.2. ДА за периода'!$B$61:$B$108,$B138,'11.2. ДА за периода'!$Z$61:$Z$108)+SUMIF('11.2. ДА за периода'!$B$61:$B$108,$B138,'11.2. ДА за периода'!AA$61:AA$108)+SUMIF('11.1.Амортиз.нови активи'!$B$61:$B$108,$B138,'11.1.Амортиз.нови активи'!AA$61:AA$108)</f>
        <v>0</v>
      </c>
      <c r="AB138" s="1136">
        <f>$Z138-SUMIF('11.2. ДА за периода'!$B$61:$B$108,$B138,'11.2. ДА за периода'!$Z$61:$Z$108)+SUMIF('11.2. ДА за периода'!$B$61:$B$108,$B138,'11.2. ДА за периода'!AB$61:AB$108)+SUMIF('11.1.Амортиз.нови активи'!$B$61:$B$108,$B138,'11.1.Амортиз.нови активи'!AB$61:AB$108)</f>
        <v>0</v>
      </c>
      <c r="AC138" s="1136">
        <f>$Z138-SUMIF('11.2. ДА за периода'!$B$61:$B$108,$B138,'11.2. ДА за периода'!$Z$61:$Z$108)+SUMIF('11.2. ДА за периода'!$B$61:$B$108,$B138,'11.2. ДА за периода'!AC$61:AC$108)+SUMIF('11.1.Амортиз.нови активи'!$B$61:$B$108,$B138,'11.1.Амортиз.нови активи'!AC$61:AC$108)</f>
        <v>0</v>
      </c>
      <c r="AD138" s="1136">
        <f>$Z138-SUMIF('11.2. ДА за периода'!$B$61:$B$108,$B138,'11.2. ДА за периода'!$Z$61:$Z$108)+SUMIF('11.2. ДА за периода'!$B$61:$B$108,$B138,'11.2. ДА за периода'!AD$61:AD$108)+SUMIF('11.1.Амортиз.нови активи'!$B$61:$B$108,$B138,'11.1.Амортиз.нови активи'!AD$61:AD$108)</f>
        <v>0</v>
      </c>
      <c r="AE138" s="1136">
        <f>$Z138-SUMIF('11.2. ДА за периода'!$B$61:$B$108,$B138,'11.2. ДА за периода'!$Z$61:$Z$108)+SUMIF('11.2. ДА за периода'!$B$61:$B$108,$B138,'11.2. ДА за периода'!AE$61:AE$108)+SUMIF('11.1.Амортиз.нови активи'!$B$61:$B$108,$B138,'11.1.Амортиз.нови активи'!AE$61:AE$108)</f>
        <v>0</v>
      </c>
      <c r="AF138" s="2656">
        <f>$Z138-SUMIF('11.2. ДА за периода'!$B$61:$B$108,$B138,'11.2. ДА за периода'!$Z$61:$Z$108)+SUMIF('11.2. ДА за периода'!$B$61:$B$108,$B138,'11.2. ДА за периода'!AF$61:AF$108)+SUMIF('11.1.Амортиз.нови активи'!$B$61:$B$108,$B138,'11.1.Амортиз.нови активи'!AF$61:AF$108)</f>
        <v>0</v>
      </c>
      <c r="AG138" s="4453">
        <f>+'11.3. ДА Базова година'!V118</f>
        <v>0.47649618284028267</v>
      </c>
      <c r="AH138" s="2655">
        <f>$AG138-SUMIF('11.2. ДА за периода'!$B$61:$B$108,$B138,'11.2. ДА за периода'!$AG$61:$AG$108)+SUMIF('11.2. ДА за периода'!$B$61:$B$108,$B138,'11.2. ДА за периода'!AH$61:AH$108)+SUMIF('11.1.Амортиз.нови активи'!$B$61:$B$108,$B138,'11.1.Амортиз.нови активи'!AH$61:AH$108)</f>
        <v>0.47649618284028267</v>
      </c>
      <c r="AI138" s="1136">
        <f>$AG138-SUMIF('11.2. ДА за периода'!$B$61:$B$108,$B138,'11.2. ДА за периода'!$AG$61:$AG$108)+SUMIF('11.2. ДА за периода'!$B$61:$B$108,$B138,'11.2. ДА за периода'!AI$61:AI$108)+SUMIF('11.1.Амортиз.нови активи'!$B$61:$B$108,$B138,'11.1.Амортиз.нови активи'!AI$61:AI$108)</f>
        <v>0.47649618284028267</v>
      </c>
      <c r="AJ138" s="1136">
        <f>$AG138-SUMIF('11.2. ДА за периода'!$B$61:$B$108,$B138,'11.2. ДА за периода'!$AG$61:$AG$108)+SUMIF('11.2. ДА за периода'!$B$61:$B$108,$B138,'11.2. ДА за периода'!AJ$61:AJ$108)+SUMIF('11.1.Амортиз.нови активи'!$B$61:$B$108,$B138,'11.1.Амортиз.нови активи'!AJ$61:AJ$108)</f>
        <v>0.47649618284028267</v>
      </c>
      <c r="AK138" s="1136">
        <f>$AG138-SUMIF('11.2. ДА за периода'!$B$61:$B$108,$B138,'11.2. ДА за периода'!$AG$61:$AG$108)+SUMIF('11.2. ДА за периода'!$B$61:$B$108,$B138,'11.2. ДА за периода'!AK$61:AK$108)+SUMIF('11.1.Амортиз.нови активи'!$B$61:$B$108,$B138,'11.1.Амортиз.нови активи'!AK$61:AK$108)</f>
        <v>0.47649618284028267</v>
      </c>
      <c r="AL138" s="1136">
        <f>$AG138-SUMIF('11.2. ДА за периода'!$B$61:$B$108,$B138,'11.2. ДА за периода'!$AG$61:$AG$108)+SUMIF('11.2. ДА за периода'!$B$61:$B$108,$B138,'11.2. ДА за периода'!AL$61:AL$108)+SUMIF('11.1.Амортиз.нови активи'!$B$61:$B$108,$B138,'11.1.Амортиз.нови активи'!AL$61:AL$108)</f>
        <v>0.47649618284028267</v>
      </c>
      <c r="AM138" s="2656">
        <f>$AG138-SUMIF('11.2. ДА за периода'!$B$61:$B$108,$B138,'11.2. ДА за периода'!$AG$61:$AG$108)+SUMIF('11.2. ДА за периода'!$B$61:$B$108,$B138,'11.2. ДА за периода'!AM$61:AM$108)+SUMIF('11.1.Амортиз.нови активи'!$B$61:$B$108,$B138,'11.1.Амортиз.нови активи'!AM$61:AM$108)</f>
        <v>0.47649618284028267</v>
      </c>
      <c r="AN138" s="2551"/>
      <c r="AO138" s="2589"/>
      <c r="AP138" s="4488"/>
      <c r="AQ138" s="4504">
        <f t="shared" si="174"/>
        <v>1.7514834199085385</v>
      </c>
      <c r="AR138" s="4504">
        <f t="shared" si="175"/>
        <v>1.7514834199085385</v>
      </c>
      <c r="AS138" s="4504">
        <f t="shared" si="176"/>
        <v>1.9048709842674043</v>
      </c>
      <c r="AT138" s="4504">
        <f t="shared" si="177"/>
        <v>2.211646112985135</v>
      </c>
      <c r="AU138" s="4504">
        <f t="shared" si="178"/>
        <v>2.5184212417028666</v>
      </c>
      <c r="AV138" s="4504">
        <f t="shared" si="179"/>
        <v>2.8251963704205978</v>
      </c>
      <c r="AW138" s="4504">
        <f t="shared" si="180"/>
        <v>3.131971499138329</v>
      </c>
      <c r="AX138" s="4504">
        <f t="shared" si="181"/>
        <v>0</v>
      </c>
      <c r="AY138" s="4504">
        <f t="shared" si="182"/>
        <v>0</v>
      </c>
      <c r="AZ138" s="4504">
        <f t="shared" si="183"/>
        <v>0</v>
      </c>
      <c r="BA138" s="4504">
        <f t="shared" si="184"/>
        <v>0</v>
      </c>
      <c r="BB138" s="4504">
        <f t="shared" si="185"/>
        <v>0</v>
      </c>
      <c r="BC138" s="4504">
        <f t="shared" si="186"/>
        <v>0</v>
      </c>
      <c r="BD138" s="4504">
        <f t="shared" si="187"/>
        <v>0</v>
      </c>
      <c r="BE138" s="4504">
        <f t="shared" si="188"/>
        <v>1.1770348138641908</v>
      </c>
      <c r="BF138" s="4504">
        <f t="shared" si="189"/>
        <v>1.1770348138641908</v>
      </c>
      <c r="BG138" s="4504">
        <f t="shared" si="190"/>
        <v>1.1770348138641908</v>
      </c>
      <c r="BH138" s="4504">
        <f t="shared" si="191"/>
        <v>1.1770348138641908</v>
      </c>
      <c r="BI138" s="4504">
        <f t="shared" si="192"/>
        <v>1.1770348138641908</v>
      </c>
      <c r="BJ138" s="4504">
        <f t="shared" si="193"/>
        <v>1.1770348138641908</v>
      </c>
      <c r="BK138" s="4504">
        <f t="shared" si="194"/>
        <v>1.1770348138641908</v>
      </c>
      <c r="BL138" s="4504">
        <f t="shared" si="195"/>
        <v>0</v>
      </c>
      <c r="BM138" s="4504">
        <f t="shared" si="196"/>
        <v>0</v>
      </c>
      <c r="BN138" s="4504">
        <f t="shared" si="197"/>
        <v>0</v>
      </c>
      <c r="BO138" s="4504">
        <f t="shared" si="198"/>
        <v>0</v>
      </c>
      <c r="BP138" s="4504">
        <f t="shared" si="199"/>
        <v>0</v>
      </c>
      <c r="BQ138" s="4504">
        <f t="shared" si="200"/>
        <v>0</v>
      </c>
      <c r="BR138" s="4504">
        <f t="shared" si="201"/>
        <v>0</v>
      </c>
      <c r="BS138" s="4504">
        <f t="shared" si="202"/>
        <v>0.2436286297072254</v>
      </c>
      <c r="BT138" s="4504">
        <f t="shared" si="203"/>
        <v>0.2436286297072254</v>
      </c>
      <c r="BU138" s="4504">
        <f t="shared" si="204"/>
        <v>0.2436286297072254</v>
      </c>
      <c r="BV138" s="4504">
        <f t="shared" si="205"/>
        <v>0.2436286297072254</v>
      </c>
      <c r="BW138" s="4504">
        <f t="shared" si="206"/>
        <v>0.2436286297072254</v>
      </c>
      <c r="BX138" s="4504">
        <f t="shared" si="207"/>
        <v>0.2436286297072254</v>
      </c>
      <c r="BY138" s="4504">
        <f t="shared" si="208"/>
        <v>0.2436286297072254</v>
      </c>
    </row>
    <row r="139" spans="1:77" s="1323" customFormat="1">
      <c r="A139" s="2553">
        <v>8</v>
      </c>
      <c r="B139" s="2554">
        <v>2040101</v>
      </c>
      <c r="C139" s="2610">
        <v>0.1</v>
      </c>
      <c r="D139" s="2584" t="s">
        <v>1016</v>
      </c>
      <c r="E139" s="4453">
        <f>+'11.3. ДА Базова година'!F119</f>
        <v>3.4094259325778506</v>
      </c>
      <c r="F139" s="2655">
        <f>$E139-SUMIF('11.2. ДА за периода'!$B$61:$B$108,$B139,'11.2. ДА за периода'!$E$61:$E$108)+SUMIF('11.2. ДА за периода'!$B$61:$B$108,$B139,'11.2. ДА за периода'!F$61:F$108)+SUMIF('11.1.Амортиз.нови активи'!$B$61:$B$108,$B139,'11.1.Амортиз.нови активи'!F$61:F$108)+('11.1.Амортиз.нови активи'!F$110*SUMIF('11.1.Амортиз.нови активи'!$B$61:$B$108,$B139,'11.1.Амортиз.нови активи'!AO$61:AO$108))</f>
        <v>3.4094259325778506</v>
      </c>
      <c r="G139" s="1136">
        <f>$E139-SUMIF('11.2. ДА за периода'!$B$61:$B$108,$B139,'11.2. ДА за периода'!$E$61:$E$108)+SUMIF('11.2. ДА за периода'!$B$61:$B$108,$B139,'11.2. ДА за периода'!G$61:G$108)+SUMIF('11.1.Амортиз.нови активи'!$B$61:$B$108,$B139,'11.1.Амортиз.нови активи'!G$61:G$108)+('11.1.Амортиз.нови активи'!G$110*SUMIF('11.1.Амортиз.нови активи'!$B$61:$B$108,$B139,'11.1.Амортиз.нови активи'!AP$61:AP$108))</f>
        <v>3.4094259325778506</v>
      </c>
      <c r="H139" s="1136">
        <f>$E139-SUMIF('11.2. ДА за периода'!$B$61:$B$108,$B139,'11.2. ДА за периода'!$E$61:$E$108)+SUMIF('11.2. ДА за периода'!$B$61:$B$108,$B139,'11.2. ДА за периода'!H$61:H$108)+SUMIF('11.1.Амортиз.нови активи'!$B$61:$B$108,$B139,'11.1.Амортиз.нови активи'!H$61:H$108)+('11.1.Амортиз.нови активи'!H$110*SUMIF('11.1.Амортиз.нови активи'!$B$61:$B$108,$B139,'11.1.Амортиз.нови активи'!AQ$61:AQ$108))</f>
        <v>3.4094259325778506</v>
      </c>
      <c r="I139" s="1136">
        <f>$E139-SUMIF('11.2. ДА за периода'!$B$61:$B$108,$B139,'11.2. ДА за периода'!$E$61:$E$108)+SUMIF('11.2. ДА за периода'!$B$61:$B$108,$B139,'11.2. ДА за периода'!I$61:I$108)+SUMIF('11.1.Амортиз.нови активи'!$B$61:$B$108,$B139,'11.1.Амортиз.нови активи'!I$61:I$108)+('11.1.Амортиз.нови активи'!I$110*SUMIF('11.1.Амортиз.нови активи'!$B$61:$B$108,$B139,'11.1.Амортиз.нови активи'!AR$61:AR$108))</f>
        <v>3.4094259325778506</v>
      </c>
      <c r="J139" s="1136">
        <f>$E139-SUMIF('11.2. ДА за периода'!$B$61:$B$108,$B139,'11.2. ДА за периода'!$E$61:$E$108)+SUMIF('11.2. ДА за периода'!$B$61:$B$108,$B139,'11.2. ДА за периода'!J$61:J$108)+SUMIF('11.1.Амортиз.нови активи'!$B$61:$B$108,$B139,'11.1.Амортиз.нови активи'!J$61:J$108)+('11.1.Амортиз.нови активи'!J$110*SUMIF('11.1.Амортиз.нови активи'!$B$61:$B$108,$B139,'11.1.Амортиз.нови активи'!AS$61:AS$108))</f>
        <v>3.4094259325778506</v>
      </c>
      <c r="K139" s="1136">
        <f>$E139-SUMIF('11.2. ДА за периода'!$B$61:$B$108,$B139,'11.2. ДА за периода'!$E$61:$E$108)+SUMIF('11.2. ДА за периода'!$B$61:$B$108,$B139,'11.2. ДА за периода'!K$61:K$108)+SUMIF('11.1.Амортиз.нови активи'!$B$61:$B$108,$B139,'11.1.Амортиз.нови активи'!K$61:K$108)+('11.1.Амортиз.нови активи'!K$110*SUMIF('11.1.Амортиз.нови активи'!$B$61:$B$108,$B139,'11.1.Амортиз.нови активи'!AT$61:AT$108))</f>
        <v>3.4094259325778506</v>
      </c>
      <c r="L139" s="4453">
        <f>+'11.3. ДА Базова година'!J119</f>
        <v>0</v>
      </c>
      <c r="M139" s="2655">
        <f>$L139-SUMIF('11.2. ДА за периода'!$B$61:$B$108,$B139,'11.2. ДА за периода'!$L$61:$L$108)+SUMIF('11.2. ДА за периода'!$B$61:$B$108,$B139,'11.2. ДА за периода'!M$61:M$108)+SUMIF('11.1.Амортиз.нови активи'!$B$61:$B$108,$B139,'11.1.Амортиз.нови активи'!M$61:M$108)+('11.1.Амортиз.нови активи'!F$111*SUMIF('11.1.Амортиз.нови активи'!$B$61:$B$108,$B139,'11.1.Амортиз.нови активи'!AO$61:AO$108))</f>
        <v>0</v>
      </c>
      <c r="N139" s="1136">
        <f>$L139-SUMIF('11.2. ДА за периода'!$B$61:$B$108,$B139,'11.2. ДА за периода'!$L$61:$L$108)+SUMIF('11.2. ДА за периода'!$B$61:$B$108,$B139,'11.2. ДА за периода'!N$61:N$108)+SUMIF('11.1.Амортиз.нови активи'!$B$61:$B$108,$B139,'11.1.Амортиз.нови активи'!N$61:N$108)+('11.1.Амортиз.нови активи'!G$111*SUMIF('11.1.Амортиз.нови активи'!$B$61:$B$108,$B139,'11.1.Амортиз.нови активи'!AP$61:AP$108))</f>
        <v>0</v>
      </c>
      <c r="O139" s="1136">
        <f>$L139-SUMIF('11.2. ДА за периода'!$B$61:$B$108,$B139,'11.2. ДА за периода'!$L$61:$L$108)+SUMIF('11.2. ДА за периода'!$B$61:$B$108,$B139,'11.2. ДА за периода'!O$61:O$108)+SUMIF('11.1.Амортиз.нови активи'!$B$61:$B$108,$B139,'11.1.Амортиз.нови активи'!O$61:O$108)+('11.1.Амортиз.нови активи'!H$111*SUMIF('11.1.Амортиз.нови активи'!$B$61:$B$108,$B139,'11.1.Амортиз.нови активи'!AQ$61:AQ$108))</f>
        <v>0</v>
      </c>
      <c r="P139" s="1136">
        <f>$L139-SUMIF('11.2. ДА за периода'!$B$61:$B$108,$B139,'11.2. ДА за периода'!$L$61:$L$108)+SUMIF('11.2. ДА за периода'!$B$61:$B$108,$B139,'11.2. ДА за периода'!P$61:P$108)+SUMIF('11.1.Амортиз.нови активи'!$B$61:$B$108,$B139,'11.1.Амортиз.нови активи'!P$61:P$108)+('11.1.Амортиз.нови активи'!I$111*SUMIF('11.1.Амортиз.нови активи'!$B$61:$B$108,$B139,'11.1.Амортиз.нови активи'!AR$61:AR$108))</f>
        <v>0</v>
      </c>
      <c r="Q139" s="1136">
        <f>$L139-SUMIF('11.2. ДА за периода'!$B$61:$B$108,$B139,'11.2. ДА за периода'!$L$61:$L$108)+SUMIF('11.2. ДА за периода'!$B$61:$B$108,$B139,'11.2. ДА за периода'!Q$61:Q$108)+SUMIF('11.1.Амортиз.нови активи'!$B$61:$B$108,$B139,'11.1.Амортиз.нови активи'!Q$61:Q$108)+('11.1.Амортиз.нови активи'!J$111*SUMIF('11.1.Амортиз.нови активи'!$B$61:$B$108,$B139,'11.1.Амортиз.нови активи'!AS$61:AS$108))</f>
        <v>0</v>
      </c>
      <c r="R139" s="2656">
        <f>$L139-SUMIF('11.2. ДА за периода'!$B$61:$B$108,$B139,'11.2. ДА за периода'!$L$61:$L$108)+SUMIF('11.2. ДА за периода'!$B$61:$B$108,$B139,'11.2. ДА за периода'!R$61:R$108)+SUMIF('11.1.Амортиз.нови активи'!$B$61:$B$108,$B139,'11.1.Амортиз.нови активи'!R$61:R$108)+('11.1.Амортиз.нови активи'!K$111*SUMIF('11.1.Амортиз.нови активи'!$B$61:$B$108,$B139,'11.1.Амортиз.нови активи'!AT$61:AT$108))</f>
        <v>0</v>
      </c>
      <c r="S139" s="4453">
        <f>+'11.3. ДА Базова година'!N119</f>
        <v>0</v>
      </c>
      <c r="T139" s="2655">
        <f>$S139-SUMIF('11.2. ДА за периода'!$B$61:$B$108,$B139,'11.2. ДА за периода'!$S$61:$S$108)+SUMIF('11.2. ДА за периода'!$B$61:$B$108,$B139,'11.2. ДА за периода'!T$61:T$108)+SUMIF('11.1.Амортиз.нови активи'!$B$61:$B$108,$B139,'11.1.Амортиз.нови активи'!T$61:T$108)+('11.1.Амортиз.нови активи'!F$112*SUMIF('11.1.Амортиз.нови активи'!$B$61:$B$108,$B139,'11.1.Амортиз.нови активи'!AO$61:AO$108))</f>
        <v>0</v>
      </c>
      <c r="U139" s="1136">
        <f>$S139-SUMIF('11.2. ДА за периода'!$B$61:$B$108,$B139,'11.2. ДА за периода'!$S$61:$S$108)+SUMIF('11.2. ДА за периода'!$B$61:$B$108,$B139,'11.2. ДА за периода'!U$61:U$108)+SUMIF('11.1.Амортиз.нови активи'!$B$61:$B$108,$B139,'11.1.Амортиз.нови активи'!U$61:U$108)+('11.1.Амортиз.нови активи'!G$112*SUMIF('11.1.Амортиз.нови активи'!$B$61:$B$108,$B139,'11.1.Амортиз.нови активи'!AP$61:AP$108))</f>
        <v>0</v>
      </c>
      <c r="V139" s="1136">
        <f>$S139-SUMIF('11.2. ДА за периода'!$B$61:$B$108,$B139,'11.2. ДА за периода'!$S$61:$S$108)+SUMIF('11.2. ДА за периода'!$B$61:$B$108,$B139,'11.2. ДА за периода'!V$61:V$108)+SUMIF('11.1.Амортиз.нови активи'!$B$61:$B$108,$B139,'11.1.Амортиз.нови активи'!V$61:V$108)+('11.1.Амортиз.нови активи'!H$112*SUMIF('11.1.Амортиз.нови активи'!$B$61:$B$108,$B139,'11.1.Амортиз.нови активи'!AQ$61:AQ$108))</f>
        <v>0</v>
      </c>
      <c r="W139" s="1136">
        <f>$S139-SUMIF('11.2. ДА за периода'!$B$61:$B$108,$B139,'11.2. ДА за периода'!$S$61:$S$108)+SUMIF('11.2. ДА за периода'!$B$61:$B$108,$B139,'11.2. ДА за периода'!W$61:W$108)+SUMIF('11.1.Амортиз.нови активи'!$B$61:$B$108,$B139,'11.1.Амортиз.нови активи'!W$61:W$108)+('11.1.Амортиз.нови активи'!I$112*SUMIF('11.1.Амортиз.нови активи'!$B$61:$B$108,$B139,'11.1.Амортиз.нови активи'!AR$61:AR$108))</f>
        <v>0</v>
      </c>
      <c r="X139" s="1136">
        <f>$S139-SUMIF('11.2. ДА за периода'!$B$61:$B$108,$B139,'11.2. ДА за периода'!$S$61:$S$108)+SUMIF('11.2. ДА за периода'!$B$61:$B$108,$B139,'11.2. ДА за периода'!X$61:X$108)+SUMIF('11.1.Амортиз.нови активи'!$B$61:$B$108,$B139,'11.1.Амортиз.нови активи'!X$61:X$108)+('11.1.Амортиз.нови активи'!J$112*SUMIF('11.1.Амортиз.нови активи'!$B$61:$B$108,$B139,'11.1.Амортиз.нови активи'!AS$61:AS$108))</f>
        <v>0</v>
      </c>
      <c r="Y139" s="2656">
        <f>$S139-SUMIF('11.2. ДА за периода'!$B$61:$B$108,$B139,'11.2. ДА за периода'!$S$61:$S$108)+SUMIF('11.2. ДА за периода'!$B$61:$B$108,$B139,'11.2. ДА за периода'!Y$61:Y$108)+SUMIF('11.1.Амортиз.нови активи'!$B$61:$B$108,$B139,'11.1.Амортиз.нови активи'!Y$61:Y$108)+('11.1.Амортиз.нови активи'!K$112*SUMIF('11.1.Амортиз.нови активи'!$B$61:$B$108,$B139,'11.1.Амортиз.нови активи'!AT$61:AT$108))</f>
        <v>0</v>
      </c>
      <c r="Z139" s="4453">
        <f>+'11.3. ДА Базова година'!R119</f>
        <v>0</v>
      </c>
      <c r="AA139" s="2655">
        <f>$Z139-SUMIF('11.2. ДА за периода'!$B$61:$B$108,$B139,'11.2. ДА за периода'!$Z$61:$Z$108)+SUMIF('11.2. ДА за периода'!$B$61:$B$108,$B139,'11.2. ДА за периода'!AA$61:AA$108)+SUMIF('11.1.Амортиз.нови активи'!$B$61:$B$108,$B139,'11.1.Амортиз.нови активи'!AA$61:AA$108)</f>
        <v>0</v>
      </c>
      <c r="AB139" s="1136">
        <f>$Z139-SUMIF('11.2. ДА за периода'!$B$61:$B$108,$B139,'11.2. ДА за периода'!$Z$61:$Z$108)+SUMIF('11.2. ДА за периода'!$B$61:$B$108,$B139,'11.2. ДА за периода'!AB$61:AB$108)+SUMIF('11.1.Амортиз.нови активи'!$B$61:$B$108,$B139,'11.1.Амортиз.нови активи'!AB$61:AB$108)</f>
        <v>0</v>
      </c>
      <c r="AC139" s="1136">
        <f>$Z139-SUMIF('11.2. ДА за периода'!$B$61:$B$108,$B139,'11.2. ДА за периода'!$Z$61:$Z$108)+SUMIF('11.2. ДА за периода'!$B$61:$B$108,$B139,'11.2. ДА за периода'!AC$61:AC$108)+SUMIF('11.1.Амортиз.нови активи'!$B$61:$B$108,$B139,'11.1.Амортиз.нови активи'!AC$61:AC$108)</f>
        <v>0</v>
      </c>
      <c r="AD139" s="1136">
        <f>$Z139-SUMIF('11.2. ДА за периода'!$B$61:$B$108,$B139,'11.2. ДА за периода'!$Z$61:$Z$108)+SUMIF('11.2. ДА за периода'!$B$61:$B$108,$B139,'11.2. ДА за периода'!AD$61:AD$108)+SUMIF('11.1.Амортиз.нови активи'!$B$61:$B$108,$B139,'11.1.Амортиз.нови активи'!AD$61:AD$108)</f>
        <v>0</v>
      </c>
      <c r="AE139" s="1136">
        <f>$Z139-SUMIF('11.2. ДА за периода'!$B$61:$B$108,$B139,'11.2. ДА за периода'!$Z$61:$Z$108)+SUMIF('11.2. ДА за периода'!$B$61:$B$108,$B139,'11.2. ДА за периода'!AE$61:AE$108)+SUMIF('11.1.Амортиз.нови активи'!$B$61:$B$108,$B139,'11.1.Амортиз.нови активи'!AE$61:AE$108)</f>
        <v>0</v>
      </c>
      <c r="AF139" s="2656">
        <f>$Z139-SUMIF('11.2. ДА за периода'!$B$61:$B$108,$B139,'11.2. ДА за периода'!$Z$61:$Z$108)+SUMIF('11.2. ДА за периода'!$B$61:$B$108,$B139,'11.2. ДА за периода'!AF$61:AF$108)+SUMIF('11.1.Амортиз.нови активи'!$B$61:$B$108,$B139,'11.1.Амортиз.нови активи'!AF$61:AF$108)</f>
        <v>0</v>
      </c>
      <c r="AG139" s="4453">
        <f>+'11.3. ДА Базова година'!V119</f>
        <v>0.17491406742214938</v>
      </c>
      <c r="AH139" s="2655">
        <f>$AG139-SUMIF('11.2. ДА за периода'!$B$61:$B$108,$B139,'11.2. ДА за периода'!$AG$61:$AG$108)+SUMIF('11.2. ДА за периода'!$B$61:$B$108,$B139,'11.2. ДА за периода'!AH$61:AH$108)+SUMIF('11.1.Амортиз.нови активи'!$B$61:$B$108,$B139,'11.1.Амортиз.нови активи'!AH$61:AH$108)</f>
        <v>0.17491406742214938</v>
      </c>
      <c r="AI139" s="1136">
        <f>$AG139-SUMIF('11.2. ДА за периода'!$B$61:$B$108,$B139,'11.2. ДА за периода'!$AG$61:$AG$108)+SUMIF('11.2. ДА за периода'!$B$61:$B$108,$B139,'11.2. ДА за периода'!AI$61:AI$108)+SUMIF('11.1.Амортиз.нови активи'!$B$61:$B$108,$B139,'11.1.Амортиз.нови активи'!AI$61:AI$108)</f>
        <v>0.17491406742214938</v>
      </c>
      <c r="AJ139" s="1136">
        <f>$AG139-SUMIF('11.2. ДА за периода'!$B$61:$B$108,$B139,'11.2. ДА за периода'!$AG$61:$AG$108)+SUMIF('11.2. ДА за периода'!$B$61:$B$108,$B139,'11.2. ДА за периода'!AJ$61:AJ$108)+SUMIF('11.1.Амортиз.нови активи'!$B$61:$B$108,$B139,'11.1.Амортиз.нови активи'!AJ$61:AJ$108)</f>
        <v>0.17491406742214938</v>
      </c>
      <c r="AK139" s="1136">
        <f>$AG139-SUMIF('11.2. ДА за периода'!$B$61:$B$108,$B139,'11.2. ДА за периода'!$AG$61:$AG$108)+SUMIF('11.2. ДА за периода'!$B$61:$B$108,$B139,'11.2. ДА за периода'!AK$61:AK$108)+SUMIF('11.1.Амортиз.нови активи'!$B$61:$B$108,$B139,'11.1.Амортиз.нови активи'!AK$61:AK$108)</f>
        <v>0.17491406742214938</v>
      </c>
      <c r="AL139" s="1136">
        <f>$AG139-SUMIF('11.2. ДА за периода'!$B$61:$B$108,$B139,'11.2. ДА за периода'!$AG$61:$AG$108)+SUMIF('11.2. ДА за периода'!$B$61:$B$108,$B139,'11.2. ДА за периода'!AL$61:AL$108)+SUMIF('11.1.Амортиз.нови активи'!$B$61:$B$108,$B139,'11.1.Амортиз.нови активи'!AL$61:AL$108)</f>
        <v>0.17491406742214938</v>
      </c>
      <c r="AM139" s="2656">
        <f>$AG139-SUMIF('11.2. ДА за периода'!$B$61:$B$108,$B139,'11.2. ДА за периода'!$AG$61:$AG$108)+SUMIF('11.2. ДА за периода'!$B$61:$B$108,$B139,'11.2. ДА за периода'!AM$61:AM$108)+SUMIF('11.1.Амортиз.нови активи'!$B$61:$B$108,$B139,'11.1.Амортиз.нови активи'!AM$61:AM$108)</f>
        <v>0.17491406742214938</v>
      </c>
      <c r="AN139" s="2551"/>
      <c r="AO139" s="2589"/>
      <c r="AP139" s="4488"/>
      <c r="AQ139" s="4504">
        <f t="shared" si="174"/>
        <v>1.7432117988669009</v>
      </c>
      <c r="AR139" s="4504">
        <f t="shared" si="175"/>
        <v>1.7432117988669009</v>
      </c>
      <c r="AS139" s="4504">
        <f t="shared" si="176"/>
        <v>1.7432117988669009</v>
      </c>
      <c r="AT139" s="4504">
        <f t="shared" si="177"/>
        <v>1.7432117988669009</v>
      </c>
      <c r="AU139" s="4504">
        <f t="shared" si="178"/>
        <v>1.7432117988669009</v>
      </c>
      <c r="AV139" s="4504">
        <f t="shared" si="179"/>
        <v>1.7432117988669009</v>
      </c>
      <c r="AW139" s="4504">
        <f t="shared" si="180"/>
        <v>1.7432117988669009</v>
      </c>
      <c r="AX139" s="4504">
        <f t="shared" si="181"/>
        <v>0</v>
      </c>
      <c r="AY139" s="4504">
        <f t="shared" si="182"/>
        <v>0</v>
      </c>
      <c r="AZ139" s="4504">
        <f t="shared" si="183"/>
        <v>0</v>
      </c>
      <c r="BA139" s="4504">
        <f t="shared" si="184"/>
        <v>0</v>
      </c>
      <c r="BB139" s="4504">
        <f t="shared" si="185"/>
        <v>0</v>
      </c>
      <c r="BC139" s="4504">
        <f t="shared" si="186"/>
        <v>0</v>
      </c>
      <c r="BD139" s="4504">
        <f t="shared" si="187"/>
        <v>0</v>
      </c>
      <c r="BE139" s="4504">
        <f t="shared" si="188"/>
        <v>0</v>
      </c>
      <c r="BF139" s="4504">
        <f t="shared" si="189"/>
        <v>0</v>
      </c>
      <c r="BG139" s="4504">
        <f t="shared" si="190"/>
        <v>0</v>
      </c>
      <c r="BH139" s="4504">
        <f t="shared" si="191"/>
        <v>0</v>
      </c>
      <c r="BI139" s="4504">
        <f t="shared" si="192"/>
        <v>0</v>
      </c>
      <c r="BJ139" s="4504">
        <f t="shared" si="193"/>
        <v>0</v>
      </c>
      <c r="BK139" s="4504">
        <f t="shared" si="194"/>
        <v>0</v>
      </c>
      <c r="BL139" s="4504">
        <f t="shared" si="195"/>
        <v>0</v>
      </c>
      <c r="BM139" s="4504">
        <f t="shared" si="196"/>
        <v>0</v>
      </c>
      <c r="BN139" s="4504">
        <f t="shared" si="197"/>
        <v>0</v>
      </c>
      <c r="BO139" s="4504">
        <f t="shared" si="198"/>
        <v>0</v>
      </c>
      <c r="BP139" s="4504">
        <f t="shared" si="199"/>
        <v>0</v>
      </c>
      <c r="BQ139" s="4504">
        <f t="shared" si="200"/>
        <v>0</v>
      </c>
      <c r="BR139" s="4504">
        <f t="shared" si="201"/>
        <v>0</v>
      </c>
      <c r="BS139" s="4504">
        <f t="shared" si="202"/>
        <v>8.9432142579952953E-2</v>
      </c>
      <c r="BT139" s="4504">
        <f t="shared" si="203"/>
        <v>8.9432142579952953E-2</v>
      </c>
      <c r="BU139" s="4504">
        <f t="shared" si="204"/>
        <v>8.9432142579952953E-2</v>
      </c>
      <c r="BV139" s="4504">
        <f t="shared" si="205"/>
        <v>8.9432142579952953E-2</v>
      </c>
      <c r="BW139" s="4504">
        <f t="shared" si="206"/>
        <v>8.9432142579952953E-2</v>
      </c>
      <c r="BX139" s="4504">
        <f t="shared" si="207"/>
        <v>8.9432142579952953E-2</v>
      </c>
      <c r="BY139" s="4504">
        <f t="shared" si="208"/>
        <v>8.9432142579952953E-2</v>
      </c>
    </row>
    <row r="140" spans="1:77" s="1323" customFormat="1">
      <c r="A140" s="2611">
        <v>9</v>
      </c>
      <c r="B140" s="2554">
        <v>2040102</v>
      </c>
      <c r="C140" s="2610">
        <v>0.04</v>
      </c>
      <c r="D140" s="2584" t="s">
        <v>432</v>
      </c>
      <c r="E140" s="4453">
        <f>+'11.3. ДА Базова година'!F120</f>
        <v>5.1240000000000001E-2</v>
      </c>
      <c r="F140" s="2655">
        <f>$E140-SUMIF('11.2. ДА за периода'!$B$61:$B$108,$B140,'11.2. ДА за периода'!$E$61:$E$108)+SUMIF('11.2. ДА за периода'!$B$61:$B$108,$B140,'11.2. ДА за периода'!F$61:F$108)+SUMIF('11.1.Амортиз.нови активи'!$B$61:$B$108,$B140,'11.1.Амортиз.нови активи'!F$61:F$108)+('11.1.Амортиз.нови активи'!F$110*SUMIF('11.1.Амортиз.нови активи'!$B$61:$B$108,$B140,'11.1.Амортиз.нови активи'!AO$61:AO$108))</f>
        <v>5.1240000000000001E-2</v>
      </c>
      <c r="G140" s="1136">
        <f>$E140-SUMIF('11.2. ДА за периода'!$B$61:$B$108,$B140,'11.2. ДА за периода'!$E$61:$E$108)+SUMIF('11.2. ДА за периода'!$B$61:$B$108,$B140,'11.2. ДА за периода'!G$61:G$108)+SUMIF('11.1.Амортиз.нови активи'!$B$61:$B$108,$B140,'11.1.Амортиз.нови активи'!G$61:G$108)+('11.1.Амортиз.нови активи'!G$110*SUMIF('11.1.Амортиз.нови активи'!$B$61:$B$108,$B140,'11.1.Амортиз.нови активи'!AP$61:AP$108))</f>
        <v>5.1240000000000001E-2</v>
      </c>
      <c r="H140" s="1136">
        <f>$E140-SUMIF('11.2. ДА за периода'!$B$61:$B$108,$B140,'11.2. ДА за периода'!$E$61:$E$108)+SUMIF('11.2. ДА за периода'!$B$61:$B$108,$B140,'11.2. ДА за периода'!H$61:H$108)+SUMIF('11.1.Амортиз.нови активи'!$B$61:$B$108,$B140,'11.1.Амортиз.нови активи'!H$61:H$108)+('11.1.Амортиз.нови активи'!H$110*SUMIF('11.1.Амортиз.нови активи'!$B$61:$B$108,$B140,'11.1.Амортиз.нови активи'!AQ$61:AQ$108))</f>
        <v>5.1240000000000001E-2</v>
      </c>
      <c r="I140" s="1136">
        <f>$E140-SUMIF('11.2. ДА за периода'!$B$61:$B$108,$B140,'11.2. ДА за периода'!$E$61:$E$108)+SUMIF('11.2. ДА за периода'!$B$61:$B$108,$B140,'11.2. ДА за периода'!I$61:I$108)+SUMIF('11.1.Амортиз.нови активи'!$B$61:$B$108,$B140,'11.1.Амортиз.нови активи'!I$61:I$108)+('11.1.Амортиз.нови активи'!I$110*SUMIF('11.1.Амортиз.нови активи'!$B$61:$B$108,$B140,'11.1.Амортиз.нови активи'!AR$61:AR$108))</f>
        <v>5.1240000000000001E-2</v>
      </c>
      <c r="J140" s="1136">
        <f>$E140-SUMIF('11.2. ДА за периода'!$B$61:$B$108,$B140,'11.2. ДА за периода'!$E$61:$E$108)+SUMIF('11.2. ДА за периода'!$B$61:$B$108,$B140,'11.2. ДА за периода'!J$61:J$108)+SUMIF('11.1.Амортиз.нови активи'!$B$61:$B$108,$B140,'11.1.Амортиз.нови активи'!J$61:J$108)+('11.1.Амортиз.нови активи'!J$110*SUMIF('11.1.Амортиз.нови активи'!$B$61:$B$108,$B140,'11.1.Амортиз.нови активи'!AS$61:AS$108))</f>
        <v>5.1240000000000001E-2</v>
      </c>
      <c r="K140" s="1136">
        <f>$E140-SUMIF('11.2. ДА за периода'!$B$61:$B$108,$B140,'11.2. ДА за периода'!$E$61:$E$108)+SUMIF('11.2. ДА за периода'!$B$61:$B$108,$B140,'11.2. ДА за периода'!K$61:K$108)+SUMIF('11.1.Амортиз.нови активи'!$B$61:$B$108,$B140,'11.1.Амортиз.нови активи'!K$61:K$108)+('11.1.Амортиз.нови активи'!K$110*SUMIF('11.1.Амортиз.нови активи'!$B$61:$B$108,$B140,'11.1.Амортиз.нови активи'!AT$61:AT$108))</f>
        <v>5.1240000000000001E-2</v>
      </c>
      <c r="L140" s="4453">
        <f>+'11.3. ДА Базова година'!J120</f>
        <v>0</v>
      </c>
      <c r="M140" s="2655">
        <f>$L140-SUMIF('11.2. ДА за периода'!$B$61:$B$108,$B140,'11.2. ДА за периода'!$L$61:$L$108)+SUMIF('11.2. ДА за периода'!$B$61:$B$108,$B140,'11.2. ДА за периода'!M$61:M$108)+SUMIF('11.1.Амортиз.нови активи'!$B$61:$B$108,$B140,'11.1.Амортиз.нови активи'!M$61:M$108)+('11.1.Амортиз.нови активи'!F$111*SUMIF('11.1.Амортиз.нови активи'!$B$61:$B$108,$B140,'11.1.Амортиз.нови активи'!AO$61:AO$108))</f>
        <v>0</v>
      </c>
      <c r="N140" s="1136">
        <f>$L140-SUMIF('11.2. ДА за периода'!$B$61:$B$108,$B140,'11.2. ДА за периода'!$L$61:$L$108)+SUMIF('11.2. ДА за периода'!$B$61:$B$108,$B140,'11.2. ДА за периода'!N$61:N$108)+SUMIF('11.1.Амортиз.нови активи'!$B$61:$B$108,$B140,'11.1.Амортиз.нови активи'!N$61:N$108)+('11.1.Амортиз.нови активи'!G$111*SUMIF('11.1.Амортиз.нови активи'!$B$61:$B$108,$B140,'11.1.Амортиз.нови активи'!AP$61:AP$108))</f>
        <v>0</v>
      </c>
      <c r="O140" s="1136">
        <f>$L140-SUMIF('11.2. ДА за периода'!$B$61:$B$108,$B140,'11.2. ДА за периода'!$L$61:$L$108)+SUMIF('11.2. ДА за периода'!$B$61:$B$108,$B140,'11.2. ДА за периода'!O$61:O$108)+SUMIF('11.1.Амортиз.нови активи'!$B$61:$B$108,$B140,'11.1.Амортиз.нови активи'!O$61:O$108)+('11.1.Амортиз.нови активи'!H$111*SUMIF('11.1.Амортиз.нови активи'!$B$61:$B$108,$B140,'11.1.Амортиз.нови активи'!AQ$61:AQ$108))</f>
        <v>0</v>
      </c>
      <c r="P140" s="1136">
        <f>$L140-SUMIF('11.2. ДА за периода'!$B$61:$B$108,$B140,'11.2. ДА за периода'!$L$61:$L$108)+SUMIF('11.2. ДА за периода'!$B$61:$B$108,$B140,'11.2. ДА за периода'!P$61:P$108)+SUMIF('11.1.Амортиз.нови активи'!$B$61:$B$108,$B140,'11.1.Амортиз.нови активи'!P$61:P$108)+('11.1.Амортиз.нови активи'!I$111*SUMIF('11.1.Амортиз.нови активи'!$B$61:$B$108,$B140,'11.1.Амортиз.нови активи'!AR$61:AR$108))</f>
        <v>0</v>
      </c>
      <c r="Q140" s="1136">
        <f>$L140-SUMIF('11.2. ДА за периода'!$B$61:$B$108,$B140,'11.2. ДА за периода'!$L$61:$L$108)+SUMIF('11.2. ДА за периода'!$B$61:$B$108,$B140,'11.2. ДА за периода'!Q$61:Q$108)+SUMIF('11.1.Амортиз.нови активи'!$B$61:$B$108,$B140,'11.1.Амортиз.нови активи'!Q$61:Q$108)+('11.1.Амортиз.нови активи'!J$111*SUMIF('11.1.Амортиз.нови активи'!$B$61:$B$108,$B140,'11.1.Амортиз.нови активи'!AS$61:AS$108))</f>
        <v>0</v>
      </c>
      <c r="R140" s="2656">
        <f>$L140-SUMIF('11.2. ДА за периода'!$B$61:$B$108,$B140,'11.2. ДА за периода'!$L$61:$L$108)+SUMIF('11.2. ДА за периода'!$B$61:$B$108,$B140,'11.2. ДА за периода'!R$61:R$108)+SUMIF('11.1.Амортиз.нови активи'!$B$61:$B$108,$B140,'11.1.Амортиз.нови активи'!R$61:R$108)+('11.1.Амортиз.нови активи'!K$111*SUMIF('11.1.Амортиз.нови активи'!$B$61:$B$108,$B140,'11.1.Амортиз.нови активи'!AT$61:AT$108))</f>
        <v>0</v>
      </c>
      <c r="S140" s="4453">
        <f>+'11.3. ДА Базова година'!N120</f>
        <v>0</v>
      </c>
      <c r="T140" s="2655">
        <f>$S140-SUMIF('11.2. ДА за периода'!$B$61:$B$108,$B140,'11.2. ДА за периода'!$S$61:$S$108)+SUMIF('11.2. ДА за периода'!$B$61:$B$108,$B140,'11.2. ДА за периода'!T$61:T$108)+SUMIF('11.1.Амортиз.нови активи'!$B$61:$B$108,$B140,'11.1.Амортиз.нови активи'!T$61:T$108)+('11.1.Амортиз.нови активи'!F$112*SUMIF('11.1.Амортиз.нови активи'!$B$61:$B$108,$B140,'11.1.Амортиз.нови активи'!AO$61:AO$108))</f>
        <v>0</v>
      </c>
      <c r="U140" s="1136">
        <f>$S140-SUMIF('11.2. ДА за периода'!$B$61:$B$108,$B140,'11.2. ДА за периода'!$S$61:$S$108)+SUMIF('11.2. ДА за периода'!$B$61:$B$108,$B140,'11.2. ДА за периода'!U$61:U$108)+SUMIF('11.1.Амортиз.нови активи'!$B$61:$B$108,$B140,'11.1.Амортиз.нови активи'!U$61:U$108)+('11.1.Амортиз.нови активи'!G$112*SUMIF('11.1.Амортиз.нови активи'!$B$61:$B$108,$B140,'11.1.Амортиз.нови активи'!AP$61:AP$108))</f>
        <v>0</v>
      </c>
      <c r="V140" s="1136">
        <f>$S140-SUMIF('11.2. ДА за периода'!$B$61:$B$108,$B140,'11.2. ДА за периода'!$S$61:$S$108)+SUMIF('11.2. ДА за периода'!$B$61:$B$108,$B140,'11.2. ДА за периода'!V$61:V$108)+SUMIF('11.1.Амортиз.нови активи'!$B$61:$B$108,$B140,'11.1.Амортиз.нови активи'!V$61:V$108)+('11.1.Амортиз.нови активи'!H$112*SUMIF('11.1.Амортиз.нови активи'!$B$61:$B$108,$B140,'11.1.Амортиз.нови активи'!AQ$61:AQ$108))</f>
        <v>0</v>
      </c>
      <c r="W140" s="1136">
        <f>$S140-SUMIF('11.2. ДА за периода'!$B$61:$B$108,$B140,'11.2. ДА за периода'!$S$61:$S$108)+SUMIF('11.2. ДА за периода'!$B$61:$B$108,$B140,'11.2. ДА за периода'!W$61:W$108)+SUMIF('11.1.Амортиз.нови активи'!$B$61:$B$108,$B140,'11.1.Амортиз.нови активи'!W$61:W$108)+('11.1.Амортиз.нови активи'!I$112*SUMIF('11.1.Амортиз.нови активи'!$B$61:$B$108,$B140,'11.1.Амортиз.нови активи'!AR$61:AR$108))</f>
        <v>0</v>
      </c>
      <c r="X140" s="1136">
        <f>$S140-SUMIF('11.2. ДА за периода'!$B$61:$B$108,$B140,'11.2. ДА за периода'!$S$61:$S$108)+SUMIF('11.2. ДА за периода'!$B$61:$B$108,$B140,'11.2. ДА за периода'!X$61:X$108)+SUMIF('11.1.Амортиз.нови активи'!$B$61:$B$108,$B140,'11.1.Амортиз.нови активи'!X$61:X$108)+('11.1.Амортиз.нови активи'!J$112*SUMIF('11.1.Амортиз.нови активи'!$B$61:$B$108,$B140,'11.1.Амортиз.нови активи'!AS$61:AS$108))</f>
        <v>0</v>
      </c>
      <c r="Y140" s="2656">
        <f>$S140-SUMIF('11.2. ДА за периода'!$B$61:$B$108,$B140,'11.2. ДА за периода'!$S$61:$S$108)+SUMIF('11.2. ДА за периода'!$B$61:$B$108,$B140,'11.2. ДА за периода'!Y$61:Y$108)+SUMIF('11.1.Амортиз.нови активи'!$B$61:$B$108,$B140,'11.1.Амортиз.нови активи'!Y$61:Y$108)+('11.1.Амортиз.нови активи'!K$112*SUMIF('11.1.Амортиз.нови активи'!$B$61:$B$108,$B140,'11.1.Амортиз.нови активи'!AT$61:AT$108))</f>
        <v>0</v>
      </c>
      <c r="Z140" s="4453">
        <f>+'11.3. ДА Базова година'!R120</f>
        <v>0</v>
      </c>
      <c r="AA140" s="2655">
        <f>$Z140-SUMIF('11.2. ДА за периода'!$B$61:$B$108,$B140,'11.2. ДА за периода'!$Z$61:$Z$108)+SUMIF('11.2. ДА за периода'!$B$61:$B$108,$B140,'11.2. ДА за периода'!AA$61:AA$108)+SUMIF('11.1.Амортиз.нови активи'!$B$61:$B$108,$B140,'11.1.Амортиз.нови активи'!AA$61:AA$108)</f>
        <v>0</v>
      </c>
      <c r="AB140" s="1136">
        <f>$Z140-SUMIF('11.2. ДА за периода'!$B$61:$B$108,$B140,'11.2. ДА за периода'!$Z$61:$Z$108)+SUMIF('11.2. ДА за периода'!$B$61:$B$108,$B140,'11.2. ДА за периода'!AB$61:AB$108)+SUMIF('11.1.Амортиз.нови активи'!$B$61:$B$108,$B140,'11.1.Амортиз.нови активи'!AB$61:AB$108)</f>
        <v>0</v>
      </c>
      <c r="AC140" s="1136">
        <f>$Z140-SUMIF('11.2. ДА за периода'!$B$61:$B$108,$B140,'11.2. ДА за периода'!$Z$61:$Z$108)+SUMIF('11.2. ДА за периода'!$B$61:$B$108,$B140,'11.2. ДА за периода'!AC$61:AC$108)+SUMIF('11.1.Амортиз.нови активи'!$B$61:$B$108,$B140,'11.1.Амортиз.нови активи'!AC$61:AC$108)</f>
        <v>0</v>
      </c>
      <c r="AD140" s="1136">
        <f>$Z140-SUMIF('11.2. ДА за периода'!$B$61:$B$108,$B140,'11.2. ДА за периода'!$Z$61:$Z$108)+SUMIF('11.2. ДА за периода'!$B$61:$B$108,$B140,'11.2. ДА за периода'!AD$61:AD$108)+SUMIF('11.1.Амортиз.нови активи'!$B$61:$B$108,$B140,'11.1.Амортиз.нови активи'!AD$61:AD$108)</f>
        <v>0</v>
      </c>
      <c r="AE140" s="1136">
        <f>$Z140-SUMIF('11.2. ДА за периода'!$B$61:$B$108,$B140,'11.2. ДА за периода'!$Z$61:$Z$108)+SUMIF('11.2. ДА за периода'!$B$61:$B$108,$B140,'11.2. ДА за периода'!AE$61:AE$108)+SUMIF('11.1.Амортиз.нови активи'!$B$61:$B$108,$B140,'11.1.Амортиз.нови активи'!AE$61:AE$108)</f>
        <v>0</v>
      </c>
      <c r="AF140" s="2656">
        <f>$Z140-SUMIF('11.2. ДА за периода'!$B$61:$B$108,$B140,'11.2. ДА за периода'!$Z$61:$Z$108)+SUMIF('11.2. ДА за периода'!$B$61:$B$108,$B140,'11.2. ДА за периода'!AF$61:AF$108)+SUMIF('11.1.Амортиз.нови активи'!$B$61:$B$108,$B140,'11.1.Амортиз.нови активи'!AF$61:AF$108)</f>
        <v>0</v>
      </c>
      <c r="AG140" s="4453">
        <f>+'11.3. ДА Базова година'!V120</f>
        <v>0</v>
      </c>
      <c r="AH140" s="2655">
        <f>$AG140-SUMIF('11.2. ДА за периода'!$B$61:$B$108,$B140,'11.2. ДА за периода'!$AG$61:$AG$108)+SUMIF('11.2. ДА за периода'!$B$61:$B$108,$B140,'11.2. ДА за периода'!AH$61:AH$108)+SUMIF('11.1.Амортиз.нови активи'!$B$61:$B$108,$B140,'11.1.Амортиз.нови активи'!AH$61:AH$108)</f>
        <v>0</v>
      </c>
      <c r="AI140" s="1136">
        <f>$AG140-SUMIF('11.2. ДА за периода'!$B$61:$B$108,$B140,'11.2. ДА за периода'!$AG$61:$AG$108)+SUMIF('11.2. ДА за периода'!$B$61:$B$108,$B140,'11.2. ДА за периода'!AI$61:AI$108)+SUMIF('11.1.Амортиз.нови активи'!$B$61:$B$108,$B140,'11.1.Амортиз.нови активи'!AI$61:AI$108)</f>
        <v>0</v>
      </c>
      <c r="AJ140" s="1136">
        <f>$AG140-SUMIF('11.2. ДА за периода'!$B$61:$B$108,$B140,'11.2. ДА за периода'!$AG$61:$AG$108)+SUMIF('11.2. ДА за периода'!$B$61:$B$108,$B140,'11.2. ДА за периода'!AJ$61:AJ$108)+SUMIF('11.1.Амортиз.нови активи'!$B$61:$B$108,$B140,'11.1.Амортиз.нови активи'!AJ$61:AJ$108)</f>
        <v>0</v>
      </c>
      <c r="AK140" s="1136">
        <f>$AG140-SUMIF('11.2. ДА за периода'!$B$61:$B$108,$B140,'11.2. ДА за периода'!$AG$61:$AG$108)+SUMIF('11.2. ДА за периода'!$B$61:$B$108,$B140,'11.2. ДА за периода'!AK$61:AK$108)+SUMIF('11.1.Амортиз.нови активи'!$B$61:$B$108,$B140,'11.1.Амортиз.нови активи'!AK$61:AK$108)</f>
        <v>0</v>
      </c>
      <c r="AL140" s="1136">
        <f>$AG140-SUMIF('11.2. ДА за периода'!$B$61:$B$108,$B140,'11.2. ДА за периода'!$AG$61:$AG$108)+SUMIF('11.2. ДА за периода'!$B$61:$B$108,$B140,'11.2. ДА за периода'!AL$61:AL$108)+SUMIF('11.1.Амортиз.нови активи'!$B$61:$B$108,$B140,'11.1.Амортиз.нови активи'!AL$61:AL$108)</f>
        <v>0</v>
      </c>
      <c r="AM140" s="2656">
        <f>$AG140-SUMIF('11.2. ДА за периода'!$B$61:$B$108,$B140,'11.2. ДА за периода'!$AG$61:$AG$108)+SUMIF('11.2. ДА за периода'!$B$61:$B$108,$B140,'11.2. ДА за периода'!AM$61:AM$108)+SUMIF('11.1.Амортиз.нови активи'!$B$61:$B$108,$B140,'11.1.Амортиз.нови активи'!AM$61:AM$108)</f>
        <v>0</v>
      </c>
      <c r="AN140" s="2551"/>
      <c r="AO140" s="2589"/>
      <c r="AP140" s="4488"/>
      <c r="AQ140" s="4504">
        <f t="shared" si="174"/>
        <v>2.6198595992494238E-2</v>
      </c>
      <c r="AR140" s="4504">
        <f t="shared" si="175"/>
        <v>2.6198595992494238E-2</v>
      </c>
      <c r="AS140" s="4504">
        <f t="shared" si="176"/>
        <v>2.6198595992494238E-2</v>
      </c>
      <c r="AT140" s="4504">
        <f t="shared" si="177"/>
        <v>2.6198595992494238E-2</v>
      </c>
      <c r="AU140" s="4504">
        <f t="shared" si="178"/>
        <v>2.6198595992494238E-2</v>
      </c>
      <c r="AV140" s="4504">
        <f t="shared" si="179"/>
        <v>2.6198595992494238E-2</v>
      </c>
      <c r="AW140" s="4504">
        <f t="shared" si="180"/>
        <v>2.6198595992494238E-2</v>
      </c>
      <c r="AX140" s="4504">
        <f t="shared" si="181"/>
        <v>0</v>
      </c>
      <c r="AY140" s="4504">
        <f t="shared" si="182"/>
        <v>0</v>
      </c>
      <c r="AZ140" s="4504">
        <f t="shared" si="183"/>
        <v>0</v>
      </c>
      <c r="BA140" s="4504">
        <f t="shared" si="184"/>
        <v>0</v>
      </c>
      <c r="BB140" s="4504">
        <f t="shared" si="185"/>
        <v>0</v>
      </c>
      <c r="BC140" s="4504">
        <f t="shared" si="186"/>
        <v>0</v>
      </c>
      <c r="BD140" s="4504">
        <f t="shared" si="187"/>
        <v>0</v>
      </c>
      <c r="BE140" s="4504">
        <f t="shared" si="188"/>
        <v>0</v>
      </c>
      <c r="BF140" s="4504">
        <f t="shared" si="189"/>
        <v>0</v>
      </c>
      <c r="BG140" s="4504">
        <f t="shared" si="190"/>
        <v>0</v>
      </c>
      <c r="BH140" s="4504">
        <f t="shared" si="191"/>
        <v>0</v>
      </c>
      <c r="BI140" s="4504">
        <f t="shared" si="192"/>
        <v>0</v>
      </c>
      <c r="BJ140" s="4504">
        <f t="shared" si="193"/>
        <v>0</v>
      </c>
      <c r="BK140" s="4504">
        <f t="shared" si="194"/>
        <v>0</v>
      </c>
      <c r="BL140" s="4504">
        <f t="shared" si="195"/>
        <v>0</v>
      </c>
      <c r="BM140" s="4504">
        <f t="shared" si="196"/>
        <v>0</v>
      </c>
      <c r="BN140" s="4504">
        <f t="shared" si="197"/>
        <v>0</v>
      </c>
      <c r="BO140" s="4504">
        <f t="shared" si="198"/>
        <v>0</v>
      </c>
      <c r="BP140" s="4504">
        <f t="shared" si="199"/>
        <v>0</v>
      </c>
      <c r="BQ140" s="4504">
        <f t="shared" si="200"/>
        <v>0</v>
      </c>
      <c r="BR140" s="4504">
        <f t="shared" si="201"/>
        <v>0</v>
      </c>
      <c r="BS140" s="4504">
        <f t="shared" si="202"/>
        <v>0</v>
      </c>
      <c r="BT140" s="4504">
        <f t="shared" si="203"/>
        <v>0</v>
      </c>
      <c r="BU140" s="4504">
        <f t="shared" si="204"/>
        <v>0</v>
      </c>
      <c r="BV140" s="4504">
        <f t="shared" si="205"/>
        <v>0</v>
      </c>
      <c r="BW140" s="4504">
        <f t="shared" si="206"/>
        <v>0</v>
      </c>
      <c r="BX140" s="4504">
        <f t="shared" si="207"/>
        <v>0</v>
      </c>
      <c r="BY140" s="4504">
        <f t="shared" si="208"/>
        <v>0</v>
      </c>
    </row>
    <row r="141" spans="1:77" s="1323" customFormat="1">
      <c r="A141" s="2611">
        <v>10</v>
      </c>
      <c r="B141" s="2554">
        <v>2040201</v>
      </c>
      <c r="C141" s="2555">
        <v>0.02</v>
      </c>
      <c r="D141" s="2585" t="s">
        <v>738</v>
      </c>
      <c r="E141" s="4453">
        <f>+'11.3. ДА Базова година'!F121</f>
        <v>0</v>
      </c>
      <c r="F141" s="2655">
        <f>$E141-SUMIF('11.2. ДА за периода'!$B$61:$B$108,$B141,'11.2. ДА за периода'!$E$61:$E$108)+SUMIF('11.2. ДА за периода'!$B$61:$B$108,$B141,'11.2. ДА за периода'!F$61:F$108)+SUMIF('11.1.Амортиз.нови активи'!$B$61:$B$108,$B141,'11.1.Амортиз.нови активи'!F$61:F$108)+('11.1.Амортиз.нови активи'!F$110*SUMIF('11.1.Амортиз.нови активи'!$B$61:$B$108,$B141,'11.1.Амортиз.нови активи'!AO$61:AO$108))</f>
        <v>0</v>
      </c>
      <c r="G141" s="1136">
        <f>$E141-SUMIF('11.2. ДА за периода'!$B$61:$B$108,$B141,'11.2. ДА за периода'!$E$61:$E$108)+SUMIF('11.2. ДА за периода'!$B$61:$B$108,$B141,'11.2. ДА за периода'!G$61:G$108)+SUMIF('11.1.Амортиз.нови активи'!$B$61:$B$108,$B141,'11.1.Амортиз.нови активи'!G$61:G$108)+('11.1.Амортиз.нови активи'!G$110*SUMIF('11.1.Амортиз.нови активи'!$B$61:$B$108,$B141,'11.1.Амортиз.нови активи'!AP$61:AP$108))</f>
        <v>0</v>
      </c>
      <c r="H141" s="1136">
        <f>$E141-SUMIF('11.2. ДА за периода'!$B$61:$B$108,$B141,'11.2. ДА за периода'!$E$61:$E$108)+SUMIF('11.2. ДА за периода'!$B$61:$B$108,$B141,'11.2. ДА за периода'!H$61:H$108)+SUMIF('11.1.Амортиз.нови активи'!$B$61:$B$108,$B141,'11.1.Амортиз.нови активи'!H$61:H$108)+('11.1.Амортиз.нови активи'!H$110*SUMIF('11.1.Амортиз.нови активи'!$B$61:$B$108,$B141,'11.1.Амортиз.нови активи'!AQ$61:AQ$108))</f>
        <v>0</v>
      </c>
      <c r="I141" s="1136">
        <f>$E141-SUMIF('11.2. ДА за периода'!$B$61:$B$108,$B141,'11.2. ДА за периода'!$E$61:$E$108)+SUMIF('11.2. ДА за периода'!$B$61:$B$108,$B141,'11.2. ДА за периода'!I$61:I$108)+SUMIF('11.1.Амортиз.нови активи'!$B$61:$B$108,$B141,'11.1.Амортиз.нови активи'!I$61:I$108)+('11.1.Амортиз.нови активи'!I$110*SUMIF('11.1.Амортиз.нови активи'!$B$61:$B$108,$B141,'11.1.Амортиз.нови активи'!AR$61:AR$108))</f>
        <v>0</v>
      </c>
      <c r="J141" s="1136">
        <f>$E141-SUMIF('11.2. ДА за периода'!$B$61:$B$108,$B141,'11.2. ДА за периода'!$E$61:$E$108)+SUMIF('11.2. ДА за периода'!$B$61:$B$108,$B141,'11.2. ДА за периода'!J$61:J$108)+SUMIF('11.1.Амортиз.нови активи'!$B$61:$B$108,$B141,'11.1.Амортиз.нови активи'!J$61:J$108)+('11.1.Амортиз.нови активи'!J$110*SUMIF('11.1.Амортиз.нови активи'!$B$61:$B$108,$B141,'11.1.Амортиз.нови активи'!AS$61:AS$108))</f>
        <v>0</v>
      </c>
      <c r="K141" s="1136">
        <f>$E141-SUMIF('11.2. ДА за периода'!$B$61:$B$108,$B141,'11.2. ДА за периода'!$E$61:$E$108)+SUMIF('11.2. ДА за периода'!$B$61:$B$108,$B141,'11.2. ДА за периода'!K$61:K$108)+SUMIF('11.1.Амортиз.нови активи'!$B$61:$B$108,$B141,'11.1.Амортиз.нови активи'!K$61:K$108)+('11.1.Амортиз.нови активи'!K$110*SUMIF('11.1.Амортиз.нови активи'!$B$61:$B$108,$B141,'11.1.Амортиз.нови активи'!AT$61:AT$108))</f>
        <v>0</v>
      </c>
      <c r="L141" s="4453">
        <f>+'11.3. ДА Базова година'!J121</f>
        <v>0</v>
      </c>
      <c r="M141" s="2655">
        <f>$L141-SUMIF('11.2. ДА за периода'!$B$61:$B$108,$B141,'11.2. ДА за периода'!$L$61:$L$108)+SUMIF('11.2. ДА за периода'!$B$61:$B$108,$B141,'11.2. ДА за периода'!M$61:M$108)+SUMIF('11.1.Амортиз.нови активи'!$B$61:$B$108,$B141,'11.1.Амортиз.нови активи'!M$61:M$108)+('11.1.Амортиз.нови активи'!F$111*SUMIF('11.1.Амортиз.нови активи'!$B$61:$B$108,$B141,'11.1.Амортиз.нови активи'!AO$61:AO$108))</f>
        <v>0</v>
      </c>
      <c r="N141" s="1136">
        <f>$L141-SUMIF('11.2. ДА за периода'!$B$61:$B$108,$B141,'11.2. ДА за периода'!$L$61:$L$108)+SUMIF('11.2. ДА за периода'!$B$61:$B$108,$B141,'11.2. ДА за периода'!N$61:N$108)+SUMIF('11.1.Амортиз.нови активи'!$B$61:$B$108,$B141,'11.1.Амортиз.нови активи'!N$61:N$108)+('11.1.Амортиз.нови активи'!G$111*SUMIF('11.1.Амортиз.нови активи'!$B$61:$B$108,$B141,'11.1.Амортиз.нови активи'!AP$61:AP$108))</f>
        <v>0</v>
      </c>
      <c r="O141" s="1136">
        <f>$L141-SUMIF('11.2. ДА за периода'!$B$61:$B$108,$B141,'11.2. ДА за периода'!$L$61:$L$108)+SUMIF('11.2. ДА за периода'!$B$61:$B$108,$B141,'11.2. ДА за периода'!O$61:O$108)+SUMIF('11.1.Амортиз.нови активи'!$B$61:$B$108,$B141,'11.1.Амортиз.нови активи'!O$61:O$108)+('11.1.Амортиз.нови активи'!H$111*SUMIF('11.1.Амортиз.нови активи'!$B$61:$B$108,$B141,'11.1.Амортиз.нови активи'!AQ$61:AQ$108))</f>
        <v>0</v>
      </c>
      <c r="P141" s="1136">
        <f>$L141-SUMIF('11.2. ДА за периода'!$B$61:$B$108,$B141,'11.2. ДА за периода'!$L$61:$L$108)+SUMIF('11.2. ДА за периода'!$B$61:$B$108,$B141,'11.2. ДА за периода'!P$61:P$108)+SUMIF('11.1.Амортиз.нови активи'!$B$61:$B$108,$B141,'11.1.Амортиз.нови активи'!P$61:P$108)+('11.1.Амортиз.нови активи'!I$111*SUMIF('11.1.Амортиз.нови активи'!$B$61:$B$108,$B141,'11.1.Амортиз.нови активи'!AR$61:AR$108))</f>
        <v>0</v>
      </c>
      <c r="Q141" s="1136">
        <f>$L141-SUMIF('11.2. ДА за периода'!$B$61:$B$108,$B141,'11.2. ДА за периода'!$L$61:$L$108)+SUMIF('11.2. ДА за периода'!$B$61:$B$108,$B141,'11.2. ДА за периода'!Q$61:Q$108)+SUMIF('11.1.Амортиз.нови активи'!$B$61:$B$108,$B141,'11.1.Амортиз.нови активи'!Q$61:Q$108)+('11.1.Амортиз.нови активи'!J$111*SUMIF('11.1.Амортиз.нови активи'!$B$61:$B$108,$B141,'11.1.Амортиз.нови активи'!AS$61:AS$108))</f>
        <v>0</v>
      </c>
      <c r="R141" s="2656">
        <f>$L141-SUMIF('11.2. ДА за периода'!$B$61:$B$108,$B141,'11.2. ДА за периода'!$L$61:$L$108)+SUMIF('11.2. ДА за периода'!$B$61:$B$108,$B141,'11.2. ДА за периода'!R$61:R$108)+SUMIF('11.1.Амортиз.нови активи'!$B$61:$B$108,$B141,'11.1.Амортиз.нови активи'!R$61:R$108)+('11.1.Амортиз.нови активи'!K$111*SUMIF('11.1.Амортиз.нови активи'!$B$61:$B$108,$B141,'11.1.Амортиз.нови активи'!AT$61:AT$108))</f>
        <v>0</v>
      </c>
      <c r="S141" s="4453">
        <f>+'11.3. ДА Базова година'!N121</f>
        <v>0</v>
      </c>
      <c r="T141" s="2655">
        <f>$S141-SUMIF('11.2. ДА за периода'!$B$61:$B$108,$B141,'11.2. ДА за периода'!$S$61:$S$108)+SUMIF('11.2. ДА за периода'!$B$61:$B$108,$B141,'11.2. ДА за периода'!T$61:T$108)+SUMIF('11.1.Амортиз.нови активи'!$B$61:$B$108,$B141,'11.1.Амортиз.нови активи'!T$61:T$108)+('11.1.Амортиз.нови активи'!F$112*SUMIF('11.1.Амортиз.нови активи'!$B$61:$B$108,$B141,'11.1.Амортиз.нови активи'!AO$61:AO$108))</f>
        <v>0</v>
      </c>
      <c r="U141" s="1136">
        <f>$S141-SUMIF('11.2. ДА за периода'!$B$61:$B$108,$B141,'11.2. ДА за периода'!$S$61:$S$108)+SUMIF('11.2. ДА за периода'!$B$61:$B$108,$B141,'11.2. ДА за периода'!U$61:U$108)+SUMIF('11.1.Амортиз.нови активи'!$B$61:$B$108,$B141,'11.1.Амортиз.нови активи'!U$61:U$108)+('11.1.Амортиз.нови активи'!G$112*SUMIF('11.1.Амортиз.нови активи'!$B$61:$B$108,$B141,'11.1.Амортиз.нови активи'!AP$61:AP$108))</f>
        <v>0</v>
      </c>
      <c r="V141" s="1136">
        <f>$S141-SUMIF('11.2. ДА за периода'!$B$61:$B$108,$B141,'11.2. ДА за периода'!$S$61:$S$108)+SUMIF('11.2. ДА за периода'!$B$61:$B$108,$B141,'11.2. ДА за периода'!V$61:V$108)+SUMIF('11.1.Амортиз.нови активи'!$B$61:$B$108,$B141,'11.1.Амортиз.нови активи'!V$61:V$108)+('11.1.Амортиз.нови активи'!H$112*SUMIF('11.1.Амортиз.нови активи'!$B$61:$B$108,$B141,'11.1.Амортиз.нови активи'!AQ$61:AQ$108))</f>
        <v>0</v>
      </c>
      <c r="W141" s="1136">
        <f>$S141-SUMIF('11.2. ДА за периода'!$B$61:$B$108,$B141,'11.2. ДА за периода'!$S$61:$S$108)+SUMIF('11.2. ДА за периода'!$B$61:$B$108,$B141,'11.2. ДА за периода'!W$61:W$108)+SUMIF('11.1.Амортиз.нови активи'!$B$61:$B$108,$B141,'11.1.Амортиз.нови активи'!W$61:W$108)+('11.1.Амортиз.нови активи'!I$112*SUMIF('11.1.Амортиз.нови активи'!$B$61:$B$108,$B141,'11.1.Амортиз.нови активи'!AR$61:AR$108))</f>
        <v>0</v>
      </c>
      <c r="X141" s="1136">
        <f>$S141-SUMIF('11.2. ДА за периода'!$B$61:$B$108,$B141,'11.2. ДА за периода'!$S$61:$S$108)+SUMIF('11.2. ДА за периода'!$B$61:$B$108,$B141,'11.2. ДА за периода'!X$61:X$108)+SUMIF('11.1.Амортиз.нови активи'!$B$61:$B$108,$B141,'11.1.Амортиз.нови активи'!X$61:X$108)+('11.1.Амортиз.нови активи'!J$112*SUMIF('11.1.Амортиз.нови активи'!$B$61:$B$108,$B141,'11.1.Амортиз.нови активи'!AS$61:AS$108))</f>
        <v>0</v>
      </c>
      <c r="Y141" s="2656">
        <f>$S141-SUMIF('11.2. ДА за периода'!$B$61:$B$108,$B141,'11.2. ДА за периода'!$S$61:$S$108)+SUMIF('11.2. ДА за периода'!$B$61:$B$108,$B141,'11.2. ДА за периода'!Y$61:Y$108)+SUMIF('11.1.Амортиз.нови активи'!$B$61:$B$108,$B141,'11.1.Амортиз.нови активи'!Y$61:Y$108)+('11.1.Амортиз.нови активи'!K$112*SUMIF('11.1.Амортиз.нови активи'!$B$61:$B$108,$B141,'11.1.Амортиз.нови активи'!AT$61:AT$108))</f>
        <v>0</v>
      </c>
      <c r="Z141" s="4453">
        <f>+'11.3. ДА Базова година'!R121</f>
        <v>0</v>
      </c>
      <c r="AA141" s="2655">
        <f>$Z141-SUMIF('11.2. ДА за периода'!$B$61:$B$108,$B141,'11.2. ДА за периода'!$Z$61:$Z$108)+SUMIF('11.2. ДА за периода'!$B$61:$B$108,$B141,'11.2. ДА за периода'!AA$61:AA$108)+SUMIF('11.1.Амортиз.нови активи'!$B$61:$B$108,$B141,'11.1.Амортиз.нови активи'!AA$61:AA$108)</f>
        <v>0</v>
      </c>
      <c r="AB141" s="1136">
        <f>$Z141-SUMIF('11.2. ДА за периода'!$B$61:$B$108,$B141,'11.2. ДА за периода'!$Z$61:$Z$108)+SUMIF('11.2. ДА за периода'!$B$61:$B$108,$B141,'11.2. ДА за периода'!AB$61:AB$108)+SUMIF('11.1.Амортиз.нови активи'!$B$61:$B$108,$B141,'11.1.Амортиз.нови активи'!AB$61:AB$108)</f>
        <v>0</v>
      </c>
      <c r="AC141" s="1136">
        <f>$Z141-SUMIF('11.2. ДА за периода'!$B$61:$B$108,$B141,'11.2. ДА за периода'!$Z$61:$Z$108)+SUMIF('11.2. ДА за периода'!$B$61:$B$108,$B141,'11.2. ДА за периода'!AC$61:AC$108)+SUMIF('11.1.Амортиз.нови активи'!$B$61:$B$108,$B141,'11.1.Амортиз.нови активи'!AC$61:AC$108)</f>
        <v>0</v>
      </c>
      <c r="AD141" s="1136">
        <f>$Z141-SUMIF('11.2. ДА за периода'!$B$61:$B$108,$B141,'11.2. ДА за периода'!$Z$61:$Z$108)+SUMIF('11.2. ДА за периода'!$B$61:$B$108,$B141,'11.2. ДА за периода'!AD$61:AD$108)+SUMIF('11.1.Амортиз.нови активи'!$B$61:$B$108,$B141,'11.1.Амортиз.нови активи'!AD$61:AD$108)</f>
        <v>0</v>
      </c>
      <c r="AE141" s="1136">
        <f>$Z141-SUMIF('11.2. ДА за периода'!$B$61:$B$108,$B141,'11.2. ДА за периода'!$Z$61:$Z$108)+SUMIF('11.2. ДА за периода'!$B$61:$B$108,$B141,'11.2. ДА за периода'!AE$61:AE$108)+SUMIF('11.1.Амортиз.нови активи'!$B$61:$B$108,$B141,'11.1.Амортиз.нови активи'!AE$61:AE$108)</f>
        <v>0</v>
      </c>
      <c r="AF141" s="2656">
        <f>$Z141-SUMIF('11.2. ДА за периода'!$B$61:$B$108,$B141,'11.2. ДА за периода'!$Z$61:$Z$108)+SUMIF('11.2. ДА за периода'!$B$61:$B$108,$B141,'11.2. ДА за периода'!AF$61:AF$108)+SUMIF('11.1.Амортиз.нови активи'!$B$61:$B$108,$B141,'11.1.Амортиз.нови активи'!AF$61:AF$108)</f>
        <v>0</v>
      </c>
      <c r="AG141" s="4453">
        <f>+'11.3. ДА Базова година'!V121</f>
        <v>0</v>
      </c>
      <c r="AH141" s="2655">
        <f>$AG141-SUMIF('11.2. ДА за периода'!$B$61:$B$108,$B141,'11.2. ДА за периода'!$AG$61:$AG$108)+SUMIF('11.2. ДА за периода'!$B$61:$B$108,$B141,'11.2. ДА за периода'!AH$61:AH$108)+SUMIF('11.1.Амортиз.нови активи'!$B$61:$B$108,$B141,'11.1.Амортиз.нови активи'!AH$61:AH$108)</f>
        <v>0</v>
      </c>
      <c r="AI141" s="1136">
        <f>$AG141-SUMIF('11.2. ДА за периода'!$B$61:$B$108,$B141,'11.2. ДА за периода'!$AG$61:$AG$108)+SUMIF('11.2. ДА за периода'!$B$61:$B$108,$B141,'11.2. ДА за периода'!AI$61:AI$108)+SUMIF('11.1.Амортиз.нови активи'!$B$61:$B$108,$B141,'11.1.Амортиз.нови активи'!AI$61:AI$108)</f>
        <v>0</v>
      </c>
      <c r="AJ141" s="1136">
        <f>$AG141-SUMIF('11.2. ДА за периода'!$B$61:$B$108,$B141,'11.2. ДА за периода'!$AG$61:$AG$108)+SUMIF('11.2. ДА за периода'!$B$61:$B$108,$B141,'11.2. ДА за периода'!AJ$61:AJ$108)+SUMIF('11.1.Амортиз.нови активи'!$B$61:$B$108,$B141,'11.1.Амортиз.нови активи'!AJ$61:AJ$108)</f>
        <v>0</v>
      </c>
      <c r="AK141" s="1136">
        <f>$AG141-SUMIF('11.2. ДА за периода'!$B$61:$B$108,$B141,'11.2. ДА за периода'!$AG$61:$AG$108)+SUMIF('11.2. ДА за периода'!$B$61:$B$108,$B141,'11.2. ДА за периода'!AK$61:AK$108)+SUMIF('11.1.Амортиз.нови активи'!$B$61:$B$108,$B141,'11.1.Амортиз.нови активи'!AK$61:AK$108)</f>
        <v>0</v>
      </c>
      <c r="AL141" s="1136">
        <f>$AG141-SUMIF('11.2. ДА за периода'!$B$61:$B$108,$B141,'11.2. ДА за периода'!$AG$61:$AG$108)+SUMIF('11.2. ДА за периода'!$B$61:$B$108,$B141,'11.2. ДА за периода'!AL$61:AL$108)+SUMIF('11.1.Амортиз.нови активи'!$B$61:$B$108,$B141,'11.1.Амортиз.нови активи'!AL$61:AL$108)</f>
        <v>0</v>
      </c>
      <c r="AM141" s="2656">
        <f>$AG141-SUMIF('11.2. ДА за периода'!$B$61:$B$108,$B141,'11.2. ДА за периода'!$AG$61:$AG$108)+SUMIF('11.2. ДА за периода'!$B$61:$B$108,$B141,'11.2. ДА за периода'!AM$61:AM$108)+SUMIF('11.1.Амортиз.нови активи'!$B$61:$B$108,$B141,'11.1.Амортиз.нови активи'!AM$61:AM$108)</f>
        <v>0</v>
      </c>
      <c r="AN141" s="2551"/>
      <c r="AO141" s="2589"/>
      <c r="AP141" s="4488"/>
      <c r="AQ141" s="4504">
        <f t="shared" si="174"/>
        <v>0</v>
      </c>
      <c r="AR141" s="4504">
        <f t="shared" si="175"/>
        <v>0</v>
      </c>
      <c r="AS141" s="4504">
        <f t="shared" si="176"/>
        <v>0</v>
      </c>
      <c r="AT141" s="4504">
        <f t="shared" si="177"/>
        <v>0</v>
      </c>
      <c r="AU141" s="4504">
        <f t="shared" si="178"/>
        <v>0</v>
      </c>
      <c r="AV141" s="4504">
        <f t="shared" si="179"/>
        <v>0</v>
      </c>
      <c r="AW141" s="4504">
        <f t="shared" si="180"/>
        <v>0</v>
      </c>
      <c r="AX141" s="4504">
        <f t="shared" si="181"/>
        <v>0</v>
      </c>
      <c r="AY141" s="4504">
        <f t="shared" si="182"/>
        <v>0</v>
      </c>
      <c r="AZ141" s="4504">
        <f t="shared" si="183"/>
        <v>0</v>
      </c>
      <c r="BA141" s="4504">
        <f t="shared" si="184"/>
        <v>0</v>
      </c>
      <c r="BB141" s="4504">
        <f t="shared" si="185"/>
        <v>0</v>
      </c>
      <c r="BC141" s="4504">
        <f t="shared" si="186"/>
        <v>0</v>
      </c>
      <c r="BD141" s="4504">
        <f t="shared" si="187"/>
        <v>0</v>
      </c>
      <c r="BE141" s="4504">
        <f t="shared" si="188"/>
        <v>0</v>
      </c>
      <c r="BF141" s="4504">
        <f t="shared" si="189"/>
        <v>0</v>
      </c>
      <c r="BG141" s="4504">
        <f t="shared" si="190"/>
        <v>0</v>
      </c>
      <c r="BH141" s="4504">
        <f t="shared" si="191"/>
        <v>0</v>
      </c>
      <c r="BI141" s="4504">
        <f t="shared" si="192"/>
        <v>0</v>
      </c>
      <c r="BJ141" s="4504">
        <f t="shared" si="193"/>
        <v>0</v>
      </c>
      <c r="BK141" s="4504">
        <f t="shared" si="194"/>
        <v>0</v>
      </c>
      <c r="BL141" s="4504">
        <f t="shared" si="195"/>
        <v>0</v>
      </c>
      <c r="BM141" s="4504">
        <f t="shared" si="196"/>
        <v>0</v>
      </c>
      <c r="BN141" s="4504">
        <f t="shared" si="197"/>
        <v>0</v>
      </c>
      <c r="BO141" s="4504">
        <f t="shared" si="198"/>
        <v>0</v>
      </c>
      <c r="BP141" s="4504">
        <f t="shared" si="199"/>
        <v>0</v>
      </c>
      <c r="BQ141" s="4504">
        <f t="shared" si="200"/>
        <v>0</v>
      </c>
      <c r="BR141" s="4504">
        <f t="shared" si="201"/>
        <v>0</v>
      </c>
      <c r="BS141" s="4504">
        <f t="shared" si="202"/>
        <v>0</v>
      </c>
      <c r="BT141" s="4504">
        <f t="shared" si="203"/>
        <v>0</v>
      </c>
      <c r="BU141" s="4504">
        <f t="shared" si="204"/>
        <v>0</v>
      </c>
      <c r="BV141" s="4504">
        <f t="shared" si="205"/>
        <v>0</v>
      </c>
      <c r="BW141" s="4504">
        <f t="shared" si="206"/>
        <v>0</v>
      </c>
      <c r="BX141" s="4504">
        <f t="shared" si="207"/>
        <v>0</v>
      </c>
      <c r="BY141" s="4504">
        <f t="shared" si="208"/>
        <v>0</v>
      </c>
    </row>
    <row r="142" spans="1:77" s="1323" customFormat="1">
      <c r="A142" s="2611">
        <v>11</v>
      </c>
      <c r="B142" s="2554">
        <v>2040202</v>
      </c>
      <c r="C142" s="2555">
        <v>0.02</v>
      </c>
      <c r="D142" s="2585" t="s">
        <v>739</v>
      </c>
      <c r="E142" s="4453">
        <f>+'11.3. ДА Базова година'!F122</f>
        <v>2.0928973628699272</v>
      </c>
      <c r="F142" s="2655">
        <f>$E142-SUMIF('11.2. ДА за периода'!$B$61:$B$108,$B142,'11.2. ДА за периода'!$E$61:$E$108)+SUMIF('11.2. ДА за периода'!$B$61:$B$108,$B142,'11.2. ДА за периода'!F$61:F$108)+SUMIF('11.1.Амортиз.нови активи'!$B$61:$B$108,$B142,'11.1.Амортиз.нови активи'!F$61:F$108)+('11.1.Амортиз.нови активи'!F$110*SUMIF('11.1.Амортиз.нови активи'!$B$61:$B$108,$B142,'11.1.Амортиз.нови активи'!AO$61:AO$108))</f>
        <v>2.1128973628699272</v>
      </c>
      <c r="G142" s="1136">
        <f>$E142-SUMIF('11.2. ДА за периода'!$B$61:$B$108,$B142,'11.2. ДА за периода'!$E$61:$E$108)+SUMIF('11.2. ДА за периода'!$B$61:$B$108,$B142,'11.2. ДА за периода'!G$61:G$108)+SUMIF('11.1.Амортиз.нови активи'!$B$61:$B$108,$B142,'11.1.Амортиз.нови активи'!G$61:G$108)+('11.1.Амортиз.нови активи'!G$110*SUMIF('11.1.Амортиз.нови активи'!$B$61:$B$108,$B142,'11.1.Амортиз.нови активи'!AP$61:AP$108))</f>
        <v>2.1628973628699271</v>
      </c>
      <c r="H142" s="1136">
        <f>$E142-SUMIF('11.2. ДА за периода'!$B$61:$B$108,$B142,'11.2. ДА за периода'!$E$61:$E$108)+SUMIF('11.2. ДА за периода'!$B$61:$B$108,$B142,'11.2. ДА за периода'!H$61:H$108)+SUMIF('11.1.Амортиз.нови активи'!$B$61:$B$108,$B142,'11.1.Амортиз.нови активи'!H$61:H$108)+('11.1.Амортиз.нови активи'!H$110*SUMIF('11.1.Амортиз.нови активи'!$B$61:$B$108,$B142,'11.1.Амортиз.нови активи'!AQ$61:AQ$108))</f>
        <v>2.2228973628699271</v>
      </c>
      <c r="I142" s="1136">
        <f>$E142-SUMIF('11.2. ДА за периода'!$B$61:$B$108,$B142,'11.2. ДА за периода'!$E$61:$E$108)+SUMIF('11.2. ДА за периода'!$B$61:$B$108,$B142,'11.2. ДА за периода'!I$61:I$108)+SUMIF('11.1.Амортиз.нови активи'!$B$61:$B$108,$B142,'11.1.Амортиз.нови активи'!I$61:I$108)+('11.1.Амортиз.нови активи'!I$110*SUMIF('11.1.Амортиз.нови активи'!$B$61:$B$108,$B142,'11.1.Амортиз.нови активи'!AR$61:AR$108))</f>
        <v>2.2828973628699272</v>
      </c>
      <c r="J142" s="1136">
        <f>$E142-SUMIF('11.2. ДА за периода'!$B$61:$B$108,$B142,'11.2. ДА за периода'!$E$61:$E$108)+SUMIF('11.2. ДА за периода'!$B$61:$B$108,$B142,'11.2. ДА за периода'!J$61:J$108)+SUMIF('11.1.Амортиз.нови активи'!$B$61:$B$108,$B142,'11.1.Амортиз.нови активи'!J$61:J$108)+('11.1.Амортиз.нови активи'!J$110*SUMIF('11.1.Амортиз.нови активи'!$B$61:$B$108,$B142,'11.1.Амортиз.нови активи'!AS$61:AS$108))</f>
        <v>2.3428973628699272</v>
      </c>
      <c r="K142" s="1136">
        <f>$E142-SUMIF('11.2. ДА за периода'!$B$61:$B$108,$B142,'11.2. ДА за периода'!$E$61:$E$108)+SUMIF('11.2. ДА за периода'!$B$61:$B$108,$B142,'11.2. ДА за периода'!K$61:K$108)+SUMIF('11.1.Амортиз.нови активи'!$B$61:$B$108,$B142,'11.1.Амортиз.нови активи'!K$61:K$108)+('11.1.Амортиз.нови активи'!K$110*SUMIF('11.1.Амортиз.нови активи'!$B$61:$B$108,$B142,'11.1.Амортиз.нови активи'!AT$61:AT$108))</f>
        <v>2.4028973628699273</v>
      </c>
      <c r="L142" s="4453">
        <f>+'11.3. ДА Базова година'!J122</f>
        <v>0</v>
      </c>
      <c r="M142" s="2655">
        <f>$L142-SUMIF('11.2. ДА за периода'!$B$61:$B$108,$B142,'11.2. ДА за периода'!$L$61:$L$108)+SUMIF('11.2. ДА за периода'!$B$61:$B$108,$B142,'11.2. ДА за периода'!M$61:M$108)+SUMIF('11.1.Амортиз.нови активи'!$B$61:$B$108,$B142,'11.1.Амортиз.нови активи'!M$61:M$108)+('11.1.Амортиз.нови активи'!F$111*SUMIF('11.1.Амортиз.нови активи'!$B$61:$B$108,$B142,'11.1.Амортиз.нови активи'!AO$61:AO$108))</f>
        <v>0</v>
      </c>
      <c r="N142" s="1136">
        <f>$L142-SUMIF('11.2. ДА за периода'!$B$61:$B$108,$B142,'11.2. ДА за периода'!$L$61:$L$108)+SUMIF('11.2. ДА за периода'!$B$61:$B$108,$B142,'11.2. ДА за периода'!N$61:N$108)+SUMIF('11.1.Амортиз.нови активи'!$B$61:$B$108,$B142,'11.1.Амортиз.нови активи'!N$61:N$108)+('11.1.Амортиз.нови активи'!G$111*SUMIF('11.1.Амортиз.нови активи'!$B$61:$B$108,$B142,'11.1.Амортиз.нови активи'!AP$61:AP$108))</f>
        <v>0</v>
      </c>
      <c r="O142" s="1136">
        <f>$L142-SUMIF('11.2. ДА за периода'!$B$61:$B$108,$B142,'11.2. ДА за периода'!$L$61:$L$108)+SUMIF('11.2. ДА за периода'!$B$61:$B$108,$B142,'11.2. ДА за периода'!O$61:O$108)+SUMIF('11.1.Амортиз.нови активи'!$B$61:$B$108,$B142,'11.1.Амортиз.нови активи'!O$61:O$108)+('11.1.Амортиз.нови активи'!H$111*SUMIF('11.1.Амортиз.нови активи'!$B$61:$B$108,$B142,'11.1.Амортиз.нови активи'!AQ$61:AQ$108))</f>
        <v>0</v>
      </c>
      <c r="P142" s="1136">
        <f>$L142-SUMIF('11.2. ДА за периода'!$B$61:$B$108,$B142,'11.2. ДА за периода'!$L$61:$L$108)+SUMIF('11.2. ДА за периода'!$B$61:$B$108,$B142,'11.2. ДА за периода'!P$61:P$108)+SUMIF('11.1.Амортиз.нови активи'!$B$61:$B$108,$B142,'11.1.Амортиз.нови активи'!P$61:P$108)+('11.1.Амортиз.нови активи'!I$111*SUMIF('11.1.Амортиз.нови активи'!$B$61:$B$108,$B142,'11.1.Амортиз.нови активи'!AR$61:AR$108))</f>
        <v>0</v>
      </c>
      <c r="Q142" s="1136">
        <f>$L142-SUMIF('11.2. ДА за периода'!$B$61:$B$108,$B142,'11.2. ДА за периода'!$L$61:$L$108)+SUMIF('11.2. ДА за периода'!$B$61:$B$108,$B142,'11.2. ДА за периода'!Q$61:Q$108)+SUMIF('11.1.Амортиз.нови активи'!$B$61:$B$108,$B142,'11.1.Амортиз.нови активи'!Q$61:Q$108)+('11.1.Амортиз.нови активи'!J$111*SUMIF('11.1.Амортиз.нови активи'!$B$61:$B$108,$B142,'11.1.Амортиз.нови активи'!AS$61:AS$108))</f>
        <v>0</v>
      </c>
      <c r="R142" s="2656">
        <f>$L142-SUMIF('11.2. ДА за периода'!$B$61:$B$108,$B142,'11.2. ДА за периода'!$L$61:$L$108)+SUMIF('11.2. ДА за периода'!$B$61:$B$108,$B142,'11.2. ДА за периода'!R$61:R$108)+SUMIF('11.1.Амортиз.нови активи'!$B$61:$B$108,$B142,'11.1.Амортиз.нови активи'!R$61:R$108)+('11.1.Амортиз.нови активи'!K$111*SUMIF('11.1.Амортиз.нови активи'!$B$61:$B$108,$B142,'11.1.Амортиз.нови активи'!AT$61:AT$108))</f>
        <v>0</v>
      </c>
      <c r="S142" s="4453">
        <f>+'11.3. ДА Базова година'!N122</f>
        <v>0</v>
      </c>
      <c r="T142" s="2655">
        <f>$S142-SUMIF('11.2. ДА за периода'!$B$61:$B$108,$B142,'11.2. ДА за периода'!$S$61:$S$108)+SUMIF('11.2. ДА за периода'!$B$61:$B$108,$B142,'11.2. ДА за периода'!T$61:T$108)+SUMIF('11.1.Амортиз.нови активи'!$B$61:$B$108,$B142,'11.1.Амортиз.нови активи'!T$61:T$108)+('11.1.Амортиз.нови активи'!F$112*SUMIF('11.1.Амортиз.нови активи'!$B$61:$B$108,$B142,'11.1.Амортиз.нови активи'!AO$61:AO$108))</f>
        <v>0</v>
      </c>
      <c r="U142" s="1136">
        <f>$S142-SUMIF('11.2. ДА за периода'!$B$61:$B$108,$B142,'11.2. ДА за периода'!$S$61:$S$108)+SUMIF('11.2. ДА за периода'!$B$61:$B$108,$B142,'11.2. ДА за периода'!U$61:U$108)+SUMIF('11.1.Амортиз.нови активи'!$B$61:$B$108,$B142,'11.1.Амортиз.нови активи'!U$61:U$108)+('11.1.Амортиз.нови активи'!G$112*SUMIF('11.1.Амортиз.нови активи'!$B$61:$B$108,$B142,'11.1.Амортиз.нови активи'!AP$61:AP$108))</f>
        <v>0</v>
      </c>
      <c r="V142" s="1136">
        <f>$S142-SUMIF('11.2. ДА за периода'!$B$61:$B$108,$B142,'11.2. ДА за периода'!$S$61:$S$108)+SUMIF('11.2. ДА за периода'!$B$61:$B$108,$B142,'11.2. ДА за периода'!V$61:V$108)+SUMIF('11.1.Амортиз.нови активи'!$B$61:$B$108,$B142,'11.1.Амортиз.нови активи'!V$61:V$108)+('11.1.Амортиз.нови активи'!H$112*SUMIF('11.1.Амортиз.нови активи'!$B$61:$B$108,$B142,'11.1.Амортиз.нови активи'!AQ$61:AQ$108))</f>
        <v>0</v>
      </c>
      <c r="W142" s="1136">
        <f>$S142-SUMIF('11.2. ДА за периода'!$B$61:$B$108,$B142,'11.2. ДА за периода'!$S$61:$S$108)+SUMIF('11.2. ДА за периода'!$B$61:$B$108,$B142,'11.2. ДА за периода'!W$61:W$108)+SUMIF('11.1.Амортиз.нови активи'!$B$61:$B$108,$B142,'11.1.Амортиз.нови активи'!W$61:W$108)+('11.1.Амортиз.нови активи'!I$112*SUMIF('11.1.Амортиз.нови активи'!$B$61:$B$108,$B142,'11.1.Амортиз.нови активи'!AR$61:AR$108))</f>
        <v>0</v>
      </c>
      <c r="X142" s="1136">
        <f>$S142-SUMIF('11.2. ДА за периода'!$B$61:$B$108,$B142,'11.2. ДА за периода'!$S$61:$S$108)+SUMIF('11.2. ДА за периода'!$B$61:$B$108,$B142,'11.2. ДА за периода'!X$61:X$108)+SUMIF('11.1.Амортиз.нови активи'!$B$61:$B$108,$B142,'11.1.Амортиз.нови активи'!X$61:X$108)+('11.1.Амортиз.нови активи'!J$112*SUMIF('11.1.Амортиз.нови активи'!$B$61:$B$108,$B142,'11.1.Амортиз.нови активи'!AS$61:AS$108))</f>
        <v>0</v>
      </c>
      <c r="Y142" s="2656">
        <f>$S142-SUMIF('11.2. ДА за периода'!$B$61:$B$108,$B142,'11.2. ДА за периода'!$S$61:$S$108)+SUMIF('11.2. ДА за периода'!$B$61:$B$108,$B142,'11.2. ДА за периода'!Y$61:Y$108)+SUMIF('11.1.Амортиз.нови активи'!$B$61:$B$108,$B142,'11.1.Амортиз.нови активи'!Y$61:Y$108)+('11.1.Амортиз.нови активи'!K$112*SUMIF('11.1.Амортиз.нови активи'!$B$61:$B$108,$B142,'11.1.Амортиз.нови активи'!AT$61:AT$108))</f>
        <v>0</v>
      </c>
      <c r="Z142" s="4453">
        <f>+'11.3. ДА Базова година'!R122</f>
        <v>0</v>
      </c>
      <c r="AA142" s="2655">
        <f>$Z142-SUMIF('11.2. ДА за периода'!$B$61:$B$108,$B142,'11.2. ДА за периода'!$Z$61:$Z$108)+SUMIF('11.2. ДА за периода'!$B$61:$B$108,$B142,'11.2. ДА за периода'!AA$61:AA$108)+SUMIF('11.1.Амортиз.нови активи'!$B$61:$B$108,$B142,'11.1.Амортиз.нови активи'!AA$61:AA$108)</f>
        <v>0</v>
      </c>
      <c r="AB142" s="1136">
        <f>$Z142-SUMIF('11.2. ДА за периода'!$B$61:$B$108,$B142,'11.2. ДА за периода'!$Z$61:$Z$108)+SUMIF('11.2. ДА за периода'!$B$61:$B$108,$B142,'11.2. ДА за периода'!AB$61:AB$108)+SUMIF('11.1.Амортиз.нови активи'!$B$61:$B$108,$B142,'11.1.Амортиз.нови активи'!AB$61:AB$108)</f>
        <v>0</v>
      </c>
      <c r="AC142" s="1136">
        <f>$Z142-SUMIF('11.2. ДА за периода'!$B$61:$B$108,$B142,'11.2. ДА за периода'!$Z$61:$Z$108)+SUMIF('11.2. ДА за периода'!$B$61:$B$108,$B142,'11.2. ДА за периода'!AC$61:AC$108)+SUMIF('11.1.Амортиз.нови активи'!$B$61:$B$108,$B142,'11.1.Амортиз.нови активи'!AC$61:AC$108)</f>
        <v>0</v>
      </c>
      <c r="AD142" s="1136">
        <f>$Z142-SUMIF('11.2. ДА за периода'!$B$61:$B$108,$B142,'11.2. ДА за периода'!$Z$61:$Z$108)+SUMIF('11.2. ДА за периода'!$B$61:$B$108,$B142,'11.2. ДА за периода'!AD$61:AD$108)+SUMIF('11.1.Амортиз.нови активи'!$B$61:$B$108,$B142,'11.1.Амортиз.нови активи'!AD$61:AD$108)</f>
        <v>0</v>
      </c>
      <c r="AE142" s="1136">
        <f>$Z142-SUMIF('11.2. ДА за периода'!$B$61:$B$108,$B142,'11.2. ДА за периода'!$Z$61:$Z$108)+SUMIF('11.2. ДА за периода'!$B$61:$B$108,$B142,'11.2. ДА за периода'!AE$61:AE$108)+SUMIF('11.1.Амортиз.нови активи'!$B$61:$B$108,$B142,'11.1.Амортиз.нови активи'!AE$61:AE$108)</f>
        <v>0</v>
      </c>
      <c r="AF142" s="2656">
        <f>$Z142-SUMIF('11.2. ДА за периода'!$B$61:$B$108,$B142,'11.2. ДА за периода'!$Z$61:$Z$108)+SUMIF('11.2. ДА за периода'!$B$61:$B$108,$B142,'11.2. ДА за периода'!AF$61:AF$108)+SUMIF('11.1.Амортиз.нови активи'!$B$61:$B$108,$B142,'11.1.Амортиз.нови активи'!AF$61:AF$108)</f>
        <v>0</v>
      </c>
      <c r="AG142" s="4453">
        <f>+'11.3. ДА Базова година'!V122</f>
        <v>0.49568263713007288</v>
      </c>
      <c r="AH142" s="2655">
        <f>$AG142-SUMIF('11.2. ДА за периода'!$B$61:$B$108,$B142,'11.2. ДА за периода'!$AG$61:$AG$108)+SUMIF('11.2. ДА за периода'!$B$61:$B$108,$B142,'11.2. ДА за периода'!AH$61:AH$108)+SUMIF('11.1.Амортиз.нови активи'!$B$61:$B$108,$B142,'11.1.Амортиз.нови активи'!AH$61:AH$108)</f>
        <v>0.49568263713007288</v>
      </c>
      <c r="AI142" s="1136">
        <f>$AG142-SUMIF('11.2. ДА за периода'!$B$61:$B$108,$B142,'11.2. ДА за периода'!$AG$61:$AG$108)+SUMIF('11.2. ДА за периода'!$B$61:$B$108,$B142,'11.2. ДА за периода'!AI$61:AI$108)+SUMIF('11.1.Амортиз.нови активи'!$B$61:$B$108,$B142,'11.1.Амортиз.нови активи'!AI$61:AI$108)</f>
        <v>1.2456826371300729</v>
      </c>
      <c r="AJ142" s="1136">
        <f>$AG142-SUMIF('11.2. ДА за периода'!$B$61:$B$108,$B142,'11.2. ДА за периода'!$AG$61:$AG$108)+SUMIF('11.2. ДА за периода'!$B$61:$B$108,$B142,'11.2. ДА за периода'!AJ$61:AJ$108)+SUMIF('11.1.Амортиз.нови активи'!$B$61:$B$108,$B142,'11.1.Амортиз.нови активи'!AJ$61:AJ$108)</f>
        <v>2.1956826371300728</v>
      </c>
      <c r="AK142" s="1136">
        <f>$AG142-SUMIF('11.2. ДА за периода'!$B$61:$B$108,$B142,'11.2. ДА за периода'!$AG$61:$AG$108)+SUMIF('11.2. ДА за периода'!$B$61:$B$108,$B142,'11.2. ДА за периода'!AK$61:AK$108)+SUMIF('11.1.Амортиз.нови активи'!$B$61:$B$108,$B142,'11.1.Амортиз.нови активи'!AK$61:AK$108)</f>
        <v>2.5456826371300725</v>
      </c>
      <c r="AL142" s="1136">
        <f>$AG142-SUMIF('11.2. ДА за периода'!$B$61:$B$108,$B142,'11.2. ДА за периода'!$AG$61:$AG$108)+SUMIF('11.2. ДА за периода'!$B$61:$B$108,$B142,'11.2. ДА за периода'!AL$61:AL$108)+SUMIF('11.1.Амортиз.нови активи'!$B$61:$B$108,$B142,'11.1.Амортиз.нови активи'!AL$61:AL$108)</f>
        <v>2.6956826371300728</v>
      </c>
      <c r="AM142" s="2656">
        <f>$AG142-SUMIF('11.2. ДА за периода'!$B$61:$B$108,$B142,'11.2. ДА за периода'!$AG$61:$AG$108)+SUMIF('11.2. ДА за периода'!$B$61:$B$108,$B142,'11.2. ДА за периода'!AM$61:AM$108)+SUMIF('11.1.Амортиз.нови активи'!$B$61:$B$108,$B142,'11.1.Амортиз.нови активи'!AM$61:AM$108)</f>
        <v>2.6956826371300728</v>
      </c>
      <c r="AN142" s="2551"/>
      <c r="AO142" s="2589"/>
      <c r="AP142" s="4488"/>
      <c r="AQ142" s="4504">
        <f t="shared" si="174"/>
        <v>1.0700814298123698</v>
      </c>
      <c r="AR142" s="4504">
        <f t="shared" si="175"/>
        <v>1.0803072674362941</v>
      </c>
      <c r="AS142" s="4504">
        <f t="shared" si="176"/>
        <v>1.1058718614961049</v>
      </c>
      <c r="AT142" s="4504">
        <f t="shared" si="177"/>
        <v>1.1365493743678781</v>
      </c>
      <c r="AU142" s="4504">
        <f t="shared" si="178"/>
        <v>1.1672268872396514</v>
      </c>
      <c r="AV142" s="4504">
        <f t="shared" si="179"/>
        <v>1.1979044001114245</v>
      </c>
      <c r="AW142" s="4504">
        <f t="shared" si="180"/>
        <v>1.2285819129831976</v>
      </c>
      <c r="AX142" s="4504">
        <f t="shared" si="181"/>
        <v>0</v>
      </c>
      <c r="AY142" s="4504">
        <f t="shared" si="182"/>
        <v>0</v>
      </c>
      <c r="AZ142" s="4504">
        <f t="shared" si="183"/>
        <v>0</v>
      </c>
      <c r="BA142" s="4504">
        <f t="shared" si="184"/>
        <v>0</v>
      </c>
      <c r="BB142" s="4504">
        <f t="shared" si="185"/>
        <v>0</v>
      </c>
      <c r="BC142" s="4504">
        <f t="shared" si="186"/>
        <v>0</v>
      </c>
      <c r="BD142" s="4504">
        <f t="shared" si="187"/>
        <v>0</v>
      </c>
      <c r="BE142" s="4504">
        <f t="shared" si="188"/>
        <v>0</v>
      </c>
      <c r="BF142" s="4504">
        <f t="shared" si="189"/>
        <v>0</v>
      </c>
      <c r="BG142" s="4504">
        <f t="shared" si="190"/>
        <v>0</v>
      </c>
      <c r="BH142" s="4504">
        <f t="shared" si="191"/>
        <v>0</v>
      </c>
      <c r="BI142" s="4504">
        <f t="shared" si="192"/>
        <v>0</v>
      </c>
      <c r="BJ142" s="4504">
        <f t="shared" si="193"/>
        <v>0</v>
      </c>
      <c r="BK142" s="4504">
        <f t="shared" si="194"/>
        <v>0</v>
      </c>
      <c r="BL142" s="4504">
        <f t="shared" si="195"/>
        <v>0</v>
      </c>
      <c r="BM142" s="4504">
        <f t="shared" si="196"/>
        <v>0</v>
      </c>
      <c r="BN142" s="4504">
        <f t="shared" si="197"/>
        <v>0</v>
      </c>
      <c r="BO142" s="4504">
        <f t="shared" si="198"/>
        <v>0</v>
      </c>
      <c r="BP142" s="4504">
        <f t="shared" si="199"/>
        <v>0</v>
      </c>
      <c r="BQ142" s="4504">
        <f t="shared" si="200"/>
        <v>0</v>
      </c>
      <c r="BR142" s="4504">
        <f t="shared" si="201"/>
        <v>0</v>
      </c>
      <c r="BS142" s="4504">
        <f t="shared" si="202"/>
        <v>0.25343850801453749</v>
      </c>
      <c r="BT142" s="4504">
        <f t="shared" si="203"/>
        <v>0.25343850801453749</v>
      </c>
      <c r="BU142" s="4504">
        <f t="shared" si="204"/>
        <v>0.63690741891170133</v>
      </c>
      <c r="BV142" s="4504">
        <f t="shared" si="205"/>
        <v>1.122634706048109</v>
      </c>
      <c r="BW142" s="4504">
        <f t="shared" si="206"/>
        <v>1.3015868644667852</v>
      </c>
      <c r="BX142" s="4504">
        <f t="shared" si="207"/>
        <v>1.3782806466462181</v>
      </c>
      <c r="BY142" s="4504">
        <f t="shared" si="208"/>
        <v>1.3782806466462181</v>
      </c>
    </row>
    <row r="143" spans="1:77" s="1323" customFormat="1">
      <c r="A143" s="2611">
        <v>12</v>
      </c>
      <c r="B143" s="2554">
        <v>2040203</v>
      </c>
      <c r="C143" s="2555">
        <v>0.02</v>
      </c>
      <c r="D143" s="2585" t="s">
        <v>418</v>
      </c>
      <c r="E143" s="4453">
        <f>+'11.3. ДА Базова година'!F123</f>
        <v>0</v>
      </c>
      <c r="F143" s="2655">
        <f>$E143-SUMIF('11.2. ДА за периода'!$B$61:$B$108,$B143,'11.2. ДА за периода'!$E$61:$E$108)+SUMIF('11.2. ДА за периода'!$B$61:$B$108,$B143,'11.2. ДА за периода'!F$61:F$108)+SUMIF('11.1.Амортиз.нови активи'!$B$61:$B$108,$B143,'11.1.Амортиз.нови активи'!F$61:F$108)+('11.1.Амортиз.нови активи'!F$110*SUMIF('11.1.Амортиз.нови активи'!$B$61:$B$108,$B143,'11.1.Амортиз.нови активи'!AO$61:AO$108))</f>
        <v>0</v>
      </c>
      <c r="G143" s="1136">
        <f>$E143-SUMIF('11.2. ДА за периода'!$B$61:$B$108,$B143,'11.2. ДА за периода'!$E$61:$E$108)+SUMIF('11.2. ДА за периода'!$B$61:$B$108,$B143,'11.2. ДА за периода'!G$61:G$108)+SUMIF('11.1.Амортиз.нови активи'!$B$61:$B$108,$B143,'11.1.Амортиз.нови активи'!G$61:G$108)+('11.1.Амортиз.нови активи'!G$110*SUMIF('11.1.Амортиз.нови активи'!$B$61:$B$108,$B143,'11.1.Амортиз.нови активи'!AP$61:AP$108))</f>
        <v>0</v>
      </c>
      <c r="H143" s="1136">
        <f>$E143-SUMIF('11.2. ДА за периода'!$B$61:$B$108,$B143,'11.2. ДА за периода'!$E$61:$E$108)+SUMIF('11.2. ДА за периода'!$B$61:$B$108,$B143,'11.2. ДА за периода'!H$61:H$108)+SUMIF('11.1.Амортиз.нови активи'!$B$61:$B$108,$B143,'11.1.Амортиз.нови активи'!H$61:H$108)+('11.1.Амортиз.нови активи'!H$110*SUMIF('11.1.Амортиз.нови активи'!$B$61:$B$108,$B143,'11.1.Амортиз.нови активи'!AQ$61:AQ$108))</f>
        <v>0</v>
      </c>
      <c r="I143" s="1136">
        <f>$E143-SUMIF('11.2. ДА за периода'!$B$61:$B$108,$B143,'11.2. ДА за периода'!$E$61:$E$108)+SUMIF('11.2. ДА за периода'!$B$61:$B$108,$B143,'11.2. ДА за периода'!I$61:I$108)+SUMIF('11.1.Амортиз.нови активи'!$B$61:$B$108,$B143,'11.1.Амортиз.нови активи'!I$61:I$108)+('11.1.Амортиз.нови активи'!I$110*SUMIF('11.1.Амортиз.нови активи'!$B$61:$B$108,$B143,'11.1.Амортиз.нови активи'!AR$61:AR$108))</f>
        <v>0</v>
      </c>
      <c r="J143" s="1136">
        <f>$E143-SUMIF('11.2. ДА за периода'!$B$61:$B$108,$B143,'11.2. ДА за периода'!$E$61:$E$108)+SUMIF('11.2. ДА за периода'!$B$61:$B$108,$B143,'11.2. ДА за периода'!J$61:J$108)+SUMIF('11.1.Амортиз.нови активи'!$B$61:$B$108,$B143,'11.1.Амортиз.нови активи'!J$61:J$108)+('11.1.Амортиз.нови активи'!J$110*SUMIF('11.1.Амортиз.нови активи'!$B$61:$B$108,$B143,'11.1.Амортиз.нови активи'!AS$61:AS$108))</f>
        <v>0</v>
      </c>
      <c r="K143" s="1136">
        <f>$E143-SUMIF('11.2. ДА за периода'!$B$61:$B$108,$B143,'11.2. ДА за периода'!$E$61:$E$108)+SUMIF('11.2. ДА за периода'!$B$61:$B$108,$B143,'11.2. ДА за периода'!K$61:K$108)+SUMIF('11.1.Амортиз.нови активи'!$B$61:$B$108,$B143,'11.1.Амортиз.нови активи'!K$61:K$108)+('11.1.Амортиз.нови активи'!K$110*SUMIF('11.1.Амортиз.нови активи'!$B$61:$B$108,$B143,'11.1.Амортиз.нови активи'!AT$61:AT$108))</f>
        <v>0</v>
      </c>
      <c r="L143" s="4453">
        <f>+'11.3. ДА Базова година'!J123</f>
        <v>0</v>
      </c>
      <c r="M143" s="2655">
        <f>$L143-SUMIF('11.2. ДА за периода'!$B$61:$B$108,$B143,'11.2. ДА за периода'!$L$61:$L$108)+SUMIF('11.2. ДА за периода'!$B$61:$B$108,$B143,'11.2. ДА за периода'!M$61:M$108)+SUMIF('11.1.Амортиз.нови активи'!$B$61:$B$108,$B143,'11.1.Амортиз.нови активи'!M$61:M$108)+('11.1.Амортиз.нови активи'!F$111*SUMIF('11.1.Амортиз.нови активи'!$B$61:$B$108,$B143,'11.1.Амортиз.нови активи'!AO$61:AO$108))</f>
        <v>0</v>
      </c>
      <c r="N143" s="1136">
        <f>$L143-SUMIF('11.2. ДА за периода'!$B$61:$B$108,$B143,'11.2. ДА за периода'!$L$61:$L$108)+SUMIF('11.2. ДА за периода'!$B$61:$B$108,$B143,'11.2. ДА за периода'!N$61:N$108)+SUMIF('11.1.Амортиз.нови активи'!$B$61:$B$108,$B143,'11.1.Амортиз.нови активи'!N$61:N$108)+('11.1.Амортиз.нови активи'!G$111*SUMIF('11.1.Амортиз.нови активи'!$B$61:$B$108,$B143,'11.1.Амортиз.нови активи'!AP$61:AP$108))</f>
        <v>0</v>
      </c>
      <c r="O143" s="1136">
        <f>$L143-SUMIF('11.2. ДА за периода'!$B$61:$B$108,$B143,'11.2. ДА за периода'!$L$61:$L$108)+SUMIF('11.2. ДА за периода'!$B$61:$B$108,$B143,'11.2. ДА за периода'!O$61:O$108)+SUMIF('11.1.Амортиз.нови активи'!$B$61:$B$108,$B143,'11.1.Амортиз.нови активи'!O$61:O$108)+('11.1.Амортиз.нови активи'!H$111*SUMIF('11.1.Амортиз.нови активи'!$B$61:$B$108,$B143,'11.1.Амортиз.нови активи'!AQ$61:AQ$108))</f>
        <v>0</v>
      </c>
      <c r="P143" s="1136">
        <f>$L143-SUMIF('11.2. ДА за периода'!$B$61:$B$108,$B143,'11.2. ДА за периода'!$L$61:$L$108)+SUMIF('11.2. ДА за периода'!$B$61:$B$108,$B143,'11.2. ДА за периода'!P$61:P$108)+SUMIF('11.1.Амортиз.нови активи'!$B$61:$B$108,$B143,'11.1.Амортиз.нови активи'!P$61:P$108)+('11.1.Амортиз.нови активи'!I$111*SUMIF('11.1.Амортиз.нови активи'!$B$61:$B$108,$B143,'11.1.Амортиз.нови активи'!AR$61:AR$108))</f>
        <v>0</v>
      </c>
      <c r="Q143" s="1136">
        <f>$L143-SUMIF('11.2. ДА за периода'!$B$61:$B$108,$B143,'11.2. ДА за периода'!$L$61:$L$108)+SUMIF('11.2. ДА за периода'!$B$61:$B$108,$B143,'11.2. ДА за периода'!Q$61:Q$108)+SUMIF('11.1.Амортиз.нови активи'!$B$61:$B$108,$B143,'11.1.Амортиз.нови активи'!Q$61:Q$108)+('11.1.Амортиз.нови активи'!J$111*SUMIF('11.1.Амортиз.нови активи'!$B$61:$B$108,$B143,'11.1.Амортиз.нови активи'!AS$61:AS$108))</f>
        <v>0</v>
      </c>
      <c r="R143" s="2656">
        <f>$L143-SUMIF('11.2. ДА за периода'!$B$61:$B$108,$B143,'11.2. ДА за периода'!$L$61:$L$108)+SUMIF('11.2. ДА за периода'!$B$61:$B$108,$B143,'11.2. ДА за периода'!R$61:R$108)+SUMIF('11.1.Амортиз.нови активи'!$B$61:$B$108,$B143,'11.1.Амортиз.нови активи'!R$61:R$108)+('11.1.Амортиз.нови активи'!K$111*SUMIF('11.1.Амортиз.нови активи'!$B$61:$B$108,$B143,'11.1.Амортиз.нови активи'!AT$61:AT$108))</f>
        <v>0</v>
      </c>
      <c r="S143" s="4453">
        <f>+'11.3. ДА Базова година'!N123</f>
        <v>0</v>
      </c>
      <c r="T143" s="2655">
        <f>$S143-SUMIF('11.2. ДА за периода'!$B$61:$B$108,$B143,'11.2. ДА за периода'!$S$61:$S$108)+SUMIF('11.2. ДА за периода'!$B$61:$B$108,$B143,'11.2. ДА за периода'!T$61:T$108)+SUMIF('11.1.Амортиз.нови активи'!$B$61:$B$108,$B143,'11.1.Амортиз.нови активи'!T$61:T$108)+('11.1.Амортиз.нови активи'!F$112*SUMIF('11.1.Амортиз.нови активи'!$B$61:$B$108,$B143,'11.1.Амортиз.нови активи'!AO$61:AO$108))</f>
        <v>0</v>
      </c>
      <c r="U143" s="1136">
        <f>$S143-SUMIF('11.2. ДА за периода'!$B$61:$B$108,$B143,'11.2. ДА за периода'!$S$61:$S$108)+SUMIF('11.2. ДА за периода'!$B$61:$B$108,$B143,'11.2. ДА за периода'!U$61:U$108)+SUMIF('11.1.Амортиз.нови активи'!$B$61:$B$108,$B143,'11.1.Амортиз.нови активи'!U$61:U$108)+('11.1.Амортиз.нови активи'!G$112*SUMIF('11.1.Амортиз.нови активи'!$B$61:$B$108,$B143,'11.1.Амортиз.нови активи'!AP$61:AP$108))</f>
        <v>0</v>
      </c>
      <c r="V143" s="1136">
        <f>$S143-SUMIF('11.2. ДА за периода'!$B$61:$B$108,$B143,'11.2. ДА за периода'!$S$61:$S$108)+SUMIF('11.2. ДА за периода'!$B$61:$B$108,$B143,'11.2. ДА за периода'!V$61:V$108)+SUMIF('11.1.Амортиз.нови активи'!$B$61:$B$108,$B143,'11.1.Амортиз.нови активи'!V$61:V$108)+('11.1.Амортиз.нови активи'!H$112*SUMIF('11.1.Амортиз.нови активи'!$B$61:$B$108,$B143,'11.1.Амортиз.нови активи'!AQ$61:AQ$108))</f>
        <v>0</v>
      </c>
      <c r="W143" s="1136">
        <f>$S143-SUMIF('11.2. ДА за периода'!$B$61:$B$108,$B143,'11.2. ДА за периода'!$S$61:$S$108)+SUMIF('11.2. ДА за периода'!$B$61:$B$108,$B143,'11.2. ДА за периода'!W$61:W$108)+SUMIF('11.1.Амортиз.нови активи'!$B$61:$B$108,$B143,'11.1.Амортиз.нови активи'!W$61:W$108)+('11.1.Амортиз.нови активи'!I$112*SUMIF('11.1.Амортиз.нови активи'!$B$61:$B$108,$B143,'11.1.Амортиз.нови активи'!AR$61:AR$108))</f>
        <v>0</v>
      </c>
      <c r="X143" s="1136">
        <f>$S143-SUMIF('11.2. ДА за периода'!$B$61:$B$108,$B143,'11.2. ДА за периода'!$S$61:$S$108)+SUMIF('11.2. ДА за периода'!$B$61:$B$108,$B143,'11.2. ДА за периода'!X$61:X$108)+SUMIF('11.1.Амортиз.нови активи'!$B$61:$B$108,$B143,'11.1.Амортиз.нови активи'!X$61:X$108)+('11.1.Амортиз.нови активи'!J$112*SUMIF('11.1.Амортиз.нови активи'!$B$61:$B$108,$B143,'11.1.Амортиз.нови активи'!AS$61:AS$108))</f>
        <v>0</v>
      </c>
      <c r="Y143" s="2656">
        <f>$S143-SUMIF('11.2. ДА за периода'!$B$61:$B$108,$B143,'11.2. ДА за периода'!$S$61:$S$108)+SUMIF('11.2. ДА за периода'!$B$61:$B$108,$B143,'11.2. ДА за периода'!Y$61:Y$108)+SUMIF('11.1.Амортиз.нови активи'!$B$61:$B$108,$B143,'11.1.Амортиз.нови активи'!Y$61:Y$108)+('11.1.Амортиз.нови активи'!K$112*SUMIF('11.1.Амортиз.нови активи'!$B$61:$B$108,$B143,'11.1.Амортиз.нови активи'!AT$61:AT$108))</f>
        <v>0</v>
      </c>
      <c r="Z143" s="4453">
        <f>+'11.3. ДА Базова година'!R123</f>
        <v>0</v>
      </c>
      <c r="AA143" s="2655">
        <f>$Z143-SUMIF('11.2. ДА за периода'!$B$61:$B$108,$B143,'11.2. ДА за периода'!$Z$61:$Z$108)+SUMIF('11.2. ДА за периода'!$B$61:$B$108,$B143,'11.2. ДА за периода'!AA$61:AA$108)+SUMIF('11.1.Амортиз.нови активи'!$B$61:$B$108,$B143,'11.1.Амортиз.нови активи'!AA$61:AA$108)</f>
        <v>0</v>
      </c>
      <c r="AB143" s="1136">
        <f>$Z143-SUMIF('11.2. ДА за периода'!$B$61:$B$108,$B143,'11.2. ДА за периода'!$Z$61:$Z$108)+SUMIF('11.2. ДА за периода'!$B$61:$B$108,$B143,'11.2. ДА за периода'!AB$61:AB$108)+SUMIF('11.1.Амортиз.нови активи'!$B$61:$B$108,$B143,'11.1.Амортиз.нови активи'!AB$61:AB$108)</f>
        <v>0</v>
      </c>
      <c r="AC143" s="1136">
        <f>$Z143-SUMIF('11.2. ДА за периода'!$B$61:$B$108,$B143,'11.2. ДА за периода'!$Z$61:$Z$108)+SUMIF('11.2. ДА за периода'!$B$61:$B$108,$B143,'11.2. ДА за периода'!AC$61:AC$108)+SUMIF('11.1.Амортиз.нови активи'!$B$61:$B$108,$B143,'11.1.Амортиз.нови активи'!AC$61:AC$108)</f>
        <v>0</v>
      </c>
      <c r="AD143" s="1136">
        <f>$Z143-SUMIF('11.2. ДА за периода'!$B$61:$B$108,$B143,'11.2. ДА за периода'!$Z$61:$Z$108)+SUMIF('11.2. ДА за периода'!$B$61:$B$108,$B143,'11.2. ДА за периода'!AD$61:AD$108)+SUMIF('11.1.Амортиз.нови активи'!$B$61:$B$108,$B143,'11.1.Амортиз.нови активи'!AD$61:AD$108)</f>
        <v>0</v>
      </c>
      <c r="AE143" s="1136">
        <f>$Z143-SUMIF('11.2. ДА за периода'!$B$61:$B$108,$B143,'11.2. ДА за периода'!$Z$61:$Z$108)+SUMIF('11.2. ДА за периода'!$B$61:$B$108,$B143,'11.2. ДА за периода'!AE$61:AE$108)+SUMIF('11.1.Амортиз.нови активи'!$B$61:$B$108,$B143,'11.1.Амортиз.нови активи'!AE$61:AE$108)</f>
        <v>0</v>
      </c>
      <c r="AF143" s="2656">
        <f>$Z143-SUMIF('11.2. ДА за периода'!$B$61:$B$108,$B143,'11.2. ДА за периода'!$Z$61:$Z$108)+SUMIF('11.2. ДА за периода'!$B$61:$B$108,$B143,'11.2. ДА за периода'!AF$61:AF$108)+SUMIF('11.1.Амортиз.нови активи'!$B$61:$B$108,$B143,'11.1.Амортиз.нови активи'!AF$61:AF$108)</f>
        <v>0</v>
      </c>
      <c r="AG143" s="4453">
        <f>+'11.3. ДА Базова година'!V123</f>
        <v>0</v>
      </c>
      <c r="AH143" s="2655">
        <f>$AG143-SUMIF('11.2. ДА за периода'!$B$61:$B$108,$B143,'11.2. ДА за периода'!$AG$61:$AG$108)+SUMIF('11.2. ДА за периода'!$B$61:$B$108,$B143,'11.2. ДА за периода'!AH$61:AH$108)+SUMIF('11.1.Амортиз.нови активи'!$B$61:$B$108,$B143,'11.1.Амортиз.нови активи'!AH$61:AH$108)</f>
        <v>0</v>
      </c>
      <c r="AI143" s="1136">
        <f>$AG143-SUMIF('11.2. ДА за периода'!$B$61:$B$108,$B143,'11.2. ДА за периода'!$AG$61:$AG$108)+SUMIF('11.2. ДА за периода'!$B$61:$B$108,$B143,'11.2. ДА за периода'!AI$61:AI$108)+SUMIF('11.1.Амортиз.нови активи'!$B$61:$B$108,$B143,'11.1.Амортиз.нови активи'!AI$61:AI$108)</f>
        <v>0</v>
      </c>
      <c r="AJ143" s="1136">
        <f>$AG143-SUMIF('11.2. ДА за периода'!$B$61:$B$108,$B143,'11.2. ДА за периода'!$AG$61:$AG$108)+SUMIF('11.2. ДА за периода'!$B$61:$B$108,$B143,'11.2. ДА за периода'!AJ$61:AJ$108)+SUMIF('11.1.Амортиз.нови активи'!$B$61:$B$108,$B143,'11.1.Амортиз.нови активи'!AJ$61:AJ$108)</f>
        <v>0</v>
      </c>
      <c r="AK143" s="1136">
        <f>$AG143-SUMIF('11.2. ДА за периода'!$B$61:$B$108,$B143,'11.2. ДА за периода'!$AG$61:$AG$108)+SUMIF('11.2. ДА за периода'!$B$61:$B$108,$B143,'11.2. ДА за периода'!AK$61:AK$108)+SUMIF('11.1.Амортиз.нови активи'!$B$61:$B$108,$B143,'11.1.Амортиз.нови активи'!AK$61:AK$108)</f>
        <v>0</v>
      </c>
      <c r="AL143" s="1136">
        <f>$AG143-SUMIF('11.2. ДА за периода'!$B$61:$B$108,$B143,'11.2. ДА за периода'!$AG$61:$AG$108)+SUMIF('11.2. ДА за периода'!$B$61:$B$108,$B143,'11.2. ДА за периода'!AL$61:AL$108)+SUMIF('11.1.Амортиз.нови активи'!$B$61:$B$108,$B143,'11.1.Амортиз.нови активи'!AL$61:AL$108)</f>
        <v>0</v>
      </c>
      <c r="AM143" s="2656">
        <f>$AG143-SUMIF('11.2. ДА за периода'!$B$61:$B$108,$B143,'11.2. ДА за периода'!$AG$61:$AG$108)+SUMIF('11.2. ДА за периода'!$B$61:$B$108,$B143,'11.2. ДА за периода'!AM$61:AM$108)+SUMIF('11.1.Амортиз.нови активи'!$B$61:$B$108,$B143,'11.1.Амортиз.нови активи'!AM$61:AM$108)</f>
        <v>0</v>
      </c>
      <c r="AN143" s="2551"/>
      <c r="AO143" s="2589"/>
      <c r="AP143" s="4488"/>
      <c r="AQ143" s="4504">
        <f t="shared" si="174"/>
        <v>0</v>
      </c>
      <c r="AR143" s="4504">
        <f t="shared" si="175"/>
        <v>0</v>
      </c>
      <c r="AS143" s="4504">
        <f t="shared" si="176"/>
        <v>0</v>
      </c>
      <c r="AT143" s="4504">
        <f t="shared" si="177"/>
        <v>0</v>
      </c>
      <c r="AU143" s="4504">
        <f t="shared" si="178"/>
        <v>0</v>
      </c>
      <c r="AV143" s="4504">
        <f t="shared" si="179"/>
        <v>0</v>
      </c>
      <c r="AW143" s="4504">
        <f t="shared" si="180"/>
        <v>0</v>
      </c>
      <c r="AX143" s="4504">
        <f t="shared" si="181"/>
        <v>0</v>
      </c>
      <c r="AY143" s="4504">
        <f t="shared" si="182"/>
        <v>0</v>
      </c>
      <c r="AZ143" s="4504">
        <f t="shared" si="183"/>
        <v>0</v>
      </c>
      <c r="BA143" s="4504">
        <f t="shared" si="184"/>
        <v>0</v>
      </c>
      <c r="BB143" s="4504">
        <f t="shared" si="185"/>
        <v>0</v>
      </c>
      <c r="BC143" s="4504">
        <f t="shared" si="186"/>
        <v>0</v>
      </c>
      <c r="BD143" s="4504">
        <f t="shared" si="187"/>
        <v>0</v>
      </c>
      <c r="BE143" s="4504">
        <f t="shared" si="188"/>
        <v>0</v>
      </c>
      <c r="BF143" s="4504">
        <f t="shared" si="189"/>
        <v>0</v>
      </c>
      <c r="BG143" s="4504">
        <f t="shared" si="190"/>
        <v>0</v>
      </c>
      <c r="BH143" s="4504">
        <f t="shared" si="191"/>
        <v>0</v>
      </c>
      <c r="BI143" s="4504">
        <f t="shared" si="192"/>
        <v>0</v>
      </c>
      <c r="BJ143" s="4504">
        <f t="shared" si="193"/>
        <v>0</v>
      </c>
      <c r="BK143" s="4504">
        <f t="shared" si="194"/>
        <v>0</v>
      </c>
      <c r="BL143" s="4504">
        <f t="shared" si="195"/>
        <v>0</v>
      </c>
      <c r="BM143" s="4504">
        <f t="shared" si="196"/>
        <v>0</v>
      </c>
      <c r="BN143" s="4504">
        <f t="shared" si="197"/>
        <v>0</v>
      </c>
      <c r="BO143" s="4504">
        <f t="shared" si="198"/>
        <v>0</v>
      </c>
      <c r="BP143" s="4504">
        <f t="shared" si="199"/>
        <v>0</v>
      </c>
      <c r="BQ143" s="4504">
        <f t="shared" si="200"/>
        <v>0</v>
      </c>
      <c r="BR143" s="4504">
        <f t="shared" si="201"/>
        <v>0</v>
      </c>
      <c r="BS143" s="4504">
        <f t="shared" si="202"/>
        <v>0</v>
      </c>
      <c r="BT143" s="4504">
        <f t="shared" si="203"/>
        <v>0</v>
      </c>
      <c r="BU143" s="4504">
        <f t="shared" si="204"/>
        <v>0</v>
      </c>
      <c r="BV143" s="4504">
        <f t="shared" si="205"/>
        <v>0</v>
      </c>
      <c r="BW143" s="4504">
        <f t="shared" si="206"/>
        <v>0</v>
      </c>
      <c r="BX143" s="4504">
        <f t="shared" si="207"/>
        <v>0</v>
      </c>
      <c r="BY143" s="4504">
        <f t="shared" si="208"/>
        <v>0</v>
      </c>
    </row>
    <row r="144" spans="1:77" s="1323" customFormat="1">
      <c r="A144" s="2611">
        <v>13</v>
      </c>
      <c r="B144" s="2554">
        <v>2040204</v>
      </c>
      <c r="C144" s="2555">
        <v>0.02</v>
      </c>
      <c r="D144" s="2584" t="s">
        <v>419</v>
      </c>
      <c r="E144" s="4453">
        <f>+'11.3. ДА Базова година'!F124</f>
        <v>0</v>
      </c>
      <c r="F144" s="2655">
        <f>$E144-SUMIF('11.2. ДА за периода'!$B$61:$B$108,$B144,'11.2. ДА за периода'!$E$61:$E$108)+SUMIF('11.2. ДА за периода'!$B$61:$B$108,$B144,'11.2. ДА за периода'!F$61:F$108)+SUMIF('11.1.Амортиз.нови активи'!$B$61:$B$108,$B144,'11.1.Амортиз.нови активи'!F$61:F$108)+('11.1.Амортиз.нови активи'!F$110*SUMIF('11.1.Амортиз.нови активи'!$B$61:$B$108,$B144,'11.1.Амортиз.нови активи'!AO$61:AO$108))</f>
        <v>0.02</v>
      </c>
      <c r="G144" s="1136">
        <f>$E144-SUMIF('11.2. ДА за периода'!$B$61:$B$108,$B144,'11.2. ДА за периода'!$E$61:$E$108)+SUMIF('11.2. ДА за периода'!$B$61:$B$108,$B144,'11.2. ДА за периода'!G$61:G$108)+SUMIF('11.1.Амортиз.нови активи'!$B$61:$B$108,$B144,'11.1.Амортиз.нови активи'!G$61:G$108)+('11.1.Амортиз.нови активи'!G$110*SUMIF('11.1.Амортиз.нови активи'!$B$61:$B$108,$B144,'11.1.Амортиз.нови активи'!AP$61:AP$108))</f>
        <v>0.06</v>
      </c>
      <c r="H144" s="1136">
        <f>$E144-SUMIF('11.2. ДА за периода'!$B$61:$B$108,$B144,'11.2. ДА за периода'!$E$61:$E$108)+SUMIF('11.2. ДА за периода'!$B$61:$B$108,$B144,'11.2. ДА за периода'!H$61:H$108)+SUMIF('11.1.Амортиз.нови активи'!$B$61:$B$108,$B144,'11.1.Амортиз.нови активи'!H$61:H$108)+('11.1.Амортиз.нови активи'!H$110*SUMIF('11.1.Амортиз.нови активи'!$B$61:$B$108,$B144,'11.1.Амортиз.нови активи'!AQ$61:AQ$108))</f>
        <v>0.1</v>
      </c>
      <c r="I144" s="1136">
        <f>$E144-SUMIF('11.2. ДА за периода'!$B$61:$B$108,$B144,'11.2. ДА за периода'!$E$61:$E$108)+SUMIF('11.2. ДА за периода'!$B$61:$B$108,$B144,'11.2. ДА за периода'!I$61:I$108)+SUMIF('11.1.Амортиз.нови активи'!$B$61:$B$108,$B144,'11.1.Амортиз.нови активи'!I$61:I$108)+('11.1.Амортиз.нови активи'!I$110*SUMIF('11.1.Амортиз.нови активи'!$B$61:$B$108,$B144,'11.1.Амортиз.нови активи'!AR$61:AR$108))</f>
        <v>0.13999999999999999</v>
      </c>
      <c r="J144" s="1136">
        <f>$E144-SUMIF('11.2. ДА за периода'!$B$61:$B$108,$B144,'11.2. ДА за периода'!$E$61:$E$108)+SUMIF('11.2. ДА за периода'!$B$61:$B$108,$B144,'11.2. ДА за периода'!J$61:J$108)+SUMIF('11.1.Амортиз.нови активи'!$B$61:$B$108,$B144,'11.1.Амортиз.нови активи'!J$61:J$108)+('11.1.Амортиз.нови активи'!J$110*SUMIF('11.1.Амортиз.нови активи'!$B$61:$B$108,$B144,'11.1.Амортиз.нови активи'!AS$61:AS$108))</f>
        <v>0.18</v>
      </c>
      <c r="K144" s="1136">
        <f>$E144-SUMIF('11.2. ДА за периода'!$B$61:$B$108,$B144,'11.2. ДА за периода'!$E$61:$E$108)+SUMIF('11.2. ДА за периода'!$B$61:$B$108,$B144,'11.2. ДА за периода'!K$61:K$108)+SUMIF('11.1.Амортиз.нови активи'!$B$61:$B$108,$B144,'11.1.Амортиз.нови активи'!K$61:K$108)+('11.1.Амортиз.нови активи'!K$110*SUMIF('11.1.Амортиз.нови активи'!$B$61:$B$108,$B144,'11.1.Амортиз.нови активи'!AT$61:AT$108))</f>
        <v>0.22</v>
      </c>
      <c r="L144" s="4453">
        <f>+'11.3. ДА Базова година'!J124</f>
        <v>0</v>
      </c>
      <c r="M144" s="2655">
        <f>$L144-SUMIF('11.2. ДА за периода'!$B$61:$B$108,$B144,'11.2. ДА за периода'!$L$61:$L$108)+SUMIF('11.2. ДА за периода'!$B$61:$B$108,$B144,'11.2. ДА за периода'!M$61:M$108)+SUMIF('11.1.Амортиз.нови активи'!$B$61:$B$108,$B144,'11.1.Амортиз.нови активи'!M$61:M$108)+('11.1.Амортиз.нови активи'!F$111*SUMIF('11.1.Амортиз.нови активи'!$B$61:$B$108,$B144,'11.1.Амортиз.нови активи'!AO$61:AO$108))</f>
        <v>0</v>
      </c>
      <c r="N144" s="1136">
        <f>$L144-SUMIF('11.2. ДА за периода'!$B$61:$B$108,$B144,'11.2. ДА за периода'!$L$61:$L$108)+SUMIF('11.2. ДА за периода'!$B$61:$B$108,$B144,'11.2. ДА за периода'!N$61:N$108)+SUMIF('11.1.Амортиз.нови активи'!$B$61:$B$108,$B144,'11.1.Амортиз.нови активи'!N$61:N$108)+('11.1.Амортиз.нови активи'!G$111*SUMIF('11.1.Амортиз.нови активи'!$B$61:$B$108,$B144,'11.1.Амортиз.нови активи'!AP$61:AP$108))</f>
        <v>0</v>
      </c>
      <c r="O144" s="1136">
        <f>$L144-SUMIF('11.2. ДА за периода'!$B$61:$B$108,$B144,'11.2. ДА за периода'!$L$61:$L$108)+SUMIF('11.2. ДА за периода'!$B$61:$B$108,$B144,'11.2. ДА за периода'!O$61:O$108)+SUMIF('11.1.Амортиз.нови активи'!$B$61:$B$108,$B144,'11.1.Амортиз.нови активи'!O$61:O$108)+('11.1.Амортиз.нови активи'!H$111*SUMIF('11.1.Амортиз.нови активи'!$B$61:$B$108,$B144,'11.1.Амортиз.нови активи'!AQ$61:AQ$108))</f>
        <v>0</v>
      </c>
      <c r="P144" s="1136">
        <f>$L144-SUMIF('11.2. ДА за периода'!$B$61:$B$108,$B144,'11.2. ДА за периода'!$L$61:$L$108)+SUMIF('11.2. ДА за периода'!$B$61:$B$108,$B144,'11.2. ДА за периода'!P$61:P$108)+SUMIF('11.1.Амортиз.нови активи'!$B$61:$B$108,$B144,'11.1.Амортиз.нови активи'!P$61:P$108)+('11.1.Амортиз.нови активи'!I$111*SUMIF('11.1.Амортиз.нови активи'!$B$61:$B$108,$B144,'11.1.Амортиз.нови активи'!AR$61:AR$108))</f>
        <v>0</v>
      </c>
      <c r="Q144" s="1136">
        <f>$L144-SUMIF('11.2. ДА за периода'!$B$61:$B$108,$B144,'11.2. ДА за периода'!$L$61:$L$108)+SUMIF('11.2. ДА за периода'!$B$61:$B$108,$B144,'11.2. ДА за периода'!Q$61:Q$108)+SUMIF('11.1.Амортиз.нови активи'!$B$61:$B$108,$B144,'11.1.Амортиз.нови активи'!Q$61:Q$108)+('11.1.Амортиз.нови активи'!J$111*SUMIF('11.1.Амортиз.нови активи'!$B$61:$B$108,$B144,'11.1.Амортиз.нови активи'!AS$61:AS$108))</f>
        <v>0</v>
      </c>
      <c r="R144" s="2656">
        <f>$L144-SUMIF('11.2. ДА за периода'!$B$61:$B$108,$B144,'11.2. ДА за периода'!$L$61:$L$108)+SUMIF('11.2. ДА за периода'!$B$61:$B$108,$B144,'11.2. ДА за периода'!R$61:R$108)+SUMIF('11.1.Амортиз.нови активи'!$B$61:$B$108,$B144,'11.1.Амортиз.нови активи'!R$61:R$108)+('11.1.Амортиз.нови активи'!K$111*SUMIF('11.1.Амортиз.нови активи'!$B$61:$B$108,$B144,'11.1.Амортиз.нови активи'!AT$61:AT$108))</f>
        <v>0</v>
      </c>
      <c r="S144" s="4453">
        <f>+'11.3. ДА Базова година'!N124</f>
        <v>0</v>
      </c>
      <c r="T144" s="2655">
        <f>$S144-SUMIF('11.2. ДА за периода'!$B$61:$B$108,$B144,'11.2. ДА за периода'!$S$61:$S$108)+SUMIF('11.2. ДА за периода'!$B$61:$B$108,$B144,'11.2. ДА за периода'!T$61:T$108)+SUMIF('11.1.Амортиз.нови активи'!$B$61:$B$108,$B144,'11.1.Амортиз.нови активи'!T$61:T$108)+('11.1.Амортиз.нови активи'!F$112*SUMIF('11.1.Амортиз.нови активи'!$B$61:$B$108,$B144,'11.1.Амортиз.нови активи'!AO$61:AO$108))</f>
        <v>0</v>
      </c>
      <c r="U144" s="1136">
        <f>$S144-SUMIF('11.2. ДА за периода'!$B$61:$B$108,$B144,'11.2. ДА за периода'!$S$61:$S$108)+SUMIF('11.2. ДА за периода'!$B$61:$B$108,$B144,'11.2. ДА за периода'!U$61:U$108)+SUMIF('11.1.Амортиз.нови активи'!$B$61:$B$108,$B144,'11.1.Амортиз.нови активи'!U$61:U$108)+('11.1.Амортиз.нови активи'!G$112*SUMIF('11.1.Амортиз.нови активи'!$B$61:$B$108,$B144,'11.1.Амортиз.нови активи'!AP$61:AP$108))</f>
        <v>0</v>
      </c>
      <c r="V144" s="1136">
        <f>$S144-SUMIF('11.2. ДА за периода'!$B$61:$B$108,$B144,'11.2. ДА за периода'!$S$61:$S$108)+SUMIF('11.2. ДА за периода'!$B$61:$B$108,$B144,'11.2. ДА за периода'!V$61:V$108)+SUMIF('11.1.Амортиз.нови активи'!$B$61:$B$108,$B144,'11.1.Амортиз.нови активи'!V$61:V$108)+('11.1.Амортиз.нови активи'!H$112*SUMIF('11.1.Амортиз.нови активи'!$B$61:$B$108,$B144,'11.1.Амортиз.нови активи'!AQ$61:AQ$108))</f>
        <v>0</v>
      </c>
      <c r="W144" s="1136">
        <f>$S144-SUMIF('11.2. ДА за периода'!$B$61:$B$108,$B144,'11.2. ДА за периода'!$S$61:$S$108)+SUMIF('11.2. ДА за периода'!$B$61:$B$108,$B144,'11.2. ДА за периода'!W$61:W$108)+SUMIF('11.1.Амортиз.нови активи'!$B$61:$B$108,$B144,'11.1.Амортиз.нови активи'!W$61:W$108)+('11.1.Амортиз.нови активи'!I$112*SUMIF('11.1.Амортиз.нови активи'!$B$61:$B$108,$B144,'11.1.Амортиз.нови активи'!AR$61:AR$108))</f>
        <v>0</v>
      </c>
      <c r="X144" s="1136">
        <f>$S144-SUMIF('11.2. ДА за периода'!$B$61:$B$108,$B144,'11.2. ДА за периода'!$S$61:$S$108)+SUMIF('11.2. ДА за периода'!$B$61:$B$108,$B144,'11.2. ДА за периода'!X$61:X$108)+SUMIF('11.1.Амортиз.нови активи'!$B$61:$B$108,$B144,'11.1.Амортиз.нови активи'!X$61:X$108)+('11.1.Амортиз.нови активи'!J$112*SUMIF('11.1.Амортиз.нови активи'!$B$61:$B$108,$B144,'11.1.Амортиз.нови активи'!AS$61:AS$108))</f>
        <v>0</v>
      </c>
      <c r="Y144" s="2656">
        <f>$S144-SUMIF('11.2. ДА за периода'!$B$61:$B$108,$B144,'11.2. ДА за периода'!$S$61:$S$108)+SUMIF('11.2. ДА за периода'!$B$61:$B$108,$B144,'11.2. ДА за периода'!Y$61:Y$108)+SUMIF('11.1.Амортиз.нови активи'!$B$61:$B$108,$B144,'11.1.Амортиз.нови активи'!Y$61:Y$108)+('11.1.Амортиз.нови активи'!K$112*SUMIF('11.1.Амортиз.нови активи'!$B$61:$B$108,$B144,'11.1.Амортиз.нови активи'!AT$61:AT$108))</f>
        <v>0</v>
      </c>
      <c r="Z144" s="4453">
        <f>+'11.3. ДА Базова година'!R124</f>
        <v>0</v>
      </c>
      <c r="AA144" s="2655">
        <f>$Z144-SUMIF('11.2. ДА за периода'!$B$61:$B$108,$B144,'11.2. ДА за периода'!$Z$61:$Z$108)+SUMIF('11.2. ДА за периода'!$B$61:$B$108,$B144,'11.2. ДА за периода'!AA$61:AA$108)+SUMIF('11.1.Амортиз.нови активи'!$B$61:$B$108,$B144,'11.1.Амортиз.нови активи'!AA$61:AA$108)</f>
        <v>0</v>
      </c>
      <c r="AB144" s="1136">
        <f>$Z144-SUMIF('11.2. ДА за периода'!$B$61:$B$108,$B144,'11.2. ДА за периода'!$Z$61:$Z$108)+SUMIF('11.2. ДА за периода'!$B$61:$B$108,$B144,'11.2. ДА за периода'!AB$61:AB$108)+SUMIF('11.1.Амортиз.нови активи'!$B$61:$B$108,$B144,'11.1.Амортиз.нови активи'!AB$61:AB$108)</f>
        <v>0</v>
      </c>
      <c r="AC144" s="1136">
        <f>$Z144-SUMIF('11.2. ДА за периода'!$B$61:$B$108,$B144,'11.2. ДА за периода'!$Z$61:$Z$108)+SUMIF('11.2. ДА за периода'!$B$61:$B$108,$B144,'11.2. ДА за периода'!AC$61:AC$108)+SUMIF('11.1.Амортиз.нови активи'!$B$61:$B$108,$B144,'11.1.Амортиз.нови активи'!AC$61:AC$108)</f>
        <v>0</v>
      </c>
      <c r="AD144" s="1136">
        <f>$Z144-SUMIF('11.2. ДА за периода'!$B$61:$B$108,$B144,'11.2. ДА за периода'!$Z$61:$Z$108)+SUMIF('11.2. ДА за периода'!$B$61:$B$108,$B144,'11.2. ДА за периода'!AD$61:AD$108)+SUMIF('11.1.Амортиз.нови активи'!$B$61:$B$108,$B144,'11.1.Амортиз.нови активи'!AD$61:AD$108)</f>
        <v>0</v>
      </c>
      <c r="AE144" s="1136">
        <f>$Z144-SUMIF('11.2. ДА за периода'!$B$61:$B$108,$B144,'11.2. ДА за периода'!$Z$61:$Z$108)+SUMIF('11.2. ДА за периода'!$B$61:$B$108,$B144,'11.2. ДА за периода'!AE$61:AE$108)+SUMIF('11.1.Амортиз.нови активи'!$B$61:$B$108,$B144,'11.1.Амортиз.нови активи'!AE$61:AE$108)</f>
        <v>0</v>
      </c>
      <c r="AF144" s="2656">
        <f>$Z144-SUMIF('11.2. ДА за периода'!$B$61:$B$108,$B144,'11.2. ДА за периода'!$Z$61:$Z$108)+SUMIF('11.2. ДА за периода'!$B$61:$B$108,$B144,'11.2. ДА за периода'!AF$61:AF$108)+SUMIF('11.1.Амортиз.нови активи'!$B$61:$B$108,$B144,'11.1.Амортиз.нови активи'!AF$61:AF$108)</f>
        <v>0</v>
      </c>
      <c r="AG144" s="4453">
        <f>+'11.3. ДА Базова година'!V124</f>
        <v>0</v>
      </c>
      <c r="AH144" s="2655">
        <f>$AG144-SUMIF('11.2. ДА за периода'!$B$61:$B$108,$B144,'11.2. ДА за периода'!$AG$61:$AG$108)+SUMIF('11.2. ДА за периода'!$B$61:$B$108,$B144,'11.2. ДА за периода'!AH$61:AH$108)+SUMIF('11.1.Амортиз.нови активи'!$B$61:$B$108,$B144,'11.1.Амортиз.нови активи'!AH$61:AH$108)</f>
        <v>0</v>
      </c>
      <c r="AI144" s="1136">
        <f>$AG144-SUMIF('11.2. ДА за периода'!$B$61:$B$108,$B144,'11.2. ДА за периода'!$AG$61:$AG$108)+SUMIF('11.2. ДА за периода'!$B$61:$B$108,$B144,'11.2. ДА за периода'!AI$61:AI$108)+SUMIF('11.1.Амортиз.нови активи'!$B$61:$B$108,$B144,'11.1.Амортиз.нови активи'!AI$61:AI$108)</f>
        <v>0.35000000000000003</v>
      </c>
      <c r="AJ144" s="1136">
        <f>$AG144-SUMIF('11.2. ДА за периода'!$B$61:$B$108,$B144,'11.2. ДА за периода'!$AG$61:$AG$108)+SUMIF('11.2. ДА за периода'!$B$61:$B$108,$B144,'11.2. ДА за периода'!AJ$61:AJ$108)+SUMIF('11.1.Амортиз.нови активи'!$B$61:$B$108,$B144,'11.1.Амортиз.нови активи'!AJ$61:AJ$108)</f>
        <v>0.70000000000000007</v>
      </c>
      <c r="AK144" s="1136">
        <f>$AG144-SUMIF('11.2. ДА за периода'!$B$61:$B$108,$B144,'11.2. ДА за периода'!$AG$61:$AG$108)+SUMIF('11.2. ДА за периода'!$B$61:$B$108,$B144,'11.2. ДА за периода'!AK$61:AK$108)+SUMIF('11.1.Амортиз.нови активи'!$B$61:$B$108,$B144,'11.1.Амортиз.нови активи'!AK$61:AK$108)</f>
        <v>0.70000000000000007</v>
      </c>
      <c r="AL144" s="1136">
        <f>$AG144-SUMIF('11.2. ДА за периода'!$B$61:$B$108,$B144,'11.2. ДА за периода'!$AG$61:$AG$108)+SUMIF('11.2. ДА за периода'!$B$61:$B$108,$B144,'11.2. ДА за периода'!AL$61:AL$108)+SUMIF('11.1.Амортиз.нови активи'!$B$61:$B$108,$B144,'11.1.Амортиз.нови активи'!AL$61:AL$108)</f>
        <v>1.1000000000000001</v>
      </c>
      <c r="AM144" s="2656">
        <f>$AG144-SUMIF('11.2. ДА за периода'!$B$61:$B$108,$B144,'11.2. ДА за периода'!$AG$61:$AG$108)+SUMIF('11.2. ДА за периода'!$B$61:$B$108,$B144,'11.2. ДА за периода'!AM$61:AM$108)+SUMIF('11.1.Амортиз.нови активи'!$B$61:$B$108,$B144,'11.1.Амортиз.нови активи'!AM$61:AM$108)</f>
        <v>1.9</v>
      </c>
      <c r="AN144" s="2551"/>
      <c r="AO144" s="2589"/>
      <c r="AP144" s="4488"/>
      <c r="AQ144" s="4504">
        <f t="shared" si="174"/>
        <v>0</v>
      </c>
      <c r="AR144" s="4504">
        <f t="shared" si="175"/>
        <v>1.022583762392437E-2</v>
      </c>
      <c r="AS144" s="4504">
        <f t="shared" si="176"/>
        <v>3.0677512871773109E-2</v>
      </c>
      <c r="AT144" s="4504">
        <f t="shared" si="177"/>
        <v>5.1129188119621853E-2</v>
      </c>
      <c r="AU144" s="4504">
        <f t="shared" si="178"/>
        <v>7.1580863367470576E-2</v>
      </c>
      <c r="AV144" s="4504">
        <f t="shared" si="179"/>
        <v>9.203253861531932E-2</v>
      </c>
      <c r="AW144" s="4504">
        <f t="shared" si="180"/>
        <v>0.11248421386316806</v>
      </c>
      <c r="AX144" s="4504">
        <f t="shared" si="181"/>
        <v>0</v>
      </c>
      <c r="AY144" s="4504">
        <f t="shared" si="182"/>
        <v>0</v>
      </c>
      <c r="AZ144" s="4504">
        <f t="shared" si="183"/>
        <v>0</v>
      </c>
      <c r="BA144" s="4504">
        <f t="shared" si="184"/>
        <v>0</v>
      </c>
      <c r="BB144" s="4504">
        <f t="shared" si="185"/>
        <v>0</v>
      </c>
      <c r="BC144" s="4504">
        <f t="shared" si="186"/>
        <v>0</v>
      </c>
      <c r="BD144" s="4504">
        <f t="shared" si="187"/>
        <v>0</v>
      </c>
      <c r="BE144" s="4504">
        <f t="shared" si="188"/>
        <v>0</v>
      </c>
      <c r="BF144" s="4504">
        <f t="shared" si="189"/>
        <v>0</v>
      </c>
      <c r="BG144" s="4504">
        <f t="shared" si="190"/>
        <v>0</v>
      </c>
      <c r="BH144" s="4504">
        <f t="shared" si="191"/>
        <v>0</v>
      </c>
      <c r="BI144" s="4504">
        <f t="shared" si="192"/>
        <v>0</v>
      </c>
      <c r="BJ144" s="4504">
        <f t="shared" si="193"/>
        <v>0</v>
      </c>
      <c r="BK144" s="4504">
        <f t="shared" si="194"/>
        <v>0</v>
      </c>
      <c r="BL144" s="4504">
        <f t="shared" si="195"/>
        <v>0</v>
      </c>
      <c r="BM144" s="4504">
        <f t="shared" si="196"/>
        <v>0</v>
      </c>
      <c r="BN144" s="4504">
        <f t="shared" si="197"/>
        <v>0</v>
      </c>
      <c r="BO144" s="4504">
        <f t="shared" si="198"/>
        <v>0</v>
      </c>
      <c r="BP144" s="4504">
        <f t="shared" si="199"/>
        <v>0</v>
      </c>
      <c r="BQ144" s="4504">
        <f t="shared" si="200"/>
        <v>0</v>
      </c>
      <c r="BR144" s="4504">
        <f t="shared" si="201"/>
        <v>0</v>
      </c>
      <c r="BS144" s="4504">
        <f t="shared" si="202"/>
        <v>0</v>
      </c>
      <c r="BT144" s="4504">
        <f t="shared" si="203"/>
        <v>0</v>
      </c>
      <c r="BU144" s="4504">
        <f t="shared" si="204"/>
        <v>0.17895215841867648</v>
      </c>
      <c r="BV144" s="4504">
        <f t="shared" si="205"/>
        <v>0.35790431683735296</v>
      </c>
      <c r="BW144" s="4504">
        <f t="shared" si="206"/>
        <v>0.35790431683735296</v>
      </c>
      <c r="BX144" s="4504">
        <f t="shared" si="207"/>
        <v>0.56242106931584035</v>
      </c>
      <c r="BY144" s="4504">
        <f t="shared" si="208"/>
        <v>0.97145457427281512</v>
      </c>
    </row>
    <row r="145" spans="1:77" s="1323" customFormat="1">
      <c r="A145" s="2611">
        <v>14</v>
      </c>
      <c r="B145" s="2554">
        <v>2040205</v>
      </c>
      <c r="C145" s="2555">
        <v>0.02</v>
      </c>
      <c r="D145" s="2585" t="s">
        <v>420</v>
      </c>
      <c r="E145" s="4453">
        <f>+'11.3. ДА Базова година'!F125</f>
        <v>54.129796998885531</v>
      </c>
      <c r="F145" s="2655">
        <f>$E145-SUMIF('11.2. ДА за периода'!$B$61:$B$108,$B145,'11.2. ДА за периода'!$E$61:$E$108)+SUMIF('11.2. ДА за периода'!$B$61:$B$108,$B145,'11.2. ДА за периода'!F$61:F$108)+SUMIF('11.1.Амортиз.нови активи'!$B$61:$B$108,$B145,'11.1.Амортиз.нови активи'!F$61:F$108)+('11.1.Амортиз.нови активи'!F$110*SUMIF('11.1.Амортиз.нови активи'!$B$61:$B$108,$B145,'11.1.Амортиз.нови активи'!AO$61:AO$108))</f>
        <v>64.08057675701383</v>
      </c>
      <c r="G145" s="1136">
        <f>$E145-SUMIF('11.2. ДА за периода'!$B$61:$B$108,$B145,'11.2. ДА за периода'!$E$61:$E$108)+SUMIF('11.2. ДА за периода'!$B$61:$B$108,$B145,'11.2. ДА за периода'!G$61:G$108)+SUMIF('11.1.Амортиз.нови активи'!$B$61:$B$108,$B145,'11.1.Амортиз.нови активи'!G$61:G$108)+('11.1.Амортиз.нови активи'!G$110*SUMIF('11.1.Амортиз.нови активи'!$B$61:$B$108,$B145,'11.1.Амортиз.нови активи'!AP$61:AP$108))</f>
        <v>73.388076757013835</v>
      </c>
      <c r="H145" s="1136">
        <f>$E145-SUMIF('11.2. ДА за периода'!$B$61:$B$108,$B145,'11.2. ДА за периода'!$E$61:$E$108)+SUMIF('11.2. ДА за периода'!$B$61:$B$108,$B145,'11.2. ДА за периода'!H$61:H$108)+SUMIF('11.1.Амортиз.нови активи'!$B$61:$B$108,$B145,'11.1.Амортиз.нови активи'!H$61:H$108)+('11.1.Амортиз.нови активи'!H$110*SUMIF('11.1.Амортиз.нови активи'!$B$61:$B$108,$B145,'11.1.Амортиз.нови активи'!AQ$61:AQ$108))</f>
        <v>83.78807675701384</v>
      </c>
      <c r="I145" s="1136">
        <f>$E145-SUMIF('11.2. ДА за периода'!$B$61:$B$108,$B145,'11.2. ДА за периода'!$E$61:$E$108)+SUMIF('11.2. ДА за периода'!$B$61:$B$108,$B145,'11.2. ДА за периода'!I$61:I$108)+SUMIF('11.1.Амортиз.нови активи'!$B$61:$B$108,$B145,'11.1.Амортиз.нови активи'!I$61:I$108)+('11.1.Амортиз.нови активи'!I$110*SUMIF('11.1.Амортиз.нови активи'!$B$61:$B$108,$B145,'11.1.Амортиз.нови активи'!AR$61:AR$108))</f>
        <v>94.378076757013844</v>
      </c>
      <c r="J145" s="1136">
        <f>$E145-SUMIF('11.2. ДА за периода'!$B$61:$B$108,$B145,'11.2. ДА за периода'!$E$61:$E$108)+SUMIF('11.2. ДА за периода'!$B$61:$B$108,$B145,'11.2. ДА за периода'!J$61:J$108)+SUMIF('11.1.Амортиз.нови активи'!$B$61:$B$108,$B145,'11.1.Амортиз.нови активи'!J$61:J$108)+('11.1.Амортиз.нови активи'!J$110*SUMIF('11.1.Амортиз.нови активи'!$B$61:$B$108,$B145,'11.1.Амортиз.нови активи'!AS$61:AS$108))</f>
        <v>105.09807675701384</v>
      </c>
      <c r="K145" s="1136">
        <f>$E145-SUMIF('11.2. ДА за периода'!$B$61:$B$108,$B145,'11.2. ДА за периода'!$E$61:$E$108)+SUMIF('11.2. ДА за периода'!$B$61:$B$108,$B145,'11.2. ДА за периода'!K$61:K$108)+SUMIF('11.1.Амортиз.нови активи'!$B$61:$B$108,$B145,'11.1.Амортиз.нови активи'!K$61:K$108)+('11.1.Амортиз.нови активи'!K$110*SUMIF('11.1.Амортиз.нови активи'!$B$61:$B$108,$B145,'11.1.Амортиз.нови активи'!AT$61:AT$108))</f>
        <v>115.85807675701383</v>
      </c>
      <c r="L145" s="4453">
        <f>+'11.3. ДА Базова година'!J125</f>
        <v>0</v>
      </c>
      <c r="M145" s="2655">
        <f>$L145-SUMIF('11.2. ДА за периода'!$B$61:$B$108,$B145,'11.2. ДА за периода'!$L$61:$L$108)+SUMIF('11.2. ДА за периода'!$B$61:$B$108,$B145,'11.2. ДА за периода'!M$61:M$108)+SUMIF('11.1.Амортиз.нови активи'!$B$61:$B$108,$B145,'11.1.Амортиз.нови активи'!M$61:M$108)+('11.1.Амортиз.нови активи'!F$111*SUMIF('11.1.Амортиз.нови активи'!$B$61:$B$108,$B145,'11.1.Амортиз.нови активи'!AO$61:AO$108))</f>
        <v>0</v>
      </c>
      <c r="N145" s="1136">
        <f>$L145-SUMIF('11.2. ДА за периода'!$B$61:$B$108,$B145,'11.2. ДА за периода'!$L$61:$L$108)+SUMIF('11.2. ДА за периода'!$B$61:$B$108,$B145,'11.2. ДА за периода'!N$61:N$108)+SUMIF('11.1.Амортиз.нови активи'!$B$61:$B$108,$B145,'11.1.Амортиз.нови активи'!N$61:N$108)+('11.1.Амортиз.нови активи'!G$111*SUMIF('11.1.Амортиз.нови активи'!$B$61:$B$108,$B145,'11.1.Амортиз.нови активи'!AP$61:AP$108))</f>
        <v>0</v>
      </c>
      <c r="O145" s="1136">
        <f>$L145-SUMIF('11.2. ДА за периода'!$B$61:$B$108,$B145,'11.2. ДА за периода'!$L$61:$L$108)+SUMIF('11.2. ДА за периода'!$B$61:$B$108,$B145,'11.2. ДА за периода'!O$61:O$108)+SUMIF('11.1.Амортиз.нови активи'!$B$61:$B$108,$B145,'11.1.Амортиз.нови активи'!O$61:O$108)+('11.1.Амортиз.нови активи'!H$111*SUMIF('11.1.Амортиз.нови активи'!$B$61:$B$108,$B145,'11.1.Амортиз.нови активи'!AQ$61:AQ$108))</f>
        <v>0</v>
      </c>
      <c r="P145" s="1136">
        <f>$L145-SUMIF('11.2. ДА за периода'!$B$61:$B$108,$B145,'11.2. ДА за периода'!$L$61:$L$108)+SUMIF('11.2. ДА за периода'!$B$61:$B$108,$B145,'11.2. ДА за периода'!P$61:P$108)+SUMIF('11.1.Амортиз.нови активи'!$B$61:$B$108,$B145,'11.1.Амортиз.нови активи'!P$61:P$108)+('11.1.Амортиз.нови активи'!I$111*SUMIF('11.1.Амортиз.нови активи'!$B$61:$B$108,$B145,'11.1.Амортиз.нови активи'!AR$61:AR$108))</f>
        <v>0</v>
      </c>
      <c r="Q145" s="1136">
        <f>$L145-SUMIF('11.2. ДА за периода'!$B$61:$B$108,$B145,'11.2. ДА за периода'!$L$61:$L$108)+SUMIF('11.2. ДА за периода'!$B$61:$B$108,$B145,'11.2. ДА за периода'!Q$61:Q$108)+SUMIF('11.1.Амортиз.нови активи'!$B$61:$B$108,$B145,'11.1.Амортиз.нови активи'!Q$61:Q$108)+('11.1.Амортиз.нови активи'!J$111*SUMIF('11.1.Амортиз.нови активи'!$B$61:$B$108,$B145,'11.1.Амортиз.нови активи'!AS$61:AS$108))</f>
        <v>0</v>
      </c>
      <c r="R145" s="2656">
        <f>$L145-SUMIF('11.2. ДА за периода'!$B$61:$B$108,$B145,'11.2. ДА за периода'!$L$61:$L$108)+SUMIF('11.2. ДА за периода'!$B$61:$B$108,$B145,'11.2. ДА за периода'!R$61:R$108)+SUMIF('11.1.Амортиз.нови активи'!$B$61:$B$108,$B145,'11.1.Амортиз.нови активи'!R$61:R$108)+('11.1.Амортиз.нови активи'!K$111*SUMIF('11.1.Амортиз.нови активи'!$B$61:$B$108,$B145,'11.1.Амортиз.нови активи'!AT$61:AT$108))</f>
        <v>0</v>
      </c>
      <c r="S145" s="4453">
        <f>+'11.3. ДА Базова година'!N125</f>
        <v>0.24996000000000002</v>
      </c>
      <c r="T145" s="2655">
        <f>$S145-SUMIF('11.2. ДА за периода'!$B$61:$B$108,$B145,'11.2. ДА за периода'!$S$61:$S$108)+SUMIF('11.2. ДА за периода'!$B$61:$B$108,$B145,'11.2. ДА за периода'!T$61:T$108)+SUMIF('11.1.Амортиз.нови активи'!$B$61:$B$108,$B145,'11.1.Амортиз.нови активи'!T$61:T$108)+('11.1.Амортиз.нови активи'!F$112*SUMIF('11.1.Амортиз.нови активи'!$B$61:$B$108,$B145,'11.1.Амортиз.нови активи'!AO$61:AO$108))</f>
        <v>0.24996000000000002</v>
      </c>
      <c r="U145" s="1136">
        <f>$S145-SUMIF('11.2. ДА за периода'!$B$61:$B$108,$B145,'11.2. ДА за периода'!$S$61:$S$108)+SUMIF('11.2. ДА за периода'!$B$61:$B$108,$B145,'11.2. ДА за периода'!U$61:U$108)+SUMIF('11.1.Амортиз.нови активи'!$B$61:$B$108,$B145,'11.1.Амортиз.нови активи'!U$61:U$108)+('11.1.Амортиз.нови активи'!G$112*SUMIF('11.1.Амортиз.нови активи'!$B$61:$B$108,$B145,'11.1.Амортиз.нови активи'!AP$61:AP$108))</f>
        <v>0.24996000000000002</v>
      </c>
      <c r="V145" s="1136">
        <f>$S145-SUMIF('11.2. ДА за периода'!$B$61:$B$108,$B145,'11.2. ДА за периода'!$S$61:$S$108)+SUMIF('11.2. ДА за периода'!$B$61:$B$108,$B145,'11.2. ДА за периода'!V$61:V$108)+SUMIF('11.1.Амортиз.нови активи'!$B$61:$B$108,$B145,'11.1.Амортиз.нови активи'!V$61:V$108)+('11.1.Амортиз.нови активи'!H$112*SUMIF('11.1.Амортиз.нови активи'!$B$61:$B$108,$B145,'11.1.Амортиз.нови активи'!AQ$61:AQ$108))</f>
        <v>0.24996000000000002</v>
      </c>
      <c r="W145" s="1136">
        <f>$S145-SUMIF('11.2. ДА за периода'!$B$61:$B$108,$B145,'11.2. ДА за периода'!$S$61:$S$108)+SUMIF('11.2. ДА за периода'!$B$61:$B$108,$B145,'11.2. ДА за периода'!W$61:W$108)+SUMIF('11.1.Амортиз.нови активи'!$B$61:$B$108,$B145,'11.1.Амортиз.нови активи'!W$61:W$108)+('11.1.Амортиз.нови активи'!I$112*SUMIF('11.1.Амортиз.нови активи'!$B$61:$B$108,$B145,'11.1.Амортиз.нови активи'!AR$61:AR$108))</f>
        <v>0.24996000000000002</v>
      </c>
      <c r="X145" s="1136">
        <f>$S145-SUMIF('11.2. ДА за периода'!$B$61:$B$108,$B145,'11.2. ДА за периода'!$S$61:$S$108)+SUMIF('11.2. ДА за периода'!$B$61:$B$108,$B145,'11.2. ДА за периода'!X$61:X$108)+SUMIF('11.1.Амортиз.нови активи'!$B$61:$B$108,$B145,'11.1.Амортиз.нови активи'!X$61:X$108)+('11.1.Амортиз.нови активи'!J$112*SUMIF('11.1.Амортиз.нови активи'!$B$61:$B$108,$B145,'11.1.Амортиз.нови активи'!AS$61:AS$108))</f>
        <v>0.24996000000000002</v>
      </c>
      <c r="Y145" s="2656">
        <f>$S145-SUMIF('11.2. ДА за периода'!$B$61:$B$108,$B145,'11.2. ДА за периода'!$S$61:$S$108)+SUMIF('11.2. ДА за периода'!$B$61:$B$108,$B145,'11.2. ДА за периода'!Y$61:Y$108)+SUMIF('11.1.Амортиз.нови активи'!$B$61:$B$108,$B145,'11.1.Амортиз.нови активи'!Y$61:Y$108)+('11.1.Амортиз.нови активи'!K$112*SUMIF('11.1.Амортиз.нови активи'!$B$61:$B$108,$B145,'11.1.Амортиз.нови активи'!AT$61:AT$108))</f>
        <v>0.24996000000000002</v>
      </c>
      <c r="Z145" s="4453">
        <f>+'11.3. ДА Базова година'!R125</f>
        <v>0</v>
      </c>
      <c r="AA145" s="2655">
        <f>$Z145-SUMIF('11.2. ДА за периода'!$B$61:$B$108,$B145,'11.2. ДА за периода'!$Z$61:$Z$108)+SUMIF('11.2. ДА за периода'!$B$61:$B$108,$B145,'11.2. ДА за периода'!AA$61:AA$108)+SUMIF('11.1.Амортиз.нови активи'!$B$61:$B$108,$B145,'11.1.Амортиз.нови активи'!AA$61:AA$108)</f>
        <v>0</v>
      </c>
      <c r="AB145" s="1136">
        <f>$Z145-SUMIF('11.2. ДА за периода'!$B$61:$B$108,$B145,'11.2. ДА за периода'!$Z$61:$Z$108)+SUMIF('11.2. ДА за периода'!$B$61:$B$108,$B145,'11.2. ДА за периода'!AB$61:AB$108)+SUMIF('11.1.Амортиз.нови активи'!$B$61:$B$108,$B145,'11.1.Амортиз.нови активи'!AB$61:AB$108)</f>
        <v>0</v>
      </c>
      <c r="AC145" s="1136">
        <f>$Z145-SUMIF('11.2. ДА за периода'!$B$61:$B$108,$B145,'11.2. ДА за периода'!$Z$61:$Z$108)+SUMIF('11.2. ДА за периода'!$B$61:$B$108,$B145,'11.2. ДА за периода'!AC$61:AC$108)+SUMIF('11.1.Амортиз.нови активи'!$B$61:$B$108,$B145,'11.1.Амортиз.нови активи'!AC$61:AC$108)</f>
        <v>0</v>
      </c>
      <c r="AD145" s="1136">
        <f>$Z145-SUMIF('11.2. ДА за периода'!$B$61:$B$108,$B145,'11.2. ДА за периода'!$Z$61:$Z$108)+SUMIF('11.2. ДА за периода'!$B$61:$B$108,$B145,'11.2. ДА за периода'!AD$61:AD$108)+SUMIF('11.1.Амортиз.нови активи'!$B$61:$B$108,$B145,'11.1.Амортиз.нови активи'!AD$61:AD$108)</f>
        <v>0</v>
      </c>
      <c r="AE145" s="1136">
        <f>$Z145-SUMIF('11.2. ДА за периода'!$B$61:$B$108,$B145,'11.2. ДА за периода'!$Z$61:$Z$108)+SUMIF('11.2. ДА за периода'!$B$61:$B$108,$B145,'11.2. ДА за периода'!AE$61:AE$108)+SUMIF('11.1.Амортиз.нови активи'!$B$61:$B$108,$B145,'11.1.Амортиз.нови активи'!AE$61:AE$108)</f>
        <v>0</v>
      </c>
      <c r="AF145" s="2656">
        <f>$Z145-SUMIF('11.2. ДА за периода'!$B$61:$B$108,$B145,'11.2. ДА за периода'!$Z$61:$Z$108)+SUMIF('11.2. ДА за периода'!$B$61:$B$108,$B145,'11.2. ДА за периода'!AF$61:AF$108)+SUMIF('11.1.Амортиз.нови активи'!$B$61:$B$108,$B145,'11.1.Амортиз.нови активи'!AF$61:AF$108)</f>
        <v>0</v>
      </c>
      <c r="AG145" s="4453">
        <f>+'11.3. ДА Базова година'!V125</f>
        <v>0.2023430011144931</v>
      </c>
      <c r="AH145" s="2655">
        <f>$AG145-SUMIF('11.2. ДА за периода'!$B$61:$B$108,$B145,'11.2. ДА за периода'!$AG$61:$AG$108)+SUMIF('11.2. ДА за периода'!$B$61:$B$108,$B145,'11.2. ДА за периода'!AH$61:AH$108)+SUMIF('11.1.Амортиз.нови активи'!$B$61:$B$108,$B145,'11.1.Амортиз.нови активи'!AH$61:AH$108)</f>
        <v>0.49438994298618588</v>
      </c>
      <c r="AI145" s="1136">
        <f>$AG145-SUMIF('11.2. ДА за периода'!$B$61:$B$108,$B145,'11.2. ДА за периода'!$AG$61:$AG$108)+SUMIF('11.2. ДА за периода'!$B$61:$B$108,$B145,'11.2. ДА за периода'!AI$61:AI$108)+SUMIF('11.1.Амортиз.нови активи'!$B$61:$B$108,$B145,'11.1.Амортиз.нови активи'!AI$61:AI$108)</f>
        <v>1.2943899429861858</v>
      </c>
      <c r="AJ145" s="1136">
        <f>$AG145-SUMIF('11.2. ДА за периода'!$B$61:$B$108,$B145,'11.2. ДА за периода'!$AG$61:$AG$108)+SUMIF('11.2. ДА за периода'!$B$61:$B$108,$B145,'11.2. ДА за периода'!AJ$61:AJ$108)+SUMIF('11.1.Амортиз.нови активи'!$B$61:$B$108,$B145,'11.1.Амортиз.нови активи'!AJ$61:AJ$108)</f>
        <v>2.8443899429861861</v>
      </c>
      <c r="AK145" s="1136">
        <f>$AG145-SUMIF('11.2. ДА за периода'!$B$61:$B$108,$B145,'11.2. ДА за периода'!$AG$61:$AG$108)+SUMIF('11.2. ДА за периода'!$B$61:$B$108,$B145,'11.2. ДА за периода'!AK$61:AK$108)+SUMIF('11.1.Амортиз.нови активи'!$B$61:$B$108,$B145,'11.1.Амортиз.нови активи'!AK$61:AK$108)</f>
        <v>4.3443899429861856</v>
      </c>
      <c r="AL145" s="1136">
        <f>$AG145-SUMIF('11.2. ДА за периода'!$B$61:$B$108,$B145,'11.2. ДА за периода'!$AG$61:$AG$108)+SUMIF('11.2. ДА за периода'!$B$61:$B$108,$B145,'11.2. ДА за периода'!AL$61:AL$108)+SUMIF('11.1.Амортиз.нови активи'!$B$61:$B$108,$B145,'11.1.Амортиз.нови активи'!AL$61:AL$108)</f>
        <v>5.8443899429861856</v>
      </c>
      <c r="AM145" s="2656">
        <f>$AG145-SUMIF('11.2. ДА за периода'!$B$61:$B$108,$B145,'11.2. ДА за периода'!$AG$61:$AG$108)+SUMIF('11.2. ДА за периода'!$B$61:$B$108,$B145,'11.2. ДА за периода'!AM$61:AM$108)+SUMIF('11.1.Амортиз.нови активи'!$B$61:$B$108,$B145,'11.1.Амортиз.нови активи'!AM$61:AM$108)</f>
        <v>7.3443899429861856</v>
      </c>
      <c r="AN145" s="2551"/>
      <c r="AO145" s="2589"/>
      <c r="AP145" s="4488"/>
      <c r="AQ145" s="4504">
        <f t="shared" si="174"/>
        <v>27.676125736329606</v>
      </c>
      <c r="AR145" s="4504">
        <f t="shared" si="175"/>
        <v>32.763878638232278</v>
      </c>
      <c r="AS145" s="4504">
        <f t="shared" si="176"/>
        <v>37.522727822466081</v>
      </c>
      <c r="AT145" s="4504">
        <f t="shared" si="177"/>
        <v>42.84016338690676</v>
      </c>
      <c r="AU145" s="4504">
        <f t="shared" si="178"/>
        <v>48.254744408774712</v>
      </c>
      <c r="AV145" s="4504">
        <f t="shared" si="179"/>
        <v>53.735793375198178</v>
      </c>
      <c r="AW145" s="4504">
        <f t="shared" si="180"/>
        <v>59.237294016869484</v>
      </c>
      <c r="AX145" s="4504">
        <f t="shared" si="181"/>
        <v>0</v>
      </c>
      <c r="AY145" s="4504">
        <f t="shared" si="182"/>
        <v>0</v>
      </c>
      <c r="AZ145" s="4504">
        <f t="shared" si="183"/>
        <v>0</v>
      </c>
      <c r="BA145" s="4504">
        <f t="shared" si="184"/>
        <v>0</v>
      </c>
      <c r="BB145" s="4504">
        <f t="shared" si="185"/>
        <v>0</v>
      </c>
      <c r="BC145" s="4504">
        <f t="shared" si="186"/>
        <v>0</v>
      </c>
      <c r="BD145" s="4504">
        <f t="shared" si="187"/>
        <v>0</v>
      </c>
      <c r="BE145" s="4504">
        <f t="shared" si="188"/>
        <v>0.12780251862380679</v>
      </c>
      <c r="BF145" s="4504">
        <f t="shared" si="189"/>
        <v>0.12780251862380679</v>
      </c>
      <c r="BG145" s="4504">
        <f t="shared" si="190"/>
        <v>0.12780251862380679</v>
      </c>
      <c r="BH145" s="4504">
        <f t="shared" si="191"/>
        <v>0.12780251862380679</v>
      </c>
      <c r="BI145" s="4504">
        <f t="shared" si="192"/>
        <v>0.12780251862380679</v>
      </c>
      <c r="BJ145" s="4504">
        <f t="shared" si="193"/>
        <v>0.12780251862380679</v>
      </c>
      <c r="BK145" s="4504">
        <f t="shared" si="194"/>
        <v>0.12780251862380679</v>
      </c>
      <c r="BL145" s="4504">
        <f t="shared" si="195"/>
        <v>0</v>
      </c>
      <c r="BM145" s="4504">
        <f t="shared" si="196"/>
        <v>0</v>
      </c>
      <c r="BN145" s="4504">
        <f t="shared" si="197"/>
        <v>0</v>
      </c>
      <c r="BO145" s="4504">
        <f t="shared" si="198"/>
        <v>0</v>
      </c>
      <c r="BP145" s="4504">
        <f t="shared" si="199"/>
        <v>0</v>
      </c>
      <c r="BQ145" s="4504">
        <f t="shared" si="200"/>
        <v>0</v>
      </c>
      <c r="BR145" s="4504">
        <f t="shared" si="201"/>
        <v>0</v>
      </c>
      <c r="BS145" s="4504">
        <f t="shared" si="202"/>
        <v>0.10345633368671771</v>
      </c>
      <c r="BT145" s="4504">
        <f t="shared" si="203"/>
        <v>0.25277756399389817</v>
      </c>
      <c r="BU145" s="4504">
        <f t="shared" si="204"/>
        <v>0.66181106895087294</v>
      </c>
      <c r="BV145" s="4504">
        <f t="shared" si="205"/>
        <v>1.4543134848050117</v>
      </c>
      <c r="BW145" s="4504">
        <f t="shared" si="206"/>
        <v>2.2212513065993393</v>
      </c>
      <c r="BX145" s="4504">
        <f t="shared" si="207"/>
        <v>2.988189128393667</v>
      </c>
      <c r="BY145" s="4504">
        <f t="shared" si="208"/>
        <v>3.7551269501879947</v>
      </c>
    </row>
    <row r="146" spans="1:77" s="1323" customFormat="1">
      <c r="A146" s="2611">
        <v>15</v>
      </c>
      <c r="B146" s="2554">
        <v>2040206</v>
      </c>
      <c r="C146" s="2555">
        <v>0.02</v>
      </c>
      <c r="D146" s="2590" t="s">
        <v>421</v>
      </c>
      <c r="E146" s="4453">
        <f>+'11.3. ДА Базова година'!F126</f>
        <v>0</v>
      </c>
      <c r="F146" s="2655">
        <f>$E146-SUMIF('11.2. ДА за периода'!$B$61:$B$108,$B146,'11.2. ДА за периода'!$E$61:$E$108)+SUMIF('11.2. ДА за периода'!$B$61:$B$108,$B146,'11.2. ДА за периода'!F$61:F$108)+SUMIF('11.1.Амортиз.нови активи'!$B$61:$B$108,$B146,'11.1.Амортиз.нови активи'!F$61:F$108)+('11.1.Амортиз.нови активи'!F$110*SUMIF('11.1.Амортиз.нови активи'!$B$61:$B$108,$B146,'11.1.Амортиз.нови активи'!AO$61:AO$108))</f>
        <v>0</v>
      </c>
      <c r="G146" s="1136">
        <f>$E146-SUMIF('11.2. ДА за периода'!$B$61:$B$108,$B146,'11.2. ДА за периода'!$E$61:$E$108)+SUMIF('11.2. ДА за периода'!$B$61:$B$108,$B146,'11.2. ДА за периода'!G$61:G$108)+SUMIF('11.1.Амортиз.нови активи'!$B$61:$B$108,$B146,'11.1.Амортиз.нови активи'!G$61:G$108)+('11.1.Амортиз.нови активи'!G$110*SUMIF('11.1.Амортиз.нови активи'!$B$61:$B$108,$B146,'11.1.Амортиз.нови активи'!AP$61:AP$108))</f>
        <v>0</v>
      </c>
      <c r="H146" s="1136">
        <f>$E146-SUMIF('11.2. ДА за периода'!$B$61:$B$108,$B146,'11.2. ДА за периода'!$E$61:$E$108)+SUMIF('11.2. ДА за периода'!$B$61:$B$108,$B146,'11.2. ДА за периода'!H$61:H$108)+SUMIF('11.1.Амортиз.нови активи'!$B$61:$B$108,$B146,'11.1.Амортиз.нови активи'!H$61:H$108)+('11.1.Амортиз.нови активи'!H$110*SUMIF('11.1.Амортиз.нови активи'!$B$61:$B$108,$B146,'11.1.Амортиз.нови активи'!AQ$61:AQ$108))</f>
        <v>0</v>
      </c>
      <c r="I146" s="1136">
        <f>$E146-SUMIF('11.2. ДА за периода'!$B$61:$B$108,$B146,'11.2. ДА за периода'!$E$61:$E$108)+SUMIF('11.2. ДА за периода'!$B$61:$B$108,$B146,'11.2. ДА за периода'!I$61:I$108)+SUMIF('11.1.Амортиз.нови активи'!$B$61:$B$108,$B146,'11.1.Амортиз.нови активи'!I$61:I$108)+('11.1.Амортиз.нови активи'!I$110*SUMIF('11.1.Амортиз.нови активи'!$B$61:$B$108,$B146,'11.1.Амортиз.нови активи'!AR$61:AR$108))</f>
        <v>0</v>
      </c>
      <c r="J146" s="1136">
        <f>$E146-SUMIF('11.2. ДА за периода'!$B$61:$B$108,$B146,'11.2. ДА за периода'!$E$61:$E$108)+SUMIF('11.2. ДА за периода'!$B$61:$B$108,$B146,'11.2. ДА за периода'!J$61:J$108)+SUMIF('11.1.Амортиз.нови активи'!$B$61:$B$108,$B146,'11.1.Амортиз.нови активи'!J$61:J$108)+('11.1.Амортиз.нови активи'!J$110*SUMIF('11.1.Амортиз.нови активи'!$B$61:$B$108,$B146,'11.1.Амортиз.нови активи'!AS$61:AS$108))</f>
        <v>0</v>
      </c>
      <c r="K146" s="1136">
        <f>$E146-SUMIF('11.2. ДА за периода'!$B$61:$B$108,$B146,'11.2. ДА за периода'!$E$61:$E$108)+SUMIF('11.2. ДА за периода'!$B$61:$B$108,$B146,'11.2. ДА за периода'!K$61:K$108)+SUMIF('11.1.Амортиз.нови активи'!$B$61:$B$108,$B146,'11.1.Амортиз.нови активи'!K$61:K$108)+('11.1.Амортиз.нови активи'!K$110*SUMIF('11.1.Амортиз.нови активи'!$B$61:$B$108,$B146,'11.1.Амортиз.нови активи'!AT$61:AT$108))</f>
        <v>0</v>
      </c>
      <c r="L146" s="4453">
        <f>+'11.3. ДА Базова година'!J126</f>
        <v>1.4074199999999999</v>
      </c>
      <c r="M146" s="2655">
        <f>$L146-SUMIF('11.2. ДА за периода'!$B$61:$B$108,$B146,'11.2. ДА за периода'!$L$61:$L$108)+SUMIF('11.2. ДА за периода'!$B$61:$B$108,$B146,'11.2. ДА за периода'!M$61:M$108)+SUMIF('11.1.Амортиз.нови активи'!$B$61:$B$108,$B146,'11.1.Амортиз.нови активи'!M$61:M$108)+('11.1.Амортиз.нови активи'!F$111*SUMIF('11.1.Амортиз.нови активи'!$B$61:$B$108,$B146,'11.1.Амортиз.нови активи'!AO$61:AO$108))</f>
        <v>1.6992106999999999</v>
      </c>
      <c r="N146" s="1136">
        <f>$L146-SUMIF('11.2. ДА за периода'!$B$61:$B$108,$B146,'11.2. ДА за периода'!$L$61:$L$108)+SUMIF('11.2. ДА за периода'!$B$61:$B$108,$B146,'11.2. ДА за периода'!N$61:N$108)+SUMIF('11.1.Амортиз.нови активи'!$B$61:$B$108,$B146,'11.1.Амортиз.нови активи'!N$61:N$108)+('11.1.Амортиз.нови активи'!G$111*SUMIF('11.1.Амортиз.нови активи'!$B$61:$B$108,$B146,'11.1.Амортиз.нови активи'!AP$61:AP$108))</f>
        <v>1.9492106999999999</v>
      </c>
      <c r="O146" s="1136">
        <f>$L146-SUMIF('11.2. ДА за периода'!$B$61:$B$108,$B146,'11.2. ДА за периода'!$L$61:$L$108)+SUMIF('11.2. ДА за периода'!$B$61:$B$108,$B146,'11.2. ДА за периода'!O$61:O$108)+SUMIF('11.1.Амортиз.нови активи'!$B$61:$B$108,$B146,'11.1.Амортиз.нови активи'!O$61:O$108)+('11.1.Амортиз.нови активи'!H$111*SUMIF('11.1.Амортиз.нови активи'!$B$61:$B$108,$B146,'11.1.Амортиз.нови активи'!AQ$61:AQ$108))</f>
        <v>2.0492106999999997</v>
      </c>
      <c r="P146" s="1136">
        <f>$L146-SUMIF('11.2. ДА за периода'!$B$61:$B$108,$B146,'11.2. ДА за периода'!$L$61:$L$108)+SUMIF('11.2. ДА за периода'!$B$61:$B$108,$B146,'11.2. ДА за периода'!P$61:P$108)+SUMIF('11.1.Амортиз.нови активи'!$B$61:$B$108,$B146,'11.1.Амортиз.нови активи'!P$61:P$108)+('11.1.Амортиз.нови активи'!I$111*SUMIF('11.1.Амортиз.нови активи'!$B$61:$B$108,$B146,'11.1.Амортиз.нови активи'!AR$61:AR$108))</f>
        <v>2.1492106999999998</v>
      </c>
      <c r="Q146" s="1136">
        <f>$L146-SUMIF('11.2. ДА за периода'!$B$61:$B$108,$B146,'11.2. ДА за периода'!$L$61:$L$108)+SUMIF('11.2. ДА за периода'!$B$61:$B$108,$B146,'11.2. ДА за периода'!Q$61:Q$108)+SUMIF('11.1.Амортиз.нови активи'!$B$61:$B$108,$B146,'11.1.Амортиз.нови активи'!Q$61:Q$108)+('11.1.Амортиз.нови активи'!J$111*SUMIF('11.1.Амортиз.нови активи'!$B$61:$B$108,$B146,'11.1.Амортиз.нови активи'!AS$61:AS$108))</f>
        <v>2.2492106999999999</v>
      </c>
      <c r="R146" s="2656">
        <f>$L146-SUMIF('11.2. ДА за периода'!$B$61:$B$108,$B146,'11.2. ДА за периода'!$L$61:$L$108)+SUMIF('11.2. ДА за периода'!$B$61:$B$108,$B146,'11.2. ДА за периода'!R$61:R$108)+SUMIF('11.1.Амортиз.нови активи'!$B$61:$B$108,$B146,'11.1.Амортиз.нови активи'!R$61:R$108)+('11.1.Амортиз.нови активи'!K$111*SUMIF('11.1.Амортиз.нови активи'!$B$61:$B$108,$B146,'11.1.Амортиз.нови активи'!AT$61:AT$108))</f>
        <v>2.3492107</v>
      </c>
      <c r="S146" s="4453">
        <f>+'11.3. ДА Базова година'!N126</f>
        <v>0</v>
      </c>
      <c r="T146" s="2655">
        <f>$S146-SUMIF('11.2. ДА за периода'!$B$61:$B$108,$B146,'11.2. ДА за периода'!$S$61:$S$108)+SUMIF('11.2. ДА за периода'!$B$61:$B$108,$B146,'11.2. ДА за периода'!T$61:T$108)+SUMIF('11.1.Амортиз.нови активи'!$B$61:$B$108,$B146,'11.1.Амортиз.нови активи'!T$61:T$108)+('11.1.Амортиз.нови активи'!F$112*SUMIF('11.1.Амортиз.нови активи'!$B$61:$B$108,$B146,'11.1.Амортиз.нови активи'!AO$61:AO$108))</f>
        <v>0</v>
      </c>
      <c r="U146" s="1136">
        <f>$S146-SUMIF('11.2. ДА за периода'!$B$61:$B$108,$B146,'11.2. ДА за периода'!$S$61:$S$108)+SUMIF('11.2. ДА за периода'!$B$61:$B$108,$B146,'11.2. ДА за периода'!U$61:U$108)+SUMIF('11.1.Амортиз.нови активи'!$B$61:$B$108,$B146,'11.1.Амортиз.нови активи'!U$61:U$108)+('11.1.Амортиз.нови активи'!G$112*SUMIF('11.1.Амортиз.нови активи'!$B$61:$B$108,$B146,'11.1.Амортиз.нови активи'!AP$61:AP$108))</f>
        <v>0</v>
      </c>
      <c r="V146" s="1136">
        <f>$S146-SUMIF('11.2. ДА за периода'!$B$61:$B$108,$B146,'11.2. ДА за периода'!$S$61:$S$108)+SUMIF('11.2. ДА за периода'!$B$61:$B$108,$B146,'11.2. ДА за периода'!V$61:V$108)+SUMIF('11.1.Амортиз.нови активи'!$B$61:$B$108,$B146,'11.1.Амортиз.нови активи'!V$61:V$108)+('11.1.Амортиз.нови активи'!H$112*SUMIF('11.1.Амортиз.нови активи'!$B$61:$B$108,$B146,'11.1.Амортиз.нови активи'!AQ$61:AQ$108))</f>
        <v>0</v>
      </c>
      <c r="W146" s="1136">
        <f>$S146-SUMIF('11.2. ДА за периода'!$B$61:$B$108,$B146,'11.2. ДА за периода'!$S$61:$S$108)+SUMIF('11.2. ДА за периода'!$B$61:$B$108,$B146,'11.2. ДА за периода'!W$61:W$108)+SUMIF('11.1.Амортиз.нови активи'!$B$61:$B$108,$B146,'11.1.Амортиз.нови активи'!W$61:W$108)+('11.1.Амортиз.нови активи'!I$112*SUMIF('11.1.Амортиз.нови активи'!$B$61:$B$108,$B146,'11.1.Амортиз.нови активи'!AR$61:AR$108))</f>
        <v>0</v>
      </c>
      <c r="X146" s="1136">
        <f>$S146-SUMIF('11.2. ДА за периода'!$B$61:$B$108,$B146,'11.2. ДА за периода'!$S$61:$S$108)+SUMIF('11.2. ДА за периода'!$B$61:$B$108,$B146,'11.2. ДА за периода'!X$61:X$108)+SUMIF('11.1.Амортиз.нови активи'!$B$61:$B$108,$B146,'11.1.Амортиз.нови активи'!X$61:X$108)+('11.1.Амортиз.нови активи'!J$112*SUMIF('11.1.Амортиз.нови активи'!$B$61:$B$108,$B146,'11.1.Амортиз.нови активи'!AS$61:AS$108))</f>
        <v>0</v>
      </c>
      <c r="Y146" s="2656">
        <f>$S146-SUMIF('11.2. ДА за периода'!$B$61:$B$108,$B146,'11.2. ДА за периода'!$S$61:$S$108)+SUMIF('11.2. ДА за периода'!$B$61:$B$108,$B146,'11.2. ДА за периода'!Y$61:Y$108)+SUMIF('11.1.Амортиз.нови активи'!$B$61:$B$108,$B146,'11.1.Амортиз.нови активи'!Y$61:Y$108)+('11.1.Амортиз.нови активи'!K$112*SUMIF('11.1.Амортиз.нови активи'!$B$61:$B$108,$B146,'11.1.Амортиз.нови активи'!AT$61:AT$108))</f>
        <v>0</v>
      </c>
      <c r="Z146" s="4453">
        <f>+'11.3. ДА Базова година'!R126</f>
        <v>0</v>
      </c>
      <c r="AA146" s="2655">
        <f>$Z146-SUMIF('11.2. ДА за периода'!$B$61:$B$108,$B146,'11.2. ДА за периода'!$Z$61:$Z$108)+SUMIF('11.2. ДА за периода'!$B$61:$B$108,$B146,'11.2. ДА за периода'!AA$61:AA$108)+SUMIF('11.1.Амортиз.нови активи'!$B$61:$B$108,$B146,'11.1.Амортиз.нови активи'!AA$61:AA$108)</f>
        <v>0</v>
      </c>
      <c r="AB146" s="1136">
        <f>$Z146-SUMIF('11.2. ДА за периода'!$B$61:$B$108,$B146,'11.2. ДА за периода'!$Z$61:$Z$108)+SUMIF('11.2. ДА за периода'!$B$61:$B$108,$B146,'11.2. ДА за периода'!AB$61:AB$108)+SUMIF('11.1.Амортиз.нови активи'!$B$61:$B$108,$B146,'11.1.Амортиз.нови активи'!AB$61:AB$108)</f>
        <v>0</v>
      </c>
      <c r="AC146" s="1136">
        <f>$Z146-SUMIF('11.2. ДА за периода'!$B$61:$B$108,$B146,'11.2. ДА за периода'!$Z$61:$Z$108)+SUMIF('11.2. ДА за периода'!$B$61:$B$108,$B146,'11.2. ДА за периода'!AC$61:AC$108)+SUMIF('11.1.Амортиз.нови активи'!$B$61:$B$108,$B146,'11.1.Амортиз.нови активи'!AC$61:AC$108)</f>
        <v>0</v>
      </c>
      <c r="AD146" s="1136">
        <f>$Z146-SUMIF('11.2. ДА за периода'!$B$61:$B$108,$B146,'11.2. ДА за периода'!$Z$61:$Z$108)+SUMIF('11.2. ДА за периода'!$B$61:$B$108,$B146,'11.2. ДА за периода'!AD$61:AD$108)+SUMIF('11.1.Амортиз.нови активи'!$B$61:$B$108,$B146,'11.1.Амортиз.нови активи'!AD$61:AD$108)</f>
        <v>0</v>
      </c>
      <c r="AE146" s="1136">
        <f>$Z146-SUMIF('11.2. ДА за периода'!$B$61:$B$108,$B146,'11.2. ДА за периода'!$Z$61:$Z$108)+SUMIF('11.2. ДА за периода'!$B$61:$B$108,$B146,'11.2. ДА за периода'!AE$61:AE$108)+SUMIF('11.1.Амортиз.нови активи'!$B$61:$B$108,$B146,'11.1.Амортиз.нови активи'!AE$61:AE$108)</f>
        <v>0</v>
      </c>
      <c r="AF146" s="2656">
        <f>$Z146-SUMIF('11.2. ДА за периода'!$B$61:$B$108,$B146,'11.2. ДА за периода'!$Z$61:$Z$108)+SUMIF('11.2. ДА за периода'!$B$61:$B$108,$B146,'11.2. ДА за периода'!AF$61:AF$108)+SUMIF('11.1.Амортиз.нови активи'!$B$61:$B$108,$B146,'11.1.Амортиз.нови активи'!AF$61:AF$108)</f>
        <v>0</v>
      </c>
      <c r="AG146" s="4453">
        <f>+'11.3. ДА Базова година'!V126</f>
        <v>0</v>
      </c>
      <c r="AH146" s="2655">
        <f>$AG146-SUMIF('11.2. ДА за периода'!$B$61:$B$108,$B146,'11.2. ДА за периода'!$AG$61:$AG$108)+SUMIF('11.2. ДА за периода'!$B$61:$B$108,$B146,'11.2. ДА за периода'!AH$61:AH$108)+SUMIF('11.1.Амортиз.нови активи'!$B$61:$B$108,$B146,'11.1.Амортиз.нови активи'!AH$61:AH$108)</f>
        <v>0</v>
      </c>
      <c r="AI146" s="1136">
        <f>$AG146-SUMIF('11.2. ДА за периода'!$B$61:$B$108,$B146,'11.2. ДА за периода'!$AG$61:$AG$108)+SUMIF('11.2. ДА за периода'!$B$61:$B$108,$B146,'11.2. ДА за периода'!AI$61:AI$108)+SUMIF('11.1.Амортиз.нови активи'!$B$61:$B$108,$B146,'11.1.Амортиз.нови активи'!AI$61:AI$108)</f>
        <v>0</v>
      </c>
      <c r="AJ146" s="1136">
        <f>$AG146-SUMIF('11.2. ДА за периода'!$B$61:$B$108,$B146,'11.2. ДА за периода'!$AG$61:$AG$108)+SUMIF('11.2. ДА за периода'!$B$61:$B$108,$B146,'11.2. ДА за периода'!AJ$61:AJ$108)+SUMIF('11.1.Амортиз.нови активи'!$B$61:$B$108,$B146,'11.1.Амортиз.нови активи'!AJ$61:AJ$108)</f>
        <v>0</v>
      </c>
      <c r="AK146" s="1136">
        <f>$AG146-SUMIF('11.2. ДА за периода'!$B$61:$B$108,$B146,'11.2. ДА за периода'!$AG$61:$AG$108)+SUMIF('11.2. ДА за периода'!$B$61:$B$108,$B146,'11.2. ДА за периода'!AK$61:AK$108)+SUMIF('11.1.Амортиз.нови активи'!$B$61:$B$108,$B146,'11.1.Амортиз.нови активи'!AK$61:AK$108)</f>
        <v>0</v>
      </c>
      <c r="AL146" s="1136">
        <f>$AG146-SUMIF('11.2. ДА за периода'!$B$61:$B$108,$B146,'11.2. ДА за периода'!$AG$61:$AG$108)+SUMIF('11.2. ДА за периода'!$B$61:$B$108,$B146,'11.2. ДА за периода'!AL$61:AL$108)+SUMIF('11.1.Амортиз.нови активи'!$B$61:$B$108,$B146,'11.1.Амортиз.нови активи'!AL$61:AL$108)</f>
        <v>0</v>
      </c>
      <c r="AM146" s="2656">
        <f>$AG146-SUMIF('11.2. ДА за периода'!$B$61:$B$108,$B146,'11.2. ДА за периода'!$AG$61:$AG$108)+SUMIF('11.2. ДА за периода'!$B$61:$B$108,$B146,'11.2. ДА за периода'!AM$61:AM$108)+SUMIF('11.1.Амортиз.нови активи'!$B$61:$B$108,$B146,'11.1.Амортиз.нови активи'!AM$61:AM$108)</f>
        <v>0</v>
      </c>
      <c r="AN146" s="2551"/>
      <c r="AO146" s="2589"/>
      <c r="AP146" s="4488"/>
      <c r="AQ146" s="4504">
        <f t="shared" si="174"/>
        <v>0</v>
      </c>
      <c r="AR146" s="4504">
        <f t="shared" si="175"/>
        <v>0</v>
      </c>
      <c r="AS146" s="4504">
        <f t="shared" si="176"/>
        <v>0</v>
      </c>
      <c r="AT146" s="4504">
        <f t="shared" si="177"/>
        <v>0</v>
      </c>
      <c r="AU146" s="4504">
        <f t="shared" si="178"/>
        <v>0</v>
      </c>
      <c r="AV146" s="4504">
        <f t="shared" si="179"/>
        <v>0</v>
      </c>
      <c r="AW146" s="4504">
        <f t="shared" si="180"/>
        <v>0</v>
      </c>
      <c r="AX146" s="4504">
        <f t="shared" si="181"/>
        <v>0.71960241943318182</v>
      </c>
      <c r="AY146" s="4504">
        <f t="shared" si="182"/>
        <v>0.86879263535174323</v>
      </c>
      <c r="AZ146" s="4504">
        <f t="shared" si="183"/>
        <v>0.99661560565079776</v>
      </c>
      <c r="BA146" s="4504">
        <f t="shared" si="184"/>
        <v>1.0477447937704196</v>
      </c>
      <c r="BB146" s="4504">
        <f t="shared" si="185"/>
        <v>1.0988739818900415</v>
      </c>
      <c r="BC146" s="4504">
        <f t="shared" si="186"/>
        <v>1.1500031700096633</v>
      </c>
      <c r="BD146" s="4504">
        <f t="shared" si="187"/>
        <v>1.2011323581292852</v>
      </c>
      <c r="BE146" s="4504">
        <f t="shared" si="188"/>
        <v>0</v>
      </c>
      <c r="BF146" s="4504">
        <f t="shared" si="189"/>
        <v>0</v>
      </c>
      <c r="BG146" s="4504">
        <f t="shared" si="190"/>
        <v>0</v>
      </c>
      <c r="BH146" s="4504">
        <f t="shared" si="191"/>
        <v>0</v>
      </c>
      <c r="BI146" s="4504">
        <f t="shared" si="192"/>
        <v>0</v>
      </c>
      <c r="BJ146" s="4504">
        <f t="shared" si="193"/>
        <v>0</v>
      </c>
      <c r="BK146" s="4504">
        <f t="shared" si="194"/>
        <v>0</v>
      </c>
      <c r="BL146" s="4504">
        <f t="shared" si="195"/>
        <v>0</v>
      </c>
      <c r="BM146" s="4504">
        <f t="shared" si="196"/>
        <v>0</v>
      </c>
      <c r="BN146" s="4504">
        <f t="shared" si="197"/>
        <v>0</v>
      </c>
      <c r="BO146" s="4504">
        <f t="shared" si="198"/>
        <v>0</v>
      </c>
      <c r="BP146" s="4504">
        <f t="shared" si="199"/>
        <v>0</v>
      </c>
      <c r="BQ146" s="4504">
        <f t="shared" si="200"/>
        <v>0</v>
      </c>
      <c r="BR146" s="4504">
        <f t="shared" si="201"/>
        <v>0</v>
      </c>
      <c r="BS146" s="4504">
        <f t="shared" si="202"/>
        <v>0</v>
      </c>
      <c r="BT146" s="4504">
        <f t="shared" si="203"/>
        <v>0</v>
      </c>
      <c r="BU146" s="4504">
        <f t="shared" si="204"/>
        <v>0</v>
      </c>
      <c r="BV146" s="4504">
        <f t="shared" si="205"/>
        <v>0</v>
      </c>
      <c r="BW146" s="4504">
        <f t="shared" si="206"/>
        <v>0</v>
      </c>
      <c r="BX146" s="4504">
        <f t="shared" si="207"/>
        <v>0</v>
      </c>
      <c r="BY146" s="4504">
        <f t="shared" si="208"/>
        <v>0</v>
      </c>
    </row>
    <row r="147" spans="1:77" s="1323" customFormat="1" ht="24">
      <c r="A147" s="2611">
        <v>16</v>
      </c>
      <c r="B147" s="2554">
        <v>2040207</v>
      </c>
      <c r="C147" s="2555">
        <v>0.04</v>
      </c>
      <c r="D147" s="2590" t="s">
        <v>422</v>
      </c>
      <c r="E147" s="4453">
        <f>+'11.3. ДА Базова година'!F127</f>
        <v>0</v>
      </c>
      <c r="F147" s="2655">
        <f>$E147-SUMIF('11.2. ДА за периода'!$B$61:$B$108,$B147,'11.2. ДА за периода'!$E$61:$E$108)+SUMIF('11.2. ДА за периода'!$B$61:$B$108,$B147,'11.2. ДА за периода'!F$61:F$108)+SUMIF('11.1.Амортиз.нови активи'!$B$61:$B$108,$B147,'11.1.Амортиз.нови активи'!F$61:F$108)+('11.1.Амортиз.нови активи'!F$110*SUMIF('11.1.Амортиз.нови активи'!$B$61:$B$108,$B147,'11.1.Амортиз.нови активи'!AO$61:AO$108))</f>
        <v>0.11</v>
      </c>
      <c r="G147" s="1136">
        <f>$E147-SUMIF('11.2. ДА за периода'!$B$61:$B$108,$B147,'11.2. ДА за периода'!$E$61:$E$108)+SUMIF('11.2. ДА за периода'!$B$61:$B$108,$B147,'11.2. ДА за периода'!G$61:G$108)+SUMIF('11.1.Амортиз.нови активи'!$B$61:$B$108,$B147,'11.1.Амортиз.нови активи'!G$61:G$108)+('11.1.Амортиз.нови активи'!G$110*SUMIF('11.1.Амортиз.нови активи'!$B$61:$B$108,$B147,'11.1.Амортиз.нови активи'!AP$61:AP$108))</f>
        <v>0.42000000000000004</v>
      </c>
      <c r="H147" s="1136">
        <f>$E147-SUMIF('11.2. ДА за периода'!$B$61:$B$108,$B147,'11.2. ДА за периода'!$E$61:$E$108)+SUMIF('11.2. ДА за периода'!$B$61:$B$108,$B147,'11.2. ДА за периода'!H$61:H$108)+SUMIF('11.1.Амортиз.нови активи'!$B$61:$B$108,$B147,'11.1.Амортиз.нови активи'!H$61:H$108)+('11.1.Амортиз.нови активи'!H$110*SUMIF('11.1.Амортиз.нови активи'!$B$61:$B$108,$B147,'11.1.Амортиз.нови активи'!AQ$61:AQ$108))</f>
        <v>0.82000000000000006</v>
      </c>
      <c r="I147" s="1136">
        <f>$E147-SUMIF('11.2. ДА за периода'!$B$61:$B$108,$B147,'11.2. ДА за периода'!$E$61:$E$108)+SUMIF('11.2. ДА за периода'!$B$61:$B$108,$B147,'11.2. ДА за периода'!I$61:I$108)+SUMIF('11.1.Амортиз.нови активи'!$B$61:$B$108,$B147,'11.1.Амортиз.нови активи'!I$61:I$108)+('11.1.Амортиз.нови активи'!I$110*SUMIF('11.1.Амортиз.нови активи'!$B$61:$B$108,$B147,'11.1.Амортиз.нови активи'!AR$61:AR$108))</f>
        <v>1.22</v>
      </c>
      <c r="J147" s="1136">
        <f>$E147-SUMIF('11.2. ДА за периода'!$B$61:$B$108,$B147,'11.2. ДА за периода'!$E$61:$E$108)+SUMIF('11.2. ДА за периода'!$B$61:$B$108,$B147,'11.2. ДА за периода'!J$61:J$108)+SUMIF('11.1.Амортиз.нови активи'!$B$61:$B$108,$B147,'11.1.Амортиз.нови активи'!J$61:J$108)+('11.1.Амортиз.нови активи'!J$110*SUMIF('11.1.Амортиз.нови активи'!$B$61:$B$108,$B147,'11.1.Амортиз.нови активи'!AS$61:AS$108))</f>
        <v>1.6199999999999999</v>
      </c>
      <c r="K147" s="1136">
        <f>$E147-SUMIF('11.2. ДА за периода'!$B$61:$B$108,$B147,'11.2. ДА за периода'!$E$61:$E$108)+SUMIF('11.2. ДА за периода'!$B$61:$B$108,$B147,'11.2. ДА за периода'!K$61:K$108)+SUMIF('11.1.Амортиз.нови активи'!$B$61:$B$108,$B147,'11.1.Амортиз.нови активи'!K$61:K$108)+('11.1.Амортиз.нови активи'!K$110*SUMIF('11.1.Амортиз.нови активи'!$B$61:$B$108,$B147,'11.1.Амортиз.нови активи'!AT$61:AT$108))</f>
        <v>2.02</v>
      </c>
      <c r="L147" s="4453">
        <f>+'11.3. ДА Базова година'!J127</f>
        <v>0</v>
      </c>
      <c r="M147" s="2655">
        <f>$L147-SUMIF('11.2. ДА за периода'!$B$61:$B$108,$B147,'11.2. ДА за периода'!$L$61:$L$108)+SUMIF('11.2. ДА за периода'!$B$61:$B$108,$B147,'11.2. ДА за периода'!M$61:M$108)+SUMIF('11.1.Амортиз.нови активи'!$B$61:$B$108,$B147,'11.1.Амортиз.нови активи'!M$61:M$108)+('11.1.Амортиз.нови активи'!F$111*SUMIF('11.1.Амортиз.нови активи'!$B$61:$B$108,$B147,'11.1.Амортиз.нови активи'!AO$61:AO$108))</f>
        <v>0</v>
      </c>
      <c r="N147" s="1136">
        <f>$L147-SUMIF('11.2. ДА за периода'!$B$61:$B$108,$B147,'11.2. ДА за периода'!$L$61:$L$108)+SUMIF('11.2. ДА за периода'!$B$61:$B$108,$B147,'11.2. ДА за периода'!N$61:N$108)+SUMIF('11.1.Амортиз.нови активи'!$B$61:$B$108,$B147,'11.1.Амортиз.нови активи'!N$61:N$108)+('11.1.Амортиз.нови активи'!G$111*SUMIF('11.1.Амортиз.нови активи'!$B$61:$B$108,$B147,'11.1.Амортиз.нови активи'!AP$61:AP$108))</f>
        <v>0</v>
      </c>
      <c r="O147" s="1136">
        <f>$L147-SUMIF('11.2. ДА за периода'!$B$61:$B$108,$B147,'11.2. ДА за периода'!$L$61:$L$108)+SUMIF('11.2. ДА за периода'!$B$61:$B$108,$B147,'11.2. ДА за периода'!O$61:O$108)+SUMIF('11.1.Амортиз.нови активи'!$B$61:$B$108,$B147,'11.1.Амортиз.нови активи'!O$61:O$108)+('11.1.Амортиз.нови активи'!H$111*SUMIF('11.1.Амортиз.нови активи'!$B$61:$B$108,$B147,'11.1.Амортиз.нови активи'!AQ$61:AQ$108))</f>
        <v>0</v>
      </c>
      <c r="P147" s="1136">
        <f>$L147-SUMIF('11.2. ДА за периода'!$B$61:$B$108,$B147,'11.2. ДА за периода'!$L$61:$L$108)+SUMIF('11.2. ДА за периода'!$B$61:$B$108,$B147,'11.2. ДА за периода'!P$61:P$108)+SUMIF('11.1.Амортиз.нови активи'!$B$61:$B$108,$B147,'11.1.Амортиз.нови активи'!P$61:P$108)+('11.1.Амортиз.нови активи'!I$111*SUMIF('11.1.Амортиз.нови активи'!$B$61:$B$108,$B147,'11.1.Амортиз.нови активи'!AR$61:AR$108))</f>
        <v>0</v>
      </c>
      <c r="Q147" s="1136">
        <f>$L147-SUMIF('11.2. ДА за периода'!$B$61:$B$108,$B147,'11.2. ДА за периода'!$L$61:$L$108)+SUMIF('11.2. ДА за периода'!$B$61:$B$108,$B147,'11.2. ДА за периода'!Q$61:Q$108)+SUMIF('11.1.Амортиз.нови активи'!$B$61:$B$108,$B147,'11.1.Амортиз.нови активи'!Q$61:Q$108)+('11.1.Амортиз.нови активи'!J$111*SUMIF('11.1.Амортиз.нови активи'!$B$61:$B$108,$B147,'11.1.Амортиз.нови активи'!AS$61:AS$108))</f>
        <v>0</v>
      </c>
      <c r="R147" s="2656">
        <f>$L147-SUMIF('11.2. ДА за периода'!$B$61:$B$108,$B147,'11.2. ДА за периода'!$L$61:$L$108)+SUMIF('11.2. ДА за периода'!$B$61:$B$108,$B147,'11.2. ДА за периода'!R$61:R$108)+SUMIF('11.1.Амортиз.нови активи'!$B$61:$B$108,$B147,'11.1.Амортиз.нови активи'!R$61:R$108)+('11.1.Амортиз.нови активи'!K$111*SUMIF('11.1.Амортиз.нови активи'!$B$61:$B$108,$B147,'11.1.Амортиз.нови активи'!AT$61:AT$108))</f>
        <v>0</v>
      </c>
      <c r="S147" s="4453">
        <f>+'11.3. ДА Базова година'!N127</f>
        <v>0.40992000000000001</v>
      </c>
      <c r="T147" s="2655">
        <f>$S147-SUMIF('11.2. ДА за периода'!$B$61:$B$108,$B147,'11.2. ДА за периода'!$S$61:$S$108)+SUMIF('11.2. ДА за периода'!$B$61:$B$108,$B147,'11.2. ДА за периода'!T$61:T$108)+SUMIF('11.1.Амортиз.нови активи'!$B$61:$B$108,$B147,'11.1.Амортиз.нови активи'!T$61:T$108)+('11.1.Амортиз.нови активи'!F$112*SUMIF('11.1.Амортиз.нови активи'!$B$61:$B$108,$B147,'11.1.Амортиз.нови активи'!AO$61:AO$108))</f>
        <v>0.64992000000000005</v>
      </c>
      <c r="U147" s="1136">
        <f>$S147-SUMIF('11.2. ДА за периода'!$B$61:$B$108,$B147,'11.2. ДА за периода'!$S$61:$S$108)+SUMIF('11.2. ДА за периода'!$B$61:$B$108,$B147,'11.2. ДА за периода'!U$61:U$108)+SUMIF('11.1.Амортиз.нови активи'!$B$61:$B$108,$B147,'11.1.Амортиз.нови активи'!U$61:U$108)+('11.1.Амортиз.нови активи'!G$112*SUMIF('11.1.Амортиз.нови активи'!$B$61:$B$108,$B147,'11.1.Амортиз.нови активи'!AP$61:AP$108))</f>
        <v>1.4899200000000001</v>
      </c>
      <c r="V147" s="1136">
        <f>$S147-SUMIF('11.2. ДА за периода'!$B$61:$B$108,$B147,'11.2. ДА за периода'!$S$61:$S$108)+SUMIF('11.2. ДА за периода'!$B$61:$B$108,$B147,'11.2. ДА за периода'!V$61:V$108)+SUMIF('11.1.Амортиз.нови активи'!$B$61:$B$108,$B147,'11.1.Амортиз.нови активи'!V$61:V$108)+('11.1.Амортиз.нови активи'!H$112*SUMIF('11.1.Амортиз.нови активи'!$B$61:$B$108,$B147,'11.1.Амортиз.нови активи'!AQ$61:AQ$108))</f>
        <v>2.6899199999999999</v>
      </c>
      <c r="W147" s="1136">
        <f>$S147-SUMIF('11.2. ДА за периода'!$B$61:$B$108,$B147,'11.2. ДА за периода'!$S$61:$S$108)+SUMIF('11.2. ДА за периода'!$B$61:$B$108,$B147,'11.2. ДА за периода'!W$61:W$108)+SUMIF('11.1.Амортиз.нови активи'!$B$61:$B$108,$B147,'11.1.Амортиз.нови активи'!W$61:W$108)+('11.1.Амортиз.нови активи'!I$112*SUMIF('11.1.Амортиз.нови активи'!$B$61:$B$108,$B147,'11.1.Амортиз.нови активи'!AR$61:AR$108))</f>
        <v>3.88992</v>
      </c>
      <c r="X147" s="1136">
        <f>$S147-SUMIF('11.2. ДА за периода'!$B$61:$B$108,$B147,'11.2. ДА за периода'!$S$61:$S$108)+SUMIF('11.2. ДА за периода'!$B$61:$B$108,$B147,'11.2. ДА за периода'!X$61:X$108)+SUMIF('11.1.Амортиз.нови активи'!$B$61:$B$108,$B147,'11.1.Амортиз.нови активи'!X$61:X$108)+('11.1.Амортиз.нови активи'!J$112*SUMIF('11.1.Амортиз.нови активи'!$B$61:$B$108,$B147,'11.1.Амортиз.нови активи'!AS$61:AS$108))</f>
        <v>5.0899199999999993</v>
      </c>
      <c r="Y147" s="2656">
        <f>$S147-SUMIF('11.2. ДА за периода'!$B$61:$B$108,$B147,'11.2. ДА за периода'!$S$61:$S$108)+SUMIF('11.2. ДА за периода'!$B$61:$B$108,$B147,'11.2. ДА за периода'!Y$61:Y$108)+SUMIF('11.1.Амортиз.нови активи'!$B$61:$B$108,$B147,'11.1.Амортиз.нови активи'!Y$61:Y$108)+('11.1.Амортиз.нови активи'!K$112*SUMIF('11.1.Амортиз.нови активи'!$B$61:$B$108,$B147,'11.1.Амортиз.нови активи'!AT$61:AT$108))</f>
        <v>6.2899199999999995</v>
      </c>
      <c r="Z147" s="4453">
        <f>+'11.3. ДА Базова година'!R127</f>
        <v>0</v>
      </c>
      <c r="AA147" s="2655">
        <f>$Z147-SUMIF('11.2. ДА за периода'!$B$61:$B$108,$B147,'11.2. ДА за периода'!$Z$61:$Z$108)+SUMIF('11.2. ДА за периода'!$B$61:$B$108,$B147,'11.2. ДА за периода'!AA$61:AA$108)+SUMIF('11.1.Амортиз.нови активи'!$B$61:$B$108,$B147,'11.1.Амортиз.нови активи'!AA$61:AA$108)</f>
        <v>0</v>
      </c>
      <c r="AB147" s="1136">
        <f>$Z147-SUMIF('11.2. ДА за периода'!$B$61:$B$108,$B147,'11.2. ДА за периода'!$Z$61:$Z$108)+SUMIF('11.2. ДА за периода'!$B$61:$B$108,$B147,'11.2. ДА за периода'!AB$61:AB$108)+SUMIF('11.1.Амортиз.нови активи'!$B$61:$B$108,$B147,'11.1.Амортиз.нови активи'!AB$61:AB$108)</f>
        <v>0</v>
      </c>
      <c r="AC147" s="1136">
        <f>$Z147-SUMIF('11.2. ДА за периода'!$B$61:$B$108,$B147,'11.2. ДА за периода'!$Z$61:$Z$108)+SUMIF('11.2. ДА за периода'!$B$61:$B$108,$B147,'11.2. ДА за периода'!AC$61:AC$108)+SUMIF('11.1.Амортиз.нови активи'!$B$61:$B$108,$B147,'11.1.Амортиз.нови активи'!AC$61:AC$108)</f>
        <v>0</v>
      </c>
      <c r="AD147" s="1136">
        <f>$Z147-SUMIF('11.2. ДА за периода'!$B$61:$B$108,$B147,'11.2. ДА за периода'!$Z$61:$Z$108)+SUMIF('11.2. ДА за периода'!$B$61:$B$108,$B147,'11.2. ДА за периода'!AD$61:AD$108)+SUMIF('11.1.Амортиз.нови активи'!$B$61:$B$108,$B147,'11.1.Амортиз.нови активи'!AD$61:AD$108)</f>
        <v>0</v>
      </c>
      <c r="AE147" s="1136">
        <f>$Z147-SUMIF('11.2. ДА за периода'!$B$61:$B$108,$B147,'11.2. ДА за периода'!$Z$61:$Z$108)+SUMIF('11.2. ДА за периода'!$B$61:$B$108,$B147,'11.2. ДА за периода'!AE$61:AE$108)+SUMIF('11.1.Амортиз.нови активи'!$B$61:$B$108,$B147,'11.1.Амортиз.нови активи'!AE$61:AE$108)</f>
        <v>0</v>
      </c>
      <c r="AF147" s="2656">
        <f>$Z147-SUMIF('11.2. ДА за периода'!$B$61:$B$108,$B147,'11.2. ДА за периода'!$Z$61:$Z$108)+SUMIF('11.2. ДА за периода'!$B$61:$B$108,$B147,'11.2. ДА за периода'!AF$61:AF$108)+SUMIF('11.1.Амортиз.нови активи'!$B$61:$B$108,$B147,'11.1.Амортиз.нови активи'!AF$61:AF$108)</f>
        <v>0</v>
      </c>
      <c r="AG147" s="4453">
        <f>+'11.3. ДА Базова година'!V127</f>
        <v>0</v>
      </c>
      <c r="AH147" s="2655">
        <f>$AG147-SUMIF('11.2. ДА за периода'!$B$61:$B$108,$B147,'11.2. ДА за периода'!$AG$61:$AG$108)+SUMIF('11.2. ДА за периода'!$B$61:$B$108,$B147,'11.2. ДА за периода'!AH$61:AH$108)+SUMIF('11.1.Амортиз.нови активи'!$B$61:$B$108,$B147,'11.1.Амортиз.нови активи'!AH$61:AH$108)</f>
        <v>0.06</v>
      </c>
      <c r="AI147" s="1136">
        <f>$AG147-SUMIF('11.2. ДА за периода'!$B$61:$B$108,$B147,'11.2. ДА за периода'!$AG$61:$AG$108)+SUMIF('11.2. ДА за периода'!$B$61:$B$108,$B147,'11.2. ДА за периода'!AI$61:AI$108)+SUMIF('11.1.Амортиз.нови активи'!$B$61:$B$108,$B147,'11.1.Амортиз.нови активи'!AI$61:AI$108)</f>
        <v>0.72</v>
      </c>
      <c r="AJ147" s="1136">
        <f>$AG147-SUMIF('11.2. ДА за периода'!$B$61:$B$108,$B147,'11.2. ДА за периода'!$AG$61:$AG$108)+SUMIF('11.2. ДА за периода'!$B$61:$B$108,$B147,'11.2. ДА за периода'!AJ$61:AJ$108)+SUMIF('11.1.Амортиз.нови активи'!$B$61:$B$108,$B147,'11.1.Амортиз.нови активи'!AJ$61:AJ$108)</f>
        <v>1.3199999999999998</v>
      </c>
      <c r="AK147" s="1136">
        <f>$AG147-SUMIF('11.2. ДА за периода'!$B$61:$B$108,$B147,'11.2. ДА за периода'!$AG$61:$AG$108)+SUMIF('11.2. ДА за периода'!$B$61:$B$108,$B147,'11.2. ДА за периода'!AK$61:AK$108)+SUMIF('11.1.Амортиз.нови активи'!$B$61:$B$108,$B147,'11.1.Амортиз.нови активи'!AK$61:AK$108)</f>
        <v>1.3199999999999998</v>
      </c>
      <c r="AL147" s="1136">
        <f>$AG147-SUMIF('11.2. ДА за периода'!$B$61:$B$108,$B147,'11.2. ДА за периода'!$AG$61:$AG$108)+SUMIF('11.2. ДА за периода'!$B$61:$B$108,$B147,'11.2. ДА за периода'!AL$61:AL$108)+SUMIF('11.1.Амортиз.нови активи'!$B$61:$B$108,$B147,'11.1.Амортиз.нови активи'!AL$61:AL$108)</f>
        <v>1.3199999999999998</v>
      </c>
      <c r="AM147" s="2656">
        <f>$AG147-SUMIF('11.2. ДА за периода'!$B$61:$B$108,$B147,'11.2. ДА за периода'!$AG$61:$AG$108)+SUMIF('11.2. ДА за периода'!$B$61:$B$108,$B147,'11.2. ДА за периода'!AM$61:AM$108)+SUMIF('11.1.Амортиз.нови активи'!$B$61:$B$108,$B147,'11.1.Амортиз.нови активи'!AM$61:AM$108)</f>
        <v>1.3199999999999998</v>
      </c>
      <c r="AN147" s="2551"/>
      <c r="AO147" s="2589"/>
      <c r="AP147" s="4488"/>
      <c r="AQ147" s="4504">
        <f t="shared" si="174"/>
        <v>0</v>
      </c>
      <c r="AR147" s="4504">
        <f t="shared" si="175"/>
        <v>5.6242106931584032E-2</v>
      </c>
      <c r="AS147" s="4504">
        <f t="shared" si="176"/>
        <v>0.21474259010241178</v>
      </c>
      <c r="AT147" s="4504">
        <f t="shared" si="177"/>
        <v>0.4192593425808992</v>
      </c>
      <c r="AU147" s="4504">
        <f t="shared" si="178"/>
        <v>0.62377609505938658</v>
      </c>
      <c r="AV147" s="4504">
        <f t="shared" si="179"/>
        <v>0.82829284753787391</v>
      </c>
      <c r="AW147" s="4504">
        <f t="shared" si="180"/>
        <v>1.0328096000163614</v>
      </c>
      <c r="AX147" s="4504">
        <f t="shared" si="181"/>
        <v>0</v>
      </c>
      <c r="AY147" s="4504">
        <f t="shared" si="182"/>
        <v>0</v>
      </c>
      <c r="AZ147" s="4504">
        <f t="shared" si="183"/>
        <v>0</v>
      </c>
      <c r="BA147" s="4504">
        <f t="shared" si="184"/>
        <v>0</v>
      </c>
      <c r="BB147" s="4504">
        <f t="shared" si="185"/>
        <v>0</v>
      </c>
      <c r="BC147" s="4504">
        <f t="shared" si="186"/>
        <v>0</v>
      </c>
      <c r="BD147" s="4504">
        <f t="shared" si="187"/>
        <v>0</v>
      </c>
      <c r="BE147" s="4504">
        <f t="shared" si="188"/>
        <v>0.2095887679399539</v>
      </c>
      <c r="BF147" s="4504">
        <f t="shared" si="189"/>
        <v>0.33229881942704637</v>
      </c>
      <c r="BG147" s="4504">
        <f t="shared" si="190"/>
        <v>0.76178399963186993</v>
      </c>
      <c r="BH147" s="4504">
        <f t="shared" si="191"/>
        <v>1.3753342570673319</v>
      </c>
      <c r="BI147" s="4504">
        <f t="shared" si="192"/>
        <v>1.9888845145027942</v>
      </c>
      <c r="BJ147" s="4504">
        <f t="shared" si="193"/>
        <v>2.6024347719382561</v>
      </c>
      <c r="BK147" s="4504">
        <f t="shared" si="194"/>
        <v>3.2159850293737184</v>
      </c>
      <c r="BL147" s="4504">
        <f t="shared" si="195"/>
        <v>0</v>
      </c>
      <c r="BM147" s="4504">
        <f t="shared" si="196"/>
        <v>0</v>
      </c>
      <c r="BN147" s="4504">
        <f t="shared" si="197"/>
        <v>0</v>
      </c>
      <c r="BO147" s="4504">
        <f t="shared" si="198"/>
        <v>0</v>
      </c>
      <c r="BP147" s="4504">
        <f t="shared" si="199"/>
        <v>0</v>
      </c>
      <c r="BQ147" s="4504">
        <f t="shared" si="200"/>
        <v>0</v>
      </c>
      <c r="BR147" s="4504">
        <f t="shared" si="201"/>
        <v>0</v>
      </c>
      <c r="BS147" s="4504">
        <f t="shared" si="202"/>
        <v>0</v>
      </c>
      <c r="BT147" s="4504">
        <f t="shared" si="203"/>
        <v>3.0677512871773109E-2</v>
      </c>
      <c r="BU147" s="4504">
        <f t="shared" si="204"/>
        <v>0.36813015446127728</v>
      </c>
      <c r="BV147" s="4504">
        <f t="shared" si="205"/>
        <v>0.67490528317900833</v>
      </c>
      <c r="BW147" s="4504">
        <f t="shared" si="206"/>
        <v>0.67490528317900833</v>
      </c>
      <c r="BX147" s="4504">
        <f t="shared" si="207"/>
        <v>0.67490528317900833</v>
      </c>
      <c r="BY147" s="4504">
        <f t="shared" si="208"/>
        <v>0.67490528317900833</v>
      </c>
    </row>
    <row r="148" spans="1:77" s="1323" customFormat="1">
      <c r="A148" s="2611">
        <v>17</v>
      </c>
      <c r="B148" s="2554">
        <v>2040208</v>
      </c>
      <c r="C148" s="2555">
        <v>0.04</v>
      </c>
      <c r="D148" s="2590" t="s">
        <v>423</v>
      </c>
      <c r="E148" s="4453">
        <f>+'11.3. ДА Базова година'!F128</f>
        <v>0</v>
      </c>
      <c r="F148" s="2655">
        <f>$E148-SUMIF('11.2. ДА за периода'!$B$61:$B$108,$B148,'11.2. ДА за периода'!$E$61:$E$108)+SUMIF('11.2. ДА за периода'!$B$61:$B$108,$B148,'11.2. ДА за периода'!F$61:F$108)+SUMIF('11.1.Амортиз.нови активи'!$B$61:$B$108,$B148,'11.1.Амортиз.нови активи'!F$61:F$108)+('11.1.Амортиз.нови активи'!F$110*SUMIF('11.1.Амортиз.нови активи'!$B$61:$B$108,$B148,'11.1.Амортиз.нови активи'!AO$61:AO$108))</f>
        <v>0</v>
      </c>
      <c r="G148" s="1136">
        <f>$E148-SUMIF('11.2. ДА за периода'!$B$61:$B$108,$B148,'11.2. ДА за периода'!$E$61:$E$108)+SUMIF('11.2. ДА за периода'!$B$61:$B$108,$B148,'11.2. ДА за периода'!G$61:G$108)+SUMIF('11.1.Амортиз.нови активи'!$B$61:$B$108,$B148,'11.1.Амортиз.нови активи'!G$61:G$108)+('11.1.Амортиз.нови активи'!G$110*SUMIF('11.1.Амортиз.нови активи'!$B$61:$B$108,$B148,'11.1.Амортиз.нови активи'!AP$61:AP$108))</f>
        <v>0</v>
      </c>
      <c r="H148" s="1136">
        <f>$E148-SUMIF('11.2. ДА за периода'!$B$61:$B$108,$B148,'11.2. ДА за периода'!$E$61:$E$108)+SUMIF('11.2. ДА за периода'!$B$61:$B$108,$B148,'11.2. ДА за периода'!H$61:H$108)+SUMIF('11.1.Амортиз.нови активи'!$B$61:$B$108,$B148,'11.1.Амортиз.нови активи'!H$61:H$108)+('11.1.Амортиз.нови активи'!H$110*SUMIF('11.1.Амортиз.нови активи'!$B$61:$B$108,$B148,'11.1.Амортиз.нови активи'!AQ$61:AQ$108))</f>
        <v>0</v>
      </c>
      <c r="I148" s="1136">
        <f>$E148-SUMIF('11.2. ДА за периода'!$B$61:$B$108,$B148,'11.2. ДА за периода'!$E$61:$E$108)+SUMIF('11.2. ДА за периода'!$B$61:$B$108,$B148,'11.2. ДА за периода'!I$61:I$108)+SUMIF('11.1.Амортиз.нови активи'!$B$61:$B$108,$B148,'11.1.Амортиз.нови активи'!I$61:I$108)+('11.1.Амортиз.нови активи'!I$110*SUMIF('11.1.Амортиз.нови активи'!$B$61:$B$108,$B148,'11.1.Амортиз.нови активи'!AR$61:AR$108))</f>
        <v>0</v>
      </c>
      <c r="J148" s="1136">
        <f>$E148-SUMIF('11.2. ДА за периода'!$B$61:$B$108,$B148,'11.2. ДА за периода'!$E$61:$E$108)+SUMIF('11.2. ДА за периода'!$B$61:$B$108,$B148,'11.2. ДА за периода'!J$61:J$108)+SUMIF('11.1.Амортиз.нови активи'!$B$61:$B$108,$B148,'11.1.Амортиз.нови активи'!J$61:J$108)+('11.1.Амортиз.нови активи'!J$110*SUMIF('11.1.Амортиз.нови активи'!$B$61:$B$108,$B148,'11.1.Амортиз.нови активи'!AS$61:AS$108))</f>
        <v>0</v>
      </c>
      <c r="K148" s="1136">
        <f>$E148-SUMIF('11.2. ДА за периода'!$B$61:$B$108,$B148,'11.2. ДА за периода'!$E$61:$E$108)+SUMIF('11.2. ДА за периода'!$B$61:$B$108,$B148,'11.2. ДА за периода'!K$61:K$108)+SUMIF('11.1.Амортиз.нови активи'!$B$61:$B$108,$B148,'11.1.Амортиз.нови активи'!K$61:K$108)+('11.1.Амортиз.нови активи'!K$110*SUMIF('11.1.Амортиз.нови активи'!$B$61:$B$108,$B148,'11.1.Амортиз.нови активи'!AT$61:AT$108))</f>
        <v>0</v>
      </c>
      <c r="L148" s="4453">
        <f>+'11.3. ДА Базова година'!J128</f>
        <v>0</v>
      </c>
      <c r="M148" s="2655">
        <f>$L148-SUMIF('11.2. ДА за периода'!$B$61:$B$108,$B148,'11.2. ДА за периода'!$L$61:$L$108)+SUMIF('11.2. ДА за периода'!$B$61:$B$108,$B148,'11.2. ДА за периода'!M$61:M$108)+SUMIF('11.1.Амортиз.нови активи'!$B$61:$B$108,$B148,'11.1.Амортиз.нови активи'!M$61:M$108)+('11.1.Амортиз.нови активи'!F$111*SUMIF('11.1.Амортиз.нови активи'!$B$61:$B$108,$B148,'11.1.Амортиз.нови активи'!AO$61:AO$108))</f>
        <v>0</v>
      </c>
      <c r="N148" s="1136">
        <f>$L148-SUMIF('11.2. ДА за периода'!$B$61:$B$108,$B148,'11.2. ДА за периода'!$L$61:$L$108)+SUMIF('11.2. ДА за периода'!$B$61:$B$108,$B148,'11.2. ДА за периода'!N$61:N$108)+SUMIF('11.1.Амортиз.нови активи'!$B$61:$B$108,$B148,'11.1.Амортиз.нови активи'!N$61:N$108)+('11.1.Амортиз.нови активи'!G$111*SUMIF('11.1.Амортиз.нови активи'!$B$61:$B$108,$B148,'11.1.Амортиз.нови активи'!AP$61:AP$108))</f>
        <v>0</v>
      </c>
      <c r="O148" s="1136">
        <f>$L148-SUMIF('11.2. ДА за периода'!$B$61:$B$108,$B148,'11.2. ДА за периода'!$L$61:$L$108)+SUMIF('11.2. ДА за периода'!$B$61:$B$108,$B148,'11.2. ДА за периода'!O$61:O$108)+SUMIF('11.1.Амортиз.нови активи'!$B$61:$B$108,$B148,'11.1.Амортиз.нови активи'!O$61:O$108)+('11.1.Амортиз.нови активи'!H$111*SUMIF('11.1.Амортиз.нови активи'!$B$61:$B$108,$B148,'11.1.Амортиз.нови активи'!AQ$61:AQ$108))</f>
        <v>0</v>
      </c>
      <c r="P148" s="1136">
        <f>$L148-SUMIF('11.2. ДА за периода'!$B$61:$B$108,$B148,'11.2. ДА за периода'!$L$61:$L$108)+SUMIF('11.2. ДА за периода'!$B$61:$B$108,$B148,'11.2. ДА за периода'!P$61:P$108)+SUMIF('11.1.Амортиз.нови активи'!$B$61:$B$108,$B148,'11.1.Амортиз.нови активи'!P$61:P$108)+('11.1.Амортиз.нови активи'!I$111*SUMIF('11.1.Амортиз.нови активи'!$B$61:$B$108,$B148,'11.1.Амортиз.нови активи'!AR$61:AR$108))</f>
        <v>0</v>
      </c>
      <c r="Q148" s="1136">
        <f>$L148-SUMIF('11.2. ДА за периода'!$B$61:$B$108,$B148,'11.2. ДА за периода'!$L$61:$L$108)+SUMIF('11.2. ДА за периода'!$B$61:$B$108,$B148,'11.2. ДА за периода'!Q$61:Q$108)+SUMIF('11.1.Амортиз.нови активи'!$B$61:$B$108,$B148,'11.1.Амортиз.нови активи'!Q$61:Q$108)+('11.1.Амортиз.нови активи'!J$111*SUMIF('11.1.Амортиз.нови активи'!$B$61:$B$108,$B148,'11.1.Амортиз.нови активи'!AS$61:AS$108))</f>
        <v>0</v>
      </c>
      <c r="R148" s="2656">
        <f>$L148-SUMIF('11.2. ДА за периода'!$B$61:$B$108,$B148,'11.2. ДА за периода'!$L$61:$L$108)+SUMIF('11.2. ДА за периода'!$B$61:$B$108,$B148,'11.2. ДА за периода'!R$61:R$108)+SUMIF('11.1.Амортиз.нови активи'!$B$61:$B$108,$B148,'11.1.Амортиз.нови активи'!R$61:R$108)+('11.1.Амортиз.нови активи'!K$111*SUMIF('11.1.Амортиз.нови активи'!$B$61:$B$108,$B148,'11.1.Амортиз.нови активи'!AT$61:AT$108))</f>
        <v>0</v>
      </c>
      <c r="S148" s="4453">
        <f>+'11.3. ДА Базова година'!N128</f>
        <v>0</v>
      </c>
      <c r="T148" s="2655">
        <f>$S148-SUMIF('11.2. ДА за периода'!$B$61:$B$108,$B148,'11.2. ДА за периода'!$S$61:$S$108)+SUMIF('11.2. ДА за периода'!$B$61:$B$108,$B148,'11.2. ДА за периода'!T$61:T$108)+SUMIF('11.1.Амортиз.нови активи'!$B$61:$B$108,$B148,'11.1.Амортиз.нови активи'!T$61:T$108)+('11.1.Амортиз.нови активи'!F$112*SUMIF('11.1.Амортиз.нови активи'!$B$61:$B$108,$B148,'11.1.Амортиз.нови активи'!AO$61:AO$108))</f>
        <v>0</v>
      </c>
      <c r="U148" s="1136">
        <f>$S148-SUMIF('11.2. ДА за периода'!$B$61:$B$108,$B148,'11.2. ДА за периода'!$S$61:$S$108)+SUMIF('11.2. ДА за периода'!$B$61:$B$108,$B148,'11.2. ДА за периода'!U$61:U$108)+SUMIF('11.1.Амортиз.нови активи'!$B$61:$B$108,$B148,'11.1.Амортиз.нови активи'!U$61:U$108)+('11.1.Амортиз.нови активи'!G$112*SUMIF('11.1.Амортиз.нови активи'!$B$61:$B$108,$B148,'11.1.Амортиз.нови активи'!AP$61:AP$108))</f>
        <v>0</v>
      </c>
      <c r="V148" s="1136">
        <f>$S148-SUMIF('11.2. ДА за периода'!$B$61:$B$108,$B148,'11.2. ДА за периода'!$S$61:$S$108)+SUMIF('11.2. ДА за периода'!$B$61:$B$108,$B148,'11.2. ДА за периода'!V$61:V$108)+SUMIF('11.1.Амортиз.нови активи'!$B$61:$B$108,$B148,'11.1.Амортиз.нови активи'!V$61:V$108)+('11.1.Амортиз.нови активи'!H$112*SUMIF('11.1.Амортиз.нови активи'!$B$61:$B$108,$B148,'11.1.Амортиз.нови активи'!AQ$61:AQ$108))</f>
        <v>0</v>
      </c>
      <c r="W148" s="1136">
        <f>$S148-SUMIF('11.2. ДА за периода'!$B$61:$B$108,$B148,'11.2. ДА за периода'!$S$61:$S$108)+SUMIF('11.2. ДА за периода'!$B$61:$B$108,$B148,'11.2. ДА за периода'!W$61:W$108)+SUMIF('11.1.Амортиз.нови активи'!$B$61:$B$108,$B148,'11.1.Амортиз.нови активи'!W$61:W$108)+('11.1.Амортиз.нови активи'!I$112*SUMIF('11.1.Амортиз.нови активи'!$B$61:$B$108,$B148,'11.1.Амортиз.нови активи'!AR$61:AR$108))</f>
        <v>0</v>
      </c>
      <c r="X148" s="1136">
        <f>$S148-SUMIF('11.2. ДА за периода'!$B$61:$B$108,$B148,'11.2. ДА за периода'!$S$61:$S$108)+SUMIF('11.2. ДА за периода'!$B$61:$B$108,$B148,'11.2. ДА за периода'!X$61:X$108)+SUMIF('11.1.Амортиз.нови активи'!$B$61:$B$108,$B148,'11.1.Амортиз.нови активи'!X$61:X$108)+('11.1.Амортиз.нови активи'!J$112*SUMIF('11.1.Амортиз.нови активи'!$B$61:$B$108,$B148,'11.1.Амортиз.нови активи'!AS$61:AS$108))</f>
        <v>0</v>
      </c>
      <c r="Y148" s="2656">
        <f>$S148-SUMIF('11.2. ДА за периода'!$B$61:$B$108,$B148,'11.2. ДА за периода'!$S$61:$S$108)+SUMIF('11.2. ДА за периода'!$B$61:$B$108,$B148,'11.2. ДА за периода'!Y$61:Y$108)+SUMIF('11.1.Амортиз.нови активи'!$B$61:$B$108,$B148,'11.1.Амортиз.нови активи'!Y$61:Y$108)+('11.1.Амортиз.нови активи'!K$112*SUMIF('11.1.Амортиз.нови активи'!$B$61:$B$108,$B148,'11.1.Амортиз.нови активи'!AT$61:AT$108))</f>
        <v>0</v>
      </c>
      <c r="Z148" s="4453">
        <f>+'11.3. ДА Базова година'!R128</f>
        <v>0</v>
      </c>
      <c r="AA148" s="2655">
        <f>$Z148-SUMIF('11.2. ДА за периода'!$B$61:$B$108,$B148,'11.2. ДА за периода'!$Z$61:$Z$108)+SUMIF('11.2. ДА за периода'!$B$61:$B$108,$B148,'11.2. ДА за периода'!AA$61:AA$108)+SUMIF('11.1.Амортиз.нови активи'!$B$61:$B$108,$B148,'11.1.Амортиз.нови активи'!AA$61:AA$108)</f>
        <v>0</v>
      </c>
      <c r="AB148" s="1136">
        <f>$Z148-SUMIF('11.2. ДА за периода'!$B$61:$B$108,$B148,'11.2. ДА за периода'!$Z$61:$Z$108)+SUMIF('11.2. ДА за периода'!$B$61:$B$108,$B148,'11.2. ДА за периода'!AB$61:AB$108)+SUMIF('11.1.Амортиз.нови активи'!$B$61:$B$108,$B148,'11.1.Амортиз.нови активи'!AB$61:AB$108)</f>
        <v>0</v>
      </c>
      <c r="AC148" s="1136">
        <f>$Z148-SUMIF('11.2. ДА за периода'!$B$61:$B$108,$B148,'11.2. ДА за периода'!$Z$61:$Z$108)+SUMIF('11.2. ДА за периода'!$B$61:$B$108,$B148,'11.2. ДА за периода'!AC$61:AC$108)+SUMIF('11.1.Амортиз.нови активи'!$B$61:$B$108,$B148,'11.1.Амортиз.нови активи'!AC$61:AC$108)</f>
        <v>0</v>
      </c>
      <c r="AD148" s="1136">
        <f>$Z148-SUMIF('11.2. ДА за периода'!$B$61:$B$108,$B148,'11.2. ДА за периода'!$Z$61:$Z$108)+SUMIF('11.2. ДА за периода'!$B$61:$B$108,$B148,'11.2. ДА за периода'!AD$61:AD$108)+SUMIF('11.1.Амортиз.нови активи'!$B$61:$B$108,$B148,'11.1.Амортиз.нови активи'!AD$61:AD$108)</f>
        <v>0</v>
      </c>
      <c r="AE148" s="1136">
        <f>$Z148-SUMIF('11.2. ДА за периода'!$B$61:$B$108,$B148,'11.2. ДА за периода'!$Z$61:$Z$108)+SUMIF('11.2. ДА за периода'!$B$61:$B$108,$B148,'11.2. ДА за периода'!AE$61:AE$108)+SUMIF('11.1.Амортиз.нови активи'!$B$61:$B$108,$B148,'11.1.Амортиз.нови активи'!AE$61:AE$108)</f>
        <v>0</v>
      </c>
      <c r="AF148" s="2656">
        <f>$Z148-SUMIF('11.2. ДА за периода'!$B$61:$B$108,$B148,'11.2. ДА за периода'!$Z$61:$Z$108)+SUMIF('11.2. ДА за периода'!$B$61:$B$108,$B148,'11.2. ДА за периода'!AF$61:AF$108)+SUMIF('11.1.Амортиз.нови активи'!$B$61:$B$108,$B148,'11.1.Амортиз.нови активи'!AF$61:AF$108)</f>
        <v>0</v>
      </c>
      <c r="AG148" s="4453">
        <f>+'11.3. ДА Базова година'!V128</f>
        <v>0</v>
      </c>
      <c r="AH148" s="2655">
        <f>$AG148-SUMIF('11.2. ДА за периода'!$B$61:$B$108,$B148,'11.2. ДА за периода'!$AG$61:$AG$108)+SUMIF('11.2. ДА за периода'!$B$61:$B$108,$B148,'11.2. ДА за периода'!AH$61:AH$108)+SUMIF('11.1.Амортиз.нови активи'!$B$61:$B$108,$B148,'11.1.Амортиз.нови активи'!AH$61:AH$108)</f>
        <v>0</v>
      </c>
      <c r="AI148" s="1136">
        <f>$AG148-SUMIF('11.2. ДА за периода'!$B$61:$B$108,$B148,'11.2. ДА за периода'!$AG$61:$AG$108)+SUMIF('11.2. ДА за периода'!$B$61:$B$108,$B148,'11.2. ДА за периода'!AI$61:AI$108)+SUMIF('11.1.Амортиз.нови активи'!$B$61:$B$108,$B148,'11.1.Амортиз.нови активи'!AI$61:AI$108)</f>
        <v>0</v>
      </c>
      <c r="AJ148" s="1136">
        <f>$AG148-SUMIF('11.2. ДА за периода'!$B$61:$B$108,$B148,'11.2. ДА за периода'!$AG$61:$AG$108)+SUMIF('11.2. ДА за периода'!$B$61:$B$108,$B148,'11.2. ДА за периода'!AJ$61:AJ$108)+SUMIF('11.1.Амортиз.нови активи'!$B$61:$B$108,$B148,'11.1.Амортиз.нови активи'!AJ$61:AJ$108)</f>
        <v>0</v>
      </c>
      <c r="AK148" s="1136">
        <f>$AG148-SUMIF('11.2. ДА за периода'!$B$61:$B$108,$B148,'11.2. ДА за периода'!$AG$61:$AG$108)+SUMIF('11.2. ДА за периода'!$B$61:$B$108,$B148,'11.2. ДА за периода'!AK$61:AK$108)+SUMIF('11.1.Амортиз.нови активи'!$B$61:$B$108,$B148,'11.1.Амортиз.нови активи'!AK$61:AK$108)</f>
        <v>0</v>
      </c>
      <c r="AL148" s="1136">
        <f>$AG148-SUMIF('11.2. ДА за периода'!$B$61:$B$108,$B148,'11.2. ДА за периода'!$AG$61:$AG$108)+SUMIF('11.2. ДА за периода'!$B$61:$B$108,$B148,'11.2. ДА за периода'!AL$61:AL$108)+SUMIF('11.1.Амортиз.нови активи'!$B$61:$B$108,$B148,'11.1.Амортиз.нови активи'!AL$61:AL$108)</f>
        <v>0</v>
      </c>
      <c r="AM148" s="2656">
        <f>$AG148-SUMIF('11.2. ДА за периода'!$B$61:$B$108,$B148,'11.2. ДА за периода'!$AG$61:$AG$108)+SUMIF('11.2. ДА за периода'!$B$61:$B$108,$B148,'11.2. ДА за периода'!AM$61:AM$108)+SUMIF('11.1.Амортиз.нови активи'!$B$61:$B$108,$B148,'11.1.Амортиз.нови активи'!AM$61:AM$108)</f>
        <v>0</v>
      </c>
      <c r="AN148" s="2551"/>
      <c r="AO148" s="2589"/>
      <c r="AP148" s="4488"/>
      <c r="AQ148" s="4504">
        <f t="shared" si="174"/>
        <v>0</v>
      </c>
      <c r="AR148" s="4504">
        <f t="shared" si="175"/>
        <v>0</v>
      </c>
      <c r="AS148" s="4504">
        <f t="shared" si="176"/>
        <v>0</v>
      </c>
      <c r="AT148" s="4504">
        <f t="shared" si="177"/>
        <v>0</v>
      </c>
      <c r="AU148" s="4504">
        <f t="shared" si="178"/>
        <v>0</v>
      </c>
      <c r="AV148" s="4504">
        <f t="shared" si="179"/>
        <v>0</v>
      </c>
      <c r="AW148" s="4504">
        <f t="shared" si="180"/>
        <v>0</v>
      </c>
      <c r="AX148" s="4504">
        <f t="shared" si="181"/>
        <v>0</v>
      </c>
      <c r="AY148" s="4504">
        <f t="shared" si="182"/>
        <v>0</v>
      </c>
      <c r="AZ148" s="4504">
        <f t="shared" si="183"/>
        <v>0</v>
      </c>
      <c r="BA148" s="4504">
        <f t="shared" si="184"/>
        <v>0</v>
      </c>
      <c r="BB148" s="4504">
        <f t="shared" si="185"/>
        <v>0</v>
      </c>
      <c r="BC148" s="4504">
        <f t="shared" si="186"/>
        <v>0</v>
      </c>
      <c r="BD148" s="4504">
        <f t="shared" si="187"/>
        <v>0</v>
      </c>
      <c r="BE148" s="4504">
        <f t="shared" si="188"/>
        <v>0</v>
      </c>
      <c r="BF148" s="4504">
        <f t="shared" si="189"/>
        <v>0</v>
      </c>
      <c r="BG148" s="4504">
        <f t="shared" si="190"/>
        <v>0</v>
      </c>
      <c r="BH148" s="4504">
        <f t="shared" si="191"/>
        <v>0</v>
      </c>
      <c r="BI148" s="4504">
        <f t="shared" si="192"/>
        <v>0</v>
      </c>
      <c r="BJ148" s="4504">
        <f t="shared" si="193"/>
        <v>0</v>
      </c>
      <c r="BK148" s="4504">
        <f t="shared" si="194"/>
        <v>0</v>
      </c>
      <c r="BL148" s="4504">
        <f t="shared" si="195"/>
        <v>0</v>
      </c>
      <c r="BM148" s="4504">
        <f t="shared" si="196"/>
        <v>0</v>
      </c>
      <c r="BN148" s="4504">
        <f t="shared" si="197"/>
        <v>0</v>
      </c>
      <c r="BO148" s="4504">
        <f t="shared" si="198"/>
        <v>0</v>
      </c>
      <c r="BP148" s="4504">
        <f t="shared" si="199"/>
        <v>0</v>
      </c>
      <c r="BQ148" s="4504">
        <f t="shared" si="200"/>
        <v>0</v>
      </c>
      <c r="BR148" s="4504">
        <f t="shared" si="201"/>
        <v>0</v>
      </c>
      <c r="BS148" s="4504">
        <f t="shared" si="202"/>
        <v>0</v>
      </c>
      <c r="BT148" s="4504">
        <f t="shared" si="203"/>
        <v>0</v>
      </c>
      <c r="BU148" s="4504">
        <f t="shared" si="204"/>
        <v>0</v>
      </c>
      <c r="BV148" s="4504">
        <f t="shared" si="205"/>
        <v>0</v>
      </c>
      <c r="BW148" s="4504">
        <f t="shared" si="206"/>
        <v>0</v>
      </c>
      <c r="BX148" s="4504">
        <f t="shared" si="207"/>
        <v>0</v>
      </c>
      <c r="BY148" s="4504">
        <f t="shared" si="208"/>
        <v>0</v>
      </c>
    </row>
    <row r="149" spans="1:77" s="1323" customFormat="1">
      <c r="A149" s="2611">
        <v>18</v>
      </c>
      <c r="B149" s="2612" t="s">
        <v>1051</v>
      </c>
      <c r="C149" s="2555">
        <v>0.04</v>
      </c>
      <c r="D149" s="2609" t="s">
        <v>434</v>
      </c>
      <c r="E149" s="4453">
        <f>+'11.3. ДА Базова година'!F129</f>
        <v>9.06E-2</v>
      </c>
      <c r="F149" s="2655">
        <f>$E149-SUMIF('11.2. ДА за периода'!$B$61:$B$108,$B149,'11.2. ДА за периода'!$E$61:$E$108)+SUMIF('11.2. ДА за периода'!$B$61:$B$108,$B149,'11.2. ДА за периода'!F$61:F$108)+SUMIF('11.1.Амортиз.нови активи'!$B$61:$B$108,$B149,'11.1.Амортиз.нови активи'!F$61:F$108)+('11.1.Амортиз.нови активи'!F$110*SUMIF('11.1.Амортиз.нови активи'!$B$61:$B$108,$B149,'11.1.Амортиз.нови активи'!AO$61:AO$108))</f>
        <v>9.06E-2</v>
      </c>
      <c r="G149" s="1136">
        <f>$E149-SUMIF('11.2. ДА за периода'!$B$61:$B$108,$B149,'11.2. ДА за периода'!$E$61:$E$108)+SUMIF('11.2. ДА за периода'!$B$61:$B$108,$B149,'11.2. ДА за периода'!G$61:G$108)+SUMIF('11.1.Амортиз.нови активи'!$B$61:$B$108,$B149,'11.1.Амортиз.нови активи'!G$61:G$108)+('11.1.Амортиз.нови активи'!G$110*SUMIF('11.1.Амортиз.нови активи'!$B$61:$B$108,$B149,'11.1.Амортиз.нови активи'!AP$61:AP$108))</f>
        <v>9.06E-2</v>
      </c>
      <c r="H149" s="1136">
        <f>$E149-SUMIF('11.2. ДА за периода'!$B$61:$B$108,$B149,'11.2. ДА за периода'!$E$61:$E$108)+SUMIF('11.2. ДА за периода'!$B$61:$B$108,$B149,'11.2. ДА за периода'!H$61:H$108)+SUMIF('11.1.Амортиз.нови активи'!$B$61:$B$108,$B149,'11.1.Амортиз.нови активи'!H$61:H$108)+('11.1.Амортиз.нови активи'!H$110*SUMIF('11.1.Амортиз.нови активи'!$B$61:$B$108,$B149,'11.1.Амортиз.нови активи'!AQ$61:AQ$108))</f>
        <v>9.06E-2</v>
      </c>
      <c r="I149" s="1136">
        <f>$E149-SUMIF('11.2. ДА за периода'!$B$61:$B$108,$B149,'11.2. ДА за периода'!$E$61:$E$108)+SUMIF('11.2. ДА за периода'!$B$61:$B$108,$B149,'11.2. ДА за периода'!I$61:I$108)+SUMIF('11.1.Амортиз.нови активи'!$B$61:$B$108,$B149,'11.1.Амортиз.нови активи'!I$61:I$108)+('11.1.Амортиз.нови активи'!I$110*SUMIF('11.1.Амортиз.нови активи'!$B$61:$B$108,$B149,'11.1.Амортиз.нови активи'!AR$61:AR$108))</f>
        <v>9.06E-2</v>
      </c>
      <c r="J149" s="1136">
        <f>$E149-SUMIF('11.2. ДА за периода'!$B$61:$B$108,$B149,'11.2. ДА за периода'!$E$61:$E$108)+SUMIF('11.2. ДА за периода'!$B$61:$B$108,$B149,'11.2. ДА за периода'!J$61:J$108)+SUMIF('11.1.Амортиз.нови активи'!$B$61:$B$108,$B149,'11.1.Амортиз.нови активи'!J$61:J$108)+('11.1.Амортиз.нови активи'!J$110*SUMIF('11.1.Амортиз.нови активи'!$B$61:$B$108,$B149,'11.1.Амортиз.нови активи'!AS$61:AS$108))</f>
        <v>9.06E-2</v>
      </c>
      <c r="K149" s="1136">
        <f>$E149-SUMIF('11.2. ДА за периода'!$B$61:$B$108,$B149,'11.2. ДА за периода'!$E$61:$E$108)+SUMIF('11.2. ДА за периода'!$B$61:$B$108,$B149,'11.2. ДА за периода'!K$61:K$108)+SUMIF('11.1.Амортиз.нови активи'!$B$61:$B$108,$B149,'11.1.Амортиз.нови активи'!K$61:K$108)+('11.1.Амортиз.нови активи'!K$110*SUMIF('11.1.Амортиз.нови активи'!$B$61:$B$108,$B149,'11.1.Амортиз.нови активи'!AT$61:AT$108))</f>
        <v>9.06E-2</v>
      </c>
      <c r="L149" s="4453">
        <f>+'11.3. ДА Базова година'!J129</f>
        <v>0</v>
      </c>
      <c r="M149" s="2655">
        <f>$L149-SUMIF('11.2. ДА за периода'!$B$61:$B$108,$B149,'11.2. ДА за периода'!$L$61:$L$108)+SUMIF('11.2. ДА за периода'!$B$61:$B$108,$B149,'11.2. ДА за периода'!M$61:M$108)+SUMIF('11.1.Амортиз.нови активи'!$B$61:$B$108,$B149,'11.1.Амортиз.нови активи'!M$61:M$108)+('11.1.Амортиз.нови активи'!F$111*SUMIF('11.1.Амортиз.нови активи'!$B$61:$B$108,$B149,'11.1.Амортиз.нови активи'!AO$61:AO$108))</f>
        <v>0</v>
      </c>
      <c r="N149" s="1136">
        <f>$L149-SUMIF('11.2. ДА за периода'!$B$61:$B$108,$B149,'11.2. ДА за периода'!$L$61:$L$108)+SUMIF('11.2. ДА за периода'!$B$61:$B$108,$B149,'11.2. ДА за периода'!N$61:N$108)+SUMIF('11.1.Амортиз.нови активи'!$B$61:$B$108,$B149,'11.1.Амортиз.нови активи'!N$61:N$108)+('11.1.Амортиз.нови активи'!G$111*SUMIF('11.1.Амортиз.нови активи'!$B$61:$B$108,$B149,'11.1.Амортиз.нови активи'!AP$61:AP$108))</f>
        <v>0</v>
      </c>
      <c r="O149" s="1136">
        <f>$L149-SUMIF('11.2. ДА за периода'!$B$61:$B$108,$B149,'11.2. ДА за периода'!$L$61:$L$108)+SUMIF('11.2. ДА за периода'!$B$61:$B$108,$B149,'11.2. ДА за периода'!O$61:O$108)+SUMIF('11.1.Амортиз.нови активи'!$B$61:$B$108,$B149,'11.1.Амортиз.нови активи'!O$61:O$108)+('11.1.Амортиз.нови активи'!H$111*SUMIF('11.1.Амортиз.нови активи'!$B$61:$B$108,$B149,'11.1.Амортиз.нови активи'!AQ$61:AQ$108))</f>
        <v>0</v>
      </c>
      <c r="P149" s="1136">
        <f>$L149-SUMIF('11.2. ДА за периода'!$B$61:$B$108,$B149,'11.2. ДА за периода'!$L$61:$L$108)+SUMIF('11.2. ДА за периода'!$B$61:$B$108,$B149,'11.2. ДА за периода'!P$61:P$108)+SUMIF('11.1.Амортиз.нови активи'!$B$61:$B$108,$B149,'11.1.Амортиз.нови активи'!P$61:P$108)+('11.1.Амортиз.нови активи'!I$111*SUMIF('11.1.Амортиз.нови активи'!$B$61:$B$108,$B149,'11.1.Амортиз.нови активи'!AR$61:AR$108))</f>
        <v>0</v>
      </c>
      <c r="Q149" s="1136">
        <f>$L149-SUMIF('11.2. ДА за периода'!$B$61:$B$108,$B149,'11.2. ДА за периода'!$L$61:$L$108)+SUMIF('11.2. ДА за периода'!$B$61:$B$108,$B149,'11.2. ДА за периода'!Q$61:Q$108)+SUMIF('11.1.Амортиз.нови активи'!$B$61:$B$108,$B149,'11.1.Амортиз.нови активи'!Q$61:Q$108)+('11.1.Амортиз.нови активи'!J$111*SUMIF('11.1.Амортиз.нови активи'!$B$61:$B$108,$B149,'11.1.Амортиз.нови активи'!AS$61:AS$108))</f>
        <v>0</v>
      </c>
      <c r="R149" s="2656">
        <f>$L149-SUMIF('11.2. ДА за периода'!$B$61:$B$108,$B149,'11.2. ДА за периода'!$L$61:$L$108)+SUMIF('11.2. ДА за периода'!$B$61:$B$108,$B149,'11.2. ДА за периода'!R$61:R$108)+SUMIF('11.1.Амортиз.нови активи'!$B$61:$B$108,$B149,'11.1.Амортиз.нови активи'!R$61:R$108)+('11.1.Амортиз.нови активи'!K$111*SUMIF('11.1.Амортиз.нови активи'!$B$61:$B$108,$B149,'11.1.Амортиз.нови активи'!AT$61:AT$108))</f>
        <v>0</v>
      </c>
      <c r="S149" s="4453">
        <f>+'11.3. ДА Базова година'!N129</f>
        <v>0</v>
      </c>
      <c r="T149" s="2655">
        <f>$S149-SUMIF('11.2. ДА за периода'!$B$61:$B$108,$B149,'11.2. ДА за периода'!$S$61:$S$108)+SUMIF('11.2. ДА за периода'!$B$61:$B$108,$B149,'11.2. ДА за периода'!T$61:T$108)+SUMIF('11.1.Амортиз.нови активи'!$B$61:$B$108,$B149,'11.1.Амортиз.нови активи'!T$61:T$108)+('11.1.Амортиз.нови активи'!F$112*SUMIF('11.1.Амортиз.нови активи'!$B$61:$B$108,$B149,'11.1.Амортиз.нови активи'!AO$61:AO$108))</f>
        <v>0</v>
      </c>
      <c r="U149" s="1136">
        <f>$S149-SUMIF('11.2. ДА за периода'!$B$61:$B$108,$B149,'11.2. ДА за периода'!$S$61:$S$108)+SUMIF('11.2. ДА за периода'!$B$61:$B$108,$B149,'11.2. ДА за периода'!U$61:U$108)+SUMIF('11.1.Амортиз.нови активи'!$B$61:$B$108,$B149,'11.1.Амортиз.нови активи'!U$61:U$108)+('11.1.Амортиз.нови активи'!G$112*SUMIF('11.1.Амортиз.нови активи'!$B$61:$B$108,$B149,'11.1.Амортиз.нови активи'!AP$61:AP$108))</f>
        <v>0</v>
      </c>
      <c r="V149" s="1136">
        <f>$S149-SUMIF('11.2. ДА за периода'!$B$61:$B$108,$B149,'11.2. ДА за периода'!$S$61:$S$108)+SUMIF('11.2. ДА за периода'!$B$61:$B$108,$B149,'11.2. ДА за периода'!V$61:V$108)+SUMIF('11.1.Амортиз.нови активи'!$B$61:$B$108,$B149,'11.1.Амортиз.нови активи'!V$61:V$108)+('11.1.Амортиз.нови активи'!H$112*SUMIF('11.1.Амортиз.нови активи'!$B$61:$B$108,$B149,'11.1.Амортиз.нови активи'!AQ$61:AQ$108))</f>
        <v>0</v>
      </c>
      <c r="W149" s="1136">
        <f>$S149-SUMIF('11.2. ДА за периода'!$B$61:$B$108,$B149,'11.2. ДА за периода'!$S$61:$S$108)+SUMIF('11.2. ДА за периода'!$B$61:$B$108,$B149,'11.2. ДА за периода'!W$61:W$108)+SUMIF('11.1.Амортиз.нови активи'!$B$61:$B$108,$B149,'11.1.Амортиз.нови активи'!W$61:W$108)+('11.1.Амортиз.нови активи'!I$112*SUMIF('11.1.Амортиз.нови активи'!$B$61:$B$108,$B149,'11.1.Амортиз.нови активи'!AR$61:AR$108))</f>
        <v>0</v>
      </c>
      <c r="X149" s="1136">
        <f>$S149-SUMIF('11.2. ДА за периода'!$B$61:$B$108,$B149,'11.2. ДА за периода'!$S$61:$S$108)+SUMIF('11.2. ДА за периода'!$B$61:$B$108,$B149,'11.2. ДА за периода'!X$61:X$108)+SUMIF('11.1.Амортиз.нови активи'!$B$61:$B$108,$B149,'11.1.Амортиз.нови активи'!X$61:X$108)+('11.1.Амортиз.нови активи'!J$112*SUMIF('11.1.Амортиз.нови активи'!$B$61:$B$108,$B149,'11.1.Амортиз.нови активи'!AS$61:AS$108))</f>
        <v>0</v>
      </c>
      <c r="Y149" s="2656">
        <f>$S149-SUMIF('11.2. ДА за периода'!$B$61:$B$108,$B149,'11.2. ДА за периода'!$S$61:$S$108)+SUMIF('11.2. ДА за периода'!$B$61:$B$108,$B149,'11.2. ДА за периода'!Y$61:Y$108)+SUMIF('11.1.Амортиз.нови активи'!$B$61:$B$108,$B149,'11.1.Амортиз.нови активи'!Y$61:Y$108)+('11.1.Амортиз.нови активи'!K$112*SUMIF('11.1.Амортиз.нови активи'!$B$61:$B$108,$B149,'11.1.Амортиз.нови активи'!AT$61:AT$108))</f>
        <v>0</v>
      </c>
      <c r="Z149" s="4453">
        <f>+'11.3. ДА Базова година'!R129</f>
        <v>0</v>
      </c>
      <c r="AA149" s="2655">
        <f>$Z149-SUMIF('11.2. ДА за периода'!$B$61:$B$108,$B149,'11.2. ДА за периода'!$Z$61:$Z$108)+SUMIF('11.2. ДА за периода'!$B$61:$B$108,$B149,'11.2. ДА за периода'!AA$61:AA$108)+SUMIF('11.1.Амортиз.нови активи'!$B$61:$B$108,$B149,'11.1.Амортиз.нови активи'!AA$61:AA$108)</f>
        <v>0</v>
      </c>
      <c r="AB149" s="1136">
        <f>$Z149-SUMIF('11.2. ДА за периода'!$B$61:$B$108,$B149,'11.2. ДА за периода'!$Z$61:$Z$108)+SUMIF('11.2. ДА за периода'!$B$61:$B$108,$B149,'11.2. ДА за периода'!AB$61:AB$108)+SUMIF('11.1.Амортиз.нови активи'!$B$61:$B$108,$B149,'11.1.Амортиз.нови активи'!AB$61:AB$108)</f>
        <v>0</v>
      </c>
      <c r="AC149" s="1136">
        <f>$Z149-SUMIF('11.2. ДА за периода'!$B$61:$B$108,$B149,'11.2. ДА за периода'!$Z$61:$Z$108)+SUMIF('11.2. ДА за периода'!$B$61:$B$108,$B149,'11.2. ДА за периода'!AC$61:AC$108)+SUMIF('11.1.Амортиз.нови активи'!$B$61:$B$108,$B149,'11.1.Амортиз.нови активи'!AC$61:AC$108)</f>
        <v>0</v>
      </c>
      <c r="AD149" s="1136">
        <f>$Z149-SUMIF('11.2. ДА за периода'!$B$61:$B$108,$B149,'11.2. ДА за периода'!$Z$61:$Z$108)+SUMIF('11.2. ДА за периода'!$B$61:$B$108,$B149,'11.2. ДА за периода'!AD$61:AD$108)+SUMIF('11.1.Амортиз.нови активи'!$B$61:$B$108,$B149,'11.1.Амортиз.нови активи'!AD$61:AD$108)</f>
        <v>0</v>
      </c>
      <c r="AE149" s="1136">
        <f>$Z149-SUMIF('11.2. ДА за периода'!$B$61:$B$108,$B149,'11.2. ДА за периода'!$Z$61:$Z$108)+SUMIF('11.2. ДА за периода'!$B$61:$B$108,$B149,'11.2. ДА за периода'!AE$61:AE$108)+SUMIF('11.1.Амортиз.нови активи'!$B$61:$B$108,$B149,'11.1.Амортиз.нови активи'!AE$61:AE$108)</f>
        <v>0</v>
      </c>
      <c r="AF149" s="2656">
        <f>$Z149-SUMIF('11.2. ДА за периода'!$B$61:$B$108,$B149,'11.2. ДА за периода'!$Z$61:$Z$108)+SUMIF('11.2. ДА за периода'!$B$61:$B$108,$B149,'11.2. ДА за периода'!AF$61:AF$108)+SUMIF('11.1.Амортиз.нови активи'!$B$61:$B$108,$B149,'11.1.Амортиз.нови активи'!AF$61:AF$108)</f>
        <v>0</v>
      </c>
      <c r="AG149" s="4453">
        <f>+'11.3. ДА Базова година'!V129</f>
        <v>0</v>
      </c>
      <c r="AH149" s="2655">
        <f>$AG149-SUMIF('11.2. ДА за периода'!$B$61:$B$108,$B149,'11.2. ДА за периода'!$AG$61:$AG$108)+SUMIF('11.2. ДА за периода'!$B$61:$B$108,$B149,'11.2. ДА за периода'!AH$61:AH$108)+SUMIF('11.1.Амортиз.нови активи'!$B$61:$B$108,$B149,'11.1.Амортиз.нови активи'!AH$61:AH$108)</f>
        <v>0</v>
      </c>
      <c r="AI149" s="1136">
        <f>$AG149-SUMIF('11.2. ДА за периода'!$B$61:$B$108,$B149,'11.2. ДА за периода'!$AG$61:$AG$108)+SUMIF('11.2. ДА за периода'!$B$61:$B$108,$B149,'11.2. ДА за периода'!AI$61:AI$108)+SUMIF('11.1.Амортиз.нови активи'!$B$61:$B$108,$B149,'11.1.Амортиз.нови активи'!AI$61:AI$108)</f>
        <v>0</v>
      </c>
      <c r="AJ149" s="1136">
        <f>$AG149-SUMIF('11.2. ДА за периода'!$B$61:$B$108,$B149,'11.2. ДА за периода'!$AG$61:$AG$108)+SUMIF('11.2. ДА за периода'!$B$61:$B$108,$B149,'11.2. ДА за периода'!AJ$61:AJ$108)+SUMIF('11.1.Амортиз.нови активи'!$B$61:$B$108,$B149,'11.1.Амортиз.нови активи'!AJ$61:AJ$108)</f>
        <v>0</v>
      </c>
      <c r="AK149" s="1136">
        <f>$AG149-SUMIF('11.2. ДА за периода'!$B$61:$B$108,$B149,'11.2. ДА за периода'!$AG$61:$AG$108)+SUMIF('11.2. ДА за периода'!$B$61:$B$108,$B149,'11.2. ДА за периода'!AK$61:AK$108)+SUMIF('11.1.Амортиз.нови активи'!$B$61:$B$108,$B149,'11.1.Амортиз.нови активи'!AK$61:AK$108)</f>
        <v>0</v>
      </c>
      <c r="AL149" s="1136">
        <f>$AG149-SUMIF('11.2. ДА за периода'!$B$61:$B$108,$B149,'11.2. ДА за периода'!$AG$61:$AG$108)+SUMIF('11.2. ДА за периода'!$B$61:$B$108,$B149,'11.2. ДА за периода'!AL$61:AL$108)+SUMIF('11.1.Амортиз.нови активи'!$B$61:$B$108,$B149,'11.1.Амортиз.нови активи'!AL$61:AL$108)</f>
        <v>0</v>
      </c>
      <c r="AM149" s="2656">
        <f>$AG149-SUMIF('11.2. ДА за периода'!$B$61:$B$108,$B149,'11.2. ДА за периода'!$AG$61:$AG$108)+SUMIF('11.2. ДА за периода'!$B$61:$B$108,$B149,'11.2. ДА за периода'!AM$61:AM$108)+SUMIF('11.1.Амортиз.нови активи'!$B$61:$B$108,$B149,'11.1.Амортиз.нови активи'!AM$61:AM$108)</f>
        <v>0</v>
      </c>
      <c r="AN149" s="2551"/>
      <c r="AO149" s="2589"/>
      <c r="AP149" s="4488"/>
      <c r="AQ149" s="4504">
        <f t="shared" si="174"/>
        <v>4.6323044436377393E-2</v>
      </c>
      <c r="AR149" s="4504">
        <f t="shared" si="175"/>
        <v>4.6323044436377393E-2</v>
      </c>
      <c r="AS149" s="4504">
        <f t="shared" si="176"/>
        <v>4.6323044436377393E-2</v>
      </c>
      <c r="AT149" s="4504">
        <f t="shared" si="177"/>
        <v>4.6323044436377393E-2</v>
      </c>
      <c r="AU149" s="4504">
        <f t="shared" si="178"/>
        <v>4.6323044436377393E-2</v>
      </c>
      <c r="AV149" s="4504">
        <f t="shared" si="179"/>
        <v>4.6323044436377393E-2</v>
      </c>
      <c r="AW149" s="4504">
        <f t="shared" si="180"/>
        <v>4.6323044436377393E-2</v>
      </c>
      <c r="AX149" s="4504">
        <f t="shared" si="181"/>
        <v>0</v>
      </c>
      <c r="AY149" s="4504">
        <f t="shared" si="182"/>
        <v>0</v>
      </c>
      <c r="AZ149" s="4504">
        <f t="shared" si="183"/>
        <v>0</v>
      </c>
      <c r="BA149" s="4504">
        <f t="shared" si="184"/>
        <v>0</v>
      </c>
      <c r="BB149" s="4504">
        <f t="shared" si="185"/>
        <v>0</v>
      </c>
      <c r="BC149" s="4504">
        <f t="shared" si="186"/>
        <v>0</v>
      </c>
      <c r="BD149" s="4504">
        <f t="shared" si="187"/>
        <v>0</v>
      </c>
      <c r="BE149" s="4504">
        <f t="shared" si="188"/>
        <v>0</v>
      </c>
      <c r="BF149" s="4504">
        <f t="shared" si="189"/>
        <v>0</v>
      </c>
      <c r="BG149" s="4504">
        <f t="shared" si="190"/>
        <v>0</v>
      </c>
      <c r="BH149" s="4504">
        <f t="shared" si="191"/>
        <v>0</v>
      </c>
      <c r="BI149" s="4504">
        <f t="shared" si="192"/>
        <v>0</v>
      </c>
      <c r="BJ149" s="4504">
        <f t="shared" si="193"/>
        <v>0</v>
      </c>
      <c r="BK149" s="4504">
        <f t="shared" si="194"/>
        <v>0</v>
      </c>
      <c r="BL149" s="4504">
        <f t="shared" si="195"/>
        <v>0</v>
      </c>
      <c r="BM149" s="4504">
        <f t="shared" si="196"/>
        <v>0</v>
      </c>
      <c r="BN149" s="4504">
        <f t="shared" si="197"/>
        <v>0</v>
      </c>
      <c r="BO149" s="4504">
        <f t="shared" si="198"/>
        <v>0</v>
      </c>
      <c r="BP149" s="4504">
        <f t="shared" si="199"/>
        <v>0</v>
      </c>
      <c r="BQ149" s="4504">
        <f t="shared" si="200"/>
        <v>0</v>
      </c>
      <c r="BR149" s="4504">
        <f t="shared" si="201"/>
        <v>0</v>
      </c>
      <c r="BS149" s="4504">
        <f t="shared" si="202"/>
        <v>0</v>
      </c>
      <c r="BT149" s="4504">
        <f t="shared" si="203"/>
        <v>0</v>
      </c>
      <c r="BU149" s="4504">
        <f t="shared" si="204"/>
        <v>0</v>
      </c>
      <c r="BV149" s="4504">
        <f t="shared" si="205"/>
        <v>0</v>
      </c>
      <c r="BW149" s="4504">
        <f t="shared" si="206"/>
        <v>0</v>
      </c>
      <c r="BX149" s="4504">
        <f t="shared" si="207"/>
        <v>0</v>
      </c>
      <c r="BY149" s="4504">
        <f t="shared" si="208"/>
        <v>0</v>
      </c>
    </row>
    <row r="150" spans="1:77" s="1323" customFormat="1" ht="24.6" thickBot="1">
      <c r="A150" s="2611">
        <v>19</v>
      </c>
      <c r="B150" s="2554">
        <v>215</v>
      </c>
      <c r="C150" s="2560">
        <v>0.2</v>
      </c>
      <c r="D150" s="2590" t="s">
        <v>679</v>
      </c>
      <c r="E150" s="4453">
        <f>+'11.3. ДА Базова година'!F130</f>
        <v>0</v>
      </c>
      <c r="F150" s="2655">
        <f>$E150-SUMIF('11.2. ДА за периода'!$B$61:$B$108,$B150,'11.2. ДА за периода'!$E$61:$E$108)+SUMIF('11.2. ДА за периода'!$B$61:$B$108,$B150,'11.2. ДА за периода'!F$61:F$108)+SUMIF('11.1.Амортиз.нови активи'!$B$61:$B$108,$B150,'11.1.Амортиз.нови активи'!F$61:F$108)+('11.1.Амортиз.нови активи'!F$110*SUMIF('11.1.Амортиз.нови активи'!$B$61:$B$108,$B150,'11.1.Амортиз.нови активи'!AO$61:AO$108))</f>
        <v>14.8</v>
      </c>
      <c r="G150" s="1136">
        <f>$E150-SUMIF('11.2. ДА за периода'!$B$61:$B$108,$B150,'11.2. ДА за периода'!$E$61:$E$108)+SUMIF('11.2. ДА за периода'!$B$61:$B$108,$B150,'11.2. ДА за периода'!G$61:G$108)+SUMIF('11.1.Амортиз.нови активи'!$B$61:$B$108,$B150,'11.1.Амортиз.нови активи'!G$61:G$108)+('11.1.Амортиз.нови активи'!G$110*SUMIF('11.1.Амортиз.нови активи'!$B$61:$B$108,$B150,'11.1.Амортиз.нови активи'!AP$61:AP$108))</f>
        <v>24.8</v>
      </c>
      <c r="H150" s="1136">
        <f>$E150-SUMIF('11.2. ДА за периода'!$B$61:$B$108,$B150,'11.2. ДА за периода'!$E$61:$E$108)+SUMIF('11.2. ДА за периода'!$B$61:$B$108,$B150,'11.2. ДА за периода'!H$61:H$108)+SUMIF('11.1.Амортиз.нови активи'!$B$61:$B$108,$B150,'11.1.Амортиз.нови активи'!H$61:H$108)+('11.1.Амортиз.нови активи'!H$110*SUMIF('11.1.Амортиз.нови активи'!$B$61:$B$108,$B150,'11.1.Амортиз.нови активи'!AQ$61:AQ$108))</f>
        <v>24.8</v>
      </c>
      <c r="I150" s="1136">
        <f>$E150-SUMIF('11.2. ДА за периода'!$B$61:$B$108,$B150,'11.2. ДА за периода'!$E$61:$E$108)+SUMIF('11.2. ДА за периода'!$B$61:$B$108,$B150,'11.2. ДА за периода'!I$61:I$108)+SUMIF('11.1.Амортиз.нови активи'!$B$61:$B$108,$B150,'11.1.Амортиз.нови активи'!I$61:I$108)+('11.1.Амортиз.нови активи'!I$110*SUMIF('11.1.Амортиз.нови активи'!$B$61:$B$108,$B150,'11.1.Амортиз.нови активи'!AR$61:AR$108))</f>
        <v>24.8</v>
      </c>
      <c r="J150" s="1136">
        <f>$E150-SUMIF('11.2. ДА за периода'!$B$61:$B$108,$B150,'11.2. ДА за периода'!$E$61:$E$108)+SUMIF('11.2. ДА за периода'!$B$61:$B$108,$B150,'11.2. ДА за периода'!J$61:J$108)+SUMIF('11.1.Амортиз.нови активи'!$B$61:$B$108,$B150,'11.1.Амортиз.нови активи'!J$61:J$108)+('11.1.Амортиз.нови активи'!J$110*SUMIF('11.1.Амортиз.нови активи'!$B$61:$B$108,$B150,'11.1.Амортиз.нови активи'!AS$61:AS$108))</f>
        <v>24.8</v>
      </c>
      <c r="K150" s="1136">
        <f>$E150-SUMIF('11.2. ДА за периода'!$B$61:$B$108,$B150,'11.2. ДА за периода'!$E$61:$E$108)+SUMIF('11.2. ДА за периода'!$B$61:$B$108,$B150,'11.2. ДА за периода'!K$61:K$108)+SUMIF('11.1.Амортиз.нови активи'!$B$61:$B$108,$B150,'11.1.Амортиз.нови активи'!K$61:K$108)+('11.1.Амортиз.нови активи'!K$110*SUMIF('11.1.Амортиз.нови активи'!$B$61:$B$108,$B150,'11.1.Амортиз.нови активи'!AT$61:AT$108))</f>
        <v>24.8</v>
      </c>
      <c r="L150" s="4453">
        <f>+'11.3. ДА Базова година'!J130</f>
        <v>0</v>
      </c>
      <c r="M150" s="2672">
        <f>$L150-SUMIF('11.2. ДА за периода'!$B$61:$B$108,$B150,'11.2. ДА за периода'!$L$61:$L$108)+SUMIF('11.2. ДА за периода'!$B$61:$B$108,$B150,'11.2. ДА за периода'!M$61:M$108)+SUMIF('11.1.Амортиз.нови активи'!$B$61:$B$108,$B150,'11.1.Амортиз.нови активи'!M$61:M$108)+('11.1.Амортиз.нови активи'!F$111*SUMIF('11.1.Амортиз.нови активи'!$B$61:$B$108,$B150,'11.1.Амортиз.нови активи'!AO$61:AO$108))</f>
        <v>0</v>
      </c>
      <c r="N150" s="1138">
        <f>$L150-SUMIF('11.2. ДА за периода'!$B$61:$B$108,$B150,'11.2. ДА за периода'!$L$61:$L$108)+SUMIF('11.2. ДА за периода'!$B$61:$B$108,$B150,'11.2. ДА за периода'!N$61:N$108)+SUMIF('11.1.Амортиз.нови активи'!$B$61:$B$108,$B150,'11.1.Амортиз.нови активи'!N$61:N$108)+('11.1.Амортиз.нови активи'!G$111*SUMIF('11.1.Амортиз.нови активи'!$B$61:$B$108,$B150,'11.1.Амортиз.нови активи'!AP$61:AP$108))</f>
        <v>0</v>
      </c>
      <c r="O150" s="1138">
        <f>$L150-SUMIF('11.2. ДА за периода'!$B$61:$B$108,$B150,'11.2. ДА за периода'!$L$61:$L$108)+SUMIF('11.2. ДА за периода'!$B$61:$B$108,$B150,'11.2. ДА за периода'!O$61:O$108)+SUMIF('11.1.Амортиз.нови активи'!$B$61:$B$108,$B150,'11.1.Амортиз.нови активи'!O$61:O$108)+('11.1.Амортиз.нови активи'!H$111*SUMIF('11.1.Амортиз.нови активи'!$B$61:$B$108,$B150,'11.1.Амортиз.нови активи'!AQ$61:AQ$108))</f>
        <v>0</v>
      </c>
      <c r="P150" s="1138">
        <f>$L150-SUMIF('11.2. ДА за периода'!$B$61:$B$108,$B150,'11.2. ДА за периода'!$L$61:$L$108)+SUMIF('11.2. ДА за периода'!$B$61:$B$108,$B150,'11.2. ДА за периода'!P$61:P$108)+SUMIF('11.1.Амортиз.нови активи'!$B$61:$B$108,$B150,'11.1.Амортиз.нови активи'!P$61:P$108)+('11.1.Амортиз.нови активи'!I$111*SUMIF('11.1.Амортиз.нови активи'!$B$61:$B$108,$B150,'11.1.Амортиз.нови активи'!AR$61:AR$108))</f>
        <v>0</v>
      </c>
      <c r="Q150" s="1138">
        <f>$L150-SUMIF('11.2. ДА за периода'!$B$61:$B$108,$B150,'11.2. ДА за периода'!$L$61:$L$108)+SUMIF('11.2. ДА за периода'!$B$61:$B$108,$B150,'11.2. ДА за периода'!Q$61:Q$108)+SUMIF('11.1.Амортиз.нови активи'!$B$61:$B$108,$B150,'11.1.Амортиз.нови активи'!Q$61:Q$108)+('11.1.Амортиз.нови активи'!J$111*SUMIF('11.1.Амортиз.нови активи'!$B$61:$B$108,$B150,'11.1.Амортиз.нови активи'!AS$61:AS$108))</f>
        <v>0</v>
      </c>
      <c r="R150" s="2673">
        <f>$L150-SUMIF('11.2. ДА за периода'!$B$61:$B$108,$B150,'11.2. ДА за периода'!$L$61:$L$108)+SUMIF('11.2. ДА за периода'!$B$61:$B$108,$B150,'11.2. ДА за периода'!R$61:R$108)+SUMIF('11.1.Амортиз.нови активи'!$B$61:$B$108,$B150,'11.1.Амортиз.нови активи'!R$61:R$108)+('11.1.Амортиз.нови активи'!K$111*SUMIF('11.1.Амортиз.нови активи'!$B$61:$B$108,$B150,'11.1.Амортиз.нови активи'!AT$61:AT$108))</f>
        <v>0</v>
      </c>
      <c r="S150" s="4453">
        <f>+'11.3. ДА Базова година'!N130</f>
        <v>0</v>
      </c>
      <c r="T150" s="2655">
        <f>$S150-SUMIF('11.2. ДА за периода'!$B$61:$B$108,$B150,'11.2. ДА за периода'!$S$61:$S$108)+SUMIF('11.2. ДА за периода'!$B$61:$B$108,$B150,'11.2. ДА за периода'!T$61:T$108)+SUMIF('11.1.Амортиз.нови активи'!$B$61:$B$108,$B150,'11.1.Амортиз.нови активи'!T$61:T$108)+('11.1.Амортиз.нови активи'!F$112*SUMIF('11.1.Амортиз.нови активи'!$B$61:$B$108,$B150,'11.1.Амортиз.нови активи'!AO$61:AO$108))</f>
        <v>0</v>
      </c>
      <c r="U150" s="1136">
        <f>$S150-SUMIF('11.2. ДА за периода'!$B$61:$B$108,$B150,'11.2. ДА за периода'!$S$61:$S$108)+SUMIF('11.2. ДА за периода'!$B$61:$B$108,$B150,'11.2. ДА за периода'!U$61:U$108)+SUMIF('11.1.Амортиз.нови активи'!$B$61:$B$108,$B150,'11.1.Амортиз.нови активи'!U$61:U$108)+('11.1.Амортиз.нови активи'!G$112*SUMIF('11.1.Амортиз.нови активи'!$B$61:$B$108,$B150,'11.1.Амортиз.нови активи'!AP$61:AP$108))</f>
        <v>0</v>
      </c>
      <c r="V150" s="1136">
        <f>$S150-SUMIF('11.2. ДА за периода'!$B$61:$B$108,$B150,'11.2. ДА за периода'!$S$61:$S$108)+SUMIF('11.2. ДА за периода'!$B$61:$B$108,$B150,'11.2. ДА за периода'!V$61:V$108)+SUMIF('11.1.Амортиз.нови активи'!$B$61:$B$108,$B150,'11.1.Амортиз.нови активи'!V$61:V$108)+('11.1.Амортиз.нови активи'!H$112*SUMIF('11.1.Амортиз.нови активи'!$B$61:$B$108,$B150,'11.1.Амортиз.нови активи'!AQ$61:AQ$108))</f>
        <v>0</v>
      </c>
      <c r="W150" s="1136">
        <f>$S150-SUMIF('11.2. ДА за периода'!$B$61:$B$108,$B150,'11.2. ДА за периода'!$S$61:$S$108)+SUMIF('11.2. ДА за периода'!$B$61:$B$108,$B150,'11.2. ДА за периода'!W$61:W$108)+SUMIF('11.1.Амортиз.нови активи'!$B$61:$B$108,$B150,'11.1.Амортиз.нови активи'!W$61:W$108)+('11.1.Амортиз.нови активи'!I$112*SUMIF('11.1.Амортиз.нови активи'!$B$61:$B$108,$B150,'11.1.Амортиз.нови активи'!AR$61:AR$108))</f>
        <v>0</v>
      </c>
      <c r="X150" s="1136">
        <f>$S150-SUMIF('11.2. ДА за периода'!$B$61:$B$108,$B150,'11.2. ДА за периода'!$S$61:$S$108)+SUMIF('11.2. ДА за периода'!$B$61:$B$108,$B150,'11.2. ДА за периода'!X$61:X$108)+SUMIF('11.1.Амортиз.нови активи'!$B$61:$B$108,$B150,'11.1.Амортиз.нови активи'!X$61:X$108)+('11.1.Амортиз.нови активи'!J$112*SUMIF('11.1.Амортиз.нови активи'!$B$61:$B$108,$B150,'11.1.Амортиз.нови активи'!AS$61:AS$108))</f>
        <v>0</v>
      </c>
      <c r="Y150" s="2656">
        <f>$S150-SUMIF('11.2. ДА за периода'!$B$61:$B$108,$B150,'11.2. ДА за периода'!$S$61:$S$108)+SUMIF('11.2. ДА за периода'!$B$61:$B$108,$B150,'11.2. ДА за периода'!Y$61:Y$108)+SUMIF('11.1.Амортиз.нови активи'!$B$61:$B$108,$B150,'11.1.Амортиз.нови активи'!Y$61:Y$108)+('11.1.Амортиз.нови активи'!K$112*SUMIF('11.1.Амортиз.нови активи'!$B$61:$B$108,$B150,'11.1.Амортиз.нови активи'!AT$61:AT$108))</f>
        <v>0</v>
      </c>
      <c r="Z150" s="4453">
        <f>+'11.3. ДА Базова година'!R130</f>
        <v>0</v>
      </c>
      <c r="AA150" s="2655">
        <f>$Z150-SUMIF('11.2. ДА за периода'!$B$61:$B$108,$B150,'11.2. ДА за периода'!$Z$61:$Z$108)+SUMIF('11.2. ДА за периода'!$B$61:$B$108,$B150,'11.2. ДА за периода'!AA$61:AA$108)+SUMIF('11.1.Амортиз.нови активи'!$B$61:$B$108,$B150,'11.1.Амортиз.нови активи'!AA$61:AA$108)</f>
        <v>0</v>
      </c>
      <c r="AB150" s="1136">
        <f>$Z150-SUMIF('11.2. ДА за периода'!$B$61:$B$108,$B150,'11.2. ДА за периода'!$Z$61:$Z$108)+SUMIF('11.2. ДА за периода'!$B$61:$B$108,$B150,'11.2. ДА за периода'!AB$61:AB$108)+SUMIF('11.1.Амортиз.нови активи'!$B$61:$B$108,$B150,'11.1.Амортиз.нови активи'!AB$61:AB$108)</f>
        <v>0</v>
      </c>
      <c r="AC150" s="1136">
        <f>$Z150-SUMIF('11.2. ДА за периода'!$B$61:$B$108,$B150,'11.2. ДА за периода'!$Z$61:$Z$108)+SUMIF('11.2. ДА за периода'!$B$61:$B$108,$B150,'11.2. ДА за периода'!AC$61:AC$108)+SUMIF('11.1.Амортиз.нови активи'!$B$61:$B$108,$B150,'11.1.Амортиз.нови активи'!AC$61:AC$108)</f>
        <v>0</v>
      </c>
      <c r="AD150" s="1136">
        <f>$Z150-SUMIF('11.2. ДА за периода'!$B$61:$B$108,$B150,'11.2. ДА за периода'!$Z$61:$Z$108)+SUMIF('11.2. ДА за периода'!$B$61:$B$108,$B150,'11.2. ДА за периода'!AD$61:AD$108)+SUMIF('11.1.Амортиз.нови активи'!$B$61:$B$108,$B150,'11.1.Амортиз.нови активи'!AD$61:AD$108)</f>
        <v>0</v>
      </c>
      <c r="AE150" s="1136">
        <f>$Z150-SUMIF('11.2. ДА за периода'!$B$61:$B$108,$B150,'11.2. ДА за периода'!$Z$61:$Z$108)+SUMIF('11.2. ДА за периода'!$B$61:$B$108,$B150,'11.2. ДА за периода'!AE$61:AE$108)+SUMIF('11.1.Амортиз.нови активи'!$B$61:$B$108,$B150,'11.1.Амортиз.нови активи'!AE$61:AE$108)</f>
        <v>0</v>
      </c>
      <c r="AF150" s="2656">
        <f>$Z150-SUMIF('11.2. ДА за периода'!$B$61:$B$108,$B150,'11.2. ДА за периода'!$Z$61:$Z$108)+SUMIF('11.2. ДА за периода'!$B$61:$B$108,$B150,'11.2. ДА за периода'!AF$61:AF$108)+SUMIF('11.1.Амортиз.нови активи'!$B$61:$B$108,$B150,'11.1.Амортиз.нови активи'!AF$61:AF$108)</f>
        <v>0</v>
      </c>
      <c r="AG150" s="4453">
        <f>+'11.3. ДА Базова година'!V130</f>
        <v>0</v>
      </c>
      <c r="AH150" s="2655">
        <f>$AG150-SUMIF('11.2. ДА за периода'!$B$61:$B$108,$B150,'11.2. ДА за периода'!$AG$61:$AG$108)+SUMIF('11.2. ДА за периода'!$B$61:$B$108,$B150,'11.2. ДА за периода'!AH$61:AH$108)+SUMIF('11.1.Амортиз.нови активи'!$B$61:$B$108,$B150,'11.1.Амортиз.нови активи'!AH$61:AH$108)</f>
        <v>0</v>
      </c>
      <c r="AI150" s="1136">
        <f>$AG150-SUMIF('11.2. ДА за периода'!$B$61:$B$108,$B150,'11.2. ДА за периода'!$AG$61:$AG$108)+SUMIF('11.2. ДА за периода'!$B$61:$B$108,$B150,'11.2. ДА за периода'!AI$61:AI$108)+SUMIF('11.1.Амортиз.нови активи'!$B$61:$B$108,$B150,'11.1.Амортиз.нови активи'!AI$61:AI$108)</f>
        <v>0</v>
      </c>
      <c r="AJ150" s="1136">
        <f>$AG150-SUMIF('11.2. ДА за периода'!$B$61:$B$108,$B150,'11.2. ДА за периода'!$AG$61:$AG$108)+SUMIF('11.2. ДА за периода'!$B$61:$B$108,$B150,'11.2. ДА за периода'!AJ$61:AJ$108)+SUMIF('11.1.Амортиз.нови активи'!$B$61:$B$108,$B150,'11.1.Амортиз.нови активи'!AJ$61:AJ$108)</f>
        <v>0</v>
      </c>
      <c r="AK150" s="1136">
        <f>$AG150-SUMIF('11.2. ДА за периода'!$B$61:$B$108,$B150,'11.2. ДА за периода'!$AG$61:$AG$108)+SUMIF('11.2. ДА за периода'!$B$61:$B$108,$B150,'11.2. ДА за периода'!AK$61:AK$108)+SUMIF('11.1.Амортиз.нови активи'!$B$61:$B$108,$B150,'11.1.Амортиз.нови активи'!AK$61:AK$108)</f>
        <v>0</v>
      </c>
      <c r="AL150" s="1136">
        <f>$AG150-SUMIF('11.2. ДА за периода'!$B$61:$B$108,$B150,'11.2. ДА за периода'!$AG$61:$AG$108)+SUMIF('11.2. ДА за периода'!$B$61:$B$108,$B150,'11.2. ДА за периода'!AL$61:AL$108)+SUMIF('11.1.Амортиз.нови активи'!$B$61:$B$108,$B150,'11.1.Амортиз.нови активи'!AL$61:AL$108)</f>
        <v>0</v>
      </c>
      <c r="AM150" s="2656">
        <f>$AG150-SUMIF('11.2. ДА за периода'!$B$61:$B$108,$B150,'11.2. ДА за периода'!$AG$61:$AG$108)+SUMIF('11.2. ДА за периода'!$B$61:$B$108,$B150,'11.2. ДА за периода'!AM$61:AM$108)+SUMIF('11.1.Амортиз.нови активи'!$B$61:$B$108,$B150,'11.1.Амортиз.нови активи'!AM$61:AM$108)</f>
        <v>0</v>
      </c>
      <c r="AN150" s="2551"/>
      <c r="AO150" s="2589"/>
      <c r="AP150" s="4488"/>
      <c r="AQ150" s="4504">
        <f t="shared" si="174"/>
        <v>0</v>
      </c>
      <c r="AR150" s="4504">
        <f t="shared" si="175"/>
        <v>7.5671198417040344</v>
      </c>
      <c r="AS150" s="4504">
        <f t="shared" si="176"/>
        <v>12.68003865366622</v>
      </c>
      <c r="AT150" s="4504">
        <f t="shared" si="177"/>
        <v>12.68003865366622</v>
      </c>
      <c r="AU150" s="4504">
        <f t="shared" si="178"/>
        <v>12.68003865366622</v>
      </c>
      <c r="AV150" s="4504">
        <f t="shared" si="179"/>
        <v>12.68003865366622</v>
      </c>
      <c r="AW150" s="4504">
        <f t="shared" si="180"/>
        <v>12.68003865366622</v>
      </c>
      <c r="AX150" s="4504">
        <f t="shared" si="181"/>
        <v>0</v>
      </c>
      <c r="AY150" s="4504">
        <f t="shared" si="182"/>
        <v>0</v>
      </c>
      <c r="AZ150" s="4504">
        <f t="shared" si="183"/>
        <v>0</v>
      </c>
      <c r="BA150" s="4504">
        <f t="shared" si="184"/>
        <v>0</v>
      </c>
      <c r="BB150" s="4504">
        <f t="shared" si="185"/>
        <v>0</v>
      </c>
      <c r="BC150" s="4504">
        <f t="shared" si="186"/>
        <v>0</v>
      </c>
      <c r="BD150" s="4504">
        <f t="shared" si="187"/>
        <v>0</v>
      </c>
      <c r="BE150" s="4504">
        <f t="shared" si="188"/>
        <v>0</v>
      </c>
      <c r="BF150" s="4504">
        <f t="shared" si="189"/>
        <v>0</v>
      </c>
      <c r="BG150" s="4504">
        <f t="shared" si="190"/>
        <v>0</v>
      </c>
      <c r="BH150" s="4504">
        <f t="shared" si="191"/>
        <v>0</v>
      </c>
      <c r="BI150" s="4504">
        <f t="shared" si="192"/>
        <v>0</v>
      </c>
      <c r="BJ150" s="4504">
        <f t="shared" si="193"/>
        <v>0</v>
      </c>
      <c r="BK150" s="4504">
        <f t="shared" si="194"/>
        <v>0</v>
      </c>
      <c r="BL150" s="4504">
        <f t="shared" si="195"/>
        <v>0</v>
      </c>
      <c r="BM150" s="4504">
        <f t="shared" si="196"/>
        <v>0</v>
      </c>
      <c r="BN150" s="4504">
        <f t="shared" si="197"/>
        <v>0</v>
      </c>
      <c r="BO150" s="4504">
        <f t="shared" si="198"/>
        <v>0</v>
      </c>
      <c r="BP150" s="4504">
        <f t="shared" si="199"/>
        <v>0</v>
      </c>
      <c r="BQ150" s="4504">
        <f t="shared" si="200"/>
        <v>0</v>
      </c>
      <c r="BR150" s="4504">
        <f t="shared" si="201"/>
        <v>0</v>
      </c>
      <c r="BS150" s="4504">
        <f t="shared" si="202"/>
        <v>0</v>
      </c>
      <c r="BT150" s="4504">
        <f t="shared" si="203"/>
        <v>0</v>
      </c>
      <c r="BU150" s="4504">
        <f t="shared" si="204"/>
        <v>0</v>
      </c>
      <c r="BV150" s="4504">
        <f t="shared" si="205"/>
        <v>0</v>
      </c>
      <c r="BW150" s="4504">
        <f t="shared" si="206"/>
        <v>0</v>
      </c>
      <c r="BX150" s="4504">
        <f t="shared" si="207"/>
        <v>0</v>
      </c>
      <c r="BY150" s="4504">
        <f t="shared" si="208"/>
        <v>0</v>
      </c>
    </row>
    <row r="151" spans="1:77" s="1323" customFormat="1" ht="13.8" thickBot="1">
      <c r="A151" s="3746" t="s">
        <v>219</v>
      </c>
      <c r="B151" s="2577"/>
      <c r="C151" s="2577"/>
      <c r="D151" s="2540" t="s">
        <v>220</v>
      </c>
      <c r="E151" s="1246">
        <f t="shared" ref="E151" si="211">SUM(E152:E170)</f>
        <v>534.24992128086546</v>
      </c>
      <c r="F151" s="2670">
        <f t="shared" ref="F151:AM151" si="212">SUM(F152:F170)</f>
        <v>732.04033099687047</v>
      </c>
      <c r="G151" s="1147">
        <f t="shared" si="212"/>
        <v>974.53284606150032</v>
      </c>
      <c r="H151" s="1147">
        <f t="shared" si="212"/>
        <v>1247.5468372941764</v>
      </c>
      <c r="I151" s="1148">
        <f t="shared" si="212"/>
        <v>1551.9548383388205</v>
      </c>
      <c r="J151" s="1147">
        <f t="shared" si="212"/>
        <v>1889.2818675884866</v>
      </c>
      <c r="K151" s="1147">
        <f t="shared" si="212"/>
        <v>2259.2730984132722</v>
      </c>
      <c r="L151" s="1246">
        <f t="shared" si="212"/>
        <v>4.2585199999999999</v>
      </c>
      <c r="M151" s="2670">
        <f t="shared" si="212"/>
        <v>5.967576853846154</v>
      </c>
      <c r="N151" s="1147">
        <f t="shared" si="212"/>
        <v>8.000064921206798</v>
      </c>
      <c r="O151" s="1147">
        <f t="shared" si="212"/>
        <v>10.305024230645413</v>
      </c>
      <c r="P151" s="1148">
        <f t="shared" si="212"/>
        <v>12.910033870004417</v>
      </c>
      <c r="Q151" s="1147">
        <f t="shared" si="212"/>
        <v>15.821720281514304</v>
      </c>
      <c r="R151" s="1147">
        <f t="shared" si="212"/>
        <v>19.047584538897215</v>
      </c>
      <c r="S151" s="1246">
        <f t="shared" si="212"/>
        <v>119.07660999999999</v>
      </c>
      <c r="T151" s="2670">
        <f t="shared" si="212"/>
        <v>153.83783168461537</v>
      </c>
      <c r="U151" s="1147">
        <f t="shared" si="212"/>
        <v>189.59101680709125</v>
      </c>
      <c r="V151" s="1147">
        <f t="shared" si="212"/>
        <v>227.04025451944293</v>
      </c>
      <c r="W151" s="1148">
        <f t="shared" si="212"/>
        <v>266.32543208990637</v>
      </c>
      <c r="X151" s="1147">
        <f t="shared" si="212"/>
        <v>307.49490468319703</v>
      </c>
      <c r="Y151" s="2671">
        <f t="shared" si="212"/>
        <v>350.58599785549529</v>
      </c>
      <c r="Z151" s="1246">
        <f t="shared" si="212"/>
        <v>0</v>
      </c>
      <c r="AA151" s="2670">
        <f t="shared" si="212"/>
        <v>0</v>
      </c>
      <c r="AB151" s="1147">
        <f t="shared" si="212"/>
        <v>0</v>
      </c>
      <c r="AC151" s="1147">
        <f t="shared" si="212"/>
        <v>0</v>
      </c>
      <c r="AD151" s="1148">
        <f t="shared" si="212"/>
        <v>0</v>
      </c>
      <c r="AE151" s="1147">
        <f t="shared" si="212"/>
        <v>0</v>
      </c>
      <c r="AF151" s="2671">
        <f t="shared" si="212"/>
        <v>0</v>
      </c>
      <c r="AG151" s="1246">
        <f t="shared" si="212"/>
        <v>81.129628719134416</v>
      </c>
      <c r="AH151" s="2670">
        <f t="shared" si="212"/>
        <v>101.94833066466805</v>
      </c>
      <c r="AI151" s="1147">
        <f t="shared" si="212"/>
        <v>129.67703261020168</v>
      </c>
      <c r="AJ151" s="1147">
        <f t="shared" si="212"/>
        <v>166.3557345557353</v>
      </c>
      <c r="AK151" s="1148">
        <f t="shared" si="212"/>
        <v>208.88443650126891</v>
      </c>
      <c r="AL151" s="1147">
        <f t="shared" si="212"/>
        <v>257.46313844680253</v>
      </c>
      <c r="AM151" s="2671">
        <f t="shared" si="212"/>
        <v>312.34184039233617</v>
      </c>
      <c r="AN151" s="2546"/>
      <c r="AO151" s="2589"/>
      <c r="AP151" s="4488"/>
      <c r="AQ151" s="4504">
        <f t="shared" si="174"/>
        <v>273.15764728062533</v>
      </c>
      <c r="AR151" s="4504">
        <f t="shared" si="175"/>
        <v>374.28627794689237</v>
      </c>
      <c r="AS151" s="4504">
        <f t="shared" si="176"/>
        <v>498.27073215028929</v>
      </c>
      <c r="AT151" s="4504">
        <f t="shared" si="177"/>
        <v>637.86056932053214</v>
      </c>
      <c r="AU151" s="4504">
        <f t="shared" si="178"/>
        <v>793.50190882582876</v>
      </c>
      <c r="AV151" s="4504">
        <f t="shared" si="179"/>
        <v>965.97448018922228</v>
      </c>
      <c r="AW151" s="4504">
        <f t="shared" si="180"/>
        <v>1155.1479926237312</v>
      </c>
      <c r="AX151" s="4504">
        <f t="shared" si="181"/>
        <v>2.1773467019117203</v>
      </c>
      <c r="AY151" s="4504">
        <f t="shared" si="182"/>
        <v>3.0511735957860111</v>
      </c>
      <c r="AZ151" s="4504">
        <f t="shared" si="183"/>
        <v>4.0903682432557016</v>
      </c>
      <c r="BA151" s="4504">
        <f t="shared" si="184"/>
        <v>5.2688752246593076</v>
      </c>
      <c r="BB151" s="4504">
        <f t="shared" si="185"/>
        <v>6.6007955037014554</v>
      </c>
      <c r="BC151" s="4504">
        <f t="shared" si="186"/>
        <v>8.0895171264958119</v>
      </c>
      <c r="BD151" s="4504">
        <f t="shared" si="187"/>
        <v>9.7388753311367626</v>
      </c>
      <c r="BE151" s="4504">
        <f t="shared" si="188"/>
        <v>60.882903933368439</v>
      </c>
      <c r="BF151" s="4504">
        <f t="shared" si="189"/>
        <v>78.656034361174221</v>
      </c>
      <c r="BG151" s="4504">
        <f t="shared" si="190"/>
        <v>96.936347641201564</v>
      </c>
      <c r="BH151" s="4504">
        <f t="shared" si="191"/>
        <v>116.08383884051422</v>
      </c>
      <c r="BI151" s="4504">
        <f t="shared" si="192"/>
        <v>136.17003118364397</v>
      </c>
      <c r="BJ151" s="4504">
        <f t="shared" si="193"/>
        <v>157.21964827372372</v>
      </c>
      <c r="BK151" s="4504">
        <f t="shared" si="194"/>
        <v>179.25177436458961</v>
      </c>
      <c r="BL151" s="4504">
        <f t="shared" si="195"/>
        <v>0</v>
      </c>
      <c r="BM151" s="4504">
        <f t="shared" si="196"/>
        <v>0</v>
      </c>
      <c r="BN151" s="4504">
        <f t="shared" si="197"/>
        <v>0</v>
      </c>
      <c r="BO151" s="4504">
        <f t="shared" si="198"/>
        <v>0</v>
      </c>
      <c r="BP151" s="4504">
        <f t="shared" si="199"/>
        <v>0</v>
      </c>
      <c r="BQ151" s="4504">
        <f t="shared" si="200"/>
        <v>0</v>
      </c>
      <c r="BR151" s="4504">
        <f t="shared" si="201"/>
        <v>0</v>
      </c>
      <c r="BS151" s="4504">
        <f t="shared" si="202"/>
        <v>41.48092048855699</v>
      </c>
      <c r="BT151" s="4504">
        <f t="shared" si="203"/>
        <v>52.125353770352255</v>
      </c>
      <c r="BU151" s="4504">
        <f t="shared" si="204"/>
        <v>66.302813951213395</v>
      </c>
      <c r="BV151" s="4504">
        <f t="shared" si="205"/>
        <v>85.056336468780671</v>
      </c>
      <c r="BW151" s="4504">
        <f t="shared" si="206"/>
        <v>106.80091649134583</v>
      </c>
      <c r="BX151" s="4504">
        <f t="shared" si="207"/>
        <v>131.63881239514811</v>
      </c>
      <c r="BY151" s="4504">
        <f t="shared" si="208"/>
        <v>159.69784715048658</v>
      </c>
    </row>
    <row r="152" spans="1:77" s="1323" customFormat="1">
      <c r="A152" s="2553">
        <v>1</v>
      </c>
      <c r="B152" s="2547">
        <v>20102</v>
      </c>
      <c r="C152" s="2571">
        <v>0</v>
      </c>
      <c r="D152" s="2601" t="s">
        <v>558</v>
      </c>
      <c r="E152" s="4453">
        <f>+'11.3. ДА Базова година'!H112</f>
        <v>0</v>
      </c>
      <c r="F152" s="2643">
        <f t="shared" ref="F152:K155" si="213">E152+F132</f>
        <v>0</v>
      </c>
      <c r="G152" s="2641">
        <f t="shared" si="213"/>
        <v>0</v>
      </c>
      <c r="H152" s="2641">
        <f t="shared" si="213"/>
        <v>0</v>
      </c>
      <c r="I152" s="2641">
        <f t="shared" si="213"/>
        <v>0</v>
      </c>
      <c r="J152" s="2641">
        <f t="shared" si="213"/>
        <v>0</v>
      </c>
      <c r="K152" s="2642">
        <f t="shared" si="213"/>
        <v>0</v>
      </c>
      <c r="L152" s="4453">
        <f>+'11.3. ДА Базова година'!L112</f>
        <v>0</v>
      </c>
      <c r="M152" s="2643">
        <f t="shared" ref="M152:R167" si="214">L152+M132</f>
        <v>0</v>
      </c>
      <c r="N152" s="2641">
        <f t="shared" si="214"/>
        <v>0</v>
      </c>
      <c r="O152" s="2641">
        <f t="shared" si="214"/>
        <v>0</v>
      </c>
      <c r="P152" s="2641">
        <f t="shared" si="214"/>
        <v>0</v>
      </c>
      <c r="Q152" s="2641">
        <f t="shared" si="214"/>
        <v>0</v>
      </c>
      <c r="R152" s="2642">
        <f t="shared" si="214"/>
        <v>0</v>
      </c>
      <c r="S152" s="4453">
        <f>+'11.3. ДА Базова година'!P112</f>
        <v>0</v>
      </c>
      <c r="T152" s="2643">
        <f t="shared" ref="T152:Y167" si="215">S152+T132</f>
        <v>0</v>
      </c>
      <c r="U152" s="2641">
        <f t="shared" si="215"/>
        <v>0</v>
      </c>
      <c r="V152" s="2641">
        <f t="shared" si="215"/>
        <v>0</v>
      </c>
      <c r="W152" s="2641">
        <f t="shared" si="215"/>
        <v>0</v>
      </c>
      <c r="X152" s="2641">
        <f t="shared" si="215"/>
        <v>0</v>
      </c>
      <c r="Y152" s="2642">
        <f t="shared" si="215"/>
        <v>0</v>
      </c>
      <c r="Z152" s="4453">
        <f>+'11.3. ДА Базова година'!T112</f>
        <v>0</v>
      </c>
      <c r="AA152" s="2643">
        <f t="shared" ref="AA152:AF167" si="216">Z152+AA132</f>
        <v>0</v>
      </c>
      <c r="AB152" s="2641">
        <f t="shared" si="216"/>
        <v>0</v>
      </c>
      <c r="AC152" s="2641">
        <f t="shared" si="216"/>
        <v>0</v>
      </c>
      <c r="AD152" s="2641">
        <f t="shared" si="216"/>
        <v>0</v>
      </c>
      <c r="AE152" s="2641">
        <f t="shared" si="216"/>
        <v>0</v>
      </c>
      <c r="AF152" s="2642">
        <f t="shared" si="216"/>
        <v>0</v>
      </c>
      <c r="AG152" s="4453">
        <f>+'11.3. ДА Базова година'!X112</f>
        <v>0</v>
      </c>
      <c r="AH152" s="2643">
        <f t="shared" ref="AH152:AM167" si="217">AG152+AH132</f>
        <v>0</v>
      </c>
      <c r="AI152" s="2641">
        <f t="shared" si="217"/>
        <v>0</v>
      </c>
      <c r="AJ152" s="2641">
        <f t="shared" si="217"/>
        <v>0</v>
      </c>
      <c r="AK152" s="2641">
        <f t="shared" si="217"/>
        <v>0</v>
      </c>
      <c r="AL152" s="2641">
        <f t="shared" si="217"/>
        <v>0</v>
      </c>
      <c r="AM152" s="2642">
        <f t="shared" si="217"/>
        <v>0</v>
      </c>
      <c r="AN152" s="2551"/>
      <c r="AO152" s="2589"/>
      <c r="AP152" s="4488"/>
      <c r="AQ152" s="4504">
        <f t="shared" si="174"/>
        <v>0</v>
      </c>
      <c r="AR152" s="4504">
        <f t="shared" si="175"/>
        <v>0</v>
      </c>
      <c r="AS152" s="4504">
        <f t="shared" si="176"/>
        <v>0</v>
      </c>
      <c r="AT152" s="4504">
        <f t="shared" si="177"/>
        <v>0</v>
      </c>
      <c r="AU152" s="4504">
        <f t="shared" si="178"/>
        <v>0</v>
      </c>
      <c r="AV152" s="4504">
        <f t="shared" si="179"/>
        <v>0</v>
      </c>
      <c r="AW152" s="4504">
        <f t="shared" si="180"/>
        <v>0</v>
      </c>
      <c r="AX152" s="4504">
        <f t="shared" si="181"/>
        <v>0</v>
      </c>
      <c r="AY152" s="4504">
        <f t="shared" si="182"/>
        <v>0</v>
      </c>
      <c r="AZ152" s="4504">
        <f t="shared" si="183"/>
        <v>0</v>
      </c>
      <c r="BA152" s="4504">
        <f t="shared" si="184"/>
        <v>0</v>
      </c>
      <c r="BB152" s="4504">
        <f t="shared" si="185"/>
        <v>0</v>
      </c>
      <c r="BC152" s="4504">
        <f t="shared" si="186"/>
        <v>0</v>
      </c>
      <c r="BD152" s="4504">
        <f t="shared" si="187"/>
        <v>0</v>
      </c>
      <c r="BE152" s="4504">
        <f t="shared" si="188"/>
        <v>0</v>
      </c>
      <c r="BF152" s="4504">
        <f t="shared" si="189"/>
        <v>0</v>
      </c>
      <c r="BG152" s="4504">
        <f t="shared" si="190"/>
        <v>0</v>
      </c>
      <c r="BH152" s="4504">
        <f t="shared" si="191"/>
        <v>0</v>
      </c>
      <c r="BI152" s="4504">
        <f t="shared" si="192"/>
        <v>0</v>
      </c>
      <c r="BJ152" s="4504">
        <f t="shared" si="193"/>
        <v>0</v>
      </c>
      <c r="BK152" s="4504">
        <f t="shared" si="194"/>
        <v>0</v>
      </c>
      <c r="BL152" s="4504">
        <f t="shared" si="195"/>
        <v>0</v>
      </c>
      <c r="BM152" s="4504">
        <f t="shared" si="196"/>
        <v>0</v>
      </c>
      <c r="BN152" s="4504">
        <f t="shared" si="197"/>
        <v>0</v>
      </c>
      <c r="BO152" s="4504">
        <f t="shared" si="198"/>
        <v>0</v>
      </c>
      <c r="BP152" s="4504">
        <f t="shared" si="199"/>
        <v>0</v>
      </c>
      <c r="BQ152" s="4504">
        <f t="shared" si="200"/>
        <v>0</v>
      </c>
      <c r="BR152" s="4504">
        <f t="shared" si="201"/>
        <v>0</v>
      </c>
      <c r="BS152" s="4504">
        <f t="shared" si="202"/>
        <v>0</v>
      </c>
      <c r="BT152" s="4504">
        <f t="shared" si="203"/>
        <v>0</v>
      </c>
      <c r="BU152" s="4504">
        <f t="shared" si="204"/>
        <v>0</v>
      </c>
      <c r="BV152" s="4504">
        <f t="shared" si="205"/>
        <v>0</v>
      </c>
      <c r="BW152" s="4504">
        <f t="shared" si="206"/>
        <v>0</v>
      </c>
      <c r="BX152" s="4504">
        <f t="shared" si="207"/>
        <v>0</v>
      </c>
      <c r="BY152" s="4504">
        <f t="shared" si="208"/>
        <v>0</v>
      </c>
    </row>
    <row r="153" spans="1:77" s="1323" customFormat="1">
      <c r="A153" s="2553">
        <v>2</v>
      </c>
      <c r="B153" s="2554">
        <v>20202</v>
      </c>
      <c r="C153" s="2555">
        <v>0.03</v>
      </c>
      <c r="D153" s="2609" t="s">
        <v>426</v>
      </c>
      <c r="E153" s="4453">
        <f>+'11.3. ДА Базова година'!H113</f>
        <v>16.477580855150123</v>
      </c>
      <c r="F153" s="1228">
        <f t="shared" si="213"/>
        <v>18.998302166254682</v>
      </c>
      <c r="G153" s="1224">
        <f t="shared" si="213"/>
        <v>21.939023477359243</v>
      </c>
      <c r="H153" s="1224">
        <f t="shared" si="213"/>
        <v>25.119744788463805</v>
      </c>
      <c r="I153" s="1224">
        <f t="shared" si="213"/>
        <v>28.540466099568366</v>
      </c>
      <c r="J153" s="1224">
        <f t="shared" si="213"/>
        <v>32.201187410672929</v>
      </c>
      <c r="K153" s="1229">
        <f t="shared" si="213"/>
        <v>36.101908721777491</v>
      </c>
      <c r="L153" s="4453">
        <f>+'11.3. ДА Базова година'!L113</f>
        <v>0</v>
      </c>
      <c r="M153" s="1228">
        <f t="shared" si="214"/>
        <v>0</v>
      </c>
      <c r="N153" s="1224">
        <f t="shared" si="214"/>
        <v>0</v>
      </c>
      <c r="O153" s="1224">
        <f t="shared" si="214"/>
        <v>0</v>
      </c>
      <c r="P153" s="1224">
        <f t="shared" si="214"/>
        <v>0</v>
      </c>
      <c r="Q153" s="1224">
        <f t="shared" si="214"/>
        <v>0</v>
      </c>
      <c r="R153" s="1229">
        <f t="shared" si="214"/>
        <v>0</v>
      </c>
      <c r="S153" s="4453">
        <f>+'11.3. ДА Базова година'!P113</f>
        <v>8.4686199999999996</v>
      </c>
      <c r="T153" s="1228">
        <f t="shared" si="215"/>
        <v>10.579987299999999</v>
      </c>
      <c r="U153" s="1224">
        <f t="shared" si="215"/>
        <v>12.691354599999999</v>
      </c>
      <c r="V153" s="1224">
        <f t="shared" si="215"/>
        <v>14.802721899999998</v>
      </c>
      <c r="W153" s="1224">
        <f t="shared" si="215"/>
        <v>16.914089199999999</v>
      </c>
      <c r="X153" s="1224">
        <f t="shared" si="215"/>
        <v>19.025456500000001</v>
      </c>
      <c r="Y153" s="1229">
        <f t="shared" si="215"/>
        <v>21.136823800000002</v>
      </c>
      <c r="Z153" s="4453">
        <f>+'11.3. ДА Базова година'!T113</f>
        <v>0</v>
      </c>
      <c r="AA153" s="1228">
        <f t="shared" si="216"/>
        <v>0</v>
      </c>
      <c r="AB153" s="1224">
        <f t="shared" si="216"/>
        <v>0</v>
      </c>
      <c r="AC153" s="1224">
        <f t="shared" si="216"/>
        <v>0</v>
      </c>
      <c r="AD153" s="1224">
        <f t="shared" si="216"/>
        <v>0</v>
      </c>
      <c r="AE153" s="1224">
        <f t="shared" si="216"/>
        <v>0</v>
      </c>
      <c r="AF153" s="1229">
        <f t="shared" si="216"/>
        <v>0</v>
      </c>
      <c r="AG153" s="4453">
        <f>+'11.3. ДА Базова година'!X113</f>
        <v>1.5417791448498768</v>
      </c>
      <c r="AH153" s="1228">
        <f t="shared" si="217"/>
        <v>1.7792578337453151</v>
      </c>
      <c r="AI153" s="1224">
        <f t="shared" si="217"/>
        <v>2.0167365226407536</v>
      </c>
      <c r="AJ153" s="1224">
        <f t="shared" si="217"/>
        <v>2.254215211536192</v>
      </c>
      <c r="AK153" s="1224">
        <f t="shared" si="217"/>
        <v>2.4916939004316303</v>
      </c>
      <c r="AL153" s="1224">
        <f t="shared" si="217"/>
        <v>2.7291725893270686</v>
      </c>
      <c r="AM153" s="1229">
        <f t="shared" si="217"/>
        <v>2.966651278222507</v>
      </c>
      <c r="AN153" s="2551"/>
      <c r="AO153" s="2589"/>
      <c r="AP153" s="4488"/>
      <c r="AQ153" s="4504">
        <f t="shared" si="174"/>
        <v>8.4248533129925018</v>
      </c>
      <c r="AR153" s="4504">
        <f t="shared" si="175"/>
        <v>9.7136776541185501</v>
      </c>
      <c r="AS153" s="4504">
        <f t="shared" si="176"/>
        <v>11.217244585347011</v>
      </c>
      <c r="AT153" s="4504">
        <f t="shared" si="177"/>
        <v>12.843521568062565</v>
      </c>
      <c r="AU153" s="4504">
        <f t="shared" si="178"/>
        <v>14.592508602265211</v>
      </c>
      <c r="AV153" s="4504">
        <f t="shared" si="179"/>
        <v>16.464205687954951</v>
      </c>
      <c r="AW153" s="4504">
        <f t="shared" si="180"/>
        <v>18.45861282513178</v>
      </c>
      <c r="AX153" s="4504">
        <f t="shared" si="181"/>
        <v>0</v>
      </c>
      <c r="AY153" s="4504">
        <f t="shared" si="182"/>
        <v>0</v>
      </c>
      <c r="AZ153" s="4504">
        <f t="shared" si="183"/>
        <v>0</v>
      </c>
      <c r="BA153" s="4504">
        <f t="shared" si="184"/>
        <v>0</v>
      </c>
      <c r="BB153" s="4504">
        <f t="shared" si="185"/>
        <v>0</v>
      </c>
      <c r="BC153" s="4504">
        <f t="shared" si="186"/>
        <v>0</v>
      </c>
      <c r="BD153" s="4504">
        <f t="shared" si="187"/>
        <v>0</v>
      </c>
      <c r="BE153" s="4504">
        <f t="shared" si="188"/>
        <v>4.3299366509359194</v>
      </c>
      <c r="BF153" s="4504">
        <f t="shared" si="189"/>
        <v>5.4094616096491004</v>
      </c>
      <c r="BG153" s="4504">
        <f t="shared" si="190"/>
        <v>6.4889865683622805</v>
      </c>
      <c r="BH153" s="4504">
        <f t="shared" si="191"/>
        <v>7.5685115270754606</v>
      </c>
      <c r="BI153" s="4504">
        <f t="shared" si="192"/>
        <v>8.6480364857886425</v>
      </c>
      <c r="BJ153" s="4504">
        <f t="shared" si="193"/>
        <v>9.7275614445018235</v>
      </c>
      <c r="BK153" s="4504">
        <f t="shared" si="194"/>
        <v>10.807086403215004</v>
      </c>
      <c r="BL153" s="4504">
        <f t="shared" si="195"/>
        <v>0</v>
      </c>
      <c r="BM153" s="4504">
        <f t="shared" si="196"/>
        <v>0</v>
      </c>
      <c r="BN153" s="4504">
        <f t="shared" si="197"/>
        <v>0</v>
      </c>
      <c r="BO153" s="4504">
        <f t="shared" si="198"/>
        <v>0</v>
      </c>
      <c r="BP153" s="4504">
        <f t="shared" si="199"/>
        <v>0</v>
      </c>
      <c r="BQ153" s="4504">
        <f t="shared" si="200"/>
        <v>0</v>
      </c>
      <c r="BR153" s="4504">
        <f t="shared" si="201"/>
        <v>0</v>
      </c>
      <c r="BS153" s="4504">
        <f t="shared" si="202"/>
        <v>0.78829915935939054</v>
      </c>
      <c r="BT153" s="4504">
        <f t="shared" si="203"/>
        <v>0.90972008494875067</v>
      </c>
      <c r="BU153" s="4504">
        <f t="shared" si="204"/>
        <v>1.0311410105381111</v>
      </c>
      <c r="BV153" s="4504">
        <f t="shared" si="205"/>
        <v>1.1525619361274713</v>
      </c>
      <c r="BW153" s="4504">
        <f t="shared" si="206"/>
        <v>1.2739828617168314</v>
      </c>
      <c r="BX153" s="4504">
        <f t="shared" si="207"/>
        <v>1.3954037873061915</v>
      </c>
      <c r="BY153" s="4504">
        <f t="shared" si="208"/>
        <v>1.5168247128955519</v>
      </c>
    </row>
    <row r="154" spans="1:77" s="1323" customFormat="1">
      <c r="A154" s="2553">
        <v>3</v>
      </c>
      <c r="B154" s="2554">
        <v>2030401</v>
      </c>
      <c r="C154" s="2560">
        <v>0.1</v>
      </c>
      <c r="D154" s="2590" t="s">
        <v>1031</v>
      </c>
      <c r="E154" s="4453">
        <f>+'11.3. ДА Базова година'!H114</f>
        <v>143.89573435247871</v>
      </c>
      <c r="F154" s="1228">
        <f t="shared" si="213"/>
        <v>195.72651897400087</v>
      </c>
      <c r="G154" s="1224">
        <f t="shared" si="213"/>
        <v>259.35730359552304</v>
      </c>
      <c r="H154" s="1224">
        <f t="shared" si="213"/>
        <v>326.5880882170452</v>
      </c>
      <c r="I154" s="1224">
        <f t="shared" si="213"/>
        <v>397.41887283856738</v>
      </c>
      <c r="J154" s="1224">
        <f t="shared" si="213"/>
        <v>471.84965746008953</v>
      </c>
      <c r="K154" s="1229">
        <f t="shared" si="213"/>
        <v>549.8804420816117</v>
      </c>
      <c r="L154" s="4453">
        <f>+'11.3. ДА Базова година'!L114</f>
        <v>0</v>
      </c>
      <c r="M154" s="1228">
        <f t="shared" si="214"/>
        <v>0</v>
      </c>
      <c r="N154" s="1224">
        <f t="shared" si="214"/>
        <v>0</v>
      </c>
      <c r="O154" s="1224">
        <f t="shared" si="214"/>
        <v>0</v>
      </c>
      <c r="P154" s="1224">
        <f t="shared" si="214"/>
        <v>0</v>
      </c>
      <c r="Q154" s="1224">
        <f t="shared" si="214"/>
        <v>0</v>
      </c>
      <c r="R154" s="1229">
        <f t="shared" si="214"/>
        <v>0</v>
      </c>
      <c r="S154" s="4453">
        <f>+'11.3. ДА Базова година'!P114</f>
        <v>26.963520000000003</v>
      </c>
      <c r="T154" s="1228">
        <f t="shared" si="215"/>
        <v>35.314879500000004</v>
      </c>
      <c r="U154" s="1224">
        <f t="shared" si="215"/>
        <v>43.666239000000004</v>
      </c>
      <c r="V154" s="1224">
        <f t="shared" si="215"/>
        <v>52.017598500000005</v>
      </c>
      <c r="W154" s="1224">
        <f t="shared" si="215"/>
        <v>60.368958000000006</v>
      </c>
      <c r="X154" s="1224">
        <f t="shared" si="215"/>
        <v>68.720317500000007</v>
      </c>
      <c r="Y154" s="1229">
        <f t="shared" si="215"/>
        <v>77.071677000000008</v>
      </c>
      <c r="Z154" s="4453">
        <f>+'11.3. ДА Базова година'!T114</f>
        <v>0</v>
      </c>
      <c r="AA154" s="1228">
        <f t="shared" si="216"/>
        <v>0</v>
      </c>
      <c r="AB154" s="1224">
        <f t="shared" si="216"/>
        <v>0</v>
      </c>
      <c r="AC154" s="1224">
        <f t="shared" si="216"/>
        <v>0</v>
      </c>
      <c r="AD154" s="1224">
        <f t="shared" si="216"/>
        <v>0</v>
      </c>
      <c r="AE154" s="1224">
        <f t="shared" si="216"/>
        <v>0</v>
      </c>
      <c r="AF154" s="1229">
        <f t="shared" si="216"/>
        <v>0</v>
      </c>
      <c r="AG154" s="4453">
        <f>+'11.3. ДА Базова година'!X114</f>
        <v>48.192695647521283</v>
      </c>
      <c r="AH154" s="1228">
        <f t="shared" si="217"/>
        <v>59.783130525999155</v>
      </c>
      <c r="AI154" s="1224">
        <f t="shared" si="217"/>
        <v>75.123565404477034</v>
      </c>
      <c r="AJ154" s="1224">
        <f t="shared" si="217"/>
        <v>94.964000282954913</v>
      </c>
      <c r="AK154" s="1224">
        <f t="shared" si="217"/>
        <v>117.80443516143279</v>
      </c>
      <c r="AL154" s="1224">
        <f t="shared" si="217"/>
        <v>143.64487003991067</v>
      </c>
      <c r="AM154" s="1229">
        <f t="shared" si="217"/>
        <v>172.48530491838855</v>
      </c>
      <c r="AN154" s="2551"/>
      <c r="AO154" s="2589"/>
      <c r="AP154" s="4488"/>
      <c r="AQ154" s="4504">
        <f t="shared" si="174"/>
        <v>73.572720713190165</v>
      </c>
      <c r="AR154" s="4504">
        <f t="shared" si="175"/>
        <v>100.07338008620425</v>
      </c>
      <c r="AS154" s="4504">
        <f t="shared" si="176"/>
        <v>132.60728365733374</v>
      </c>
      <c r="AT154" s="4504">
        <f t="shared" si="177"/>
        <v>166.98183800076959</v>
      </c>
      <c r="AU154" s="4504">
        <f t="shared" si="178"/>
        <v>203.19704311651185</v>
      </c>
      <c r="AV154" s="4504">
        <f t="shared" si="179"/>
        <v>241.25289900456048</v>
      </c>
      <c r="AW154" s="4504">
        <f t="shared" si="180"/>
        <v>281.14940566491549</v>
      </c>
      <c r="AX154" s="4504">
        <f t="shared" si="181"/>
        <v>0</v>
      </c>
      <c r="AY154" s="4504">
        <f t="shared" si="182"/>
        <v>0</v>
      </c>
      <c r="AZ154" s="4504">
        <f t="shared" si="183"/>
        <v>0</v>
      </c>
      <c r="BA154" s="4504">
        <f t="shared" si="184"/>
        <v>0</v>
      </c>
      <c r="BB154" s="4504">
        <f t="shared" si="185"/>
        <v>0</v>
      </c>
      <c r="BC154" s="4504">
        <f t="shared" si="186"/>
        <v>0</v>
      </c>
      <c r="BD154" s="4504">
        <f t="shared" si="187"/>
        <v>0</v>
      </c>
      <c r="BE154" s="4504">
        <f t="shared" si="188"/>
        <v>13.786228864471862</v>
      </c>
      <c r="BF154" s="4504">
        <f t="shared" si="189"/>
        <v>18.056211173772773</v>
      </c>
      <c r="BG154" s="4504">
        <f t="shared" si="190"/>
        <v>22.326193483073684</v>
      </c>
      <c r="BH154" s="4504">
        <f t="shared" si="191"/>
        <v>26.596175792374595</v>
      </c>
      <c r="BI154" s="4504">
        <f t="shared" si="192"/>
        <v>30.866158101675506</v>
      </c>
      <c r="BJ154" s="4504">
        <f t="shared" si="193"/>
        <v>35.136140410976417</v>
      </c>
      <c r="BK154" s="4504">
        <f t="shared" si="194"/>
        <v>39.406122720277331</v>
      </c>
      <c r="BL154" s="4504">
        <f t="shared" si="195"/>
        <v>0</v>
      </c>
      <c r="BM154" s="4504">
        <f t="shared" si="196"/>
        <v>0</v>
      </c>
      <c r="BN154" s="4504">
        <f t="shared" si="197"/>
        <v>0</v>
      </c>
      <c r="BO154" s="4504">
        <f t="shared" si="198"/>
        <v>0</v>
      </c>
      <c r="BP154" s="4504">
        <f t="shared" si="199"/>
        <v>0</v>
      </c>
      <c r="BQ154" s="4504">
        <f t="shared" si="200"/>
        <v>0</v>
      </c>
      <c r="BR154" s="4504">
        <f t="shared" si="201"/>
        <v>0</v>
      </c>
      <c r="BS154" s="4504">
        <f t="shared" si="202"/>
        <v>24.64053401753797</v>
      </c>
      <c r="BT154" s="4504">
        <f t="shared" si="203"/>
        <v>30.566629270437183</v>
      </c>
      <c r="BU154" s="4504">
        <f t="shared" si="204"/>
        <v>38.410069077822222</v>
      </c>
      <c r="BV154" s="4504">
        <f t="shared" si="205"/>
        <v>48.55432235059024</v>
      </c>
      <c r="BW154" s="4504">
        <f t="shared" si="206"/>
        <v>60.232451266946917</v>
      </c>
      <c r="BX154" s="4504">
        <f t="shared" si="207"/>
        <v>73.444455826892252</v>
      </c>
      <c r="BY154" s="4504">
        <f t="shared" si="208"/>
        <v>88.190336030426238</v>
      </c>
    </row>
    <row r="155" spans="1:77" s="1323" customFormat="1">
      <c r="A155" s="2553">
        <v>4</v>
      </c>
      <c r="B155" s="2554">
        <v>2030402</v>
      </c>
      <c r="C155" s="2560">
        <v>0.1</v>
      </c>
      <c r="D155" s="2590" t="s">
        <v>429</v>
      </c>
      <c r="E155" s="4453">
        <f>+'11.3. ДА Базова година'!H115</f>
        <v>2.4928559260625951</v>
      </c>
      <c r="F155" s="1228">
        <f>E155+F135</f>
        <v>3.6209841560551732</v>
      </c>
      <c r="G155" s="1224">
        <f t="shared" si="213"/>
        <v>4.7491123860477513</v>
      </c>
      <c r="H155" s="1224">
        <f t="shared" si="213"/>
        <v>5.8772406160403294</v>
      </c>
      <c r="I155" s="1224">
        <f t="shared" si="213"/>
        <v>7.0053688460329075</v>
      </c>
      <c r="J155" s="1224">
        <f t="shared" si="213"/>
        <v>8.1334970760254865</v>
      </c>
      <c r="K155" s="1229">
        <f t="shared" si="213"/>
        <v>9.2616253060180647</v>
      </c>
      <c r="L155" s="4453">
        <f>+'11.3. ДА Базова година'!L115</f>
        <v>0</v>
      </c>
      <c r="M155" s="1228">
        <f t="shared" si="214"/>
        <v>0</v>
      </c>
      <c r="N155" s="1224">
        <f t="shared" si="214"/>
        <v>0</v>
      </c>
      <c r="O155" s="1224">
        <f t="shared" si="214"/>
        <v>0</v>
      </c>
      <c r="P155" s="1224">
        <f t="shared" si="214"/>
        <v>0</v>
      </c>
      <c r="Q155" s="1224">
        <f t="shared" si="214"/>
        <v>0</v>
      </c>
      <c r="R155" s="1229">
        <f t="shared" si="214"/>
        <v>0</v>
      </c>
      <c r="S155" s="4453">
        <f>+'11.3. ДА Базова година'!P115</f>
        <v>0</v>
      </c>
      <c r="T155" s="1228">
        <f t="shared" si="215"/>
        <v>0</v>
      </c>
      <c r="U155" s="1224">
        <f t="shared" si="215"/>
        <v>0</v>
      </c>
      <c r="V155" s="1224">
        <f t="shared" si="215"/>
        <v>0</v>
      </c>
      <c r="W155" s="1224">
        <f t="shared" si="215"/>
        <v>0</v>
      </c>
      <c r="X155" s="1224">
        <f t="shared" si="215"/>
        <v>0</v>
      </c>
      <c r="Y155" s="1229">
        <f t="shared" si="215"/>
        <v>0</v>
      </c>
      <c r="Z155" s="4453">
        <f>+'11.3. ДА Базова година'!T115</f>
        <v>0</v>
      </c>
      <c r="AA155" s="1228">
        <f t="shared" si="216"/>
        <v>0</v>
      </c>
      <c r="AB155" s="1224">
        <f t="shared" si="216"/>
        <v>0</v>
      </c>
      <c r="AC155" s="1224">
        <f t="shared" si="216"/>
        <v>0</v>
      </c>
      <c r="AD155" s="1224">
        <f t="shared" si="216"/>
        <v>0</v>
      </c>
      <c r="AE155" s="1224">
        <f t="shared" si="216"/>
        <v>0</v>
      </c>
      <c r="AF155" s="1229">
        <f t="shared" si="216"/>
        <v>0</v>
      </c>
      <c r="AG155" s="4453">
        <f>+'11.3. ДА Базова година'!X115</f>
        <v>0.50417407393740454</v>
      </c>
      <c r="AH155" s="1228">
        <f t="shared" si="217"/>
        <v>0.64039584394482607</v>
      </c>
      <c r="AI155" s="1224">
        <f t="shared" si="217"/>
        <v>0.7766176139522476</v>
      </c>
      <c r="AJ155" s="1224">
        <f t="shared" si="217"/>
        <v>0.91283938395966913</v>
      </c>
      <c r="AK155" s="1224">
        <f t="shared" si="217"/>
        <v>1.0490611539670907</v>
      </c>
      <c r="AL155" s="1224">
        <f t="shared" si="217"/>
        <v>1.1852829239745122</v>
      </c>
      <c r="AM155" s="1229">
        <f t="shared" si="217"/>
        <v>1.3215046939819337</v>
      </c>
      <c r="AN155" s="2551"/>
      <c r="AO155" s="2589"/>
      <c r="AP155" s="4488"/>
      <c r="AQ155" s="4504">
        <f t="shared" si="174"/>
        <v>1.2745769959876856</v>
      </c>
      <c r="AR155" s="4504">
        <f t="shared" si="175"/>
        <v>1.8513798009311511</v>
      </c>
      <c r="AS155" s="4504">
        <f t="shared" si="176"/>
        <v>2.4281826058746168</v>
      </c>
      <c r="AT155" s="4504">
        <f t="shared" si="177"/>
        <v>3.0049854108180822</v>
      </c>
      <c r="AU155" s="4504">
        <f t="shared" si="178"/>
        <v>3.5817882157615477</v>
      </c>
      <c r="AV155" s="4504">
        <f t="shared" si="179"/>
        <v>4.1585910207050132</v>
      </c>
      <c r="AW155" s="4504">
        <f t="shared" si="180"/>
        <v>4.7353938256484787</v>
      </c>
      <c r="AX155" s="4504">
        <f t="shared" si="181"/>
        <v>0</v>
      </c>
      <c r="AY155" s="4504">
        <f t="shared" si="182"/>
        <v>0</v>
      </c>
      <c r="AZ155" s="4504">
        <f t="shared" si="183"/>
        <v>0</v>
      </c>
      <c r="BA155" s="4504">
        <f t="shared" si="184"/>
        <v>0</v>
      </c>
      <c r="BB155" s="4504">
        <f t="shared" si="185"/>
        <v>0</v>
      </c>
      <c r="BC155" s="4504">
        <f t="shared" si="186"/>
        <v>0</v>
      </c>
      <c r="BD155" s="4504">
        <f t="shared" si="187"/>
        <v>0</v>
      </c>
      <c r="BE155" s="4504">
        <f t="shared" si="188"/>
        <v>0</v>
      </c>
      <c r="BF155" s="4504">
        <f t="shared" si="189"/>
        <v>0</v>
      </c>
      <c r="BG155" s="4504">
        <f t="shared" si="190"/>
        <v>0</v>
      </c>
      <c r="BH155" s="4504">
        <f t="shared" si="191"/>
        <v>0</v>
      </c>
      <c r="BI155" s="4504">
        <f t="shared" si="192"/>
        <v>0</v>
      </c>
      <c r="BJ155" s="4504">
        <f t="shared" si="193"/>
        <v>0</v>
      </c>
      <c r="BK155" s="4504">
        <f t="shared" si="194"/>
        <v>0</v>
      </c>
      <c r="BL155" s="4504">
        <f t="shared" si="195"/>
        <v>0</v>
      </c>
      <c r="BM155" s="4504">
        <f t="shared" si="196"/>
        <v>0</v>
      </c>
      <c r="BN155" s="4504">
        <f t="shared" si="197"/>
        <v>0</v>
      </c>
      <c r="BO155" s="4504">
        <f t="shared" si="198"/>
        <v>0</v>
      </c>
      <c r="BP155" s="4504">
        <f t="shared" si="199"/>
        <v>0</v>
      </c>
      <c r="BQ155" s="4504">
        <f t="shared" si="200"/>
        <v>0</v>
      </c>
      <c r="BR155" s="4504">
        <f t="shared" si="201"/>
        <v>0</v>
      </c>
      <c r="BS155" s="4504">
        <f t="shared" si="202"/>
        <v>0.2577801107138169</v>
      </c>
      <c r="BT155" s="4504">
        <f t="shared" si="203"/>
        <v>0.3274291957607901</v>
      </c>
      <c r="BU155" s="4504">
        <f t="shared" si="204"/>
        <v>0.39707828080776325</v>
      </c>
      <c r="BV155" s="4504">
        <f t="shared" si="205"/>
        <v>0.46672736585473645</v>
      </c>
      <c r="BW155" s="4504">
        <f t="shared" si="206"/>
        <v>0.5363764509017096</v>
      </c>
      <c r="BX155" s="4504">
        <f t="shared" si="207"/>
        <v>0.6060255359486828</v>
      </c>
      <c r="BY155" s="4504">
        <f t="shared" si="208"/>
        <v>0.67567462099565589</v>
      </c>
    </row>
    <row r="156" spans="1:77" s="1323" customFormat="1">
      <c r="A156" s="2553">
        <v>5</v>
      </c>
      <c r="B156" s="2554">
        <v>2030501</v>
      </c>
      <c r="C156" s="2560">
        <v>0.1</v>
      </c>
      <c r="D156" s="2590" t="s">
        <v>408</v>
      </c>
      <c r="E156" s="4453">
        <f>+'11.3. ДА Базова година'!H116</f>
        <v>104.29820956413059</v>
      </c>
      <c r="F156" s="1228">
        <f t="shared" ref="F156:K170" si="218">E156+F136</f>
        <v>145.19304967865401</v>
      </c>
      <c r="G156" s="1224">
        <f t="shared" si="218"/>
        <v>196.4124951418024</v>
      </c>
      <c r="H156" s="1224">
        <f t="shared" si="218"/>
        <v>261.51341677299712</v>
      </c>
      <c r="I156" s="1224">
        <f t="shared" si="218"/>
        <v>340.82834821615961</v>
      </c>
      <c r="J156" s="1224">
        <f t="shared" si="218"/>
        <v>435.25230786434406</v>
      </c>
      <c r="K156" s="1229">
        <f t="shared" si="218"/>
        <v>544.99046908764785</v>
      </c>
      <c r="L156" s="4453">
        <f>+'11.3. ДА Базова година'!L116</f>
        <v>0</v>
      </c>
      <c r="M156" s="1228">
        <f t="shared" si="214"/>
        <v>9.8461538461538465E-3</v>
      </c>
      <c r="N156" s="1224">
        <f t="shared" si="214"/>
        <v>9.3123521206798593E-2</v>
      </c>
      <c r="O156" s="1224">
        <f t="shared" si="214"/>
        <v>0.34887213064541323</v>
      </c>
      <c r="P156" s="1224">
        <f t="shared" si="214"/>
        <v>0.80467107000441718</v>
      </c>
      <c r="Q156" s="1224">
        <f t="shared" si="214"/>
        <v>1.467146781514304</v>
      </c>
      <c r="R156" s="1229">
        <f t="shared" si="214"/>
        <v>2.3438003388972142</v>
      </c>
      <c r="S156" s="4453">
        <f>+'11.3. ДА Базова година'!P116</f>
        <v>1.9622600000000003</v>
      </c>
      <c r="T156" s="1228">
        <f t="shared" si="215"/>
        <v>2.450676384615385</v>
      </c>
      <c r="U156" s="1224">
        <f t="shared" si="215"/>
        <v>3.0910562070913197</v>
      </c>
      <c r="V156" s="1224">
        <f t="shared" si="215"/>
        <v>4.2274886194429451</v>
      </c>
      <c r="W156" s="1224">
        <f t="shared" si="215"/>
        <v>5.9998608899063992</v>
      </c>
      <c r="X156" s="1224">
        <f t="shared" si="215"/>
        <v>8.4565281831970616</v>
      </c>
      <c r="Y156" s="1229">
        <f t="shared" si="215"/>
        <v>11.634816055495303</v>
      </c>
      <c r="Z156" s="4453">
        <f>+'11.3. ДА Базова година'!T116</f>
        <v>0</v>
      </c>
      <c r="AA156" s="1228">
        <f t="shared" si="216"/>
        <v>0</v>
      </c>
      <c r="AB156" s="1224">
        <f t="shared" si="216"/>
        <v>0</v>
      </c>
      <c r="AC156" s="1224">
        <f t="shared" si="216"/>
        <v>0</v>
      </c>
      <c r="AD156" s="1224">
        <f t="shared" si="216"/>
        <v>0</v>
      </c>
      <c r="AE156" s="1224">
        <f t="shared" si="216"/>
        <v>0</v>
      </c>
      <c r="AF156" s="1229">
        <f t="shared" si="216"/>
        <v>0</v>
      </c>
      <c r="AG156" s="4453">
        <f>+'11.3. ДА Базова година'!X116</f>
        <v>20.121790435869421</v>
      </c>
      <c r="AH156" s="1228">
        <f t="shared" si="217"/>
        <v>25.671458282884458</v>
      </c>
      <c r="AI156" s="1224">
        <f t="shared" si="217"/>
        <v>31.571126129899497</v>
      </c>
      <c r="AJ156" s="1224">
        <f t="shared" si="217"/>
        <v>38.170793976914538</v>
      </c>
      <c r="AK156" s="1224">
        <f t="shared" si="217"/>
        <v>45.470461823929575</v>
      </c>
      <c r="AL156" s="1224">
        <f t="shared" si="217"/>
        <v>53.470129670944615</v>
      </c>
      <c r="AM156" s="1229">
        <f t="shared" si="217"/>
        <v>62.169797517959651</v>
      </c>
      <c r="AN156" s="2551"/>
      <c r="AO156" s="2589"/>
      <c r="AP156" s="4488"/>
      <c r="AQ156" s="4504">
        <f t="shared" si="174"/>
        <v>53.326827773441757</v>
      </c>
      <c r="AR156" s="4504">
        <f t="shared" si="175"/>
        <v>74.23602750681502</v>
      </c>
      <c r="AS156" s="4504">
        <f t="shared" si="176"/>
        <v>100.42411413149527</v>
      </c>
      <c r="AT156" s="4504">
        <f t="shared" si="177"/>
        <v>133.70968681991641</v>
      </c>
      <c r="AU156" s="4504">
        <f t="shared" si="178"/>
        <v>174.26276732444006</v>
      </c>
      <c r="AV156" s="4504">
        <f t="shared" si="179"/>
        <v>222.54097128295612</v>
      </c>
      <c r="AW156" s="4504">
        <f t="shared" si="180"/>
        <v>278.64920217383303</v>
      </c>
      <c r="AX156" s="4504">
        <f t="shared" si="181"/>
        <v>0</v>
      </c>
      <c r="AY156" s="4504">
        <f t="shared" si="182"/>
        <v>5.0342585225473819E-3</v>
      </c>
      <c r="AZ156" s="4504">
        <f t="shared" si="183"/>
        <v>4.7613300341439999E-2</v>
      </c>
      <c r="BA156" s="4504">
        <f t="shared" si="184"/>
        <v>0.17837548797462624</v>
      </c>
      <c r="BB156" s="4504">
        <f t="shared" si="185"/>
        <v>0.4114217851267325</v>
      </c>
      <c r="BC156" s="4504">
        <f t="shared" si="186"/>
        <v>0.75014023791142581</v>
      </c>
      <c r="BD156" s="4504">
        <f t="shared" si="187"/>
        <v>1.198366084423091</v>
      </c>
      <c r="BE156" s="4504">
        <f t="shared" si="188"/>
        <v>1.0032876067960919</v>
      </c>
      <c r="BF156" s="4504">
        <f t="shared" si="189"/>
        <v>1.2530109388931476</v>
      </c>
      <c r="BG156" s="4504">
        <f t="shared" si="190"/>
        <v>1.5804319430069689</v>
      </c>
      <c r="BH156" s="4504">
        <f t="shared" si="191"/>
        <v>2.1614806089705878</v>
      </c>
      <c r="BI156" s="4504">
        <f t="shared" si="192"/>
        <v>3.0676801613158604</v>
      </c>
      <c r="BJ156" s="4504">
        <f t="shared" si="193"/>
        <v>4.3237542031756657</v>
      </c>
      <c r="BK156" s="4504">
        <f t="shared" si="194"/>
        <v>5.9487869883861597</v>
      </c>
      <c r="BL156" s="4504">
        <f t="shared" si="195"/>
        <v>0</v>
      </c>
      <c r="BM156" s="4504">
        <f t="shared" si="196"/>
        <v>0</v>
      </c>
      <c r="BN156" s="4504">
        <f t="shared" si="197"/>
        <v>0</v>
      </c>
      <c r="BO156" s="4504">
        <f t="shared" si="198"/>
        <v>0</v>
      </c>
      <c r="BP156" s="4504">
        <f t="shared" si="199"/>
        <v>0</v>
      </c>
      <c r="BQ156" s="4504">
        <f t="shared" si="200"/>
        <v>0</v>
      </c>
      <c r="BR156" s="4504">
        <f t="shared" si="201"/>
        <v>0</v>
      </c>
      <c r="BS156" s="4504">
        <f t="shared" si="202"/>
        <v>10.288108084991753</v>
      </c>
      <c r="BT156" s="4504">
        <f t="shared" si="203"/>
        <v>13.12560819850624</v>
      </c>
      <c r="BU156" s="4504">
        <f t="shared" si="204"/>
        <v>16.142060470439404</v>
      </c>
      <c r="BV156" s="4504">
        <f t="shared" si="205"/>
        <v>19.516417059209921</v>
      </c>
      <c r="BW156" s="4504">
        <f t="shared" si="206"/>
        <v>23.248677964817791</v>
      </c>
      <c r="BX156" s="4504">
        <f t="shared" si="207"/>
        <v>27.338843187263013</v>
      </c>
      <c r="BY156" s="4504">
        <f t="shared" si="208"/>
        <v>31.786912726545584</v>
      </c>
    </row>
    <row r="157" spans="1:77" s="1323" customFormat="1" ht="24">
      <c r="A157" s="2553">
        <v>6</v>
      </c>
      <c r="B157" s="2554">
        <v>2030502</v>
      </c>
      <c r="C157" s="2560">
        <v>0.1</v>
      </c>
      <c r="D157" s="2590" t="s">
        <v>695</v>
      </c>
      <c r="E157" s="4453">
        <f>+'11.3. ДА Базова година'!H117</f>
        <v>44.544682109470912</v>
      </c>
      <c r="F157" s="1228">
        <f t="shared" si="218"/>
        <v>57.860273678711756</v>
      </c>
      <c r="G157" s="1224">
        <f t="shared" si="218"/>
        <v>73.325865247952606</v>
      </c>
      <c r="H157" s="1224">
        <f t="shared" si="218"/>
        <v>90.091456817193446</v>
      </c>
      <c r="I157" s="1224">
        <f t="shared" si="218"/>
        <v>108.50704838643429</v>
      </c>
      <c r="J157" s="1224">
        <f t="shared" si="218"/>
        <v>129.07263995567513</v>
      </c>
      <c r="K157" s="1229">
        <f t="shared" si="218"/>
        <v>151.28823152491597</v>
      </c>
      <c r="L157" s="4453">
        <f>+'11.3. ДА Базова година'!L117</f>
        <v>0</v>
      </c>
      <c r="M157" s="1228">
        <f t="shared" si="214"/>
        <v>0</v>
      </c>
      <c r="N157" s="1224">
        <f t="shared" si="214"/>
        <v>0</v>
      </c>
      <c r="O157" s="1224">
        <f t="shared" si="214"/>
        <v>0</v>
      </c>
      <c r="P157" s="1224">
        <f t="shared" si="214"/>
        <v>0</v>
      </c>
      <c r="Q157" s="1224">
        <f t="shared" si="214"/>
        <v>0</v>
      </c>
      <c r="R157" s="1229">
        <f t="shared" si="214"/>
        <v>0</v>
      </c>
      <c r="S157" s="4453">
        <f>+'11.3. ДА Базова година'!P117</f>
        <v>76.302009999999981</v>
      </c>
      <c r="T157" s="1228">
        <f t="shared" si="215"/>
        <v>96.910128499999971</v>
      </c>
      <c r="U157" s="1224">
        <f t="shared" si="215"/>
        <v>117.51824699999996</v>
      </c>
      <c r="V157" s="1224">
        <f t="shared" si="215"/>
        <v>138.12636549999996</v>
      </c>
      <c r="W157" s="1224">
        <f t="shared" si="215"/>
        <v>158.73448399999995</v>
      </c>
      <c r="X157" s="1224">
        <f t="shared" si="215"/>
        <v>179.34260249999994</v>
      </c>
      <c r="Y157" s="1229">
        <f t="shared" si="215"/>
        <v>199.95072099999993</v>
      </c>
      <c r="Z157" s="4453">
        <f>+'11.3. ДА Базова година'!T117</f>
        <v>0</v>
      </c>
      <c r="AA157" s="1228">
        <f t="shared" si="216"/>
        <v>0</v>
      </c>
      <c r="AB157" s="1224">
        <f t="shared" si="216"/>
        <v>0</v>
      </c>
      <c r="AC157" s="1224">
        <f t="shared" si="216"/>
        <v>0</v>
      </c>
      <c r="AD157" s="1224">
        <f t="shared" si="216"/>
        <v>0</v>
      </c>
      <c r="AE157" s="1224">
        <f t="shared" si="216"/>
        <v>0</v>
      </c>
      <c r="AF157" s="1229">
        <f t="shared" si="216"/>
        <v>0</v>
      </c>
      <c r="AG157" s="4453">
        <f>+'11.3. ДА Базова година'!X117</f>
        <v>3.7050678905290919</v>
      </c>
      <c r="AH157" s="1228">
        <f t="shared" si="217"/>
        <v>5.308483821288247</v>
      </c>
      <c r="AI157" s="1224">
        <f t="shared" si="217"/>
        <v>7.1618997520474021</v>
      </c>
      <c r="AJ157" s="1224">
        <f t="shared" si="217"/>
        <v>9.3153156828065562</v>
      </c>
      <c r="AK157" s="1224">
        <f t="shared" si="217"/>
        <v>11.768731613565711</v>
      </c>
      <c r="AL157" s="1224">
        <f t="shared" si="217"/>
        <v>14.522147544324866</v>
      </c>
      <c r="AM157" s="1229">
        <f t="shared" si="217"/>
        <v>17.575563475084021</v>
      </c>
      <c r="AN157" s="2551"/>
      <c r="AO157" s="2589"/>
      <c r="AP157" s="4488"/>
      <c r="AQ157" s="4504">
        <f t="shared" si="174"/>
        <v>22.775334313038922</v>
      </c>
      <c r="AR157" s="4504">
        <f t="shared" si="175"/>
        <v>29.583488175716578</v>
      </c>
      <c r="AS157" s="4504">
        <f t="shared" si="176"/>
        <v>37.490919582966107</v>
      </c>
      <c r="AT157" s="4504">
        <f t="shared" si="177"/>
        <v>46.06303043577072</v>
      </c>
      <c r="AU157" s="4504">
        <f t="shared" si="178"/>
        <v>55.478772892549095</v>
      </c>
      <c r="AV157" s="4504">
        <f t="shared" si="179"/>
        <v>65.993792893899339</v>
      </c>
      <c r="AW157" s="4504">
        <f t="shared" si="180"/>
        <v>77.352444499223338</v>
      </c>
      <c r="AX157" s="4504">
        <f t="shared" si="181"/>
        <v>0</v>
      </c>
      <c r="AY157" s="4504">
        <f t="shared" si="182"/>
        <v>0</v>
      </c>
      <c r="AZ157" s="4504">
        <f t="shared" si="183"/>
        <v>0</v>
      </c>
      <c r="BA157" s="4504">
        <f t="shared" si="184"/>
        <v>0</v>
      </c>
      <c r="BB157" s="4504">
        <f t="shared" si="185"/>
        <v>0</v>
      </c>
      <c r="BC157" s="4504">
        <f t="shared" si="186"/>
        <v>0</v>
      </c>
      <c r="BD157" s="4504">
        <f t="shared" si="187"/>
        <v>0</v>
      </c>
      <c r="BE157" s="4504">
        <f t="shared" si="188"/>
        <v>39.012598231952666</v>
      </c>
      <c r="BF157" s="4504">
        <f t="shared" si="189"/>
        <v>49.549361907732255</v>
      </c>
      <c r="BG157" s="4504">
        <f t="shared" si="190"/>
        <v>60.086125583511837</v>
      </c>
      <c r="BH157" s="4504">
        <f t="shared" si="191"/>
        <v>70.622889259291441</v>
      </c>
      <c r="BI157" s="4504">
        <f t="shared" si="192"/>
        <v>81.159652935071023</v>
      </c>
      <c r="BJ157" s="4504">
        <f t="shared" si="193"/>
        <v>91.696416610850605</v>
      </c>
      <c r="BK157" s="4504">
        <f t="shared" si="194"/>
        <v>102.2331802866302</v>
      </c>
      <c r="BL157" s="4504">
        <f t="shared" si="195"/>
        <v>0</v>
      </c>
      <c r="BM157" s="4504">
        <f t="shared" si="196"/>
        <v>0</v>
      </c>
      <c r="BN157" s="4504">
        <f t="shared" si="197"/>
        <v>0</v>
      </c>
      <c r="BO157" s="4504">
        <f t="shared" si="198"/>
        <v>0</v>
      </c>
      <c r="BP157" s="4504">
        <f t="shared" si="199"/>
        <v>0</v>
      </c>
      <c r="BQ157" s="4504">
        <f t="shared" si="200"/>
        <v>0</v>
      </c>
      <c r="BR157" s="4504">
        <f t="shared" si="201"/>
        <v>0</v>
      </c>
      <c r="BS157" s="4504">
        <f t="shared" si="202"/>
        <v>1.8943711317083243</v>
      </c>
      <c r="BT157" s="4504">
        <f t="shared" si="203"/>
        <v>2.7141846792861584</v>
      </c>
      <c r="BU157" s="4504">
        <f t="shared" si="204"/>
        <v>3.661821197163047</v>
      </c>
      <c r="BV157" s="4504">
        <f t="shared" si="205"/>
        <v>4.7628452793988005</v>
      </c>
      <c r="BW157" s="4504">
        <f t="shared" si="206"/>
        <v>6.0172569259934203</v>
      </c>
      <c r="BX157" s="4504">
        <f t="shared" si="207"/>
        <v>7.4250561369469059</v>
      </c>
      <c r="BY157" s="4504">
        <f t="shared" si="208"/>
        <v>8.9862429122592555</v>
      </c>
    </row>
    <row r="158" spans="1:77" s="1323" customFormat="1">
      <c r="A158" s="2553">
        <v>7</v>
      </c>
      <c r="B158" s="2554">
        <v>2030503</v>
      </c>
      <c r="C158" s="2560">
        <v>0.1</v>
      </c>
      <c r="D158" s="2590" t="s">
        <v>713</v>
      </c>
      <c r="E158" s="4453">
        <f>+'11.3. ДА Базова година'!H118</f>
        <v>4.0388056560882646</v>
      </c>
      <c r="F158" s="1228">
        <f t="shared" si="218"/>
        <v>7.4644094732479811</v>
      </c>
      <c r="G158" s="1224">
        <f t="shared" si="218"/>
        <v>11.190013290407698</v>
      </c>
      <c r="H158" s="1224">
        <f t="shared" si="218"/>
        <v>15.515617107567415</v>
      </c>
      <c r="I158" s="1224">
        <f t="shared" si="218"/>
        <v>20.441220924727133</v>
      </c>
      <c r="J158" s="1224">
        <f t="shared" si="218"/>
        <v>25.966824741886853</v>
      </c>
      <c r="K158" s="1229">
        <f t="shared" si="218"/>
        <v>32.092428559046567</v>
      </c>
      <c r="L158" s="4453">
        <f>+'11.3. ДА Базова година'!L118</f>
        <v>0</v>
      </c>
      <c r="M158" s="1228">
        <f t="shared" si="214"/>
        <v>0</v>
      </c>
      <c r="N158" s="1224">
        <f t="shared" si="214"/>
        <v>0</v>
      </c>
      <c r="O158" s="1224">
        <f t="shared" si="214"/>
        <v>0</v>
      </c>
      <c r="P158" s="1224">
        <f t="shared" si="214"/>
        <v>0</v>
      </c>
      <c r="Q158" s="1224">
        <f t="shared" si="214"/>
        <v>0</v>
      </c>
      <c r="R158" s="1229">
        <f t="shared" si="214"/>
        <v>0</v>
      </c>
      <c r="S158" s="4453">
        <f>+'11.3. ДА Базова година'!P118</f>
        <v>2.4470400000000003</v>
      </c>
      <c r="T158" s="1228">
        <f t="shared" si="215"/>
        <v>4.7491200000000005</v>
      </c>
      <c r="U158" s="1224">
        <f t="shared" si="215"/>
        <v>7.0512000000000006</v>
      </c>
      <c r="V158" s="1224">
        <f t="shared" si="215"/>
        <v>9.3532800000000016</v>
      </c>
      <c r="W158" s="1224">
        <f t="shared" si="215"/>
        <v>11.655360000000002</v>
      </c>
      <c r="X158" s="1224">
        <f t="shared" si="215"/>
        <v>13.957440000000002</v>
      </c>
      <c r="Y158" s="1229">
        <f t="shared" si="215"/>
        <v>16.259520000000002</v>
      </c>
      <c r="Z158" s="4453">
        <f>+'11.3. ДА Базова година'!T118</f>
        <v>0</v>
      </c>
      <c r="AA158" s="1228">
        <f t="shared" si="216"/>
        <v>0</v>
      </c>
      <c r="AB158" s="1224">
        <f t="shared" si="216"/>
        <v>0</v>
      </c>
      <c r="AC158" s="1224">
        <f t="shared" si="216"/>
        <v>0</v>
      </c>
      <c r="AD158" s="1224">
        <f t="shared" si="216"/>
        <v>0</v>
      </c>
      <c r="AE158" s="1224">
        <f t="shared" si="216"/>
        <v>0</v>
      </c>
      <c r="AF158" s="1229">
        <f t="shared" si="216"/>
        <v>0</v>
      </c>
      <c r="AG158" s="4453">
        <f>+'11.3. ДА Базова година'!X118</f>
        <v>2.7629943439117355</v>
      </c>
      <c r="AH158" s="1228">
        <f t="shared" si="217"/>
        <v>3.239490526752018</v>
      </c>
      <c r="AI158" s="1224">
        <f t="shared" si="217"/>
        <v>3.7159867095923005</v>
      </c>
      <c r="AJ158" s="1224">
        <f t="shared" si="217"/>
        <v>4.192482892432583</v>
      </c>
      <c r="AK158" s="1224">
        <f t="shared" si="217"/>
        <v>4.6689790752728655</v>
      </c>
      <c r="AL158" s="1224">
        <f t="shared" si="217"/>
        <v>5.145475258113148</v>
      </c>
      <c r="AM158" s="1229">
        <f t="shared" si="217"/>
        <v>5.6219714409534305</v>
      </c>
      <c r="AN158" s="2551"/>
      <c r="AO158" s="2589"/>
      <c r="AP158" s="4488"/>
      <c r="AQ158" s="4504">
        <f t="shared" si="174"/>
        <v>2.0650085416872961</v>
      </c>
      <c r="AR158" s="4504">
        <f t="shared" si="175"/>
        <v>3.8164919615958346</v>
      </c>
      <c r="AS158" s="4504">
        <f t="shared" si="176"/>
        <v>5.7213629458632393</v>
      </c>
      <c r="AT158" s="4504">
        <f t="shared" si="177"/>
        <v>7.9330090588483744</v>
      </c>
      <c r="AU158" s="4504">
        <f t="shared" si="178"/>
        <v>10.451430300551241</v>
      </c>
      <c r="AV158" s="4504">
        <f t="shared" si="179"/>
        <v>13.27662667097184</v>
      </c>
      <c r="AW158" s="4504">
        <f t="shared" si="180"/>
        <v>16.408598170110167</v>
      </c>
      <c r="AX158" s="4504">
        <f t="shared" si="181"/>
        <v>0</v>
      </c>
      <c r="AY158" s="4504">
        <f t="shared" si="182"/>
        <v>0</v>
      </c>
      <c r="AZ158" s="4504">
        <f t="shared" si="183"/>
        <v>0</v>
      </c>
      <c r="BA158" s="4504">
        <f t="shared" si="184"/>
        <v>0</v>
      </c>
      <c r="BB158" s="4504">
        <f t="shared" si="185"/>
        <v>0</v>
      </c>
      <c r="BC158" s="4504">
        <f t="shared" si="186"/>
        <v>0</v>
      </c>
      <c r="BD158" s="4504">
        <f t="shared" si="187"/>
        <v>0</v>
      </c>
      <c r="BE158" s="4504">
        <f t="shared" si="188"/>
        <v>1.2511516849623947</v>
      </c>
      <c r="BF158" s="4504">
        <f t="shared" si="189"/>
        <v>2.4281864988265855</v>
      </c>
      <c r="BG158" s="4504">
        <f t="shared" si="190"/>
        <v>3.6052213126907762</v>
      </c>
      <c r="BH158" s="4504">
        <f t="shared" si="191"/>
        <v>4.7822561265549677</v>
      </c>
      <c r="BI158" s="4504">
        <f t="shared" si="192"/>
        <v>5.9592909404191579</v>
      </c>
      <c r="BJ158" s="4504">
        <f t="shared" si="193"/>
        <v>7.1363257542833489</v>
      </c>
      <c r="BK158" s="4504">
        <f t="shared" si="194"/>
        <v>8.3133605681475391</v>
      </c>
      <c r="BL158" s="4504">
        <f t="shared" si="195"/>
        <v>0</v>
      </c>
      <c r="BM158" s="4504">
        <f t="shared" si="196"/>
        <v>0</v>
      </c>
      <c r="BN158" s="4504">
        <f t="shared" si="197"/>
        <v>0</v>
      </c>
      <c r="BO158" s="4504">
        <f t="shared" si="198"/>
        <v>0</v>
      </c>
      <c r="BP158" s="4504">
        <f t="shared" si="199"/>
        <v>0</v>
      </c>
      <c r="BQ158" s="4504">
        <f t="shared" si="200"/>
        <v>0</v>
      </c>
      <c r="BR158" s="4504">
        <f t="shared" si="201"/>
        <v>0</v>
      </c>
      <c r="BS158" s="4504">
        <f t="shared" si="202"/>
        <v>1.4126965758331427</v>
      </c>
      <c r="BT158" s="4504">
        <f t="shared" si="203"/>
        <v>1.6563252055403681</v>
      </c>
      <c r="BU158" s="4504">
        <f t="shared" si="204"/>
        <v>1.8999538352475933</v>
      </c>
      <c r="BV158" s="4504">
        <f t="shared" si="205"/>
        <v>2.1435824649548185</v>
      </c>
      <c r="BW158" s="4504">
        <f t="shared" si="206"/>
        <v>2.3872110946620442</v>
      </c>
      <c r="BX158" s="4504">
        <f t="shared" si="207"/>
        <v>2.6308397243692694</v>
      </c>
      <c r="BY158" s="4504">
        <f t="shared" si="208"/>
        <v>2.8744683540764946</v>
      </c>
    </row>
    <row r="159" spans="1:77" s="1323" customFormat="1">
      <c r="A159" s="2553">
        <v>8</v>
      </c>
      <c r="B159" s="2554">
        <v>2040101</v>
      </c>
      <c r="C159" s="2610">
        <v>0.1</v>
      </c>
      <c r="D159" s="2584" t="s">
        <v>1016</v>
      </c>
      <c r="E159" s="4453">
        <f>+'11.3. ДА Базова година'!H119</f>
        <v>16.707006626690568</v>
      </c>
      <c r="F159" s="1228">
        <f t="shared" si="218"/>
        <v>20.116432559268418</v>
      </c>
      <c r="G159" s="1224">
        <f t="shared" si="218"/>
        <v>23.525858491846268</v>
      </c>
      <c r="H159" s="1224">
        <f t="shared" si="218"/>
        <v>26.935284424424118</v>
      </c>
      <c r="I159" s="1224">
        <f t="shared" si="218"/>
        <v>30.344710357001969</v>
      </c>
      <c r="J159" s="1224">
        <f t="shared" si="218"/>
        <v>33.754136289579819</v>
      </c>
      <c r="K159" s="1229">
        <f t="shared" si="218"/>
        <v>37.163562222157672</v>
      </c>
      <c r="L159" s="4453">
        <f>+'11.3. ДА Базова година'!L119</f>
        <v>0</v>
      </c>
      <c r="M159" s="1228">
        <f t="shared" si="214"/>
        <v>0</v>
      </c>
      <c r="N159" s="1224">
        <f t="shared" si="214"/>
        <v>0</v>
      </c>
      <c r="O159" s="1224">
        <f t="shared" si="214"/>
        <v>0</v>
      </c>
      <c r="P159" s="1224">
        <f t="shared" si="214"/>
        <v>0</v>
      </c>
      <c r="Q159" s="1224">
        <f t="shared" si="214"/>
        <v>0</v>
      </c>
      <c r="R159" s="1229">
        <f t="shared" si="214"/>
        <v>0</v>
      </c>
      <c r="S159" s="4453">
        <f>+'11.3. ДА Базова година'!P119</f>
        <v>0</v>
      </c>
      <c r="T159" s="1228">
        <f t="shared" si="215"/>
        <v>0</v>
      </c>
      <c r="U159" s="1224">
        <f t="shared" si="215"/>
        <v>0</v>
      </c>
      <c r="V159" s="1224">
        <f t="shared" si="215"/>
        <v>0</v>
      </c>
      <c r="W159" s="1224">
        <f t="shared" si="215"/>
        <v>0</v>
      </c>
      <c r="X159" s="1224">
        <f t="shared" si="215"/>
        <v>0</v>
      </c>
      <c r="Y159" s="1229">
        <f t="shared" si="215"/>
        <v>0</v>
      </c>
      <c r="Z159" s="4453">
        <f>+'11.3. ДА Базова година'!T119</f>
        <v>0</v>
      </c>
      <c r="AA159" s="1228">
        <f t="shared" si="216"/>
        <v>0</v>
      </c>
      <c r="AB159" s="1224">
        <f t="shared" si="216"/>
        <v>0</v>
      </c>
      <c r="AC159" s="1224">
        <f t="shared" si="216"/>
        <v>0</v>
      </c>
      <c r="AD159" s="1224">
        <f t="shared" si="216"/>
        <v>0</v>
      </c>
      <c r="AE159" s="1224">
        <f t="shared" si="216"/>
        <v>0</v>
      </c>
      <c r="AF159" s="1229">
        <f t="shared" si="216"/>
        <v>0</v>
      </c>
      <c r="AG159" s="4453">
        <f>+'11.3. ДА Базова година'!X119</f>
        <v>0.86917337330943512</v>
      </c>
      <c r="AH159" s="1228">
        <f t="shared" si="217"/>
        <v>1.0440874407315845</v>
      </c>
      <c r="AI159" s="1224">
        <f t="shared" si="217"/>
        <v>1.219001508153734</v>
      </c>
      <c r="AJ159" s="1224">
        <f t="shared" si="217"/>
        <v>1.3939155755758834</v>
      </c>
      <c r="AK159" s="1224">
        <f t="shared" si="217"/>
        <v>1.5688296429980328</v>
      </c>
      <c r="AL159" s="1224">
        <f t="shared" si="217"/>
        <v>1.7437437104201823</v>
      </c>
      <c r="AM159" s="1229">
        <f t="shared" si="217"/>
        <v>1.9186577778423317</v>
      </c>
      <c r="AN159" s="2551"/>
      <c r="AO159" s="2589"/>
      <c r="AP159" s="4488"/>
      <c r="AQ159" s="4504">
        <f t="shared" si="174"/>
        <v>8.5421568473183083</v>
      </c>
      <c r="AR159" s="4504">
        <f t="shared" si="175"/>
        <v>10.28536864618521</v>
      </c>
      <c r="AS159" s="4504">
        <f t="shared" si="176"/>
        <v>12.028580445052111</v>
      </c>
      <c r="AT159" s="4504">
        <f t="shared" si="177"/>
        <v>13.771792243919011</v>
      </c>
      <c r="AU159" s="4504">
        <f t="shared" si="178"/>
        <v>15.515004042785911</v>
      </c>
      <c r="AV159" s="4504">
        <f t="shared" si="179"/>
        <v>17.258215841652813</v>
      </c>
      <c r="AW159" s="4504">
        <f t="shared" si="180"/>
        <v>19.001427640519715</v>
      </c>
      <c r="AX159" s="4504">
        <f t="shared" si="181"/>
        <v>0</v>
      </c>
      <c r="AY159" s="4504">
        <f t="shared" si="182"/>
        <v>0</v>
      </c>
      <c r="AZ159" s="4504">
        <f t="shared" si="183"/>
        <v>0</v>
      </c>
      <c r="BA159" s="4504">
        <f t="shared" si="184"/>
        <v>0</v>
      </c>
      <c r="BB159" s="4504">
        <f t="shared" si="185"/>
        <v>0</v>
      </c>
      <c r="BC159" s="4504">
        <f t="shared" si="186"/>
        <v>0</v>
      </c>
      <c r="BD159" s="4504">
        <f t="shared" si="187"/>
        <v>0</v>
      </c>
      <c r="BE159" s="4504">
        <f t="shared" si="188"/>
        <v>0</v>
      </c>
      <c r="BF159" s="4504">
        <f t="shared" si="189"/>
        <v>0</v>
      </c>
      <c r="BG159" s="4504">
        <f t="shared" si="190"/>
        <v>0</v>
      </c>
      <c r="BH159" s="4504">
        <f t="shared" si="191"/>
        <v>0</v>
      </c>
      <c r="BI159" s="4504">
        <f t="shared" si="192"/>
        <v>0</v>
      </c>
      <c r="BJ159" s="4504">
        <f t="shared" si="193"/>
        <v>0</v>
      </c>
      <c r="BK159" s="4504">
        <f t="shared" si="194"/>
        <v>0</v>
      </c>
      <c r="BL159" s="4504">
        <f t="shared" si="195"/>
        <v>0</v>
      </c>
      <c r="BM159" s="4504">
        <f t="shared" si="196"/>
        <v>0</v>
      </c>
      <c r="BN159" s="4504">
        <f t="shared" si="197"/>
        <v>0</v>
      </c>
      <c r="BO159" s="4504">
        <f t="shared" si="198"/>
        <v>0</v>
      </c>
      <c r="BP159" s="4504">
        <f t="shared" si="199"/>
        <v>0</v>
      </c>
      <c r="BQ159" s="4504">
        <f t="shared" si="200"/>
        <v>0</v>
      </c>
      <c r="BR159" s="4504">
        <f t="shared" si="201"/>
        <v>0</v>
      </c>
      <c r="BS159" s="4504">
        <f t="shared" si="202"/>
        <v>0.44440128912504417</v>
      </c>
      <c r="BT159" s="4504">
        <f t="shared" si="203"/>
        <v>0.5338334317049972</v>
      </c>
      <c r="BU159" s="4504">
        <f t="shared" si="204"/>
        <v>0.62326557428495011</v>
      </c>
      <c r="BV159" s="4504">
        <f t="shared" si="205"/>
        <v>0.71269771686490313</v>
      </c>
      <c r="BW159" s="4504">
        <f t="shared" si="206"/>
        <v>0.80212985944485604</v>
      </c>
      <c r="BX159" s="4504">
        <f t="shared" si="207"/>
        <v>0.89156200202480906</v>
      </c>
      <c r="BY159" s="4504">
        <f t="shared" si="208"/>
        <v>0.98099414460476209</v>
      </c>
    </row>
    <row r="160" spans="1:77" s="1323" customFormat="1">
      <c r="A160" s="2611">
        <v>9</v>
      </c>
      <c r="B160" s="2554">
        <v>2040102</v>
      </c>
      <c r="C160" s="2610">
        <v>0.04</v>
      </c>
      <c r="D160" s="2584" t="s">
        <v>432</v>
      </c>
      <c r="E160" s="4453">
        <f>+'11.3. ДА Базова година'!H120</f>
        <v>0.40992000000000001</v>
      </c>
      <c r="F160" s="1228">
        <f t="shared" si="218"/>
        <v>0.46116000000000001</v>
      </c>
      <c r="G160" s="1224">
        <f t="shared" si="218"/>
        <v>0.51239999999999997</v>
      </c>
      <c r="H160" s="1224">
        <f t="shared" si="218"/>
        <v>0.56363999999999992</v>
      </c>
      <c r="I160" s="1224">
        <f t="shared" si="218"/>
        <v>0.61487999999999987</v>
      </c>
      <c r="J160" s="1224">
        <f t="shared" si="218"/>
        <v>0.66611999999999982</v>
      </c>
      <c r="K160" s="1229">
        <f t="shared" si="218"/>
        <v>0.71735999999999978</v>
      </c>
      <c r="L160" s="4453">
        <f>+'11.3. ДА Базова година'!L120</f>
        <v>0</v>
      </c>
      <c r="M160" s="1228">
        <f t="shared" si="214"/>
        <v>0</v>
      </c>
      <c r="N160" s="1224">
        <f t="shared" si="214"/>
        <v>0</v>
      </c>
      <c r="O160" s="1224">
        <f t="shared" si="214"/>
        <v>0</v>
      </c>
      <c r="P160" s="1224">
        <f t="shared" si="214"/>
        <v>0</v>
      </c>
      <c r="Q160" s="1224">
        <f t="shared" si="214"/>
        <v>0</v>
      </c>
      <c r="R160" s="1229">
        <f t="shared" si="214"/>
        <v>0</v>
      </c>
      <c r="S160" s="4453">
        <f>+'11.3. ДА Базова година'!P120</f>
        <v>0</v>
      </c>
      <c r="T160" s="1228">
        <f t="shared" si="215"/>
        <v>0</v>
      </c>
      <c r="U160" s="1224">
        <f t="shared" si="215"/>
        <v>0</v>
      </c>
      <c r="V160" s="1224">
        <f t="shared" si="215"/>
        <v>0</v>
      </c>
      <c r="W160" s="1224">
        <f t="shared" si="215"/>
        <v>0</v>
      </c>
      <c r="X160" s="1224">
        <f t="shared" si="215"/>
        <v>0</v>
      </c>
      <c r="Y160" s="1229">
        <f t="shared" si="215"/>
        <v>0</v>
      </c>
      <c r="Z160" s="4453">
        <f>+'11.3. ДА Базова година'!T120</f>
        <v>0</v>
      </c>
      <c r="AA160" s="1228">
        <f t="shared" si="216"/>
        <v>0</v>
      </c>
      <c r="AB160" s="1224">
        <f t="shared" si="216"/>
        <v>0</v>
      </c>
      <c r="AC160" s="1224">
        <f t="shared" si="216"/>
        <v>0</v>
      </c>
      <c r="AD160" s="1224">
        <f t="shared" si="216"/>
        <v>0</v>
      </c>
      <c r="AE160" s="1224">
        <f t="shared" si="216"/>
        <v>0</v>
      </c>
      <c r="AF160" s="1229">
        <f t="shared" si="216"/>
        <v>0</v>
      </c>
      <c r="AG160" s="4453">
        <f>+'11.3. ДА Базова година'!X120</f>
        <v>0</v>
      </c>
      <c r="AH160" s="1228">
        <f t="shared" si="217"/>
        <v>0</v>
      </c>
      <c r="AI160" s="1224">
        <f t="shared" si="217"/>
        <v>0</v>
      </c>
      <c r="AJ160" s="1224">
        <f t="shared" si="217"/>
        <v>0</v>
      </c>
      <c r="AK160" s="1224">
        <f t="shared" si="217"/>
        <v>0</v>
      </c>
      <c r="AL160" s="1224">
        <f t="shared" si="217"/>
        <v>0</v>
      </c>
      <c r="AM160" s="1229">
        <f t="shared" si="217"/>
        <v>0</v>
      </c>
      <c r="AN160" s="2551"/>
      <c r="AO160" s="2589"/>
      <c r="AP160" s="4488"/>
      <c r="AQ160" s="4504">
        <f t="shared" si="174"/>
        <v>0.2095887679399539</v>
      </c>
      <c r="AR160" s="4504">
        <f t="shared" si="175"/>
        <v>0.23578736393244812</v>
      </c>
      <c r="AS160" s="4504">
        <f t="shared" si="176"/>
        <v>0.26198595992494234</v>
      </c>
      <c r="AT160" s="4504">
        <f t="shared" si="177"/>
        <v>0.28818455591743652</v>
      </c>
      <c r="AU160" s="4504">
        <f t="shared" si="178"/>
        <v>0.31438315190993077</v>
      </c>
      <c r="AV160" s="4504">
        <f t="shared" si="179"/>
        <v>0.34058174790242496</v>
      </c>
      <c r="AW160" s="4504">
        <f t="shared" si="180"/>
        <v>0.3667803438949192</v>
      </c>
      <c r="AX160" s="4504">
        <f t="shared" si="181"/>
        <v>0</v>
      </c>
      <c r="AY160" s="4504">
        <f t="shared" si="182"/>
        <v>0</v>
      </c>
      <c r="AZ160" s="4504">
        <f t="shared" si="183"/>
        <v>0</v>
      </c>
      <c r="BA160" s="4504">
        <f t="shared" si="184"/>
        <v>0</v>
      </c>
      <c r="BB160" s="4504">
        <f t="shared" si="185"/>
        <v>0</v>
      </c>
      <c r="BC160" s="4504">
        <f t="shared" si="186"/>
        <v>0</v>
      </c>
      <c r="BD160" s="4504">
        <f t="shared" si="187"/>
        <v>0</v>
      </c>
      <c r="BE160" s="4504">
        <f t="shared" si="188"/>
        <v>0</v>
      </c>
      <c r="BF160" s="4504">
        <f t="shared" si="189"/>
        <v>0</v>
      </c>
      <c r="BG160" s="4504">
        <f t="shared" si="190"/>
        <v>0</v>
      </c>
      <c r="BH160" s="4504">
        <f t="shared" si="191"/>
        <v>0</v>
      </c>
      <c r="BI160" s="4504">
        <f t="shared" si="192"/>
        <v>0</v>
      </c>
      <c r="BJ160" s="4504">
        <f t="shared" si="193"/>
        <v>0</v>
      </c>
      <c r="BK160" s="4504">
        <f t="shared" si="194"/>
        <v>0</v>
      </c>
      <c r="BL160" s="4504">
        <f t="shared" si="195"/>
        <v>0</v>
      </c>
      <c r="BM160" s="4504">
        <f t="shared" si="196"/>
        <v>0</v>
      </c>
      <c r="BN160" s="4504">
        <f t="shared" si="197"/>
        <v>0</v>
      </c>
      <c r="BO160" s="4504">
        <f t="shared" si="198"/>
        <v>0</v>
      </c>
      <c r="BP160" s="4504">
        <f t="shared" si="199"/>
        <v>0</v>
      </c>
      <c r="BQ160" s="4504">
        <f t="shared" si="200"/>
        <v>0</v>
      </c>
      <c r="BR160" s="4504">
        <f t="shared" si="201"/>
        <v>0</v>
      </c>
      <c r="BS160" s="4504">
        <f t="shared" si="202"/>
        <v>0</v>
      </c>
      <c r="BT160" s="4504">
        <f t="shared" si="203"/>
        <v>0</v>
      </c>
      <c r="BU160" s="4504">
        <f t="shared" si="204"/>
        <v>0</v>
      </c>
      <c r="BV160" s="4504">
        <f t="shared" si="205"/>
        <v>0</v>
      </c>
      <c r="BW160" s="4504">
        <f t="shared" si="206"/>
        <v>0</v>
      </c>
      <c r="BX160" s="4504">
        <f t="shared" si="207"/>
        <v>0</v>
      </c>
      <c r="BY160" s="4504">
        <f t="shared" si="208"/>
        <v>0</v>
      </c>
    </row>
    <row r="161" spans="1:77" s="1323" customFormat="1">
      <c r="A161" s="2611">
        <v>10</v>
      </c>
      <c r="B161" s="2554">
        <v>2040201</v>
      </c>
      <c r="C161" s="2555">
        <v>0.02</v>
      </c>
      <c r="D161" s="2585" t="s">
        <v>738</v>
      </c>
      <c r="E161" s="4453">
        <f>+'11.3. ДА Базова година'!H121</f>
        <v>0</v>
      </c>
      <c r="F161" s="1228">
        <f t="shared" si="218"/>
        <v>0</v>
      </c>
      <c r="G161" s="1224">
        <f t="shared" si="218"/>
        <v>0</v>
      </c>
      <c r="H161" s="1224">
        <f t="shared" si="218"/>
        <v>0</v>
      </c>
      <c r="I161" s="1224">
        <f t="shared" si="218"/>
        <v>0</v>
      </c>
      <c r="J161" s="1224">
        <f t="shared" si="218"/>
        <v>0</v>
      </c>
      <c r="K161" s="1229">
        <f t="shared" si="218"/>
        <v>0</v>
      </c>
      <c r="L161" s="4453">
        <f>+'11.3. ДА Базова година'!L121</f>
        <v>0</v>
      </c>
      <c r="M161" s="1228">
        <f t="shared" si="214"/>
        <v>0</v>
      </c>
      <c r="N161" s="1224">
        <f t="shared" si="214"/>
        <v>0</v>
      </c>
      <c r="O161" s="1224">
        <f t="shared" si="214"/>
        <v>0</v>
      </c>
      <c r="P161" s="1224">
        <f t="shared" si="214"/>
        <v>0</v>
      </c>
      <c r="Q161" s="1224">
        <f t="shared" si="214"/>
        <v>0</v>
      </c>
      <c r="R161" s="1229">
        <f t="shared" si="214"/>
        <v>0</v>
      </c>
      <c r="S161" s="4453">
        <f>+'11.3. ДА Базова година'!P121</f>
        <v>0</v>
      </c>
      <c r="T161" s="1228">
        <f t="shared" si="215"/>
        <v>0</v>
      </c>
      <c r="U161" s="1224">
        <f t="shared" si="215"/>
        <v>0</v>
      </c>
      <c r="V161" s="1224">
        <f t="shared" si="215"/>
        <v>0</v>
      </c>
      <c r="W161" s="1224">
        <f t="shared" si="215"/>
        <v>0</v>
      </c>
      <c r="X161" s="1224">
        <f t="shared" si="215"/>
        <v>0</v>
      </c>
      <c r="Y161" s="1229">
        <f t="shared" si="215"/>
        <v>0</v>
      </c>
      <c r="Z161" s="4453">
        <f>+'11.3. ДА Базова година'!T121</f>
        <v>0</v>
      </c>
      <c r="AA161" s="1228">
        <f t="shared" si="216"/>
        <v>0</v>
      </c>
      <c r="AB161" s="1224">
        <f t="shared" si="216"/>
        <v>0</v>
      </c>
      <c r="AC161" s="1224">
        <f t="shared" si="216"/>
        <v>0</v>
      </c>
      <c r="AD161" s="1224">
        <f t="shared" si="216"/>
        <v>0</v>
      </c>
      <c r="AE161" s="1224">
        <f t="shared" si="216"/>
        <v>0</v>
      </c>
      <c r="AF161" s="1229">
        <f t="shared" si="216"/>
        <v>0</v>
      </c>
      <c r="AG161" s="4453">
        <f>+'11.3. ДА Базова година'!X121</f>
        <v>0</v>
      </c>
      <c r="AH161" s="1228">
        <f t="shared" si="217"/>
        <v>0</v>
      </c>
      <c r="AI161" s="1224">
        <f t="shared" si="217"/>
        <v>0</v>
      </c>
      <c r="AJ161" s="1224">
        <f t="shared" si="217"/>
        <v>0</v>
      </c>
      <c r="AK161" s="1224">
        <f t="shared" si="217"/>
        <v>0</v>
      </c>
      <c r="AL161" s="1224">
        <f t="shared" si="217"/>
        <v>0</v>
      </c>
      <c r="AM161" s="1229">
        <f t="shared" si="217"/>
        <v>0</v>
      </c>
      <c r="AN161" s="2551"/>
      <c r="AO161" s="2589"/>
      <c r="AP161" s="4488"/>
      <c r="AQ161" s="4504">
        <f t="shared" si="174"/>
        <v>0</v>
      </c>
      <c r="AR161" s="4504">
        <f t="shared" si="175"/>
        <v>0</v>
      </c>
      <c r="AS161" s="4504">
        <f t="shared" si="176"/>
        <v>0</v>
      </c>
      <c r="AT161" s="4504">
        <f t="shared" si="177"/>
        <v>0</v>
      </c>
      <c r="AU161" s="4504">
        <f t="shared" si="178"/>
        <v>0</v>
      </c>
      <c r="AV161" s="4504">
        <f t="shared" si="179"/>
        <v>0</v>
      </c>
      <c r="AW161" s="4504">
        <f t="shared" si="180"/>
        <v>0</v>
      </c>
      <c r="AX161" s="4504">
        <f t="shared" si="181"/>
        <v>0</v>
      </c>
      <c r="AY161" s="4504">
        <f t="shared" si="182"/>
        <v>0</v>
      </c>
      <c r="AZ161" s="4504">
        <f t="shared" si="183"/>
        <v>0</v>
      </c>
      <c r="BA161" s="4504">
        <f t="shared" si="184"/>
        <v>0</v>
      </c>
      <c r="BB161" s="4504">
        <f t="shared" si="185"/>
        <v>0</v>
      </c>
      <c r="BC161" s="4504">
        <f t="shared" si="186"/>
        <v>0</v>
      </c>
      <c r="BD161" s="4504">
        <f t="shared" si="187"/>
        <v>0</v>
      </c>
      <c r="BE161" s="4504">
        <f t="shared" si="188"/>
        <v>0</v>
      </c>
      <c r="BF161" s="4504">
        <f t="shared" si="189"/>
        <v>0</v>
      </c>
      <c r="BG161" s="4504">
        <f t="shared" si="190"/>
        <v>0</v>
      </c>
      <c r="BH161" s="4504">
        <f t="shared" si="191"/>
        <v>0</v>
      </c>
      <c r="BI161" s="4504">
        <f t="shared" si="192"/>
        <v>0</v>
      </c>
      <c r="BJ161" s="4504">
        <f t="shared" si="193"/>
        <v>0</v>
      </c>
      <c r="BK161" s="4504">
        <f t="shared" si="194"/>
        <v>0</v>
      </c>
      <c r="BL161" s="4504">
        <f t="shared" si="195"/>
        <v>0</v>
      </c>
      <c r="BM161" s="4504">
        <f t="shared" si="196"/>
        <v>0</v>
      </c>
      <c r="BN161" s="4504">
        <f t="shared" si="197"/>
        <v>0</v>
      </c>
      <c r="BO161" s="4504">
        <f t="shared" si="198"/>
        <v>0</v>
      </c>
      <c r="BP161" s="4504">
        <f t="shared" si="199"/>
        <v>0</v>
      </c>
      <c r="BQ161" s="4504">
        <f t="shared" si="200"/>
        <v>0</v>
      </c>
      <c r="BR161" s="4504">
        <f t="shared" si="201"/>
        <v>0</v>
      </c>
      <c r="BS161" s="4504">
        <f t="shared" si="202"/>
        <v>0</v>
      </c>
      <c r="BT161" s="4504">
        <f t="shared" si="203"/>
        <v>0</v>
      </c>
      <c r="BU161" s="4504">
        <f t="shared" si="204"/>
        <v>0</v>
      </c>
      <c r="BV161" s="4504">
        <f t="shared" si="205"/>
        <v>0</v>
      </c>
      <c r="BW161" s="4504">
        <f t="shared" si="206"/>
        <v>0</v>
      </c>
      <c r="BX161" s="4504">
        <f t="shared" si="207"/>
        <v>0</v>
      </c>
      <c r="BY161" s="4504">
        <f t="shared" si="208"/>
        <v>0</v>
      </c>
    </row>
    <row r="162" spans="1:77" s="1323" customFormat="1">
      <c r="A162" s="2611">
        <v>11</v>
      </c>
      <c r="B162" s="2554">
        <v>2040202</v>
      </c>
      <c r="C162" s="2555">
        <v>0.02</v>
      </c>
      <c r="D162" s="2585" t="s">
        <v>739</v>
      </c>
      <c r="E162" s="4453">
        <f>+'11.3. ДА Базова година'!H122</f>
        <v>14.557414944597912</v>
      </c>
      <c r="F162" s="1228">
        <f t="shared" si="218"/>
        <v>16.670312307467839</v>
      </c>
      <c r="G162" s="1224">
        <f t="shared" si="218"/>
        <v>18.833209670337766</v>
      </c>
      <c r="H162" s="1224">
        <f t="shared" si="218"/>
        <v>21.056107033207692</v>
      </c>
      <c r="I162" s="1224">
        <f t="shared" si="218"/>
        <v>23.33900439607762</v>
      </c>
      <c r="J162" s="1224">
        <f t="shared" si="218"/>
        <v>25.681901758947546</v>
      </c>
      <c r="K162" s="1229">
        <f t="shared" si="218"/>
        <v>28.084799121817476</v>
      </c>
      <c r="L162" s="4453">
        <f>+'11.3. ДА Базова година'!L122</f>
        <v>0</v>
      </c>
      <c r="M162" s="1228">
        <f t="shared" si="214"/>
        <v>0</v>
      </c>
      <c r="N162" s="1224">
        <f t="shared" si="214"/>
        <v>0</v>
      </c>
      <c r="O162" s="1224">
        <f t="shared" si="214"/>
        <v>0</v>
      </c>
      <c r="P162" s="1224">
        <f t="shared" si="214"/>
        <v>0</v>
      </c>
      <c r="Q162" s="1224">
        <f t="shared" si="214"/>
        <v>0</v>
      </c>
      <c r="R162" s="1229">
        <f t="shared" si="214"/>
        <v>0</v>
      </c>
      <c r="S162" s="4453">
        <f>+'11.3. ДА Базова година'!P122</f>
        <v>0</v>
      </c>
      <c r="T162" s="1228">
        <f t="shared" si="215"/>
        <v>0</v>
      </c>
      <c r="U162" s="1224">
        <f t="shared" si="215"/>
        <v>0</v>
      </c>
      <c r="V162" s="1224">
        <f t="shared" si="215"/>
        <v>0</v>
      </c>
      <c r="W162" s="1224">
        <f t="shared" si="215"/>
        <v>0</v>
      </c>
      <c r="X162" s="1224">
        <f t="shared" si="215"/>
        <v>0</v>
      </c>
      <c r="Y162" s="1229">
        <f t="shared" si="215"/>
        <v>0</v>
      </c>
      <c r="Z162" s="4453">
        <f>+'11.3. ДА Базова година'!T122</f>
        <v>0</v>
      </c>
      <c r="AA162" s="1228">
        <f t="shared" si="216"/>
        <v>0</v>
      </c>
      <c r="AB162" s="1224">
        <f t="shared" si="216"/>
        <v>0</v>
      </c>
      <c r="AC162" s="1224">
        <f t="shared" si="216"/>
        <v>0</v>
      </c>
      <c r="AD162" s="1224">
        <f t="shared" si="216"/>
        <v>0</v>
      </c>
      <c r="AE162" s="1224">
        <f t="shared" si="216"/>
        <v>0</v>
      </c>
      <c r="AF162" s="1229">
        <f t="shared" si="216"/>
        <v>0</v>
      </c>
      <c r="AG162" s="4453">
        <f>+'11.3. ДА Базова година'!X122</f>
        <v>3.0288750554020885</v>
      </c>
      <c r="AH162" s="1228">
        <f t="shared" si="217"/>
        <v>3.5245576925321611</v>
      </c>
      <c r="AI162" s="1224">
        <f t="shared" si="217"/>
        <v>4.7702403296622338</v>
      </c>
      <c r="AJ162" s="1224">
        <f t="shared" si="217"/>
        <v>6.9659229667923066</v>
      </c>
      <c r="AK162" s="1224">
        <f t="shared" si="217"/>
        <v>9.51160560392238</v>
      </c>
      <c r="AL162" s="1224">
        <f t="shared" si="217"/>
        <v>12.207288241052453</v>
      </c>
      <c r="AM162" s="1229">
        <f t="shared" si="217"/>
        <v>14.902970878182526</v>
      </c>
      <c r="AN162" s="2551"/>
      <c r="AO162" s="2589"/>
      <c r="AP162" s="4488"/>
      <c r="AQ162" s="4504">
        <f t="shared" si="174"/>
        <v>7.4430880723774111</v>
      </c>
      <c r="AR162" s="4504">
        <f t="shared" si="175"/>
        <v>8.523395339813705</v>
      </c>
      <c r="AS162" s="4504">
        <f t="shared" si="176"/>
        <v>9.6292672013098102</v>
      </c>
      <c r="AT162" s="4504">
        <f t="shared" si="177"/>
        <v>10.765816575677688</v>
      </c>
      <c r="AU162" s="4504">
        <f t="shared" si="178"/>
        <v>11.93304346291734</v>
      </c>
      <c r="AV162" s="4504">
        <f t="shared" si="179"/>
        <v>13.130947863028764</v>
      </c>
      <c r="AW162" s="4504">
        <f t="shared" si="180"/>
        <v>14.359529776011962</v>
      </c>
      <c r="AX162" s="4504">
        <f t="shared" si="181"/>
        <v>0</v>
      </c>
      <c r="AY162" s="4504">
        <f t="shared" si="182"/>
        <v>0</v>
      </c>
      <c r="AZ162" s="4504">
        <f t="shared" si="183"/>
        <v>0</v>
      </c>
      <c r="BA162" s="4504">
        <f t="shared" si="184"/>
        <v>0</v>
      </c>
      <c r="BB162" s="4504">
        <f t="shared" si="185"/>
        <v>0</v>
      </c>
      <c r="BC162" s="4504">
        <f t="shared" si="186"/>
        <v>0</v>
      </c>
      <c r="BD162" s="4504">
        <f t="shared" si="187"/>
        <v>0</v>
      </c>
      <c r="BE162" s="4504">
        <f t="shared" si="188"/>
        <v>0</v>
      </c>
      <c r="BF162" s="4504">
        <f t="shared" si="189"/>
        <v>0</v>
      </c>
      <c r="BG162" s="4504">
        <f t="shared" si="190"/>
        <v>0</v>
      </c>
      <c r="BH162" s="4504">
        <f t="shared" si="191"/>
        <v>0</v>
      </c>
      <c r="BI162" s="4504">
        <f t="shared" si="192"/>
        <v>0</v>
      </c>
      <c r="BJ162" s="4504">
        <f t="shared" si="193"/>
        <v>0</v>
      </c>
      <c r="BK162" s="4504">
        <f t="shared" si="194"/>
        <v>0</v>
      </c>
      <c r="BL162" s="4504">
        <f t="shared" si="195"/>
        <v>0</v>
      </c>
      <c r="BM162" s="4504">
        <f t="shared" si="196"/>
        <v>0</v>
      </c>
      <c r="BN162" s="4504">
        <f t="shared" si="197"/>
        <v>0</v>
      </c>
      <c r="BO162" s="4504">
        <f t="shared" si="198"/>
        <v>0</v>
      </c>
      <c r="BP162" s="4504">
        <f t="shared" si="199"/>
        <v>0</v>
      </c>
      <c r="BQ162" s="4504">
        <f t="shared" si="200"/>
        <v>0</v>
      </c>
      <c r="BR162" s="4504">
        <f t="shared" si="201"/>
        <v>0</v>
      </c>
      <c r="BS162" s="4504">
        <f t="shared" si="202"/>
        <v>1.5486392249848344</v>
      </c>
      <c r="BT162" s="4504">
        <f t="shared" si="203"/>
        <v>1.8020777329993718</v>
      </c>
      <c r="BU162" s="4504">
        <f t="shared" si="204"/>
        <v>2.4389851519110728</v>
      </c>
      <c r="BV162" s="4504">
        <f t="shared" si="205"/>
        <v>3.5616198579591818</v>
      </c>
      <c r="BW162" s="4504">
        <f t="shared" si="206"/>
        <v>4.8632067224259679</v>
      </c>
      <c r="BX162" s="4504">
        <f t="shared" si="207"/>
        <v>6.2414873690721855</v>
      </c>
      <c r="BY162" s="4504">
        <f t="shared" si="208"/>
        <v>7.619768015718404</v>
      </c>
    </row>
    <row r="163" spans="1:77" s="1323" customFormat="1">
      <c r="A163" s="2611">
        <v>12</v>
      </c>
      <c r="B163" s="2554">
        <v>2040203</v>
      </c>
      <c r="C163" s="2555">
        <v>0.02</v>
      </c>
      <c r="D163" s="2585" t="s">
        <v>418</v>
      </c>
      <c r="E163" s="4453">
        <f>+'11.3. ДА Базова година'!H123</f>
        <v>0</v>
      </c>
      <c r="F163" s="1228">
        <f t="shared" si="218"/>
        <v>0</v>
      </c>
      <c r="G163" s="1224">
        <f t="shared" si="218"/>
        <v>0</v>
      </c>
      <c r="H163" s="1224">
        <f t="shared" si="218"/>
        <v>0</v>
      </c>
      <c r="I163" s="1224">
        <f t="shared" si="218"/>
        <v>0</v>
      </c>
      <c r="J163" s="1224">
        <f t="shared" si="218"/>
        <v>0</v>
      </c>
      <c r="K163" s="1229">
        <f t="shared" si="218"/>
        <v>0</v>
      </c>
      <c r="L163" s="4453">
        <f>+'11.3. ДА Базова година'!L123</f>
        <v>0</v>
      </c>
      <c r="M163" s="1228">
        <f t="shared" si="214"/>
        <v>0</v>
      </c>
      <c r="N163" s="1224">
        <f t="shared" si="214"/>
        <v>0</v>
      </c>
      <c r="O163" s="1224">
        <f t="shared" si="214"/>
        <v>0</v>
      </c>
      <c r="P163" s="1224">
        <f t="shared" si="214"/>
        <v>0</v>
      </c>
      <c r="Q163" s="1224">
        <f t="shared" si="214"/>
        <v>0</v>
      </c>
      <c r="R163" s="1229">
        <f t="shared" si="214"/>
        <v>0</v>
      </c>
      <c r="S163" s="4453">
        <f>+'11.3. ДА Базова година'!P123</f>
        <v>0</v>
      </c>
      <c r="T163" s="1228">
        <f t="shared" si="215"/>
        <v>0</v>
      </c>
      <c r="U163" s="1224">
        <f t="shared" si="215"/>
        <v>0</v>
      </c>
      <c r="V163" s="1224">
        <f t="shared" si="215"/>
        <v>0</v>
      </c>
      <c r="W163" s="1224">
        <f t="shared" si="215"/>
        <v>0</v>
      </c>
      <c r="X163" s="1224">
        <f t="shared" si="215"/>
        <v>0</v>
      </c>
      <c r="Y163" s="1229">
        <f t="shared" si="215"/>
        <v>0</v>
      </c>
      <c r="Z163" s="4453">
        <f>+'11.3. ДА Базова година'!T123</f>
        <v>0</v>
      </c>
      <c r="AA163" s="1228">
        <f t="shared" si="216"/>
        <v>0</v>
      </c>
      <c r="AB163" s="1224">
        <f t="shared" si="216"/>
        <v>0</v>
      </c>
      <c r="AC163" s="1224">
        <f t="shared" si="216"/>
        <v>0</v>
      </c>
      <c r="AD163" s="1224">
        <f t="shared" si="216"/>
        <v>0</v>
      </c>
      <c r="AE163" s="1224">
        <f t="shared" si="216"/>
        <v>0</v>
      </c>
      <c r="AF163" s="1229">
        <f t="shared" si="216"/>
        <v>0</v>
      </c>
      <c r="AG163" s="4453">
        <f>+'11.3. ДА Базова година'!X123</f>
        <v>0</v>
      </c>
      <c r="AH163" s="1228">
        <f t="shared" si="217"/>
        <v>0</v>
      </c>
      <c r="AI163" s="1224">
        <f t="shared" si="217"/>
        <v>0</v>
      </c>
      <c r="AJ163" s="1224">
        <f t="shared" si="217"/>
        <v>0</v>
      </c>
      <c r="AK163" s="1224">
        <f t="shared" si="217"/>
        <v>0</v>
      </c>
      <c r="AL163" s="1224">
        <f t="shared" si="217"/>
        <v>0</v>
      </c>
      <c r="AM163" s="1229">
        <f t="shared" si="217"/>
        <v>0</v>
      </c>
      <c r="AN163" s="2551"/>
      <c r="AO163" s="2589"/>
      <c r="AP163" s="4488"/>
      <c r="AQ163" s="4504">
        <f t="shared" si="174"/>
        <v>0</v>
      </c>
      <c r="AR163" s="4504">
        <f t="shared" si="175"/>
        <v>0</v>
      </c>
      <c r="AS163" s="4504">
        <f t="shared" si="176"/>
        <v>0</v>
      </c>
      <c r="AT163" s="4504">
        <f t="shared" si="177"/>
        <v>0</v>
      </c>
      <c r="AU163" s="4504">
        <f t="shared" si="178"/>
        <v>0</v>
      </c>
      <c r="AV163" s="4504">
        <f t="shared" si="179"/>
        <v>0</v>
      </c>
      <c r="AW163" s="4504">
        <f t="shared" si="180"/>
        <v>0</v>
      </c>
      <c r="AX163" s="4504">
        <f t="shared" si="181"/>
        <v>0</v>
      </c>
      <c r="AY163" s="4504">
        <f t="shared" si="182"/>
        <v>0</v>
      </c>
      <c r="AZ163" s="4504">
        <f t="shared" si="183"/>
        <v>0</v>
      </c>
      <c r="BA163" s="4504">
        <f t="shared" si="184"/>
        <v>0</v>
      </c>
      <c r="BB163" s="4504">
        <f t="shared" si="185"/>
        <v>0</v>
      </c>
      <c r="BC163" s="4504">
        <f t="shared" si="186"/>
        <v>0</v>
      </c>
      <c r="BD163" s="4504">
        <f t="shared" si="187"/>
        <v>0</v>
      </c>
      <c r="BE163" s="4504">
        <f t="shared" si="188"/>
        <v>0</v>
      </c>
      <c r="BF163" s="4504">
        <f t="shared" si="189"/>
        <v>0</v>
      </c>
      <c r="BG163" s="4504">
        <f t="shared" si="190"/>
        <v>0</v>
      </c>
      <c r="BH163" s="4504">
        <f t="shared" si="191"/>
        <v>0</v>
      </c>
      <c r="BI163" s="4504">
        <f t="shared" si="192"/>
        <v>0</v>
      </c>
      <c r="BJ163" s="4504">
        <f t="shared" si="193"/>
        <v>0</v>
      </c>
      <c r="BK163" s="4504">
        <f t="shared" si="194"/>
        <v>0</v>
      </c>
      <c r="BL163" s="4504">
        <f t="shared" si="195"/>
        <v>0</v>
      </c>
      <c r="BM163" s="4504">
        <f t="shared" si="196"/>
        <v>0</v>
      </c>
      <c r="BN163" s="4504">
        <f t="shared" si="197"/>
        <v>0</v>
      </c>
      <c r="BO163" s="4504">
        <f t="shared" si="198"/>
        <v>0</v>
      </c>
      <c r="BP163" s="4504">
        <f t="shared" si="199"/>
        <v>0</v>
      </c>
      <c r="BQ163" s="4504">
        <f t="shared" si="200"/>
        <v>0</v>
      </c>
      <c r="BR163" s="4504">
        <f t="shared" si="201"/>
        <v>0</v>
      </c>
      <c r="BS163" s="4504">
        <f t="shared" si="202"/>
        <v>0</v>
      </c>
      <c r="BT163" s="4504">
        <f t="shared" si="203"/>
        <v>0</v>
      </c>
      <c r="BU163" s="4504">
        <f t="shared" si="204"/>
        <v>0</v>
      </c>
      <c r="BV163" s="4504">
        <f t="shared" si="205"/>
        <v>0</v>
      </c>
      <c r="BW163" s="4504">
        <f t="shared" si="206"/>
        <v>0</v>
      </c>
      <c r="BX163" s="4504">
        <f t="shared" si="207"/>
        <v>0</v>
      </c>
      <c r="BY163" s="4504">
        <f t="shared" si="208"/>
        <v>0</v>
      </c>
    </row>
    <row r="164" spans="1:77" s="1323" customFormat="1">
      <c r="A164" s="2611">
        <v>13</v>
      </c>
      <c r="B164" s="2554">
        <v>2040204</v>
      </c>
      <c r="C164" s="2555">
        <v>0.02</v>
      </c>
      <c r="D164" s="2584" t="s">
        <v>419</v>
      </c>
      <c r="E164" s="4453">
        <f>+'11.3. ДА Базова година'!H124</f>
        <v>0</v>
      </c>
      <c r="F164" s="1228">
        <f t="shared" si="218"/>
        <v>0.02</v>
      </c>
      <c r="G164" s="1224">
        <f t="shared" si="218"/>
        <v>0.08</v>
      </c>
      <c r="H164" s="1224">
        <f t="shared" si="218"/>
        <v>0.18</v>
      </c>
      <c r="I164" s="1224">
        <f t="shared" si="218"/>
        <v>0.31999999999999995</v>
      </c>
      <c r="J164" s="1224">
        <f t="shared" si="218"/>
        <v>0.49999999999999994</v>
      </c>
      <c r="K164" s="1229">
        <f t="shared" si="218"/>
        <v>0.72</v>
      </c>
      <c r="L164" s="4453">
        <f>+'11.3. ДА Базова година'!L124</f>
        <v>0</v>
      </c>
      <c r="M164" s="1228">
        <f t="shared" si="214"/>
        <v>0</v>
      </c>
      <c r="N164" s="1224">
        <f t="shared" si="214"/>
        <v>0</v>
      </c>
      <c r="O164" s="1224">
        <f t="shared" si="214"/>
        <v>0</v>
      </c>
      <c r="P164" s="1224">
        <f t="shared" si="214"/>
        <v>0</v>
      </c>
      <c r="Q164" s="1224">
        <f t="shared" si="214"/>
        <v>0</v>
      </c>
      <c r="R164" s="1229">
        <f t="shared" si="214"/>
        <v>0</v>
      </c>
      <c r="S164" s="4453">
        <f>+'11.3. ДА Базова година'!P124</f>
        <v>0</v>
      </c>
      <c r="T164" s="1228">
        <f t="shared" si="215"/>
        <v>0</v>
      </c>
      <c r="U164" s="1224">
        <f t="shared" si="215"/>
        <v>0</v>
      </c>
      <c r="V164" s="1224">
        <f t="shared" si="215"/>
        <v>0</v>
      </c>
      <c r="W164" s="1224">
        <f t="shared" si="215"/>
        <v>0</v>
      </c>
      <c r="X164" s="1224">
        <f t="shared" si="215"/>
        <v>0</v>
      </c>
      <c r="Y164" s="1229">
        <f t="shared" si="215"/>
        <v>0</v>
      </c>
      <c r="Z164" s="4453">
        <f>+'11.3. ДА Базова година'!T124</f>
        <v>0</v>
      </c>
      <c r="AA164" s="1228">
        <f t="shared" si="216"/>
        <v>0</v>
      </c>
      <c r="AB164" s="1224">
        <f t="shared" si="216"/>
        <v>0</v>
      </c>
      <c r="AC164" s="1224">
        <f t="shared" si="216"/>
        <v>0</v>
      </c>
      <c r="AD164" s="1224">
        <f t="shared" si="216"/>
        <v>0</v>
      </c>
      <c r="AE164" s="1224">
        <f t="shared" si="216"/>
        <v>0</v>
      </c>
      <c r="AF164" s="1229">
        <f t="shared" si="216"/>
        <v>0</v>
      </c>
      <c r="AG164" s="4453">
        <f>+'11.3. ДА Базова година'!X124</f>
        <v>0</v>
      </c>
      <c r="AH164" s="1228">
        <f t="shared" si="217"/>
        <v>0</v>
      </c>
      <c r="AI164" s="1224">
        <f t="shared" si="217"/>
        <v>0.35000000000000003</v>
      </c>
      <c r="AJ164" s="1224">
        <f t="shared" si="217"/>
        <v>1.05</v>
      </c>
      <c r="AK164" s="1224">
        <f t="shared" si="217"/>
        <v>1.75</v>
      </c>
      <c r="AL164" s="1224">
        <f t="shared" si="217"/>
        <v>2.85</v>
      </c>
      <c r="AM164" s="1229">
        <f t="shared" si="217"/>
        <v>4.75</v>
      </c>
      <c r="AN164" s="2551"/>
      <c r="AO164" s="2589"/>
      <c r="AP164" s="4488"/>
      <c r="AQ164" s="4504">
        <f t="shared" si="174"/>
        <v>0</v>
      </c>
      <c r="AR164" s="4504">
        <f t="shared" si="175"/>
        <v>1.022583762392437E-2</v>
      </c>
      <c r="AS164" s="4504">
        <f t="shared" si="176"/>
        <v>4.0903350495697481E-2</v>
      </c>
      <c r="AT164" s="4504">
        <f t="shared" si="177"/>
        <v>9.203253861531932E-2</v>
      </c>
      <c r="AU164" s="4504">
        <f t="shared" si="178"/>
        <v>0.1636134019827899</v>
      </c>
      <c r="AV164" s="4504">
        <f t="shared" si="179"/>
        <v>0.25564594059810924</v>
      </c>
      <c r="AW164" s="4504">
        <f t="shared" si="180"/>
        <v>0.36813015446127728</v>
      </c>
      <c r="AX164" s="4504">
        <f t="shared" si="181"/>
        <v>0</v>
      </c>
      <c r="AY164" s="4504">
        <f t="shared" si="182"/>
        <v>0</v>
      </c>
      <c r="AZ164" s="4504">
        <f t="shared" si="183"/>
        <v>0</v>
      </c>
      <c r="BA164" s="4504">
        <f t="shared" si="184"/>
        <v>0</v>
      </c>
      <c r="BB164" s="4504">
        <f t="shared" si="185"/>
        <v>0</v>
      </c>
      <c r="BC164" s="4504">
        <f t="shared" si="186"/>
        <v>0</v>
      </c>
      <c r="BD164" s="4504">
        <f t="shared" si="187"/>
        <v>0</v>
      </c>
      <c r="BE164" s="4504">
        <f t="shared" si="188"/>
        <v>0</v>
      </c>
      <c r="BF164" s="4504">
        <f t="shared" si="189"/>
        <v>0</v>
      </c>
      <c r="BG164" s="4504">
        <f t="shared" si="190"/>
        <v>0</v>
      </c>
      <c r="BH164" s="4504">
        <f t="shared" si="191"/>
        <v>0</v>
      </c>
      <c r="BI164" s="4504">
        <f t="shared" si="192"/>
        <v>0</v>
      </c>
      <c r="BJ164" s="4504">
        <f t="shared" si="193"/>
        <v>0</v>
      </c>
      <c r="BK164" s="4504">
        <f t="shared" si="194"/>
        <v>0</v>
      </c>
      <c r="BL164" s="4504">
        <f t="shared" si="195"/>
        <v>0</v>
      </c>
      <c r="BM164" s="4504">
        <f t="shared" si="196"/>
        <v>0</v>
      </c>
      <c r="BN164" s="4504">
        <f t="shared" si="197"/>
        <v>0</v>
      </c>
      <c r="BO164" s="4504">
        <f t="shared" si="198"/>
        <v>0</v>
      </c>
      <c r="BP164" s="4504">
        <f t="shared" si="199"/>
        <v>0</v>
      </c>
      <c r="BQ164" s="4504">
        <f t="shared" si="200"/>
        <v>0</v>
      </c>
      <c r="BR164" s="4504">
        <f t="shared" si="201"/>
        <v>0</v>
      </c>
      <c r="BS164" s="4504">
        <f t="shared" si="202"/>
        <v>0</v>
      </c>
      <c r="BT164" s="4504">
        <f t="shared" si="203"/>
        <v>0</v>
      </c>
      <c r="BU164" s="4504">
        <f t="shared" si="204"/>
        <v>0.17895215841867648</v>
      </c>
      <c r="BV164" s="4504">
        <f t="shared" si="205"/>
        <v>0.53685647525602942</v>
      </c>
      <c r="BW164" s="4504">
        <f t="shared" si="206"/>
        <v>0.89476079209338233</v>
      </c>
      <c r="BX164" s="4504">
        <f t="shared" si="207"/>
        <v>1.4571818614092227</v>
      </c>
      <c r="BY164" s="4504">
        <f t="shared" si="208"/>
        <v>2.428636435682038</v>
      </c>
    </row>
    <row r="165" spans="1:77" s="1323" customFormat="1">
      <c r="A165" s="2611">
        <v>14</v>
      </c>
      <c r="B165" s="2554">
        <v>2040205</v>
      </c>
      <c r="C165" s="2555">
        <v>0.02</v>
      </c>
      <c r="D165" s="2585" t="s">
        <v>420</v>
      </c>
      <c r="E165" s="4453">
        <f>+'11.3. ДА Базова година'!H125</f>
        <v>186.64651124619593</v>
      </c>
      <c r="F165" s="1228">
        <f t="shared" si="218"/>
        <v>250.72708800320976</v>
      </c>
      <c r="G165" s="1224">
        <f t="shared" si="218"/>
        <v>324.11516476022359</v>
      </c>
      <c r="H165" s="1224">
        <f t="shared" si="218"/>
        <v>407.90324151723746</v>
      </c>
      <c r="I165" s="1224">
        <f t="shared" si="218"/>
        <v>502.2813182742513</v>
      </c>
      <c r="J165" s="1224">
        <f t="shared" si="218"/>
        <v>607.37939503126518</v>
      </c>
      <c r="K165" s="1229">
        <f t="shared" si="218"/>
        <v>723.23747178827898</v>
      </c>
      <c r="L165" s="4453">
        <f>+'11.3. ДА Базова година'!L125</f>
        <v>0</v>
      </c>
      <c r="M165" s="1228">
        <f t="shared" si="214"/>
        <v>0</v>
      </c>
      <c r="N165" s="1224">
        <f t="shared" si="214"/>
        <v>0</v>
      </c>
      <c r="O165" s="1224">
        <f t="shared" si="214"/>
        <v>0</v>
      </c>
      <c r="P165" s="1224">
        <f t="shared" si="214"/>
        <v>0</v>
      </c>
      <c r="Q165" s="1224">
        <f t="shared" si="214"/>
        <v>0</v>
      </c>
      <c r="R165" s="1229">
        <f t="shared" si="214"/>
        <v>0</v>
      </c>
      <c r="S165" s="4453">
        <f>+'11.3. ДА Базова година'!P125</f>
        <v>0.24996000000000002</v>
      </c>
      <c r="T165" s="1228">
        <f t="shared" si="215"/>
        <v>0.49992000000000003</v>
      </c>
      <c r="U165" s="1224">
        <f t="shared" si="215"/>
        <v>0.7498800000000001</v>
      </c>
      <c r="V165" s="1224">
        <f t="shared" si="215"/>
        <v>0.99984000000000006</v>
      </c>
      <c r="W165" s="1224">
        <f t="shared" si="215"/>
        <v>1.2498</v>
      </c>
      <c r="X165" s="1224">
        <f t="shared" si="215"/>
        <v>1.49976</v>
      </c>
      <c r="Y165" s="1229">
        <f t="shared" si="215"/>
        <v>1.7497199999999999</v>
      </c>
      <c r="Z165" s="4453">
        <f>+'11.3. ДА Базова година'!T125</f>
        <v>0</v>
      </c>
      <c r="AA165" s="1228">
        <f t="shared" si="216"/>
        <v>0</v>
      </c>
      <c r="AB165" s="1224">
        <f t="shared" si="216"/>
        <v>0</v>
      </c>
      <c r="AC165" s="1224">
        <f t="shared" si="216"/>
        <v>0</v>
      </c>
      <c r="AD165" s="1224">
        <f t="shared" si="216"/>
        <v>0</v>
      </c>
      <c r="AE165" s="1224">
        <f t="shared" si="216"/>
        <v>0</v>
      </c>
      <c r="AF165" s="1229">
        <f t="shared" si="216"/>
        <v>0</v>
      </c>
      <c r="AG165" s="4453">
        <f>+'11.3. ДА Базова година'!X125</f>
        <v>0.40307875380409725</v>
      </c>
      <c r="AH165" s="1228">
        <f t="shared" si="217"/>
        <v>0.89746869679028318</v>
      </c>
      <c r="AI165" s="1224">
        <f t="shared" si="217"/>
        <v>2.191858639776469</v>
      </c>
      <c r="AJ165" s="1224">
        <f t="shared" si="217"/>
        <v>5.0362485827626546</v>
      </c>
      <c r="AK165" s="1224">
        <f t="shared" si="217"/>
        <v>9.3806385257488394</v>
      </c>
      <c r="AL165" s="1224">
        <f t="shared" si="217"/>
        <v>15.225028468735026</v>
      </c>
      <c r="AM165" s="1229">
        <f t="shared" si="217"/>
        <v>22.569418411721212</v>
      </c>
      <c r="AN165" s="2551"/>
      <c r="AO165" s="2589"/>
      <c r="AP165" s="4488"/>
      <c r="AQ165" s="4504">
        <f t="shared" si="174"/>
        <v>95.430845853778663</v>
      </c>
      <c r="AR165" s="4504">
        <f t="shared" si="175"/>
        <v>128.19472449201095</v>
      </c>
      <c r="AS165" s="4504">
        <f t="shared" si="176"/>
        <v>165.71745231447701</v>
      </c>
      <c r="AT165" s="4504">
        <f t="shared" si="177"/>
        <v>208.55761570138381</v>
      </c>
      <c r="AU165" s="4504">
        <f t="shared" si="178"/>
        <v>256.81236011015852</v>
      </c>
      <c r="AV165" s="4504">
        <f t="shared" si="179"/>
        <v>310.54815348535669</v>
      </c>
      <c r="AW165" s="4504">
        <f t="shared" si="180"/>
        <v>369.78544750222619</v>
      </c>
      <c r="AX165" s="4504">
        <f t="shared" si="181"/>
        <v>0</v>
      </c>
      <c r="AY165" s="4504">
        <f t="shared" si="182"/>
        <v>0</v>
      </c>
      <c r="AZ165" s="4504">
        <f t="shared" si="183"/>
        <v>0</v>
      </c>
      <c r="BA165" s="4504">
        <f t="shared" si="184"/>
        <v>0</v>
      </c>
      <c r="BB165" s="4504">
        <f t="shared" si="185"/>
        <v>0</v>
      </c>
      <c r="BC165" s="4504">
        <f t="shared" si="186"/>
        <v>0</v>
      </c>
      <c r="BD165" s="4504">
        <f t="shared" si="187"/>
        <v>0</v>
      </c>
      <c r="BE165" s="4504">
        <f t="shared" si="188"/>
        <v>0.12780251862380679</v>
      </c>
      <c r="BF165" s="4504">
        <f t="shared" si="189"/>
        <v>0.25560503724761358</v>
      </c>
      <c r="BG165" s="4504">
        <f t="shared" si="190"/>
        <v>0.38340755587142039</v>
      </c>
      <c r="BH165" s="4504">
        <f t="shared" si="191"/>
        <v>0.51121007449522715</v>
      </c>
      <c r="BI165" s="4504">
        <f t="shared" si="192"/>
        <v>0.63901259311903391</v>
      </c>
      <c r="BJ165" s="4504">
        <f t="shared" si="193"/>
        <v>0.76681511174284067</v>
      </c>
      <c r="BK165" s="4504">
        <f t="shared" si="194"/>
        <v>0.89461763036664743</v>
      </c>
      <c r="BL165" s="4504">
        <f t="shared" si="195"/>
        <v>0</v>
      </c>
      <c r="BM165" s="4504">
        <f t="shared" si="196"/>
        <v>0</v>
      </c>
      <c r="BN165" s="4504">
        <f t="shared" si="197"/>
        <v>0</v>
      </c>
      <c r="BO165" s="4504">
        <f t="shared" si="198"/>
        <v>0</v>
      </c>
      <c r="BP165" s="4504">
        <f t="shared" si="199"/>
        <v>0</v>
      </c>
      <c r="BQ165" s="4504">
        <f t="shared" si="200"/>
        <v>0</v>
      </c>
      <c r="BR165" s="4504">
        <f t="shared" si="201"/>
        <v>0</v>
      </c>
      <c r="BS165" s="4504">
        <f t="shared" si="202"/>
        <v>0.20609089430272429</v>
      </c>
      <c r="BT165" s="4504">
        <f t="shared" si="203"/>
        <v>0.45886845829662248</v>
      </c>
      <c r="BU165" s="4504">
        <f t="shared" si="204"/>
        <v>1.1206795272474954</v>
      </c>
      <c r="BV165" s="4504">
        <f t="shared" si="205"/>
        <v>2.5749930120525071</v>
      </c>
      <c r="BW165" s="4504">
        <f t="shared" si="206"/>
        <v>4.796244318651846</v>
      </c>
      <c r="BX165" s="4504">
        <f t="shared" si="207"/>
        <v>7.7844334470455134</v>
      </c>
      <c r="BY165" s="4504">
        <f t="shared" si="208"/>
        <v>11.539560397233508</v>
      </c>
    </row>
    <row r="166" spans="1:77" s="1323" customFormat="1">
      <c r="A166" s="2611">
        <v>15</v>
      </c>
      <c r="B166" s="2554">
        <v>2040206</v>
      </c>
      <c r="C166" s="2555">
        <v>0.02</v>
      </c>
      <c r="D166" s="2590" t="s">
        <v>421</v>
      </c>
      <c r="E166" s="4453">
        <f>+'11.3. ДА Базова година'!H126</f>
        <v>0</v>
      </c>
      <c r="F166" s="1228">
        <f t="shared" si="218"/>
        <v>0</v>
      </c>
      <c r="G166" s="1224">
        <f t="shared" si="218"/>
        <v>0</v>
      </c>
      <c r="H166" s="1224">
        <f t="shared" si="218"/>
        <v>0</v>
      </c>
      <c r="I166" s="1224">
        <f t="shared" si="218"/>
        <v>0</v>
      </c>
      <c r="J166" s="1224">
        <f t="shared" si="218"/>
        <v>0</v>
      </c>
      <c r="K166" s="1229">
        <f t="shared" si="218"/>
        <v>0</v>
      </c>
      <c r="L166" s="4453">
        <f>+'11.3. ДА Базова година'!L126</f>
        <v>4.2585199999999999</v>
      </c>
      <c r="M166" s="1228">
        <f t="shared" si="214"/>
        <v>5.9577306999999999</v>
      </c>
      <c r="N166" s="1224">
        <f t="shared" si="214"/>
        <v>7.9069414</v>
      </c>
      <c r="O166" s="1224">
        <f t="shared" si="214"/>
        <v>9.9561521000000006</v>
      </c>
      <c r="P166" s="1224">
        <f t="shared" si="214"/>
        <v>12.1053628</v>
      </c>
      <c r="Q166" s="1224">
        <f t="shared" si="214"/>
        <v>14.354573500000001</v>
      </c>
      <c r="R166" s="1229">
        <f t="shared" si="214"/>
        <v>16.703784200000001</v>
      </c>
      <c r="S166" s="4453">
        <f>+'11.3. ДА Базова година'!P126</f>
        <v>0</v>
      </c>
      <c r="T166" s="1228">
        <f t="shared" si="215"/>
        <v>0</v>
      </c>
      <c r="U166" s="1224">
        <f t="shared" si="215"/>
        <v>0</v>
      </c>
      <c r="V166" s="1224">
        <f t="shared" si="215"/>
        <v>0</v>
      </c>
      <c r="W166" s="1224">
        <f t="shared" si="215"/>
        <v>0</v>
      </c>
      <c r="X166" s="1224">
        <f t="shared" si="215"/>
        <v>0</v>
      </c>
      <c r="Y166" s="1229">
        <f t="shared" si="215"/>
        <v>0</v>
      </c>
      <c r="Z166" s="4453">
        <f>+'11.3. ДА Базова година'!T126</f>
        <v>0</v>
      </c>
      <c r="AA166" s="1228">
        <f t="shared" si="216"/>
        <v>0</v>
      </c>
      <c r="AB166" s="1224">
        <f t="shared" si="216"/>
        <v>0</v>
      </c>
      <c r="AC166" s="1224">
        <f t="shared" si="216"/>
        <v>0</v>
      </c>
      <c r="AD166" s="1224">
        <f t="shared" si="216"/>
        <v>0</v>
      </c>
      <c r="AE166" s="1224">
        <f t="shared" si="216"/>
        <v>0</v>
      </c>
      <c r="AF166" s="1229">
        <f t="shared" si="216"/>
        <v>0</v>
      </c>
      <c r="AG166" s="4453">
        <f>+'11.3. ДА Базова година'!X126</f>
        <v>0</v>
      </c>
      <c r="AH166" s="1228">
        <f t="shared" si="217"/>
        <v>0</v>
      </c>
      <c r="AI166" s="1224">
        <f t="shared" si="217"/>
        <v>0</v>
      </c>
      <c r="AJ166" s="1224">
        <f t="shared" si="217"/>
        <v>0</v>
      </c>
      <c r="AK166" s="1224">
        <f t="shared" si="217"/>
        <v>0</v>
      </c>
      <c r="AL166" s="1224">
        <f t="shared" si="217"/>
        <v>0</v>
      </c>
      <c r="AM166" s="1229">
        <f t="shared" si="217"/>
        <v>0</v>
      </c>
      <c r="AN166" s="2551"/>
      <c r="AO166" s="2589"/>
      <c r="AP166" s="4488"/>
      <c r="AQ166" s="4504">
        <f t="shared" si="174"/>
        <v>0</v>
      </c>
      <c r="AR166" s="4504">
        <f t="shared" si="175"/>
        <v>0</v>
      </c>
      <c r="AS166" s="4504">
        <f t="shared" si="176"/>
        <v>0</v>
      </c>
      <c r="AT166" s="4504">
        <f t="shared" si="177"/>
        <v>0</v>
      </c>
      <c r="AU166" s="4504">
        <f t="shared" si="178"/>
        <v>0</v>
      </c>
      <c r="AV166" s="4504">
        <f t="shared" si="179"/>
        <v>0</v>
      </c>
      <c r="AW166" s="4504">
        <f t="shared" si="180"/>
        <v>0</v>
      </c>
      <c r="AX166" s="4504">
        <f t="shared" si="181"/>
        <v>2.1773467019117203</v>
      </c>
      <c r="AY166" s="4504">
        <f t="shared" si="182"/>
        <v>3.0461393372634635</v>
      </c>
      <c r="AZ166" s="4504">
        <f t="shared" si="183"/>
        <v>4.0427549429142617</v>
      </c>
      <c r="BA166" s="4504">
        <f t="shared" si="184"/>
        <v>5.0904997366846816</v>
      </c>
      <c r="BB166" s="4504">
        <f t="shared" si="185"/>
        <v>6.1893737185747231</v>
      </c>
      <c r="BC166" s="4504">
        <f t="shared" si="186"/>
        <v>7.3393768885843871</v>
      </c>
      <c r="BD166" s="4504">
        <f t="shared" si="187"/>
        <v>8.5405092467136718</v>
      </c>
      <c r="BE166" s="4504">
        <f t="shared" si="188"/>
        <v>0</v>
      </c>
      <c r="BF166" s="4504">
        <f t="shared" si="189"/>
        <v>0</v>
      </c>
      <c r="BG166" s="4504">
        <f t="shared" si="190"/>
        <v>0</v>
      </c>
      <c r="BH166" s="4504">
        <f t="shared" si="191"/>
        <v>0</v>
      </c>
      <c r="BI166" s="4504">
        <f t="shared" si="192"/>
        <v>0</v>
      </c>
      <c r="BJ166" s="4504">
        <f t="shared" si="193"/>
        <v>0</v>
      </c>
      <c r="BK166" s="4504">
        <f t="shared" si="194"/>
        <v>0</v>
      </c>
      <c r="BL166" s="4504">
        <f t="shared" si="195"/>
        <v>0</v>
      </c>
      <c r="BM166" s="4504">
        <f t="shared" si="196"/>
        <v>0</v>
      </c>
      <c r="BN166" s="4504">
        <f t="shared" si="197"/>
        <v>0</v>
      </c>
      <c r="BO166" s="4504">
        <f t="shared" si="198"/>
        <v>0</v>
      </c>
      <c r="BP166" s="4504">
        <f t="shared" si="199"/>
        <v>0</v>
      </c>
      <c r="BQ166" s="4504">
        <f t="shared" si="200"/>
        <v>0</v>
      </c>
      <c r="BR166" s="4504">
        <f t="shared" si="201"/>
        <v>0</v>
      </c>
      <c r="BS166" s="4504">
        <f t="shared" si="202"/>
        <v>0</v>
      </c>
      <c r="BT166" s="4504">
        <f t="shared" si="203"/>
        <v>0</v>
      </c>
      <c r="BU166" s="4504">
        <f t="shared" si="204"/>
        <v>0</v>
      </c>
      <c r="BV166" s="4504">
        <f t="shared" si="205"/>
        <v>0</v>
      </c>
      <c r="BW166" s="4504">
        <f t="shared" si="206"/>
        <v>0</v>
      </c>
      <c r="BX166" s="4504">
        <f t="shared" si="207"/>
        <v>0</v>
      </c>
      <c r="BY166" s="4504">
        <f t="shared" si="208"/>
        <v>0</v>
      </c>
    </row>
    <row r="167" spans="1:77" s="1323" customFormat="1" ht="24">
      <c r="A167" s="2611">
        <v>16</v>
      </c>
      <c r="B167" s="2554">
        <v>2040207</v>
      </c>
      <c r="C167" s="2555">
        <v>0.04</v>
      </c>
      <c r="D167" s="2590" t="s">
        <v>422</v>
      </c>
      <c r="E167" s="4453">
        <f>+'11.3. ДА Базова година'!H127</f>
        <v>0</v>
      </c>
      <c r="F167" s="1228">
        <f t="shared" si="218"/>
        <v>0.11</v>
      </c>
      <c r="G167" s="1224">
        <f t="shared" si="218"/>
        <v>0.53</v>
      </c>
      <c r="H167" s="1224">
        <f t="shared" si="218"/>
        <v>1.35</v>
      </c>
      <c r="I167" s="1224">
        <f t="shared" si="218"/>
        <v>2.5700000000000003</v>
      </c>
      <c r="J167" s="1224">
        <f t="shared" si="218"/>
        <v>4.1900000000000004</v>
      </c>
      <c r="K167" s="1229">
        <f t="shared" si="218"/>
        <v>6.2100000000000009</v>
      </c>
      <c r="L167" s="4453">
        <f>+'11.3. ДА Базова година'!L127</f>
        <v>0</v>
      </c>
      <c r="M167" s="1228">
        <f t="shared" si="214"/>
        <v>0</v>
      </c>
      <c r="N167" s="1224">
        <f t="shared" si="214"/>
        <v>0</v>
      </c>
      <c r="O167" s="1224">
        <f t="shared" si="214"/>
        <v>0</v>
      </c>
      <c r="P167" s="1224">
        <f t="shared" si="214"/>
        <v>0</v>
      </c>
      <c r="Q167" s="1224">
        <f t="shared" si="214"/>
        <v>0</v>
      </c>
      <c r="R167" s="1229">
        <f t="shared" si="214"/>
        <v>0</v>
      </c>
      <c r="S167" s="4453">
        <f>+'11.3. ДА Базова година'!P127</f>
        <v>2.6831999999999998</v>
      </c>
      <c r="T167" s="1228">
        <f t="shared" si="215"/>
        <v>3.3331200000000001</v>
      </c>
      <c r="U167" s="1224">
        <f t="shared" si="215"/>
        <v>4.8230400000000007</v>
      </c>
      <c r="V167" s="1224">
        <f t="shared" si="215"/>
        <v>7.5129600000000005</v>
      </c>
      <c r="W167" s="1224">
        <f t="shared" si="215"/>
        <v>11.40288</v>
      </c>
      <c r="X167" s="1224">
        <f t="shared" si="215"/>
        <v>16.492799999999999</v>
      </c>
      <c r="Y167" s="1229">
        <f t="shared" si="215"/>
        <v>22.782719999999998</v>
      </c>
      <c r="Z167" s="4453">
        <f>+'11.3. ДА Базова година'!T127</f>
        <v>0</v>
      </c>
      <c r="AA167" s="1228">
        <f t="shared" si="216"/>
        <v>0</v>
      </c>
      <c r="AB167" s="1224">
        <f t="shared" si="216"/>
        <v>0</v>
      </c>
      <c r="AC167" s="1224">
        <f t="shared" si="216"/>
        <v>0</v>
      </c>
      <c r="AD167" s="1224">
        <f t="shared" si="216"/>
        <v>0</v>
      </c>
      <c r="AE167" s="1224">
        <f t="shared" si="216"/>
        <v>0</v>
      </c>
      <c r="AF167" s="1229">
        <f t="shared" si="216"/>
        <v>0</v>
      </c>
      <c r="AG167" s="4453">
        <f>+'11.3. ДА Базова година'!X127</f>
        <v>0</v>
      </c>
      <c r="AH167" s="1228">
        <f t="shared" si="217"/>
        <v>0.06</v>
      </c>
      <c r="AI167" s="1224">
        <f t="shared" si="217"/>
        <v>0.78</v>
      </c>
      <c r="AJ167" s="1224">
        <f t="shared" si="217"/>
        <v>2.0999999999999996</v>
      </c>
      <c r="AK167" s="1224">
        <f t="shared" si="217"/>
        <v>3.4199999999999995</v>
      </c>
      <c r="AL167" s="1224">
        <f t="shared" si="217"/>
        <v>4.7399999999999993</v>
      </c>
      <c r="AM167" s="1229">
        <f t="shared" si="217"/>
        <v>6.0599999999999987</v>
      </c>
      <c r="AN167" s="2551"/>
      <c r="AO167" s="2589"/>
      <c r="AP167" s="4488"/>
      <c r="AQ167" s="4504">
        <f t="shared" si="174"/>
        <v>0</v>
      </c>
      <c r="AR167" s="4504">
        <f t="shared" si="175"/>
        <v>5.6242106931584032E-2</v>
      </c>
      <c r="AS167" s="4504">
        <f t="shared" si="176"/>
        <v>0.2709846970339958</v>
      </c>
      <c r="AT167" s="4504">
        <f t="shared" si="177"/>
        <v>0.690244039614895</v>
      </c>
      <c r="AU167" s="4504">
        <f t="shared" si="178"/>
        <v>1.3140201346742817</v>
      </c>
      <c r="AV167" s="4504">
        <f t="shared" si="179"/>
        <v>2.1423129822121556</v>
      </c>
      <c r="AW167" s="4504">
        <f t="shared" si="180"/>
        <v>3.1751225822285174</v>
      </c>
      <c r="AX167" s="4504">
        <f t="shared" si="181"/>
        <v>0</v>
      </c>
      <c r="AY167" s="4504">
        <f t="shared" si="182"/>
        <v>0</v>
      </c>
      <c r="AZ167" s="4504">
        <f t="shared" si="183"/>
        <v>0</v>
      </c>
      <c r="BA167" s="4504">
        <f t="shared" si="184"/>
        <v>0</v>
      </c>
      <c r="BB167" s="4504">
        <f t="shared" si="185"/>
        <v>0</v>
      </c>
      <c r="BC167" s="4504">
        <f t="shared" si="186"/>
        <v>0</v>
      </c>
      <c r="BD167" s="4504">
        <f t="shared" si="187"/>
        <v>0</v>
      </c>
      <c r="BE167" s="4504">
        <f t="shared" si="188"/>
        <v>1.3718983756256933</v>
      </c>
      <c r="BF167" s="4504">
        <f t="shared" si="189"/>
        <v>1.7041971950527399</v>
      </c>
      <c r="BG167" s="4504">
        <f t="shared" si="190"/>
        <v>2.46598119468461</v>
      </c>
      <c r="BH167" s="4504">
        <f t="shared" si="191"/>
        <v>3.8413154517519419</v>
      </c>
      <c r="BI167" s="4504">
        <f t="shared" si="192"/>
        <v>5.8301999662547361</v>
      </c>
      <c r="BJ167" s="4504">
        <f t="shared" si="193"/>
        <v>8.4326347381929914</v>
      </c>
      <c r="BK167" s="4504">
        <f t="shared" si="194"/>
        <v>11.648619767566711</v>
      </c>
      <c r="BL167" s="4504">
        <f t="shared" si="195"/>
        <v>0</v>
      </c>
      <c r="BM167" s="4504">
        <f t="shared" si="196"/>
        <v>0</v>
      </c>
      <c r="BN167" s="4504">
        <f t="shared" si="197"/>
        <v>0</v>
      </c>
      <c r="BO167" s="4504">
        <f t="shared" si="198"/>
        <v>0</v>
      </c>
      <c r="BP167" s="4504">
        <f t="shared" si="199"/>
        <v>0</v>
      </c>
      <c r="BQ167" s="4504">
        <f t="shared" si="200"/>
        <v>0</v>
      </c>
      <c r="BR167" s="4504">
        <f t="shared" si="201"/>
        <v>0</v>
      </c>
      <c r="BS167" s="4504">
        <f t="shared" si="202"/>
        <v>0</v>
      </c>
      <c r="BT167" s="4504">
        <f t="shared" si="203"/>
        <v>3.0677512871773109E-2</v>
      </c>
      <c r="BU167" s="4504">
        <f t="shared" si="204"/>
        <v>0.39880766733305045</v>
      </c>
      <c r="BV167" s="4504">
        <f t="shared" si="205"/>
        <v>1.0737129505120586</v>
      </c>
      <c r="BW167" s="4504">
        <f t="shared" si="206"/>
        <v>1.7486182336910669</v>
      </c>
      <c r="BX167" s="4504">
        <f t="shared" si="207"/>
        <v>2.4235235168700755</v>
      </c>
      <c r="BY167" s="4504">
        <f t="shared" si="208"/>
        <v>3.0984288000490836</v>
      </c>
    </row>
    <row r="168" spans="1:77" s="1323" customFormat="1">
      <c r="A168" s="2611">
        <v>17</v>
      </c>
      <c r="B168" s="2554">
        <v>2040208</v>
      </c>
      <c r="C168" s="2555">
        <v>0.04</v>
      </c>
      <c r="D168" s="2590" t="s">
        <v>423</v>
      </c>
      <c r="E168" s="4453">
        <f>+'11.3. ДА Базова година'!H128</f>
        <v>0</v>
      </c>
      <c r="F168" s="1228">
        <f t="shared" si="218"/>
        <v>0</v>
      </c>
      <c r="G168" s="1224">
        <f t="shared" si="218"/>
        <v>0</v>
      </c>
      <c r="H168" s="1224">
        <f t="shared" si="218"/>
        <v>0</v>
      </c>
      <c r="I168" s="1224">
        <f t="shared" si="218"/>
        <v>0</v>
      </c>
      <c r="J168" s="1224">
        <f t="shared" si="218"/>
        <v>0</v>
      </c>
      <c r="K168" s="1229">
        <f t="shared" si="218"/>
        <v>0</v>
      </c>
      <c r="L168" s="4453">
        <f>+'11.3. ДА Базова година'!L128</f>
        <v>0</v>
      </c>
      <c r="M168" s="1228">
        <f t="shared" ref="M168:R170" si="219">L168+M148</f>
        <v>0</v>
      </c>
      <c r="N168" s="1224">
        <f t="shared" si="219"/>
        <v>0</v>
      </c>
      <c r="O168" s="1224">
        <f t="shared" si="219"/>
        <v>0</v>
      </c>
      <c r="P168" s="1224">
        <f t="shared" si="219"/>
        <v>0</v>
      </c>
      <c r="Q168" s="1224">
        <f t="shared" si="219"/>
        <v>0</v>
      </c>
      <c r="R168" s="1229">
        <f t="shared" si="219"/>
        <v>0</v>
      </c>
      <c r="S168" s="4453">
        <f>+'11.3. ДА Базова година'!P128</f>
        <v>0</v>
      </c>
      <c r="T168" s="1228">
        <f t="shared" ref="T168:Y170" si="220">S168+T148</f>
        <v>0</v>
      </c>
      <c r="U168" s="1224">
        <f t="shared" si="220"/>
        <v>0</v>
      </c>
      <c r="V168" s="1224">
        <f t="shared" si="220"/>
        <v>0</v>
      </c>
      <c r="W168" s="1224">
        <f t="shared" si="220"/>
        <v>0</v>
      </c>
      <c r="X168" s="1224">
        <f t="shared" si="220"/>
        <v>0</v>
      </c>
      <c r="Y168" s="1229">
        <f t="shared" si="220"/>
        <v>0</v>
      </c>
      <c r="Z168" s="4453">
        <f>+'11.3. ДА Базова година'!T128</f>
        <v>0</v>
      </c>
      <c r="AA168" s="1228">
        <f t="shared" ref="AA168:AF170" si="221">Z168+AA148</f>
        <v>0</v>
      </c>
      <c r="AB168" s="1224">
        <f t="shared" si="221"/>
        <v>0</v>
      </c>
      <c r="AC168" s="1224">
        <f t="shared" si="221"/>
        <v>0</v>
      </c>
      <c r="AD168" s="1224">
        <f t="shared" si="221"/>
        <v>0</v>
      </c>
      <c r="AE168" s="1224">
        <f t="shared" si="221"/>
        <v>0</v>
      </c>
      <c r="AF168" s="1229">
        <f t="shared" si="221"/>
        <v>0</v>
      </c>
      <c r="AG168" s="4453">
        <f>+'11.3. ДА Базова година'!X128</f>
        <v>0</v>
      </c>
      <c r="AH168" s="1228">
        <f t="shared" ref="AH168:AM170" si="222">AG168+AH148</f>
        <v>0</v>
      </c>
      <c r="AI168" s="1224">
        <f t="shared" si="222"/>
        <v>0</v>
      </c>
      <c r="AJ168" s="1224">
        <f t="shared" si="222"/>
        <v>0</v>
      </c>
      <c r="AK168" s="1224">
        <f t="shared" si="222"/>
        <v>0</v>
      </c>
      <c r="AL168" s="1224">
        <f t="shared" si="222"/>
        <v>0</v>
      </c>
      <c r="AM168" s="1229">
        <f t="shared" si="222"/>
        <v>0</v>
      </c>
      <c r="AN168" s="2551"/>
      <c r="AO168" s="2589"/>
      <c r="AP168" s="4488"/>
      <c r="AQ168" s="4504">
        <f t="shared" si="174"/>
        <v>0</v>
      </c>
      <c r="AR168" s="4504">
        <f t="shared" si="175"/>
        <v>0</v>
      </c>
      <c r="AS168" s="4504">
        <f t="shared" si="176"/>
        <v>0</v>
      </c>
      <c r="AT168" s="4504">
        <f t="shared" si="177"/>
        <v>0</v>
      </c>
      <c r="AU168" s="4504">
        <f t="shared" si="178"/>
        <v>0</v>
      </c>
      <c r="AV168" s="4504">
        <f t="shared" si="179"/>
        <v>0</v>
      </c>
      <c r="AW168" s="4504">
        <f t="shared" si="180"/>
        <v>0</v>
      </c>
      <c r="AX168" s="4504">
        <f t="shared" si="181"/>
        <v>0</v>
      </c>
      <c r="AY168" s="4504">
        <f t="shared" si="182"/>
        <v>0</v>
      </c>
      <c r="AZ168" s="4504">
        <f t="shared" si="183"/>
        <v>0</v>
      </c>
      <c r="BA168" s="4504">
        <f t="shared" si="184"/>
        <v>0</v>
      </c>
      <c r="BB168" s="4504">
        <f t="shared" si="185"/>
        <v>0</v>
      </c>
      <c r="BC168" s="4504">
        <f t="shared" si="186"/>
        <v>0</v>
      </c>
      <c r="BD168" s="4504">
        <f t="shared" si="187"/>
        <v>0</v>
      </c>
      <c r="BE168" s="4504">
        <f t="shared" si="188"/>
        <v>0</v>
      </c>
      <c r="BF168" s="4504">
        <f t="shared" si="189"/>
        <v>0</v>
      </c>
      <c r="BG168" s="4504">
        <f t="shared" si="190"/>
        <v>0</v>
      </c>
      <c r="BH168" s="4504">
        <f t="shared" si="191"/>
        <v>0</v>
      </c>
      <c r="BI168" s="4504">
        <f t="shared" si="192"/>
        <v>0</v>
      </c>
      <c r="BJ168" s="4504">
        <f t="shared" si="193"/>
        <v>0</v>
      </c>
      <c r="BK168" s="4504">
        <f t="shared" si="194"/>
        <v>0</v>
      </c>
      <c r="BL168" s="4504">
        <f t="shared" si="195"/>
        <v>0</v>
      </c>
      <c r="BM168" s="4504">
        <f t="shared" si="196"/>
        <v>0</v>
      </c>
      <c r="BN168" s="4504">
        <f t="shared" si="197"/>
        <v>0</v>
      </c>
      <c r="BO168" s="4504">
        <f t="shared" si="198"/>
        <v>0</v>
      </c>
      <c r="BP168" s="4504">
        <f t="shared" si="199"/>
        <v>0</v>
      </c>
      <c r="BQ168" s="4504">
        <f t="shared" si="200"/>
        <v>0</v>
      </c>
      <c r="BR168" s="4504">
        <f t="shared" si="201"/>
        <v>0</v>
      </c>
      <c r="BS168" s="4504">
        <f t="shared" si="202"/>
        <v>0</v>
      </c>
      <c r="BT168" s="4504">
        <f t="shared" si="203"/>
        <v>0</v>
      </c>
      <c r="BU168" s="4504">
        <f t="shared" si="204"/>
        <v>0</v>
      </c>
      <c r="BV168" s="4504">
        <f t="shared" si="205"/>
        <v>0</v>
      </c>
      <c r="BW168" s="4504">
        <f t="shared" si="206"/>
        <v>0</v>
      </c>
      <c r="BX168" s="4504">
        <f t="shared" si="207"/>
        <v>0</v>
      </c>
      <c r="BY168" s="4504">
        <f t="shared" si="208"/>
        <v>0</v>
      </c>
    </row>
    <row r="169" spans="1:77" s="1323" customFormat="1">
      <c r="A169" s="2611">
        <v>18</v>
      </c>
      <c r="B169" s="2612" t="s">
        <v>1051</v>
      </c>
      <c r="C169" s="2555">
        <v>0.04</v>
      </c>
      <c r="D169" s="2609" t="s">
        <v>434</v>
      </c>
      <c r="E169" s="4453">
        <f>+'11.3. ДА Базова година'!H129</f>
        <v>0.1812</v>
      </c>
      <c r="F169" s="1228">
        <f t="shared" si="218"/>
        <v>0.27179999999999999</v>
      </c>
      <c r="G169" s="1224">
        <f t="shared" si="218"/>
        <v>0.3624</v>
      </c>
      <c r="H169" s="1224">
        <f t="shared" si="218"/>
        <v>0.45300000000000001</v>
      </c>
      <c r="I169" s="1224">
        <f t="shared" si="218"/>
        <v>0.54359999999999997</v>
      </c>
      <c r="J169" s="1224">
        <f t="shared" si="218"/>
        <v>0.63419999999999999</v>
      </c>
      <c r="K169" s="1229">
        <f t="shared" si="218"/>
        <v>0.7248</v>
      </c>
      <c r="L169" s="4453">
        <f>+'11.3. ДА Базова година'!L129</f>
        <v>0</v>
      </c>
      <c r="M169" s="1228">
        <f t="shared" si="219"/>
        <v>0</v>
      </c>
      <c r="N169" s="1224">
        <f t="shared" si="219"/>
        <v>0</v>
      </c>
      <c r="O169" s="1224">
        <f t="shared" si="219"/>
        <v>0</v>
      </c>
      <c r="P169" s="1224">
        <f t="shared" si="219"/>
        <v>0</v>
      </c>
      <c r="Q169" s="1224">
        <f t="shared" si="219"/>
        <v>0</v>
      </c>
      <c r="R169" s="1229">
        <f t="shared" si="219"/>
        <v>0</v>
      </c>
      <c r="S169" s="4453">
        <f>+'11.3. ДА Базова година'!P129</f>
        <v>0</v>
      </c>
      <c r="T169" s="1228">
        <f t="shared" si="220"/>
        <v>0</v>
      </c>
      <c r="U169" s="1224">
        <f t="shared" si="220"/>
        <v>0</v>
      </c>
      <c r="V169" s="1224">
        <f t="shared" si="220"/>
        <v>0</v>
      </c>
      <c r="W169" s="1224">
        <f t="shared" si="220"/>
        <v>0</v>
      </c>
      <c r="X169" s="1224">
        <f t="shared" si="220"/>
        <v>0</v>
      </c>
      <c r="Y169" s="1229">
        <f t="shared" si="220"/>
        <v>0</v>
      </c>
      <c r="Z169" s="4453">
        <f>+'11.3. ДА Базова година'!T129</f>
        <v>0</v>
      </c>
      <c r="AA169" s="1228">
        <f t="shared" si="221"/>
        <v>0</v>
      </c>
      <c r="AB169" s="1224">
        <f t="shared" si="221"/>
        <v>0</v>
      </c>
      <c r="AC169" s="1224">
        <f t="shared" si="221"/>
        <v>0</v>
      </c>
      <c r="AD169" s="1224">
        <f t="shared" si="221"/>
        <v>0</v>
      </c>
      <c r="AE169" s="1224">
        <f t="shared" si="221"/>
        <v>0</v>
      </c>
      <c r="AF169" s="1229">
        <f t="shared" si="221"/>
        <v>0</v>
      </c>
      <c r="AG169" s="4453">
        <f>+'11.3. ДА Базова година'!X129</f>
        <v>0</v>
      </c>
      <c r="AH169" s="1228">
        <f t="shared" si="222"/>
        <v>0</v>
      </c>
      <c r="AI169" s="1224">
        <f t="shared" si="222"/>
        <v>0</v>
      </c>
      <c r="AJ169" s="1224">
        <f t="shared" si="222"/>
        <v>0</v>
      </c>
      <c r="AK169" s="1224">
        <f t="shared" si="222"/>
        <v>0</v>
      </c>
      <c r="AL169" s="1224">
        <f t="shared" si="222"/>
        <v>0</v>
      </c>
      <c r="AM169" s="1229">
        <f t="shared" si="222"/>
        <v>0</v>
      </c>
      <c r="AN169" s="2551"/>
      <c r="AO169" s="2589"/>
      <c r="AP169" s="4488"/>
      <c r="AQ169" s="4504">
        <f t="shared" si="174"/>
        <v>9.2646088872754787E-2</v>
      </c>
      <c r="AR169" s="4504">
        <f t="shared" si="175"/>
        <v>0.13896913330913219</v>
      </c>
      <c r="AS169" s="4504">
        <f t="shared" si="176"/>
        <v>0.18529217774550957</v>
      </c>
      <c r="AT169" s="4504">
        <f t="shared" si="177"/>
        <v>0.23161522218188699</v>
      </c>
      <c r="AU169" s="4504">
        <f t="shared" si="178"/>
        <v>0.27793826661826437</v>
      </c>
      <c r="AV169" s="4504">
        <f t="shared" si="179"/>
        <v>0.32426131105464179</v>
      </c>
      <c r="AW169" s="4504">
        <f t="shared" si="180"/>
        <v>0.37058435549101915</v>
      </c>
      <c r="AX169" s="4504">
        <f t="shared" si="181"/>
        <v>0</v>
      </c>
      <c r="AY169" s="4504">
        <f t="shared" si="182"/>
        <v>0</v>
      </c>
      <c r="AZ169" s="4504">
        <f t="shared" si="183"/>
        <v>0</v>
      </c>
      <c r="BA169" s="4504">
        <f t="shared" si="184"/>
        <v>0</v>
      </c>
      <c r="BB169" s="4504">
        <f t="shared" si="185"/>
        <v>0</v>
      </c>
      <c r="BC169" s="4504">
        <f t="shared" si="186"/>
        <v>0</v>
      </c>
      <c r="BD169" s="4504">
        <f t="shared" si="187"/>
        <v>0</v>
      </c>
      <c r="BE169" s="4504">
        <f t="shared" si="188"/>
        <v>0</v>
      </c>
      <c r="BF169" s="4504">
        <f t="shared" si="189"/>
        <v>0</v>
      </c>
      <c r="BG169" s="4504">
        <f t="shared" si="190"/>
        <v>0</v>
      </c>
      <c r="BH169" s="4504">
        <f t="shared" si="191"/>
        <v>0</v>
      </c>
      <c r="BI169" s="4504">
        <f t="shared" si="192"/>
        <v>0</v>
      </c>
      <c r="BJ169" s="4504">
        <f t="shared" si="193"/>
        <v>0</v>
      </c>
      <c r="BK169" s="4504">
        <f t="shared" si="194"/>
        <v>0</v>
      </c>
      <c r="BL169" s="4504">
        <f t="shared" si="195"/>
        <v>0</v>
      </c>
      <c r="BM169" s="4504">
        <f t="shared" si="196"/>
        <v>0</v>
      </c>
      <c r="BN169" s="4504">
        <f t="shared" si="197"/>
        <v>0</v>
      </c>
      <c r="BO169" s="4504">
        <f t="shared" si="198"/>
        <v>0</v>
      </c>
      <c r="BP169" s="4504">
        <f t="shared" si="199"/>
        <v>0</v>
      </c>
      <c r="BQ169" s="4504">
        <f t="shared" si="200"/>
        <v>0</v>
      </c>
      <c r="BR169" s="4504">
        <f t="shared" si="201"/>
        <v>0</v>
      </c>
      <c r="BS169" s="4504">
        <f t="shared" si="202"/>
        <v>0</v>
      </c>
      <c r="BT169" s="4504">
        <f t="shared" si="203"/>
        <v>0</v>
      </c>
      <c r="BU169" s="4504">
        <f t="shared" si="204"/>
        <v>0</v>
      </c>
      <c r="BV169" s="4504">
        <f t="shared" si="205"/>
        <v>0</v>
      </c>
      <c r="BW169" s="4504">
        <f t="shared" si="206"/>
        <v>0</v>
      </c>
      <c r="BX169" s="4504">
        <f t="shared" si="207"/>
        <v>0</v>
      </c>
      <c r="BY169" s="4504">
        <f t="shared" si="208"/>
        <v>0</v>
      </c>
    </row>
    <row r="170" spans="1:77" s="1323" customFormat="1" ht="24.6" thickBot="1">
      <c r="A170" s="2611">
        <v>19</v>
      </c>
      <c r="B170" s="2554">
        <v>215</v>
      </c>
      <c r="C170" s="2560">
        <v>0.2</v>
      </c>
      <c r="D170" s="2590" t="s">
        <v>679</v>
      </c>
      <c r="E170" s="4453">
        <f>+'11.3. ДА Базова година'!H130</f>
        <v>0</v>
      </c>
      <c r="F170" s="2674">
        <f t="shared" si="218"/>
        <v>14.8</v>
      </c>
      <c r="G170" s="2675">
        <f t="shared" si="218"/>
        <v>39.6</v>
      </c>
      <c r="H170" s="2675">
        <f t="shared" si="218"/>
        <v>64.400000000000006</v>
      </c>
      <c r="I170" s="2675">
        <f t="shared" si="218"/>
        <v>89.2</v>
      </c>
      <c r="J170" s="2675">
        <f t="shared" si="218"/>
        <v>114</v>
      </c>
      <c r="K170" s="2676">
        <f t="shared" si="218"/>
        <v>138.80000000000001</v>
      </c>
      <c r="L170" s="4453">
        <f>+'11.3. ДА Базова година'!L130</f>
        <v>0</v>
      </c>
      <c r="M170" s="2674">
        <f t="shared" si="219"/>
        <v>0</v>
      </c>
      <c r="N170" s="2675">
        <f t="shared" si="219"/>
        <v>0</v>
      </c>
      <c r="O170" s="2675">
        <f t="shared" si="219"/>
        <v>0</v>
      </c>
      <c r="P170" s="2675">
        <f t="shared" si="219"/>
        <v>0</v>
      </c>
      <c r="Q170" s="2675">
        <f t="shared" si="219"/>
        <v>0</v>
      </c>
      <c r="R170" s="2676">
        <f t="shared" si="219"/>
        <v>0</v>
      </c>
      <c r="S170" s="4453">
        <f>+'11.3. ДА Базова година'!P130</f>
        <v>0</v>
      </c>
      <c r="T170" s="2674">
        <f t="shared" si="220"/>
        <v>0</v>
      </c>
      <c r="U170" s="2675">
        <f t="shared" si="220"/>
        <v>0</v>
      </c>
      <c r="V170" s="2675">
        <f t="shared" si="220"/>
        <v>0</v>
      </c>
      <c r="W170" s="2675">
        <f t="shared" si="220"/>
        <v>0</v>
      </c>
      <c r="X170" s="2675">
        <f t="shared" si="220"/>
        <v>0</v>
      </c>
      <c r="Y170" s="2676">
        <f t="shared" si="220"/>
        <v>0</v>
      </c>
      <c r="Z170" s="4453">
        <f>+'11.3. ДА Базова година'!T130</f>
        <v>0</v>
      </c>
      <c r="AA170" s="2674">
        <f t="shared" si="221"/>
        <v>0</v>
      </c>
      <c r="AB170" s="2675">
        <f t="shared" si="221"/>
        <v>0</v>
      </c>
      <c r="AC170" s="2675">
        <f t="shared" si="221"/>
        <v>0</v>
      </c>
      <c r="AD170" s="2675">
        <f t="shared" si="221"/>
        <v>0</v>
      </c>
      <c r="AE170" s="2675">
        <f t="shared" si="221"/>
        <v>0</v>
      </c>
      <c r="AF170" s="2676">
        <f t="shared" si="221"/>
        <v>0</v>
      </c>
      <c r="AG170" s="4453">
        <f>+'11.3. ДА Базова година'!X130</f>
        <v>0</v>
      </c>
      <c r="AH170" s="2674">
        <f t="shared" si="222"/>
        <v>0</v>
      </c>
      <c r="AI170" s="2675">
        <f t="shared" si="222"/>
        <v>0</v>
      </c>
      <c r="AJ170" s="2675">
        <f t="shared" si="222"/>
        <v>0</v>
      </c>
      <c r="AK170" s="2675">
        <f t="shared" si="222"/>
        <v>0</v>
      </c>
      <c r="AL170" s="2675">
        <f t="shared" si="222"/>
        <v>0</v>
      </c>
      <c r="AM170" s="2676">
        <f t="shared" si="222"/>
        <v>0</v>
      </c>
      <c r="AN170" s="2551"/>
      <c r="AO170" s="2589"/>
      <c r="AP170" s="4488"/>
      <c r="AQ170" s="4504">
        <f t="shared" si="174"/>
        <v>0</v>
      </c>
      <c r="AR170" s="4504">
        <f t="shared" si="175"/>
        <v>7.5671198417040344</v>
      </c>
      <c r="AS170" s="4504">
        <f t="shared" si="176"/>
        <v>20.247158495370254</v>
      </c>
      <c r="AT170" s="4504">
        <f t="shared" si="177"/>
        <v>32.927197149036473</v>
      </c>
      <c r="AU170" s="4504">
        <f t="shared" si="178"/>
        <v>45.607235802702689</v>
      </c>
      <c r="AV170" s="4504">
        <f t="shared" si="179"/>
        <v>58.287274456368905</v>
      </c>
      <c r="AW170" s="4504">
        <f t="shared" si="180"/>
        <v>70.967313110035136</v>
      </c>
      <c r="AX170" s="4504">
        <f t="shared" si="181"/>
        <v>0</v>
      </c>
      <c r="AY170" s="4504">
        <f t="shared" si="182"/>
        <v>0</v>
      </c>
      <c r="AZ170" s="4504">
        <f t="shared" si="183"/>
        <v>0</v>
      </c>
      <c r="BA170" s="4504">
        <f t="shared" si="184"/>
        <v>0</v>
      </c>
      <c r="BB170" s="4504">
        <f t="shared" si="185"/>
        <v>0</v>
      </c>
      <c r="BC170" s="4504">
        <f t="shared" si="186"/>
        <v>0</v>
      </c>
      <c r="BD170" s="4504">
        <f t="shared" si="187"/>
        <v>0</v>
      </c>
      <c r="BE170" s="4504">
        <f t="shared" si="188"/>
        <v>0</v>
      </c>
      <c r="BF170" s="4504">
        <f t="shared" si="189"/>
        <v>0</v>
      </c>
      <c r="BG170" s="4504">
        <f t="shared" si="190"/>
        <v>0</v>
      </c>
      <c r="BH170" s="4504">
        <f t="shared" si="191"/>
        <v>0</v>
      </c>
      <c r="BI170" s="4504">
        <f t="shared" si="192"/>
        <v>0</v>
      </c>
      <c r="BJ170" s="4504">
        <f t="shared" si="193"/>
        <v>0</v>
      </c>
      <c r="BK170" s="4504">
        <f t="shared" si="194"/>
        <v>0</v>
      </c>
      <c r="BL170" s="4504">
        <f t="shared" si="195"/>
        <v>0</v>
      </c>
      <c r="BM170" s="4504">
        <f t="shared" si="196"/>
        <v>0</v>
      </c>
      <c r="BN170" s="4504">
        <f t="shared" si="197"/>
        <v>0</v>
      </c>
      <c r="BO170" s="4504">
        <f t="shared" si="198"/>
        <v>0</v>
      </c>
      <c r="BP170" s="4504">
        <f t="shared" si="199"/>
        <v>0</v>
      </c>
      <c r="BQ170" s="4504">
        <f t="shared" si="200"/>
        <v>0</v>
      </c>
      <c r="BR170" s="4504">
        <f t="shared" si="201"/>
        <v>0</v>
      </c>
      <c r="BS170" s="4504">
        <f t="shared" si="202"/>
        <v>0</v>
      </c>
      <c r="BT170" s="4504">
        <f t="shared" si="203"/>
        <v>0</v>
      </c>
      <c r="BU170" s="4504">
        <f t="shared" si="204"/>
        <v>0</v>
      </c>
      <c r="BV170" s="4504">
        <f t="shared" si="205"/>
        <v>0</v>
      </c>
      <c r="BW170" s="4504">
        <f t="shared" si="206"/>
        <v>0</v>
      </c>
      <c r="BX170" s="4504">
        <f t="shared" si="207"/>
        <v>0</v>
      </c>
      <c r="BY170" s="4504">
        <f t="shared" si="208"/>
        <v>0</v>
      </c>
    </row>
    <row r="171" spans="1:77" s="1323" customFormat="1" ht="13.8" thickBot="1">
      <c r="A171" s="3746" t="s">
        <v>221</v>
      </c>
      <c r="B171" s="2577"/>
      <c r="C171" s="2577"/>
      <c r="D171" s="2613" t="s">
        <v>222</v>
      </c>
      <c r="E171" s="1246">
        <f t="shared" ref="E171" si="223">SUM(E172:E190)</f>
        <v>4083.8925362873597</v>
      </c>
      <c r="F171" s="2670">
        <f t="shared" ref="F171:AM171" si="224">SUM(F172:F190)</f>
        <v>4705.6854599046892</v>
      </c>
      <c r="G171" s="1147">
        <f t="shared" si="224"/>
        <v>5117.5262781733918</v>
      </c>
      <c r="H171" s="1147">
        <f t="shared" si="224"/>
        <v>5503.8456202740499</v>
      </c>
      <c r="I171" s="1148">
        <f t="shared" si="224"/>
        <v>5889.7709525627397</v>
      </c>
      <c r="J171" s="1147">
        <f t="shared" si="224"/>
        <v>6253.7772566464064</v>
      </c>
      <c r="K171" s="1147">
        <f t="shared" si="224"/>
        <v>6573.1193591549536</v>
      </c>
      <c r="L171" s="1246">
        <f t="shared" si="224"/>
        <v>75.280409999999989</v>
      </c>
      <c r="M171" s="2670">
        <f t="shared" si="224"/>
        <v>102.90468647948717</v>
      </c>
      <c r="N171" s="1147">
        <f t="shared" si="224"/>
        <v>149.20553174545987</v>
      </c>
      <c r="O171" s="1147">
        <f t="shared" si="224"/>
        <v>195.23390576935458</v>
      </c>
      <c r="P171" s="1148">
        <f t="shared" si="224"/>
        <v>240.9622294633289</v>
      </c>
      <c r="Q171" s="1147">
        <f t="shared" si="224"/>
        <v>286.38387638515229</v>
      </c>
      <c r="R171" s="1147">
        <f t="shared" si="224"/>
        <v>331.4913454611027</v>
      </c>
      <c r="S171" s="1246">
        <f t="shared" si="224"/>
        <v>314.46259000000015</v>
      </c>
      <c r="T171" s="2670">
        <f t="shared" si="224"/>
        <v>301.034701648718</v>
      </c>
      <c r="U171" s="1147">
        <f t="shared" si="224"/>
        <v>338.61484985957543</v>
      </c>
      <c r="V171" s="1147">
        <f t="shared" si="224"/>
        <v>374.49894548055715</v>
      </c>
      <c r="W171" s="1148">
        <f t="shared" si="224"/>
        <v>408.54710124342705</v>
      </c>
      <c r="X171" s="1147">
        <f t="shared" si="224"/>
        <v>440.71096198346976</v>
      </c>
      <c r="Y171" s="2671">
        <f t="shared" si="224"/>
        <v>470.95320214450476</v>
      </c>
      <c r="Z171" s="1246">
        <f t="shared" si="224"/>
        <v>0</v>
      </c>
      <c r="AA171" s="2670">
        <f t="shared" si="224"/>
        <v>0</v>
      </c>
      <c r="AB171" s="1147">
        <f t="shared" si="224"/>
        <v>0</v>
      </c>
      <c r="AC171" s="1147">
        <f t="shared" si="224"/>
        <v>0</v>
      </c>
      <c r="AD171" s="1148">
        <f t="shared" si="224"/>
        <v>0</v>
      </c>
      <c r="AE171" s="1147">
        <f t="shared" si="224"/>
        <v>0</v>
      </c>
      <c r="AF171" s="2671">
        <f t="shared" si="224"/>
        <v>0</v>
      </c>
      <c r="AG171" s="1246">
        <f t="shared" si="224"/>
        <v>186.22304371263877</v>
      </c>
      <c r="AH171" s="2670">
        <f t="shared" si="224"/>
        <v>185.40434176710517</v>
      </c>
      <c r="AI171" s="1147">
        <f t="shared" si="224"/>
        <v>447.67563982157151</v>
      </c>
      <c r="AJ171" s="1147">
        <f t="shared" si="224"/>
        <v>545.9969378760378</v>
      </c>
      <c r="AK171" s="1148">
        <f t="shared" si="224"/>
        <v>633.46823593050431</v>
      </c>
      <c r="AL171" s="1147">
        <f t="shared" si="224"/>
        <v>739.88953398497063</v>
      </c>
      <c r="AM171" s="2671">
        <f t="shared" si="224"/>
        <v>840.0108320394371</v>
      </c>
      <c r="AN171" s="2546"/>
      <c r="AO171" s="2589"/>
      <c r="AP171" s="4488"/>
      <c r="AQ171" s="4504">
        <f t="shared" si="174"/>
        <v>2088.06109748156</v>
      </c>
      <c r="AR171" s="4504">
        <f t="shared" si="175"/>
        <v>2405.9787711123613</v>
      </c>
      <c r="AS171" s="4504">
        <f t="shared" si="176"/>
        <v>2616.5496378383559</v>
      </c>
      <c r="AT171" s="4504">
        <f t="shared" si="177"/>
        <v>2814.0715810034872</v>
      </c>
      <c r="AU171" s="4504">
        <f t="shared" si="178"/>
        <v>3011.3920701506468</v>
      </c>
      <c r="AV171" s="4504">
        <f t="shared" si="179"/>
        <v>3197.5055381328675</v>
      </c>
      <c r="AW171" s="4504">
        <f t="shared" si="180"/>
        <v>3360.7825624696184</v>
      </c>
      <c r="AX171" s="4504">
        <f t="shared" si="181"/>
        <v>38.490262446122614</v>
      </c>
      <c r="AY171" s="4504">
        <f t="shared" si="182"/>
        <v>52.614330734004064</v>
      </c>
      <c r="AZ171" s="4504">
        <f t="shared" si="183"/>
        <v>76.287577011018271</v>
      </c>
      <c r="BA171" s="4504">
        <f t="shared" si="184"/>
        <v>99.821510954098557</v>
      </c>
      <c r="BB171" s="4504">
        <f t="shared" si="185"/>
        <v>123.20203159954029</v>
      </c>
      <c r="BC171" s="4504">
        <f t="shared" si="186"/>
        <v>146.4257509012298</v>
      </c>
      <c r="BD171" s="4504">
        <f t="shared" si="187"/>
        <v>169.48883362107276</v>
      </c>
      <c r="BE171" s="4504">
        <f t="shared" si="188"/>
        <v>160.78216920693524</v>
      </c>
      <c r="BF171" s="4504">
        <f t="shared" si="189"/>
        <v>153.91659891131539</v>
      </c>
      <c r="BG171" s="4504">
        <f t="shared" si="190"/>
        <v>173.13102358567741</v>
      </c>
      <c r="BH171" s="4504">
        <f t="shared" si="191"/>
        <v>191.47827034075414</v>
      </c>
      <c r="BI171" s="4504">
        <f t="shared" si="192"/>
        <v>208.88681595201376</v>
      </c>
      <c r="BJ171" s="4504">
        <f t="shared" si="193"/>
        <v>225.33193681632338</v>
      </c>
      <c r="BK171" s="4504">
        <f t="shared" si="194"/>
        <v>240.7945486798468</v>
      </c>
      <c r="BL171" s="4504">
        <f t="shared" si="195"/>
        <v>0</v>
      </c>
      <c r="BM171" s="4504">
        <f t="shared" si="196"/>
        <v>0</v>
      </c>
      <c r="BN171" s="4504">
        <f t="shared" si="197"/>
        <v>0</v>
      </c>
      <c r="BO171" s="4504">
        <f t="shared" si="198"/>
        <v>0</v>
      </c>
      <c r="BP171" s="4504">
        <f t="shared" si="199"/>
        <v>0</v>
      </c>
      <c r="BQ171" s="4504">
        <f t="shared" si="200"/>
        <v>0</v>
      </c>
      <c r="BR171" s="4504">
        <f t="shared" si="201"/>
        <v>0</v>
      </c>
      <c r="BS171" s="4504">
        <f t="shared" si="202"/>
        <v>95.2143303419207</v>
      </c>
      <c r="BT171" s="4504">
        <f t="shared" si="203"/>
        <v>94.795734684049819</v>
      </c>
      <c r="BU171" s="4504">
        <f t="shared" si="204"/>
        <v>228.89292005009204</v>
      </c>
      <c r="BV171" s="4504">
        <f t="shared" si="205"/>
        <v>279.16380149401419</v>
      </c>
      <c r="BW171" s="4504">
        <f t="shared" si="206"/>
        <v>323.88716602695752</v>
      </c>
      <c r="BX171" s="4504">
        <f t="shared" si="207"/>
        <v>378.29951170856907</v>
      </c>
      <c r="BY171" s="4504">
        <f t="shared" si="208"/>
        <v>429.4907185386445</v>
      </c>
    </row>
    <row r="172" spans="1:77" s="1323" customFormat="1">
      <c r="A172" s="2553">
        <v>1</v>
      </c>
      <c r="B172" s="2547">
        <v>20102</v>
      </c>
      <c r="C172" s="2571">
        <v>0</v>
      </c>
      <c r="D172" s="2601" t="s">
        <v>558</v>
      </c>
      <c r="E172" s="2677">
        <f>E112-E152</f>
        <v>0</v>
      </c>
      <c r="F172" s="2643">
        <f t="shared" ref="F172:L187" si="225">F112-F152</f>
        <v>0</v>
      </c>
      <c r="G172" s="2641">
        <f t="shared" si="225"/>
        <v>0</v>
      </c>
      <c r="H172" s="2641">
        <f t="shared" si="225"/>
        <v>0</v>
      </c>
      <c r="I172" s="2641">
        <f t="shared" si="225"/>
        <v>0</v>
      </c>
      <c r="J172" s="2641">
        <f t="shared" si="225"/>
        <v>0</v>
      </c>
      <c r="K172" s="2642">
        <f t="shared" si="225"/>
        <v>0</v>
      </c>
      <c r="L172" s="2677">
        <f>L112-L152</f>
        <v>0</v>
      </c>
      <c r="M172" s="2643">
        <f t="shared" ref="M172:S187" si="226">M112-M152</f>
        <v>0</v>
      </c>
      <c r="N172" s="2641">
        <f t="shared" si="226"/>
        <v>0</v>
      </c>
      <c r="O172" s="2641">
        <f t="shared" si="226"/>
        <v>0</v>
      </c>
      <c r="P172" s="2641">
        <f t="shared" si="226"/>
        <v>0</v>
      </c>
      <c r="Q172" s="2641">
        <f t="shared" si="226"/>
        <v>0</v>
      </c>
      <c r="R172" s="2642">
        <f t="shared" si="226"/>
        <v>0</v>
      </c>
      <c r="S172" s="2677">
        <f>S112-S152</f>
        <v>0</v>
      </c>
      <c r="T172" s="2643">
        <f t="shared" ref="T172:Z187" si="227">T112-T152</f>
        <v>0</v>
      </c>
      <c r="U172" s="2641">
        <f t="shared" si="227"/>
        <v>0</v>
      </c>
      <c r="V172" s="2641">
        <f t="shared" si="227"/>
        <v>0</v>
      </c>
      <c r="W172" s="2641">
        <f t="shared" si="227"/>
        <v>0</v>
      </c>
      <c r="X172" s="2641">
        <f t="shared" si="227"/>
        <v>0</v>
      </c>
      <c r="Y172" s="2642">
        <f t="shared" si="227"/>
        <v>0</v>
      </c>
      <c r="Z172" s="2677">
        <f>Z112-Z152</f>
        <v>0</v>
      </c>
      <c r="AA172" s="2643">
        <f t="shared" ref="AA172:AM187" si="228">AA112-AA152</f>
        <v>0</v>
      </c>
      <c r="AB172" s="2641">
        <f t="shared" si="228"/>
        <v>0</v>
      </c>
      <c r="AC172" s="2641">
        <f t="shared" si="228"/>
        <v>0</v>
      </c>
      <c r="AD172" s="2641">
        <f t="shared" si="228"/>
        <v>0</v>
      </c>
      <c r="AE172" s="2641">
        <f t="shared" si="228"/>
        <v>0</v>
      </c>
      <c r="AF172" s="2642">
        <f t="shared" si="228"/>
        <v>0</v>
      </c>
      <c r="AG172" s="2677">
        <f>AG112-AG152</f>
        <v>0</v>
      </c>
      <c r="AH172" s="2643">
        <f t="shared" ref="AH172:AM173" si="229">AH112-AH152</f>
        <v>0</v>
      </c>
      <c r="AI172" s="2641">
        <f t="shared" si="229"/>
        <v>0</v>
      </c>
      <c r="AJ172" s="2641">
        <f t="shared" si="229"/>
        <v>0</v>
      </c>
      <c r="AK172" s="2641">
        <f t="shared" si="229"/>
        <v>0</v>
      </c>
      <c r="AL172" s="2641">
        <f t="shared" si="229"/>
        <v>0</v>
      </c>
      <c r="AM172" s="2642">
        <f t="shared" si="229"/>
        <v>0</v>
      </c>
      <c r="AN172" s="2551"/>
      <c r="AO172" s="2589"/>
      <c r="AP172" s="4488"/>
      <c r="AQ172" s="4504">
        <f t="shared" si="174"/>
        <v>0</v>
      </c>
      <c r="AR172" s="4504">
        <f t="shared" si="175"/>
        <v>0</v>
      </c>
      <c r="AS172" s="4504">
        <f t="shared" si="176"/>
        <v>0</v>
      </c>
      <c r="AT172" s="4504">
        <f t="shared" si="177"/>
        <v>0</v>
      </c>
      <c r="AU172" s="4504">
        <f t="shared" si="178"/>
        <v>0</v>
      </c>
      <c r="AV172" s="4504">
        <f t="shared" si="179"/>
        <v>0</v>
      </c>
      <c r="AW172" s="4504">
        <f t="shared" si="180"/>
        <v>0</v>
      </c>
      <c r="AX172" s="4504">
        <f t="shared" si="181"/>
        <v>0</v>
      </c>
      <c r="AY172" s="4504">
        <f t="shared" si="182"/>
        <v>0</v>
      </c>
      <c r="AZ172" s="4504">
        <f t="shared" si="183"/>
        <v>0</v>
      </c>
      <c r="BA172" s="4504">
        <f t="shared" si="184"/>
        <v>0</v>
      </c>
      <c r="BB172" s="4504">
        <f t="shared" si="185"/>
        <v>0</v>
      </c>
      <c r="BC172" s="4504">
        <f t="shared" si="186"/>
        <v>0</v>
      </c>
      <c r="BD172" s="4504">
        <f t="shared" si="187"/>
        <v>0</v>
      </c>
      <c r="BE172" s="4504">
        <f t="shared" si="188"/>
        <v>0</v>
      </c>
      <c r="BF172" s="4504">
        <f t="shared" si="189"/>
        <v>0</v>
      </c>
      <c r="BG172" s="4504">
        <f t="shared" si="190"/>
        <v>0</v>
      </c>
      <c r="BH172" s="4504">
        <f t="shared" si="191"/>
        <v>0</v>
      </c>
      <c r="BI172" s="4504">
        <f t="shared" si="192"/>
        <v>0</v>
      </c>
      <c r="BJ172" s="4504">
        <f t="shared" si="193"/>
        <v>0</v>
      </c>
      <c r="BK172" s="4504">
        <f t="shared" si="194"/>
        <v>0</v>
      </c>
      <c r="BL172" s="4504">
        <f t="shared" si="195"/>
        <v>0</v>
      </c>
      <c r="BM172" s="4504">
        <f t="shared" si="196"/>
        <v>0</v>
      </c>
      <c r="BN172" s="4504">
        <f t="shared" si="197"/>
        <v>0</v>
      </c>
      <c r="BO172" s="4504">
        <f t="shared" si="198"/>
        <v>0</v>
      </c>
      <c r="BP172" s="4504">
        <f t="shared" si="199"/>
        <v>0</v>
      </c>
      <c r="BQ172" s="4504">
        <f t="shared" si="200"/>
        <v>0</v>
      </c>
      <c r="BR172" s="4504">
        <f t="shared" si="201"/>
        <v>0</v>
      </c>
      <c r="BS172" s="4504">
        <f t="shared" si="202"/>
        <v>0</v>
      </c>
      <c r="BT172" s="4504">
        <f t="shared" si="203"/>
        <v>0</v>
      </c>
      <c r="BU172" s="4504">
        <f t="shared" si="204"/>
        <v>0</v>
      </c>
      <c r="BV172" s="4504">
        <f t="shared" si="205"/>
        <v>0</v>
      </c>
      <c r="BW172" s="4504">
        <f t="shared" si="206"/>
        <v>0</v>
      </c>
      <c r="BX172" s="4504">
        <f t="shared" si="207"/>
        <v>0</v>
      </c>
      <c r="BY172" s="4504">
        <f t="shared" si="208"/>
        <v>0</v>
      </c>
    </row>
    <row r="173" spans="1:77" s="1323" customFormat="1">
      <c r="A173" s="2553">
        <v>2</v>
      </c>
      <c r="B173" s="2554">
        <v>20202</v>
      </c>
      <c r="C173" s="2555">
        <v>0.03</v>
      </c>
      <c r="D173" s="2609" t="s">
        <v>426</v>
      </c>
      <c r="E173" s="2678">
        <f>E113-E153</f>
        <v>53.479583583653096</v>
      </c>
      <c r="F173" s="1228">
        <f t="shared" si="225"/>
        <v>70.958862272548544</v>
      </c>
      <c r="G173" s="1224">
        <f t="shared" si="225"/>
        <v>76.018140961443976</v>
      </c>
      <c r="H173" s="1224">
        <f t="shared" si="225"/>
        <v>80.837419650339413</v>
      </c>
      <c r="I173" s="1224">
        <f t="shared" si="225"/>
        <v>85.416698339234856</v>
      </c>
      <c r="J173" s="1224">
        <f t="shared" si="225"/>
        <v>89.755977028130289</v>
      </c>
      <c r="K173" s="1229">
        <f t="shared" si="225"/>
        <v>93.855255717025713</v>
      </c>
      <c r="L173" s="2678">
        <f>L113-L153</f>
        <v>0</v>
      </c>
      <c r="M173" s="1228">
        <f t="shared" si="226"/>
        <v>0</v>
      </c>
      <c r="N173" s="1224">
        <f t="shared" si="226"/>
        <v>0</v>
      </c>
      <c r="O173" s="1224">
        <f t="shared" si="226"/>
        <v>0</v>
      </c>
      <c r="P173" s="1224">
        <f t="shared" si="226"/>
        <v>0</v>
      </c>
      <c r="Q173" s="1224">
        <f t="shared" si="226"/>
        <v>0</v>
      </c>
      <c r="R173" s="1229">
        <f t="shared" si="226"/>
        <v>0</v>
      </c>
      <c r="S173" s="2678">
        <f>S113-S153</f>
        <v>63.605060000000009</v>
      </c>
      <c r="T173" s="1228">
        <f t="shared" si="227"/>
        <v>61.493692700000011</v>
      </c>
      <c r="U173" s="1224">
        <f t="shared" si="227"/>
        <v>59.382325400000013</v>
      </c>
      <c r="V173" s="1224">
        <f t="shared" si="227"/>
        <v>57.270958100000016</v>
      </c>
      <c r="W173" s="1224">
        <f t="shared" si="227"/>
        <v>55.159590800000011</v>
      </c>
      <c r="X173" s="1224">
        <f t="shared" si="227"/>
        <v>53.048223500000006</v>
      </c>
      <c r="Y173" s="1229">
        <f t="shared" si="227"/>
        <v>50.936856200000008</v>
      </c>
      <c r="Z173" s="2678">
        <f>Z113-Z153</f>
        <v>0</v>
      </c>
      <c r="AA173" s="1228">
        <f t="shared" si="228"/>
        <v>0</v>
      </c>
      <c r="AB173" s="1224">
        <f t="shared" si="228"/>
        <v>0</v>
      </c>
      <c r="AC173" s="1224">
        <f t="shared" si="228"/>
        <v>0</v>
      </c>
      <c r="AD173" s="1224">
        <f t="shared" si="228"/>
        <v>0</v>
      </c>
      <c r="AE173" s="1224">
        <f t="shared" si="228"/>
        <v>0</v>
      </c>
      <c r="AF173" s="1229">
        <f t="shared" si="228"/>
        <v>0</v>
      </c>
      <c r="AG173" s="2678">
        <f>AG113-AG153</f>
        <v>8.7275364163469096</v>
      </c>
      <c r="AH173" s="1228">
        <f t="shared" si="229"/>
        <v>8.4900577274514699</v>
      </c>
      <c r="AI173" s="1224">
        <f t="shared" si="229"/>
        <v>8.252579038556032</v>
      </c>
      <c r="AJ173" s="1224">
        <f t="shared" si="229"/>
        <v>8.0151003496605941</v>
      </c>
      <c r="AK173" s="1224">
        <f t="shared" si="229"/>
        <v>7.7776216607651554</v>
      </c>
      <c r="AL173" s="1224">
        <f t="shared" si="229"/>
        <v>7.5401429718697166</v>
      </c>
      <c r="AM173" s="1229">
        <f t="shared" si="229"/>
        <v>7.3026642829742787</v>
      </c>
      <c r="AN173" s="2551"/>
      <c r="AO173" s="2589"/>
      <c r="AP173" s="4488"/>
      <c r="AQ173" s="4504">
        <f t="shared" si="174"/>
        <v>27.343676896076396</v>
      </c>
      <c r="AR173" s="4504">
        <f t="shared" si="175"/>
        <v>36.280690178874721</v>
      </c>
      <c r="AS173" s="4504">
        <f t="shared" si="176"/>
        <v>38.867458297216004</v>
      </c>
      <c r="AT173" s="4504">
        <f t="shared" si="177"/>
        <v>41.331516364070197</v>
      </c>
      <c r="AU173" s="4504">
        <f t="shared" si="178"/>
        <v>43.6728643794373</v>
      </c>
      <c r="AV173" s="4504">
        <f t="shared" si="179"/>
        <v>45.891502343317306</v>
      </c>
      <c r="AW173" s="4504">
        <f t="shared" si="180"/>
        <v>47.987430255710215</v>
      </c>
      <c r="AX173" s="4504">
        <f t="shared" si="181"/>
        <v>0</v>
      </c>
      <c r="AY173" s="4504">
        <f t="shared" si="182"/>
        <v>0</v>
      </c>
      <c r="AZ173" s="4504">
        <f t="shared" si="183"/>
        <v>0</v>
      </c>
      <c r="BA173" s="4504">
        <f t="shared" si="184"/>
        <v>0</v>
      </c>
      <c r="BB173" s="4504">
        <f t="shared" si="185"/>
        <v>0</v>
      </c>
      <c r="BC173" s="4504">
        <f t="shared" si="186"/>
        <v>0</v>
      </c>
      <c r="BD173" s="4504">
        <f t="shared" si="187"/>
        <v>0</v>
      </c>
      <c r="BE173" s="4504">
        <f t="shared" si="188"/>
        <v>32.520750780998355</v>
      </c>
      <c r="BF173" s="4504">
        <f t="shared" si="189"/>
        <v>31.441225822285173</v>
      </c>
      <c r="BG173" s="4504">
        <f t="shared" si="190"/>
        <v>30.361700863571993</v>
      </c>
      <c r="BH173" s="4504">
        <f t="shared" si="191"/>
        <v>29.282175904858814</v>
      </c>
      <c r="BI173" s="4504">
        <f t="shared" si="192"/>
        <v>28.202650946145631</v>
      </c>
      <c r="BJ173" s="4504">
        <f t="shared" si="193"/>
        <v>27.123125987432449</v>
      </c>
      <c r="BK173" s="4504">
        <f t="shared" si="194"/>
        <v>26.043601028719269</v>
      </c>
      <c r="BL173" s="4504">
        <f t="shared" si="195"/>
        <v>0</v>
      </c>
      <c r="BM173" s="4504">
        <f t="shared" si="196"/>
        <v>0</v>
      </c>
      <c r="BN173" s="4504">
        <f t="shared" si="197"/>
        <v>0</v>
      </c>
      <c r="BO173" s="4504">
        <f t="shared" si="198"/>
        <v>0</v>
      </c>
      <c r="BP173" s="4504">
        <f t="shared" si="199"/>
        <v>0</v>
      </c>
      <c r="BQ173" s="4504">
        <f t="shared" si="200"/>
        <v>0</v>
      </c>
      <c r="BR173" s="4504">
        <f t="shared" si="201"/>
        <v>0</v>
      </c>
      <c r="BS173" s="4504">
        <f t="shared" si="202"/>
        <v>4.4623185125225149</v>
      </c>
      <c r="BT173" s="4504">
        <f t="shared" si="203"/>
        <v>4.3408975869331536</v>
      </c>
      <c r="BU173" s="4504">
        <f t="shared" si="204"/>
        <v>4.2194766613437942</v>
      </c>
      <c r="BV173" s="4504">
        <f t="shared" si="205"/>
        <v>4.0980557357544338</v>
      </c>
      <c r="BW173" s="4504">
        <f t="shared" si="206"/>
        <v>3.9766348101650735</v>
      </c>
      <c r="BX173" s="4504">
        <f t="shared" si="207"/>
        <v>3.8552138845757131</v>
      </c>
      <c r="BY173" s="4504">
        <f t="shared" si="208"/>
        <v>3.7337929589863532</v>
      </c>
    </row>
    <row r="174" spans="1:77" s="1323" customFormat="1">
      <c r="A174" s="2553">
        <v>3</v>
      </c>
      <c r="B174" s="2554">
        <v>2030401</v>
      </c>
      <c r="C174" s="2560">
        <v>0.1</v>
      </c>
      <c r="D174" s="2590" t="s">
        <v>1031</v>
      </c>
      <c r="E174" s="2678">
        <f t="shared" ref="E174:E190" si="230">E114-E154</f>
        <v>303.28120001901272</v>
      </c>
      <c r="F174" s="1228">
        <f t="shared" si="225"/>
        <v>451.45041539749047</v>
      </c>
      <c r="G174" s="1224">
        <f t="shared" si="225"/>
        <v>423.81963077596834</v>
      </c>
      <c r="H174" s="1224">
        <f t="shared" si="225"/>
        <v>392.58884615444617</v>
      </c>
      <c r="I174" s="1224">
        <f t="shared" si="225"/>
        <v>357.75806153292399</v>
      </c>
      <c r="J174" s="1224">
        <f t="shared" si="225"/>
        <v>319.32727691140184</v>
      </c>
      <c r="K174" s="1229">
        <f t="shared" si="225"/>
        <v>277.29649228987967</v>
      </c>
      <c r="L174" s="2678">
        <f t="shared" si="225"/>
        <v>0</v>
      </c>
      <c r="M174" s="1228">
        <f t="shared" si="226"/>
        <v>0</v>
      </c>
      <c r="N174" s="1224">
        <f t="shared" si="226"/>
        <v>0</v>
      </c>
      <c r="O174" s="1224">
        <f t="shared" si="226"/>
        <v>0</v>
      </c>
      <c r="P174" s="1224">
        <f t="shared" si="226"/>
        <v>0</v>
      </c>
      <c r="Q174" s="1224">
        <f t="shared" si="226"/>
        <v>0</v>
      </c>
      <c r="R174" s="1229">
        <f t="shared" si="226"/>
        <v>0</v>
      </c>
      <c r="S174" s="2678">
        <f t="shared" si="226"/>
        <v>62.300159999999991</v>
      </c>
      <c r="T174" s="1228">
        <f t="shared" si="227"/>
        <v>53.94880049999999</v>
      </c>
      <c r="U174" s="1224">
        <f t="shared" si="227"/>
        <v>45.597440999999989</v>
      </c>
      <c r="V174" s="1224">
        <f t="shared" si="227"/>
        <v>37.246081499999988</v>
      </c>
      <c r="W174" s="1224">
        <f t="shared" si="227"/>
        <v>28.894721999999987</v>
      </c>
      <c r="X174" s="1224">
        <f t="shared" si="227"/>
        <v>20.543362499999986</v>
      </c>
      <c r="Y174" s="1229">
        <f t="shared" si="227"/>
        <v>12.192002999999985</v>
      </c>
      <c r="Z174" s="2678">
        <f t="shared" si="227"/>
        <v>0</v>
      </c>
      <c r="AA174" s="1228">
        <f t="shared" si="228"/>
        <v>0</v>
      </c>
      <c r="AB174" s="1224">
        <f t="shared" si="228"/>
        <v>0</v>
      </c>
      <c r="AC174" s="1224">
        <f t="shared" si="228"/>
        <v>0</v>
      </c>
      <c r="AD174" s="1224">
        <f t="shared" si="228"/>
        <v>0</v>
      </c>
      <c r="AE174" s="1224">
        <f t="shared" si="228"/>
        <v>0</v>
      </c>
      <c r="AF174" s="1229">
        <f t="shared" si="228"/>
        <v>0</v>
      </c>
      <c r="AG174" s="2678">
        <f t="shared" si="228"/>
        <v>63.402159980987356</v>
      </c>
      <c r="AH174" s="1228">
        <f t="shared" si="228"/>
        <v>66.811725102509484</v>
      </c>
      <c r="AI174" s="1224">
        <f t="shared" si="228"/>
        <v>111.47129022403161</v>
      </c>
      <c r="AJ174" s="1224">
        <f t="shared" si="228"/>
        <v>121.63085534555373</v>
      </c>
      <c r="AK174" s="1224">
        <f t="shared" si="228"/>
        <v>128.79042046707585</v>
      </c>
      <c r="AL174" s="1224">
        <f t="shared" si="228"/>
        <v>132.94998558859797</v>
      </c>
      <c r="AM174" s="1229">
        <f t="shared" si="228"/>
        <v>134.10955071012009</v>
      </c>
      <c r="AN174" s="2551"/>
      <c r="AO174" s="2589"/>
      <c r="AP174" s="4488"/>
      <c r="AQ174" s="4504">
        <f t="shared" si="174"/>
        <v>155.06521528916764</v>
      </c>
      <c r="AR174" s="4504">
        <f t="shared" si="175"/>
        <v>230.82293215539718</v>
      </c>
      <c r="AS174" s="4504">
        <f t="shared" si="176"/>
        <v>216.69553630733159</v>
      </c>
      <c r="AT174" s="4504">
        <f t="shared" si="177"/>
        <v>200.72748968695959</v>
      </c>
      <c r="AU174" s="4504">
        <f t="shared" si="178"/>
        <v>182.91879229428119</v>
      </c>
      <c r="AV174" s="4504">
        <f t="shared" si="179"/>
        <v>163.26944412929643</v>
      </c>
      <c r="AW174" s="4504">
        <f t="shared" si="180"/>
        <v>141.77944519200528</v>
      </c>
      <c r="AX174" s="4504">
        <f t="shared" si="181"/>
        <v>0</v>
      </c>
      <c r="AY174" s="4504">
        <f t="shared" si="182"/>
        <v>0</v>
      </c>
      <c r="AZ174" s="4504">
        <f t="shared" si="183"/>
        <v>0</v>
      </c>
      <c r="BA174" s="4504">
        <f t="shared" si="184"/>
        <v>0</v>
      </c>
      <c r="BB174" s="4504">
        <f t="shared" si="185"/>
        <v>0</v>
      </c>
      <c r="BC174" s="4504">
        <f t="shared" si="186"/>
        <v>0</v>
      </c>
      <c r="BD174" s="4504">
        <f t="shared" si="187"/>
        <v>0</v>
      </c>
      <c r="BE174" s="4504">
        <f t="shared" si="188"/>
        <v>31.853566005225399</v>
      </c>
      <c r="BF174" s="4504">
        <f t="shared" si="189"/>
        <v>27.583583695924489</v>
      </c>
      <c r="BG174" s="4504">
        <f t="shared" si="190"/>
        <v>23.313601386623578</v>
      </c>
      <c r="BH174" s="4504">
        <f t="shared" si="191"/>
        <v>19.043619077322667</v>
      </c>
      <c r="BI174" s="4504">
        <f t="shared" si="192"/>
        <v>14.773636768021754</v>
      </c>
      <c r="BJ174" s="4504">
        <f t="shared" si="193"/>
        <v>10.503654458720844</v>
      </c>
      <c r="BK174" s="4504">
        <f t="shared" si="194"/>
        <v>6.2336721494199319</v>
      </c>
      <c r="BL174" s="4504">
        <f t="shared" si="195"/>
        <v>0</v>
      </c>
      <c r="BM174" s="4504">
        <f t="shared" si="196"/>
        <v>0</v>
      </c>
      <c r="BN174" s="4504">
        <f t="shared" si="197"/>
        <v>0</v>
      </c>
      <c r="BO174" s="4504">
        <f t="shared" si="198"/>
        <v>0</v>
      </c>
      <c r="BP174" s="4504">
        <f t="shared" si="199"/>
        <v>0</v>
      </c>
      <c r="BQ174" s="4504">
        <f t="shared" si="200"/>
        <v>0</v>
      </c>
      <c r="BR174" s="4504">
        <f t="shared" si="201"/>
        <v>0</v>
      </c>
      <c r="BS174" s="4504">
        <f t="shared" si="202"/>
        <v>32.417009648582628</v>
      </c>
      <c r="BT174" s="4504">
        <f t="shared" si="203"/>
        <v>34.160292613626687</v>
      </c>
      <c r="BU174" s="4504">
        <f t="shared" si="204"/>
        <v>56.994365678014759</v>
      </c>
      <c r="BV174" s="4504">
        <f t="shared" si="205"/>
        <v>62.188868841133292</v>
      </c>
      <c r="BW174" s="4504">
        <f t="shared" si="206"/>
        <v>65.849496360663167</v>
      </c>
      <c r="BX174" s="4504">
        <f t="shared" si="207"/>
        <v>67.976248236604391</v>
      </c>
      <c r="BY174" s="4504">
        <f t="shared" si="208"/>
        <v>68.569124468956957</v>
      </c>
    </row>
    <row r="175" spans="1:77" s="1323" customFormat="1">
      <c r="A175" s="2553">
        <v>4</v>
      </c>
      <c r="B175" s="2554">
        <v>2030402</v>
      </c>
      <c r="C175" s="2560">
        <v>0.1</v>
      </c>
      <c r="D175" s="2590" t="s">
        <v>429</v>
      </c>
      <c r="E175" s="2678">
        <f t="shared" si="230"/>
        <v>8.8293680383982043</v>
      </c>
      <c r="F175" s="1228">
        <f t="shared" si="225"/>
        <v>7.7012398084056271</v>
      </c>
      <c r="G175" s="1224">
        <f t="shared" si="225"/>
        <v>6.5731115784130489</v>
      </c>
      <c r="H175" s="1224">
        <f t="shared" si="225"/>
        <v>5.4449833484204708</v>
      </c>
      <c r="I175" s="1224">
        <f t="shared" si="225"/>
        <v>4.3168551184278927</v>
      </c>
      <c r="J175" s="1224">
        <f t="shared" si="225"/>
        <v>3.1887268884353137</v>
      </c>
      <c r="K175" s="1229">
        <f t="shared" si="225"/>
        <v>2.0605986584427356</v>
      </c>
      <c r="L175" s="2678">
        <f t="shared" si="225"/>
        <v>0</v>
      </c>
      <c r="M175" s="1228">
        <f t="shared" si="226"/>
        <v>0</v>
      </c>
      <c r="N175" s="1224">
        <f t="shared" si="226"/>
        <v>0</v>
      </c>
      <c r="O175" s="1224">
        <f t="shared" si="226"/>
        <v>0</v>
      </c>
      <c r="P175" s="1224">
        <f t="shared" si="226"/>
        <v>0</v>
      </c>
      <c r="Q175" s="1224">
        <f t="shared" si="226"/>
        <v>0</v>
      </c>
      <c r="R175" s="1229">
        <f t="shared" si="226"/>
        <v>0</v>
      </c>
      <c r="S175" s="2678">
        <f t="shared" si="226"/>
        <v>0</v>
      </c>
      <c r="T175" s="1228">
        <f t="shared" si="227"/>
        <v>0</v>
      </c>
      <c r="U175" s="1224">
        <f t="shared" si="227"/>
        <v>0</v>
      </c>
      <c r="V175" s="1224">
        <f t="shared" si="227"/>
        <v>0</v>
      </c>
      <c r="W175" s="1224">
        <f t="shared" si="227"/>
        <v>0</v>
      </c>
      <c r="X175" s="1224">
        <f t="shared" si="227"/>
        <v>0</v>
      </c>
      <c r="Y175" s="1229">
        <f t="shared" si="227"/>
        <v>0</v>
      </c>
      <c r="Z175" s="2678">
        <f t="shared" si="227"/>
        <v>0</v>
      </c>
      <c r="AA175" s="1228">
        <f t="shared" si="228"/>
        <v>0</v>
      </c>
      <c r="AB175" s="1224">
        <f t="shared" si="228"/>
        <v>0</v>
      </c>
      <c r="AC175" s="1224">
        <f t="shared" si="228"/>
        <v>0</v>
      </c>
      <c r="AD175" s="1224">
        <f t="shared" si="228"/>
        <v>0</v>
      </c>
      <c r="AE175" s="1224">
        <f t="shared" si="228"/>
        <v>0</v>
      </c>
      <c r="AF175" s="1229">
        <f t="shared" si="228"/>
        <v>0</v>
      </c>
      <c r="AG175" s="2678">
        <f t="shared" si="228"/>
        <v>0.81421196160179488</v>
      </c>
      <c r="AH175" s="1228">
        <f t="shared" si="228"/>
        <v>0.67799019159437335</v>
      </c>
      <c r="AI175" s="1224">
        <f t="shared" si="228"/>
        <v>0.54176842158695182</v>
      </c>
      <c r="AJ175" s="1224">
        <f t="shared" si="228"/>
        <v>0.40554665157953029</v>
      </c>
      <c r="AK175" s="1224">
        <f t="shared" si="228"/>
        <v>0.26932488157210877</v>
      </c>
      <c r="AL175" s="1224">
        <f t="shared" si="228"/>
        <v>0.13310311156468724</v>
      </c>
      <c r="AM175" s="1229">
        <f t="shared" si="228"/>
        <v>-3.11865844273429E-3</v>
      </c>
      <c r="AN175" s="2551"/>
      <c r="AO175" s="2589"/>
      <c r="AP175" s="4488"/>
      <c r="AQ175" s="4504">
        <f t="shared" ref="AQ175:AQ190" si="231">IFERROR(E175/$D$1,0)</f>
        <v>4.5143841941263831</v>
      </c>
      <c r="AR175" s="4504">
        <f t="shared" ref="AR175:AR190" si="232">IFERROR(F175/$D$1,0)</f>
        <v>3.9375813891829186</v>
      </c>
      <c r="AS175" s="4504">
        <f t="shared" ref="AS175:AS190" si="233">IFERROR(G175/$D$1,0)</f>
        <v>3.3607785842394526</v>
      </c>
      <c r="AT175" s="4504">
        <f t="shared" ref="AT175:AT190" si="234">IFERROR(H175/$D$1,0)</f>
        <v>2.7839757792959872</v>
      </c>
      <c r="AU175" s="4504">
        <f t="shared" ref="AU175:AU190" si="235">IFERROR(I175/$D$1,0)</f>
        <v>2.2071729743525217</v>
      </c>
      <c r="AV175" s="4504">
        <f t="shared" ref="AV175:AV190" si="236">IFERROR(J175/$D$1,0)</f>
        <v>1.630370169409056</v>
      </c>
      <c r="AW175" s="4504">
        <f t="shared" ref="AW175:AW190" si="237">IFERROR(K175/$D$1,0)</f>
        <v>1.0535673644655903</v>
      </c>
      <c r="AX175" s="4504">
        <f t="shared" ref="AX175:AX190" si="238">IFERROR(L175/$D$1,0)</f>
        <v>0</v>
      </c>
      <c r="AY175" s="4504">
        <f t="shared" ref="AY175:AY190" si="239">IFERROR(M175/$D$1,0)</f>
        <v>0</v>
      </c>
      <c r="AZ175" s="4504">
        <f t="shared" ref="AZ175:AZ190" si="240">IFERROR(N175/$D$1,0)</f>
        <v>0</v>
      </c>
      <c r="BA175" s="4504">
        <f t="shared" ref="BA175:BA190" si="241">IFERROR(O175/$D$1,0)</f>
        <v>0</v>
      </c>
      <c r="BB175" s="4504">
        <f t="shared" ref="BB175:BB190" si="242">IFERROR(P175/$D$1,0)</f>
        <v>0</v>
      </c>
      <c r="BC175" s="4504">
        <f t="shared" ref="BC175:BC190" si="243">IFERROR(Q175/$D$1,0)</f>
        <v>0</v>
      </c>
      <c r="BD175" s="4504">
        <f t="shared" ref="BD175:BD190" si="244">IFERROR(R175/$D$1,0)</f>
        <v>0</v>
      </c>
      <c r="BE175" s="4504">
        <f t="shared" ref="BE175:BE190" si="245">IFERROR(S175/$D$1,0)</f>
        <v>0</v>
      </c>
      <c r="BF175" s="4504">
        <f t="shared" ref="BF175:BF190" si="246">IFERROR(T175/$D$1,0)</f>
        <v>0</v>
      </c>
      <c r="BG175" s="4504">
        <f t="shared" ref="BG175:BG190" si="247">IFERROR(U175/$D$1,0)</f>
        <v>0</v>
      </c>
      <c r="BH175" s="4504">
        <f t="shared" ref="BH175:BH190" si="248">IFERROR(V175/$D$1,0)</f>
        <v>0</v>
      </c>
      <c r="BI175" s="4504">
        <f t="shared" ref="BI175:BI190" si="249">IFERROR(W175/$D$1,0)</f>
        <v>0</v>
      </c>
      <c r="BJ175" s="4504">
        <f t="shared" ref="BJ175:BJ190" si="250">IFERROR(X175/$D$1,0)</f>
        <v>0</v>
      </c>
      <c r="BK175" s="4504">
        <f t="shared" ref="BK175:BK190" si="251">IFERROR(Y175/$D$1,0)</f>
        <v>0</v>
      </c>
      <c r="BL175" s="4504">
        <f t="shared" ref="BL175:BL190" si="252">IFERROR(Z175/$D$1,0)</f>
        <v>0</v>
      </c>
      <c r="BM175" s="4504">
        <f t="shared" ref="BM175:BM190" si="253">IFERROR(AA175/$D$1,0)</f>
        <v>0</v>
      </c>
      <c r="BN175" s="4504">
        <f t="shared" ref="BN175:BN190" si="254">IFERROR(AB175/$D$1,0)</f>
        <v>0</v>
      </c>
      <c r="BO175" s="4504">
        <f t="shared" ref="BO175:BO190" si="255">IFERROR(AC175/$D$1,0)</f>
        <v>0</v>
      </c>
      <c r="BP175" s="4504">
        <f t="shared" ref="BP175:BP190" si="256">IFERROR(AD175/$D$1,0)</f>
        <v>0</v>
      </c>
      <c r="BQ175" s="4504">
        <f t="shared" ref="BQ175:BQ190" si="257">IFERROR(AE175/$D$1,0)</f>
        <v>0</v>
      </c>
      <c r="BR175" s="4504">
        <f t="shared" ref="BR175:BR190" si="258">IFERROR(AF175/$D$1,0)</f>
        <v>0</v>
      </c>
      <c r="BS175" s="4504">
        <f t="shared" ref="BS175:BS190" si="259">IFERROR(AG175/$D$1,0)</f>
        <v>0.41629996553984494</v>
      </c>
      <c r="BT175" s="4504">
        <f t="shared" ref="BT175:BT190" si="260">IFERROR(AH175/$D$1,0)</f>
        <v>0.34665088049287174</v>
      </c>
      <c r="BU175" s="4504">
        <f t="shared" ref="BU175:BU190" si="261">IFERROR(AI175/$D$1,0)</f>
        <v>0.27700179544589859</v>
      </c>
      <c r="BV175" s="4504">
        <f t="shared" ref="BV175:BV190" si="262">IFERROR(AJ175/$D$1,0)</f>
        <v>0.20735271039892542</v>
      </c>
      <c r="BW175" s="4504">
        <f t="shared" ref="BW175:BW190" si="263">IFERROR(AK175/$D$1,0)</f>
        <v>0.13770362535195224</v>
      </c>
      <c r="BX175" s="4504">
        <f t="shared" ref="BX175:BX190" si="264">IFERROR(AL175/$D$1,0)</f>
        <v>6.805454030497908E-2</v>
      </c>
      <c r="BY175" s="4504">
        <f t="shared" ref="BY175:BY190" si="265">IFERROR(AM175/$D$1,0)</f>
        <v>-1.5945447419940845E-3</v>
      </c>
    </row>
    <row r="176" spans="1:77" s="1323" customFormat="1">
      <c r="A176" s="2553">
        <v>5</v>
      </c>
      <c r="B176" s="2554">
        <v>2030501</v>
      </c>
      <c r="C176" s="2560">
        <v>0.1</v>
      </c>
      <c r="D176" s="2590" t="s">
        <v>408</v>
      </c>
      <c r="E176" s="2678">
        <f t="shared" si="230"/>
        <v>343.79277089896755</v>
      </c>
      <c r="F176" s="1228">
        <f t="shared" si="225"/>
        <v>348.23126411777747</v>
      </c>
      <c r="G176" s="1224">
        <f t="shared" si="225"/>
        <v>357.34515198796237</v>
      </c>
      <c r="H176" s="1224">
        <f t="shared" si="225"/>
        <v>349.57756369010104</v>
      </c>
      <c r="I176" s="1224">
        <f t="shared" si="225"/>
        <v>340.59596558027192</v>
      </c>
      <c r="J176" s="1224">
        <f t="shared" si="225"/>
        <v>322.50533926542084</v>
      </c>
      <c r="K176" s="1229">
        <f t="shared" si="225"/>
        <v>288.10051137545042</v>
      </c>
      <c r="L176" s="2678">
        <f t="shared" si="225"/>
        <v>0</v>
      </c>
      <c r="M176" s="1228">
        <f t="shared" si="226"/>
        <v>9.323487179487179</v>
      </c>
      <c r="N176" s="1224">
        <f t="shared" si="226"/>
        <v>52.573543145459858</v>
      </c>
      <c r="O176" s="1224">
        <f t="shared" si="226"/>
        <v>95.651127869354568</v>
      </c>
      <c r="P176" s="1224">
        <f t="shared" si="226"/>
        <v>138.5286622633289</v>
      </c>
      <c r="Q176" s="1224">
        <f t="shared" si="226"/>
        <v>181.19951988515231</v>
      </c>
      <c r="R176" s="1229">
        <f t="shared" si="226"/>
        <v>223.65619966110273</v>
      </c>
      <c r="S176" s="2678">
        <f t="shared" si="226"/>
        <v>4.7663599999999997</v>
      </c>
      <c r="T176" s="1228">
        <f t="shared" si="227"/>
        <v>13.611276948717947</v>
      </c>
      <c r="U176" s="1224">
        <f t="shared" si="227"/>
        <v>56.304230459575344</v>
      </c>
      <c r="V176" s="1224">
        <f t="shared" si="227"/>
        <v>98.501131380557041</v>
      </c>
      <c r="W176" s="1224">
        <f t="shared" si="227"/>
        <v>140.06209244342693</v>
      </c>
      <c r="X176" s="1224">
        <f t="shared" si="227"/>
        <v>180.9387584834696</v>
      </c>
      <c r="Y176" s="1229">
        <f t="shared" si="227"/>
        <v>221.09380394450469</v>
      </c>
      <c r="Z176" s="2678">
        <f t="shared" si="227"/>
        <v>0</v>
      </c>
      <c r="AA176" s="1228">
        <f t="shared" si="228"/>
        <v>0</v>
      </c>
      <c r="AB176" s="1224">
        <f t="shared" si="228"/>
        <v>0</v>
      </c>
      <c r="AC176" s="1224">
        <f t="shared" si="228"/>
        <v>0</v>
      </c>
      <c r="AD176" s="1224">
        <f t="shared" si="228"/>
        <v>0</v>
      </c>
      <c r="AE176" s="1224">
        <f t="shared" si="228"/>
        <v>0</v>
      </c>
      <c r="AF176" s="1229">
        <f t="shared" si="228"/>
        <v>0</v>
      </c>
      <c r="AG176" s="2678">
        <f t="shared" si="228"/>
        <v>36.697299101032478</v>
      </c>
      <c r="AH176" s="1228">
        <f t="shared" si="228"/>
        <v>31.14763125401744</v>
      </c>
      <c r="AI176" s="1224">
        <f t="shared" si="228"/>
        <v>32.247963407002402</v>
      </c>
      <c r="AJ176" s="1224">
        <f t="shared" si="228"/>
        <v>32.648295559987361</v>
      </c>
      <c r="AK176" s="1224">
        <f t="shared" si="228"/>
        <v>32.348627712972323</v>
      </c>
      <c r="AL176" s="1224">
        <f t="shared" si="228"/>
        <v>31.348959865957283</v>
      </c>
      <c r="AM176" s="1229">
        <f t="shared" si="228"/>
        <v>29.649292018942248</v>
      </c>
      <c r="AN176" s="2551"/>
      <c r="AO176" s="2589"/>
      <c r="AP176" s="4488"/>
      <c r="AQ176" s="4504">
        <f t="shared" si="231"/>
        <v>175.77845257459367</v>
      </c>
      <c r="AR176" s="4504">
        <f t="shared" si="232"/>
        <v>178.04781812211567</v>
      </c>
      <c r="AS176" s="4504">
        <f t="shared" si="233"/>
        <v>182.70767499627391</v>
      </c>
      <c r="AT176" s="4504">
        <f t="shared" si="234"/>
        <v>178.73617016310266</v>
      </c>
      <c r="AU176" s="4504">
        <f t="shared" si="235"/>
        <v>174.14395196937971</v>
      </c>
      <c r="AV176" s="4504">
        <f t="shared" si="236"/>
        <v>164.89436160884171</v>
      </c>
      <c r="AW176" s="4504">
        <f t="shared" si="237"/>
        <v>147.30345243474659</v>
      </c>
      <c r="AX176" s="4504">
        <f t="shared" si="238"/>
        <v>0</v>
      </c>
      <c r="AY176" s="4504">
        <f t="shared" si="239"/>
        <v>4.7670232993088248</v>
      </c>
      <c r="AZ176" s="4504">
        <f t="shared" si="240"/>
        <v>26.88042577599273</v>
      </c>
      <c r="BA176" s="4504">
        <f t="shared" si="241"/>
        <v>48.905645106862337</v>
      </c>
      <c r="BB176" s="4504">
        <f t="shared" si="242"/>
        <v>70.828580328213036</v>
      </c>
      <c r="BC176" s="4504">
        <f t="shared" si="243"/>
        <v>92.645843393931131</v>
      </c>
      <c r="BD176" s="4504">
        <f t="shared" si="244"/>
        <v>114.35359906592227</v>
      </c>
      <c r="BE176" s="4504">
        <f t="shared" si="245"/>
        <v>2.4370011708584078</v>
      </c>
      <c r="BF176" s="4504">
        <f t="shared" si="246"/>
        <v>6.9593353965927243</v>
      </c>
      <c r="BG176" s="4504">
        <f t="shared" si="247"/>
        <v>28.787895910981703</v>
      </c>
      <c r="BH176" s="4504">
        <f t="shared" si="248"/>
        <v>50.362828763520881</v>
      </c>
      <c r="BI176" s="4504">
        <f t="shared" si="249"/>
        <v>71.612610729678423</v>
      </c>
      <c r="BJ176" s="4504">
        <f t="shared" si="250"/>
        <v>92.512518206321403</v>
      </c>
      <c r="BK176" s="4504">
        <f t="shared" si="251"/>
        <v>113.04346693961371</v>
      </c>
      <c r="BL176" s="4504">
        <f t="shared" si="252"/>
        <v>0</v>
      </c>
      <c r="BM176" s="4504">
        <f t="shared" si="253"/>
        <v>0</v>
      </c>
      <c r="BN176" s="4504">
        <f t="shared" si="254"/>
        <v>0</v>
      </c>
      <c r="BO176" s="4504">
        <f t="shared" si="255"/>
        <v>0</v>
      </c>
      <c r="BP176" s="4504">
        <f t="shared" si="256"/>
        <v>0</v>
      </c>
      <c r="BQ176" s="4504">
        <f t="shared" si="257"/>
        <v>0</v>
      </c>
      <c r="BR176" s="4504">
        <f t="shared" si="258"/>
        <v>0</v>
      </c>
      <c r="BS176" s="4504">
        <f t="shared" si="259"/>
        <v>18.763031092187195</v>
      </c>
      <c r="BT176" s="4504">
        <f t="shared" si="260"/>
        <v>15.925530978672708</v>
      </c>
      <c r="BU176" s="4504">
        <f t="shared" si="261"/>
        <v>16.488121875113073</v>
      </c>
      <c r="BV176" s="4504">
        <f t="shared" si="262"/>
        <v>16.692808454716086</v>
      </c>
      <c r="BW176" s="4504">
        <f t="shared" si="263"/>
        <v>16.539590717481747</v>
      </c>
      <c r="BX176" s="4504">
        <f t="shared" si="264"/>
        <v>16.028468663410052</v>
      </c>
      <c r="BY176" s="4504">
        <f t="shared" si="265"/>
        <v>15.159442292501009</v>
      </c>
    </row>
    <row r="177" spans="1:77" s="1323" customFormat="1" ht="24">
      <c r="A177" s="2553">
        <v>6</v>
      </c>
      <c r="B177" s="2554">
        <v>2030502</v>
      </c>
      <c r="C177" s="2560">
        <v>0.1</v>
      </c>
      <c r="D177" s="2590" t="s">
        <v>695</v>
      </c>
      <c r="E177" s="2678">
        <f t="shared" si="230"/>
        <v>86.906292703030076</v>
      </c>
      <c r="F177" s="1228">
        <f t="shared" si="225"/>
        <v>103.59070113378922</v>
      </c>
      <c r="G177" s="1224">
        <f t="shared" si="225"/>
        <v>101.12510956454838</v>
      </c>
      <c r="H177" s="1224">
        <f t="shared" si="225"/>
        <v>97.359517995307542</v>
      </c>
      <c r="I177" s="1224">
        <f t="shared" si="225"/>
        <v>98.943926426066696</v>
      </c>
      <c r="J177" s="1224">
        <f t="shared" si="225"/>
        <v>101.37833485682586</v>
      </c>
      <c r="K177" s="1229">
        <f t="shared" si="225"/>
        <v>89.162743287585016</v>
      </c>
      <c r="L177" s="2678">
        <f t="shared" si="225"/>
        <v>0</v>
      </c>
      <c r="M177" s="1228">
        <f t="shared" si="226"/>
        <v>0</v>
      </c>
      <c r="N177" s="1224">
        <f t="shared" si="226"/>
        <v>0</v>
      </c>
      <c r="O177" s="1224">
        <f t="shared" si="226"/>
        <v>0</v>
      </c>
      <c r="P177" s="1224">
        <f t="shared" si="226"/>
        <v>0</v>
      </c>
      <c r="Q177" s="1224">
        <f t="shared" si="226"/>
        <v>0</v>
      </c>
      <c r="R177" s="1229">
        <f t="shared" si="226"/>
        <v>0</v>
      </c>
      <c r="S177" s="2678">
        <f t="shared" si="226"/>
        <v>143.40194000000008</v>
      </c>
      <c r="T177" s="1228">
        <f t="shared" si="227"/>
        <v>122.79382150000008</v>
      </c>
      <c r="U177" s="1224">
        <f t="shared" si="227"/>
        <v>102.18570300000009</v>
      </c>
      <c r="V177" s="1224">
        <f t="shared" si="227"/>
        <v>81.577584500000086</v>
      </c>
      <c r="W177" s="1224">
        <f t="shared" si="227"/>
        <v>60.969466000000097</v>
      </c>
      <c r="X177" s="1224">
        <f t="shared" si="227"/>
        <v>40.361347500000107</v>
      </c>
      <c r="Y177" s="1229">
        <f t="shared" si="227"/>
        <v>19.753229000000118</v>
      </c>
      <c r="Z177" s="2678">
        <f t="shared" si="227"/>
        <v>0</v>
      </c>
      <c r="AA177" s="1228">
        <f t="shared" si="228"/>
        <v>0</v>
      </c>
      <c r="AB177" s="1224">
        <f t="shared" si="228"/>
        <v>0</v>
      </c>
      <c r="AC177" s="1224">
        <f t="shared" si="228"/>
        <v>0</v>
      </c>
      <c r="AD177" s="1224">
        <f t="shared" si="228"/>
        <v>0</v>
      </c>
      <c r="AE177" s="1224">
        <f t="shared" si="228"/>
        <v>0</v>
      </c>
      <c r="AF177" s="1229">
        <f t="shared" si="228"/>
        <v>0</v>
      </c>
      <c r="AG177" s="2678">
        <f t="shared" si="228"/>
        <v>13.578277296969924</v>
      </c>
      <c r="AH177" s="1228">
        <f t="shared" si="228"/>
        <v>13.974861366210769</v>
      </c>
      <c r="AI177" s="1224">
        <f t="shared" si="228"/>
        <v>15.121445435451614</v>
      </c>
      <c r="AJ177" s="1224">
        <f t="shared" si="228"/>
        <v>15.96802950469246</v>
      </c>
      <c r="AK177" s="1224">
        <f t="shared" si="228"/>
        <v>16.514613573933303</v>
      </c>
      <c r="AL177" s="1224">
        <f t="shared" si="228"/>
        <v>16.76119764317415</v>
      </c>
      <c r="AM177" s="1229">
        <f t="shared" si="228"/>
        <v>16.707781712414995</v>
      </c>
      <c r="AN177" s="2551"/>
      <c r="AO177" s="2589"/>
      <c r="AP177" s="4488"/>
      <c r="AQ177" s="4504">
        <f t="shared" si="231"/>
        <v>44.434481883921443</v>
      </c>
      <c r="AR177" s="4504">
        <f t="shared" si="232"/>
        <v>52.965084457130338</v>
      </c>
      <c r="AS177" s="4504">
        <f t="shared" si="233"/>
        <v>51.704447505431652</v>
      </c>
      <c r="AT177" s="4504">
        <f t="shared" si="234"/>
        <v>49.779131108177879</v>
      </c>
      <c r="AU177" s="4504">
        <f t="shared" si="235"/>
        <v>50.589226275323874</v>
      </c>
      <c r="AV177" s="4504">
        <f t="shared" si="236"/>
        <v>51.833919541486665</v>
      </c>
      <c r="AW177" s="4504">
        <f t="shared" si="237"/>
        <v>45.588186748124848</v>
      </c>
      <c r="AX177" s="4504">
        <f t="shared" si="238"/>
        <v>0</v>
      </c>
      <c r="AY177" s="4504">
        <f t="shared" si="239"/>
        <v>0</v>
      </c>
      <c r="AZ177" s="4504">
        <f t="shared" si="240"/>
        <v>0</v>
      </c>
      <c r="BA177" s="4504">
        <f t="shared" si="241"/>
        <v>0</v>
      </c>
      <c r="BB177" s="4504">
        <f t="shared" si="242"/>
        <v>0</v>
      </c>
      <c r="BC177" s="4504">
        <f t="shared" si="243"/>
        <v>0</v>
      </c>
      <c r="BD177" s="4504">
        <f t="shared" si="244"/>
        <v>0</v>
      </c>
      <c r="BE177" s="4504">
        <f t="shared" si="245"/>
        <v>73.320247669787292</v>
      </c>
      <c r="BF177" s="4504">
        <f t="shared" si="246"/>
        <v>62.783483994007703</v>
      </c>
      <c r="BG177" s="4504">
        <f t="shared" si="247"/>
        <v>52.246720318228114</v>
      </c>
      <c r="BH177" s="4504">
        <f t="shared" si="248"/>
        <v>41.709956642448518</v>
      </c>
      <c r="BI177" s="4504">
        <f t="shared" si="249"/>
        <v>31.173192966668932</v>
      </c>
      <c r="BJ177" s="4504">
        <f t="shared" si="250"/>
        <v>20.636429290889346</v>
      </c>
      <c r="BK177" s="4504">
        <f t="shared" si="251"/>
        <v>10.099665615109759</v>
      </c>
      <c r="BL177" s="4504">
        <f t="shared" si="252"/>
        <v>0</v>
      </c>
      <c r="BM177" s="4504">
        <f t="shared" si="253"/>
        <v>0</v>
      </c>
      <c r="BN177" s="4504">
        <f t="shared" si="254"/>
        <v>0</v>
      </c>
      <c r="BO177" s="4504">
        <f t="shared" si="255"/>
        <v>0</v>
      </c>
      <c r="BP177" s="4504">
        <f t="shared" si="256"/>
        <v>0</v>
      </c>
      <c r="BQ177" s="4504">
        <f t="shared" si="257"/>
        <v>0</v>
      </c>
      <c r="BR177" s="4504">
        <f t="shared" si="258"/>
        <v>0</v>
      </c>
      <c r="BS177" s="4504">
        <f t="shared" si="259"/>
        <v>6.9424629425716571</v>
      </c>
      <c r="BT177" s="4504">
        <f t="shared" si="260"/>
        <v>7.1452331573862606</v>
      </c>
      <c r="BU177" s="4504">
        <f t="shared" si="261"/>
        <v>7.7314722830980269</v>
      </c>
      <c r="BV177" s="4504">
        <f t="shared" si="262"/>
        <v>8.1643238444509283</v>
      </c>
      <c r="BW177" s="4504">
        <f t="shared" si="263"/>
        <v>8.4437878414449639</v>
      </c>
      <c r="BX177" s="4504">
        <f t="shared" si="264"/>
        <v>8.5698642740801354</v>
      </c>
      <c r="BY177" s="4504">
        <f t="shared" si="265"/>
        <v>8.5425531423564394</v>
      </c>
    </row>
    <row r="178" spans="1:77" s="1323" customFormat="1">
      <c r="A178" s="2553">
        <v>7</v>
      </c>
      <c r="B178" s="2554">
        <v>2030503</v>
      </c>
      <c r="C178" s="2560">
        <v>0.1</v>
      </c>
      <c r="D178" s="2590" t="s">
        <v>713</v>
      </c>
      <c r="E178" s="2678">
        <f t="shared" si="230"/>
        <v>30.409314904240588</v>
      </c>
      <c r="F178" s="1228">
        <f t="shared" si="225"/>
        <v>26.98371108708087</v>
      </c>
      <c r="G178" s="1224">
        <f t="shared" si="225"/>
        <v>29.258107269921155</v>
      </c>
      <c r="H178" s="1224">
        <f t="shared" si="225"/>
        <v>30.932503452761438</v>
      </c>
      <c r="I178" s="1224">
        <f t="shared" si="225"/>
        <v>32.006899635601719</v>
      </c>
      <c r="J178" s="1224">
        <f t="shared" si="225"/>
        <v>32.481295818442</v>
      </c>
      <c r="K178" s="1229">
        <f t="shared" si="225"/>
        <v>32.355692001282279</v>
      </c>
      <c r="L178" s="2678">
        <f t="shared" si="225"/>
        <v>0</v>
      </c>
      <c r="M178" s="1228">
        <f t="shared" si="226"/>
        <v>0</v>
      </c>
      <c r="N178" s="1224">
        <f t="shared" si="226"/>
        <v>0</v>
      </c>
      <c r="O178" s="1224">
        <f t="shared" si="226"/>
        <v>0</v>
      </c>
      <c r="P178" s="1224">
        <f t="shared" si="226"/>
        <v>0</v>
      </c>
      <c r="Q178" s="1224">
        <f t="shared" si="226"/>
        <v>0</v>
      </c>
      <c r="R178" s="1229">
        <f t="shared" si="226"/>
        <v>0</v>
      </c>
      <c r="S178" s="2678">
        <f t="shared" si="226"/>
        <v>20.574199999999998</v>
      </c>
      <c r="T178" s="1228">
        <f t="shared" si="227"/>
        <v>18.272119999999997</v>
      </c>
      <c r="U178" s="1224">
        <f t="shared" si="227"/>
        <v>15.970039999999997</v>
      </c>
      <c r="V178" s="1224">
        <f t="shared" si="227"/>
        <v>13.667959999999997</v>
      </c>
      <c r="W178" s="1224">
        <f t="shared" si="227"/>
        <v>11.365879999999997</v>
      </c>
      <c r="X178" s="1224">
        <f t="shared" si="227"/>
        <v>9.063799999999997</v>
      </c>
      <c r="Y178" s="1229">
        <f t="shared" si="227"/>
        <v>6.7617199999999968</v>
      </c>
      <c r="Z178" s="2678">
        <f t="shared" si="227"/>
        <v>0</v>
      </c>
      <c r="AA178" s="1228">
        <f t="shared" si="228"/>
        <v>0</v>
      </c>
      <c r="AB178" s="1224">
        <f t="shared" si="228"/>
        <v>0</v>
      </c>
      <c r="AC178" s="1224">
        <f t="shared" si="228"/>
        <v>0</v>
      </c>
      <c r="AD178" s="1224">
        <f t="shared" si="228"/>
        <v>0</v>
      </c>
      <c r="AE178" s="1224">
        <f t="shared" si="228"/>
        <v>0</v>
      </c>
      <c r="AF178" s="1229">
        <f t="shared" si="228"/>
        <v>0</v>
      </c>
      <c r="AG178" s="2678">
        <f t="shared" si="228"/>
        <v>1.8104750957594113</v>
      </c>
      <c r="AH178" s="1228">
        <f t="shared" si="228"/>
        <v>1.3339789129191288</v>
      </c>
      <c r="AI178" s="1224">
        <f t="shared" si="228"/>
        <v>0.85748273007884634</v>
      </c>
      <c r="AJ178" s="1224">
        <f t="shared" si="228"/>
        <v>0.38098654723856384</v>
      </c>
      <c r="AK178" s="1224">
        <f t="shared" si="228"/>
        <v>-9.5509635601718657E-2</v>
      </c>
      <c r="AL178" s="1224">
        <f t="shared" si="228"/>
        <v>-0.57200581844200116</v>
      </c>
      <c r="AM178" s="1229">
        <f t="shared" si="228"/>
        <v>-1.0485020012822837</v>
      </c>
      <c r="AN178" s="2551"/>
      <c r="AO178" s="2589"/>
      <c r="AP178" s="4488"/>
      <c r="AQ178" s="4504">
        <f t="shared" si="231"/>
        <v>15.548035823277376</v>
      </c>
      <c r="AR178" s="4504">
        <f t="shared" si="232"/>
        <v>13.796552403368835</v>
      </c>
      <c r="AS178" s="4504">
        <f t="shared" si="233"/>
        <v>14.959432706278744</v>
      </c>
      <c r="AT178" s="4504">
        <f t="shared" si="234"/>
        <v>15.81553788047092</v>
      </c>
      <c r="AU178" s="4504">
        <f t="shared" si="235"/>
        <v>16.364867925945365</v>
      </c>
      <c r="AV178" s="4504">
        <f t="shared" si="236"/>
        <v>16.607422842702075</v>
      </c>
      <c r="AW178" s="4504">
        <f t="shared" si="237"/>
        <v>16.543202630741057</v>
      </c>
      <c r="AX178" s="4504">
        <f t="shared" si="238"/>
        <v>0</v>
      </c>
      <c r="AY178" s="4504">
        <f t="shared" si="239"/>
        <v>0</v>
      </c>
      <c r="AZ178" s="4504">
        <f t="shared" si="240"/>
        <v>0</v>
      </c>
      <c r="BA178" s="4504">
        <f t="shared" si="241"/>
        <v>0</v>
      </c>
      <c r="BB178" s="4504">
        <f t="shared" si="242"/>
        <v>0</v>
      </c>
      <c r="BC178" s="4504">
        <f t="shared" si="243"/>
        <v>0</v>
      </c>
      <c r="BD178" s="4504">
        <f t="shared" si="244"/>
        <v>0</v>
      </c>
      <c r="BE178" s="4504">
        <f t="shared" si="245"/>
        <v>10.519421422107238</v>
      </c>
      <c r="BF178" s="4504">
        <f t="shared" si="246"/>
        <v>9.3423866082430465</v>
      </c>
      <c r="BG178" s="4504">
        <f t="shared" si="247"/>
        <v>8.1653517943788554</v>
      </c>
      <c r="BH178" s="4504">
        <f t="shared" si="248"/>
        <v>6.9883169805146652</v>
      </c>
      <c r="BI178" s="4504">
        <f t="shared" si="249"/>
        <v>5.8112821666504741</v>
      </c>
      <c r="BJ178" s="4504">
        <f t="shared" si="250"/>
        <v>4.634247352786284</v>
      </c>
      <c r="BK178" s="4504">
        <f t="shared" si="251"/>
        <v>3.4572125389220929</v>
      </c>
      <c r="BL178" s="4504">
        <f t="shared" si="252"/>
        <v>0</v>
      </c>
      <c r="BM178" s="4504">
        <f t="shared" si="253"/>
        <v>0</v>
      </c>
      <c r="BN178" s="4504">
        <f t="shared" si="254"/>
        <v>0</v>
      </c>
      <c r="BO178" s="4504">
        <f t="shared" si="255"/>
        <v>0</v>
      </c>
      <c r="BP178" s="4504">
        <f t="shared" si="256"/>
        <v>0</v>
      </c>
      <c r="BQ178" s="4504">
        <f t="shared" si="257"/>
        <v>0</v>
      </c>
      <c r="BR178" s="4504">
        <f t="shared" si="258"/>
        <v>0</v>
      </c>
      <c r="BS178" s="4504">
        <f t="shared" si="259"/>
        <v>0.92568121756973321</v>
      </c>
      <c r="BT178" s="4504">
        <f t="shared" si="260"/>
        <v>0.68205258786250789</v>
      </c>
      <c r="BU178" s="4504">
        <f t="shared" si="261"/>
        <v>0.43842395815528262</v>
      </c>
      <c r="BV178" s="4504">
        <f t="shared" si="262"/>
        <v>0.19479532844805728</v>
      </c>
      <c r="BW178" s="4504">
        <f t="shared" si="263"/>
        <v>-4.8833301259168058E-2</v>
      </c>
      <c r="BX178" s="4504">
        <f t="shared" si="264"/>
        <v>-0.29246193096639339</v>
      </c>
      <c r="BY178" s="4504">
        <f t="shared" si="265"/>
        <v>-0.53609056067361871</v>
      </c>
    </row>
    <row r="179" spans="1:77" s="1323" customFormat="1">
      <c r="A179" s="2553">
        <v>8</v>
      </c>
      <c r="B179" s="2554">
        <v>2040101</v>
      </c>
      <c r="C179" s="2610">
        <v>0.1</v>
      </c>
      <c r="D179" s="2584" t="s">
        <v>1016</v>
      </c>
      <c r="E179" s="2678">
        <f t="shared" si="230"/>
        <v>17.401695914436576</v>
      </c>
      <c r="F179" s="1228">
        <f t="shared" si="225"/>
        <v>13.992269981858726</v>
      </c>
      <c r="G179" s="1224">
        <f t="shared" si="225"/>
        <v>10.582844049280876</v>
      </c>
      <c r="H179" s="1224">
        <f t="shared" si="225"/>
        <v>7.1734181167030258</v>
      </c>
      <c r="I179" s="1224">
        <f t="shared" si="225"/>
        <v>3.7639921841251756</v>
      </c>
      <c r="J179" s="1224">
        <f t="shared" si="225"/>
        <v>0.35456625154732535</v>
      </c>
      <c r="K179" s="1229">
        <f t="shared" si="225"/>
        <v>-3.0548596810305284</v>
      </c>
      <c r="L179" s="2678">
        <f t="shared" si="225"/>
        <v>0</v>
      </c>
      <c r="M179" s="1228">
        <f t="shared" si="226"/>
        <v>0</v>
      </c>
      <c r="N179" s="1224">
        <f t="shared" si="226"/>
        <v>0</v>
      </c>
      <c r="O179" s="1224">
        <f t="shared" si="226"/>
        <v>0</v>
      </c>
      <c r="P179" s="1224">
        <f t="shared" si="226"/>
        <v>0</v>
      </c>
      <c r="Q179" s="1224">
        <f t="shared" si="226"/>
        <v>0</v>
      </c>
      <c r="R179" s="1229">
        <f t="shared" si="226"/>
        <v>0</v>
      </c>
      <c r="S179" s="2678">
        <f t="shared" si="226"/>
        <v>0</v>
      </c>
      <c r="T179" s="1228">
        <f t="shared" si="227"/>
        <v>0</v>
      </c>
      <c r="U179" s="1224">
        <f t="shared" si="227"/>
        <v>0</v>
      </c>
      <c r="V179" s="1224">
        <f t="shared" si="227"/>
        <v>0</v>
      </c>
      <c r="W179" s="1224">
        <f t="shared" si="227"/>
        <v>0</v>
      </c>
      <c r="X179" s="1224">
        <f t="shared" si="227"/>
        <v>0</v>
      </c>
      <c r="Y179" s="1229">
        <f t="shared" si="227"/>
        <v>0</v>
      </c>
      <c r="Z179" s="2678">
        <f t="shared" si="227"/>
        <v>0</v>
      </c>
      <c r="AA179" s="1228">
        <f t="shared" si="228"/>
        <v>0</v>
      </c>
      <c r="AB179" s="1224">
        <f t="shared" si="228"/>
        <v>0</v>
      </c>
      <c r="AC179" s="1224">
        <f t="shared" si="228"/>
        <v>0</v>
      </c>
      <c r="AD179" s="1224">
        <f t="shared" si="228"/>
        <v>0</v>
      </c>
      <c r="AE179" s="1224">
        <f t="shared" si="228"/>
        <v>0</v>
      </c>
      <c r="AF179" s="1229">
        <f t="shared" si="228"/>
        <v>0</v>
      </c>
      <c r="AG179" s="2678">
        <f t="shared" si="228"/>
        <v>0.86623408556342207</v>
      </c>
      <c r="AH179" s="1228">
        <f t="shared" si="228"/>
        <v>0.69132001814127264</v>
      </c>
      <c r="AI179" s="1224">
        <f t="shared" si="228"/>
        <v>0.51640595071912321</v>
      </c>
      <c r="AJ179" s="1224">
        <f t="shared" si="228"/>
        <v>0.34149188329697377</v>
      </c>
      <c r="AK179" s="1224">
        <f t="shared" si="228"/>
        <v>0.16657781587482434</v>
      </c>
      <c r="AL179" s="1224">
        <f t="shared" si="228"/>
        <v>-8.3362515473250909E-3</v>
      </c>
      <c r="AM179" s="1229">
        <f t="shared" si="228"/>
        <v>-0.18325031896947452</v>
      </c>
      <c r="AN179" s="2551"/>
      <c r="AO179" s="2589"/>
      <c r="AP179" s="4488"/>
      <c r="AQ179" s="4504">
        <f t="shared" si="231"/>
        <v>8.8973458400968273</v>
      </c>
      <c r="AR179" s="4504">
        <f t="shared" si="232"/>
        <v>7.1541340412299261</v>
      </c>
      <c r="AS179" s="4504">
        <f t="shared" si="233"/>
        <v>5.4109222423630259</v>
      </c>
      <c r="AT179" s="4504">
        <f t="shared" si="234"/>
        <v>3.6677104434961247</v>
      </c>
      <c r="AU179" s="4504">
        <f t="shared" si="235"/>
        <v>1.9244986446292243</v>
      </c>
      <c r="AV179" s="4504">
        <f t="shared" si="236"/>
        <v>0.1812868457623236</v>
      </c>
      <c r="AW179" s="4504">
        <f t="shared" si="237"/>
        <v>-1.5619249531045789</v>
      </c>
      <c r="AX179" s="4504">
        <f t="shared" si="238"/>
        <v>0</v>
      </c>
      <c r="AY179" s="4504">
        <f t="shared" si="239"/>
        <v>0</v>
      </c>
      <c r="AZ179" s="4504">
        <f t="shared" si="240"/>
        <v>0</v>
      </c>
      <c r="BA179" s="4504">
        <f t="shared" si="241"/>
        <v>0</v>
      </c>
      <c r="BB179" s="4504">
        <f t="shared" si="242"/>
        <v>0</v>
      </c>
      <c r="BC179" s="4504">
        <f t="shared" si="243"/>
        <v>0</v>
      </c>
      <c r="BD179" s="4504">
        <f t="shared" si="244"/>
        <v>0</v>
      </c>
      <c r="BE179" s="4504">
        <f t="shared" si="245"/>
        <v>0</v>
      </c>
      <c r="BF179" s="4504">
        <f t="shared" si="246"/>
        <v>0</v>
      </c>
      <c r="BG179" s="4504">
        <f t="shared" si="247"/>
        <v>0</v>
      </c>
      <c r="BH179" s="4504">
        <f t="shared" si="248"/>
        <v>0</v>
      </c>
      <c r="BI179" s="4504">
        <f t="shared" si="249"/>
        <v>0</v>
      </c>
      <c r="BJ179" s="4504">
        <f t="shared" si="250"/>
        <v>0</v>
      </c>
      <c r="BK179" s="4504">
        <f t="shared" si="251"/>
        <v>0</v>
      </c>
      <c r="BL179" s="4504">
        <f t="shared" si="252"/>
        <v>0</v>
      </c>
      <c r="BM179" s="4504">
        <f t="shared" si="253"/>
        <v>0</v>
      </c>
      <c r="BN179" s="4504">
        <f t="shared" si="254"/>
        <v>0</v>
      </c>
      <c r="BO179" s="4504">
        <f t="shared" si="255"/>
        <v>0</v>
      </c>
      <c r="BP179" s="4504">
        <f t="shared" si="256"/>
        <v>0</v>
      </c>
      <c r="BQ179" s="4504">
        <f t="shared" si="257"/>
        <v>0</v>
      </c>
      <c r="BR179" s="4504">
        <f t="shared" si="258"/>
        <v>0</v>
      </c>
      <c r="BS179" s="4504">
        <f t="shared" si="259"/>
        <v>0.44289845516400816</v>
      </c>
      <c r="BT179" s="4504">
        <f t="shared" si="260"/>
        <v>0.3534663125840552</v>
      </c>
      <c r="BU179" s="4504">
        <f t="shared" si="261"/>
        <v>0.26403417000410223</v>
      </c>
      <c r="BV179" s="4504">
        <f t="shared" si="262"/>
        <v>0.17460202742414924</v>
      </c>
      <c r="BW179" s="4504">
        <f t="shared" si="263"/>
        <v>8.5169884844196242E-2</v>
      </c>
      <c r="BX179" s="4504">
        <f t="shared" si="264"/>
        <v>-4.2622577357567326E-3</v>
      </c>
      <c r="BY179" s="4504">
        <f t="shared" si="265"/>
        <v>-9.3694400315709719E-2</v>
      </c>
    </row>
    <row r="180" spans="1:77" s="1323" customFormat="1">
      <c r="A180" s="2611">
        <v>9</v>
      </c>
      <c r="B180" s="2554">
        <v>2040102</v>
      </c>
      <c r="C180" s="2610">
        <v>0.04</v>
      </c>
      <c r="D180" s="2584" t="s">
        <v>432</v>
      </c>
      <c r="E180" s="2678">
        <f t="shared" si="230"/>
        <v>0.87007999999999996</v>
      </c>
      <c r="F180" s="1228">
        <f t="shared" si="225"/>
        <v>0.81884000000000001</v>
      </c>
      <c r="G180" s="1224">
        <f t="shared" si="225"/>
        <v>0.76760000000000006</v>
      </c>
      <c r="H180" s="1224">
        <f t="shared" si="225"/>
        <v>0.71636000000000011</v>
      </c>
      <c r="I180" s="1224">
        <f t="shared" si="225"/>
        <v>0.66512000000000016</v>
      </c>
      <c r="J180" s="1224">
        <f t="shared" si="225"/>
        <v>0.6138800000000002</v>
      </c>
      <c r="K180" s="1229">
        <f t="shared" si="225"/>
        <v>0.56264000000000025</v>
      </c>
      <c r="L180" s="2678">
        <f t="shared" si="225"/>
        <v>0</v>
      </c>
      <c r="M180" s="1228">
        <f t="shared" si="226"/>
        <v>0</v>
      </c>
      <c r="N180" s="1224">
        <f t="shared" si="226"/>
        <v>0</v>
      </c>
      <c r="O180" s="1224">
        <f t="shared" si="226"/>
        <v>0</v>
      </c>
      <c r="P180" s="1224">
        <f t="shared" si="226"/>
        <v>0</v>
      </c>
      <c r="Q180" s="1224">
        <f t="shared" si="226"/>
        <v>0</v>
      </c>
      <c r="R180" s="1229">
        <f t="shared" si="226"/>
        <v>0</v>
      </c>
      <c r="S180" s="2678">
        <f t="shared" si="226"/>
        <v>0</v>
      </c>
      <c r="T180" s="1228">
        <f t="shared" si="227"/>
        <v>0</v>
      </c>
      <c r="U180" s="1224">
        <f t="shared" si="227"/>
        <v>0</v>
      </c>
      <c r="V180" s="1224">
        <f t="shared" si="227"/>
        <v>0</v>
      </c>
      <c r="W180" s="1224">
        <f t="shared" si="227"/>
        <v>0</v>
      </c>
      <c r="X180" s="1224">
        <f t="shared" si="227"/>
        <v>0</v>
      </c>
      <c r="Y180" s="1229">
        <f t="shared" si="227"/>
        <v>0</v>
      </c>
      <c r="Z180" s="2678">
        <f t="shared" si="227"/>
        <v>0</v>
      </c>
      <c r="AA180" s="1228">
        <f t="shared" si="228"/>
        <v>0</v>
      </c>
      <c r="AB180" s="1224">
        <f t="shared" si="228"/>
        <v>0</v>
      </c>
      <c r="AC180" s="1224">
        <f t="shared" si="228"/>
        <v>0</v>
      </c>
      <c r="AD180" s="1224">
        <f t="shared" si="228"/>
        <v>0</v>
      </c>
      <c r="AE180" s="1224">
        <f t="shared" si="228"/>
        <v>0</v>
      </c>
      <c r="AF180" s="1229">
        <f t="shared" si="228"/>
        <v>0</v>
      </c>
      <c r="AG180" s="2678">
        <f t="shared" si="228"/>
        <v>0</v>
      </c>
      <c r="AH180" s="1228">
        <f t="shared" si="228"/>
        <v>0</v>
      </c>
      <c r="AI180" s="1224">
        <f t="shared" si="228"/>
        <v>0</v>
      </c>
      <c r="AJ180" s="1224">
        <f t="shared" si="228"/>
        <v>0</v>
      </c>
      <c r="AK180" s="1224">
        <f t="shared" si="228"/>
        <v>0</v>
      </c>
      <c r="AL180" s="1224">
        <f t="shared" si="228"/>
        <v>0</v>
      </c>
      <c r="AM180" s="1229">
        <f t="shared" si="228"/>
        <v>0</v>
      </c>
      <c r="AN180" s="2551"/>
      <c r="AO180" s="2589"/>
      <c r="AP180" s="4488"/>
      <c r="AQ180" s="4504">
        <f t="shared" si="231"/>
        <v>0.4448648399912058</v>
      </c>
      <c r="AR180" s="4504">
        <f t="shared" si="232"/>
        <v>0.41866624399871155</v>
      </c>
      <c r="AS180" s="4504">
        <f t="shared" si="233"/>
        <v>0.39246764800621736</v>
      </c>
      <c r="AT180" s="4504">
        <f t="shared" si="234"/>
        <v>0.36626905201372312</v>
      </c>
      <c r="AU180" s="4504">
        <f t="shared" si="235"/>
        <v>0.34007045602122893</v>
      </c>
      <c r="AV180" s="4504">
        <f t="shared" si="236"/>
        <v>0.31387186002873474</v>
      </c>
      <c r="AW180" s="4504">
        <f t="shared" si="237"/>
        <v>0.28767326403624049</v>
      </c>
      <c r="AX180" s="4504">
        <f t="shared" si="238"/>
        <v>0</v>
      </c>
      <c r="AY180" s="4504">
        <f t="shared" si="239"/>
        <v>0</v>
      </c>
      <c r="AZ180" s="4504">
        <f t="shared" si="240"/>
        <v>0</v>
      </c>
      <c r="BA180" s="4504">
        <f t="shared" si="241"/>
        <v>0</v>
      </c>
      <c r="BB180" s="4504">
        <f t="shared" si="242"/>
        <v>0</v>
      </c>
      <c r="BC180" s="4504">
        <f t="shared" si="243"/>
        <v>0</v>
      </c>
      <c r="BD180" s="4504">
        <f t="shared" si="244"/>
        <v>0</v>
      </c>
      <c r="BE180" s="4504">
        <f t="shared" si="245"/>
        <v>0</v>
      </c>
      <c r="BF180" s="4504">
        <f t="shared" si="246"/>
        <v>0</v>
      </c>
      <c r="BG180" s="4504">
        <f t="shared" si="247"/>
        <v>0</v>
      </c>
      <c r="BH180" s="4504">
        <f t="shared" si="248"/>
        <v>0</v>
      </c>
      <c r="BI180" s="4504">
        <f t="shared" si="249"/>
        <v>0</v>
      </c>
      <c r="BJ180" s="4504">
        <f t="shared" si="250"/>
        <v>0</v>
      </c>
      <c r="BK180" s="4504">
        <f t="shared" si="251"/>
        <v>0</v>
      </c>
      <c r="BL180" s="4504">
        <f t="shared" si="252"/>
        <v>0</v>
      </c>
      <c r="BM180" s="4504">
        <f t="shared" si="253"/>
        <v>0</v>
      </c>
      <c r="BN180" s="4504">
        <f t="shared" si="254"/>
        <v>0</v>
      </c>
      <c r="BO180" s="4504">
        <f t="shared" si="255"/>
        <v>0</v>
      </c>
      <c r="BP180" s="4504">
        <f t="shared" si="256"/>
        <v>0</v>
      </c>
      <c r="BQ180" s="4504">
        <f t="shared" si="257"/>
        <v>0</v>
      </c>
      <c r="BR180" s="4504">
        <f t="shared" si="258"/>
        <v>0</v>
      </c>
      <c r="BS180" s="4504">
        <f t="shared" si="259"/>
        <v>0</v>
      </c>
      <c r="BT180" s="4504">
        <f t="shared" si="260"/>
        <v>0</v>
      </c>
      <c r="BU180" s="4504">
        <f t="shared" si="261"/>
        <v>0</v>
      </c>
      <c r="BV180" s="4504">
        <f t="shared" si="262"/>
        <v>0</v>
      </c>
      <c r="BW180" s="4504">
        <f t="shared" si="263"/>
        <v>0</v>
      </c>
      <c r="BX180" s="4504">
        <f t="shared" si="264"/>
        <v>0</v>
      </c>
      <c r="BY180" s="4504">
        <f t="shared" si="265"/>
        <v>0</v>
      </c>
    </row>
    <row r="181" spans="1:77" s="1323" customFormat="1">
      <c r="A181" s="2611">
        <v>10</v>
      </c>
      <c r="B181" s="2554">
        <v>2040201</v>
      </c>
      <c r="C181" s="2555">
        <v>0.02</v>
      </c>
      <c r="D181" s="2585" t="s">
        <v>738</v>
      </c>
      <c r="E181" s="2678">
        <f t="shared" si="230"/>
        <v>0</v>
      </c>
      <c r="F181" s="1228">
        <f t="shared" si="225"/>
        <v>0</v>
      </c>
      <c r="G181" s="1224">
        <f t="shared" si="225"/>
        <v>0</v>
      </c>
      <c r="H181" s="1224">
        <f t="shared" si="225"/>
        <v>0</v>
      </c>
      <c r="I181" s="1224">
        <f t="shared" si="225"/>
        <v>0</v>
      </c>
      <c r="J181" s="1224">
        <f t="shared" si="225"/>
        <v>0</v>
      </c>
      <c r="K181" s="1229">
        <f t="shared" si="225"/>
        <v>0</v>
      </c>
      <c r="L181" s="2678">
        <f t="shared" si="225"/>
        <v>0</v>
      </c>
      <c r="M181" s="1228">
        <f t="shared" si="226"/>
        <v>0</v>
      </c>
      <c r="N181" s="1224">
        <f t="shared" si="226"/>
        <v>0</v>
      </c>
      <c r="O181" s="1224">
        <f t="shared" si="226"/>
        <v>0</v>
      </c>
      <c r="P181" s="1224">
        <f t="shared" si="226"/>
        <v>0</v>
      </c>
      <c r="Q181" s="1224">
        <f t="shared" si="226"/>
        <v>0</v>
      </c>
      <c r="R181" s="1229">
        <f t="shared" si="226"/>
        <v>0</v>
      </c>
      <c r="S181" s="2678">
        <f t="shared" si="226"/>
        <v>0</v>
      </c>
      <c r="T181" s="1228">
        <f t="shared" si="227"/>
        <v>0</v>
      </c>
      <c r="U181" s="1224">
        <f t="shared" si="227"/>
        <v>0</v>
      </c>
      <c r="V181" s="1224">
        <f t="shared" si="227"/>
        <v>0</v>
      </c>
      <c r="W181" s="1224">
        <f t="shared" si="227"/>
        <v>0</v>
      </c>
      <c r="X181" s="1224">
        <f t="shared" si="227"/>
        <v>0</v>
      </c>
      <c r="Y181" s="1229">
        <f t="shared" si="227"/>
        <v>0</v>
      </c>
      <c r="Z181" s="2678">
        <f t="shared" si="227"/>
        <v>0</v>
      </c>
      <c r="AA181" s="1228">
        <f t="shared" si="228"/>
        <v>0</v>
      </c>
      <c r="AB181" s="1224">
        <f t="shared" si="228"/>
        <v>0</v>
      </c>
      <c r="AC181" s="1224">
        <f t="shared" si="228"/>
        <v>0</v>
      </c>
      <c r="AD181" s="1224">
        <f t="shared" si="228"/>
        <v>0</v>
      </c>
      <c r="AE181" s="1224">
        <f t="shared" si="228"/>
        <v>0</v>
      </c>
      <c r="AF181" s="1229">
        <f t="shared" si="228"/>
        <v>0</v>
      </c>
      <c r="AG181" s="2678">
        <f t="shared" si="228"/>
        <v>0</v>
      </c>
      <c r="AH181" s="1228">
        <f t="shared" si="228"/>
        <v>0</v>
      </c>
      <c r="AI181" s="1224">
        <f t="shared" si="228"/>
        <v>0</v>
      </c>
      <c r="AJ181" s="1224">
        <f t="shared" si="228"/>
        <v>0</v>
      </c>
      <c r="AK181" s="1224">
        <f t="shared" si="228"/>
        <v>0</v>
      </c>
      <c r="AL181" s="1224">
        <f t="shared" si="228"/>
        <v>0</v>
      </c>
      <c r="AM181" s="1229">
        <f t="shared" si="228"/>
        <v>0</v>
      </c>
      <c r="AN181" s="2551"/>
      <c r="AO181" s="2589"/>
      <c r="AP181" s="4488"/>
      <c r="AQ181" s="4504">
        <f t="shared" si="231"/>
        <v>0</v>
      </c>
      <c r="AR181" s="4504">
        <f t="shared" si="232"/>
        <v>0</v>
      </c>
      <c r="AS181" s="4504">
        <f t="shared" si="233"/>
        <v>0</v>
      </c>
      <c r="AT181" s="4504">
        <f t="shared" si="234"/>
        <v>0</v>
      </c>
      <c r="AU181" s="4504">
        <f t="shared" si="235"/>
        <v>0</v>
      </c>
      <c r="AV181" s="4504">
        <f t="shared" si="236"/>
        <v>0</v>
      </c>
      <c r="AW181" s="4504">
        <f t="shared" si="237"/>
        <v>0</v>
      </c>
      <c r="AX181" s="4504">
        <f t="shared" si="238"/>
        <v>0</v>
      </c>
      <c r="AY181" s="4504">
        <f t="shared" si="239"/>
        <v>0</v>
      </c>
      <c r="AZ181" s="4504">
        <f t="shared" si="240"/>
        <v>0</v>
      </c>
      <c r="BA181" s="4504">
        <f t="shared" si="241"/>
        <v>0</v>
      </c>
      <c r="BB181" s="4504">
        <f t="shared" si="242"/>
        <v>0</v>
      </c>
      <c r="BC181" s="4504">
        <f t="shared" si="243"/>
        <v>0</v>
      </c>
      <c r="BD181" s="4504">
        <f t="shared" si="244"/>
        <v>0</v>
      </c>
      <c r="BE181" s="4504">
        <f t="shared" si="245"/>
        <v>0</v>
      </c>
      <c r="BF181" s="4504">
        <f t="shared" si="246"/>
        <v>0</v>
      </c>
      <c r="BG181" s="4504">
        <f t="shared" si="247"/>
        <v>0</v>
      </c>
      <c r="BH181" s="4504">
        <f t="shared" si="248"/>
        <v>0</v>
      </c>
      <c r="BI181" s="4504">
        <f t="shared" si="249"/>
        <v>0</v>
      </c>
      <c r="BJ181" s="4504">
        <f t="shared" si="250"/>
        <v>0</v>
      </c>
      <c r="BK181" s="4504">
        <f t="shared" si="251"/>
        <v>0</v>
      </c>
      <c r="BL181" s="4504">
        <f t="shared" si="252"/>
        <v>0</v>
      </c>
      <c r="BM181" s="4504">
        <f t="shared" si="253"/>
        <v>0</v>
      </c>
      <c r="BN181" s="4504">
        <f t="shared" si="254"/>
        <v>0</v>
      </c>
      <c r="BO181" s="4504">
        <f t="shared" si="255"/>
        <v>0</v>
      </c>
      <c r="BP181" s="4504">
        <f t="shared" si="256"/>
        <v>0</v>
      </c>
      <c r="BQ181" s="4504">
        <f t="shared" si="257"/>
        <v>0</v>
      </c>
      <c r="BR181" s="4504">
        <f t="shared" si="258"/>
        <v>0</v>
      </c>
      <c r="BS181" s="4504">
        <f t="shared" si="259"/>
        <v>0</v>
      </c>
      <c r="BT181" s="4504">
        <f t="shared" si="260"/>
        <v>0</v>
      </c>
      <c r="BU181" s="4504">
        <f t="shared" si="261"/>
        <v>0</v>
      </c>
      <c r="BV181" s="4504">
        <f t="shared" si="262"/>
        <v>0</v>
      </c>
      <c r="BW181" s="4504">
        <f t="shared" si="263"/>
        <v>0</v>
      </c>
      <c r="BX181" s="4504">
        <f t="shared" si="264"/>
        <v>0</v>
      </c>
      <c r="BY181" s="4504">
        <f t="shared" si="265"/>
        <v>0</v>
      </c>
    </row>
    <row r="182" spans="1:77" s="1323" customFormat="1">
      <c r="A182" s="2611">
        <v>11</v>
      </c>
      <c r="B182" s="2554">
        <v>2040202</v>
      </c>
      <c r="C182" s="2555">
        <v>0.02</v>
      </c>
      <c r="D182" s="2585" t="s">
        <v>739</v>
      </c>
      <c r="E182" s="2678">
        <f t="shared" si="230"/>
        <v>90.360300328818767</v>
      </c>
      <c r="F182" s="1228">
        <f t="shared" si="225"/>
        <v>90.247402965948837</v>
      </c>
      <c r="G182" s="1224">
        <f t="shared" si="225"/>
        <v>91.08450560307891</v>
      </c>
      <c r="H182" s="1224">
        <f t="shared" si="225"/>
        <v>91.86160824020898</v>
      </c>
      <c r="I182" s="1224">
        <f t="shared" si="225"/>
        <v>92.578710877339063</v>
      </c>
      <c r="J182" s="1224">
        <f t="shared" si="225"/>
        <v>93.235813514469129</v>
      </c>
      <c r="K182" s="1229">
        <f t="shared" si="225"/>
        <v>93.832916151599193</v>
      </c>
      <c r="L182" s="2678">
        <f t="shared" si="225"/>
        <v>0</v>
      </c>
      <c r="M182" s="1228">
        <f t="shared" si="226"/>
        <v>0</v>
      </c>
      <c r="N182" s="1224">
        <f t="shared" si="226"/>
        <v>0</v>
      </c>
      <c r="O182" s="1224">
        <f t="shared" si="226"/>
        <v>0</v>
      </c>
      <c r="P182" s="1224">
        <f t="shared" si="226"/>
        <v>0</v>
      </c>
      <c r="Q182" s="1224">
        <f t="shared" si="226"/>
        <v>0</v>
      </c>
      <c r="R182" s="1229">
        <f t="shared" si="226"/>
        <v>0</v>
      </c>
      <c r="S182" s="2678">
        <f t="shared" si="226"/>
        <v>0</v>
      </c>
      <c r="T182" s="1228">
        <f t="shared" si="227"/>
        <v>0</v>
      </c>
      <c r="U182" s="1224">
        <f t="shared" si="227"/>
        <v>0</v>
      </c>
      <c r="V182" s="1224">
        <f t="shared" si="227"/>
        <v>0</v>
      </c>
      <c r="W182" s="1224">
        <f t="shared" si="227"/>
        <v>0</v>
      </c>
      <c r="X182" s="1224">
        <f t="shared" si="227"/>
        <v>0</v>
      </c>
      <c r="Y182" s="1229">
        <f t="shared" si="227"/>
        <v>0</v>
      </c>
      <c r="Z182" s="2678">
        <f t="shared" si="227"/>
        <v>0</v>
      </c>
      <c r="AA182" s="1228">
        <f t="shared" si="228"/>
        <v>0</v>
      </c>
      <c r="AB182" s="1224">
        <f t="shared" si="228"/>
        <v>0</v>
      </c>
      <c r="AC182" s="1224">
        <f t="shared" si="228"/>
        <v>0</v>
      </c>
      <c r="AD182" s="1224">
        <f t="shared" si="228"/>
        <v>0</v>
      </c>
      <c r="AE182" s="1224">
        <f t="shared" si="228"/>
        <v>0</v>
      </c>
      <c r="AF182" s="1229">
        <f t="shared" si="228"/>
        <v>0</v>
      </c>
      <c r="AG182" s="2678">
        <f t="shared" si="228"/>
        <v>21.487539671181242</v>
      </c>
      <c r="AH182" s="1228">
        <f t="shared" si="228"/>
        <v>20.991857034051172</v>
      </c>
      <c r="AI182" s="1224">
        <f t="shared" si="228"/>
        <v>94.746174396921106</v>
      </c>
      <c r="AJ182" s="1224">
        <f t="shared" si="228"/>
        <v>112.55049175979103</v>
      </c>
      <c r="AK182" s="1224">
        <f t="shared" si="228"/>
        <v>125.00480912266094</v>
      </c>
      <c r="AL182" s="1224">
        <f t="shared" si="228"/>
        <v>122.30912648553087</v>
      </c>
      <c r="AM182" s="1229">
        <f t="shared" si="228"/>
        <v>119.61344384840079</v>
      </c>
      <c r="AN182" s="2551"/>
      <c r="AO182" s="2589"/>
      <c r="AP182" s="4488"/>
      <c r="AQ182" s="4504">
        <f t="shared" si="231"/>
        <v>46.200487940577027</v>
      </c>
      <c r="AR182" s="4504">
        <f t="shared" si="232"/>
        <v>46.142764435533167</v>
      </c>
      <c r="AS182" s="4504">
        <f t="shared" si="233"/>
        <v>46.570768217625719</v>
      </c>
      <c r="AT182" s="4504">
        <f t="shared" si="234"/>
        <v>46.968094486846496</v>
      </c>
      <c r="AU182" s="4504">
        <f t="shared" si="235"/>
        <v>47.334743243195504</v>
      </c>
      <c r="AV182" s="4504">
        <f t="shared" si="236"/>
        <v>47.670714486672736</v>
      </c>
      <c r="AW182" s="4504">
        <f t="shared" si="237"/>
        <v>47.976008217278185</v>
      </c>
      <c r="AX182" s="4504">
        <f t="shared" si="238"/>
        <v>0</v>
      </c>
      <c r="AY182" s="4504">
        <f t="shared" si="239"/>
        <v>0</v>
      </c>
      <c r="AZ182" s="4504">
        <f t="shared" si="240"/>
        <v>0</v>
      </c>
      <c r="BA182" s="4504">
        <f t="shared" si="241"/>
        <v>0</v>
      </c>
      <c r="BB182" s="4504">
        <f t="shared" si="242"/>
        <v>0</v>
      </c>
      <c r="BC182" s="4504">
        <f t="shared" si="243"/>
        <v>0</v>
      </c>
      <c r="BD182" s="4504">
        <f t="shared" si="244"/>
        <v>0</v>
      </c>
      <c r="BE182" s="4504">
        <f t="shared" si="245"/>
        <v>0</v>
      </c>
      <c r="BF182" s="4504">
        <f t="shared" si="246"/>
        <v>0</v>
      </c>
      <c r="BG182" s="4504">
        <f t="shared" si="247"/>
        <v>0</v>
      </c>
      <c r="BH182" s="4504">
        <f t="shared" si="248"/>
        <v>0</v>
      </c>
      <c r="BI182" s="4504">
        <f t="shared" si="249"/>
        <v>0</v>
      </c>
      <c r="BJ182" s="4504">
        <f t="shared" si="250"/>
        <v>0</v>
      </c>
      <c r="BK182" s="4504">
        <f t="shared" si="251"/>
        <v>0</v>
      </c>
      <c r="BL182" s="4504">
        <f t="shared" si="252"/>
        <v>0</v>
      </c>
      <c r="BM182" s="4504">
        <f t="shared" si="253"/>
        <v>0</v>
      </c>
      <c r="BN182" s="4504">
        <f t="shared" si="254"/>
        <v>0</v>
      </c>
      <c r="BO182" s="4504">
        <f t="shared" si="255"/>
        <v>0</v>
      </c>
      <c r="BP182" s="4504">
        <f t="shared" si="256"/>
        <v>0</v>
      </c>
      <c r="BQ182" s="4504">
        <f t="shared" si="257"/>
        <v>0</v>
      </c>
      <c r="BR182" s="4504">
        <f t="shared" si="258"/>
        <v>0</v>
      </c>
      <c r="BS182" s="4504">
        <f t="shared" si="259"/>
        <v>10.986404580756631</v>
      </c>
      <c r="BT182" s="4504">
        <f t="shared" si="260"/>
        <v>10.732966072742096</v>
      </c>
      <c r="BU182" s="4504">
        <f t="shared" si="261"/>
        <v>48.442949743546784</v>
      </c>
      <c r="BV182" s="4504">
        <f t="shared" si="262"/>
        <v>57.546152661423044</v>
      </c>
      <c r="BW182" s="4504">
        <f t="shared" si="263"/>
        <v>63.913944014899528</v>
      </c>
      <c r="BX182" s="4504">
        <f t="shared" si="264"/>
        <v>62.53566336825331</v>
      </c>
      <c r="BY182" s="4504">
        <f t="shared" si="265"/>
        <v>61.157382721607092</v>
      </c>
    </row>
    <row r="183" spans="1:77" s="1323" customFormat="1">
      <c r="A183" s="2611">
        <v>12</v>
      </c>
      <c r="B183" s="2554">
        <v>2040203</v>
      </c>
      <c r="C183" s="2555">
        <v>0.02</v>
      </c>
      <c r="D183" s="2585" t="s">
        <v>418</v>
      </c>
      <c r="E183" s="2678">
        <f t="shared" si="230"/>
        <v>0</v>
      </c>
      <c r="F183" s="1228">
        <f t="shared" si="225"/>
        <v>0</v>
      </c>
      <c r="G183" s="1224">
        <f t="shared" si="225"/>
        <v>0</v>
      </c>
      <c r="H183" s="1224">
        <f t="shared" si="225"/>
        <v>0</v>
      </c>
      <c r="I183" s="1224">
        <f t="shared" si="225"/>
        <v>0</v>
      </c>
      <c r="J183" s="1224">
        <f t="shared" si="225"/>
        <v>0</v>
      </c>
      <c r="K183" s="1229">
        <f t="shared" si="225"/>
        <v>0</v>
      </c>
      <c r="L183" s="2678">
        <f t="shared" si="225"/>
        <v>0</v>
      </c>
      <c r="M183" s="1228">
        <f t="shared" si="226"/>
        <v>0</v>
      </c>
      <c r="N183" s="1224">
        <f t="shared" si="226"/>
        <v>0</v>
      </c>
      <c r="O183" s="1224">
        <f t="shared" si="226"/>
        <v>0</v>
      </c>
      <c r="P183" s="1224">
        <f t="shared" si="226"/>
        <v>0</v>
      </c>
      <c r="Q183" s="1224">
        <f t="shared" si="226"/>
        <v>0</v>
      </c>
      <c r="R183" s="1229">
        <f t="shared" si="226"/>
        <v>0</v>
      </c>
      <c r="S183" s="2678">
        <f t="shared" si="226"/>
        <v>0</v>
      </c>
      <c r="T183" s="1228">
        <f t="shared" si="227"/>
        <v>0</v>
      </c>
      <c r="U183" s="1224">
        <f t="shared" si="227"/>
        <v>0</v>
      </c>
      <c r="V183" s="1224">
        <f t="shared" si="227"/>
        <v>0</v>
      </c>
      <c r="W183" s="1224">
        <f t="shared" si="227"/>
        <v>0</v>
      </c>
      <c r="X183" s="1224">
        <f t="shared" si="227"/>
        <v>0</v>
      </c>
      <c r="Y183" s="1229">
        <f t="shared" si="227"/>
        <v>0</v>
      </c>
      <c r="Z183" s="2678">
        <f t="shared" si="227"/>
        <v>0</v>
      </c>
      <c r="AA183" s="1228">
        <f t="shared" si="228"/>
        <v>0</v>
      </c>
      <c r="AB183" s="1224">
        <f t="shared" si="228"/>
        <v>0</v>
      </c>
      <c r="AC183" s="1224">
        <f t="shared" si="228"/>
        <v>0</v>
      </c>
      <c r="AD183" s="1224">
        <f t="shared" si="228"/>
        <v>0</v>
      </c>
      <c r="AE183" s="1224">
        <f t="shared" si="228"/>
        <v>0</v>
      </c>
      <c r="AF183" s="1229">
        <f t="shared" si="228"/>
        <v>0</v>
      </c>
      <c r="AG183" s="2678">
        <f t="shared" si="228"/>
        <v>0</v>
      </c>
      <c r="AH183" s="1228">
        <f t="shared" si="228"/>
        <v>0</v>
      </c>
      <c r="AI183" s="1224">
        <f t="shared" si="228"/>
        <v>0</v>
      </c>
      <c r="AJ183" s="1224">
        <f t="shared" si="228"/>
        <v>0</v>
      </c>
      <c r="AK183" s="1224">
        <f t="shared" si="228"/>
        <v>0</v>
      </c>
      <c r="AL183" s="1224">
        <f t="shared" si="228"/>
        <v>0</v>
      </c>
      <c r="AM183" s="1229">
        <f t="shared" si="228"/>
        <v>0</v>
      </c>
      <c r="AN183" s="2551"/>
      <c r="AO183" s="2589"/>
      <c r="AP183" s="4488"/>
      <c r="AQ183" s="4504">
        <f t="shared" si="231"/>
        <v>0</v>
      </c>
      <c r="AR183" s="4504">
        <f t="shared" si="232"/>
        <v>0</v>
      </c>
      <c r="AS183" s="4504">
        <f t="shared" si="233"/>
        <v>0</v>
      </c>
      <c r="AT183" s="4504">
        <f t="shared" si="234"/>
        <v>0</v>
      </c>
      <c r="AU183" s="4504">
        <f t="shared" si="235"/>
        <v>0</v>
      </c>
      <c r="AV183" s="4504">
        <f t="shared" si="236"/>
        <v>0</v>
      </c>
      <c r="AW183" s="4504">
        <f t="shared" si="237"/>
        <v>0</v>
      </c>
      <c r="AX183" s="4504">
        <f t="shared" si="238"/>
        <v>0</v>
      </c>
      <c r="AY183" s="4504">
        <f t="shared" si="239"/>
        <v>0</v>
      </c>
      <c r="AZ183" s="4504">
        <f t="shared" si="240"/>
        <v>0</v>
      </c>
      <c r="BA183" s="4504">
        <f t="shared" si="241"/>
        <v>0</v>
      </c>
      <c r="BB183" s="4504">
        <f t="shared" si="242"/>
        <v>0</v>
      </c>
      <c r="BC183" s="4504">
        <f t="shared" si="243"/>
        <v>0</v>
      </c>
      <c r="BD183" s="4504">
        <f t="shared" si="244"/>
        <v>0</v>
      </c>
      <c r="BE183" s="4504">
        <f t="shared" si="245"/>
        <v>0</v>
      </c>
      <c r="BF183" s="4504">
        <f t="shared" si="246"/>
        <v>0</v>
      </c>
      <c r="BG183" s="4504">
        <f t="shared" si="247"/>
        <v>0</v>
      </c>
      <c r="BH183" s="4504">
        <f t="shared" si="248"/>
        <v>0</v>
      </c>
      <c r="BI183" s="4504">
        <f t="shared" si="249"/>
        <v>0</v>
      </c>
      <c r="BJ183" s="4504">
        <f t="shared" si="250"/>
        <v>0</v>
      </c>
      <c r="BK183" s="4504">
        <f t="shared" si="251"/>
        <v>0</v>
      </c>
      <c r="BL183" s="4504">
        <f t="shared" si="252"/>
        <v>0</v>
      </c>
      <c r="BM183" s="4504">
        <f t="shared" si="253"/>
        <v>0</v>
      </c>
      <c r="BN183" s="4504">
        <f t="shared" si="254"/>
        <v>0</v>
      </c>
      <c r="BO183" s="4504">
        <f t="shared" si="255"/>
        <v>0</v>
      </c>
      <c r="BP183" s="4504">
        <f t="shared" si="256"/>
        <v>0</v>
      </c>
      <c r="BQ183" s="4504">
        <f t="shared" si="257"/>
        <v>0</v>
      </c>
      <c r="BR183" s="4504">
        <f t="shared" si="258"/>
        <v>0</v>
      </c>
      <c r="BS183" s="4504">
        <f t="shared" si="259"/>
        <v>0</v>
      </c>
      <c r="BT183" s="4504">
        <f t="shared" si="260"/>
        <v>0</v>
      </c>
      <c r="BU183" s="4504">
        <f t="shared" si="261"/>
        <v>0</v>
      </c>
      <c r="BV183" s="4504">
        <f t="shared" si="262"/>
        <v>0</v>
      </c>
      <c r="BW183" s="4504">
        <f t="shared" si="263"/>
        <v>0</v>
      </c>
      <c r="BX183" s="4504">
        <f t="shared" si="264"/>
        <v>0</v>
      </c>
      <c r="BY183" s="4504">
        <f t="shared" si="265"/>
        <v>0</v>
      </c>
    </row>
    <row r="184" spans="1:77" s="1323" customFormat="1">
      <c r="A184" s="2611">
        <v>13</v>
      </c>
      <c r="B184" s="2554">
        <v>2040204</v>
      </c>
      <c r="C184" s="2555">
        <v>0.02</v>
      </c>
      <c r="D184" s="2584" t="s">
        <v>419</v>
      </c>
      <c r="E184" s="2678">
        <f t="shared" si="230"/>
        <v>0</v>
      </c>
      <c r="F184" s="1228">
        <f t="shared" si="225"/>
        <v>1.98</v>
      </c>
      <c r="G184" s="1224">
        <f t="shared" si="225"/>
        <v>3.92</v>
      </c>
      <c r="H184" s="1224">
        <f t="shared" si="225"/>
        <v>5.82</v>
      </c>
      <c r="I184" s="1224">
        <f t="shared" si="225"/>
        <v>7.68</v>
      </c>
      <c r="J184" s="1224">
        <f t="shared" si="225"/>
        <v>9.5</v>
      </c>
      <c r="K184" s="1229">
        <f t="shared" si="225"/>
        <v>11.28</v>
      </c>
      <c r="L184" s="2678">
        <f t="shared" si="225"/>
        <v>0</v>
      </c>
      <c r="M184" s="1228">
        <f t="shared" si="226"/>
        <v>0</v>
      </c>
      <c r="N184" s="1224">
        <f t="shared" si="226"/>
        <v>0</v>
      </c>
      <c r="O184" s="1224">
        <f t="shared" si="226"/>
        <v>0</v>
      </c>
      <c r="P184" s="1224">
        <f t="shared" si="226"/>
        <v>0</v>
      </c>
      <c r="Q184" s="1224">
        <f t="shared" si="226"/>
        <v>0</v>
      </c>
      <c r="R184" s="1229">
        <f t="shared" si="226"/>
        <v>0</v>
      </c>
      <c r="S184" s="2678">
        <f t="shared" si="226"/>
        <v>0</v>
      </c>
      <c r="T184" s="1228">
        <f t="shared" si="227"/>
        <v>0</v>
      </c>
      <c r="U184" s="1224">
        <f t="shared" si="227"/>
        <v>0</v>
      </c>
      <c r="V184" s="1224">
        <f t="shared" si="227"/>
        <v>0</v>
      </c>
      <c r="W184" s="1224">
        <f t="shared" si="227"/>
        <v>0</v>
      </c>
      <c r="X184" s="1224">
        <f t="shared" si="227"/>
        <v>0</v>
      </c>
      <c r="Y184" s="1229">
        <f t="shared" si="227"/>
        <v>0</v>
      </c>
      <c r="Z184" s="2678">
        <f t="shared" si="227"/>
        <v>0</v>
      </c>
      <c r="AA184" s="1228">
        <f t="shared" si="228"/>
        <v>0</v>
      </c>
      <c r="AB184" s="1224">
        <f t="shared" si="228"/>
        <v>0</v>
      </c>
      <c r="AC184" s="1224">
        <f t="shared" si="228"/>
        <v>0</v>
      </c>
      <c r="AD184" s="1224">
        <f t="shared" si="228"/>
        <v>0</v>
      </c>
      <c r="AE184" s="1224">
        <f t="shared" si="228"/>
        <v>0</v>
      </c>
      <c r="AF184" s="1229">
        <f t="shared" si="228"/>
        <v>0</v>
      </c>
      <c r="AG184" s="2678">
        <f t="shared" si="228"/>
        <v>0</v>
      </c>
      <c r="AH184" s="1228">
        <f t="shared" si="228"/>
        <v>0</v>
      </c>
      <c r="AI184" s="1224">
        <f t="shared" si="228"/>
        <v>34.65</v>
      </c>
      <c r="AJ184" s="1224">
        <f t="shared" si="228"/>
        <v>33.950000000000003</v>
      </c>
      <c r="AK184" s="1224">
        <f t="shared" si="228"/>
        <v>33.25</v>
      </c>
      <c r="AL184" s="1224">
        <f t="shared" si="228"/>
        <v>72.150000000000006</v>
      </c>
      <c r="AM184" s="1229">
        <f t="shared" si="228"/>
        <v>110.25</v>
      </c>
      <c r="AN184" s="2551"/>
      <c r="AO184" s="2589"/>
      <c r="AP184" s="4488"/>
      <c r="AQ184" s="4504">
        <f t="shared" si="231"/>
        <v>0</v>
      </c>
      <c r="AR184" s="4504">
        <f t="shared" si="232"/>
        <v>1.0123579247685126</v>
      </c>
      <c r="AS184" s="4504">
        <f t="shared" si="233"/>
        <v>2.0042641742891765</v>
      </c>
      <c r="AT184" s="4504">
        <f t="shared" si="234"/>
        <v>2.9757187485619916</v>
      </c>
      <c r="AU184" s="4504">
        <f t="shared" si="235"/>
        <v>3.926721647586958</v>
      </c>
      <c r="AV184" s="4504">
        <f t="shared" si="236"/>
        <v>4.857272871364076</v>
      </c>
      <c r="AW184" s="4504">
        <f t="shared" si="237"/>
        <v>5.767372419893344</v>
      </c>
      <c r="AX184" s="4504">
        <f t="shared" si="238"/>
        <v>0</v>
      </c>
      <c r="AY184" s="4504">
        <f t="shared" si="239"/>
        <v>0</v>
      </c>
      <c r="AZ184" s="4504">
        <f t="shared" si="240"/>
        <v>0</v>
      </c>
      <c r="BA184" s="4504">
        <f t="shared" si="241"/>
        <v>0</v>
      </c>
      <c r="BB184" s="4504">
        <f t="shared" si="242"/>
        <v>0</v>
      </c>
      <c r="BC184" s="4504">
        <f t="shared" si="243"/>
        <v>0</v>
      </c>
      <c r="BD184" s="4504">
        <f t="shared" si="244"/>
        <v>0</v>
      </c>
      <c r="BE184" s="4504">
        <f t="shared" si="245"/>
        <v>0</v>
      </c>
      <c r="BF184" s="4504">
        <f t="shared" si="246"/>
        <v>0</v>
      </c>
      <c r="BG184" s="4504">
        <f t="shared" si="247"/>
        <v>0</v>
      </c>
      <c r="BH184" s="4504">
        <f t="shared" si="248"/>
        <v>0</v>
      </c>
      <c r="BI184" s="4504">
        <f t="shared" si="249"/>
        <v>0</v>
      </c>
      <c r="BJ184" s="4504">
        <f t="shared" si="250"/>
        <v>0</v>
      </c>
      <c r="BK184" s="4504">
        <f t="shared" si="251"/>
        <v>0</v>
      </c>
      <c r="BL184" s="4504">
        <f t="shared" si="252"/>
        <v>0</v>
      </c>
      <c r="BM184" s="4504">
        <f t="shared" si="253"/>
        <v>0</v>
      </c>
      <c r="BN184" s="4504">
        <f t="shared" si="254"/>
        <v>0</v>
      </c>
      <c r="BO184" s="4504">
        <f t="shared" si="255"/>
        <v>0</v>
      </c>
      <c r="BP184" s="4504">
        <f t="shared" si="256"/>
        <v>0</v>
      </c>
      <c r="BQ184" s="4504">
        <f t="shared" si="257"/>
        <v>0</v>
      </c>
      <c r="BR184" s="4504">
        <f t="shared" si="258"/>
        <v>0</v>
      </c>
      <c r="BS184" s="4504">
        <f t="shared" si="259"/>
        <v>0</v>
      </c>
      <c r="BT184" s="4504">
        <f t="shared" si="260"/>
        <v>0</v>
      </c>
      <c r="BU184" s="4504">
        <f t="shared" si="261"/>
        <v>17.716263683448972</v>
      </c>
      <c r="BV184" s="4504">
        <f t="shared" si="262"/>
        <v>17.358359366611619</v>
      </c>
      <c r="BW184" s="4504">
        <f t="shared" si="263"/>
        <v>17.000455049774263</v>
      </c>
      <c r="BX184" s="4504">
        <f t="shared" si="264"/>
        <v>36.889709228307169</v>
      </c>
      <c r="BY184" s="4504">
        <f t="shared" si="265"/>
        <v>56.36992990188309</v>
      </c>
    </row>
    <row r="185" spans="1:77" s="1323" customFormat="1">
      <c r="A185" s="2611">
        <v>14</v>
      </c>
      <c r="B185" s="2554">
        <v>2040205</v>
      </c>
      <c r="C185" s="2555">
        <v>0.02</v>
      </c>
      <c r="D185" s="2585" t="s">
        <v>420</v>
      </c>
      <c r="E185" s="2678">
        <f t="shared" si="230"/>
        <v>3098.4793398968022</v>
      </c>
      <c r="F185" s="1228">
        <f t="shared" si="225"/>
        <v>3449.1487631397886</v>
      </c>
      <c r="G185" s="1224">
        <f t="shared" si="225"/>
        <v>3891.760686382775</v>
      </c>
      <c r="H185" s="1224">
        <f t="shared" si="225"/>
        <v>4331.9726096257609</v>
      </c>
      <c r="I185" s="1224">
        <f t="shared" si="225"/>
        <v>4772.5945328687476</v>
      </c>
      <c r="J185" s="1224">
        <f t="shared" si="225"/>
        <v>5204.496456111734</v>
      </c>
      <c r="K185" s="1229">
        <f t="shared" si="225"/>
        <v>5627.6383793547193</v>
      </c>
      <c r="L185" s="2678">
        <f t="shared" si="225"/>
        <v>0</v>
      </c>
      <c r="M185" s="1228">
        <f t="shared" si="226"/>
        <v>0</v>
      </c>
      <c r="N185" s="1224">
        <f t="shared" si="226"/>
        <v>0</v>
      </c>
      <c r="O185" s="1224">
        <f t="shared" si="226"/>
        <v>0</v>
      </c>
      <c r="P185" s="1224">
        <f t="shared" si="226"/>
        <v>0</v>
      </c>
      <c r="Q185" s="1224">
        <f t="shared" si="226"/>
        <v>0</v>
      </c>
      <c r="R185" s="1229">
        <f t="shared" si="226"/>
        <v>0</v>
      </c>
      <c r="S185" s="2678">
        <f t="shared" si="226"/>
        <v>12.24981</v>
      </c>
      <c r="T185" s="1228">
        <f t="shared" si="227"/>
        <v>11.99985</v>
      </c>
      <c r="U185" s="1224">
        <f t="shared" si="227"/>
        <v>11.749890000000001</v>
      </c>
      <c r="V185" s="1224">
        <f t="shared" si="227"/>
        <v>11.499929999999999</v>
      </c>
      <c r="W185" s="1224">
        <f t="shared" si="227"/>
        <v>11.249969999999999</v>
      </c>
      <c r="X185" s="1224">
        <f t="shared" si="227"/>
        <v>11.00001</v>
      </c>
      <c r="Y185" s="1229">
        <f t="shared" si="227"/>
        <v>10.75005</v>
      </c>
      <c r="Z185" s="2678">
        <f t="shared" si="227"/>
        <v>0</v>
      </c>
      <c r="AA185" s="1228">
        <f t="shared" si="228"/>
        <v>0</v>
      </c>
      <c r="AB185" s="1224">
        <f t="shared" si="228"/>
        <v>0</v>
      </c>
      <c r="AC185" s="1224">
        <f t="shared" si="228"/>
        <v>0</v>
      </c>
      <c r="AD185" s="1224">
        <f t="shared" si="228"/>
        <v>0</v>
      </c>
      <c r="AE185" s="1224">
        <f t="shared" si="228"/>
        <v>0</v>
      </c>
      <c r="AF185" s="1229">
        <f t="shared" si="228"/>
        <v>0</v>
      </c>
      <c r="AG185" s="2678">
        <f t="shared" si="228"/>
        <v>38.839310103196233</v>
      </c>
      <c r="AH185" s="1228">
        <f t="shared" si="228"/>
        <v>38.344920160210044</v>
      </c>
      <c r="AI185" s="1224">
        <f t="shared" si="228"/>
        <v>117.05053021722385</v>
      </c>
      <c r="AJ185" s="1224">
        <f t="shared" si="228"/>
        <v>189.20614027423767</v>
      </c>
      <c r="AK185" s="1224">
        <f t="shared" si="228"/>
        <v>259.86175033125147</v>
      </c>
      <c r="AL185" s="1224">
        <f t="shared" si="228"/>
        <v>329.01736038826527</v>
      </c>
      <c r="AM185" s="1229">
        <f t="shared" si="228"/>
        <v>396.67297044527913</v>
      </c>
      <c r="AN185" s="2551"/>
      <c r="AO185" s="2589"/>
      <c r="AP185" s="4488"/>
      <c r="AQ185" s="4504">
        <f t="shared" si="231"/>
        <v>1584.2273305434533</v>
      </c>
      <c r="AR185" s="4504">
        <f t="shared" si="232"/>
        <v>1763.5217596313528</v>
      </c>
      <c r="AS185" s="4504">
        <f t="shared" si="233"/>
        <v>1989.8256425061356</v>
      </c>
      <c r="AT185" s="4504">
        <f t="shared" si="234"/>
        <v>2214.9024248660471</v>
      </c>
      <c r="AU185" s="4504">
        <f t="shared" si="235"/>
        <v>2440.1888368972495</v>
      </c>
      <c r="AV185" s="4504">
        <f t="shared" si="236"/>
        <v>2661.0167837244207</v>
      </c>
      <c r="AW185" s="4504">
        <f t="shared" si="237"/>
        <v>2877.3658136723129</v>
      </c>
      <c r="AX185" s="4504">
        <f t="shared" si="238"/>
        <v>0</v>
      </c>
      <c r="AY185" s="4504">
        <f t="shared" si="239"/>
        <v>0</v>
      </c>
      <c r="AZ185" s="4504">
        <f t="shared" si="240"/>
        <v>0</v>
      </c>
      <c r="BA185" s="4504">
        <f t="shared" si="241"/>
        <v>0</v>
      </c>
      <c r="BB185" s="4504">
        <f t="shared" si="242"/>
        <v>0</v>
      </c>
      <c r="BC185" s="4504">
        <f t="shared" si="243"/>
        <v>0</v>
      </c>
      <c r="BD185" s="4504">
        <f t="shared" si="244"/>
        <v>0</v>
      </c>
      <c r="BE185" s="4504">
        <f t="shared" si="245"/>
        <v>6.2632283991962492</v>
      </c>
      <c r="BF185" s="4504">
        <f t="shared" si="246"/>
        <v>6.1354258805724431</v>
      </c>
      <c r="BG185" s="4504">
        <f t="shared" si="247"/>
        <v>6.0076233619486361</v>
      </c>
      <c r="BH185" s="4504">
        <f t="shared" si="248"/>
        <v>5.8798208433248282</v>
      </c>
      <c r="BI185" s="4504">
        <f t="shared" si="249"/>
        <v>5.7520183247010221</v>
      </c>
      <c r="BJ185" s="4504">
        <f t="shared" si="250"/>
        <v>5.6242158060772152</v>
      </c>
      <c r="BK185" s="4504">
        <f t="shared" si="251"/>
        <v>5.4964132874534082</v>
      </c>
      <c r="BL185" s="4504">
        <f t="shared" si="252"/>
        <v>0</v>
      </c>
      <c r="BM185" s="4504">
        <f t="shared" si="253"/>
        <v>0</v>
      </c>
      <c r="BN185" s="4504">
        <f t="shared" si="254"/>
        <v>0</v>
      </c>
      <c r="BO185" s="4504">
        <f t="shared" si="255"/>
        <v>0</v>
      </c>
      <c r="BP185" s="4504">
        <f t="shared" si="256"/>
        <v>0</v>
      </c>
      <c r="BQ185" s="4504">
        <f t="shared" si="257"/>
        <v>0</v>
      </c>
      <c r="BR185" s="4504">
        <f t="shared" si="258"/>
        <v>0</v>
      </c>
      <c r="BS185" s="4504">
        <f t="shared" si="259"/>
        <v>19.858223927026497</v>
      </c>
      <c r="BT185" s="4504">
        <f t="shared" si="260"/>
        <v>19.605446363032598</v>
      </c>
      <c r="BU185" s="4504">
        <f t="shared" si="261"/>
        <v>59.846985789779204</v>
      </c>
      <c r="BV185" s="4504">
        <f t="shared" si="262"/>
        <v>96.739563394690578</v>
      </c>
      <c r="BW185" s="4504">
        <f t="shared" si="263"/>
        <v>132.86520317780762</v>
      </c>
      <c r="BX185" s="4504">
        <f t="shared" si="264"/>
        <v>168.22390513913032</v>
      </c>
      <c r="BY185" s="4504">
        <f t="shared" si="265"/>
        <v>202.81566927865876</v>
      </c>
    </row>
    <row r="186" spans="1:77" s="1323" customFormat="1">
      <c r="A186" s="2611">
        <v>15</v>
      </c>
      <c r="B186" s="2554">
        <v>2040206</v>
      </c>
      <c r="C186" s="2555">
        <v>0.02</v>
      </c>
      <c r="D186" s="2590" t="s">
        <v>421</v>
      </c>
      <c r="E186" s="2678">
        <f t="shared" si="230"/>
        <v>0</v>
      </c>
      <c r="F186" s="1228">
        <f t="shared" si="225"/>
        <v>0</v>
      </c>
      <c r="G186" s="1224">
        <f t="shared" si="225"/>
        <v>0</v>
      </c>
      <c r="H186" s="1224">
        <f t="shared" si="225"/>
        <v>0</v>
      </c>
      <c r="I186" s="1224">
        <f t="shared" si="225"/>
        <v>0</v>
      </c>
      <c r="J186" s="1224">
        <f t="shared" si="225"/>
        <v>0</v>
      </c>
      <c r="K186" s="1229">
        <f t="shared" si="225"/>
        <v>0</v>
      </c>
      <c r="L186" s="2678">
        <f t="shared" si="225"/>
        <v>75.280409999999989</v>
      </c>
      <c r="M186" s="1228">
        <f t="shared" si="226"/>
        <v>93.581199299999994</v>
      </c>
      <c r="N186" s="1224">
        <f t="shared" si="226"/>
        <v>96.6319886</v>
      </c>
      <c r="O186" s="1224">
        <f t="shared" si="226"/>
        <v>99.582777899999996</v>
      </c>
      <c r="P186" s="1224">
        <f t="shared" si="226"/>
        <v>102.4335672</v>
      </c>
      <c r="Q186" s="1224">
        <f t="shared" si="226"/>
        <v>105.18435649999999</v>
      </c>
      <c r="R186" s="1229">
        <f t="shared" si="226"/>
        <v>107.83514579999999</v>
      </c>
      <c r="S186" s="2678">
        <f t="shared" si="226"/>
        <v>0</v>
      </c>
      <c r="T186" s="1228">
        <f t="shared" si="227"/>
        <v>0</v>
      </c>
      <c r="U186" s="1224">
        <f t="shared" si="227"/>
        <v>0</v>
      </c>
      <c r="V186" s="1224">
        <f t="shared" si="227"/>
        <v>0</v>
      </c>
      <c r="W186" s="1224">
        <f t="shared" si="227"/>
        <v>0</v>
      </c>
      <c r="X186" s="1224">
        <f t="shared" si="227"/>
        <v>0</v>
      </c>
      <c r="Y186" s="1229">
        <f t="shared" si="227"/>
        <v>0</v>
      </c>
      <c r="Z186" s="2678">
        <f t="shared" si="227"/>
        <v>0</v>
      </c>
      <c r="AA186" s="1228">
        <f t="shared" si="228"/>
        <v>0</v>
      </c>
      <c r="AB186" s="1224">
        <f t="shared" si="228"/>
        <v>0</v>
      </c>
      <c r="AC186" s="1224">
        <f t="shared" si="228"/>
        <v>0</v>
      </c>
      <c r="AD186" s="1224">
        <f t="shared" si="228"/>
        <v>0</v>
      </c>
      <c r="AE186" s="1224">
        <f t="shared" si="228"/>
        <v>0</v>
      </c>
      <c r="AF186" s="1229">
        <f t="shared" si="228"/>
        <v>0</v>
      </c>
      <c r="AG186" s="2678">
        <f t="shared" si="228"/>
        <v>0</v>
      </c>
      <c r="AH186" s="1228">
        <f t="shared" si="228"/>
        <v>0</v>
      </c>
      <c r="AI186" s="1224">
        <f t="shared" si="228"/>
        <v>0</v>
      </c>
      <c r="AJ186" s="1224">
        <f t="shared" si="228"/>
        <v>0</v>
      </c>
      <c r="AK186" s="1224">
        <f t="shared" si="228"/>
        <v>0</v>
      </c>
      <c r="AL186" s="1224">
        <f t="shared" si="228"/>
        <v>0</v>
      </c>
      <c r="AM186" s="1229">
        <f t="shared" si="228"/>
        <v>0</v>
      </c>
      <c r="AN186" s="2551"/>
      <c r="AO186" s="2589"/>
      <c r="AP186" s="4488"/>
      <c r="AQ186" s="4504">
        <f t="shared" si="231"/>
        <v>0</v>
      </c>
      <c r="AR186" s="4504">
        <f t="shared" si="232"/>
        <v>0</v>
      </c>
      <c r="AS186" s="4504">
        <f t="shared" si="233"/>
        <v>0</v>
      </c>
      <c r="AT186" s="4504">
        <f t="shared" si="234"/>
        <v>0</v>
      </c>
      <c r="AU186" s="4504">
        <f t="shared" si="235"/>
        <v>0</v>
      </c>
      <c r="AV186" s="4504">
        <f t="shared" si="236"/>
        <v>0</v>
      </c>
      <c r="AW186" s="4504">
        <f t="shared" si="237"/>
        <v>0</v>
      </c>
      <c r="AX186" s="4504">
        <f t="shared" si="238"/>
        <v>38.490262446122614</v>
      </c>
      <c r="AY186" s="4504">
        <f t="shared" si="239"/>
        <v>47.847307434695246</v>
      </c>
      <c r="AZ186" s="4504">
        <f t="shared" si="240"/>
        <v>49.407151235025538</v>
      </c>
      <c r="BA186" s="4504">
        <f t="shared" si="241"/>
        <v>50.915865847236212</v>
      </c>
      <c r="BB186" s="4504">
        <f t="shared" si="242"/>
        <v>52.373451271327262</v>
      </c>
      <c r="BC186" s="4504">
        <f t="shared" si="243"/>
        <v>53.779907507298688</v>
      </c>
      <c r="BD186" s="4504">
        <f t="shared" si="244"/>
        <v>55.135234555150497</v>
      </c>
      <c r="BE186" s="4504">
        <f t="shared" si="245"/>
        <v>0</v>
      </c>
      <c r="BF186" s="4504">
        <f t="shared" si="246"/>
        <v>0</v>
      </c>
      <c r="BG186" s="4504">
        <f t="shared" si="247"/>
        <v>0</v>
      </c>
      <c r="BH186" s="4504">
        <f t="shared" si="248"/>
        <v>0</v>
      </c>
      <c r="BI186" s="4504">
        <f t="shared" si="249"/>
        <v>0</v>
      </c>
      <c r="BJ186" s="4504">
        <f t="shared" si="250"/>
        <v>0</v>
      </c>
      <c r="BK186" s="4504">
        <f t="shared" si="251"/>
        <v>0</v>
      </c>
      <c r="BL186" s="4504">
        <f t="shared" si="252"/>
        <v>0</v>
      </c>
      <c r="BM186" s="4504">
        <f t="shared" si="253"/>
        <v>0</v>
      </c>
      <c r="BN186" s="4504">
        <f t="shared" si="254"/>
        <v>0</v>
      </c>
      <c r="BO186" s="4504">
        <f t="shared" si="255"/>
        <v>0</v>
      </c>
      <c r="BP186" s="4504">
        <f t="shared" si="256"/>
        <v>0</v>
      </c>
      <c r="BQ186" s="4504">
        <f t="shared" si="257"/>
        <v>0</v>
      </c>
      <c r="BR186" s="4504">
        <f t="shared" si="258"/>
        <v>0</v>
      </c>
      <c r="BS186" s="4504">
        <f t="shared" si="259"/>
        <v>0</v>
      </c>
      <c r="BT186" s="4504">
        <f t="shared" si="260"/>
        <v>0</v>
      </c>
      <c r="BU186" s="4504">
        <f t="shared" si="261"/>
        <v>0</v>
      </c>
      <c r="BV186" s="4504">
        <f t="shared" si="262"/>
        <v>0</v>
      </c>
      <c r="BW186" s="4504">
        <f t="shared" si="263"/>
        <v>0</v>
      </c>
      <c r="BX186" s="4504">
        <f t="shared" si="264"/>
        <v>0</v>
      </c>
      <c r="BY186" s="4504">
        <f t="shared" si="265"/>
        <v>0</v>
      </c>
    </row>
    <row r="187" spans="1:77" s="1323" customFormat="1" ht="24">
      <c r="A187" s="2611">
        <v>16</v>
      </c>
      <c r="B187" s="2554">
        <v>2040207</v>
      </c>
      <c r="C187" s="2555">
        <v>0.04</v>
      </c>
      <c r="D187" s="2590" t="s">
        <v>422</v>
      </c>
      <c r="E187" s="2678">
        <f t="shared" si="230"/>
        <v>0</v>
      </c>
      <c r="F187" s="1228">
        <f t="shared" si="225"/>
        <v>5.39</v>
      </c>
      <c r="G187" s="1224">
        <f t="shared" si="225"/>
        <v>14.97</v>
      </c>
      <c r="H187" s="1224">
        <f t="shared" si="225"/>
        <v>24.15</v>
      </c>
      <c r="I187" s="1224">
        <f t="shared" si="225"/>
        <v>32.93</v>
      </c>
      <c r="J187" s="1224">
        <f t="shared" si="225"/>
        <v>41.31</v>
      </c>
      <c r="K187" s="1229">
        <f t="shared" si="225"/>
        <v>49.29</v>
      </c>
      <c r="L187" s="2678">
        <f t="shared" si="225"/>
        <v>0</v>
      </c>
      <c r="M187" s="1228">
        <f t="shared" si="226"/>
        <v>0</v>
      </c>
      <c r="N187" s="1224">
        <f t="shared" si="226"/>
        <v>0</v>
      </c>
      <c r="O187" s="1224">
        <f t="shared" si="226"/>
        <v>0</v>
      </c>
      <c r="P187" s="1224">
        <f t="shared" si="226"/>
        <v>0</v>
      </c>
      <c r="Q187" s="1224">
        <f t="shared" si="226"/>
        <v>0</v>
      </c>
      <c r="R187" s="1229">
        <f t="shared" si="226"/>
        <v>0</v>
      </c>
      <c r="S187" s="2678">
        <f t="shared" si="226"/>
        <v>7.5650600000000008</v>
      </c>
      <c r="T187" s="1228">
        <f t="shared" si="227"/>
        <v>18.915140000000001</v>
      </c>
      <c r="U187" s="1224">
        <f t="shared" si="227"/>
        <v>47.425220000000003</v>
      </c>
      <c r="V187" s="1224">
        <f t="shared" si="227"/>
        <v>74.735299999999995</v>
      </c>
      <c r="W187" s="1224">
        <f t="shared" si="227"/>
        <v>100.84538000000001</v>
      </c>
      <c r="X187" s="1224">
        <f t="shared" si="227"/>
        <v>125.75546000000001</v>
      </c>
      <c r="Y187" s="1229">
        <f t="shared" si="227"/>
        <v>149.46554000000003</v>
      </c>
      <c r="Z187" s="2678">
        <f t="shared" si="227"/>
        <v>0</v>
      </c>
      <c r="AA187" s="1228">
        <f t="shared" si="228"/>
        <v>0</v>
      </c>
      <c r="AB187" s="1224">
        <f t="shared" si="228"/>
        <v>0</v>
      </c>
      <c r="AC187" s="1224">
        <f t="shared" si="228"/>
        <v>0</v>
      </c>
      <c r="AD187" s="1224">
        <f t="shared" si="228"/>
        <v>0</v>
      </c>
      <c r="AE187" s="1224">
        <f t="shared" si="228"/>
        <v>0</v>
      </c>
      <c r="AF187" s="1229">
        <f t="shared" si="228"/>
        <v>0</v>
      </c>
      <c r="AG187" s="2678">
        <f t="shared" si="228"/>
        <v>0</v>
      </c>
      <c r="AH187" s="1228">
        <f t="shared" si="228"/>
        <v>2.94</v>
      </c>
      <c r="AI187" s="1224">
        <f t="shared" si="228"/>
        <v>32.22</v>
      </c>
      <c r="AJ187" s="1224">
        <f t="shared" si="228"/>
        <v>30.9</v>
      </c>
      <c r="AK187" s="1224">
        <f t="shared" si="228"/>
        <v>29.580000000000002</v>
      </c>
      <c r="AL187" s="1224">
        <f t="shared" si="228"/>
        <v>28.26</v>
      </c>
      <c r="AM187" s="1229">
        <f t="shared" si="228"/>
        <v>26.94</v>
      </c>
      <c r="AN187" s="2551"/>
      <c r="AO187" s="2589"/>
      <c r="AP187" s="4488"/>
      <c r="AQ187" s="4504">
        <f t="shared" si="231"/>
        <v>0</v>
      </c>
      <c r="AR187" s="4504">
        <f t="shared" si="232"/>
        <v>2.7558632396476175</v>
      </c>
      <c r="AS187" s="4504">
        <f t="shared" si="233"/>
        <v>7.6540394615073915</v>
      </c>
      <c r="AT187" s="4504">
        <f t="shared" si="234"/>
        <v>12.347698930888676</v>
      </c>
      <c r="AU187" s="4504">
        <f t="shared" si="235"/>
        <v>16.836841647791474</v>
      </c>
      <c r="AV187" s="4504">
        <f t="shared" si="236"/>
        <v>21.121467612215788</v>
      </c>
      <c r="AW187" s="4504">
        <f t="shared" si="237"/>
        <v>25.201576824161609</v>
      </c>
      <c r="AX187" s="4504">
        <f t="shared" si="238"/>
        <v>0</v>
      </c>
      <c r="AY187" s="4504">
        <f t="shared" si="239"/>
        <v>0</v>
      </c>
      <c r="AZ187" s="4504">
        <f t="shared" si="240"/>
        <v>0</v>
      </c>
      <c r="BA187" s="4504">
        <f t="shared" si="241"/>
        <v>0</v>
      </c>
      <c r="BB187" s="4504">
        <f t="shared" si="242"/>
        <v>0</v>
      </c>
      <c r="BC187" s="4504">
        <f t="shared" si="243"/>
        <v>0</v>
      </c>
      <c r="BD187" s="4504">
        <f t="shared" si="244"/>
        <v>0</v>
      </c>
      <c r="BE187" s="4504">
        <f t="shared" si="245"/>
        <v>3.867953758762265</v>
      </c>
      <c r="BF187" s="4504">
        <f t="shared" si="246"/>
        <v>9.67115751368984</v>
      </c>
      <c r="BG187" s="4504">
        <f t="shared" si="247"/>
        <v>24.248129949944527</v>
      </c>
      <c r="BH187" s="4504">
        <f t="shared" si="248"/>
        <v>38.211552128763749</v>
      </c>
      <c r="BI187" s="4504">
        <f t="shared" si="249"/>
        <v>51.561424050147515</v>
      </c>
      <c r="BJ187" s="4504">
        <f t="shared" si="250"/>
        <v>64.297745714095811</v>
      </c>
      <c r="BK187" s="4504">
        <f t="shared" si="251"/>
        <v>76.420517120608665</v>
      </c>
      <c r="BL187" s="4504">
        <f t="shared" si="252"/>
        <v>0</v>
      </c>
      <c r="BM187" s="4504">
        <f t="shared" si="253"/>
        <v>0</v>
      </c>
      <c r="BN187" s="4504">
        <f t="shared" si="254"/>
        <v>0</v>
      </c>
      <c r="BO187" s="4504">
        <f t="shared" si="255"/>
        <v>0</v>
      </c>
      <c r="BP187" s="4504">
        <f t="shared" si="256"/>
        <v>0</v>
      </c>
      <c r="BQ187" s="4504">
        <f t="shared" si="257"/>
        <v>0</v>
      </c>
      <c r="BR187" s="4504">
        <f t="shared" si="258"/>
        <v>0</v>
      </c>
      <c r="BS187" s="4504">
        <f t="shared" si="259"/>
        <v>0</v>
      </c>
      <c r="BT187" s="4504">
        <f t="shared" si="260"/>
        <v>1.5031981307168822</v>
      </c>
      <c r="BU187" s="4504">
        <f t="shared" si="261"/>
        <v>16.473824412142161</v>
      </c>
      <c r="BV187" s="4504">
        <f t="shared" si="262"/>
        <v>15.798919128963151</v>
      </c>
      <c r="BW187" s="4504">
        <f t="shared" si="263"/>
        <v>15.124013845784145</v>
      </c>
      <c r="BX187" s="4504">
        <f t="shared" si="264"/>
        <v>14.449108562605135</v>
      </c>
      <c r="BY187" s="4504">
        <f t="shared" si="265"/>
        <v>13.774203279426127</v>
      </c>
    </row>
    <row r="188" spans="1:77" s="1323" customFormat="1">
      <c r="A188" s="2611">
        <v>17</v>
      </c>
      <c r="B188" s="2554">
        <v>2040208</v>
      </c>
      <c r="C188" s="2555">
        <v>0.04</v>
      </c>
      <c r="D188" s="2590" t="s">
        <v>423</v>
      </c>
      <c r="E188" s="2678">
        <f t="shared" si="230"/>
        <v>0</v>
      </c>
      <c r="F188" s="1228">
        <f t="shared" ref="F188:T189" si="266">F128-F168</f>
        <v>0</v>
      </c>
      <c r="G188" s="1224">
        <f t="shared" si="266"/>
        <v>0</v>
      </c>
      <c r="H188" s="1224">
        <f t="shared" si="266"/>
        <v>0</v>
      </c>
      <c r="I188" s="1224">
        <f t="shared" si="266"/>
        <v>0</v>
      </c>
      <c r="J188" s="1224">
        <f t="shared" si="266"/>
        <v>0</v>
      </c>
      <c r="K188" s="1229">
        <f t="shared" si="266"/>
        <v>0</v>
      </c>
      <c r="L188" s="2678">
        <f t="shared" si="266"/>
        <v>0</v>
      </c>
      <c r="M188" s="1228">
        <f t="shared" si="266"/>
        <v>0</v>
      </c>
      <c r="N188" s="1224">
        <f t="shared" si="266"/>
        <v>0</v>
      </c>
      <c r="O188" s="1224">
        <f t="shared" si="266"/>
        <v>0</v>
      </c>
      <c r="P188" s="1224">
        <f t="shared" si="266"/>
        <v>0</v>
      </c>
      <c r="Q188" s="1224">
        <f t="shared" si="266"/>
        <v>0</v>
      </c>
      <c r="R188" s="1229">
        <f t="shared" si="266"/>
        <v>0</v>
      </c>
      <c r="S188" s="2678">
        <f t="shared" si="266"/>
        <v>0</v>
      </c>
      <c r="T188" s="1228">
        <f t="shared" si="266"/>
        <v>0</v>
      </c>
      <c r="U188" s="1224">
        <f t="shared" ref="T188:AM190" si="267">U128-U168</f>
        <v>0</v>
      </c>
      <c r="V188" s="1224">
        <f t="shared" si="267"/>
        <v>0</v>
      </c>
      <c r="W188" s="1224">
        <f t="shared" si="267"/>
        <v>0</v>
      </c>
      <c r="X188" s="1224">
        <f t="shared" si="267"/>
        <v>0</v>
      </c>
      <c r="Y188" s="1229">
        <f t="shared" si="267"/>
        <v>0</v>
      </c>
      <c r="Z188" s="2678">
        <f t="shared" si="267"/>
        <v>0</v>
      </c>
      <c r="AA188" s="1228">
        <f t="shared" si="267"/>
        <v>0</v>
      </c>
      <c r="AB188" s="1224">
        <f t="shared" si="267"/>
        <v>0</v>
      </c>
      <c r="AC188" s="1224">
        <f t="shared" si="267"/>
        <v>0</v>
      </c>
      <c r="AD188" s="1224">
        <f t="shared" si="267"/>
        <v>0</v>
      </c>
      <c r="AE188" s="1224">
        <f t="shared" si="267"/>
        <v>0</v>
      </c>
      <c r="AF188" s="1229">
        <f t="shared" si="267"/>
        <v>0</v>
      </c>
      <c r="AG188" s="2678">
        <f t="shared" si="267"/>
        <v>0</v>
      </c>
      <c r="AH188" s="1228">
        <f t="shared" si="267"/>
        <v>0</v>
      </c>
      <c r="AI188" s="1224">
        <f t="shared" si="267"/>
        <v>0</v>
      </c>
      <c r="AJ188" s="1224">
        <f t="shared" si="267"/>
        <v>0</v>
      </c>
      <c r="AK188" s="1224">
        <f t="shared" si="267"/>
        <v>0</v>
      </c>
      <c r="AL188" s="1224">
        <f t="shared" si="267"/>
        <v>0</v>
      </c>
      <c r="AM188" s="1229">
        <f t="shared" si="267"/>
        <v>0</v>
      </c>
      <c r="AN188" s="2551"/>
      <c r="AO188" s="2589"/>
      <c r="AP188" s="4488"/>
      <c r="AQ188" s="4504">
        <f t="shared" si="231"/>
        <v>0</v>
      </c>
      <c r="AR188" s="4504">
        <f t="shared" si="232"/>
        <v>0</v>
      </c>
      <c r="AS188" s="4504">
        <f t="shared" si="233"/>
        <v>0</v>
      </c>
      <c r="AT188" s="4504">
        <f t="shared" si="234"/>
        <v>0</v>
      </c>
      <c r="AU188" s="4504">
        <f t="shared" si="235"/>
        <v>0</v>
      </c>
      <c r="AV188" s="4504">
        <f t="shared" si="236"/>
        <v>0</v>
      </c>
      <c r="AW188" s="4504">
        <f t="shared" si="237"/>
        <v>0</v>
      </c>
      <c r="AX188" s="4504">
        <f t="shared" si="238"/>
        <v>0</v>
      </c>
      <c r="AY188" s="4504">
        <f t="shared" si="239"/>
        <v>0</v>
      </c>
      <c r="AZ188" s="4504">
        <f t="shared" si="240"/>
        <v>0</v>
      </c>
      <c r="BA188" s="4504">
        <f t="shared" si="241"/>
        <v>0</v>
      </c>
      <c r="BB188" s="4504">
        <f t="shared" si="242"/>
        <v>0</v>
      </c>
      <c r="BC188" s="4504">
        <f t="shared" si="243"/>
        <v>0</v>
      </c>
      <c r="BD188" s="4504">
        <f t="shared" si="244"/>
        <v>0</v>
      </c>
      <c r="BE188" s="4504">
        <f t="shared" si="245"/>
        <v>0</v>
      </c>
      <c r="BF188" s="4504">
        <f t="shared" si="246"/>
        <v>0</v>
      </c>
      <c r="BG188" s="4504">
        <f t="shared" si="247"/>
        <v>0</v>
      </c>
      <c r="BH188" s="4504">
        <f t="shared" si="248"/>
        <v>0</v>
      </c>
      <c r="BI188" s="4504">
        <f t="shared" si="249"/>
        <v>0</v>
      </c>
      <c r="BJ188" s="4504">
        <f t="shared" si="250"/>
        <v>0</v>
      </c>
      <c r="BK188" s="4504">
        <f t="shared" si="251"/>
        <v>0</v>
      </c>
      <c r="BL188" s="4504">
        <f t="shared" si="252"/>
        <v>0</v>
      </c>
      <c r="BM188" s="4504">
        <f t="shared" si="253"/>
        <v>0</v>
      </c>
      <c r="BN188" s="4504">
        <f t="shared" si="254"/>
        <v>0</v>
      </c>
      <c r="BO188" s="4504">
        <f t="shared" si="255"/>
        <v>0</v>
      </c>
      <c r="BP188" s="4504">
        <f t="shared" si="256"/>
        <v>0</v>
      </c>
      <c r="BQ188" s="4504">
        <f t="shared" si="257"/>
        <v>0</v>
      </c>
      <c r="BR188" s="4504">
        <f t="shared" si="258"/>
        <v>0</v>
      </c>
      <c r="BS188" s="4504">
        <f t="shared" si="259"/>
        <v>0</v>
      </c>
      <c r="BT188" s="4504">
        <f t="shared" si="260"/>
        <v>0</v>
      </c>
      <c r="BU188" s="4504">
        <f t="shared" si="261"/>
        <v>0</v>
      </c>
      <c r="BV188" s="4504">
        <f t="shared" si="262"/>
        <v>0</v>
      </c>
      <c r="BW188" s="4504">
        <f t="shared" si="263"/>
        <v>0</v>
      </c>
      <c r="BX188" s="4504">
        <f t="shared" si="264"/>
        <v>0</v>
      </c>
      <c r="BY188" s="4504">
        <f t="shared" si="265"/>
        <v>0</v>
      </c>
    </row>
    <row r="189" spans="1:77" s="1323" customFormat="1">
      <c r="A189" s="2611">
        <v>18</v>
      </c>
      <c r="B189" s="2612" t="s">
        <v>1051</v>
      </c>
      <c r="C189" s="2555">
        <v>0.04</v>
      </c>
      <c r="D189" s="2609" t="s">
        <v>434</v>
      </c>
      <c r="E189" s="2678">
        <f t="shared" si="230"/>
        <v>2.0825899999999997</v>
      </c>
      <c r="F189" s="1228">
        <f t="shared" si="266"/>
        <v>1.9919899999999997</v>
      </c>
      <c r="G189" s="1224">
        <f t="shared" si="266"/>
        <v>1.9013899999999997</v>
      </c>
      <c r="H189" s="1224">
        <f t="shared" si="266"/>
        <v>1.8107899999999997</v>
      </c>
      <c r="I189" s="1224">
        <f t="shared" si="266"/>
        <v>1.7201899999999997</v>
      </c>
      <c r="J189" s="1224">
        <f t="shared" si="266"/>
        <v>1.6295899999999999</v>
      </c>
      <c r="K189" s="1229">
        <f t="shared" si="266"/>
        <v>1.5389899999999996</v>
      </c>
      <c r="L189" s="2678">
        <f t="shared" si="266"/>
        <v>0</v>
      </c>
      <c r="M189" s="1228">
        <f t="shared" si="266"/>
        <v>0</v>
      </c>
      <c r="N189" s="1224">
        <f t="shared" si="266"/>
        <v>0</v>
      </c>
      <c r="O189" s="1224">
        <f t="shared" si="266"/>
        <v>0</v>
      </c>
      <c r="P189" s="1224">
        <f t="shared" si="266"/>
        <v>0</v>
      </c>
      <c r="Q189" s="1224">
        <f t="shared" si="266"/>
        <v>0</v>
      </c>
      <c r="R189" s="1229">
        <f t="shared" si="266"/>
        <v>0</v>
      </c>
      <c r="S189" s="2678">
        <f t="shared" si="266"/>
        <v>0</v>
      </c>
      <c r="T189" s="1228">
        <f t="shared" si="267"/>
        <v>0</v>
      </c>
      <c r="U189" s="1224">
        <f t="shared" si="267"/>
        <v>0</v>
      </c>
      <c r="V189" s="1224">
        <f t="shared" si="267"/>
        <v>0</v>
      </c>
      <c r="W189" s="1224">
        <f t="shared" si="267"/>
        <v>0</v>
      </c>
      <c r="X189" s="1224">
        <f t="shared" si="267"/>
        <v>0</v>
      </c>
      <c r="Y189" s="1229">
        <f t="shared" si="267"/>
        <v>0</v>
      </c>
      <c r="Z189" s="2678">
        <f t="shared" si="267"/>
        <v>0</v>
      </c>
      <c r="AA189" s="1228">
        <f t="shared" si="267"/>
        <v>0</v>
      </c>
      <c r="AB189" s="1224">
        <f t="shared" si="267"/>
        <v>0</v>
      </c>
      <c r="AC189" s="1224">
        <f t="shared" si="267"/>
        <v>0</v>
      </c>
      <c r="AD189" s="1224">
        <f t="shared" si="267"/>
        <v>0</v>
      </c>
      <c r="AE189" s="1224">
        <f t="shared" si="267"/>
        <v>0</v>
      </c>
      <c r="AF189" s="1229">
        <f t="shared" si="267"/>
        <v>0</v>
      </c>
      <c r="AG189" s="2678">
        <f t="shared" si="267"/>
        <v>0</v>
      </c>
      <c r="AH189" s="1228">
        <f t="shared" si="267"/>
        <v>0</v>
      </c>
      <c r="AI189" s="1224">
        <f t="shared" si="267"/>
        <v>0</v>
      </c>
      <c r="AJ189" s="1224">
        <f t="shared" si="267"/>
        <v>0</v>
      </c>
      <c r="AK189" s="1224">
        <f t="shared" si="267"/>
        <v>0</v>
      </c>
      <c r="AL189" s="1224">
        <f t="shared" si="267"/>
        <v>0</v>
      </c>
      <c r="AM189" s="1229">
        <f t="shared" si="267"/>
        <v>0</v>
      </c>
      <c r="AN189" s="2551"/>
      <c r="AO189" s="2589"/>
      <c r="AP189" s="4488"/>
      <c r="AQ189" s="4504">
        <f t="shared" si="231"/>
        <v>1.0648113588604324</v>
      </c>
      <c r="AR189" s="4504">
        <f t="shared" si="232"/>
        <v>1.0184883144240551</v>
      </c>
      <c r="AS189" s="4504">
        <f t="shared" si="233"/>
        <v>0.97216526998767772</v>
      </c>
      <c r="AT189" s="4504">
        <f t="shared" si="234"/>
        <v>0.92584222555130036</v>
      </c>
      <c r="AU189" s="4504">
        <f t="shared" si="235"/>
        <v>0.87951918111492289</v>
      </c>
      <c r="AV189" s="4504">
        <f t="shared" si="236"/>
        <v>0.83319613667854564</v>
      </c>
      <c r="AW189" s="4504">
        <f t="shared" si="237"/>
        <v>0.78687309224216817</v>
      </c>
      <c r="AX189" s="4504">
        <f t="shared" si="238"/>
        <v>0</v>
      </c>
      <c r="AY189" s="4504">
        <f t="shared" si="239"/>
        <v>0</v>
      </c>
      <c r="AZ189" s="4504">
        <f t="shared" si="240"/>
        <v>0</v>
      </c>
      <c r="BA189" s="4504">
        <f t="shared" si="241"/>
        <v>0</v>
      </c>
      <c r="BB189" s="4504">
        <f t="shared" si="242"/>
        <v>0</v>
      </c>
      <c r="BC189" s="4504">
        <f t="shared" si="243"/>
        <v>0</v>
      </c>
      <c r="BD189" s="4504">
        <f t="shared" si="244"/>
        <v>0</v>
      </c>
      <c r="BE189" s="4504">
        <f t="shared" si="245"/>
        <v>0</v>
      </c>
      <c r="BF189" s="4504">
        <f t="shared" si="246"/>
        <v>0</v>
      </c>
      <c r="BG189" s="4504">
        <f t="shared" si="247"/>
        <v>0</v>
      </c>
      <c r="BH189" s="4504">
        <f t="shared" si="248"/>
        <v>0</v>
      </c>
      <c r="BI189" s="4504">
        <f t="shared" si="249"/>
        <v>0</v>
      </c>
      <c r="BJ189" s="4504">
        <f t="shared" si="250"/>
        <v>0</v>
      </c>
      <c r="BK189" s="4504">
        <f t="shared" si="251"/>
        <v>0</v>
      </c>
      <c r="BL189" s="4504">
        <f t="shared" si="252"/>
        <v>0</v>
      </c>
      <c r="BM189" s="4504">
        <f t="shared" si="253"/>
        <v>0</v>
      </c>
      <c r="BN189" s="4504">
        <f t="shared" si="254"/>
        <v>0</v>
      </c>
      <c r="BO189" s="4504">
        <f t="shared" si="255"/>
        <v>0</v>
      </c>
      <c r="BP189" s="4504">
        <f t="shared" si="256"/>
        <v>0</v>
      </c>
      <c r="BQ189" s="4504">
        <f t="shared" si="257"/>
        <v>0</v>
      </c>
      <c r="BR189" s="4504">
        <f t="shared" si="258"/>
        <v>0</v>
      </c>
      <c r="BS189" s="4504">
        <f t="shared" si="259"/>
        <v>0</v>
      </c>
      <c r="BT189" s="4504">
        <f t="shared" si="260"/>
        <v>0</v>
      </c>
      <c r="BU189" s="4504">
        <f t="shared" si="261"/>
        <v>0</v>
      </c>
      <c r="BV189" s="4504">
        <f t="shared" si="262"/>
        <v>0</v>
      </c>
      <c r="BW189" s="4504">
        <f t="shared" si="263"/>
        <v>0</v>
      </c>
      <c r="BX189" s="4504">
        <f t="shared" si="264"/>
        <v>0</v>
      </c>
      <c r="BY189" s="4504">
        <f t="shared" si="265"/>
        <v>0</v>
      </c>
    </row>
    <row r="190" spans="1:77" s="1323" customFormat="1" ht="24.6" thickBot="1">
      <c r="A190" s="2611">
        <v>19</v>
      </c>
      <c r="B190" s="2554">
        <v>215</v>
      </c>
      <c r="C190" s="2560">
        <v>0.2</v>
      </c>
      <c r="D190" s="2590" t="s">
        <v>679</v>
      </c>
      <c r="E190" s="2678">
        <f t="shared" si="230"/>
        <v>48</v>
      </c>
      <c r="F190" s="1230">
        <f t="shared" ref="F190:S190" si="268">F130-F170</f>
        <v>133.19999999999999</v>
      </c>
      <c r="G190" s="1225">
        <f t="shared" si="268"/>
        <v>108.4</v>
      </c>
      <c r="H190" s="1225">
        <f t="shared" si="268"/>
        <v>83.6</v>
      </c>
      <c r="I190" s="1225">
        <f t="shared" si="268"/>
        <v>58.8</v>
      </c>
      <c r="J190" s="1225">
        <f t="shared" si="268"/>
        <v>34</v>
      </c>
      <c r="K190" s="1231">
        <f t="shared" si="268"/>
        <v>9.1999999999999886</v>
      </c>
      <c r="L190" s="2678">
        <f t="shared" si="268"/>
        <v>0</v>
      </c>
      <c r="M190" s="1230">
        <f t="shared" si="268"/>
        <v>0</v>
      </c>
      <c r="N190" s="1225">
        <f t="shared" si="268"/>
        <v>0</v>
      </c>
      <c r="O190" s="1225">
        <f t="shared" si="268"/>
        <v>0</v>
      </c>
      <c r="P190" s="1225">
        <f t="shared" si="268"/>
        <v>0</v>
      </c>
      <c r="Q190" s="1225">
        <f t="shared" si="268"/>
        <v>0</v>
      </c>
      <c r="R190" s="1231">
        <f t="shared" si="268"/>
        <v>0</v>
      </c>
      <c r="S190" s="2678">
        <f t="shared" si="268"/>
        <v>0</v>
      </c>
      <c r="T190" s="1230">
        <f t="shared" si="267"/>
        <v>0</v>
      </c>
      <c r="U190" s="1225">
        <f t="shared" si="267"/>
        <v>0</v>
      </c>
      <c r="V190" s="1225">
        <f t="shared" si="267"/>
        <v>0</v>
      </c>
      <c r="W190" s="1225">
        <f t="shared" si="267"/>
        <v>0</v>
      </c>
      <c r="X190" s="1225">
        <f t="shared" si="267"/>
        <v>0</v>
      </c>
      <c r="Y190" s="1231">
        <f t="shared" si="267"/>
        <v>0</v>
      </c>
      <c r="Z190" s="2678">
        <f t="shared" si="267"/>
        <v>0</v>
      </c>
      <c r="AA190" s="1230">
        <f t="shared" si="267"/>
        <v>0</v>
      </c>
      <c r="AB190" s="1225">
        <f t="shared" si="267"/>
        <v>0</v>
      </c>
      <c r="AC190" s="1225">
        <f t="shared" si="267"/>
        <v>0</v>
      </c>
      <c r="AD190" s="1225">
        <f t="shared" si="267"/>
        <v>0</v>
      </c>
      <c r="AE190" s="1225">
        <f t="shared" si="267"/>
        <v>0</v>
      </c>
      <c r="AF190" s="1231">
        <f t="shared" si="267"/>
        <v>0</v>
      </c>
      <c r="AG190" s="2678">
        <f t="shared" si="267"/>
        <v>0</v>
      </c>
      <c r="AH190" s="1230">
        <f t="shared" si="267"/>
        <v>0</v>
      </c>
      <c r="AI190" s="1225">
        <f t="shared" si="267"/>
        <v>0</v>
      </c>
      <c r="AJ190" s="1225">
        <f t="shared" si="267"/>
        <v>0</v>
      </c>
      <c r="AK190" s="1225">
        <f t="shared" si="267"/>
        <v>0</v>
      </c>
      <c r="AL190" s="1225">
        <f t="shared" si="267"/>
        <v>0</v>
      </c>
      <c r="AM190" s="1231">
        <f t="shared" si="267"/>
        <v>0</v>
      </c>
      <c r="AN190" s="2551"/>
      <c r="AO190" s="2589"/>
      <c r="AP190" s="4488"/>
      <c r="AQ190" s="4504">
        <f t="shared" si="231"/>
        <v>24.542010297418489</v>
      </c>
      <c r="AR190" s="4504">
        <f t="shared" si="232"/>
        <v>68.104078575336302</v>
      </c>
      <c r="AS190" s="4504">
        <f t="shared" si="233"/>
        <v>55.424039921670087</v>
      </c>
      <c r="AT190" s="4504">
        <f t="shared" si="234"/>
        <v>42.744001268003863</v>
      </c>
      <c r="AU190" s="4504">
        <f t="shared" si="235"/>
        <v>30.063962614337647</v>
      </c>
      <c r="AV190" s="4504">
        <f t="shared" si="236"/>
        <v>17.383923960671428</v>
      </c>
      <c r="AW190" s="4504">
        <f t="shared" si="237"/>
        <v>4.703885307005204</v>
      </c>
      <c r="AX190" s="4504">
        <f t="shared" si="238"/>
        <v>0</v>
      </c>
      <c r="AY190" s="4504">
        <f t="shared" si="239"/>
        <v>0</v>
      </c>
      <c r="AZ190" s="4504">
        <f t="shared" si="240"/>
        <v>0</v>
      </c>
      <c r="BA190" s="4504">
        <f t="shared" si="241"/>
        <v>0</v>
      </c>
      <c r="BB190" s="4504">
        <f t="shared" si="242"/>
        <v>0</v>
      </c>
      <c r="BC190" s="4504">
        <f t="shared" si="243"/>
        <v>0</v>
      </c>
      <c r="BD190" s="4504">
        <f t="shared" si="244"/>
        <v>0</v>
      </c>
      <c r="BE190" s="4504">
        <f t="shared" si="245"/>
        <v>0</v>
      </c>
      <c r="BF190" s="4504">
        <f t="shared" si="246"/>
        <v>0</v>
      </c>
      <c r="BG190" s="4504">
        <f t="shared" si="247"/>
        <v>0</v>
      </c>
      <c r="BH190" s="4504">
        <f t="shared" si="248"/>
        <v>0</v>
      </c>
      <c r="BI190" s="4504">
        <f t="shared" si="249"/>
        <v>0</v>
      </c>
      <c r="BJ190" s="4504">
        <f t="shared" si="250"/>
        <v>0</v>
      </c>
      <c r="BK190" s="4504">
        <f t="shared" si="251"/>
        <v>0</v>
      </c>
      <c r="BL190" s="4504">
        <f t="shared" si="252"/>
        <v>0</v>
      </c>
      <c r="BM190" s="4504">
        <f t="shared" si="253"/>
        <v>0</v>
      </c>
      <c r="BN190" s="4504">
        <f t="shared" si="254"/>
        <v>0</v>
      </c>
      <c r="BO190" s="4504">
        <f t="shared" si="255"/>
        <v>0</v>
      </c>
      <c r="BP190" s="4504">
        <f t="shared" si="256"/>
        <v>0</v>
      </c>
      <c r="BQ190" s="4504">
        <f t="shared" si="257"/>
        <v>0</v>
      </c>
      <c r="BR190" s="4504">
        <f t="shared" si="258"/>
        <v>0</v>
      </c>
      <c r="BS190" s="4504">
        <f t="shared" si="259"/>
        <v>0</v>
      </c>
      <c r="BT190" s="4504">
        <f t="shared" si="260"/>
        <v>0</v>
      </c>
      <c r="BU190" s="4504">
        <f t="shared" si="261"/>
        <v>0</v>
      </c>
      <c r="BV190" s="4504">
        <f t="shared" si="262"/>
        <v>0</v>
      </c>
      <c r="BW190" s="4504">
        <f t="shared" si="263"/>
        <v>0</v>
      </c>
      <c r="BX190" s="4504">
        <f t="shared" si="264"/>
        <v>0</v>
      </c>
      <c r="BY190" s="4504">
        <f t="shared" si="265"/>
        <v>0</v>
      </c>
    </row>
    <row r="191" spans="1:77" ht="34.799999999999997" thickBot="1">
      <c r="A191" s="2606" t="s">
        <v>424</v>
      </c>
      <c r="B191" s="2606"/>
      <c r="C191" s="2606"/>
      <c r="D191" s="2607" t="s">
        <v>645</v>
      </c>
      <c r="E191" s="2667"/>
      <c r="F191" s="2668"/>
      <c r="G191" s="2533"/>
      <c r="H191" s="2533"/>
      <c r="I191" s="2533"/>
      <c r="J191" s="2533"/>
      <c r="K191" s="2669"/>
      <c r="L191" s="2667"/>
      <c r="M191" s="2668"/>
      <c r="N191" s="2533"/>
      <c r="O191" s="2533"/>
      <c r="P191" s="2533"/>
      <c r="Q191" s="2533"/>
      <c r="R191" s="2669"/>
      <c r="S191" s="2667"/>
      <c r="T191" s="2668"/>
      <c r="U191" s="2533"/>
      <c r="V191" s="2533"/>
      <c r="W191" s="2533"/>
      <c r="X191" s="2533"/>
      <c r="Y191" s="2669"/>
      <c r="Z191" s="2667"/>
      <c r="AA191" s="2668"/>
      <c r="AB191" s="2533"/>
      <c r="AC191" s="2533"/>
      <c r="AD191" s="2533"/>
      <c r="AE191" s="2533"/>
      <c r="AF191" s="2669"/>
      <c r="AG191" s="2667"/>
      <c r="AH191" s="2668"/>
      <c r="AI191" s="2533"/>
      <c r="AJ191" s="2533"/>
      <c r="AK191" s="2533"/>
      <c r="AL191" s="2533"/>
      <c r="AM191" s="2669"/>
      <c r="AN191" s="2608"/>
      <c r="AO191" s="2587"/>
      <c r="AP191" s="4488"/>
    </row>
    <row r="192" spans="1:77" s="1323" customFormat="1" ht="13.8" thickBot="1">
      <c r="A192" s="2539" t="s">
        <v>205</v>
      </c>
      <c r="B192" s="2540"/>
      <c r="C192" s="2540"/>
      <c r="D192" s="2540" t="s">
        <v>334</v>
      </c>
      <c r="E192" s="1246">
        <f t="shared" ref="E192" si="269">SUM(E193:E213)</f>
        <v>56942.261905249085</v>
      </c>
      <c r="F192" s="2670">
        <f t="shared" ref="F192:AM192" si="270">SUM(F193:F213)</f>
        <v>66381.300750649098</v>
      </c>
      <c r="G192" s="1147">
        <f t="shared" si="270"/>
        <v>84983.574230649101</v>
      </c>
      <c r="H192" s="1147">
        <f t="shared" si="270"/>
        <v>91313.757230649106</v>
      </c>
      <c r="I192" s="1148">
        <f t="shared" si="270"/>
        <v>103176.91912064911</v>
      </c>
      <c r="J192" s="1147">
        <f t="shared" si="270"/>
        <v>103806.59412064911</v>
      </c>
      <c r="K192" s="1147">
        <f t="shared" si="270"/>
        <v>127387.1728406491</v>
      </c>
      <c r="L192" s="1246">
        <f t="shared" si="270"/>
        <v>42059.709390000025</v>
      </c>
      <c r="M192" s="2670">
        <f t="shared" si="270"/>
        <v>42533.653370000029</v>
      </c>
      <c r="N192" s="1147">
        <f t="shared" si="270"/>
        <v>42533.653370000029</v>
      </c>
      <c r="O192" s="1147">
        <f t="shared" si="270"/>
        <v>42533.653370000029</v>
      </c>
      <c r="P192" s="1148">
        <f t="shared" si="270"/>
        <v>42533.653370000029</v>
      </c>
      <c r="Q192" s="1147">
        <f t="shared" si="270"/>
        <v>42533.653370000029</v>
      </c>
      <c r="R192" s="1147">
        <f t="shared" si="270"/>
        <v>42533.653370000029</v>
      </c>
      <c r="S192" s="1246">
        <f t="shared" si="270"/>
        <v>34653.271649999995</v>
      </c>
      <c r="T192" s="2670">
        <f t="shared" si="270"/>
        <v>40053.271649999995</v>
      </c>
      <c r="U192" s="1147">
        <f t="shared" si="270"/>
        <v>40053.271649999995</v>
      </c>
      <c r="V192" s="1147">
        <f t="shared" si="270"/>
        <v>40053.271649999995</v>
      </c>
      <c r="W192" s="1148">
        <f t="shared" si="270"/>
        <v>40053.271649999995</v>
      </c>
      <c r="X192" s="1147">
        <f t="shared" si="270"/>
        <v>40053.271649999995</v>
      </c>
      <c r="Y192" s="2671">
        <f t="shared" si="270"/>
        <v>40053.271649999995</v>
      </c>
      <c r="Z192" s="1246">
        <f t="shared" si="270"/>
        <v>0</v>
      </c>
      <c r="AA192" s="2670">
        <f t="shared" si="270"/>
        <v>0</v>
      </c>
      <c r="AB192" s="1147">
        <f t="shared" si="270"/>
        <v>0</v>
      </c>
      <c r="AC192" s="1147">
        <f t="shared" si="270"/>
        <v>0</v>
      </c>
      <c r="AD192" s="1148">
        <f t="shared" si="270"/>
        <v>0</v>
      </c>
      <c r="AE192" s="1147">
        <f t="shared" si="270"/>
        <v>0</v>
      </c>
      <c r="AF192" s="2671">
        <f t="shared" si="270"/>
        <v>0</v>
      </c>
      <c r="AG192" s="1246">
        <f t="shared" si="270"/>
        <v>1811.4277347508857</v>
      </c>
      <c r="AH192" s="2670">
        <f t="shared" si="270"/>
        <v>1811.4277347508857</v>
      </c>
      <c r="AI192" s="1147">
        <f t="shared" si="270"/>
        <v>1811.4277347508857</v>
      </c>
      <c r="AJ192" s="1147">
        <f t="shared" si="270"/>
        <v>1811.4277347508857</v>
      </c>
      <c r="AK192" s="1148">
        <f t="shared" si="270"/>
        <v>1811.4277347508857</v>
      </c>
      <c r="AL192" s="1147">
        <f t="shared" si="270"/>
        <v>1811.4277347508857</v>
      </c>
      <c r="AM192" s="2671">
        <f t="shared" si="270"/>
        <v>1811.4277347508857</v>
      </c>
      <c r="AN192" s="2551"/>
      <c r="AO192" s="2589"/>
      <c r="AP192" s="4488"/>
      <c r="AQ192" s="4504">
        <f t="shared" ref="AQ192:AQ255" si="271">IFERROR(E192/$D$1,0)</f>
        <v>29114.116209102573</v>
      </c>
      <c r="AR192" s="4504">
        <f t="shared" ref="AR192:AR255" si="272">IFERROR(F192/$D$1,0)</f>
        <v>33940.220137051328</v>
      </c>
      <c r="AS192" s="4504">
        <f t="shared" ref="AS192:AS255" si="273">IFERROR(G192/$D$1,0)</f>
        <v>43451.411539167057</v>
      </c>
      <c r="AT192" s="4504">
        <f t="shared" ref="AT192:AT255" si="274">IFERROR(H192/$D$1,0)</f>
        <v>46687.982713553378</v>
      </c>
      <c r="AU192" s="4504">
        <f t="shared" ref="AU192:AU255" si="275">IFERROR(I192/$D$1,0)</f>
        <v>52753.521073226766</v>
      </c>
      <c r="AV192" s="4504">
        <f t="shared" ref="AV192:AV255" si="276">IFERROR(J192/$D$1,0)</f>
        <v>53075.468788519</v>
      </c>
      <c r="AW192" s="4504">
        <f t="shared" ref="AW192:AW255" si="277">IFERROR(K192/$D$1,0)</f>
        <v>65132.027241963311</v>
      </c>
      <c r="AX192" s="4504">
        <f t="shared" ref="AX192:AX255" si="278">IFERROR(L192/$D$1,0)</f>
        <v>21504.787936579367</v>
      </c>
      <c r="AY192" s="4504">
        <f t="shared" ref="AY192:AY255" si="279">IFERROR(M192/$D$1,0)</f>
        <v>21747.111645695193</v>
      </c>
      <c r="AZ192" s="4504">
        <f t="shared" ref="AZ192:AZ255" si="280">IFERROR(N192/$D$1,0)</f>
        <v>21747.111645695193</v>
      </c>
      <c r="BA192" s="4504">
        <f t="shared" ref="BA192:BA255" si="281">IFERROR(O192/$D$1,0)</f>
        <v>21747.111645695193</v>
      </c>
      <c r="BB192" s="4504">
        <f t="shared" ref="BB192:BB255" si="282">IFERROR(P192/$D$1,0)</f>
        <v>21747.111645695193</v>
      </c>
      <c r="BC192" s="4504">
        <f t="shared" ref="BC192:BC255" si="283">IFERROR(Q192/$D$1,0)</f>
        <v>21747.111645695193</v>
      </c>
      <c r="BD192" s="4504">
        <f t="shared" ref="BD192:BD255" si="284">IFERROR(R192/$D$1,0)</f>
        <v>21747.111645695193</v>
      </c>
      <c r="BE192" s="4504">
        <f t="shared" ref="BE192:BE255" si="285">IFERROR(S192/$D$1,0)</f>
        <v>17717.936451532085</v>
      </c>
      <c r="BF192" s="4504">
        <f t="shared" ref="BF192:BF255" si="286">IFERROR(T192/$D$1,0)</f>
        <v>20478.912609991665</v>
      </c>
      <c r="BG192" s="4504">
        <f t="shared" ref="BG192:BG255" si="287">IFERROR(U192/$D$1,0)</f>
        <v>20478.912609991665</v>
      </c>
      <c r="BH192" s="4504">
        <f t="shared" ref="BH192:BH255" si="288">IFERROR(V192/$D$1,0)</f>
        <v>20478.912609991665</v>
      </c>
      <c r="BI192" s="4504">
        <f t="shared" ref="BI192:BI255" si="289">IFERROR(W192/$D$1,0)</f>
        <v>20478.912609991665</v>
      </c>
      <c r="BJ192" s="4504">
        <f t="shared" ref="BJ192:BJ255" si="290">IFERROR(X192/$D$1,0)</f>
        <v>20478.912609991665</v>
      </c>
      <c r="BK192" s="4504">
        <f t="shared" ref="BK192:BK255" si="291">IFERROR(Y192/$D$1,0)</f>
        <v>20478.912609991665</v>
      </c>
      <c r="BL192" s="4504">
        <f t="shared" ref="BL192:BL255" si="292">IFERROR(Z192/$D$1,0)</f>
        <v>0</v>
      </c>
      <c r="BM192" s="4504">
        <f t="shared" ref="BM192:BM255" si="293">IFERROR(AA192/$D$1,0)</f>
        <v>0</v>
      </c>
      <c r="BN192" s="4504">
        <f t="shared" ref="BN192:BN255" si="294">IFERROR(AB192/$D$1,0)</f>
        <v>0</v>
      </c>
      <c r="BO192" s="4504">
        <f t="shared" ref="BO192:BO255" si="295">IFERROR(AC192/$D$1,0)</f>
        <v>0</v>
      </c>
      <c r="BP192" s="4504">
        <f t="shared" ref="BP192:BP255" si="296">IFERROR(AD192/$D$1,0)</f>
        <v>0</v>
      </c>
      <c r="BQ192" s="4504">
        <f t="shared" ref="BQ192:BQ255" si="297">IFERROR(AE192/$D$1,0)</f>
        <v>0</v>
      </c>
      <c r="BR192" s="4504">
        <f t="shared" ref="BR192:BR255" si="298">IFERROR(AF192/$D$1,0)</f>
        <v>0</v>
      </c>
      <c r="BS192" s="4504">
        <f t="shared" ref="BS192:BS255" si="299">IFERROR(AG192/$D$1,0)</f>
        <v>926.16829415178506</v>
      </c>
      <c r="BT192" s="4504">
        <f t="shared" ref="BT192:BT255" si="300">IFERROR(AH192/$D$1,0)</f>
        <v>926.16829415178506</v>
      </c>
      <c r="BU192" s="4504">
        <f t="shared" ref="BU192:BU255" si="301">IFERROR(AI192/$D$1,0)</f>
        <v>926.16829415178506</v>
      </c>
      <c r="BV192" s="4504">
        <f t="shared" ref="BV192:BV255" si="302">IFERROR(AJ192/$D$1,0)</f>
        <v>926.16829415178506</v>
      </c>
      <c r="BW192" s="4504">
        <f t="shared" ref="BW192:BW255" si="303">IFERROR(AK192/$D$1,0)</f>
        <v>926.16829415178506</v>
      </c>
      <c r="BX192" s="4504">
        <f t="shared" ref="BX192:BX255" si="304">IFERROR(AL192/$D$1,0)</f>
        <v>926.16829415178506</v>
      </c>
      <c r="BY192" s="4504">
        <f t="shared" ref="BY192:BY255" si="305">IFERROR(AM192/$D$1,0)</f>
        <v>926.16829415178506</v>
      </c>
    </row>
    <row r="193" spans="1:77" s="1323" customFormat="1">
      <c r="A193" s="2553">
        <v>1</v>
      </c>
      <c r="B193" s="2614" t="s">
        <v>696</v>
      </c>
      <c r="C193" s="2571">
        <v>0</v>
      </c>
      <c r="D193" s="2601" t="s">
        <v>558</v>
      </c>
      <c r="E193" s="4453">
        <f>+'11.3. ДА Базова година'!H154</f>
        <v>170.7975894027575</v>
      </c>
      <c r="F193" s="2652">
        <f>E193+SUMIF('11.2. ДА за периода'!$B$111:$B$131,$B193,'11.2. ДА за периода'!F$111:F$131)</f>
        <v>170.7975894027575</v>
      </c>
      <c r="G193" s="1145">
        <f>F193+SUMIF('11.2. ДА за периода'!$B$111:$B$131,$B193,'11.2. ДА за периода'!G$111:G$131)</f>
        <v>170.7975894027575</v>
      </c>
      <c r="H193" s="1145">
        <f>G193+SUMIF('11.2. ДА за периода'!$B$111:$B$131,$B193,'11.2. ДА за периода'!H$111:H$131)</f>
        <v>170.7975894027575</v>
      </c>
      <c r="I193" s="1145">
        <f>H193+SUMIF('11.2. ДА за периода'!$B$111:$B$131,$B193,'11.2. ДА за периода'!I$111:I$131)</f>
        <v>170.7975894027575</v>
      </c>
      <c r="J193" s="1145">
        <f>I193+SUMIF('11.2. ДА за периода'!$B$111:$B$131,$B193,'11.2. ДА за периода'!J$111:J$131)</f>
        <v>170.7975894027575</v>
      </c>
      <c r="K193" s="2653">
        <f>J193+SUMIF('11.2. ДА за периода'!$B$111:$B$131,$B193,'11.2. ДА за периода'!K$111:K$131)</f>
        <v>170.7975894027575</v>
      </c>
      <c r="L193" s="4453">
        <f>+'11.3. ДА Базова година'!L154</f>
        <v>0</v>
      </c>
      <c r="M193" s="2652">
        <f>L193+SUMIF('11.2. ДА за периода'!$B$111:$B$131,$B193,'11.2. ДА за периода'!M$111:M$131)</f>
        <v>0</v>
      </c>
      <c r="N193" s="1145">
        <f>M193+SUMIF('11.2. ДА за периода'!$B$111:$B$131,$B193,'11.2. ДА за периода'!N$111:N$131)</f>
        <v>0</v>
      </c>
      <c r="O193" s="1145">
        <f>N193+SUMIF('11.2. ДА за периода'!$B$111:$B$131,$B193,'11.2. ДА за периода'!O$111:O$131)</f>
        <v>0</v>
      </c>
      <c r="P193" s="1145">
        <f>O193+SUMIF('11.2. ДА за периода'!$B$111:$B$131,$B193,'11.2. ДА за периода'!P$111:P$131)</f>
        <v>0</v>
      </c>
      <c r="Q193" s="1145">
        <f>P193+SUMIF('11.2. ДА за периода'!$B$111:$B$131,$B193,'11.2. ДА за периода'!Q$111:Q$131)</f>
        <v>0</v>
      </c>
      <c r="R193" s="2653">
        <f>Q193+SUMIF('11.2. ДА за периода'!$B$111:$B$131,$B193,'11.2. ДА за периода'!R$111:R$131)</f>
        <v>0</v>
      </c>
      <c r="S193" s="4453">
        <f>+'11.3. ДА Базова година'!P154</f>
        <v>0</v>
      </c>
      <c r="T193" s="2652">
        <f>S193+SUMIF('11.2. ДА за периода'!$B$111:$B$131,$B193,'11.2. ДА за периода'!T$111:T$131)</f>
        <v>0</v>
      </c>
      <c r="U193" s="1145">
        <f>T193+SUMIF('11.2. ДА за периода'!$B$111:$B$131,$B193,'11.2. ДА за периода'!U$111:U$131)</f>
        <v>0</v>
      </c>
      <c r="V193" s="1145">
        <f>U193+SUMIF('11.2. ДА за периода'!$B$111:$B$131,$B193,'11.2. ДА за периода'!V$111:V$131)</f>
        <v>0</v>
      </c>
      <c r="W193" s="1145">
        <f>V193+SUMIF('11.2. ДА за периода'!$B$111:$B$131,$B193,'11.2. ДА за периода'!W$111:W$131)</f>
        <v>0</v>
      </c>
      <c r="X193" s="1145">
        <f>W193+SUMIF('11.2. ДА за периода'!$B$111:$B$131,$B193,'11.2. ДА за периода'!X$111:X$131)</f>
        <v>0</v>
      </c>
      <c r="Y193" s="2653">
        <f>X193+SUMIF('11.2. ДА за периода'!$B$111:$B$131,$B193,'11.2. ДА за периода'!Y$111:Y$131)</f>
        <v>0</v>
      </c>
      <c r="Z193" s="4453">
        <f>+'11.3. ДА Базова година'!T154</f>
        <v>0</v>
      </c>
      <c r="AA193" s="2652">
        <f>Z193+SUMIF('11.2. ДА за периода'!$B$111:$B$131,$B193,'11.2. ДА за периода'!AA$111:AA$131)</f>
        <v>0</v>
      </c>
      <c r="AB193" s="1145">
        <f>AA193+SUMIF('11.2. ДА за периода'!$B$111:$B$131,$B193,'11.2. ДА за периода'!AB$111:AB$131)</f>
        <v>0</v>
      </c>
      <c r="AC193" s="1145">
        <f>AB193+SUMIF('11.2. ДА за периода'!$B$111:$B$131,$B193,'11.2. ДА за периода'!AC$111:AC$131)</f>
        <v>0</v>
      </c>
      <c r="AD193" s="1145">
        <f>AC193+SUMIF('11.2. ДА за периода'!$B$111:$B$131,$B193,'11.2. ДА за периода'!AD$111:AD$131)</f>
        <v>0</v>
      </c>
      <c r="AE193" s="1145">
        <f>AD193+SUMIF('11.2. ДА за периода'!$B$111:$B$131,$B193,'11.2. ДА за периода'!AE$111:AE$131)</f>
        <v>0</v>
      </c>
      <c r="AF193" s="2653">
        <f>AE193+SUMIF('11.2. ДА за периода'!$B$111:$B$131,$B193,'11.2. ДА за периода'!AF$111:AF$131)</f>
        <v>0</v>
      </c>
      <c r="AG193" s="4453">
        <f>+'11.3. ДА Базова година'!X154</f>
        <v>3.2137305972425696</v>
      </c>
      <c r="AH193" s="2652">
        <f>AG193+SUMIF('11.2. ДА за периода'!$B$111:$B$131,$B193,'11.2. ДА за периода'!AH$111:AH$131)</f>
        <v>3.2137305972425696</v>
      </c>
      <c r="AI193" s="1145">
        <f>AH193+SUMIF('11.2. ДА за периода'!$B$111:$B$131,$B193,'11.2. ДА за периода'!AI$111:AI$131)</f>
        <v>3.2137305972425696</v>
      </c>
      <c r="AJ193" s="1145">
        <f>AI193+SUMIF('11.2. ДА за периода'!$B$111:$B$131,$B193,'11.2. ДА за периода'!AJ$111:AJ$131)</f>
        <v>3.2137305972425696</v>
      </c>
      <c r="AK193" s="1145">
        <f>AJ193+SUMIF('11.2. ДА за периода'!$B$111:$B$131,$B193,'11.2. ДА за периода'!AK$111:AK$131)</f>
        <v>3.2137305972425696</v>
      </c>
      <c r="AL193" s="1145">
        <f>AK193+SUMIF('11.2. ДА за периода'!$B$111:$B$131,$B193,'11.2. ДА за периода'!AL$111:AL$131)</f>
        <v>3.2137305972425696</v>
      </c>
      <c r="AM193" s="2653">
        <f>AL193+SUMIF('11.2. ДА за периода'!$B$111:$B$131,$B193,'11.2. ДА за периода'!AM$111:AM$131)</f>
        <v>3.2137305972425696</v>
      </c>
      <c r="AN193" s="2551"/>
      <c r="AO193" s="2589"/>
      <c r="AP193" s="4488"/>
      <c r="AQ193" s="4504">
        <f t="shared" si="271"/>
        <v>87.327420789515187</v>
      </c>
      <c r="AR193" s="4504">
        <f t="shared" si="272"/>
        <v>87.327420789515187</v>
      </c>
      <c r="AS193" s="4504">
        <f t="shared" si="273"/>
        <v>87.327420789515187</v>
      </c>
      <c r="AT193" s="4504">
        <f t="shared" si="274"/>
        <v>87.327420789515187</v>
      </c>
      <c r="AU193" s="4504">
        <f t="shared" si="275"/>
        <v>87.327420789515187</v>
      </c>
      <c r="AV193" s="4504">
        <f t="shared" si="276"/>
        <v>87.327420789515187</v>
      </c>
      <c r="AW193" s="4504">
        <f t="shared" si="277"/>
        <v>87.327420789515187</v>
      </c>
      <c r="AX193" s="4504">
        <f t="shared" si="278"/>
        <v>0</v>
      </c>
      <c r="AY193" s="4504">
        <f t="shared" si="279"/>
        <v>0</v>
      </c>
      <c r="AZ193" s="4504">
        <f t="shared" si="280"/>
        <v>0</v>
      </c>
      <c r="BA193" s="4504">
        <f t="shared" si="281"/>
        <v>0</v>
      </c>
      <c r="BB193" s="4504">
        <f t="shared" si="282"/>
        <v>0</v>
      </c>
      <c r="BC193" s="4504">
        <f t="shared" si="283"/>
        <v>0</v>
      </c>
      <c r="BD193" s="4504">
        <f t="shared" si="284"/>
        <v>0</v>
      </c>
      <c r="BE193" s="4504">
        <f t="shared" si="285"/>
        <v>0</v>
      </c>
      <c r="BF193" s="4504">
        <f t="shared" si="286"/>
        <v>0</v>
      </c>
      <c r="BG193" s="4504">
        <f t="shared" si="287"/>
        <v>0</v>
      </c>
      <c r="BH193" s="4504">
        <f t="shared" si="288"/>
        <v>0</v>
      </c>
      <c r="BI193" s="4504">
        <f t="shared" si="289"/>
        <v>0</v>
      </c>
      <c r="BJ193" s="4504">
        <f t="shared" si="290"/>
        <v>0</v>
      </c>
      <c r="BK193" s="4504">
        <f t="shared" si="291"/>
        <v>0</v>
      </c>
      <c r="BL193" s="4504">
        <f t="shared" si="292"/>
        <v>0</v>
      </c>
      <c r="BM193" s="4504">
        <f t="shared" si="293"/>
        <v>0</v>
      </c>
      <c r="BN193" s="4504">
        <f t="shared" si="294"/>
        <v>0</v>
      </c>
      <c r="BO193" s="4504">
        <f t="shared" si="295"/>
        <v>0</v>
      </c>
      <c r="BP193" s="4504">
        <f t="shared" si="296"/>
        <v>0</v>
      </c>
      <c r="BQ193" s="4504">
        <f t="shared" si="297"/>
        <v>0</v>
      </c>
      <c r="BR193" s="4504">
        <f t="shared" si="298"/>
        <v>0</v>
      </c>
      <c r="BS193" s="4504">
        <f t="shared" si="299"/>
        <v>1.6431543627220002</v>
      </c>
      <c r="BT193" s="4504">
        <f t="shared" si="300"/>
        <v>1.6431543627220002</v>
      </c>
      <c r="BU193" s="4504">
        <f t="shared" si="301"/>
        <v>1.6431543627220002</v>
      </c>
      <c r="BV193" s="4504">
        <f t="shared" si="302"/>
        <v>1.6431543627220002</v>
      </c>
      <c r="BW193" s="4504">
        <f t="shared" si="303"/>
        <v>1.6431543627220002</v>
      </c>
      <c r="BX193" s="4504">
        <f t="shared" si="304"/>
        <v>1.6431543627220002</v>
      </c>
      <c r="BY193" s="4504">
        <f t="shared" si="305"/>
        <v>1.6431543627220002</v>
      </c>
    </row>
    <row r="194" spans="1:77" s="1323" customFormat="1">
      <c r="A194" s="2553">
        <v>2</v>
      </c>
      <c r="B194" s="2554" t="s">
        <v>697</v>
      </c>
      <c r="C194" s="2555">
        <v>0.03</v>
      </c>
      <c r="D194" s="2609" t="s">
        <v>426</v>
      </c>
      <c r="E194" s="4453">
        <f>+'11.3. ДА Базова година'!H155</f>
        <v>593.11997809480613</v>
      </c>
      <c r="F194" s="2655">
        <f>E194+SUMIF('11.2. ДА за периода'!$B$111:$B$131,$B194,'11.2. ДА за периода'!F$111:F$131)</f>
        <v>593.11997809480613</v>
      </c>
      <c r="G194" s="1136">
        <f>F194+SUMIF('11.2. ДА за периода'!$B$111:$B$131,$B194,'11.2. ДА за периода'!G$111:G$131)</f>
        <v>593.11997809480613</v>
      </c>
      <c r="H194" s="1136">
        <f>G194+SUMIF('11.2. ДА за периода'!$B$111:$B$131,$B194,'11.2. ДА за периода'!H$111:H$131)</f>
        <v>593.11997809480613</v>
      </c>
      <c r="I194" s="1136">
        <f>H194+SUMIF('11.2. ДА за периода'!$B$111:$B$131,$B194,'11.2. ДА за периода'!I$111:I$131)</f>
        <v>593.11997809480613</v>
      </c>
      <c r="J194" s="1136">
        <f>I194+SUMIF('11.2. ДА за периода'!$B$111:$B$131,$B194,'11.2. ДА за периода'!J$111:J$131)</f>
        <v>593.11997809480613</v>
      </c>
      <c r="K194" s="2656">
        <f>J194+SUMIF('11.2. ДА за периода'!$B$111:$B$131,$B194,'11.2. ДА за периода'!K$111:K$131)</f>
        <v>593.11997809480613</v>
      </c>
      <c r="L194" s="4453">
        <f>+'11.3. ДА Базова година'!L155</f>
        <v>119.49959999999999</v>
      </c>
      <c r="M194" s="2655">
        <f>L194+SUMIF('11.2. ДА за периода'!$B$111:$B$131,$B194,'11.2. ДА за периода'!M$111:M$131)</f>
        <v>119.49959999999999</v>
      </c>
      <c r="N194" s="1136">
        <f>M194+SUMIF('11.2. ДА за периода'!$B$111:$B$131,$B194,'11.2. ДА за периода'!N$111:N$131)</f>
        <v>119.49959999999999</v>
      </c>
      <c r="O194" s="1136">
        <f>N194+SUMIF('11.2. ДА за периода'!$B$111:$B$131,$B194,'11.2. ДА за периода'!O$111:O$131)</f>
        <v>119.49959999999999</v>
      </c>
      <c r="P194" s="1136">
        <f>O194+SUMIF('11.2. ДА за периода'!$B$111:$B$131,$B194,'11.2. ДА за периода'!P$111:P$131)</f>
        <v>119.49959999999999</v>
      </c>
      <c r="Q194" s="1136">
        <f>P194+SUMIF('11.2. ДА за периода'!$B$111:$B$131,$B194,'11.2. ДА за периода'!Q$111:Q$131)</f>
        <v>119.49959999999999</v>
      </c>
      <c r="R194" s="2656">
        <f>Q194+SUMIF('11.2. ДА за периода'!$B$111:$B$131,$B194,'11.2. ДА за периода'!R$111:R$131)</f>
        <v>119.49959999999999</v>
      </c>
      <c r="S194" s="4453">
        <f>+'11.3. ДА Базова година'!P155</f>
        <v>3567.2480500000001</v>
      </c>
      <c r="T194" s="2655">
        <f>S194+SUMIF('11.2. ДА за периода'!$B$111:$B$131,$B194,'11.2. ДА за периода'!T$111:T$131)</f>
        <v>3567.2480500000001</v>
      </c>
      <c r="U194" s="1136">
        <f>T194+SUMIF('11.2. ДА за периода'!$B$111:$B$131,$B194,'11.2. ДА за периода'!U$111:U$131)</f>
        <v>3567.2480500000001</v>
      </c>
      <c r="V194" s="1136">
        <f>U194+SUMIF('11.2. ДА за периода'!$B$111:$B$131,$B194,'11.2. ДА за периода'!V$111:V$131)</f>
        <v>3567.2480500000001</v>
      </c>
      <c r="W194" s="1136">
        <f>V194+SUMIF('11.2. ДА за периода'!$B$111:$B$131,$B194,'11.2. ДА за периода'!W$111:W$131)</f>
        <v>3567.2480500000001</v>
      </c>
      <c r="X194" s="1136">
        <f>W194+SUMIF('11.2. ДА за периода'!$B$111:$B$131,$B194,'11.2. ДА за периода'!X$111:X$131)</f>
        <v>3567.2480500000001</v>
      </c>
      <c r="Y194" s="2656">
        <f>X194+SUMIF('11.2. ДА за периода'!$B$111:$B$131,$B194,'11.2. ДА за периода'!Y$111:Y$131)</f>
        <v>3567.2480500000001</v>
      </c>
      <c r="Z194" s="4453">
        <f>+'11.3. ДА Базова година'!T155</f>
        <v>0</v>
      </c>
      <c r="AA194" s="2655">
        <f>Z194+SUMIF('11.2. ДА за периода'!$B$111:$B$131,$B194,'11.2. ДА за периода'!AA$111:AA$131)</f>
        <v>0</v>
      </c>
      <c r="AB194" s="1136">
        <f>AA194+SUMIF('11.2. ДА за периода'!$B$111:$B$131,$B194,'11.2. ДА за периода'!AB$111:AB$131)</f>
        <v>0</v>
      </c>
      <c r="AC194" s="1136">
        <f>AB194+SUMIF('11.2. ДА за периода'!$B$111:$B$131,$B194,'11.2. ДА за периода'!AC$111:AC$131)</f>
        <v>0</v>
      </c>
      <c r="AD194" s="1136">
        <f>AC194+SUMIF('11.2. ДА за периода'!$B$111:$B$131,$B194,'11.2. ДА за периода'!AD$111:AD$131)</f>
        <v>0</v>
      </c>
      <c r="AE194" s="1136">
        <f>AD194+SUMIF('11.2. ДА за периода'!$B$111:$B$131,$B194,'11.2. ДА за периода'!AE$111:AE$131)</f>
        <v>0</v>
      </c>
      <c r="AF194" s="2656">
        <f>AE194+SUMIF('11.2. ДА за периода'!$B$111:$B$131,$B194,'11.2. ДА за периода'!AF$111:AF$131)</f>
        <v>0</v>
      </c>
      <c r="AG194" s="4453">
        <f>+'11.3. ДА Базова година'!X155</f>
        <v>77.157851905193468</v>
      </c>
      <c r="AH194" s="2655">
        <f>AG194+SUMIF('11.2. ДА за периода'!$B$111:$B$131,$B194,'11.2. ДА за периода'!AH$111:AH$131)</f>
        <v>77.157851905193468</v>
      </c>
      <c r="AI194" s="1136">
        <f>AH194+SUMIF('11.2. ДА за периода'!$B$111:$B$131,$B194,'11.2. ДА за периода'!AI$111:AI$131)</f>
        <v>77.157851905193468</v>
      </c>
      <c r="AJ194" s="1136">
        <f>AI194+SUMIF('11.2. ДА за периода'!$B$111:$B$131,$B194,'11.2. ДА за периода'!AJ$111:AJ$131)</f>
        <v>77.157851905193468</v>
      </c>
      <c r="AK194" s="1136">
        <f>AJ194+SUMIF('11.2. ДА за периода'!$B$111:$B$131,$B194,'11.2. ДА за периода'!AK$111:AK$131)</f>
        <v>77.157851905193468</v>
      </c>
      <c r="AL194" s="1136">
        <f>AK194+SUMIF('11.2. ДА за периода'!$B$111:$B$131,$B194,'11.2. ДА за периода'!AL$111:AL$131)</f>
        <v>77.157851905193468</v>
      </c>
      <c r="AM194" s="2656">
        <f>AL194+SUMIF('11.2. ДА за периода'!$B$111:$B$131,$B194,'11.2. ДА за периода'!AM$111:AM$131)</f>
        <v>77.157851905193468</v>
      </c>
      <c r="AN194" s="2551"/>
      <c r="AO194" s="2589"/>
      <c r="AP194" s="4488"/>
      <c r="AQ194" s="4504">
        <f t="shared" si="271"/>
        <v>303.25742937515332</v>
      </c>
      <c r="AR194" s="4504">
        <f t="shared" si="272"/>
        <v>303.25742937515332</v>
      </c>
      <c r="AS194" s="4504">
        <f t="shared" si="273"/>
        <v>303.25742937515332</v>
      </c>
      <c r="AT194" s="4504">
        <f t="shared" si="274"/>
        <v>303.25742937515332</v>
      </c>
      <c r="AU194" s="4504">
        <f t="shared" si="275"/>
        <v>303.25742937515332</v>
      </c>
      <c r="AV194" s="4504">
        <f t="shared" si="276"/>
        <v>303.25742937515332</v>
      </c>
      <c r="AW194" s="4504">
        <f t="shared" si="277"/>
        <v>303.25742937515332</v>
      </c>
      <c r="AX194" s="4504">
        <f t="shared" si="278"/>
        <v>61.099175286195624</v>
      </c>
      <c r="AY194" s="4504">
        <f t="shared" si="279"/>
        <v>61.099175286195624</v>
      </c>
      <c r="AZ194" s="4504">
        <f t="shared" si="280"/>
        <v>61.099175286195624</v>
      </c>
      <c r="BA194" s="4504">
        <f t="shared" si="281"/>
        <v>61.099175286195624</v>
      </c>
      <c r="BB194" s="4504">
        <f t="shared" si="282"/>
        <v>61.099175286195624</v>
      </c>
      <c r="BC194" s="4504">
        <f t="shared" si="283"/>
        <v>61.099175286195624</v>
      </c>
      <c r="BD194" s="4504">
        <f t="shared" si="284"/>
        <v>61.099175286195624</v>
      </c>
      <c r="BE194" s="4504">
        <f t="shared" si="285"/>
        <v>1823.9049661780423</v>
      </c>
      <c r="BF194" s="4504">
        <f t="shared" si="286"/>
        <v>1823.9049661780423</v>
      </c>
      <c r="BG194" s="4504">
        <f t="shared" si="287"/>
        <v>1823.9049661780423</v>
      </c>
      <c r="BH194" s="4504">
        <f t="shared" si="288"/>
        <v>1823.9049661780423</v>
      </c>
      <c r="BI194" s="4504">
        <f t="shared" si="289"/>
        <v>1823.9049661780423</v>
      </c>
      <c r="BJ194" s="4504">
        <f t="shared" si="290"/>
        <v>1823.9049661780423</v>
      </c>
      <c r="BK194" s="4504">
        <f t="shared" si="291"/>
        <v>1823.9049661780423</v>
      </c>
      <c r="BL194" s="4504">
        <f t="shared" si="292"/>
        <v>0</v>
      </c>
      <c r="BM194" s="4504">
        <f t="shared" si="293"/>
        <v>0</v>
      </c>
      <c r="BN194" s="4504">
        <f t="shared" si="294"/>
        <v>0</v>
      </c>
      <c r="BO194" s="4504">
        <f t="shared" si="295"/>
        <v>0</v>
      </c>
      <c r="BP194" s="4504">
        <f t="shared" si="296"/>
        <v>0</v>
      </c>
      <c r="BQ194" s="4504">
        <f t="shared" si="297"/>
        <v>0</v>
      </c>
      <c r="BR194" s="4504">
        <f t="shared" si="298"/>
        <v>0</v>
      </c>
      <c r="BS194" s="4504">
        <f t="shared" si="299"/>
        <v>39.450183249665599</v>
      </c>
      <c r="BT194" s="4504">
        <f t="shared" si="300"/>
        <v>39.450183249665599</v>
      </c>
      <c r="BU194" s="4504">
        <f t="shared" si="301"/>
        <v>39.450183249665599</v>
      </c>
      <c r="BV194" s="4504">
        <f t="shared" si="302"/>
        <v>39.450183249665599</v>
      </c>
      <c r="BW194" s="4504">
        <f t="shared" si="303"/>
        <v>39.450183249665599</v>
      </c>
      <c r="BX194" s="4504">
        <f t="shared" si="304"/>
        <v>39.450183249665599</v>
      </c>
      <c r="BY194" s="4504">
        <f t="shared" si="305"/>
        <v>39.450183249665599</v>
      </c>
    </row>
    <row r="195" spans="1:77" s="1323" customFormat="1">
      <c r="A195" s="2553">
        <v>3</v>
      </c>
      <c r="B195" s="2554">
        <v>911301</v>
      </c>
      <c r="C195" s="2555">
        <v>0.1</v>
      </c>
      <c r="D195" s="2609" t="s">
        <v>427</v>
      </c>
      <c r="E195" s="4453">
        <f>+'11.3. ДА Базова година'!H156</f>
        <v>0</v>
      </c>
      <c r="F195" s="2655">
        <f>E195+SUMIF('11.2. ДА за периода'!$B$111:$B$131,$B195,'11.2. ДА за периода'!F$111:F$131)</f>
        <v>0</v>
      </c>
      <c r="G195" s="1136">
        <f>F195+SUMIF('11.2. ДА за периода'!$B$111:$B$131,$B195,'11.2. ДА за периода'!G$111:G$131)</f>
        <v>0</v>
      </c>
      <c r="H195" s="1136">
        <f>G195+SUMIF('11.2. ДА за периода'!$B$111:$B$131,$B195,'11.2. ДА за периода'!H$111:H$131)</f>
        <v>0</v>
      </c>
      <c r="I195" s="1136">
        <f>H195+SUMIF('11.2. ДА за периода'!$B$111:$B$131,$B195,'11.2. ДА за периода'!I$111:I$131)</f>
        <v>0</v>
      </c>
      <c r="J195" s="1136">
        <f>I195+SUMIF('11.2. ДА за периода'!$B$111:$B$131,$B195,'11.2. ДА за периода'!J$111:J$131)</f>
        <v>0</v>
      </c>
      <c r="K195" s="2656">
        <f>J195+SUMIF('11.2. ДА за периода'!$B$111:$B$131,$B195,'11.2. ДА за периода'!K$111:K$131)</f>
        <v>0</v>
      </c>
      <c r="L195" s="4453">
        <f>+'11.3. ДА Базова година'!L156</f>
        <v>0</v>
      </c>
      <c r="M195" s="2655">
        <f>L195+SUMIF('11.2. ДА за периода'!$B$111:$B$131,$B195,'11.2. ДА за периода'!M$111:M$131)</f>
        <v>0</v>
      </c>
      <c r="N195" s="1136">
        <f>M195+SUMIF('11.2. ДА за периода'!$B$111:$B$131,$B195,'11.2. ДА за периода'!N$111:N$131)</f>
        <v>0</v>
      </c>
      <c r="O195" s="1136">
        <f>N195+SUMIF('11.2. ДА за периода'!$B$111:$B$131,$B195,'11.2. ДА за периода'!O$111:O$131)</f>
        <v>0</v>
      </c>
      <c r="P195" s="1136">
        <f>O195+SUMIF('11.2. ДА за периода'!$B$111:$B$131,$B195,'11.2. ДА за периода'!P$111:P$131)</f>
        <v>0</v>
      </c>
      <c r="Q195" s="1136">
        <f>P195+SUMIF('11.2. ДА за периода'!$B$111:$B$131,$B195,'11.2. ДА за периода'!Q$111:Q$131)</f>
        <v>0</v>
      </c>
      <c r="R195" s="2656">
        <f>Q195+SUMIF('11.2. ДА за периода'!$B$111:$B$131,$B195,'11.2. ДА за периода'!R$111:R$131)</f>
        <v>0</v>
      </c>
      <c r="S195" s="4453">
        <f>+'11.3. ДА Базова година'!P156</f>
        <v>0</v>
      </c>
      <c r="T195" s="2655">
        <f>S195+SUMIF('11.2. ДА за периода'!$B$111:$B$131,$B195,'11.2. ДА за периода'!T$111:T$131)</f>
        <v>0</v>
      </c>
      <c r="U195" s="1136">
        <f>T195+SUMIF('11.2. ДА за периода'!$B$111:$B$131,$B195,'11.2. ДА за периода'!U$111:U$131)</f>
        <v>0</v>
      </c>
      <c r="V195" s="1136">
        <f>U195+SUMIF('11.2. ДА за периода'!$B$111:$B$131,$B195,'11.2. ДА за периода'!V$111:V$131)</f>
        <v>0</v>
      </c>
      <c r="W195" s="1136">
        <f>V195+SUMIF('11.2. ДА за периода'!$B$111:$B$131,$B195,'11.2. ДА за периода'!W$111:W$131)</f>
        <v>0</v>
      </c>
      <c r="X195" s="1136">
        <f>W195+SUMIF('11.2. ДА за периода'!$B$111:$B$131,$B195,'11.2. ДА за периода'!X$111:X$131)</f>
        <v>0</v>
      </c>
      <c r="Y195" s="2656">
        <f>X195+SUMIF('11.2. ДА за периода'!$B$111:$B$131,$B195,'11.2. ДА за периода'!Y$111:Y$131)</f>
        <v>0</v>
      </c>
      <c r="Z195" s="4453">
        <f>+'11.3. ДА Базова година'!T156</f>
        <v>0</v>
      </c>
      <c r="AA195" s="2655">
        <f>Z195+SUMIF('11.2. ДА за периода'!$B$111:$B$131,$B195,'11.2. ДА за периода'!AA$111:AA$131)</f>
        <v>0</v>
      </c>
      <c r="AB195" s="1136">
        <f>AA195+SUMIF('11.2. ДА за периода'!$B$111:$B$131,$B195,'11.2. ДА за периода'!AB$111:AB$131)</f>
        <v>0</v>
      </c>
      <c r="AC195" s="1136">
        <f>AB195+SUMIF('11.2. ДА за периода'!$B$111:$B$131,$B195,'11.2. ДА за периода'!AC$111:AC$131)</f>
        <v>0</v>
      </c>
      <c r="AD195" s="1136">
        <f>AC195+SUMIF('11.2. ДА за периода'!$B$111:$B$131,$B195,'11.2. ДА за периода'!AD$111:AD$131)</f>
        <v>0</v>
      </c>
      <c r="AE195" s="1136">
        <f>AD195+SUMIF('11.2. ДА за периода'!$B$111:$B$131,$B195,'11.2. ДА за периода'!AE$111:AE$131)</f>
        <v>0</v>
      </c>
      <c r="AF195" s="2656">
        <f>AE195+SUMIF('11.2. ДА за периода'!$B$111:$B$131,$B195,'11.2. ДА за периода'!AF$111:AF$131)</f>
        <v>0</v>
      </c>
      <c r="AG195" s="4453">
        <f>+'11.3. ДА Базова година'!X156</f>
        <v>0</v>
      </c>
      <c r="AH195" s="2655">
        <f>AG195+SUMIF('11.2. ДА за периода'!$B$111:$B$131,$B195,'11.2. ДА за периода'!AH$111:AH$131)</f>
        <v>0</v>
      </c>
      <c r="AI195" s="1136">
        <f>AH195+SUMIF('11.2. ДА за периода'!$B$111:$B$131,$B195,'11.2. ДА за периода'!AI$111:AI$131)</f>
        <v>0</v>
      </c>
      <c r="AJ195" s="1136">
        <f>AI195+SUMIF('11.2. ДА за периода'!$B$111:$B$131,$B195,'11.2. ДА за периода'!AJ$111:AJ$131)</f>
        <v>0</v>
      </c>
      <c r="AK195" s="1136">
        <f>AJ195+SUMIF('11.2. ДА за периода'!$B$111:$B$131,$B195,'11.2. ДА за периода'!AK$111:AK$131)</f>
        <v>0</v>
      </c>
      <c r="AL195" s="1136">
        <f>AK195+SUMIF('11.2. ДА за периода'!$B$111:$B$131,$B195,'11.2. ДА за периода'!AL$111:AL$131)</f>
        <v>0</v>
      </c>
      <c r="AM195" s="2656">
        <f>AL195+SUMIF('11.2. ДА за периода'!$B$111:$B$131,$B195,'11.2. ДА за периода'!AM$111:AM$131)</f>
        <v>0</v>
      </c>
      <c r="AN195" s="2551"/>
      <c r="AO195" s="2589"/>
      <c r="AP195" s="4488"/>
      <c r="AQ195" s="4504">
        <f t="shared" si="271"/>
        <v>0</v>
      </c>
      <c r="AR195" s="4504">
        <f t="shared" si="272"/>
        <v>0</v>
      </c>
      <c r="AS195" s="4504">
        <f t="shared" si="273"/>
        <v>0</v>
      </c>
      <c r="AT195" s="4504">
        <f t="shared" si="274"/>
        <v>0</v>
      </c>
      <c r="AU195" s="4504">
        <f t="shared" si="275"/>
        <v>0</v>
      </c>
      <c r="AV195" s="4504">
        <f t="shared" si="276"/>
        <v>0</v>
      </c>
      <c r="AW195" s="4504">
        <f t="shared" si="277"/>
        <v>0</v>
      </c>
      <c r="AX195" s="4504">
        <f t="shared" si="278"/>
        <v>0</v>
      </c>
      <c r="AY195" s="4504">
        <f t="shared" si="279"/>
        <v>0</v>
      </c>
      <c r="AZ195" s="4504">
        <f t="shared" si="280"/>
        <v>0</v>
      </c>
      <c r="BA195" s="4504">
        <f t="shared" si="281"/>
        <v>0</v>
      </c>
      <c r="BB195" s="4504">
        <f t="shared" si="282"/>
        <v>0</v>
      </c>
      <c r="BC195" s="4504">
        <f t="shared" si="283"/>
        <v>0</v>
      </c>
      <c r="BD195" s="4504">
        <f t="shared" si="284"/>
        <v>0</v>
      </c>
      <c r="BE195" s="4504">
        <f t="shared" si="285"/>
        <v>0</v>
      </c>
      <c r="BF195" s="4504">
        <f t="shared" si="286"/>
        <v>0</v>
      </c>
      <c r="BG195" s="4504">
        <f t="shared" si="287"/>
        <v>0</v>
      </c>
      <c r="BH195" s="4504">
        <f t="shared" si="288"/>
        <v>0</v>
      </c>
      <c r="BI195" s="4504">
        <f t="shared" si="289"/>
        <v>0</v>
      </c>
      <c r="BJ195" s="4504">
        <f t="shared" si="290"/>
        <v>0</v>
      </c>
      <c r="BK195" s="4504">
        <f t="shared" si="291"/>
        <v>0</v>
      </c>
      <c r="BL195" s="4504">
        <f t="shared" si="292"/>
        <v>0</v>
      </c>
      <c r="BM195" s="4504">
        <f t="shared" si="293"/>
        <v>0</v>
      </c>
      <c r="BN195" s="4504">
        <f t="shared" si="294"/>
        <v>0</v>
      </c>
      <c r="BO195" s="4504">
        <f t="shared" si="295"/>
        <v>0</v>
      </c>
      <c r="BP195" s="4504">
        <f t="shared" si="296"/>
        <v>0</v>
      </c>
      <c r="BQ195" s="4504">
        <f t="shared" si="297"/>
        <v>0</v>
      </c>
      <c r="BR195" s="4504">
        <f t="shared" si="298"/>
        <v>0</v>
      </c>
      <c r="BS195" s="4504">
        <f t="shared" si="299"/>
        <v>0</v>
      </c>
      <c r="BT195" s="4504">
        <f t="shared" si="300"/>
        <v>0</v>
      </c>
      <c r="BU195" s="4504">
        <f t="shared" si="301"/>
        <v>0</v>
      </c>
      <c r="BV195" s="4504">
        <f t="shared" si="302"/>
        <v>0</v>
      </c>
      <c r="BW195" s="4504">
        <f t="shared" si="303"/>
        <v>0</v>
      </c>
      <c r="BX195" s="4504">
        <f t="shared" si="304"/>
        <v>0</v>
      </c>
      <c r="BY195" s="4504">
        <f t="shared" si="305"/>
        <v>0</v>
      </c>
    </row>
    <row r="196" spans="1:77" s="1323" customFormat="1">
      <c r="A196" s="2553">
        <v>4</v>
      </c>
      <c r="B196" s="2554">
        <v>911302</v>
      </c>
      <c r="C196" s="2555">
        <v>0.1</v>
      </c>
      <c r="D196" s="2609" t="s">
        <v>428</v>
      </c>
      <c r="E196" s="4453">
        <f>+'11.3. ДА Базова година'!H157</f>
        <v>0</v>
      </c>
      <c r="F196" s="2655">
        <f>E196+SUMIF('11.2. ДА за периода'!$B$111:$B$131,$B196,'11.2. ДА за периода'!F$111:F$131)</f>
        <v>0</v>
      </c>
      <c r="G196" s="1136">
        <f>F196+SUMIF('11.2. ДА за периода'!$B$111:$B$131,$B196,'11.2. ДА за периода'!G$111:G$131)</f>
        <v>0</v>
      </c>
      <c r="H196" s="1136">
        <f>G196+SUMIF('11.2. ДА за периода'!$B$111:$B$131,$B196,'11.2. ДА за периода'!H$111:H$131)</f>
        <v>0</v>
      </c>
      <c r="I196" s="1136">
        <f>H196+SUMIF('11.2. ДА за периода'!$B$111:$B$131,$B196,'11.2. ДА за периода'!I$111:I$131)</f>
        <v>0</v>
      </c>
      <c r="J196" s="1136">
        <f>I196+SUMIF('11.2. ДА за периода'!$B$111:$B$131,$B196,'11.2. ДА за периода'!J$111:J$131)</f>
        <v>0</v>
      </c>
      <c r="K196" s="2656">
        <f>J196+SUMIF('11.2. ДА за периода'!$B$111:$B$131,$B196,'11.2. ДА за периода'!K$111:K$131)</f>
        <v>0</v>
      </c>
      <c r="L196" s="4453">
        <f>+'11.3. ДА Базова година'!L157</f>
        <v>0</v>
      </c>
      <c r="M196" s="2655">
        <f>L196+SUMIF('11.2. ДА за периода'!$B$111:$B$131,$B196,'11.2. ДА за периода'!M$111:M$131)</f>
        <v>0</v>
      </c>
      <c r="N196" s="1136">
        <f>M196+SUMIF('11.2. ДА за периода'!$B$111:$B$131,$B196,'11.2. ДА за периода'!N$111:N$131)</f>
        <v>0</v>
      </c>
      <c r="O196" s="1136">
        <f>N196+SUMIF('11.2. ДА за периода'!$B$111:$B$131,$B196,'11.2. ДА за периода'!O$111:O$131)</f>
        <v>0</v>
      </c>
      <c r="P196" s="1136">
        <f>O196+SUMIF('11.2. ДА за периода'!$B$111:$B$131,$B196,'11.2. ДА за периода'!P$111:P$131)</f>
        <v>0</v>
      </c>
      <c r="Q196" s="1136">
        <f>P196+SUMIF('11.2. ДА за периода'!$B$111:$B$131,$B196,'11.2. ДА за периода'!Q$111:Q$131)</f>
        <v>0</v>
      </c>
      <c r="R196" s="2656">
        <f>Q196+SUMIF('11.2. ДА за периода'!$B$111:$B$131,$B196,'11.2. ДА за периода'!R$111:R$131)</f>
        <v>0</v>
      </c>
      <c r="S196" s="4453">
        <f>+'11.3. ДА Базова година'!P157</f>
        <v>0</v>
      </c>
      <c r="T196" s="2655">
        <f>S196+SUMIF('11.2. ДА за периода'!$B$111:$B$131,$B196,'11.2. ДА за периода'!T$111:T$131)</f>
        <v>0</v>
      </c>
      <c r="U196" s="1136">
        <f>T196+SUMIF('11.2. ДА за периода'!$B$111:$B$131,$B196,'11.2. ДА за периода'!U$111:U$131)</f>
        <v>0</v>
      </c>
      <c r="V196" s="1136">
        <f>U196+SUMIF('11.2. ДА за периода'!$B$111:$B$131,$B196,'11.2. ДА за периода'!V$111:V$131)</f>
        <v>0</v>
      </c>
      <c r="W196" s="1136">
        <f>V196+SUMIF('11.2. ДА за периода'!$B$111:$B$131,$B196,'11.2. ДА за периода'!W$111:W$131)</f>
        <v>0</v>
      </c>
      <c r="X196" s="1136">
        <f>W196+SUMIF('11.2. ДА за периода'!$B$111:$B$131,$B196,'11.2. ДА за периода'!X$111:X$131)</f>
        <v>0</v>
      </c>
      <c r="Y196" s="2656">
        <f>X196+SUMIF('11.2. ДА за периода'!$B$111:$B$131,$B196,'11.2. ДА за периода'!Y$111:Y$131)</f>
        <v>0</v>
      </c>
      <c r="Z196" s="4453">
        <f>+'11.3. ДА Базова година'!T157</f>
        <v>0</v>
      </c>
      <c r="AA196" s="2655">
        <f>Z196+SUMIF('11.2. ДА за периода'!$B$111:$B$131,$B196,'11.2. ДА за периода'!AA$111:AA$131)</f>
        <v>0</v>
      </c>
      <c r="AB196" s="1136">
        <f>AA196+SUMIF('11.2. ДА за периода'!$B$111:$B$131,$B196,'11.2. ДА за периода'!AB$111:AB$131)</f>
        <v>0</v>
      </c>
      <c r="AC196" s="1136">
        <f>AB196+SUMIF('11.2. ДА за периода'!$B$111:$B$131,$B196,'11.2. ДА за периода'!AC$111:AC$131)</f>
        <v>0</v>
      </c>
      <c r="AD196" s="1136">
        <f>AC196+SUMIF('11.2. ДА за периода'!$B$111:$B$131,$B196,'11.2. ДА за периода'!AD$111:AD$131)</f>
        <v>0</v>
      </c>
      <c r="AE196" s="1136">
        <f>AD196+SUMIF('11.2. ДА за периода'!$B$111:$B$131,$B196,'11.2. ДА за периода'!AE$111:AE$131)</f>
        <v>0</v>
      </c>
      <c r="AF196" s="2656">
        <f>AE196+SUMIF('11.2. ДА за периода'!$B$111:$B$131,$B196,'11.2. ДА за периода'!AF$111:AF$131)</f>
        <v>0</v>
      </c>
      <c r="AG196" s="4453">
        <f>+'11.3. ДА Базова година'!X157</f>
        <v>0</v>
      </c>
      <c r="AH196" s="2655">
        <f>AG196+SUMIF('11.2. ДА за периода'!$B$111:$B$131,$B196,'11.2. ДА за периода'!AH$111:AH$131)</f>
        <v>0</v>
      </c>
      <c r="AI196" s="1136">
        <f>AH196+SUMIF('11.2. ДА за периода'!$B$111:$B$131,$B196,'11.2. ДА за периода'!AI$111:AI$131)</f>
        <v>0</v>
      </c>
      <c r="AJ196" s="1136">
        <f>AI196+SUMIF('11.2. ДА за периода'!$B$111:$B$131,$B196,'11.2. ДА за периода'!AJ$111:AJ$131)</f>
        <v>0</v>
      </c>
      <c r="AK196" s="1136">
        <f>AJ196+SUMIF('11.2. ДА за периода'!$B$111:$B$131,$B196,'11.2. ДА за периода'!AK$111:AK$131)</f>
        <v>0</v>
      </c>
      <c r="AL196" s="1136">
        <f>AK196+SUMIF('11.2. ДА за периода'!$B$111:$B$131,$B196,'11.2. ДА за периода'!AL$111:AL$131)</f>
        <v>0</v>
      </c>
      <c r="AM196" s="2656">
        <f>AL196+SUMIF('11.2. ДА за периода'!$B$111:$B$131,$B196,'11.2. ДА за периода'!AM$111:AM$131)</f>
        <v>0</v>
      </c>
      <c r="AN196" s="2551"/>
      <c r="AO196" s="2589"/>
      <c r="AP196" s="4488"/>
      <c r="AQ196" s="4504">
        <f t="shared" si="271"/>
        <v>0</v>
      </c>
      <c r="AR196" s="4504">
        <f t="shared" si="272"/>
        <v>0</v>
      </c>
      <c r="AS196" s="4504">
        <f t="shared" si="273"/>
        <v>0</v>
      </c>
      <c r="AT196" s="4504">
        <f t="shared" si="274"/>
        <v>0</v>
      </c>
      <c r="AU196" s="4504">
        <f t="shared" si="275"/>
        <v>0</v>
      </c>
      <c r="AV196" s="4504">
        <f t="shared" si="276"/>
        <v>0</v>
      </c>
      <c r="AW196" s="4504">
        <f t="shared" si="277"/>
        <v>0</v>
      </c>
      <c r="AX196" s="4504">
        <f t="shared" si="278"/>
        <v>0</v>
      </c>
      <c r="AY196" s="4504">
        <f t="shared" si="279"/>
        <v>0</v>
      </c>
      <c r="AZ196" s="4504">
        <f t="shared" si="280"/>
        <v>0</v>
      </c>
      <c r="BA196" s="4504">
        <f t="shared" si="281"/>
        <v>0</v>
      </c>
      <c r="BB196" s="4504">
        <f t="shared" si="282"/>
        <v>0</v>
      </c>
      <c r="BC196" s="4504">
        <f t="shared" si="283"/>
        <v>0</v>
      </c>
      <c r="BD196" s="4504">
        <f t="shared" si="284"/>
        <v>0</v>
      </c>
      <c r="BE196" s="4504">
        <f t="shared" si="285"/>
        <v>0</v>
      </c>
      <c r="BF196" s="4504">
        <f t="shared" si="286"/>
        <v>0</v>
      </c>
      <c r="BG196" s="4504">
        <f t="shared" si="287"/>
        <v>0</v>
      </c>
      <c r="BH196" s="4504">
        <f t="shared" si="288"/>
        <v>0</v>
      </c>
      <c r="BI196" s="4504">
        <f t="shared" si="289"/>
        <v>0</v>
      </c>
      <c r="BJ196" s="4504">
        <f t="shared" si="290"/>
        <v>0</v>
      </c>
      <c r="BK196" s="4504">
        <f t="shared" si="291"/>
        <v>0</v>
      </c>
      <c r="BL196" s="4504">
        <f t="shared" si="292"/>
        <v>0</v>
      </c>
      <c r="BM196" s="4504">
        <f t="shared" si="293"/>
        <v>0</v>
      </c>
      <c r="BN196" s="4504">
        <f t="shared" si="294"/>
        <v>0</v>
      </c>
      <c r="BO196" s="4504">
        <f t="shared" si="295"/>
        <v>0</v>
      </c>
      <c r="BP196" s="4504">
        <f t="shared" si="296"/>
        <v>0</v>
      </c>
      <c r="BQ196" s="4504">
        <f t="shared" si="297"/>
        <v>0</v>
      </c>
      <c r="BR196" s="4504">
        <f t="shared" si="298"/>
        <v>0</v>
      </c>
      <c r="BS196" s="4504">
        <f t="shared" si="299"/>
        <v>0</v>
      </c>
      <c r="BT196" s="4504">
        <f t="shared" si="300"/>
        <v>0</v>
      </c>
      <c r="BU196" s="4504">
        <f t="shared" si="301"/>
        <v>0</v>
      </c>
      <c r="BV196" s="4504">
        <f t="shared" si="302"/>
        <v>0</v>
      </c>
      <c r="BW196" s="4504">
        <f t="shared" si="303"/>
        <v>0</v>
      </c>
      <c r="BX196" s="4504">
        <f t="shared" si="304"/>
        <v>0</v>
      </c>
      <c r="BY196" s="4504">
        <f t="shared" si="305"/>
        <v>0</v>
      </c>
    </row>
    <row r="197" spans="1:77" s="1323" customFormat="1">
      <c r="A197" s="2553">
        <v>5</v>
      </c>
      <c r="B197" s="2554" t="s">
        <v>714</v>
      </c>
      <c r="C197" s="2555">
        <v>0.1</v>
      </c>
      <c r="D197" s="2590" t="s">
        <v>407</v>
      </c>
      <c r="E197" s="4453">
        <f>+'11.3. ДА Базова година'!H158</f>
        <v>186.85247674047054</v>
      </c>
      <c r="F197" s="2655">
        <f>E197+SUMIF('11.2. ДА за периода'!$B$111:$B$131,$B197,'11.2. ДА за периода'!F$111:F$131)</f>
        <v>186.85247674047054</v>
      </c>
      <c r="G197" s="1136">
        <f>F197+SUMIF('11.2. ДА за периода'!$B$111:$B$131,$B197,'11.2. ДА за периода'!G$111:G$131)</f>
        <v>186.85247674047054</v>
      </c>
      <c r="H197" s="1136">
        <f>G197+SUMIF('11.2. ДА за периода'!$B$111:$B$131,$B197,'11.2. ДА за периода'!H$111:H$131)</f>
        <v>186.85247674047054</v>
      </c>
      <c r="I197" s="1136">
        <f>H197+SUMIF('11.2. ДА за периода'!$B$111:$B$131,$B197,'11.2. ДА за периода'!I$111:I$131)</f>
        <v>186.85247674047054</v>
      </c>
      <c r="J197" s="1136">
        <f>I197+SUMIF('11.2. ДА за периода'!$B$111:$B$131,$B197,'11.2. ДА за периода'!J$111:J$131)</f>
        <v>186.85247674047054</v>
      </c>
      <c r="K197" s="2656">
        <f>J197+SUMIF('11.2. ДА за периода'!$B$111:$B$131,$B197,'11.2. ДА за периода'!K$111:K$131)</f>
        <v>186.85247674047054</v>
      </c>
      <c r="L197" s="4453">
        <f>+'11.3. ДА Базова година'!L158</f>
        <v>0</v>
      </c>
      <c r="M197" s="2655">
        <f>L197+SUMIF('11.2. ДА за периода'!$B$111:$B$131,$B197,'11.2. ДА за периода'!M$111:M$131)</f>
        <v>0</v>
      </c>
      <c r="N197" s="1136">
        <f>M197+SUMIF('11.2. ДА за периода'!$B$111:$B$131,$B197,'11.2. ДА за периода'!N$111:N$131)</f>
        <v>0</v>
      </c>
      <c r="O197" s="1136">
        <f>N197+SUMIF('11.2. ДА за периода'!$B$111:$B$131,$B197,'11.2. ДА за периода'!O$111:O$131)</f>
        <v>0</v>
      </c>
      <c r="P197" s="1136">
        <f>O197+SUMIF('11.2. ДА за периода'!$B$111:$B$131,$B197,'11.2. ДА за периода'!P$111:P$131)</f>
        <v>0</v>
      </c>
      <c r="Q197" s="1136">
        <f>P197+SUMIF('11.2. ДА за периода'!$B$111:$B$131,$B197,'11.2. ДА за периода'!Q$111:Q$131)</f>
        <v>0</v>
      </c>
      <c r="R197" s="2656">
        <f>Q197+SUMIF('11.2. ДА за периода'!$B$111:$B$131,$B197,'11.2. ДА за периода'!R$111:R$131)</f>
        <v>0</v>
      </c>
      <c r="S197" s="4453">
        <f>+'11.3. ДА Базова година'!P158</f>
        <v>1417.28998</v>
      </c>
      <c r="T197" s="2655">
        <f>S197+SUMIF('11.2. ДА за периода'!$B$111:$B$131,$B197,'11.2. ДА за периода'!T$111:T$131)</f>
        <v>1417.28998</v>
      </c>
      <c r="U197" s="1136">
        <f>T197+SUMIF('11.2. ДА за периода'!$B$111:$B$131,$B197,'11.2. ДА за периода'!U$111:U$131)</f>
        <v>1417.28998</v>
      </c>
      <c r="V197" s="1136">
        <f>U197+SUMIF('11.2. ДА за периода'!$B$111:$B$131,$B197,'11.2. ДА за периода'!V$111:V$131)</f>
        <v>1417.28998</v>
      </c>
      <c r="W197" s="1136">
        <f>V197+SUMIF('11.2. ДА за периода'!$B$111:$B$131,$B197,'11.2. ДА за периода'!W$111:W$131)</f>
        <v>1417.28998</v>
      </c>
      <c r="X197" s="1136">
        <f>W197+SUMIF('11.2. ДА за периода'!$B$111:$B$131,$B197,'11.2. ДА за периода'!X$111:X$131)</f>
        <v>1417.28998</v>
      </c>
      <c r="Y197" s="2656">
        <f>X197+SUMIF('11.2. ДА за периода'!$B$111:$B$131,$B197,'11.2. ДА за периода'!Y$111:Y$131)</f>
        <v>1417.28998</v>
      </c>
      <c r="Z197" s="4453">
        <f>+'11.3. ДА Базова година'!T158</f>
        <v>0</v>
      </c>
      <c r="AA197" s="2655">
        <f>Z197+SUMIF('11.2. ДА за периода'!$B$111:$B$131,$B197,'11.2. ДА за периода'!AA$111:AA$131)</f>
        <v>0</v>
      </c>
      <c r="AB197" s="1136">
        <f>AA197+SUMIF('11.2. ДА за периода'!$B$111:$B$131,$B197,'11.2. ДА за периода'!AB$111:AB$131)</f>
        <v>0</v>
      </c>
      <c r="AC197" s="1136">
        <f>AB197+SUMIF('11.2. ДА за периода'!$B$111:$B$131,$B197,'11.2. ДА за периода'!AC$111:AC$131)</f>
        <v>0</v>
      </c>
      <c r="AD197" s="1136">
        <f>AC197+SUMIF('11.2. ДА за периода'!$B$111:$B$131,$B197,'11.2. ДА за периода'!AD$111:AD$131)</f>
        <v>0</v>
      </c>
      <c r="AE197" s="1136">
        <f>AD197+SUMIF('11.2. ДА за периода'!$B$111:$B$131,$B197,'11.2. ДА за периода'!AE$111:AE$131)</f>
        <v>0</v>
      </c>
      <c r="AF197" s="2656">
        <f>AE197+SUMIF('11.2. ДА за периода'!$B$111:$B$131,$B197,'11.2. ДА за периода'!AF$111:AF$131)</f>
        <v>0</v>
      </c>
      <c r="AG197" s="4453">
        <f>+'11.3. ДА Базова година'!X158</f>
        <v>17.366923259529507</v>
      </c>
      <c r="AH197" s="2655">
        <f>AG197+SUMIF('11.2. ДА за периода'!$B$111:$B$131,$B197,'11.2. ДА за периода'!AH$111:AH$131)</f>
        <v>17.366923259529507</v>
      </c>
      <c r="AI197" s="1136">
        <f>AH197+SUMIF('11.2. ДА за периода'!$B$111:$B$131,$B197,'11.2. ДА за периода'!AI$111:AI$131)</f>
        <v>17.366923259529507</v>
      </c>
      <c r="AJ197" s="1136">
        <f>AI197+SUMIF('11.2. ДА за периода'!$B$111:$B$131,$B197,'11.2. ДА за периода'!AJ$111:AJ$131)</f>
        <v>17.366923259529507</v>
      </c>
      <c r="AK197" s="1136">
        <f>AJ197+SUMIF('11.2. ДА за периода'!$B$111:$B$131,$B197,'11.2. ДА за периода'!AK$111:AK$131)</f>
        <v>17.366923259529507</v>
      </c>
      <c r="AL197" s="1136">
        <f>AK197+SUMIF('11.2. ДА за периода'!$B$111:$B$131,$B197,'11.2. ДА за периода'!AL$111:AL$131)</f>
        <v>17.366923259529507</v>
      </c>
      <c r="AM197" s="2656">
        <f>AL197+SUMIF('11.2. ДА за периода'!$B$111:$B$131,$B197,'11.2. ДА за периода'!AM$111:AM$131)</f>
        <v>17.366923259529507</v>
      </c>
      <c r="AN197" s="2551"/>
      <c r="AO197" s="2589"/>
      <c r="AP197" s="4488"/>
      <c r="AQ197" s="4504">
        <f t="shared" si="271"/>
        <v>95.536154338807847</v>
      </c>
      <c r="AR197" s="4504">
        <f t="shared" si="272"/>
        <v>95.536154338807847</v>
      </c>
      <c r="AS197" s="4504">
        <f t="shared" si="273"/>
        <v>95.536154338807847</v>
      </c>
      <c r="AT197" s="4504">
        <f t="shared" si="274"/>
        <v>95.536154338807847</v>
      </c>
      <c r="AU197" s="4504">
        <f t="shared" si="275"/>
        <v>95.536154338807847</v>
      </c>
      <c r="AV197" s="4504">
        <f t="shared" si="276"/>
        <v>95.536154338807847</v>
      </c>
      <c r="AW197" s="4504">
        <f t="shared" si="277"/>
        <v>95.536154338807847</v>
      </c>
      <c r="AX197" s="4504">
        <f t="shared" si="278"/>
        <v>0</v>
      </c>
      <c r="AY197" s="4504">
        <f t="shared" si="279"/>
        <v>0</v>
      </c>
      <c r="AZ197" s="4504">
        <f t="shared" si="280"/>
        <v>0</v>
      </c>
      <c r="BA197" s="4504">
        <f t="shared" si="281"/>
        <v>0</v>
      </c>
      <c r="BB197" s="4504">
        <f t="shared" si="282"/>
        <v>0</v>
      </c>
      <c r="BC197" s="4504">
        <f t="shared" si="283"/>
        <v>0</v>
      </c>
      <c r="BD197" s="4504">
        <f t="shared" si="284"/>
        <v>0</v>
      </c>
      <c r="BE197" s="4504">
        <f t="shared" si="285"/>
        <v>724.64886007475093</v>
      </c>
      <c r="BF197" s="4504">
        <f t="shared" si="286"/>
        <v>724.64886007475093</v>
      </c>
      <c r="BG197" s="4504">
        <f t="shared" si="287"/>
        <v>724.64886007475093</v>
      </c>
      <c r="BH197" s="4504">
        <f t="shared" si="288"/>
        <v>724.64886007475093</v>
      </c>
      <c r="BI197" s="4504">
        <f t="shared" si="289"/>
        <v>724.64886007475093</v>
      </c>
      <c r="BJ197" s="4504">
        <f t="shared" si="290"/>
        <v>724.64886007475093</v>
      </c>
      <c r="BK197" s="4504">
        <f t="shared" si="291"/>
        <v>724.64886007475093</v>
      </c>
      <c r="BL197" s="4504">
        <f t="shared" si="292"/>
        <v>0</v>
      </c>
      <c r="BM197" s="4504">
        <f t="shared" si="293"/>
        <v>0</v>
      </c>
      <c r="BN197" s="4504">
        <f t="shared" si="294"/>
        <v>0</v>
      </c>
      <c r="BO197" s="4504">
        <f t="shared" si="295"/>
        <v>0</v>
      </c>
      <c r="BP197" s="4504">
        <f t="shared" si="296"/>
        <v>0</v>
      </c>
      <c r="BQ197" s="4504">
        <f t="shared" si="297"/>
        <v>0</v>
      </c>
      <c r="BR197" s="4504">
        <f t="shared" si="298"/>
        <v>0</v>
      </c>
      <c r="BS197" s="4504">
        <f t="shared" si="299"/>
        <v>8.8795668639552048</v>
      </c>
      <c r="BT197" s="4504">
        <f t="shared" si="300"/>
        <v>8.8795668639552048</v>
      </c>
      <c r="BU197" s="4504">
        <f t="shared" si="301"/>
        <v>8.8795668639552048</v>
      </c>
      <c r="BV197" s="4504">
        <f t="shared" si="302"/>
        <v>8.8795668639552048</v>
      </c>
      <c r="BW197" s="4504">
        <f t="shared" si="303"/>
        <v>8.8795668639552048</v>
      </c>
      <c r="BX197" s="4504">
        <f t="shared" si="304"/>
        <v>8.8795668639552048</v>
      </c>
      <c r="BY197" s="4504">
        <f t="shared" si="305"/>
        <v>8.8795668639552048</v>
      </c>
    </row>
    <row r="198" spans="1:77" s="1323" customFormat="1">
      <c r="A198" s="2553">
        <v>6</v>
      </c>
      <c r="B198" s="2554" t="s">
        <v>715</v>
      </c>
      <c r="C198" s="2555">
        <v>0.1</v>
      </c>
      <c r="D198" s="2590" t="s">
        <v>1001</v>
      </c>
      <c r="E198" s="4453">
        <f>+'11.3. ДА Базова година'!H159</f>
        <v>103.2567585012527</v>
      </c>
      <c r="F198" s="2655">
        <f>E198+SUMIF('11.2. ДА за периода'!$B$111:$B$131,$B198,'11.2. ДА за периода'!F$111:F$131)</f>
        <v>103.2567585012527</v>
      </c>
      <c r="G198" s="1136">
        <f>F198+SUMIF('11.2. ДА за периода'!$B$111:$B$131,$B198,'11.2. ДА за периода'!G$111:G$131)</f>
        <v>103.2567585012527</v>
      </c>
      <c r="H198" s="1136">
        <f>G198+SUMIF('11.2. ДА за периода'!$B$111:$B$131,$B198,'11.2. ДА за периода'!H$111:H$131)</f>
        <v>103.2567585012527</v>
      </c>
      <c r="I198" s="1136">
        <f>H198+SUMIF('11.2. ДА за периода'!$B$111:$B$131,$B198,'11.2. ДА за периода'!I$111:I$131)</f>
        <v>103.2567585012527</v>
      </c>
      <c r="J198" s="1136">
        <f>I198+SUMIF('11.2. ДА за периода'!$B$111:$B$131,$B198,'11.2. ДА за периода'!J$111:J$131)</f>
        <v>103.2567585012527</v>
      </c>
      <c r="K198" s="2656">
        <f>J198+SUMIF('11.2. ДА за периода'!$B$111:$B$131,$B198,'11.2. ДА за периода'!K$111:K$131)</f>
        <v>103.2567585012527</v>
      </c>
      <c r="L198" s="4453">
        <f>+'11.3. ДА Базова година'!L159</f>
        <v>0</v>
      </c>
      <c r="M198" s="2655">
        <f>L198+SUMIF('11.2. ДА за периода'!$B$111:$B$131,$B198,'11.2. ДА за периода'!M$111:M$131)</f>
        <v>0</v>
      </c>
      <c r="N198" s="1136">
        <f>M198+SUMIF('11.2. ДА за периода'!$B$111:$B$131,$B198,'11.2. ДА за периода'!N$111:N$131)</f>
        <v>0</v>
      </c>
      <c r="O198" s="1136">
        <f>N198+SUMIF('11.2. ДА за периода'!$B$111:$B$131,$B198,'11.2. ДА за периода'!O$111:O$131)</f>
        <v>0</v>
      </c>
      <c r="P198" s="1136">
        <f>O198+SUMIF('11.2. ДА за периода'!$B$111:$B$131,$B198,'11.2. ДА за периода'!P$111:P$131)</f>
        <v>0</v>
      </c>
      <c r="Q198" s="1136">
        <f>P198+SUMIF('11.2. ДА за периода'!$B$111:$B$131,$B198,'11.2. ДА за периода'!Q$111:Q$131)</f>
        <v>0</v>
      </c>
      <c r="R198" s="2656">
        <f>Q198+SUMIF('11.2. ДА за периода'!$B$111:$B$131,$B198,'11.2. ДА за периода'!R$111:R$131)</f>
        <v>0</v>
      </c>
      <c r="S198" s="4453">
        <f>+'11.3. ДА Базова година'!P159</f>
        <v>42.437559999999998</v>
      </c>
      <c r="T198" s="2655">
        <f>S198+SUMIF('11.2. ДА за периода'!$B$111:$B$131,$B198,'11.2. ДА за периода'!T$111:T$131)</f>
        <v>42.437559999999998</v>
      </c>
      <c r="U198" s="1136">
        <f>T198+SUMIF('11.2. ДА за периода'!$B$111:$B$131,$B198,'11.2. ДА за периода'!U$111:U$131)</f>
        <v>42.437559999999998</v>
      </c>
      <c r="V198" s="1136">
        <f>U198+SUMIF('11.2. ДА за периода'!$B$111:$B$131,$B198,'11.2. ДА за периода'!V$111:V$131)</f>
        <v>42.437559999999998</v>
      </c>
      <c r="W198" s="1136">
        <f>V198+SUMIF('11.2. ДА за периода'!$B$111:$B$131,$B198,'11.2. ДА за периода'!W$111:W$131)</f>
        <v>42.437559999999998</v>
      </c>
      <c r="X198" s="1136">
        <f>W198+SUMIF('11.2. ДА за периода'!$B$111:$B$131,$B198,'11.2. ДА за периода'!X$111:X$131)</f>
        <v>42.437559999999998</v>
      </c>
      <c r="Y198" s="2656">
        <f>X198+SUMIF('11.2. ДА за периода'!$B$111:$B$131,$B198,'11.2. ДА за периода'!Y$111:Y$131)</f>
        <v>42.437559999999998</v>
      </c>
      <c r="Z198" s="4453">
        <f>+'11.3. ДА Базова година'!T159</f>
        <v>0</v>
      </c>
      <c r="AA198" s="2655">
        <f>Z198+SUMIF('11.2. ДА за периода'!$B$111:$B$131,$B198,'11.2. ДА за периода'!AA$111:AA$131)</f>
        <v>0</v>
      </c>
      <c r="AB198" s="1136">
        <f>AA198+SUMIF('11.2. ДА за периода'!$B$111:$B$131,$B198,'11.2. ДА за периода'!AB$111:AB$131)</f>
        <v>0</v>
      </c>
      <c r="AC198" s="1136">
        <f>AB198+SUMIF('11.2. ДА за периода'!$B$111:$B$131,$B198,'11.2. ДА за периода'!AC$111:AC$131)</f>
        <v>0</v>
      </c>
      <c r="AD198" s="1136">
        <f>AC198+SUMIF('11.2. ДА за периода'!$B$111:$B$131,$B198,'11.2. ДА за периода'!AD$111:AD$131)</f>
        <v>0</v>
      </c>
      <c r="AE198" s="1136">
        <f>AD198+SUMIF('11.2. ДА за периода'!$B$111:$B$131,$B198,'11.2. ДА за периода'!AE$111:AE$131)</f>
        <v>0</v>
      </c>
      <c r="AF198" s="2656">
        <f>AE198+SUMIF('11.2. ДА за периода'!$B$111:$B$131,$B198,'11.2. ДА за периода'!AF$111:AF$131)</f>
        <v>0</v>
      </c>
      <c r="AG198" s="4453">
        <f>+'11.3. ДА Базова година'!X159</f>
        <v>45.168631498747281</v>
      </c>
      <c r="AH198" s="2655">
        <f>AG198+SUMIF('11.2. ДА за периода'!$B$111:$B$131,$B198,'11.2. ДА за периода'!AH$111:AH$131)</f>
        <v>45.168631498747281</v>
      </c>
      <c r="AI198" s="1136">
        <f>AH198+SUMIF('11.2. ДА за периода'!$B$111:$B$131,$B198,'11.2. ДА за периода'!AI$111:AI$131)</f>
        <v>45.168631498747281</v>
      </c>
      <c r="AJ198" s="1136">
        <f>AI198+SUMIF('11.2. ДА за периода'!$B$111:$B$131,$B198,'11.2. ДА за периода'!AJ$111:AJ$131)</f>
        <v>45.168631498747281</v>
      </c>
      <c r="AK198" s="1136">
        <f>AJ198+SUMIF('11.2. ДА за периода'!$B$111:$B$131,$B198,'11.2. ДА за периода'!AK$111:AK$131)</f>
        <v>45.168631498747281</v>
      </c>
      <c r="AL198" s="1136">
        <f>AK198+SUMIF('11.2. ДА за периода'!$B$111:$B$131,$B198,'11.2. ДА за периода'!AL$111:AL$131)</f>
        <v>45.168631498747281</v>
      </c>
      <c r="AM198" s="2656">
        <f>AL198+SUMIF('11.2. ДА за периода'!$B$111:$B$131,$B198,'11.2. ДА за периода'!AM$111:AM$131)</f>
        <v>45.168631498747281</v>
      </c>
      <c r="AN198" s="2551"/>
      <c r="AO198" s="2589"/>
      <c r="AP198" s="4488"/>
      <c r="AQ198" s="4504">
        <f t="shared" si="271"/>
        <v>52.79434230032912</v>
      </c>
      <c r="AR198" s="4504">
        <f t="shared" si="272"/>
        <v>52.79434230032912</v>
      </c>
      <c r="AS198" s="4504">
        <f t="shared" si="273"/>
        <v>52.79434230032912</v>
      </c>
      <c r="AT198" s="4504">
        <f t="shared" si="274"/>
        <v>52.79434230032912</v>
      </c>
      <c r="AU198" s="4504">
        <f t="shared" si="275"/>
        <v>52.79434230032912</v>
      </c>
      <c r="AV198" s="4504">
        <f t="shared" si="276"/>
        <v>52.79434230032912</v>
      </c>
      <c r="AW198" s="4504">
        <f t="shared" si="277"/>
        <v>52.79434230032912</v>
      </c>
      <c r="AX198" s="4504">
        <f t="shared" si="278"/>
        <v>0</v>
      </c>
      <c r="AY198" s="4504">
        <f t="shared" si="279"/>
        <v>0</v>
      </c>
      <c r="AZ198" s="4504">
        <f t="shared" si="280"/>
        <v>0</v>
      </c>
      <c r="BA198" s="4504">
        <f t="shared" si="281"/>
        <v>0</v>
      </c>
      <c r="BB198" s="4504">
        <f t="shared" si="282"/>
        <v>0</v>
      </c>
      <c r="BC198" s="4504">
        <f t="shared" si="283"/>
        <v>0</v>
      </c>
      <c r="BD198" s="4504">
        <f t="shared" si="284"/>
        <v>0</v>
      </c>
      <c r="BE198" s="4504">
        <f t="shared" si="285"/>
        <v>21.697979885777393</v>
      </c>
      <c r="BF198" s="4504">
        <f t="shared" si="286"/>
        <v>21.697979885777393</v>
      </c>
      <c r="BG198" s="4504">
        <f t="shared" si="287"/>
        <v>21.697979885777393</v>
      </c>
      <c r="BH198" s="4504">
        <f t="shared" si="288"/>
        <v>21.697979885777393</v>
      </c>
      <c r="BI198" s="4504">
        <f t="shared" si="289"/>
        <v>21.697979885777393</v>
      </c>
      <c r="BJ198" s="4504">
        <f t="shared" si="290"/>
        <v>21.697979885777393</v>
      </c>
      <c r="BK198" s="4504">
        <f t="shared" si="291"/>
        <v>21.697979885777393</v>
      </c>
      <c r="BL198" s="4504">
        <f t="shared" si="292"/>
        <v>0</v>
      </c>
      <c r="BM198" s="4504">
        <f t="shared" si="293"/>
        <v>0</v>
      </c>
      <c r="BN198" s="4504">
        <f t="shared" si="294"/>
        <v>0</v>
      </c>
      <c r="BO198" s="4504">
        <f t="shared" si="295"/>
        <v>0</v>
      </c>
      <c r="BP198" s="4504">
        <f t="shared" si="296"/>
        <v>0</v>
      </c>
      <c r="BQ198" s="4504">
        <f t="shared" si="297"/>
        <v>0</v>
      </c>
      <c r="BR198" s="4504">
        <f t="shared" si="298"/>
        <v>0</v>
      </c>
      <c r="BS198" s="4504">
        <f t="shared" si="299"/>
        <v>23.094354570053266</v>
      </c>
      <c r="BT198" s="4504">
        <f t="shared" si="300"/>
        <v>23.094354570053266</v>
      </c>
      <c r="BU198" s="4504">
        <f t="shared" si="301"/>
        <v>23.094354570053266</v>
      </c>
      <c r="BV198" s="4504">
        <f t="shared" si="302"/>
        <v>23.094354570053266</v>
      </c>
      <c r="BW198" s="4504">
        <f t="shared" si="303"/>
        <v>23.094354570053266</v>
      </c>
      <c r="BX198" s="4504">
        <f t="shared" si="304"/>
        <v>23.094354570053266</v>
      </c>
      <c r="BY198" s="4504">
        <f t="shared" si="305"/>
        <v>23.094354570053266</v>
      </c>
    </row>
    <row r="199" spans="1:77" s="1323" customFormat="1" ht="24">
      <c r="A199" s="2553">
        <v>7</v>
      </c>
      <c r="B199" s="2554" t="s">
        <v>706</v>
      </c>
      <c r="C199" s="2555">
        <v>0.1</v>
      </c>
      <c r="D199" s="2590" t="s">
        <v>695</v>
      </c>
      <c r="E199" s="4453">
        <f>+'11.3. ДА Базова година'!H160</f>
        <v>94.690167820852992</v>
      </c>
      <c r="F199" s="2655">
        <f>E199+SUMIF('11.2. ДА за периода'!$B$111:$B$131,$B199,'11.2. ДА за периода'!F$111:F$131)</f>
        <v>94.690167820852992</v>
      </c>
      <c r="G199" s="1136">
        <f>F199+SUMIF('11.2. ДА за периода'!$B$111:$B$131,$B199,'11.2. ДА за периода'!G$111:G$131)</f>
        <v>94.690167820852992</v>
      </c>
      <c r="H199" s="1136">
        <f>G199+SUMIF('11.2. ДА за периода'!$B$111:$B$131,$B199,'11.2. ДА за периода'!H$111:H$131)</f>
        <v>94.690167820852992</v>
      </c>
      <c r="I199" s="1136">
        <f>H199+SUMIF('11.2. ДА за периода'!$B$111:$B$131,$B199,'11.2. ДА за периода'!I$111:I$131)</f>
        <v>94.690167820852992</v>
      </c>
      <c r="J199" s="1136">
        <f>I199+SUMIF('11.2. ДА за периода'!$B$111:$B$131,$B199,'11.2. ДА за периода'!J$111:J$131)</f>
        <v>94.690167820852992</v>
      </c>
      <c r="K199" s="2656">
        <f>J199+SUMIF('11.2. ДА за периода'!$B$111:$B$131,$B199,'11.2. ДА за периода'!K$111:K$131)</f>
        <v>94.690167820852992</v>
      </c>
      <c r="L199" s="4453">
        <f>+'11.3. ДА Базова година'!L160</f>
        <v>0</v>
      </c>
      <c r="M199" s="2655">
        <f>L199+SUMIF('11.2. ДА за периода'!$B$111:$B$131,$B199,'11.2. ДА за периода'!M$111:M$131)</f>
        <v>0</v>
      </c>
      <c r="N199" s="1136">
        <f>M199+SUMIF('11.2. ДА за периода'!$B$111:$B$131,$B199,'11.2. ДА за периода'!N$111:N$131)</f>
        <v>0</v>
      </c>
      <c r="O199" s="1136">
        <f>N199+SUMIF('11.2. ДА за периода'!$B$111:$B$131,$B199,'11.2. ДА за периода'!O$111:O$131)</f>
        <v>0</v>
      </c>
      <c r="P199" s="1136">
        <f>O199+SUMIF('11.2. ДА за периода'!$B$111:$B$131,$B199,'11.2. ДА за периода'!P$111:P$131)</f>
        <v>0</v>
      </c>
      <c r="Q199" s="1136">
        <f>P199+SUMIF('11.2. ДА за периода'!$B$111:$B$131,$B199,'11.2. ДА за периода'!Q$111:Q$131)</f>
        <v>0</v>
      </c>
      <c r="R199" s="2656">
        <f>Q199+SUMIF('11.2. ДА за периода'!$B$111:$B$131,$B199,'11.2. ДА за периода'!R$111:R$131)</f>
        <v>0</v>
      </c>
      <c r="S199" s="4453">
        <f>+'11.3. ДА Базова година'!P160</f>
        <v>121.90919</v>
      </c>
      <c r="T199" s="2655">
        <f>S199+SUMIF('11.2. ДА за периода'!$B$111:$B$131,$B199,'11.2. ДА за периода'!T$111:T$131)</f>
        <v>121.90919</v>
      </c>
      <c r="U199" s="1136">
        <f>T199+SUMIF('11.2. ДА за периода'!$B$111:$B$131,$B199,'11.2. ДА за периода'!U$111:U$131)</f>
        <v>121.90919</v>
      </c>
      <c r="V199" s="1136">
        <f>U199+SUMIF('11.2. ДА за периода'!$B$111:$B$131,$B199,'11.2. ДА за периода'!V$111:V$131)</f>
        <v>121.90919</v>
      </c>
      <c r="W199" s="1136">
        <f>V199+SUMIF('11.2. ДА за периода'!$B$111:$B$131,$B199,'11.2. ДА за периода'!W$111:W$131)</f>
        <v>121.90919</v>
      </c>
      <c r="X199" s="1136">
        <f>W199+SUMIF('11.2. ДА за периода'!$B$111:$B$131,$B199,'11.2. ДА за периода'!X$111:X$131)</f>
        <v>121.90919</v>
      </c>
      <c r="Y199" s="2656">
        <f>X199+SUMIF('11.2. ДА за периода'!$B$111:$B$131,$B199,'11.2. ДА за периода'!Y$111:Y$131)</f>
        <v>121.90919</v>
      </c>
      <c r="Z199" s="4453">
        <f>+'11.3. ДА Базова година'!T160</f>
        <v>0</v>
      </c>
      <c r="AA199" s="2655">
        <f>Z199+SUMIF('11.2. ДА за периода'!$B$111:$B$131,$B199,'11.2. ДА за периода'!AA$111:AA$131)</f>
        <v>0</v>
      </c>
      <c r="AB199" s="1136">
        <f>AA199+SUMIF('11.2. ДА за периода'!$B$111:$B$131,$B199,'11.2. ДА за периода'!AB$111:AB$131)</f>
        <v>0</v>
      </c>
      <c r="AC199" s="1136">
        <f>AB199+SUMIF('11.2. ДА за периода'!$B$111:$B$131,$B199,'11.2. ДА за периода'!AC$111:AC$131)</f>
        <v>0</v>
      </c>
      <c r="AD199" s="1136">
        <f>AC199+SUMIF('11.2. ДА за периода'!$B$111:$B$131,$B199,'11.2. ДА за периода'!AD$111:AD$131)</f>
        <v>0</v>
      </c>
      <c r="AE199" s="1136">
        <f>AD199+SUMIF('11.2. ДА за периода'!$B$111:$B$131,$B199,'11.2. ДА за периода'!AE$111:AE$131)</f>
        <v>0</v>
      </c>
      <c r="AF199" s="2656">
        <f>AE199+SUMIF('11.2. ДА за периода'!$B$111:$B$131,$B199,'11.2. ДА за периода'!AF$111:AF$131)</f>
        <v>0</v>
      </c>
      <c r="AG199" s="4453">
        <f>+'11.3. ДА Базова година'!X160</f>
        <v>18.195752179147036</v>
      </c>
      <c r="AH199" s="2655">
        <f>AG199+SUMIF('11.2. ДА за периода'!$B$111:$B$131,$B199,'11.2. ДА за периода'!AH$111:AH$131)</f>
        <v>18.195752179147036</v>
      </c>
      <c r="AI199" s="1136">
        <f>AH199+SUMIF('11.2. ДА за периода'!$B$111:$B$131,$B199,'11.2. ДА за периода'!AI$111:AI$131)</f>
        <v>18.195752179147036</v>
      </c>
      <c r="AJ199" s="1136">
        <f>AI199+SUMIF('11.2. ДА за периода'!$B$111:$B$131,$B199,'11.2. ДА за периода'!AJ$111:AJ$131)</f>
        <v>18.195752179147036</v>
      </c>
      <c r="AK199" s="1136">
        <f>AJ199+SUMIF('11.2. ДА за периода'!$B$111:$B$131,$B199,'11.2. ДА за периода'!AK$111:AK$131)</f>
        <v>18.195752179147036</v>
      </c>
      <c r="AL199" s="1136">
        <f>AK199+SUMIF('11.2. ДА за периода'!$B$111:$B$131,$B199,'11.2. ДА за периода'!AL$111:AL$131)</f>
        <v>18.195752179147036</v>
      </c>
      <c r="AM199" s="2656">
        <f>AL199+SUMIF('11.2. ДА за периода'!$B$111:$B$131,$B199,'11.2. ДА за периода'!AM$111:AM$131)</f>
        <v>18.195752179147036</v>
      </c>
      <c r="AN199" s="2551"/>
      <c r="AO199" s="2589"/>
      <c r="AP199" s="4488"/>
      <c r="AQ199" s="4504">
        <f t="shared" si="271"/>
        <v>48.414314035909563</v>
      </c>
      <c r="AR199" s="4504">
        <f t="shared" si="272"/>
        <v>48.414314035909563</v>
      </c>
      <c r="AS199" s="4504">
        <f t="shared" si="273"/>
        <v>48.414314035909563</v>
      </c>
      <c r="AT199" s="4504">
        <f t="shared" si="274"/>
        <v>48.414314035909563</v>
      </c>
      <c r="AU199" s="4504">
        <f t="shared" si="275"/>
        <v>48.414314035909563</v>
      </c>
      <c r="AV199" s="4504">
        <f t="shared" si="276"/>
        <v>48.414314035909563</v>
      </c>
      <c r="AW199" s="4504">
        <f t="shared" si="277"/>
        <v>48.414314035909563</v>
      </c>
      <c r="AX199" s="4504">
        <f t="shared" si="278"/>
        <v>0</v>
      </c>
      <c r="AY199" s="4504">
        <f t="shared" si="279"/>
        <v>0</v>
      </c>
      <c r="AZ199" s="4504">
        <f t="shared" si="280"/>
        <v>0</v>
      </c>
      <c r="BA199" s="4504">
        <f t="shared" si="281"/>
        <v>0</v>
      </c>
      <c r="BB199" s="4504">
        <f t="shared" si="282"/>
        <v>0</v>
      </c>
      <c r="BC199" s="4504">
        <f t="shared" si="283"/>
        <v>0</v>
      </c>
      <c r="BD199" s="4504">
        <f t="shared" si="284"/>
        <v>0</v>
      </c>
      <c r="BE199" s="4504">
        <f t="shared" si="285"/>
        <v>62.331179090207229</v>
      </c>
      <c r="BF199" s="4504">
        <f t="shared" si="286"/>
        <v>62.331179090207229</v>
      </c>
      <c r="BG199" s="4504">
        <f t="shared" si="287"/>
        <v>62.331179090207229</v>
      </c>
      <c r="BH199" s="4504">
        <f t="shared" si="288"/>
        <v>62.331179090207229</v>
      </c>
      <c r="BI199" s="4504">
        <f t="shared" si="289"/>
        <v>62.331179090207229</v>
      </c>
      <c r="BJ199" s="4504">
        <f t="shared" si="290"/>
        <v>62.331179090207229</v>
      </c>
      <c r="BK199" s="4504">
        <f t="shared" si="291"/>
        <v>62.331179090207229</v>
      </c>
      <c r="BL199" s="4504">
        <f t="shared" si="292"/>
        <v>0</v>
      </c>
      <c r="BM199" s="4504">
        <f t="shared" si="293"/>
        <v>0</v>
      </c>
      <c r="BN199" s="4504">
        <f t="shared" si="294"/>
        <v>0</v>
      </c>
      <c r="BO199" s="4504">
        <f t="shared" si="295"/>
        <v>0</v>
      </c>
      <c r="BP199" s="4504">
        <f t="shared" si="296"/>
        <v>0</v>
      </c>
      <c r="BQ199" s="4504">
        <f t="shared" si="297"/>
        <v>0</v>
      </c>
      <c r="BR199" s="4504">
        <f t="shared" si="298"/>
        <v>0</v>
      </c>
      <c r="BS199" s="4504">
        <f t="shared" si="299"/>
        <v>9.3033403614562804</v>
      </c>
      <c r="BT199" s="4504">
        <f t="shared" si="300"/>
        <v>9.3033403614562804</v>
      </c>
      <c r="BU199" s="4504">
        <f t="shared" si="301"/>
        <v>9.3033403614562804</v>
      </c>
      <c r="BV199" s="4504">
        <f t="shared" si="302"/>
        <v>9.3033403614562804</v>
      </c>
      <c r="BW199" s="4504">
        <f t="shared" si="303"/>
        <v>9.3033403614562804</v>
      </c>
      <c r="BX199" s="4504">
        <f t="shared" si="304"/>
        <v>9.3033403614562804</v>
      </c>
      <c r="BY199" s="4504">
        <f t="shared" si="305"/>
        <v>9.3033403614562804</v>
      </c>
    </row>
    <row r="200" spans="1:77" s="1323" customFormat="1">
      <c r="A200" s="2553">
        <v>8</v>
      </c>
      <c r="B200" s="2554" t="s">
        <v>716</v>
      </c>
      <c r="C200" s="2555">
        <v>0.1</v>
      </c>
      <c r="D200" s="2590" t="s">
        <v>713</v>
      </c>
      <c r="E200" s="4453">
        <f>+'11.3. ДА Базова година'!H161</f>
        <v>0</v>
      </c>
      <c r="F200" s="2655">
        <f>E200+SUMIF('11.2. ДА за периода'!$B$111:$B$131,$B200,'11.2. ДА за периода'!F$111:F$131)</f>
        <v>0</v>
      </c>
      <c r="G200" s="1136">
        <f>F200+SUMIF('11.2. ДА за периода'!$B$111:$B$131,$B200,'11.2. ДА за периода'!G$111:G$131)</f>
        <v>0</v>
      </c>
      <c r="H200" s="1136">
        <f>G200+SUMIF('11.2. ДА за периода'!$B$111:$B$131,$B200,'11.2. ДА за периода'!H$111:H$131)</f>
        <v>0</v>
      </c>
      <c r="I200" s="1136">
        <f>H200+SUMIF('11.2. ДА за периода'!$B$111:$B$131,$B200,'11.2. ДА за периода'!I$111:I$131)</f>
        <v>0</v>
      </c>
      <c r="J200" s="1136">
        <f>I200+SUMIF('11.2. ДА за периода'!$B$111:$B$131,$B200,'11.2. ДА за периода'!J$111:J$131)</f>
        <v>0</v>
      </c>
      <c r="K200" s="2656">
        <f>J200+SUMIF('11.2. ДА за периода'!$B$111:$B$131,$B200,'11.2. ДА за периода'!K$111:K$131)</f>
        <v>0</v>
      </c>
      <c r="L200" s="4453">
        <f>+'11.3. ДА Базова година'!L161</f>
        <v>0</v>
      </c>
      <c r="M200" s="2655">
        <f>L200+SUMIF('11.2. ДА за периода'!$B$111:$B$131,$B200,'11.2. ДА за периода'!M$111:M$131)</f>
        <v>0</v>
      </c>
      <c r="N200" s="1136">
        <f>M200+SUMIF('11.2. ДА за периода'!$B$111:$B$131,$B200,'11.2. ДА за периода'!N$111:N$131)</f>
        <v>0</v>
      </c>
      <c r="O200" s="1136">
        <f>N200+SUMIF('11.2. ДА за периода'!$B$111:$B$131,$B200,'11.2. ДА за периода'!O$111:O$131)</f>
        <v>0</v>
      </c>
      <c r="P200" s="1136">
        <f>O200+SUMIF('11.2. ДА за периода'!$B$111:$B$131,$B200,'11.2. ДА за периода'!P$111:P$131)</f>
        <v>0</v>
      </c>
      <c r="Q200" s="1136">
        <f>P200+SUMIF('11.2. ДА за периода'!$B$111:$B$131,$B200,'11.2. ДА за периода'!Q$111:Q$131)</f>
        <v>0</v>
      </c>
      <c r="R200" s="2656">
        <f>Q200+SUMIF('11.2. ДА за периода'!$B$111:$B$131,$B200,'11.2. ДА за периода'!R$111:R$131)</f>
        <v>0</v>
      </c>
      <c r="S200" s="4453">
        <f>+'11.3. ДА Базова година'!P161</f>
        <v>1060.6911699999998</v>
      </c>
      <c r="T200" s="2655">
        <f>S200+SUMIF('11.2. ДА за периода'!$B$111:$B$131,$B200,'11.2. ДА за периода'!T$111:T$131)</f>
        <v>1060.6911699999998</v>
      </c>
      <c r="U200" s="1136">
        <f>T200+SUMIF('11.2. ДА за периода'!$B$111:$B$131,$B200,'11.2. ДА за периода'!U$111:U$131)</f>
        <v>1060.6911699999998</v>
      </c>
      <c r="V200" s="1136">
        <f>U200+SUMIF('11.2. ДА за периода'!$B$111:$B$131,$B200,'11.2. ДА за периода'!V$111:V$131)</f>
        <v>1060.6911699999998</v>
      </c>
      <c r="W200" s="1136">
        <f>V200+SUMIF('11.2. ДА за периода'!$B$111:$B$131,$B200,'11.2. ДА за периода'!W$111:W$131)</f>
        <v>1060.6911699999998</v>
      </c>
      <c r="X200" s="1136">
        <f>W200+SUMIF('11.2. ДА за периода'!$B$111:$B$131,$B200,'11.2. ДА за периода'!X$111:X$131)</f>
        <v>1060.6911699999998</v>
      </c>
      <c r="Y200" s="2656">
        <f>X200+SUMIF('11.2. ДА за периода'!$B$111:$B$131,$B200,'11.2. ДА за периода'!Y$111:Y$131)</f>
        <v>1060.6911699999998</v>
      </c>
      <c r="Z200" s="4453">
        <f>+'11.3. ДА Базова година'!T161</f>
        <v>0</v>
      </c>
      <c r="AA200" s="2655">
        <f>Z200+SUMIF('11.2. ДА за периода'!$B$111:$B$131,$B200,'11.2. ДА за периода'!AA$111:AA$131)</f>
        <v>0</v>
      </c>
      <c r="AB200" s="1136">
        <f>AA200+SUMIF('11.2. ДА за периода'!$B$111:$B$131,$B200,'11.2. ДА за периода'!AB$111:AB$131)</f>
        <v>0</v>
      </c>
      <c r="AC200" s="1136">
        <f>AB200+SUMIF('11.2. ДА за периода'!$B$111:$B$131,$B200,'11.2. ДА за периода'!AC$111:AC$131)</f>
        <v>0</v>
      </c>
      <c r="AD200" s="1136">
        <f>AC200+SUMIF('11.2. ДА за периода'!$B$111:$B$131,$B200,'11.2. ДА за периода'!AD$111:AD$131)</f>
        <v>0</v>
      </c>
      <c r="AE200" s="1136">
        <f>AD200+SUMIF('11.2. ДА за периода'!$B$111:$B$131,$B200,'11.2. ДА за периода'!AE$111:AE$131)</f>
        <v>0</v>
      </c>
      <c r="AF200" s="2656">
        <f>AE200+SUMIF('11.2. ДА за периода'!$B$111:$B$131,$B200,'11.2. ДА за периода'!AF$111:AF$131)</f>
        <v>0</v>
      </c>
      <c r="AG200" s="4453">
        <f>+'11.3. ДА Базова година'!X161</f>
        <v>0</v>
      </c>
      <c r="AH200" s="2655">
        <f>AG200+SUMIF('11.2. ДА за периода'!$B$111:$B$131,$B200,'11.2. ДА за периода'!AH$111:AH$131)</f>
        <v>0</v>
      </c>
      <c r="AI200" s="1136">
        <f>AH200+SUMIF('11.2. ДА за периода'!$B$111:$B$131,$B200,'11.2. ДА за периода'!AI$111:AI$131)</f>
        <v>0</v>
      </c>
      <c r="AJ200" s="1136">
        <f>AI200+SUMIF('11.2. ДА за периода'!$B$111:$B$131,$B200,'11.2. ДА за периода'!AJ$111:AJ$131)</f>
        <v>0</v>
      </c>
      <c r="AK200" s="1136">
        <f>AJ200+SUMIF('11.2. ДА за периода'!$B$111:$B$131,$B200,'11.2. ДА за периода'!AK$111:AK$131)</f>
        <v>0</v>
      </c>
      <c r="AL200" s="1136">
        <f>AK200+SUMIF('11.2. ДА за периода'!$B$111:$B$131,$B200,'11.2. ДА за периода'!AL$111:AL$131)</f>
        <v>0</v>
      </c>
      <c r="AM200" s="2656">
        <f>AL200+SUMIF('11.2. ДА за периода'!$B$111:$B$131,$B200,'11.2. ДА за периода'!AM$111:AM$131)</f>
        <v>0</v>
      </c>
      <c r="AN200" s="2551"/>
      <c r="AO200" s="2589"/>
      <c r="AP200" s="4488"/>
      <c r="AQ200" s="4504">
        <f t="shared" si="271"/>
        <v>0</v>
      </c>
      <c r="AR200" s="4504">
        <f t="shared" si="272"/>
        <v>0</v>
      </c>
      <c r="AS200" s="4504">
        <f t="shared" si="273"/>
        <v>0</v>
      </c>
      <c r="AT200" s="4504">
        <f t="shared" si="274"/>
        <v>0</v>
      </c>
      <c r="AU200" s="4504">
        <f t="shared" si="275"/>
        <v>0</v>
      </c>
      <c r="AV200" s="4504">
        <f t="shared" si="276"/>
        <v>0</v>
      </c>
      <c r="AW200" s="4504">
        <f t="shared" si="277"/>
        <v>0</v>
      </c>
      <c r="AX200" s="4504">
        <f t="shared" si="278"/>
        <v>0</v>
      </c>
      <c r="AY200" s="4504">
        <f t="shared" si="279"/>
        <v>0</v>
      </c>
      <c r="AZ200" s="4504">
        <f t="shared" si="280"/>
        <v>0</v>
      </c>
      <c r="BA200" s="4504">
        <f t="shared" si="281"/>
        <v>0</v>
      </c>
      <c r="BB200" s="4504">
        <f t="shared" si="282"/>
        <v>0</v>
      </c>
      <c r="BC200" s="4504">
        <f t="shared" si="283"/>
        <v>0</v>
      </c>
      <c r="BD200" s="4504">
        <f t="shared" si="284"/>
        <v>0</v>
      </c>
      <c r="BE200" s="4504">
        <f t="shared" si="285"/>
        <v>542.32278367751792</v>
      </c>
      <c r="BF200" s="4504">
        <f t="shared" si="286"/>
        <v>542.32278367751792</v>
      </c>
      <c r="BG200" s="4504">
        <f t="shared" si="287"/>
        <v>542.32278367751792</v>
      </c>
      <c r="BH200" s="4504">
        <f t="shared" si="288"/>
        <v>542.32278367751792</v>
      </c>
      <c r="BI200" s="4504">
        <f t="shared" si="289"/>
        <v>542.32278367751792</v>
      </c>
      <c r="BJ200" s="4504">
        <f t="shared" si="290"/>
        <v>542.32278367751792</v>
      </c>
      <c r="BK200" s="4504">
        <f t="shared" si="291"/>
        <v>542.32278367751792</v>
      </c>
      <c r="BL200" s="4504">
        <f t="shared" si="292"/>
        <v>0</v>
      </c>
      <c r="BM200" s="4504">
        <f t="shared" si="293"/>
        <v>0</v>
      </c>
      <c r="BN200" s="4504">
        <f t="shared" si="294"/>
        <v>0</v>
      </c>
      <c r="BO200" s="4504">
        <f t="shared" si="295"/>
        <v>0</v>
      </c>
      <c r="BP200" s="4504">
        <f t="shared" si="296"/>
        <v>0</v>
      </c>
      <c r="BQ200" s="4504">
        <f t="shared" si="297"/>
        <v>0</v>
      </c>
      <c r="BR200" s="4504">
        <f t="shared" si="298"/>
        <v>0</v>
      </c>
      <c r="BS200" s="4504">
        <f t="shared" si="299"/>
        <v>0</v>
      </c>
      <c r="BT200" s="4504">
        <f t="shared" si="300"/>
        <v>0</v>
      </c>
      <c r="BU200" s="4504">
        <f t="shared" si="301"/>
        <v>0</v>
      </c>
      <c r="BV200" s="4504">
        <f t="shared" si="302"/>
        <v>0</v>
      </c>
      <c r="BW200" s="4504">
        <f t="shared" si="303"/>
        <v>0</v>
      </c>
      <c r="BX200" s="4504">
        <f t="shared" si="304"/>
        <v>0</v>
      </c>
      <c r="BY200" s="4504">
        <f t="shared" si="305"/>
        <v>0</v>
      </c>
    </row>
    <row r="201" spans="1:77" s="1323" customFormat="1">
      <c r="A201" s="2611">
        <v>9</v>
      </c>
      <c r="B201" s="2554">
        <v>911306</v>
      </c>
      <c r="C201" s="2555">
        <v>0.1</v>
      </c>
      <c r="D201" s="2590" t="s">
        <v>1032</v>
      </c>
      <c r="E201" s="4453">
        <f>+'11.3. ДА Базова година'!H162</f>
        <v>64.639546888687661</v>
      </c>
      <c r="F201" s="2655">
        <f>E201+SUMIF('11.2. ДА за периода'!$B$111:$B$131,$B201,'11.2. ДА за периода'!F$111:F$131)</f>
        <v>64.639546888687661</v>
      </c>
      <c r="G201" s="1136">
        <f>F201+SUMIF('11.2. ДА за периода'!$B$111:$B$131,$B201,'11.2. ДА за периода'!G$111:G$131)</f>
        <v>64.639546888687661</v>
      </c>
      <c r="H201" s="1136">
        <f>G201+SUMIF('11.2. ДА за периода'!$B$111:$B$131,$B201,'11.2. ДА за периода'!H$111:H$131)</f>
        <v>64.639546888687661</v>
      </c>
      <c r="I201" s="1136">
        <f>H201+SUMIF('11.2. ДА за периода'!$B$111:$B$131,$B201,'11.2. ДА за периода'!I$111:I$131)</f>
        <v>64.639546888687661</v>
      </c>
      <c r="J201" s="1136">
        <f>I201+SUMIF('11.2. ДА за периода'!$B$111:$B$131,$B201,'11.2. ДА за периода'!J$111:J$131)</f>
        <v>64.639546888687661</v>
      </c>
      <c r="K201" s="2656">
        <f>J201+SUMIF('11.2. ДА за периода'!$B$111:$B$131,$B201,'11.2. ДА за периода'!K$111:K$131)</f>
        <v>64.639546888687661</v>
      </c>
      <c r="L201" s="4453">
        <f>+'11.3. ДА Базова година'!L162</f>
        <v>28.180799999999998</v>
      </c>
      <c r="M201" s="2655">
        <f>L201+SUMIF('11.2. ДА за периода'!$B$111:$B$131,$B201,'11.2. ДА за периода'!M$111:M$131)</f>
        <v>28.180799999999998</v>
      </c>
      <c r="N201" s="1136">
        <f>M201+SUMIF('11.2. ДА за периода'!$B$111:$B$131,$B201,'11.2. ДА за периода'!N$111:N$131)</f>
        <v>28.180799999999998</v>
      </c>
      <c r="O201" s="1136">
        <f>N201+SUMIF('11.2. ДА за периода'!$B$111:$B$131,$B201,'11.2. ДА за периода'!O$111:O$131)</f>
        <v>28.180799999999998</v>
      </c>
      <c r="P201" s="1136">
        <f>O201+SUMIF('11.2. ДА за периода'!$B$111:$B$131,$B201,'11.2. ДА за периода'!P$111:P$131)</f>
        <v>28.180799999999998</v>
      </c>
      <c r="Q201" s="1136">
        <f>P201+SUMIF('11.2. ДА за периода'!$B$111:$B$131,$B201,'11.2. ДА за периода'!Q$111:Q$131)</f>
        <v>28.180799999999998</v>
      </c>
      <c r="R201" s="2656">
        <f>Q201+SUMIF('11.2. ДА за периода'!$B$111:$B$131,$B201,'11.2. ДА за периода'!R$111:R$131)</f>
        <v>28.180799999999998</v>
      </c>
      <c r="S201" s="4453">
        <f>+'11.3. ДА Базова година'!P162</f>
        <v>5747.6260299999976</v>
      </c>
      <c r="T201" s="2655">
        <f>S201+SUMIF('11.2. ДА за периода'!$B$111:$B$131,$B201,'11.2. ДА за периода'!T$111:T$131)</f>
        <v>5747.6260299999976</v>
      </c>
      <c r="U201" s="1136">
        <f>T201+SUMIF('11.2. ДА за периода'!$B$111:$B$131,$B201,'11.2. ДА за периода'!U$111:U$131)</f>
        <v>5747.6260299999976</v>
      </c>
      <c r="V201" s="1136">
        <f>U201+SUMIF('11.2. ДА за периода'!$B$111:$B$131,$B201,'11.2. ДА за периода'!V$111:V$131)</f>
        <v>5747.6260299999976</v>
      </c>
      <c r="W201" s="1136">
        <f>V201+SUMIF('11.2. ДА за периода'!$B$111:$B$131,$B201,'11.2. ДА за периода'!W$111:W$131)</f>
        <v>5747.6260299999976</v>
      </c>
      <c r="X201" s="1136">
        <f>W201+SUMIF('11.2. ДА за периода'!$B$111:$B$131,$B201,'11.2. ДА за периода'!X$111:X$131)</f>
        <v>5747.6260299999976</v>
      </c>
      <c r="Y201" s="2656">
        <f>X201+SUMIF('11.2. ДА за периода'!$B$111:$B$131,$B201,'11.2. ДА за периода'!Y$111:Y$131)</f>
        <v>5747.6260299999976</v>
      </c>
      <c r="Z201" s="4453">
        <f>+'11.3. ДА Базова година'!T162</f>
        <v>0</v>
      </c>
      <c r="AA201" s="2655">
        <f>Z201+SUMIF('11.2. ДА за периода'!$B$111:$B$131,$B201,'11.2. ДА за периода'!AA$111:AA$131)</f>
        <v>0</v>
      </c>
      <c r="AB201" s="1136">
        <f>AA201+SUMIF('11.2. ДА за периода'!$B$111:$B$131,$B201,'11.2. ДА за периода'!AB$111:AB$131)</f>
        <v>0</v>
      </c>
      <c r="AC201" s="1136">
        <f>AB201+SUMIF('11.2. ДА за периода'!$B$111:$B$131,$B201,'11.2. ДА за периода'!AC$111:AC$131)</f>
        <v>0</v>
      </c>
      <c r="AD201" s="1136">
        <f>AC201+SUMIF('11.2. ДА за периода'!$B$111:$B$131,$B201,'11.2. ДА за периода'!AD$111:AD$131)</f>
        <v>0</v>
      </c>
      <c r="AE201" s="1136">
        <f>AD201+SUMIF('11.2. ДА за периода'!$B$111:$B$131,$B201,'11.2. ДА за периода'!AE$111:AE$131)</f>
        <v>0</v>
      </c>
      <c r="AF201" s="2656">
        <f>AE201+SUMIF('11.2. ДА за периода'!$B$111:$B$131,$B201,'11.2. ДА за периода'!AF$111:AF$131)</f>
        <v>0</v>
      </c>
      <c r="AG201" s="4453">
        <f>+'11.3. ДА Базова година'!X162</f>
        <v>13.399183111312292</v>
      </c>
      <c r="AH201" s="2655">
        <f>AG201+SUMIF('11.2. ДА за периода'!$B$111:$B$131,$B201,'11.2. ДА за периода'!AH$111:AH$131)</f>
        <v>13.399183111312292</v>
      </c>
      <c r="AI201" s="1136">
        <f>AH201+SUMIF('11.2. ДА за периода'!$B$111:$B$131,$B201,'11.2. ДА за периода'!AI$111:AI$131)</f>
        <v>13.399183111312292</v>
      </c>
      <c r="AJ201" s="1136">
        <f>AI201+SUMIF('11.2. ДА за периода'!$B$111:$B$131,$B201,'11.2. ДА за периода'!AJ$111:AJ$131)</f>
        <v>13.399183111312292</v>
      </c>
      <c r="AK201" s="1136">
        <f>AJ201+SUMIF('11.2. ДА за периода'!$B$111:$B$131,$B201,'11.2. ДА за периода'!AK$111:AK$131)</f>
        <v>13.399183111312292</v>
      </c>
      <c r="AL201" s="1136">
        <f>AK201+SUMIF('11.2. ДА за периода'!$B$111:$B$131,$B201,'11.2. ДА за периода'!AL$111:AL$131)</f>
        <v>13.399183111312292</v>
      </c>
      <c r="AM201" s="2656">
        <f>AL201+SUMIF('11.2. ДА за периода'!$B$111:$B$131,$B201,'11.2. ДА за периода'!AM$111:AM$131)</f>
        <v>13.399183111312292</v>
      </c>
      <c r="AN201" s="2551"/>
      <c r="AO201" s="2589"/>
      <c r="AP201" s="4488"/>
      <c r="AQ201" s="4504">
        <f t="shared" si="271"/>
        <v>33.049675528388285</v>
      </c>
      <c r="AR201" s="4504">
        <f t="shared" si="272"/>
        <v>33.049675528388285</v>
      </c>
      <c r="AS201" s="4504">
        <f t="shared" si="273"/>
        <v>33.049675528388285</v>
      </c>
      <c r="AT201" s="4504">
        <f t="shared" si="274"/>
        <v>33.049675528388285</v>
      </c>
      <c r="AU201" s="4504">
        <f t="shared" si="275"/>
        <v>33.049675528388285</v>
      </c>
      <c r="AV201" s="4504">
        <f t="shared" si="276"/>
        <v>33.049675528388285</v>
      </c>
      <c r="AW201" s="4504">
        <f t="shared" si="277"/>
        <v>33.049675528388285</v>
      </c>
      <c r="AX201" s="4504">
        <f t="shared" si="278"/>
        <v>14.408614245614393</v>
      </c>
      <c r="AY201" s="4504">
        <f t="shared" si="279"/>
        <v>14.408614245614393</v>
      </c>
      <c r="AZ201" s="4504">
        <f t="shared" si="280"/>
        <v>14.408614245614393</v>
      </c>
      <c r="BA201" s="4504">
        <f t="shared" si="281"/>
        <v>14.408614245614393</v>
      </c>
      <c r="BB201" s="4504">
        <f t="shared" si="282"/>
        <v>14.408614245614393</v>
      </c>
      <c r="BC201" s="4504">
        <f t="shared" si="283"/>
        <v>14.408614245614393</v>
      </c>
      <c r="BD201" s="4504">
        <f t="shared" si="284"/>
        <v>14.408614245614393</v>
      </c>
      <c r="BE201" s="4504">
        <f t="shared" si="285"/>
        <v>2938.7145252910518</v>
      </c>
      <c r="BF201" s="4504">
        <f t="shared" si="286"/>
        <v>2938.7145252910518</v>
      </c>
      <c r="BG201" s="4504">
        <f t="shared" si="287"/>
        <v>2938.7145252910518</v>
      </c>
      <c r="BH201" s="4504">
        <f t="shared" si="288"/>
        <v>2938.7145252910518</v>
      </c>
      <c r="BI201" s="4504">
        <f t="shared" si="289"/>
        <v>2938.7145252910518</v>
      </c>
      <c r="BJ201" s="4504">
        <f t="shared" si="290"/>
        <v>2938.7145252910518</v>
      </c>
      <c r="BK201" s="4504">
        <f t="shared" si="291"/>
        <v>2938.7145252910518</v>
      </c>
      <c r="BL201" s="4504">
        <f t="shared" si="292"/>
        <v>0</v>
      </c>
      <c r="BM201" s="4504">
        <f t="shared" si="293"/>
        <v>0</v>
      </c>
      <c r="BN201" s="4504">
        <f t="shared" si="294"/>
        <v>0</v>
      </c>
      <c r="BO201" s="4504">
        <f t="shared" si="295"/>
        <v>0</v>
      </c>
      <c r="BP201" s="4504">
        <f t="shared" si="296"/>
        <v>0</v>
      </c>
      <c r="BQ201" s="4504">
        <f t="shared" si="297"/>
        <v>0</v>
      </c>
      <c r="BR201" s="4504">
        <f t="shared" si="298"/>
        <v>0</v>
      </c>
      <c r="BS201" s="4504">
        <f t="shared" si="299"/>
        <v>6.8508935394754618</v>
      </c>
      <c r="BT201" s="4504">
        <f t="shared" si="300"/>
        <v>6.8508935394754618</v>
      </c>
      <c r="BU201" s="4504">
        <f t="shared" si="301"/>
        <v>6.8508935394754618</v>
      </c>
      <c r="BV201" s="4504">
        <f t="shared" si="302"/>
        <v>6.8508935394754618</v>
      </c>
      <c r="BW201" s="4504">
        <f t="shared" si="303"/>
        <v>6.8508935394754618</v>
      </c>
      <c r="BX201" s="4504">
        <f t="shared" si="304"/>
        <v>6.8508935394754618</v>
      </c>
      <c r="BY201" s="4504">
        <f t="shared" si="305"/>
        <v>6.8508935394754618</v>
      </c>
    </row>
    <row r="202" spans="1:77" s="1323" customFormat="1">
      <c r="A202" s="2611">
        <v>10</v>
      </c>
      <c r="B202" s="2554">
        <v>91140101</v>
      </c>
      <c r="C202" s="2610">
        <v>0.1</v>
      </c>
      <c r="D202" s="2584" t="s">
        <v>1016</v>
      </c>
      <c r="E202" s="4453">
        <f>+'11.3. ДА Базова година'!H163</f>
        <v>66.653299421452701</v>
      </c>
      <c r="F202" s="2655">
        <f>E202+SUMIF('11.2. ДА за периода'!$B$111:$B$131,$B202,'11.2. ДА за периода'!F$111:F$131)</f>
        <v>66.653299421452701</v>
      </c>
      <c r="G202" s="1136">
        <f>F202+SUMIF('11.2. ДА за периода'!$B$111:$B$131,$B202,'11.2. ДА за периода'!G$111:G$131)</f>
        <v>66.653299421452701</v>
      </c>
      <c r="H202" s="1136">
        <f>G202+SUMIF('11.2. ДА за периода'!$B$111:$B$131,$B202,'11.2. ДА за периода'!H$111:H$131)</f>
        <v>66.653299421452701</v>
      </c>
      <c r="I202" s="1136">
        <f>H202+SUMIF('11.2. ДА за периода'!$B$111:$B$131,$B202,'11.2. ДА за периода'!I$111:I$131)</f>
        <v>66.653299421452701</v>
      </c>
      <c r="J202" s="1136">
        <f>I202+SUMIF('11.2. ДА за периода'!$B$111:$B$131,$B202,'11.2. ДА за периода'!J$111:J$131)</f>
        <v>66.653299421452701</v>
      </c>
      <c r="K202" s="2656">
        <f>J202+SUMIF('11.2. ДА за периода'!$B$111:$B$131,$B202,'11.2. ДА за периода'!K$111:K$131)</f>
        <v>66.653299421452701</v>
      </c>
      <c r="L202" s="4453">
        <f>+'11.3. ДА Базова година'!L163</f>
        <v>0</v>
      </c>
      <c r="M202" s="2655">
        <f>L202+SUMIF('11.2. ДА за периода'!$B$111:$B$131,$B202,'11.2. ДА за периода'!M$111:M$131)</f>
        <v>0</v>
      </c>
      <c r="N202" s="1136">
        <f>M202+SUMIF('11.2. ДА за периода'!$B$111:$B$131,$B202,'11.2. ДА за периода'!N$111:N$131)</f>
        <v>0</v>
      </c>
      <c r="O202" s="1136">
        <f>N202+SUMIF('11.2. ДА за периода'!$B$111:$B$131,$B202,'11.2. ДА за периода'!O$111:O$131)</f>
        <v>0</v>
      </c>
      <c r="P202" s="1136">
        <f>O202+SUMIF('11.2. ДА за периода'!$B$111:$B$131,$B202,'11.2. ДА за периода'!P$111:P$131)</f>
        <v>0</v>
      </c>
      <c r="Q202" s="1136">
        <f>P202+SUMIF('11.2. ДА за периода'!$B$111:$B$131,$B202,'11.2. ДА за периода'!Q$111:Q$131)</f>
        <v>0</v>
      </c>
      <c r="R202" s="2656">
        <f>Q202+SUMIF('11.2. ДА за периода'!$B$111:$B$131,$B202,'11.2. ДА за периода'!R$111:R$131)</f>
        <v>0</v>
      </c>
      <c r="S202" s="4453">
        <f>+'11.3. ДА Базова година'!P163</f>
        <v>376.17076000000009</v>
      </c>
      <c r="T202" s="2655">
        <f>S202+SUMIF('11.2. ДА за периода'!$B$111:$B$131,$B202,'11.2. ДА за периода'!T$111:T$131)</f>
        <v>376.17076000000009</v>
      </c>
      <c r="U202" s="1136">
        <f>T202+SUMIF('11.2. ДА за периода'!$B$111:$B$131,$B202,'11.2. ДА за периода'!U$111:U$131)</f>
        <v>376.17076000000009</v>
      </c>
      <c r="V202" s="1136">
        <f>U202+SUMIF('11.2. ДА за периода'!$B$111:$B$131,$B202,'11.2. ДА за периода'!V$111:V$131)</f>
        <v>376.17076000000009</v>
      </c>
      <c r="W202" s="1136">
        <f>V202+SUMIF('11.2. ДА за периода'!$B$111:$B$131,$B202,'11.2. ДА за периода'!W$111:W$131)</f>
        <v>376.17076000000009</v>
      </c>
      <c r="X202" s="1136">
        <f>W202+SUMIF('11.2. ДА за периода'!$B$111:$B$131,$B202,'11.2. ДА за периода'!X$111:X$131)</f>
        <v>376.17076000000009</v>
      </c>
      <c r="Y202" s="2656">
        <f>X202+SUMIF('11.2. ДА за периода'!$B$111:$B$131,$B202,'11.2. ДА за периода'!Y$111:Y$131)</f>
        <v>376.17076000000009</v>
      </c>
      <c r="Z202" s="4453">
        <f>+'11.3. ДА Базова година'!T163</f>
        <v>0</v>
      </c>
      <c r="AA202" s="2655">
        <f>Z202+SUMIF('11.2. ДА за периода'!$B$111:$B$131,$B202,'11.2. ДА за периода'!AA$111:AA$131)</f>
        <v>0</v>
      </c>
      <c r="AB202" s="1136">
        <f>AA202+SUMIF('11.2. ДА за периода'!$B$111:$B$131,$B202,'11.2. ДА за периода'!AB$111:AB$131)</f>
        <v>0</v>
      </c>
      <c r="AC202" s="1136">
        <f>AB202+SUMIF('11.2. ДА за периода'!$B$111:$B$131,$B202,'11.2. ДА за периода'!AC$111:AC$131)</f>
        <v>0</v>
      </c>
      <c r="AD202" s="1136">
        <f>AC202+SUMIF('11.2. ДА за периода'!$B$111:$B$131,$B202,'11.2. ДА за периода'!AD$111:AD$131)</f>
        <v>0</v>
      </c>
      <c r="AE202" s="1136">
        <f>AD202+SUMIF('11.2. ДА за периода'!$B$111:$B$131,$B202,'11.2. ДА за периода'!AE$111:AE$131)</f>
        <v>0</v>
      </c>
      <c r="AF202" s="2656">
        <f>AE202+SUMIF('11.2. ДА за периода'!$B$111:$B$131,$B202,'11.2. ДА за периода'!AF$111:AF$131)</f>
        <v>0</v>
      </c>
      <c r="AG202" s="4453">
        <f>+'11.3. ДА Базова година'!X163</f>
        <v>1.9825705785472931</v>
      </c>
      <c r="AH202" s="2655">
        <f>AG202+SUMIF('11.2. ДА за периода'!$B$111:$B$131,$B202,'11.2. ДА за периода'!AH$111:AH$131)</f>
        <v>1.9825705785472931</v>
      </c>
      <c r="AI202" s="1136">
        <f>AH202+SUMIF('11.2. ДА за периода'!$B$111:$B$131,$B202,'11.2. ДА за периода'!AI$111:AI$131)</f>
        <v>1.9825705785472931</v>
      </c>
      <c r="AJ202" s="1136">
        <f>AI202+SUMIF('11.2. ДА за периода'!$B$111:$B$131,$B202,'11.2. ДА за периода'!AJ$111:AJ$131)</f>
        <v>1.9825705785472931</v>
      </c>
      <c r="AK202" s="1136">
        <f>AJ202+SUMIF('11.2. ДА за периода'!$B$111:$B$131,$B202,'11.2. ДА за периода'!AK$111:AK$131)</f>
        <v>1.9825705785472931</v>
      </c>
      <c r="AL202" s="1136">
        <f>AK202+SUMIF('11.2. ДА за периода'!$B$111:$B$131,$B202,'11.2. ДА за периода'!AL$111:AL$131)</f>
        <v>1.9825705785472931</v>
      </c>
      <c r="AM202" s="2656">
        <f>AL202+SUMIF('11.2. ДА за периода'!$B$111:$B$131,$B202,'11.2. ДА за периода'!AM$111:AM$131)</f>
        <v>1.9825705785472931</v>
      </c>
      <c r="AN202" s="2551"/>
      <c r="AO202" s="2589"/>
      <c r="AP202" s="4488"/>
      <c r="AQ202" s="4504">
        <f t="shared" si="271"/>
        <v>34.079290849129372</v>
      </c>
      <c r="AR202" s="4504">
        <f t="shared" si="272"/>
        <v>34.079290849129372</v>
      </c>
      <c r="AS202" s="4504">
        <f t="shared" si="273"/>
        <v>34.079290849129372</v>
      </c>
      <c r="AT202" s="4504">
        <f t="shared" si="274"/>
        <v>34.079290849129372</v>
      </c>
      <c r="AU202" s="4504">
        <f t="shared" si="275"/>
        <v>34.079290849129372</v>
      </c>
      <c r="AV202" s="4504">
        <f t="shared" si="276"/>
        <v>34.079290849129372</v>
      </c>
      <c r="AW202" s="4504">
        <f t="shared" si="277"/>
        <v>34.079290849129372</v>
      </c>
      <c r="AX202" s="4504">
        <f t="shared" si="278"/>
        <v>0</v>
      </c>
      <c r="AY202" s="4504">
        <f t="shared" si="279"/>
        <v>0</v>
      </c>
      <c r="AZ202" s="4504">
        <f t="shared" si="280"/>
        <v>0</v>
      </c>
      <c r="BA202" s="4504">
        <f t="shared" si="281"/>
        <v>0</v>
      </c>
      <c r="BB202" s="4504">
        <f t="shared" si="282"/>
        <v>0</v>
      </c>
      <c r="BC202" s="4504">
        <f t="shared" si="283"/>
        <v>0</v>
      </c>
      <c r="BD202" s="4504">
        <f t="shared" si="284"/>
        <v>0</v>
      </c>
      <c r="BE202" s="4504">
        <f t="shared" si="285"/>
        <v>192.33305553141128</v>
      </c>
      <c r="BF202" s="4504">
        <f t="shared" si="286"/>
        <v>192.33305553141128</v>
      </c>
      <c r="BG202" s="4504">
        <f t="shared" si="287"/>
        <v>192.33305553141128</v>
      </c>
      <c r="BH202" s="4504">
        <f t="shared" si="288"/>
        <v>192.33305553141128</v>
      </c>
      <c r="BI202" s="4504">
        <f t="shared" si="289"/>
        <v>192.33305553141128</v>
      </c>
      <c r="BJ202" s="4504">
        <f t="shared" si="290"/>
        <v>192.33305553141128</v>
      </c>
      <c r="BK202" s="4504">
        <f t="shared" si="291"/>
        <v>192.33305553141128</v>
      </c>
      <c r="BL202" s="4504">
        <f t="shared" si="292"/>
        <v>0</v>
      </c>
      <c r="BM202" s="4504">
        <f t="shared" si="293"/>
        <v>0</v>
      </c>
      <c r="BN202" s="4504">
        <f t="shared" si="294"/>
        <v>0</v>
      </c>
      <c r="BO202" s="4504">
        <f t="shared" si="295"/>
        <v>0</v>
      </c>
      <c r="BP202" s="4504">
        <f t="shared" si="296"/>
        <v>0</v>
      </c>
      <c r="BQ202" s="4504">
        <f t="shared" si="297"/>
        <v>0</v>
      </c>
      <c r="BR202" s="4504">
        <f t="shared" si="298"/>
        <v>0</v>
      </c>
      <c r="BS202" s="4504">
        <f t="shared" si="299"/>
        <v>1.0136722407097207</v>
      </c>
      <c r="BT202" s="4504">
        <f t="shared" si="300"/>
        <v>1.0136722407097207</v>
      </c>
      <c r="BU202" s="4504">
        <f t="shared" si="301"/>
        <v>1.0136722407097207</v>
      </c>
      <c r="BV202" s="4504">
        <f t="shared" si="302"/>
        <v>1.0136722407097207</v>
      </c>
      <c r="BW202" s="4504">
        <f t="shared" si="303"/>
        <v>1.0136722407097207</v>
      </c>
      <c r="BX202" s="4504">
        <f t="shared" si="304"/>
        <v>1.0136722407097207</v>
      </c>
      <c r="BY202" s="4504">
        <f t="shared" si="305"/>
        <v>1.0136722407097207</v>
      </c>
    </row>
    <row r="203" spans="1:77" s="1323" customFormat="1">
      <c r="A203" s="2611">
        <v>11</v>
      </c>
      <c r="B203" s="2554">
        <v>91140102</v>
      </c>
      <c r="C203" s="2610">
        <v>0.04</v>
      </c>
      <c r="D203" s="2584" t="s">
        <v>432</v>
      </c>
      <c r="E203" s="4453">
        <f>+'11.3. ДА Базова година'!H164</f>
        <v>201.75973514171037</v>
      </c>
      <c r="F203" s="2655">
        <f>E203+SUMIF('11.2. ДА за периода'!$B$111:$B$131,$B203,'11.2. ДА за периода'!F$111:F$131)</f>
        <v>201.75973514171037</v>
      </c>
      <c r="G203" s="1136">
        <f>F203+SUMIF('11.2. ДА за периода'!$B$111:$B$131,$B203,'11.2. ДА за периода'!G$111:G$131)</f>
        <v>201.75973514171037</v>
      </c>
      <c r="H203" s="1136">
        <f>G203+SUMIF('11.2. ДА за периода'!$B$111:$B$131,$B203,'11.2. ДА за периода'!H$111:H$131)</f>
        <v>201.75973514171037</v>
      </c>
      <c r="I203" s="1136">
        <f>H203+SUMIF('11.2. ДА за периода'!$B$111:$B$131,$B203,'11.2. ДА за периода'!I$111:I$131)</f>
        <v>201.75973514171037</v>
      </c>
      <c r="J203" s="1136">
        <f>I203+SUMIF('11.2. ДА за периода'!$B$111:$B$131,$B203,'11.2. ДА за периода'!J$111:J$131)</f>
        <v>201.75973514171037</v>
      </c>
      <c r="K203" s="2656">
        <f>J203+SUMIF('11.2. ДА за периода'!$B$111:$B$131,$B203,'11.2. ДА за периода'!K$111:K$131)</f>
        <v>201.75973514171037</v>
      </c>
      <c r="L203" s="4453">
        <f>+'11.3. ДА Базова година'!L164</f>
        <v>0</v>
      </c>
      <c r="M203" s="2655">
        <f>L203+SUMIF('11.2. ДА за периода'!$B$111:$B$131,$B203,'11.2. ДА за периода'!M$111:M$131)</f>
        <v>0</v>
      </c>
      <c r="N203" s="1136">
        <f>M203+SUMIF('11.2. ДА за периода'!$B$111:$B$131,$B203,'11.2. ДА за периода'!N$111:N$131)</f>
        <v>0</v>
      </c>
      <c r="O203" s="1136">
        <f>N203+SUMIF('11.2. ДА за периода'!$B$111:$B$131,$B203,'11.2. ДА за периода'!O$111:O$131)</f>
        <v>0</v>
      </c>
      <c r="P203" s="1136">
        <f>O203+SUMIF('11.2. ДА за периода'!$B$111:$B$131,$B203,'11.2. ДА за периода'!P$111:P$131)</f>
        <v>0</v>
      </c>
      <c r="Q203" s="1136">
        <f>P203+SUMIF('11.2. ДА за периода'!$B$111:$B$131,$B203,'11.2. ДА за периода'!Q$111:Q$131)</f>
        <v>0</v>
      </c>
      <c r="R203" s="2656">
        <f>Q203+SUMIF('11.2. ДА за периода'!$B$111:$B$131,$B203,'11.2. ДА за периода'!R$111:R$131)</f>
        <v>0</v>
      </c>
      <c r="S203" s="4453">
        <f>+'11.3. ДА Базова година'!P164</f>
        <v>1251.5972200000001</v>
      </c>
      <c r="T203" s="2655">
        <f>S203+SUMIF('11.2. ДА за периода'!$B$111:$B$131,$B203,'11.2. ДА за периода'!T$111:T$131)</f>
        <v>1251.5972200000001</v>
      </c>
      <c r="U203" s="1136">
        <f>T203+SUMIF('11.2. ДА за периода'!$B$111:$B$131,$B203,'11.2. ДА за периода'!U$111:U$131)</f>
        <v>1251.5972200000001</v>
      </c>
      <c r="V203" s="1136">
        <f>U203+SUMIF('11.2. ДА за периода'!$B$111:$B$131,$B203,'11.2. ДА за периода'!V$111:V$131)</f>
        <v>1251.5972200000001</v>
      </c>
      <c r="W203" s="1136">
        <f>V203+SUMIF('11.2. ДА за периода'!$B$111:$B$131,$B203,'11.2. ДА за периода'!W$111:W$131)</f>
        <v>1251.5972200000001</v>
      </c>
      <c r="X203" s="1136">
        <f>W203+SUMIF('11.2. ДА за периода'!$B$111:$B$131,$B203,'11.2. ДА за периода'!X$111:X$131)</f>
        <v>1251.5972200000001</v>
      </c>
      <c r="Y203" s="2656">
        <f>X203+SUMIF('11.2. ДА за периода'!$B$111:$B$131,$B203,'11.2. ДА за периода'!Y$111:Y$131)</f>
        <v>1251.5972200000001</v>
      </c>
      <c r="Z203" s="4453">
        <f>+'11.3. ДА Базова година'!T164</f>
        <v>0</v>
      </c>
      <c r="AA203" s="2655">
        <f>Z203+SUMIF('11.2. ДА за периода'!$B$111:$B$131,$B203,'11.2. ДА за периода'!AA$111:AA$131)</f>
        <v>0</v>
      </c>
      <c r="AB203" s="1136">
        <f>AA203+SUMIF('11.2. ДА за периода'!$B$111:$B$131,$B203,'11.2. ДА за периода'!AB$111:AB$131)</f>
        <v>0</v>
      </c>
      <c r="AC203" s="1136">
        <f>AB203+SUMIF('11.2. ДА за периода'!$B$111:$B$131,$B203,'11.2. ДА за периода'!AC$111:AC$131)</f>
        <v>0</v>
      </c>
      <c r="AD203" s="1136">
        <f>AC203+SUMIF('11.2. ДА за периода'!$B$111:$B$131,$B203,'11.2. ДА за периода'!AD$111:AD$131)</f>
        <v>0</v>
      </c>
      <c r="AE203" s="1136">
        <f>AD203+SUMIF('11.2. ДА за периода'!$B$111:$B$131,$B203,'11.2. ДА за периода'!AE$111:AE$131)</f>
        <v>0</v>
      </c>
      <c r="AF203" s="2656">
        <f>AE203+SUMIF('11.2. ДА за периода'!$B$111:$B$131,$B203,'11.2. ДА за периода'!AF$111:AF$131)</f>
        <v>0</v>
      </c>
      <c r="AG203" s="4453">
        <f>+'11.3. ДА Базова година'!X164</f>
        <v>12.632704858289637</v>
      </c>
      <c r="AH203" s="2655">
        <f>AG203+SUMIF('11.2. ДА за периода'!$B$111:$B$131,$B203,'11.2. ДА за периода'!AH$111:AH$131)</f>
        <v>12.632704858289637</v>
      </c>
      <c r="AI203" s="1136">
        <f>AH203+SUMIF('11.2. ДА за периода'!$B$111:$B$131,$B203,'11.2. ДА за периода'!AI$111:AI$131)</f>
        <v>12.632704858289637</v>
      </c>
      <c r="AJ203" s="1136">
        <f>AI203+SUMIF('11.2. ДА за периода'!$B$111:$B$131,$B203,'11.2. ДА за периода'!AJ$111:AJ$131)</f>
        <v>12.632704858289637</v>
      </c>
      <c r="AK203" s="1136">
        <f>AJ203+SUMIF('11.2. ДА за периода'!$B$111:$B$131,$B203,'11.2. ДА за периода'!AK$111:AK$131)</f>
        <v>12.632704858289637</v>
      </c>
      <c r="AL203" s="1136">
        <f>AK203+SUMIF('11.2. ДА за периода'!$B$111:$B$131,$B203,'11.2. ДА за периода'!AL$111:AL$131)</f>
        <v>12.632704858289637</v>
      </c>
      <c r="AM203" s="2656">
        <f>AL203+SUMIF('11.2. ДА за периода'!$B$111:$B$131,$B203,'11.2. ДА за периода'!AM$111:AM$131)</f>
        <v>12.632704858289637</v>
      </c>
      <c r="AN203" s="2551"/>
      <c r="AO203" s="2589"/>
      <c r="AP203" s="4488"/>
      <c r="AQ203" s="4504">
        <f t="shared" si="271"/>
        <v>103.15811453025589</v>
      </c>
      <c r="AR203" s="4504">
        <f t="shared" si="272"/>
        <v>103.15811453025589</v>
      </c>
      <c r="AS203" s="4504">
        <f t="shared" si="273"/>
        <v>103.15811453025589</v>
      </c>
      <c r="AT203" s="4504">
        <f t="shared" si="274"/>
        <v>103.15811453025589</v>
      </c>
      <c r="AU203" s="4504">
        <f t="shared" si="275"/>
        <v>103.15811453025589</v>
      </c>
      <c r="AV203" s="4504">
        <f t="shared" si="276"/>
        <v>103.15811453025589</v>
      </c>
      <c r="AW203" s="4504">
        <f t="shared" si="277"/>
        <v>103.15811453025589</v>
      </c>
      <c r="AX203" s="4504">
        <f t="shared" si="278"/>
        <v>0</v>
      </c>
      <c r="AY203" s="4504">
        <f t="shared" si="279"/>
        <v>0</v>
      </c>
      <c r="AZ203" s="4504">
        <f t="shared" si="280"/>
        <v>0</v>
      </c>
      <c r="BA203" s="4504">
        <f t="shared" si="281"/>
        <v>0</v>
      </c>
      <c r="BB203" s="4504">
        <f t="shared" si="282"/>
        <v>0</v>
      </c>
      <c r="BC203" s="4504">
        <f t="shared" si="283"/>
        <v>0</v>
      </c>
      <c r="BD203" s="4504">
        <f t="shared" si="284"/>
        <v>0</v>
      </c>
      <c r="BE203" s="4504">
        <f t="shared" si="285"/>
        <v>639.93149711375736</v>
      </c>
      <c r="BF203" s="4504">
        <f t="shared" si="286"/>
        <v>639.93149711375736</v>
      </c>
      <c r="BG203" s="4504">
        <f t="shared" si="287"/>
        <v>639.93149711375736</v>
      </c>
      <c r="BH203" s="4504">
        <f t="shared" si="288"/>
        <v>639.93149711375736</v>
      </c>
      <c r="BI203" s="4504">
        <f t="shared" si="289"/>
        <v>639.93149711375736</v>
      </c>
      <c r="BJ203" s="4504">
        <f t="shared" si="290"/>
        <v>639.93149711375736</v>
      </c>
      <c r="BK203" s="4504">
        <f t="shared" si="291"/>
        <v>639.93149711375736</v>
      </c>
      <c r="BL203" s="4504">
        <f t="shared" si="292"/>
        <v>0</v>
      </c>
      <c r="BM203" s="4504">
        <f t="shared" si="293"/>
        <v>0</v>
      </c>
      <c r="BN203" s="4504">
        <f t="shared" si="294"/>
        <v>0</v>
      </c>
      <c r="BO203" s="4504">
        <f t="shared" si="295"/>
        <v>0</v>
      </c>
      <c r="BP203" s="4504">
        <f t="shared" si="296"/>
        <v>0</v>
      </c>
      <c r="BQ203" s="4504">
        <f t="shared" si="297"/>
        <v>0</v>
      </c>
      <c r="BR203" s="4504">
        <f t="shared" si="298"/>
        <v>0</v>
      </c>
      <c r="BS203" s="4504">
        <f t="shared" si="299"/>
        <v>6.4589994315915176</v>
      </c>
      <c r="BT203" s="4504">
        <f t="shared" si="300"/>
        <v>6.4589994315915176</v>
      </c>
      <c r="BU203" s="4504">
        <f t="shared" si="301"/>
        <v>6.4589994315915176</v>
      </c>
      <c r="BV203" s="4504">
        <f t="shared" si="302"/>
        <v>6.4589994315915176</v>
      </c>
      <c r="BW203" s="4504">
        <f t="shared" si="303"/>
        <v>6.4589994315915176</v>
      </c>
      <c r="BX203" s="4504">
        <f t="shared" si="304"/>
        <v>6.4589994315915176</v>
      </c>
      <c r="BY203" s="4504">
        <f t="shared" si="305"/>
        <v>6.4589994315915176</v>
      </c>
    </row>
    <row r="204" spans="1:77" s="1323" customFormat="1">
      <c r="A204" s="2611">
        <v>12</v>
      </c>
      <c r="B204" s="2554" t="s">
        <v>698</v>
      </c>
      <c r="C204" s="2555">
        <v>0.02</v>
      </c>
      <c r="D204" s="2585" t="s">
        <v>738</v>
      </c>
      <c r="E204" s="4453">
        <f>+'11.3. ДА Базова година'!H165</f>
        <v>0</v>
      </c>
      <c r="F204" s="2655">
        <f>E204+SUMIF('11.2. ДА за периода'!$B$111:$B$131,$B204,'11.2. ДА за периода'!F$111:F$131)</f>
        <v>0</v>
      </c>
      <c r="G204" s="1136">
        <f>F204+SUMIF('11.2. ДА за периода'!$B$111:$B$131,$B204,'11.2. ДА за периода'!G$111:G$131)</f>
        <v>0</v>
      </c>
      <c r="H204" s="1136">
        <f>G204+SUMIF('11.2. ДА за периода'!$B$111:$B$131,$B204,'11.2. ДА за периода'!H$111:H$131)</f>
        <v>0</v>
      </c>
      <c r="I204" s="1136">
        <f>H204+SUMIF('11.2. ДА за периода'!$B$111:$B$131,$B204,'11.2. ДА за периода'!I$111:I$131)</f>
        <v>0</v>
      </c>
      <c r="J204" s="1136">
        <f>I204+SUMIF('11.2. ДА за периода'!$B$111:$B$131,$B204,'11.2. ДА за периода'!J$111:J$131)</f>
        <v>0</v>
      </c>
      <c r="K204" s="2656">
        <f>J204+SUMIF('11.2. ДА за периода'!$B$111:$B$131,$B204,'11.2. ДА за периода'!K$111:K$131)</f>
        <v>0</v>
      </c>
      <c r="L204" s="4453">
        <f>+'11.3. ДА Базова година'!L165</f>
        <v>0</v>
      </c>
      <c r="M204" s="2655">
        <f>L204+SUMIF('11.2. ДА за периода'!$B$111:$B$131,$B204,'11.2. ДА за периода'!M$111:M$131)</f>
        <v>0</v>
      </c>
      <c r="N204" s="1136">
        <f>M204+SUMIF('11.2. ДА за периода'!$B$111:$B$131,$B204,'11.2. ДА за периода'!N$111:N$131)</f>
        <v>0</v>
      </c>
      <c r="O204" s="1136">
        <f>N204+SUMIF('11.2. ДА за периода'!$B$111:$B$131,$B204,'11.2. ДА за периода'!O$111:O$131)</f>
        <v>0</v>
      </c>
      <c r="P204" s="1136">
        <f>O204+SUMIF('11.2. ДА за периода'!$B$111:$B$131,$B204,'11.2. ДА за периода'!P$111:P$131)</f>
        <v>0</v>
      </c>
      <c r="Q204" s="1136">
        <f>P204+SUMIF('11.2. ДА за периода'!$B$111:$B$131,$B204,'11.2. ДА за периода'!Q$111:Q$131)</f>
        <v>0</v>
      </c>
      <c r="R204" s="2656">
        <f>Q204+SUMIF('11.2. ДА за периода'!$B$111:$B$131,$B204,'11.2. ДА за периода'!R$111:R$131)</f>
        <v>0</v>
      </c>
      <c r="S204" s="4453">
        <f>+'11.3. ДА Базова година'!P165</f>
        <v>0</v>
      </c>
      <c r="T204" s="2655">
        <f>S204+SUMIF('11.2. ДА за периода'!$B$111:$B$131,$B204,'11.2. ДА за периода'!T$111:T$131)</f>
        <v>0</v>
      </c>
      <c r="U204" s="1136">
        <f>T204+SUMIF('11.2. ДА за периода'!$B$111:$B$131,$B204,'11.2. ДА за периода'!U$111:U$131)</f>
        <v>0</v>
      </c>
      <c r="V204" s="1136">
        <f>U204+SUMIF('11.2. ДА за периода'!$B$111:$B$131,$B204,'11.2. ДА за периода'!V$111:V$131)</f>
        <v>0</v>
      </c>
      <c r="W204" s="1136">
        <f>V204+SUMIF('11.2. ДА за периода'!$B$111:$B$131,$B204,'11.2. ДА за периода'!W$111:W$131)</f>
        <v>0</v>
      </c>
      <c r="X204" s="1136">
        <f>W204+SUMIF('11.2. ДА за периода'!$B$111:$B$131,$B204,'11.2. ДА за периода'!X$111:X$131)</f>
        <v>0</v>
      </c>
      <c r="Y204" s="2656">
        <f>X204+SUMIF('11.2. ДА за периода'!$B$111:$B$131,$B204,'11.2. ДА за периода'!Y$111:Y$131)</f>
        <v>0</v>
      </c>
      <c r="Z204" s="4453">
        <f>+'11.3. ДА Базова година'!T165</f>
        <v>0</v>
      </c>
      <c r="AA204" s="2655">
        <f>Z204+SUMIF('11.2. ДА за периода'!$B$111:$B$131,$B204,'11.2. ДА за периода'!AA$111:AA$131)</f>
        <v>0</v>
      </c>
      <c r="AB204" s="1136">
        <f>AA204+SUMIF('11.2. ДА за периода'!$B$111:$B$131,$B204,'11.2. ДА за периода'!AB$111:AB$131)</f>
        <v>0</v>
      </c>
      <c r="AC204" s="1136">
        <f>AB204+SUMIF('11.2. ДА за периода'!$B$111:$B$131,$B204,'11.2. ДА за периода'!AC$111:AC$131)</f>
        <v>0</v>
      </c>
      <c r="AD204" s="1136">
        <f>AC204+SUMIF('11.2. ДА за периода'!$B$111:$B$131,$B204,'11.2. ДА за периода'!AD$111:AD$131)</f>
        <v>0</v>
      </c>
      <c r="AE204" s="1136">
        <f>AD204+SUMIF('11.2. ДА за периода'!$B$111:$B$131,$B204,'11.2. ДА за периода'!AE$111:AE$131)</f>
        <v>0</v>
      </c>
      <c r="AF204" s="2656">
        <f>AE204+SUMIF('11.2. ДА за периода'!$B$111:$B$131,$B204,'11.2. ДА за периода'!AF$111:AF$131)</f>
        <v>0</v>
      </c>
      <c r="AG204" s="4453">
        <f>+'11.3. ДА Базова година'!X165</f>
        <v>0</v>
      </c>
      <c r="AH204" s="2655">
        <f>AG204+SUMIF('11.2. ДА за периода'!$B$111:$B$131,$B204,'11.2. ДА за периода'!AH$111:AH$131)</f>
        <v>0</v>
      </c>
      <c r="AI204" s="1136">
        <f>AH204+SUMIF('11.2. ДА за периода'!$B$111:$B$131,$B204,'11.2. ДА за периода'!AI$111:AI$131)</f>
        <v>0</v>
      </c>
      <c r="AJ204" s="1136">
        <f>AI204+SUMIF('11.2. ДА за периода'!$B$111:$B$131,$B204,'11.2. ДА за периода'!AJ$111:AJ$131)</f>
        <v>0</v>
      </c>
      <c r="AK204" s="1136">
        <f>AJ204+SUMIF('11.2. ДА за периода'!$B$111:$B$131,$B204,'11.2. ДА за периода'!AK$111:AK$131)</f>
        <v>0</v>
      </c>
      <c r="AL204" s="1136">
        <f>AK204+SUMIF('11.2. ДА за периода'!$B$111:$B$131,$B204,'11.2. ДА за периода'!AL$111:AL$131)</f>
        <v>0</v>
      </c>
      <c r="AM204" s="2656">
        <f>AL204+SUMIF('11.2. ДА за периода'!$B$111:$B$131,$B204,'11.2. ДА за периода'!AM$111:AM$131)</f>
        <v>0</v>
      </c>
      <c r="AN204" s="2551"/>
      <c r="AO204" s="2589"/>
      <c r="AP204" s="4488"/>
      <c r="AQ204" s="4504">
        <f t="shared" si="271"/>
        <v>0</v>
      </c>
      <c r="AR204" s="4504">
        <f t="shared" si="272"/>
        <v>0</v>
      </c>
      <c r="AS204" s="4504">
        <f t="shared" si="273"/>
        <v>0</v>
      </c>
      <c r="AT204" s="4504">
        <f t="shared" si="274"/>
        <v>0</v>
      </c>
      <c r="AU204" s="4504">
        <f t="shared" si="275"/>
        <v>0</v>
      </c>
      <c r="AV204" s="4504">
        <f t="shared" si="276"/>
        <v>0</v>
      </c>
      <c r="AW204" s="4504">
        <f t="shared" si="277"/>
        <v>0</v>
      </c>
      <c r="AX204" s="4504">
        <f t="shared" si="278"/>
        <v>0</v>
      </c>
      <c r="AY204" s="4504">
        <f t="shared" si="279"/>
        <v>0</v>
      </c>
      <c r="AZ204" s="4504">
        <f t="shared" si="280"/>
        <v>0</v>
      </c>
      <c r="BA204" s="4504">
        <f t="shared" si="281"/>
        <v>0</v>
      </c>
      <c r="BB204" s="4504">
        <f t="shared" si="282"/>
        <v>0</v>
      </c>
      <c r="BC204" s="4504">
        <f t="shared" si="283"/>
        <v>0</v>
      </c>
      <c r="BD204" s="4504">
        <f t="shared" si="284"/>
        <v>0</v>
      </c>
      <c r="BE204" s="4504">
        <f t="shared" si="285"/>
        <v>0</v>
      </c>
      <c r="BF204" s="4504">
        <f t="shared" si="286"/>
        <v>0</v>
      </c>
      <c r="BG204" s="4504">
        <f t="shared" si="287"/>
        <v>0</v>
      </c>
      <c r="BH204" s="4504">
        <f t="shared" si="288"/>
        <v>0</v>
      </c>
      <c r="BI204" s="4504">
        <f t="shared" si="289"/>
        <v>0</v>
      </c>
      <c r="BJ204" s="4504">
        <f t="shared" si="290"/>
        <v>0</v>
      </c>
      <c r="BK204" s="4504">
        <f t="shared" si="291"/>
        <v>0</v>
      </c>
      <c r="BL204" s="4504">
        <f t="shared" si="292"/>
        <v>0</v>
      </c>
      <c r="BM204" s="4504">
        <f t="shared" si="293"/>
        <v>0</v>
      </c>
      <c r="BN204" s="4504">
        <f t="shared" si="294"/>
        <v>0</v>
      </c>
      <c r="BO204" s="4504">
        <f t="shared" si="295"/>
        <v>0</v>
      </c>
      <c r="BP204" s="4504">
        <f t="shared" si="296"/>
        <v>0</v>
      </c>
      <c r="BQ204" s="4504">
        <f t="shared" si="297"/>
        <v>0</v>
      </c>
      <c r="BR204" s="4504">
        <f t="shared" si="298"/>
        <v>0</v>
      </c>
      <c r="BS204" s="4504">
        <f t="shared" si="299"/>
        <v>0</v>
      </c>
      <c r="BT204" s="4504">
        <f t="shared" si="300"/>
        <v>0</v>
      </c>
      <c r="BU204" s="4504">
        <f t="shared" si="301"/>
        <v>0</v>
      </c>
      <c r="BV204" s="4504">
        <f t="shared" si="302"/>
        <v>0</v>
      </c>
      <c r="BW204" s="4504">
        <f t="shared" si="303"/>
        <v>0</v>
      </c>
      <c r="BX204" s="4504">
        <f t="shared" si="304"/>
        <v>0</v>
      </c>
      <c r="BY204" s="4504">
        <f t="shared" si="305"/>
        <v>0</v>
      </c>
    </row>
    <row r="205" spans="1:77" s="1323" customFormat="1">
      <c r="A205" s="2611">
        <v>13</v>
      </c>
      <c r="B205" s="2554" t="s">
        <v>699</v>
      </c>
      <c r="C205" s="2555">
        <v>0.02</v>
      </c>
      <c r="D205" s="2585" t="s">
        <v>739</v>
      </c>
      <c r="E205" s="4453">
        <f>+'11.3. ДА Базова година'!H166</f>
        <v>1814.0387592016079</v>
      </c>
      <c r="F205" s="2655">
        <f>E205+SUMIF('11.2. ДА за периода'!$B$111:$B$131,$B205,'11.2. ДА за периода'!F$111:F$131)</f>
        <v>1814.0387592016079</v>
      </c>
      <c r="G205" s="1136">
        <f>F205+SUMIF('11.2. ДА за периода'!$B$111:$B$131,$B205,'11.2. ДА за периода'!G$111:G$131)</f>
        <v>1814.0387592016079</v>
      </c>
      <c r="H205" s="1136">
        <f>G205+SUMIF('11.2. ДА за периода'!$B$111:$B$131,$B205,'11.2. ДА за периода'!H$111:H$131)</f>
        <v>1814.0387592016079</v>
      </c>
      <c r="I205" s="1136">
        <f>H205+SUMIF('11.2. ДА за периода'!$B$111:$B$131,$B205,'11.2. ДА за периода'!I$111:I$131)</f>
        <v>1814.0387592016079</v>
      </c>
      <c r="J205" s="1136">
        <f>I205+SUMIF('11.2. ДА за периода'!$B$111:$B$131,$B205,'11.2. ДА за периода'!J$111:J$131)</f>
        <v>1814.0387592016079</v>
      </c>
      <c r="K205" s="2656">
        <f>J205+SUMIF('11.2. ДА за периода'!$B$111:$B$131,$B205,'11.2. ДА за периода'!K$111:K$131)</f>
        <v>2152.6387592016081</v>
      </c>
      <c r="L205" s="4453">
        <f>+'11.3. ДА Базова година'!L166</f>
        <v>0</v>
      </c>
      <c r="M205" s="2655">
        <f>L205+SUMIF('11.2. ДА за периода'!$B$111:$B$131,$B205,'11.2. ДА за периода'!M$111:M$131)</f>
        <v>0</v>
      </c>
      <c r="N205" s="1136">
        <f>M205+SUMIF('11.2. ДА за периода'!$B$111:$B$131,$B205,'11.2. ДА за периода'!N$111:N$131)</f>
        <v>0</v>
      </c>
      <c r="O205" s="1136">
        <f>N205+SUMIF('11.2. ДА за периода'!$B$111:$B$131,$B205,'11.2. ДА за периода'!O$111:O$131)</f>
        <v>0</v>
      </c>
      <c r="P205" s="1136">
        <f>O205+SUMIF('11.2. ДА за периода'!$B$111:$B$131,$B205,'11.2. ДА за периода'!P$111:P$131)</f>
        <v>0</v>
      </c>
      <c r="Q205" s="1136">
        <f>P205+SUMIF('11.2. ДА за периода'!$B$111:$B$131,$B205,'11.2. ДА за периода'!Q$111:Q$131)</f>
        <v>0</v>
      </c>
      <c r="R205" s="2656">
        <f>Q205+SUMIF('11.2. ДА за периода'!$B$111:$B$131,$B205,'11.2. ДА за периода'!R$111:R$131)</f>
        <v>0</v>
      </c>
      <c r="S205" s="4453">
        <f>+'11.3. ДА Базова година'!P166</f>
        <v>0</v>
      </c>
      <c r="T205" s="2655">
        <f>S205+SUMIF('11.2. ДА за периода'!$B$111:$B$131,$B205,'11.2. ДА за периода'!T$111:T$131)</f>
        <v>0</v>
      </c>
      <c r="U205" s="1136">
        <f>T205+SUMIF('11.2. ДА за периода'!$B$111:$B$131,$B205,'11.2. ДА за периода'!U$111:U$131)</f>
        <v>0</v>
      </c>
      <c r="V205" s="1136">
        <f>U205+SUMIF('11.2. ДА за периода'!$B$111:$B$131,$B205,'11.2. ДА за периода'!V$111:V$131)</f>
        <v>0</v>
      </c>
      <c r="W205" s="1136">
        <f>V205+SUMIF('11.2. ДА за периода'!$B$111:$B$131,$B205,'11.2. ДА за периода'!W$111:W$131)</f>
        <v>0</v>
      </c>
      <c r="X205" s="1136">
        <f>W205+SUMIF('11.2. ДА за периода'!$B$111:$B$131,$B205,'11.2. ДА за периода'!X$111:X$131)</f>
        <v>0</v>
      </c>
      <c r="Y205" s="2656">
        <f>X205+SUMIF('11.2. ДА за периода'!$B$111:$B$131,$B205,'11.2. ДА за периода'!Y$111:Y$131)</f>
        <v>0</v>
      </c>
      <c r="Z205" s="4453">
        <f>+'11.3. ДА Базова година'!T166</f>
        <v>0</v>
      </c>
      <c r="AA205" s="2655">
        <f>Z205+SUMIF('11.2. ДА за периода'!$B$111:$B$131,$B205,'11.2. ДА за периода'!AA$111:AA$131)</f>
        <v>0</v>
      </c>
      <c r="AB205" s="1136">
        <f>AA205+SUMIF('11.2. ДА за периода'!$B$111:$B$131,$B205,'11.2. ДА за периода'!AB$111:AB$131)</f>
        <v>0</v>
      </c>
      <c r="AC205" s="1136">
        <f>AB205+SUMIF('11.2. ДА за периода'!$B$111:$B$131,$B205,'11.2. ДА за периода'!AC$111:AC$131)</f>
        <v>0</v>
      </c>
      <c r="AD205" s="1136">
        <f>AC205+SUMIF('11.2. ДА за периода'!$B$111:$B$131,$B205,'11.2. ДА за периода'!AD$111:AD$131)</f>
        <v>0</v>
      </c>
      <c r="AE205" s="1136">
        <f>AD205+SUMIF('11.2. ДА за периода'!$B$111:$B$131,$B205,'11.2. ДА за периода'!AE$111:AE$131)</f>
        <v>0</v>
      </c>
      <c r="AF205" s="2656">
        <f>AE205+SUMIF('11.2. ДА за периода'!$B$111:$B$131,$B205,'11.2. ДА за периода'!AF$111:AF$131)</f>
        <v>0</v>
      </c>
      <c r="AG205" s="4453">
        <f>+'11.3. ДА Базова година'!X166</f>
        <v>24.981400798391864</v>
      </c>
      <c r="AH205" s="2655">
        <f>AG205+SUMIF('11.2. ДА за периода'!$B$111:$B$131,$B205,'11.2. ДА за периода'!AH$111:AH$131)</f>
        <v>24.981400798391864</v>
      </c>
      <c r="AI205" s="1136">
        <f>AH205+SUMIF('11.2. ДА за периода'!$B$111:$B$131,$B205,'11.2. ДА за периода'!AI$111:AI$131)</f>
        <v>24.981400798391864</v>
      </c>
      <c r="AJ205" s="1136">
        <f>AI205+SUMIF('11.2. ДА за периода'!$B$111:$B$131,$B205,'11.2. ДА за периода'!AJ$111:AJ$131)</f>
        <v>24.981400798391864</v>
      </c>
      <c r="AK205" s="1136">
        <f>AJ205+SUMIF('11.2. ДА за периода'!$B$111:$B$131,$B205,'11.2. ДА за периода'!AK$111:AK$131)</f>
        <v>24.981400798391864</v>
      </c>
      <c r="AL205" s="1136">
        <f>AK205+SUMIF('11.2. ДА за периода'!$B$111:$B$131,$B205,'11.2. ДА за периода'!AL$111:AL$131)</f>
        <v>24.981400798391864</v>
      </c>
      <c r="AM205" s="2656">
        <f>AL205+SUMIF('11.2. ДА за периода'!$B$111:$B$131,$B205,'11.2. ДА за периода'!AM$111:AM$131)</f>
        <v>24.981400798391864</v>
      </c>
      <c r="AN205" s="2551"/>
      <c r="AO205" s="2589"/>
      <c r="AP205" s="4488"/>
      <c r="AQ205" s="4504">
        <f t="shared" si="271"/>
        <v>927.50328975504419</v>
      </c>
      <c r="AR205" s="4504">
        <f t="shared" si="272"/>
        <v>927.50328975504419</v>
      </c>
      <c r="AS205" s="4504">
        <f t="shared" si="273"/>
        <v>927.50328975504419</v>
      </c>
      <c r="AT205" s="4504">
        <f t="shared" si="274"/>
        <v>927.50328975504419</v>
      </c>
      <c r="AU205" s="4504">
        <f t="shared" si="275"/>
        <v>927.50328975504419</v>
      </c>
      <c r="AV205" s="4504">
        <f t="shared" si="276"/>
        <v>927.50328975504419</v>
      </c>
      <c r="AW205" s="4504">
        <f t="shared" si="277"/>
        <v>1100.6267207280837</v>
      </c>
      <c r="AX205" s="4504">
        <f t="shared" si="278"/>
        <v>0</v>
      </c>
      <c r="AY205" s="4504">
        <f t="shared" si="279"/>
        <v>0</v>
      </c>
      <c r="AZ205" s="4504">
        <f t="shared" si="280"/>
        <v>0</v>
      </c>
      <c r="BA205" s="4504">
        <f t="shared" si="281"/>
        <v>0</v>
      </c>
      <c r="BB205" s="4504">
        <f t="shared" si="282"/>
        <v>0</v>
      </c>
      <c r="BC205" s="4504">
        <f t="shared" si="283"/>
        <v>0</v>
      </c>
      <c r="BD205" s="4504">
        <f t="shared" si="284"/>
        <v>0</v>
      </c>
      <c r="BE205" s="4504">
        <f t="shared" si="285"/>
        <v>0</v>
      </c>
      <c r="BF205" s="4504">
        <f t="shared" si="286"/>
        <v>0</v>
      </c>
      <c r="BG205" s="4504">
        <f t="shared" si="287"/>
        <v>0</v>
      </c>
      <c r="BH205" s="4504">
        <f t="shared" si="288"/>
        <v>0</v>
      </c>
      <c r="BI205" s="4504">
        <f t="shared" si="289"/>
        <v>0</v>
      </c>
      <c r="BJ205" s="4504">
        <f t="shared" si="290"/>
        <v>0</v>
      </c>
      <c r="BK205" s="4504">
        <f t="shared" si="291"/>
        <v>0</v>
      </c>
      <c r="BL205" s="4504">
        <f t="shared" si="292"/>
        <v>0</v>
      </c>
      <c r="BM205" s="4504">
        <f t="shared" si="293"/>
        <v>0</v>
      </c>
      <c r="BN205" s="4504">
        <f t="shared" si="294"/>
        <v>0</v>
      </c>
      <c r="BO205" s="4504">
        <f t="shared" si="295"/>
        <v>0</v>
      </c>
      <c r="BP205" s="4504">
        <f t="shared" si="296"/>
        <v>0</v>
      </c>
      <c r="BQ205" s="4504">
        <f t="shared" si="297"/>
        <v>0</v>
      </c>
      <c r="BR205" s="4504">
        <f t="shared" si="298"/>
        <v>0</v>
      </c>
      <c r="BS205" s="4504">
        <f t="shared" si="299"/>
        <v>12.77278740912649</v>
      </c>
      <c r="BT205" s="4504">
        <f t="shared" si="300"/>
        <v>12.77278740912649</v>
      </c>
      <c r="BU205" s="4504">
        <f t="shared" si="301"/>
        <v>12.77278740912649</v>
      </c>
      <c r="BV205" s="4504">
        <f t="shared" si="302"/>
        <v>12.77278740912649</v>
      </c>
      <c r="BW205" s="4504">
        <f t="shared" si="303"/>
        <v>12.77278740912649</v>
      </c>
      <c r="BX205" s="4504">
        <f t="shared" si="304"/>
        <v>12.77278740912649</v>
      </c>
      <c r="BY205" s="4504">
        <f t="shared" si="305"/>
        <v>12.77278740912649</v>
      </c>
    </row>
    <row r="206" spans="1:77" s="1323" customFormat="1">
      <c r="A206" s="2611">
        <v>14</v>
      </c>
      <c r="B206" s="2554" t="s">
        <v>700</v>
      </c>
      <c r="C206" s="2555">
        <v>0.02</v>
      </c>
      <c r="D206" s="2585" t="s">
        <v>418</v>
      </c>
      <c r="E206" s="4453">
        <f>+'11.3. ДА Базова година'!H167</f>
        <v>38.838676417861194</v>
      </c>
      <c r="F206" s="2655">
        <f>E206+SUMIF('11.2. ДА за периода'!$B$111:$B$131,$B206,'11.2. ДА за периода'!F$111:F$131)</f>
        <v>38.838676417861194</v>
      </c>
      <c r="G206" s="1136">
        <f>F206+SUMIF('11.2. ДА за периода'!$B$111:$B$131,$B206,'11.2. ДА за периода'!G$111:G$131)</f>
        <v>38.838676417861194</v>
      </c>
      <c r="H206" s="1136">
        <f>G206+SUMIF('11.2. ДА за периода'!$B$111:$B$131,$B206,'11.2. ДА за периода'!H$111:H$131)</f>
        <v>38.838676417861194</v>
      </c>
      <c r="I206" s="1136">
        <f>H206+SUMIF('11.2. ДА за периода'!$B$111:$B$131,$B206,'11.2. ДА за периода'!I$111:I$131)</f>
        <v>38.838676417861194</v>
      </c>
      <c r="J206" s="1136">
        <f>I206+SUMIF('11.2. ДА за периода'!$B$111:$B$131,$B206,'11.2. ДА за периода'!J$111:J$131)</f>
        <v>38.838676417861194</v>
      </c>
      <c r="K206" s="2656">
        <f>J206+SUMIF('11.2. ДА за периода'!$B$111:$B$131,$B206,'11.2. ДА за периода'!K$111:K$131)</f>
        <v>38.838676417861194</v>
      </c>
      <c r="L206" s="4453">
        <f>+'11.3. ДА Базова година'!L167</f>
        <v>0</v>
      </c>
      <c r="M206" s="2655">
        <f>L206+SUMIF('11.2. ДА за периода'!$B$111:$B$131,$B206,'11.2. ДА за периода'!M$111:M$131)</f>
        <v>0</v>
      </c>
      <c r="N206" s="1136">
        <f>M206+SUMIF('11.2. ДА за периода'!$B$111:$B$131,$B206,'11.2. ДА за периода'!N$111:N$131)</f>
        <v>0</v>
      </c>
      <c r="O206" s="1136">
        <f>N206+SUMIF('11.2. ДА за периода'!$B$111:$B$131,$B206,'11.2. ДА за периода'!O$111:O$131)</f>
        <v>0</v>
      </c>
      <c r="P206" s="1136">
        <f>O206+SUMIF('11.2. ДА за периода'!$B$111:$B$131,$B206,'11.2. ДА за периода'!P$111:P$131)</f>
        <v>0</v>
      </c>
      <c r="Q206" s="1136">
        <f>P206+SUMIF('11.2. ДА за периода'!$B$111:$B$131,$B206,'11.2. ДА за периода'!Q$111:Q$131)</f>
        <v>0</v>
      </c>
      <c r="R206" s="2656">
        <f>Q206+SUMIF('11.2. ДА за периода'!$B$111:$B$131,$B206,'11.2. ДА за периода'!R$111:R$131)</f>
        <v>0</v>
      </c>
      <c r="S206" s="4453">
        <f>+'11.3. ДА Базова година'!P167</f>
        <v>0</v>
      </c>
      <c r="T206" s="2655">
        <f>S206+SUMIF('11.2. ДА за периода'!$B$111:$B$131,$B206,'11.2. ДА за периода'!T$111:T$131)</f>
        <v>0</v>
      </c>
      <c r="U206" s="1136">
        <f>T206+SUMIF('11.2. ДА за периода'!$B$111:$B$131,$B206,'11.2. ДА за периода'!U$111:U$131)</f>
        <v>0</v>
      </c>
      <c r="V206" s="1136">
        <f>U206+SUMIF('11.2. ДА за периода'!$B$111:$B$131,$B206,'11.2. ДА за периода'!V$111:V$131)</f>
        <v>0</v>
      </c>
      <c r="W206" s="1136">
        <f>V206+SUMIF('11.2. ДА за периода'!$B$111:$B$131,$B206,'11.2. ДА за периода'!W$111:W$131)</f>
        <v>0</v>
      </c>
      <c r="X206" s="1136">
        <f>W206+SUMIF('11.2. ДА за периода'!$B$111:$B$131,$B206,'11.2. ДА за периода'!X$111:X$131)</f>
        <v>0</v>
      </c>
      <c r="Y206" s="2656">
        <f>X206+SUMIF('11.2. ДА за периода'!$B$111:$B$131,$B206,'11.2. ДА за периода'!Y$111:Y$131)</f>
        <v>0</v>
      </c>
      <c r="Z206" s="4453">
        <f>+'11.3. ДА Базова година'!T167</f>
        <v>0</v>
      </c>
      <c r="AA206" s="2655">
        <f>Z206+SUMIF('11.2. ДА за периода'!$B$111:$B$131,$B206,'11.2. ДА за периода'!AA$111:AA$131)</f>
        <v>0</v>
      </c>
      <c r="AB206" s="1136">
        <f>AA206+SUMIF('11.2. ДА за периода'!$B$111:$B$131,$B206,'11.2. ДА за периода'!AB$111:AB$131)</f>
        <v>0</v>
      </c>
      <c r="AC206" s="1136">
        <f>AB206+SUMIF('11.2. ДА за периода'!$B$111:$B$131,$B206,'11.2. ДА за периода'!AC$111:AC$131)</f>
        <v>0</v>
      </c>
      <c r="AD206" s="1136">
        <f>AC206+SUMIF('11.2. ДА за периода'!$B$111:$B$131,$B206,'11.2. ДА за периода'!AD$111:AD$131)</f>
        <v>0</v>
      </c>
      <c r="AE206" s="1136">
        <f>AD206+SUMIF('11.2. ДА за периода'!$B$111:$B$131,$B206,'11.2. ДА за периода'!AE$111:AE$131)</f>
        <v>0</v>
      </c>
      <c r="AF206" s="2656">
        <f>AE206+SUMIF('11.2. ДА за периода'!$B$111:$B$131,$B206,'11.2. ДА за периода'!AF$111:AF$131)</f>
        <v>0</v>
      </c>
      <c r="AG206" s="4453">
        <f>+'11.3. ДА Базова година'!X167</f>
        <v>0.51908358213880723</v>
      </c>
      <c r="AH206" s="2655">
        <f>AG206+SUMIF('11.2. ДА за периода'!$B$111:$B$131,$B206,'11.2. ДА за периода'!AH$111:AH$131)</f>
        <v>0.51908358213880723</v>
      </c>
      <c r="AI206" s="1136">
        <f>AH206+SUMIF('11.2. ДА за периода'!$B$111:$B$131,$B206,'11.2. ДА за периода'!AI$111:AI$131)</f>
        <v>0.51908358213880723</v>
      </c>
      <c r="AJ206" s="1136">
        <f>AI206+SUMIF('11.2. ДА за периода'!$B$111:$B$131,$B206,'11.2. ДА за периода'!AJ$111:AJ$131)</f>
        <v>0.51908358213880723</v>
      </c>
      <c r="AK206" s="1136">
        <f>AJ206+SUMIF('11.2. ДА за периода'!$B$111:$B$131,$B206,'11.2. ДА за периода'!AK$111:AK$131)</f>
        <v>0.51908358213880723</v>
      </c>
      <c r="AL206" s="1136">
        <f>AK206+SUMIF('11.2. ДА за периода'!$B$111:$B$131,$B206,'11.2. ДА за периода'!AL$111:AL$131)</f>
        <v>0.51908358213880723</v>
      </c>
      <c r="AM206" s="2656">
        <f>AL206+SUMIF('11.2. ДА за периода'!$B$111:$B$131,$B206,'11.2. ДА за периода'!AM$111:AM$131)</f>
        <v>0.51908358213880723</v>
      </c>
      <c r="AN206" s="2551"/>
      <c r="AO206" s="2589"/>
      <c r="AP206" s="4488"/>
      <c r="AQ206" s="4504">
        <f t="shared" si="271"/>
        <v>19.85789992885946</v>
      </c>
      <c r="AR206" s="4504">
        <f t="shared" si="272"/>
        <v>19.85789992885946</v>
      </c>
      <c r="AS206" s="4504">
        <f t="shared" si="273"/>
        <v>19.85789992885946</v>
      </c>
      <c r="AT206" s="4504">
        <f t="shared" si="274"/>
        <v>19.85789992885946</v>
      </c>
      <c r="AU206" s="4504">
        <f t="shared" si="275"/>
        <v>19.85789992885946</v>
      </c>
      <c r="AV206" s="4504">
        <f t="shared" si="276"/>
        <v>19.85789992885946</v>
      </c>
      <c r="AW206" s="4504">
        <f t="shared" si="277"/>
        <v>19.85789992885946</v>
      </c>
      <c r="AX206" s="4504">
        <f t="shared" si="278"/>
        <v>0</v>
      </c>
      <c r="AY206" s="4504">
        <f t="shared" si="279"/>
        <v>0</v>
      </c>
      <c r="AZ206" s="4504">
        <f t="shared" si="280"/>
        <v>0</v>
      </c>
      <c r="BA206" s="4504">
        <f t="shared" si="281"/>
        <v>0</v>
      </c>
      <c r="BB206" s="4504">
        <f t="shared" si="282"/>
        <v>0</v>
      </c>
      <c r="BC206" s="4504">
        <f t="shared" si="283"/>
        <v>0</v>
      </c>
      <c r="BD206" s="4504">
        <f t="shared" si="284"/>
        <v>0</v>
      </c>
      <c r="BE206" s="4504">
        <f t="shared" si="285"/>
        <v>0</v>
      </c>
      <c r="BF206" s="4504">
        <f t="shared" si="286"/>
        <v>0</v>
      </c>
      <c r="BG206" s="4504">
        <f t="shared" si="287"/>
        <v>0</v>
      </c>
      <c r="BH206" s="4504">
        <f t="shared" si="288"/>
        <v>0</v>
      </c>
      <c r="BI206" s="4504">
        <f t="shared" si="289"/>
        <v>0</v>
      </c>
      <c r="BJ206" s="4504">
        <f t="shared" si="290"/>
        <v>0</v>
      </c>
      <c r="BK206" s="4504">
        <f t="shared" si="291"/>
        <v>0</v>
      </c>
      <c r="BL206" s="4504">
        <f t="shared" si="292"/>
        <v>0</v>
      </c>
      <c r="BM206" s="4504">
        <f t="shared" si="293"/>
        <v>0</v>
      </c>
      <c r="BN206" s="4504">
        <f t="shared" si="294"/>
        <v>0</v>
      </c>
      <c r="BO206" s="4504">
        <f t="shared" si="295"/>
        <v>0</v>
      </c>
      <c r="BP206" s="4504">
        <f t="shared" si="296"/>
        <v>0</v>
      </c>
      <c r="BQ206" s="4504">
        <f t="shared" si="297"/>
        <v>0</v>
      </c>
      <c r="BR206" s="4504">
        <f t="shared" si="298"/>
        <v>0</v>
      </c>
      <c r="BS206" s="4504">
        <f t="shared" si="299"/>
        <v>0.26540322120982257</v>
      </c>
      <c r="BT206" s="4504">
        <f t="shared" si="300"/>
        <v>0.26540322120982257</v>
      </c>
      <c r="BU206" s="4504">
        <f t="shared" si="301"/>
        <v>0.26540322120982257</v>
      </c>
      <c r="BV206" s="4504">
        <f t="shared" si="302"/>
        <v>0.26540322120982257</v>
      </c>
      <c r="BW206" s="4504">
        <f t="shared" si="303"/>
        <v>0.26540322120982257</v>
      </c>
      <c r="BX206" s="4504">
        <f t="shared" si="304"/>
        <v>0.26540322120982257</v>
      </c>
      <c r="BY206" s="4504">
        <f t="shared" si="305"/>
        <v>0.26540322120982257</v>
      </c>
    </row>
    <row r="207" spans="1:77" s="1323" customFormat="1">
      <c r="A207" s="2611">
        <v>15</v>
      </c>
      <c r="B207" s="2554" t="s">
        <v>701</v>
      </c>
      <c r="C207" s="2555">
        <v>0.02</v>
      </c>
      <c r="D207" s="2584" t="s">
        <v>419</v>
      </c>
      <c r="E207" s="4453">
        <f>+'11.3. ДА Базова година'!H168</f>
        <v>24.800379999999993</v>
      </c>
      <c r="F207" s="2655">
        <f>E207+SUMIF('11.2. ДА за периода'!$B$111:$B$131,$B207,'11.2. ДА за периода'!F$111:F$131)</f>
        <v>24.800379999999993</v>
      </c>
      <c r="G207" s="1136">
        <f>F207+SUMIF('11.2. ДА за периода'!$B$111:$B$131,$B207,'11.2. ДА за периода'!G$111:G$131)</f>
        <v>24.800379999999993</v>
      </c>
      <c r="H207" s="1136">
        <f>G207+SUMIF('11.2. ДА за периода'!$B$111:$B$131,$B207,'11.2. ДА за периода'!H$111:H$131)</f>
        <v>24.800379999999993</v>
      </c>
      <c r="I207" s="1136">
        <f>H207+SUMIF('11.2. ДА за периода'!$B$111:$B$131,$B207,'11.2. ДА за периода'!I$111:I$131)</f>
        <v>24.800379999999993</v>
      </c>
      <c r="J207" s="1136">
        <f>I207+SUMIF('11.2. ДА за периода'!$B$111:$B$131,$B207,'11.2. ДА за периода'!J$111:J$131)</f>
        <v>24.800379999999993</v>
      </c>
      <c r="K207" s="2656">
        <f>J207+SUMIF('11.2. ДА за периода'!$B$111:$B$131,$B207,'11.2. ДА за периода'!K$111:K$131)</f>
        <v>24.800379999999993</v>
      </c>
      <c r="L207" s="4453">
        <f>+'11.3. ДА Базова година'!L168</f>
        <v>0</v>
      </c>
      <c r="M207" s="2655">
        <f>L207+SUMIF('11.2. ДА за периода'!$B$111:$B$131,$B207,'11.2. ДА за периода'!M$111:M$131)</f>
        <v>0</v>
      </c>
      <c r="N207" s="1136">
        <f>M207+SUMIF('11.2. ДА за периода'!$B$111:$B$131,$B207,'11.2. ДА за периода'!N$111:N$131)</f>
        <v>0</v>
      </c>
      <c r="O207" s="1136">
        <f>N207+SUMIF('11.2. ДА за периода'!$B$111:$B$131,$B207,'11.2. ДА за периода'!O$111:O$131)</f>
        <v>0</v>
      </c>
      <c r="P207" s="1136">
        <f>O207+SUMIF('11.2. ДА за периода'!$B$111:$B$131,$B207,'11.2. ДА за периода'!P$111:P$131)</f>
        <v>0</v>
      </c>
      <c r="Q207" s="1136">
        <f>P207+SUMIF('11.2. ДА за периода'!$B$111:$B$131,$B207,'11.2. ДА за периода'!Q$111:Q$131)</f>
        <v>0</v>
      </c>
      <c r="R207" s="2656">
        <f>Q207+SUMIF('11.2. ДА за периода'!$B$111:$B$131,$B207,'11.2. ДА за периода'!R$111:R$131)</f>
        <v>0</v>
      </c>
      <c r="S207" s="4453">
        <f>+'11.3. ДА Базова година'!P168</f>
        <v>0</v>
      </c>
      <c r="T207" s="2655">
        <f>S207+SUMIF('11.2. ДА за периода'!$B$111:$B$131,$B207,'11.2. ДА за периода'!T$111:T$131)</f>
        <v>0</v>
      </c>
      <c r="U207" s="1136">
        <f>T207+SUMIF('11.2. ДА за периода'!$B$111:$B$131,$B207,'11.2. ДА за периода'!U$111:U$131)</f>
        <v>0</v>
      </c>
      <c r="V207" s="1136">
        <f>U207+SUMIF('11.2. ДА за периода'!$B$111:$B$131,$B207,'11.2. ДА за периода'!V$111:V$131)</f>
        <v>0</v>
      </c>
      <c r="W207" s="1136">
        <f>V207+SUMIF('11.2. ДА за периода'!$B$111:$B$131,$B207,'11.2. ДА за периода'!W$111:W$131)</f>
        <v>0</v>
      </c>
      <c r="X207" s="1136">
        <f>W207+SUMIF('11.2. ДА за периода'!$B$111:$B$131,$B207,'11.2. ДА за периода'!X$111:X$131)</f>
        <v>0</v>
      </c>
      <c r="Y207" s="2656">
        <f>X207+SUMIF('11.2. ДА за периода'!$B$111:$B$131,$B207,'11.2. ДА за периода'!Y$111:Y$131)</f>
        <v>0</v>
      </c>
      <c r="Z207" s="4453">
        <f>+'11.3. ДА Базова година'!T168</f>
        <v>0</v>
      </c>
      <c r="AA207" s="2655">
        <f>Z207+SUMIF('11.2. ДА за периода'!$B$111:$B$131,$B207,'11.2. ДА за периода'!AA$111:AA$131)</f>
        <v>0</v>
      </c>
      <c r="AB207" s="1136">
        <f>AA207+SUMIF('11.2. ДА за периода'!$B$111:$B$131,$B207,'11.2. ДА за периода'!AB$111:AB$131)</f>
        <v>0</v>
      </c>
      <c r="AC207" s="1136">
        <f>AB207+SUMIF('11.2. ДА за периода'!$B$111:$B$131,$B207,'11.2. ДА за периода'!AC$111:AC$131)</f>
        <v>0</v>
      </c>
      <c r="AD207" s="1136">
        <f>AC207+SUMIF('11.2. ДА за периода'!$B$111:$B$131,$B207,'11.2. ДА за периода'!AD$111:AD$131)</f>
        <v>0</v>
      </c>
      <c r="AE207" s="1136">
        <f>AD207+SUMIF('11.2. ДА за периода'!$B$111:$B$131,$B207,'11.2. ДА за периода'!AE$111:AE$131)</f>
        <v>0</v>
      </c>
      <c r="AF207" s="2656">
        <f>AE207+SUMIF('11.2. ДА за периода'!$B$111:$B$131,$B207,'11.2. ДА за периода'!AF$111:AF$131)</f>
        <v>0</v>
      </c>
      <c r="AG207" s="4453">
        <f>+'11.3. ДА Базова година'!X168</f>
        <v>0</v>
      </c>
      <c r="AH207" s="2655">
        <f>AG207+SUMIF('11.2. ДА за периода'!$B$111:$B$131,$B207,'11.2. ДА за периода'!AH$111:AH$131)</f>
        <v>0</v>
      </c>
      <c r="AI207" s="1136">
        <f>AH207+SUMIF('11.2. ДА за периода'!$B$111:$B$131,$B207,'11.2. ДА за периода'!AI$111:AI$131)</f>
        <v>0</v>
      </c>
      <c r="AJ207" s="1136">
        <f>AI207+SUMIF('11.2. ДА за периода'!$B$111:$B$131,$B207,'11.2. ДА за периода'!AJ$111:AJ$131)</f>
        <v>0</v>
      </c>
      <c r="AK207" s="1136">
        <f>AJ207+SUMIF('11.2. ДА за периода'!$B$111:$B$131,$B207,'11.2. ДА за периода'!AK$111:AK$131)</f>
        <v>0</v>
      </c>
      <c r="AL207" s="1136">
        <f>AK207+SUMIF('11.2. ДА за периода'!$B$111:$B$131,$B207,'11.2. ДА за периода'!AL$111:AL$131)</f>
        <v>0</v>
      </c>
      <c r="AM207" s="2656">
        <f>AL207+SUMIF('11.2. ДА за периода'!$B$111:$B$131,$B207,'11.2. ДА за периода'!AM$111:AM$131)</f>
        <v>0</v>
      </c>
      <c r="AN207" s="2551"/>
      <c r="AO207" s="2589"/>
      <c r="AP207" s="4488"/>
      <c r="AQ207" s="4504">
        <f t="shared" si="271"/>
        <v>12.68023294458107</v>
      </c>
      <c r="AR207" s="4504">
        <f t="shared" si="272"/>
        <v>12.68023294458107</v>
      </c>
      <c r="AS207" s="4504">
        <f t="shared" si="273"/>
        <v>12.68023294458107</v>
      </c>
      <c r="AT207" s="4504">
        <f t="shared" si="274"/>
        <v>12.68023294458107</v>
      </c>
      <c r="AU207" s="4504">
        <f t="shared" si="275"/>
        <v>12.68023294458107</v>
      </c>
      <c r="AV207" s="4504">
        <f t="shared" si="276"/>
        <v>12.68023294458107</v>
      </c>
      <c r="AW207" s="4504">
        <f t="shared" si="277"/>
        <v>12.68023294458107</v>
      </c>
      <c r="AX207" s="4504">
        <f t="shared" si="278"/>
        <v>0</v>
      </c>
      <c r="AY207" s="4504">
        <f t="shared" si="279"/>
        <v>0</v>
      </c>
      <c r="AZ207" s="4504">
        <f t="shared" si="280"/>
        <v>0</v>
      </c>
      <c r="BA207" s="4504">
        <f t="shared" si="281"/>
        <v>0</v>
      </c>
      <c r="BB207" s="4504">
        <f t="shared" si="282"/>
        <v>0</v>
      </c>
      <c r="BC207" s="4504">
        <f t="shared" si="283"/>
        <v>0</v>
      </c>
      <c r="BD207" s="4504">
        <f t="shared" si="284"/>
        <v>0</v>
      </c>
      <c r="BE207" s="4504">
        <f t="shared" si="285"/>
        <v>0</v>
      </c>
      <c r="BF207" s="4504">
        <f t="shared" si="286"/>
        <v>0</v>
      </c>
      <c r="BG207" s="4504">
        <f t="shared" si="287"/>
        <v>0</v>
      </c>
      <c r="BH207" s="4504">
        <f t="shared" si="288"/>
        <v>0</v>
      </c>
      <c r="BI207" s="4504">
        <f t="shared" si="289"/>
        <v>0</v>
      </c>
      <c r="BJ207" s="4504">
        <f t="shared" si="290"/>
        <v>0</v>
      </c>
      <c r="BK207" s="4504">
        <f t="shared" si="291"/>
        <v>0</v>
      </c>
      <c r="BL207" s="4504">
        <f t="shared" si="292"/>
        <v>0</v>
      </c>
      <c r="BM207" s="4504">
        <f t="shared" si="293"/>
        <v>0</v>
      </c>
      <c r="BN207" s="4504">
        <f t="shared" si="294"/>
        <v>0</v>
      </c>
      <c r="BO207" s="4504">
        <f t="shared" si="295"/>
        <v>0</v>
      </c>
      <c r="BP207" s="4504">
        <f t="shared" si="296"/>
        <v>0</v>
      </c>
      <c r="BQ207" s="4504">
        <f t="shared" si="297"/>
        <v>0</v>
      </c>
      <c r="BR207" s="4504">
        <f t="shared" si="298"/>
        <v>0</v>
      </c>
      <c r="BS207" s="4504">
        <f t="shared" si="299"/>
        <v>0</v>
      </c>
      <c r="BT207" s="4504">
        <f t="shared" si="300"/>
        <v>0</v>
      </c>
      <c r="BU207" s="4504">
        <f t="shared" si="301"/>
        <v>0</v>
      </c>
      <c r="BV207" s="4504">
        <f t="shared" si="302"/>
        <v>0</v>
      </c>
      <c r="BW207" s="4504">
        <f t="shared" si="303"/>
        <v>0</v>
      </c>
      <c r="BX207" s="4504">
        <f t="shared" si="304"/>
        <v>0</v>
      </c>
      <c r="BY207" s="4504">
        <f t="shared" si="305"/>
        <v>0</v>
      </c>
    </row>
    <row r="208" spans="1:77" s="1323" customFormat="1">
      <c r="A208" s="2611">
        <v>16</v>
      </c>
      <c r="B208" s="2554" t="s">
        <v>702</v>
      </c>
      <c r="C208" s="2555">
        <v>0.02</v>
      </c>
      <c r="D208" s="2585" t="s">
        <v>420</v>
      </c>
      <c r="E208" s="4453">
        <f>+'11.3. ДА Базова година'!H169</f>
        <v>53009.501084361364</v>
      </c>
      <c r="F208" s="2655">
        <f>E208+SUMIF('11.2. ДА за периода'!$B$111:$B$131,$B208,'11.2. ДА за периода'!F$111:F$131)</f>
        <v>62448.539929761362</v>
      </c>
      <c r="G208" s="1136">
        <f>F208+SUMIF('11.2. ДА за периода'!$B$111:$B$131,$B208,'11.2. ДА за периода'!G$111:G$131)</f>
        <v>81050.813409761366</v>
      </c>
      <c r="H208" s="1136">
        <f>G208+SUMIF('11.2. ДА за периода'!$B$111:$B$131,$B208,'11.2. ДА за периода'!H$111:H$131)</f>
        <v>87380.99640976137</v>
      </c>
      <c r="I208" s="1136">
        <f>H208+SUMIF('11.2. ДА за периода'!$B$111:$B$131,$B208,'11.2. ДА за периода'!I$111:I$131)</f>
        <v>99244.158299761373</v>
      </c>
      <c r="J208" s="1136">
        <f>I208+SUMIF('11.2. ДА за периода'!$B$111:$B$131,$B208,'11.2. ДА за периода'!J$111:J$131)</f>
        <v>99873.833299761376</v>
      </c>
      <c r="K208" s="2656">
        <f>J208+SUMIF('11.2. ДА за периода'!$B$111:$B$131,$B208,'11.2. ДА за периода'!K$111:K$131)</f>
        <v>123115.81201976138</v>
      </c>
      <c r="L208" s="4453">
        <f>+'11.3. ДА Базова година'!L169</f>
        <v>0</v>
      </c>
      <c r="M208" s="2655">
        <f>L208+SUMIF('11.2. ДА за периода'!$B$111:$B$131,$B208,'11.2. ДА за периода'!M$111:M$131)</f>
        <v>0</v>
      </c>
      <c r="N208" s="1136">
        <f>M208+SUMIF('11.2. ДА за периода'!$B$111:$B$131,$B208,'11.2. ДА за периода'!N$111:N$131)</f>
        <v>0</v>
      </c>
      <c r="O208" s="1136">
        <f>N208+SUMIF('11.2. ДА за периода'!$B$111:$B$131,$B208,'11.2. ДА за периода'!O$111:O$131)</f>
        <v>0</v>
      </c>
      <c r="P208" s="1136">
        <f>O208+SUMIF('11.2. ДА за периода'!$B$111:$B$131,$B208,'11.2. ДА за периода'!P$111:P$131)</f>
        <v>0</v>
      </c>
      <c r="Q208" s="1136">
        <f>P208+SUMIF('11.2. ДА за периода'!$B$111:$B$131,$B208,'11.2. ДА за периода'!Q$111:Q$131)</f>
        <v>0</v>
      </c>
      <c r="R208" s="2656">
        <f>Q208+SUMIF('11.2. ДА за периода'!$B$111:$B$131,$B208,'11.2. ДА за периода'!R$111:R$131)</f>
        <v>0</v>
      </c>
      <c r="S208" s="4453">
        <f>+'11.3. ДА Базова година'!P169</f>
        <v>27.218540000000001</v>
      </c>
      <c r="T208" s="2655">
        <f>S208+SUMIF('11.2. ДА за периода'!$B$111:$B$131,$B208,'11.2. ДА за периода'!T$111:T$131)</f>
        <v>27.218540000000001</v>
      </c>
      <c r="U208" s="1136">
        <f>T208+SUMIF('11.2. ДА за периода'!$B$111:$B$131,$B208,'11.2. ДА за периода'!U$111:U$131)</f>
        <v>27.218540000000001</v>
      </c>
      <c r="V208" s="1136">
        <f>U208+SUMIF('11.2. ДА за периода'!$B$111:$B$131,$B208,'11.2. ДА за периода'!V$111:V$131)</f>
        <v>27.218540000000001</v>
      </c>
      <c r="W208" s="1136">
        <f>V208+SUMIF('11.2. ДА за периода'!$B$111:$B$131,$B208,'11.2. ДА за периода'!W$111:W$131)</f>
        <v>27.218540000000001</v>
      </c>
      <c r="X208" s="1136">
        <f>W208+SUMIF('11.2. ДА за периода'!$B$111:$B$131,$B208,'11.2. ДА за периода'!X$111:X$131)</f>
        <v>27.218540000000001</v>
      </c>
      <c r="Y208" s="2656">
        <f>X208+SUMIF('11.2. ДА за периода'!$B$111:$B$131,$B208,'11.2. ДА за периода'!Y$111:Y$131)</f>
        <v>27.218540000000001</v>
      </c>
      <c r="Z208" s="4453">
        <f>+'11.3. ДА Базова година'!T169</f>
        <v>0</v>
      </c>
      <c r="AA208" s="2655">
        <f>Z208+SUMIF('11.2. ДА за периода'!$B$111:$B$131,$B208,'11.2. ДА за периода'!AA$111:AA$131)</f>
        <v>0</v>
      </c>
      <c r="AB208" s="1136">
        <f>AA208+SUMIF('11.2. ДА за периода'!$B$111:$B$131,$B208,'11.2. ДА за периода'!AB$111:AB$131)</f>
        <v>0</v>
      </c>
      <c r="AC208" s="1136">
        <f>AB208+SUMIF('11.2. ДА за периода'!$B$111:$B$131,$B208,'11.2. ДА за периода'!AC$111:AC$131)</f>
        <v>0</v>
      </c>
      <c r="AD208" s="1136">
        <f>AC208+SUMIF('11.2. ДА за периода'!$B$111:$B$131,$B208,'11.2. ДА за периода'!AD$111:AD$131)</f>
        <v>0</v>
      </c>
      <c r="AE208" s="1136">
        <f>AD208+SUMIF('11.2. ДА за периода'!$B$111:$B$131,$B208,'11.2. ДА за периода'!AE$111:AE$131)</f>
        <v>0</v>
      </c>
      <c r="AF208" s="2656">
        <f>AE208+SUMIF('11.2. ДА за периода'!$B$111:$B$131,$B208,'11.2. ДА за периода'!AF$111:AF$131)</f>
        <v>0</v>
      </c>
      <c r="AG208" s="4453">
        <f>+'11.3. ДА Базова година'!X169</f>
        <v>1551.0185656386111</v>
      </c>
      <c r="AH208" s="2655">
        <f>AG208+SUMIF('11.2. ДА за периода'!$B$111:$B$131,$B208,'11.2. ДА за периода'!AH$111:AH$131)</f>
        <v>1551.0185656386111</v>
      </c>
      <c r="AI208" s="1136">
        <f>AH208+SUMIF('11.2. ДА за периода'!$B$111:$B$131,$B208,'11.2. ДА за периода'!AI$111:AI$131)</f>
        <v>1551.0185656386111</v>
      </c>
      <c r="AJ208" s="1136">
        <f>AI208+SUMIF('11.2. ДА за периода'!$B$111:$B$131,$B208,'11.2. ДА за периода'!AJ$111:AJ$131)</f>
        <v>1551.0185656386111</v>
      </c>
      <c r="AK208" s="1136">
        <f>AJ208+SUMIF('11.2. ДА за периода'!$B$111:$B$131,$B208,'11.2. ДА за периода'!AK$111:AK$131)</f>
        <v>1551.0185656386111</v>
      </c>
      <c r="AL208" s="1136">
        <f>AK208+SUMIF('11.2. ДА за периода'!$B$111:$B$131,$B208,'11.2. ДА за периода'!AL$111:AL$131)</f>
        <v>1551.0185656386111</v>
      </c>
      <c r="AM208" s="2656">
        <f>AL208+SUMIF('11.2. ДА за периода'!$B$111:$B$131,$B208,'11.2. ДА за периода'!AM$111:AM$131)</f>
        <v>1551.0185656386111</v>
      </c>
      <c r="AN208" s="2551"/>
      <c r="AO208" s="2589"/>
      <c r="AP208" s="4488"/>
      <c r="AQ208" s="4504">
        <f t="shared" si="271"/>
        <v>27103.327530696104</v>
      </c>
      <c r="AR208" s="4504">
        <f t="shared" si="272"/>
        <v>31929.431458644853</v>
      </c>
      <c r="AS208" s="4504">
        <f t="shared" si="273"/>
        <v>41440.622860760581</v>
      </c>
      <c r="AT208" s="4504">
        <f t="shared" si="274"/>
        <v>44677.194035146902</v>
      </c>
      <c r="AU208" s="4504">
        <f t="shared" si="275"/>
        <v>50742.732394820297</v>
      </c>
      <c r="AV208" s="4504">
        <f t="shared" si="276"/>
        <v>51064.680110112524</v>
      </c>
      <c r="AW208" s="4504">
        <f t="shared" si="277"/>
        <v>62948.1151325838</v>
      </c>
      <c r="AX208" s="4504">
        <f t="shared" si="278"/>
        <v>0</v>
      </c>
      <c r="AY208" s="4504">
        <f t="shared" si="279"/>
        <v>0</v>
      </c>
      <c r="AZ208" s="4504">
        <f t="shared" si="280"/>
        <v>0</v>
      </c>
      <c r="BA208" s="4504">
        <f t="shared" si="281"/>
        <v>0</v>
      </c>
      <c r="BB208" s="4504">
        <f t="shared" si="282"/>
        <v>0</v>
      </c>
      <c r="BC208" s="4504">
        <f t="shared" si="283"/>
        <v>0</v>
      </c>
      <c r="BD208" s="4504">
        <f t="shared" si="284"/>
        <v>0</v>
      </c>
      <c r="BE208" s="4504">
        <f t="shared" si="285"/>
        <v>13.916618520014522</v>
      </c>
      <c r="BF208" s="4504">
        <f t="shared" si="286"/>
        <v>13.916618520014522</v>
      </c>
      <c r="BG208" s="4504">
        <f t="shared" si="287"/>
        <v>13.916618520014522</v>
      </c>
      <c r="BH208" s="4504">
        <f t="shared" si="288"/>
        <v>13.916618520014522</v>
      </c>
      <c r="BI208" s="4504">
        <f t="shared" si="289"/>
        <v>13.916618520014522</v>
      </c>
      <c r="BJ208" s="4504">
        <f t="shared" si="290"/>
        <v>13.916618520014522</v>
      </c>
      <c r="BK208" s="4504">
        <f t="shared" si="291"/>
        <v>13.916618520014522</v>
      </c>
      <c r="BL208" s="4504">
        <f t="shared" si="292"/>
        <v>0</v>
      </c>
      <c r="BM208" s="4504">
        <f t="shared" si="293"/>
        <v>0</v>
      </c>
      <c r="BN208" s="4504">
        <f t="shared" si="294"/>
        <v>0</v>
      </c>
      <c r="BO208" s="4504">
        <f t="shared" si="295"/>
        <v>0</v>
      </c>
      <c r="BP208" s="4504">
        <f t="shared" si="296"/>
        <v>0</v>
      </c>
      <c r="BQ208" s="4504">
        <f t="shared" si="297"/>
        <v>0</v>
      </c>
      <c r="BR208" s="4504">
        <f t="shared" si="298"/>
        <v>0</v>
      </c>
      <c r="BS208" s="4504">
        <f t="shared" si="299"/>
        <v>793.02320019562592</v>
      </c>
      <c r="BT208" s="4504">
        <f t="shared" si="300"/>
        <v>793.02320019562592</v>
      </c>
      <c r="BU208" s="4504">
        <f t="shared" si="301"/>
        <v>793.02320019562592</v>
      </c>
      <c r="BV208" s="4504">
        <f t="shared" si="302"/>
        <v>793.02320019562592</v>
      </c>
      <c r="BW208" s="4504">
        <f t="shared" si="303"/>
        <v>793.02320019562592</v>
      </c>
      <c r="BX208" s="4504">
        <f t="shared" si="304"/>
        <v>793.02320019562592</v>
      </c>
      <c r="BY208" s="4504">
        <f t="shared" si="305"/>
        <v>793.02320019562592</v>
      </c>
    </row>
    <row r="209" spans="1:77" s="1323" customFormat="1">
      <c r="A209" s="2611">
        <v>17</v>
      </c>
      <c r="B209" s="2554" t="s">
        <v>703</v>
      </c>
      <c r="C209" s="2555">
        <v>0.02</v>
      </c>
      <c r="D209" s="2590" t="s">
        <v>421</v>
      </c>
      <c r="E209" s="4453">
        <f>+'11.3. ДА Базова година'!H170</f>
        <v>0</v>
      </c>
      <c r="F209" s="2655">
        <f>E209+SUMIF('11.2. ДА за периода'!$B$111:$B$131,$B209,'11.2. ДА за периода'!F$111:F$131)</f>
        <v>0</v>
      </c>
      <c r="G209" s="1136">
        <f>F209+SUMIF('11.2. ДА за периода'!$B$111:$B$131,$B209,'11.2. ДА за периода'!G$111:G$131)</f>
        <v>0</v>
      </c>
      <c r="H209" s="1136">
        <f>G209+SUMIF('11.2. ДА за периода'!$B$111:$B$131,$B209,'11.2. ДА за периода'!H$111:H$131)</f>
        <v>0</v>
      </c>
      <c r="I209" s="1136">
        <f>H209+SUMIF('11.2. ДА за периода'!$B$111:$B$131,$B209,'11.2. ДА за периода'!I$111:I$131)</f>
        <v>0</v>
      </c>
      <c r="J209" s="1136">
        <f>I209+SUMIF('11.2. ДА за периода'!$B$111:$B$131,$B209,'11.2. ДА за периода'!J$111:J$131)</f>
        <v>0</v>
      </c>
      <c r="K209" s="2656">
        <f>J209+SUMIF('11.2. ДА за периода'!$B$111:$B$131,$B209,'11.2. ДА за периода'!K$111:K$131)</f>
        <v>0</v>
      </c>
      <c r="L209" s="4453">
        <f>+'11.3. ДА Базова година'!L170</f>
        <v>41857.984590000029</v>
      </c>
      <c r="M209" s="2655">
        <f>L209+SUMIF('11.2. ДА за периода'!$B$111:$B$131,$B209,'11.2. ДА за периода'!M$111:M$131)</f>
        <v>42331.928570000033</v>
      </c>
      <c r="N209" s="1136">
        <f>M209+SUMIF('11.2. ДА за периода'!$B$111:$B$131,$B209,'11.2. ДА за периода'!N$111:N$131)</f>
        <v>42331.928570000033</v>
      </c>
      <c r="O209" s="1136">
        <f>N209+SUMIF('11.2. ДА за периода'!$B$111:$B$131,$B209,'11.2. ДА за периода'!O$111:O$131)</f>
        <v>42331.928570000033</v>
      </c>
      <c r="P209" s="1136">
        <f>O209+SUMIF('11.2. ДА за периода'!$B$111:$B$131,$B209,'11.2. ДА за периода'!P$111:P$131)</f>
        <v>42331.928570000033</v>
      </c>
      <c r="Q209" s="1136">
        <f>P209+SUMIF('11.2. ДА за периода'!$B$111:$B$131,$B209,'11.2. ДА за периода'!Q$111:Q$131)</f>
        <v>42331.928570000033</v>
      </c>
      <c r="R209" s="2656">
        <f>Q209+SUMIF('11.2. ДА за периода'!$B$111:$B$131,$B209,'11.2. ДА за периода'!R$111:R$131)</f>
        <v>42331.928570000033</v>
      </c>
      <c r="S209" s="4453">
        <f>+'11.3. ДА Базова година'!P170</f>
        <v>8.508659999999999</v>
      </c>
      <c r="T209" s="2655">
        <f>S209+SUMIF('11.2. ДА за периода'!$B$111:$B$131,$B209,'11.2. ДА за периода'!T$111:T$131)</f>
        <v>8.508659999999999</v>
      </c>
      <c r="U209" s="1136">
        <f>T209+SUMIF('11.2. ДА за периода'!$B$111:$B$131,$B209,'11.2. ДА за периода'!U$111:U$131)</f>
        <v>8.508659999999999</v>
      </c>
      <c r="V209" s="1136">
        <f>U209+SUMIF('11.2. ДА за периода'!$B$111:$B$131,$B209,'11.2. ДА за периода'!V$111:V$131)</f>
        <v>8.508659999999999</v>
      </c>
      <c r="W209" s="1136">
        <f>V209+SUMIF('11.2. ДА за периода'!$B$111:$B$131,$B209,'11.2. ДА за периода'!W$111:W$131)</f>
        <v>8.508659999999999</v>
      </c>
      <c r="X209" s="1136">
        <f>W209+SUMIF('11.2. ДА за периода'!$B$111:$B$131,$B209,'11.2. ДА за периода'!X$111:X$131)</f>
        <v>8.508659999999999</v>
      </c>
      <c r="Y209" s="2656">
        <f>X209+SUMIF('11.2. ДА за периода'!$B$111:$B$131,$B209,'11.2. ДА за периода'!Y$111:Y$131)</f>
        <v>8.508659999999999</v>
      </c>
      <c r="Z209" s="4453">
        <f>+'11.3. ДА Базова година'!T170</f>
        <v>0</v>
      </c>
      <c r="AA209" s="2655">
        <f>Z209+SUMIF('11.2. ДА за периода'!$B$111:$B$131,$B209,'11.2. ДА за периода'!AA$111:AA$131)</f>
        <v>0</v>
      </c>
      <c r="AB209" s="1136">
        <f>AA209+SUMIF('11.2. ДА за периода'!$B$111:$B$131,$B209,'11.2. ДА за периода'!AB$111:AB$131)</f>
        <v>0</v>
      </c>
      <c r="AC209" s="1136">
        <f>AB209+SUMIF('11.2. ДА за периода'!$B$111:$B$131,$B209,'11.2. ДА за периода'!AC$111:AC$131)</f>
        <v>0</v>
      </c>
      <c r="AD209" s="1136">
        <f>AC209+SUMIF('11.2. ДА за периода'!$B$111:$B$131,$B209,'11.2. ДА за периода'!AD$111:AD$131)</f>
        <v>0</v>
      </c>
      <c r="AE209" s="1136">
        <f>AD209+SUMIF('11.2. ДА за периода'!$B$111:$B$131,$B209,'11.2. ДА за периода'!AE$111:AE$131)</f>
        <v>0</v>
      </c>
      <c r="AF209" s="2656">
        <f>AE209+SUMIF('11.2. ДА за периода'!$B$111:$B$131,$B209,'11.2. ДА за периода'!AF$111:AF$131)</f>
        <v>0</v>
      </c>
      <c r="AG209" s="4453">
        <f>+'11.3. ДА Базова година'!X170</f>
        <v>0</v>
      </c>
      <c r="AH209" s="2655">
        <f>AG209+SUMIF('11.2. ДА за периода'!$B$111:$B$131,$B209,'11.2. ДА за периода'!AH$111:AH$131)</f>
        <v>0</v>
      </c>
      <c r="AI209" s="1136">
        <f>AH209+SUMIF('11.2. ДА за периода'!$B$111:$B$131,$B209,'11.2. ДА за периода'!AI$111:AI$131)</f>
        <v>0</v>
      </c>
      <c r="AJ209" s="1136">
        <f>AI209+SUMIF('11.2. ДА за периода'!$B$111:$B$131,$B209,'11.2. ДА за периода'!AJ$111:AJ$131)</f>
        <v>0</v>
      </c>
      <c r="AK209" s="1136">
        <f>AJ209+SUMIF('11.2. ДА за периода'!$B$111:$B$131,$B209,'11.2. ДА за периода'!AK$111:AK$131)</f>
        <v>0</v>
      </c>
      <c r="AL209" s="1136">
        <f>AK209+SUMIF('11.2. ДА за периода'!$B$111:$B$131,$B209,'11.2. ДА за периода'!AL$111:AL$131)</f>
        <v>0</v>
      </c>
      <c r="AM209" s="2656">
        <f>AL209+SUMIF('11.2. ДА за периода'!$B$111:$B$131,$B209,'11.2. ДА за периода'!AM$111:AM$131)</f>
        <v>0</v>
      </c>
      <c r="AN209" s="2551"/>
      <c r="AO209" s="2589"/>
      <c r="AP209" s="4488"/>
      <c r="AQ209" s="4504">
        <f t="shared" si="271"/>
        <v>0</v>
      </c>
      <c r="AR209" s="4504">
        <f t="shared" si="272"/>
        <v>0</v>
      </c>
      <c r="AS209" s="4504">
        <f t="shared" si="273"/>
        <v>0</v>
      </c>
      <c r="AT209" s="4504">
        <f t="shared" si="274"/>
        <v>0</v>
      </c>
      <c r="AU209" s="4504">
        <f t="shared" si="275"/>
        <v>0</v>
      </c>
      <c r="AV209" s="4504">
        <f t="shared" si="276"/>
        <v>0</v>
      </c>
      <c r="AW209" s="4504">
        <f t="shared" si="277"/>
        <v>0</v>
      </c>
      <c r="AX209" s="4504">
        <f t="shared" si="278"/>
        <v>21401.647684103438</v>
      </c>
      <c r="AY209" s="4504">
        <f t="shared" si="279"/>
        <v>21643.971393219264</v>
      </c>
      <c r="AZ209" s="4504">
        <f t="shared" si="280"/>
        <v>21643.971393219264</v>
      </c>
      <c r="BA209" s="4504">
        <f t="shared" si="281"/>
        <v>21643.971393219264</v>
      </c>
      <c r="BB209" s="4504">
        <f t="shared" si="282"/>
        <v>21643.971393219264</v>
      </c>
      <c r="BC209" s="4504">
        <f t="shared" si="283"/>
        <v>21643.971393219264</v>
      </c>
      <c r="BD209" s="4504">
        <f t="shared" si="284"/>
        <v>21643.971393219264</v>
      </c>
      <c r="BE209" s="4504">
        <f t="shared" si="285"/>
        <v>4.3504087778590161</v>
      </c>
      <c r="BF209" s="4504">
        <f t="shared" si="286"/>
        <v>4.3504087778590161</v>
      </c>
      <c r="BG209" s="4504">
        <f t="shared" si="287"/>
        <v>4.3504087778590161</v>
      </c>
      <c r="BH209" s="4504">
        <f t="shared" si="288"/>
        <v>4.3504087778590161</v>
      </c>
      <c r="BI209" s="4504">
        <f t="shared" si="289"/>
        <v>4.3504087778590161</v>
      </c>
      <c r="BJ209" s="4504">
        <f t="shared" si="290"/>
        <v>4.3504087778590161</v>
      </c>
      <c r="BK209" s="4504">
        <f t="shared" si="291"/>
        <v>4.3504087778590161</v>
      </c>
      <c r="BL209" s="4504">
        <f t="shared" si="292"/>
        <v>0</v>
      </c>
      <c r="BM209" s="4504">
        <f t="shared" si="293"/>
        <v>0</v>
      </c>
      <c r="BN209" s="4504">
        <f t="shared" si="294"/>
        <v>0</v>
      </c>
      <c r="BO209" s="4504">
        <f t="shared" si="295"/>
        <v>0</v>
      </c>
      <c r="BP209" s="4504">
        <f t="shared" si="296"/>
        <v>0</v>
      </c>
      <c r="BQ209" s="4504">
        <f t="shared" si="297"/>
        <v>0</v>
      </c>
      <c r="BR209" s="4504">
        <f t="shared" si="298"/>
        <v>0</v>
      </c>
      <c r="BS209" s="4504">
        <f t="shared" si="299"/>
        <v>0</v>
      </c>
      <c r="BT209" s="4504">
        <f t="shared" si="300"/>
        <v>0</v>
      </c>
      <c r="BU209" s="4504">
        <f t="shared" si="301"/>
        <v>0</v>
      </c>
      <c r="BV209" s="4504">
        <f t="shared" si="302"/>
        <v>0</v>
      </c>
      <c r="BW209" s="4504">
        <f t="shared" si="303"/>
        <v>0</v>
      </c>
      <c r="BX209" s="4504">
        <f t="shared" si="304"/>
        <v>0</v>
      </c>
      <c r="BY209" s="4504">
        <f t="shared" si="305"/>
        <v>0</v>
      </c>
    </row>
    <row r="210" spans="1:77" s="1323" customFormat="1" ht="24">
      <c r="A210" s="2611">
        <v>18</v>
      </c>
      <c r="B210" s="2554" t="s">
        <v>704</v>
      </c>
      <c r="C210" s="2555">
        <v>0.04</v>
      </c>
      <c r="D210" s="2590" t="s">
        <v>422</v>
      </c>
      <c r="E210" s="4453">
        <f>+'11.3. ДА Базова година'!H171</f>
        <v>431.05015999999995</v>
      </c>
      <c r="F210" s="2655">
        <f>E210+SUMIF('11.2. ДА за периода'!$B$111:$B$131,$B210,'11.2. ДА за периода'!F$111:F$131)</f>
        <v>431.05015999999995</v>
      </c>
      <c r="G210" s="1136">
        <f>F210+SUMIF('11.2. ДА за периода'!$B$111:$B$131,$B210,'11.2. ДА за периода'!G$111:G$131)</f>
        <v>431.05015999999995</v>
      </c>
      <c r="H210" s="1136">
        <f>G210+SUMIF('11.2. ДА за периода'!$B$111:$B$131,$B210,'11.2. ДА за периода'!H$111:H$131)</f>
        <v>431.05015999999995</v>
      </c>
      <c r="I210" s="1136">
        <f>H210+SUMIF('11.2. ДА за периода'!$B$111:$B$131,$B210,'11.2. ДА за периода'!I$111:I$131)</f>
        <v>431.05015999999995</v>
      </c>
      <c r="J210" s="1136">
        <f>I210+SUMIF('11.2. ДА за периода'!$B$111:$B$131,$B210,'11.2. ДА за периода'!J$111:J$131)</f>
        <v>431.05015999999995</v>
      </c>
      <c r="K210" s="2656">
        <f>J210+SUMIF('11.2. ДА за периода'!$B$111:$B$131,$B210,'11.2. ДА за периода'!K$111:K$131)</f>
        <v>431.05015999999995</v>
      </c>
      <c r="L210" s="4453">
        <f>+'11.3. ДА Базова година'!L171</f>
        <v>54.044400000000003</v>
      </c>
      <c r="M210" s="2655">
        <f>L210+SUMIF('11.2. ДА за периода'!$B$111:$B$131,$B210,'11.2. ДА за периода'!M$111:M$131)</f>
        <v>54.044400000000003</v>
      </c>
      <c r="N210" s="1136">
        <f>M210+SUMIF('11.2. ДА за периода'!$B$111:$B$131,$B210,'11.2. ДА за периода'!N$111:N$131)</f>
        <v>54.044400000000003</v>
      </c>
      <c r="O210" s="1136">
        <f>N210+SUMIF('11.2. ДА за периода'!$B$111:$B$131,$B210,'11.2. ДА за периода'!O$111:O$131)</f>
        <v>54.044400000000003</v>
      </c>
      <c r="P210" s="1136">
        <f>O210+SUMIF('11.2. ДА за периода'!$B$111:$B$131,$B210,'11.2. ДА за периода'!P$111:P$131)</f>
        <v>54.044400000000003</v>
      </c>
      <c r="Q210" s="1136">
        <f>P210+SUMIF('11.2. ДА за периода'!$B$111:$B$131,$B210,'11.2. ДА за периода'!Q$111:Q$131)</f>
        <v>54.044400000000003</v>
      </c>
      <c r="R210" s="2656">
        <f>Q210+SUMIF('11.2. ДА за периода'!$B$111:$B$131,$B210,'11.2. ДА за периода'!R$111:R$131)</f>
        <v>54.044400000000003</v>
      </c>
      <c r="S210" s="4453">
        <f>+'11.3. ДА Базова година'!P171</f>
        <v>15043.104059999998</v>
      </c>
      <c r="T210" s="2655">
        <f>S210+SUMIF('11.2. ДА за периода'!$B$111:$B$131,$B210,'11.2. ДА за периода'!T$111:T$131)</f>
        <v>20443.104059999998</v>
      </c>
      <c r="U210" s="1136">
        <f>T210+SUMIF('11.2. ДА за периода'!$B$111:$B$131,$B210,'11.2. ДА за периода'!U$111:U$131)</f>
        <v>20443.104059999998</v>
      </c>
      <c r="V210" s="1136">
        <f>U210+SUMIF('11.2. ДА за периода'!$B$111:$B$131,$B210,'11.2. ДА за периода'!V$111:V$131)</f>
        <v>20443.104059999998</v>
      </c>
      <c r="W210" s="1136">
        <f>V210+SUMIF('11.2. ДА за периода'!$B$111:$B$131,$B210,'11.2. ДА за периода'!W$111:W$131)</f>
        <v>20443.104059999998</v>
      </c>
      <c r="X210" s="1136">
        <f>W210+SUMIF('11.2. ДА за периода'!$B$111:$B$131,$B210,'11.2. ДА за периода'!X$111:X$131)</f>
        <v>20443.104059999998</v>
      </c>
      <c r="Y210" s="2656">
        <f>X210+SUMIF('11.2. ДА за периода'!$B$111:$B$131,$B210,'11.2. ДА за периода'!Y$111:Y$131)</f>
        <v>20443.104059999998</v>
      </c>
      <c r="Z210" s="4453">
        <f>+'11.3. ДА Базова година'!T171</f>
        <v>0</v>
      </c>
      <c r="AA210" s="2655">
        <f>Z210+SUMIF('11.2. ДА за периода'!$B$111:$B$131,$B210,'11.2. ДА за периода'!AA$111:AA$131)</f>
        <v>0</v>
      </c>
      <c r="AB210" s="1136">
        <f>AA210+SUMIF('11.2. ДА за периода'!$B$111:$B$131,$B210,'11.2. ДА за периода'!AB$111:AB$131)</f>
        <v>0</v>
      </c>
      <c r="AC210" s="1136">
        <f>AB210+SUMIF('11.2. ДА за периода'!$B$111:$B$131,$B210,'11.2. ДА за периода'!AC$111:AC$131)</f>
        <v>0</v>
      </c>
      <c r="AD210" s="1136">
        <f>AC210+SUMIF('11.2. ДА за периода'!$B$111:$B$131,$B210,'11.2. ДА за периода'!AD$111:AD$131)</f>
        <v>0</v>
      </c>
      <c r="AE210" s="1136">
        <f>AD210+SUMIF('11.2. ДА за периода'!$B$111:$B$131,$B210,'11.2. ДА за периода'!AE$111:AE$131)</f>
        <v>0</v>
      </c>
      <c r="AF210" s="2656">
        <f>AE210+SUMIF('11.2. ДА за периода'!$B$111:$B$131,$B210,'11.2. ДА за периода'!AF$111:AF$131)</f>
        <v>0</v>
      </c>
      <c r="AG210" s="4453">
        <f>+'11.3. ДА Базова година'!X171</f>
        <v>0</v>
      </c>
      <c r="AH210" s="2655">
        <f>AG210+SUMIF('11.2. ДА за периода'!$B$111:$B$131,$B210,'11.2. ДА за периода'!AH$111:AH$131)</f>
        <v>0</v>
      </c>
      <c r="AI210" s="1136">
        <f>AH210+SUMIF('11.2. ДА за периода'!$B$111:$B$131,$B210,'11.2. ДА за периода'!AI$111:AI$131)</f>
        <v>0</v>
      </c>
      <c r="AJ210" s="1136">
        <f>AI210+SUMIF('11.2. ДА за периода'!$B$111:$B$131,$B210,'11.2. ДА за периода'!AJ$111:AJ$131)</f>
        <v>0</v>
      </c>
      <c r="AK210" s="1136">
        <f>AJ210+SUMIF('11.2. ДА за периода'!$B$111:$B$131,$B210,'11.2. ДА за периода'!AK$111:AK$131)</f>
        <v>0</v>
      </c>
      <c r="AL210" s="1136">
        <f>AK210+SUMIF('11.2. ДА за периода'!$B$111:$B$131,$B210,'11.2. ДА за периода'!AL$111:AL$131)</f>
        <v>0</v>
      </c>
      <c r="AM210" s="2656">
        <f>AL210+SUMIF('11.2. ДА за периода'!$B$111:$B$131,$B210,'11.2. ДА за периода'!AM$111:AM$131)</f>
        <v>0</v>
      </c>
      <c r="AN210" s="2551"/>
      <c r="AO210" s="2589"/>
      <c r="AP210" s="4488"/>
      <c r="AQ210" s="4504">
        <f t="shared" si="271"/>
        <v>220.39244719633095</v>
      </c>
      <c r="AR210" s="4504">
        <f t="shared" si="272"/>
        <v>220.39244719633095</v>
      </c>
      <c r="AS210" s="4504">
        <f t="shared" si="273"/>
        <v>220.39244719633095</v>
      </c>
      <c r="AT210" s="4504">
        <f t="shared" si="274"/>
        <v>220.39244719633095</v>
      </c>
      <c r="AU210" s="4504">
        <f t="shared" si="275"/>
        <v>220.39244719633095</v>
      </c>
      <c r="AV210" s="4504">
        <f t="shared" si="276"/>
        <v>220.39244719633095</v>
      </c>
      <c r="AW210" s="4504">
        <f t="shared" si="277"/>
        <v>220.39244719633095</v>
      </c>
      <c r="AX210" s="4504">
        <f t="shared" si="278"/>
        <v>27.632462944120913</v>
      </c>
      <c r="AY210" s="4504">
        <f t="shared" si="279"/>
        <v>27.632462944120913</v>
      </c>
      <c r="AZ210" s="4504">
        <f t="shared" si="280"/>
        <v>27.632462944120913</v>
      </c>
      <c r="BA210" s="4504">
        <f t="shared" si="281"/>
        <v>27.632462944120913</v>
      </c>
      <c r="BB210" s="4504">
        <f t="shared" si="282"/>
        <v>27.632462944120913</v>
      </c>
      <c r="BC210" s="4504">
        <f t="shared" si="283"/>
        <v>27.632462944120913</v>
      </c>
      <c r="BD210" s="4504">
        <f t="shared" si="284"/>
        <v>27.632462944120913</v>
      </c>
      <c r="BE210" s="4504">
        <f t="shared" si="285"/>
        <v>7691.4169738678711</v>
      </c>
      <c r="BF210" s="4504">
        <f t="shared" si="286"/>
        <v>10452.39313232745</v>
      </c>
      <c r="BG210" s="4504">
        <f t="shared" si="287"/>
        <v>10452.39313232745</v>
      </c>
      <c r="BH210" s="4504">
        <f t="shared" si="288"/>
        <v>10452.39313232745</v>
      </c>
      <c r="BI210" s="4504">
        <f t="shared" si="289"/>
        <v>10452.39313232745</v>
      </c>
      <c r="BJ210" s="4504">
        <f t="shared" si="290"/>
        <v>10452.39313232745</v>
      </c>
      <c r="BK210" s="4504">
        <f t="shared" si="291"/>
        <v>10452.39313232745</v>
      </c>
      <c r="BL210" s="4504">
        <f t="shared" si="292"/>
        <v>0</v>
      </c>
      <c r="BM210" s="4504">
        <f t="shared" si="293"/>
        <v>0</v>
      </c>
      <c r="BN210" s="4504">
        <f t="shared" si="294"/>
        <v>0</v>
      </c>
      <c r="BO210" s="4504">
        <f t="shared" si="295"/>
        <v>0</v>
      </c>
      <c r="BP210" s="4504">
        <f t="shared" si="296"/>
        <v>0</v>
      </c>
      <c r="BQ210" s="4504">
        <f t="shared" si="297"/>
        <v>0</v>
      </c>
      <c r="BR210" s="4504">
        <f t="shared" si="298"/>
        <v>0</v>
      </c>
      <c r="BS210" s="4504">
        <f t="shared" si="299"/>
        <v>0</v>
      </c>
      <c r="BT210" s="4504">
        <f t="shared" si="300"/>
        <v>0</v>
      </c>
      <c r="BU210" s="4504">
        <f t="shared" si="301"/>
        <v>0</v>
      </c>
      <c r="BV210" s="4504">
        <f t="shared" si="302"/>
        <v>0</v>
      </c>
      <c r="BW210" s="4504">
        <f t="shared" si="303"/>
        <v>0</v>
      </c>
      <c r="BX210" s="4504">
        <f t="shared" si="304"/>
        <v>0</v>
      </c>
      <c r="BY210" s="4504">
        <f t="shared" si="305"/>
        <v>0</v>
      </c>
    </row>
    <row r="211" spans="1:77" s="1323" customFormat="1">
      <c r="A211" s="2611">
        <v>19</v>
      </c>
      <c r="B211" s="2554" t="s">
        <v>705</v>
      </c>
      <c r="C211" s="2555">
        <v>0.04</v>
      </c>
      <c r="D211" s="2590" t="s">
        <v>423</v>
      </c>
      <c r="E211" s="4453">
        <f>+'11.3. ДА Базова година'!H172</f>
        <v>12.412022127706551</v>
      </c>
      <c r="F211" s="2655">
        <f>E211+SUMIF('11.2. ДА за периода'!$B$111:$B$131,$B211,'11.2. ДА за периода'!F$111:F$131)</f>
        <v>12.412022127706551</v>
      </c>
      <c r="G211" s="1136">
        <f>F211+SUMIF('11.2. ДА за периода'!$B$111:$B$131,$B211,'11.2. ДА за периода'!G$111:G$131)</f>
        <v>12.412022127706551</v>
      </c>
      <c r="H211" s="1136">
        <f>G211+SUMIF('11.2. ДА за периода'!$B$111:$B$131,$B211,'11.2. ДА за периода'!H$111:H$131)</f>
        <v>12.412022127706551</v>
      </c>
      <c r="I211" s="1136">
        <f>H211+SUMIF('11.2. ДА за периода'!$B$111:$B$131,$B211,'11.2. ДА за периода'!I$111:I$131)</f>
        <v>12.412022127706551</v>
      </c>
      <c r="J211" s="1136">
        <f>I211+SUMIF('11.2. ДА за периода'!$B$111:$B$131,$B211,'11.2. ДА за периода'!J$111:J$131)</f>
        <v>12.412022127706551</v>
      </c>
      <c r="K211" s="2656">
        <f>J211+SUMIF('11.2. ДА за периода'!$B$111:$B$131,$B211,'11.2. ДА за периода'!K$111:K$131)</f>
        <v>12.412022127706551</v>
      </c>
      <c r="L211" s="4453">
        <f>+'11.3. ДА Базова година'!L172</f>
        <v>0</v>
      </c>
      <c r="M211" s="2655">
        <f>L211+SUMIF('11.2. ДА за периода'!$B$111:$B$131,$B211,'11.2. ДА за периода'!M$111:M$131)</f>
        <v>0</v>
      </c>
      <c r="N211" s="1136">
        <f>M211+SUMIF('11.2. ДА за периода'!$B$111:$B$131,$B211,'11.2. ДА за периода'!N$111:N$131)</f>
        <v>0</v>
      </c>
      <c r="O211" s="1136">
        <f>N211+SUMIF('11.2. ДА за периода'!$B$111:$B$131,$B211,'11.2. ДА за периода'!O$111:O$131)</f>
        <v>0</v>
      </c>
      <c r="P211" s="1136">
        <f>O211+SUMIF('11.2. ДА за периода'!$B$111:$B$131,$B211,'11.2. ДА за периода'!P$111:P$131)</f>
        <v>0</v>
      </c>
      <c r="Q211" s="1136">
        <f>P211+SUMIF('11.2. ДА за периода'!$B$111:$B$131,$B211,'11.2. ДА за периода'!Q$111:Q$131)</f>
        <v>0</v>
      </c>
      <c r="R211" s="2656">
        <f>Q211+SUMIF('11.2. ДА за периода'!$B$111:$B$131,$B211,'11.2. ДА за периода'!R$111:R$131)</f>
        <v>0</v>
      </c>
      <c r="S211" s="4453">
        <f>+'11.3. ДА Базова година'!P172</f>
        <v>0</v>
      </c>
      <c r="T211" s="2655">
        <f>S211+SUMIF('11.2. ДА за периода'!$B$111:$B$131,$B211,'11.2. ДА за периода'!T$111:T$131)</f>
        <v>0</v>
      </c>
      <c r="U211" s="1136">
        <f>T211+SUMIF('11.2. ДА за периода'!$B$111:$B$131,$B211,'11.2. ДА за периода'!U$111:U$131)</f>
        <v>0</v>
      </c>
      <c r="V211" s="1136">
        <f>U211+SUMIF('11.2. ДА за периода'!$B$111:$B$131,$B211,'11.2. ДА за периода'!V$111:V$131)</f>
        <v>0</v>
      </c>
      <c r="W211" s="1136">
        <f>V211+SUMIF('11.2. ДА за периода'!$B$111:$B$131,$B211,'11.2. ДА за периода'!W$111:W$131)</f>
        <v>0</v>
      </c>
      <c r="X211" s="1136">
        <f>W211+SUMIF('11.2. ДА за периода'!$B$111:$B$131,$B211,'11.2. ДА за периода'!X$111:X$131)</f>
        <v>0</v>
      </c>
      <c r="Y211" s="2656">
        <f>X211+SUMIF('11.2. ДА за периода'!$B$111:$B$131,$B211,'11.2. ДА за периода'!Y$111:Y$131)</f>
        <v>0</v>
      </c>
      <c r="Z211" s="4453">
        <f>+'11.3. ДА Базова година'!T172</f>
        <v>0</v>
      </c>
      <c r="AA211" s="2655">
        <f>Z211+SUMIF('11.2. ДА за периода'!$B$111:$B$131,$B211,'11.2. ДА за периода'!AA$111:AA$131)</f>
        <v>0</v>
      </c>
      <c r="AB211" s="1136">
        <f>AA211+SUMIF('11.2. ДА за периода'!$B$111:$B$131,$B211,'11.2. ДА за периода'!AB$111:AB$131)</f>
        <v>0</v>
      </c>
      <c r="AC211" s="1136">
        <f>AB211+SUMIF('11.2. ДА за периода'!$B$111:$B$131,$B211,'11.2. ДА за периода'!AC$111:AC$131)</f>
        <v>0</v>
      </c>
      <c r="AD211" s="1136">
        <f>AC211+SUMIF('11.2. ДА за периода'!$B$111:$B$131,$B211,'11.2. ДА за периода'!AD$111:AD$131)</f>
        <v>0</v>
      </c>
      <c r="AE211" s="1136">
        <f>AD211+SUMIF('11.2. ДА за периода'!$B$111:$B$131,$B211,'11.2. ДА за периода'!AE$111:AE$131)</f>
        <v>0</v>
      </c>
      <c r="AF211" s="2656">
        <f>AE211+SUMIF('11.2. ДА за периода'!$B$111:$B$131,$B211,'11.2. ДА за периода'!AF$111:AF$131)</f>
        <v>0</v>
      </c>
      <c r="AG211" s="4453">
        <f>+'11.3. ДА Базова година'!X172</f>
        <v>37.830407872293449</v>
      </c>
      <c r="AH211" s="2655">
        <f>AG211+SUMIF('11.2. ДА за периода'!$B$111:$B$131,$B211,'11.2. ДА за периода'!AH$111:AH$131)</f>
        <v>37.830407872293449</v>
      </c>
      <c r="AI211" s="1136">
        <f>AH211+SUMIF('11.2. ДА за периода'!$B$111:$B$131,$B211,'11.2. ДА за периода'!AI$111:AI$131)</f>
        <v>37.830407872293449</v>
      </c>
      <c r="AJ211" s="1136">
        <f>AI211+SUMIF('11.2. ДА за периода'!$B$111:$B$131,$B211,'11.2. ДА за периода'!AJ$111:AJ$131)</f>
        <v>37.830407872293449</v>
      </c>
      <c r="AK211" s="1136">
        <f>AJ211+SUMIF('11.2. ДА за периода'!$B$111:$B$131,$B211,'11.2. ДА за периода'!AK$111:AK$131)</f>
        <v>37.830407872293449</v>
      </c>
      <c r="AL211" s="1136">
        <f>AK211+SUMIF('11.2. ДА за периода'!$B$111:$B$131,$B211,'11.2. ДА за периода'!AL$111:AL$131)</f>
        <v>37.830407872293449</v>
      </c>
      <c r="AM211" s="2656">
        <f>AL211+SUMIF('11.2. ДА за периода'!$B$111:$B$131,$B211,'11.2. ДА за периода'!AM$111:AM$131)</f>
        <v>37.830407872293449</v>
      </c>
      <c r="AN211" s="2551"/>
      <c r="AO211" s="2589"/>
      <c r="AP211" s="4488"/>
      <c r="AQ211" s="4504">
        <f t="shared" si="271"/>
        <v>6.3461661431241732</v>
      </c>
      <c r="AR211" s="4504">
        <f t="shared" si="272"/>
        <v>6.3461661431241732</v>
      </c>
      <c r="AS211" s="4504">
        <f t="shared" si="273"/>
        <v>6.3461661431241732</v>
      </c>
      <c r="AT211" s="4504">
        <f t="shared" si="274"/>
        <v>6.3461661431241732</v>
      </c>
      <c r="AU211" s="4504">
        <f t="shared" si="275"/>
        <v>6.3461661431241732</v>
      </c>
      <c r="AV211" s="4504">
        <f t="shared" si="276"/>
        <v>6.3461661431241732</v>
      </c>
      <c r="AW211" s="4504">
        <f t="shared" si="277"/>
        <v>6.3461661431241732</v>
      </c>
      <c r="AX211" s="4504">
        <f t="shared" si="278"/>
        <v>0</v>
      </c>
      <c r="AY211" s="4504">
        <f t="shared" si="279"/>
        <v>0</v>
      </c>
      <c r="AZ211" s="4504">
        <f t="shared" si="280"/>
        <v>0</v>
      </c>
      <c r="BA211" s="4504">
        <f t="shared" si="281"/>
        <v>0</v>
      </c>
      <c r="BB211" s="4504">
        <f t="shared" si="282"/>
        <v>0</v>
      </c>
      <c r="BC211" s="4504">
        <f t="shared" si="283"/>
        <v>0</v>
      </c>
      <c r="BD211" s="4504">
        <f t="shared" si="284"/>
        <v>0</v>
      </c>
      <c r="BE211" s="4504">
        <f t="shared" si="285"/>
        <v>0</v>
      </c>
      <c r="BF211" s="4504">
        <f t="shared" si="286"/>
        <v>0</v>
      </c>
      <c r="BG211" s="4504">
        <f t="shared" si="287"/>
        <v>0</v>
      </c>
      <c r="BH211" s="4504">
        <f t="shared" si="288"/>
        <v>0</v>
      </c>
      <c r="BI211" s="4504">
        <f t="shared" si="289"/>
        <v>0</v>
      </c>
      <c r="BJ211" s="4504">
        <f t="shared" si="290"/>
        <v>0</v>
      </c>
      <c r="BK211" s="4504">
        <f t="shared" si="291"/>
        <v>0</v>
      </c>
      <c r="BL211" s="4504">
        <f t="shared" si="292"/>
        <v>0</v>
      </c>
      <c r="BM211" s="4504">
        <f t="shared" si="293"/>
        <v>0</v>
      </c>
      <c r="BN211" s="4504">
        <f t="shared" si="294"/>
        <v>0</v>
      </c>
      <c r="BO211" s="4504">
        <f t="shared" si="295"/>
        <v>0</v>
      </c>
      <c r="BP211" s="4504">
        <f t="shared" si="296"/>
        <v>0</v>
      </c>
      <c r="BQ211" s="4504">
        <f t="shared" si="297"/>
        <v>0</v>
      </c>
      <c r="BR211" s="4504">
        <f t="shared" si="298"/>
        <v>0</v>
      </c>
      <c r="BS211" s="4504">
        <f t="shared" si="299"/>
        <v>19.342380407445152</v>
      </c>
      <c r="BT211" s="4504">
        <f t="shared" si="300"/>
        <v>19.342380407445152</v>
      </c>
      <c r="BU211" s="4504">
        <f t="shared" si="301"/>
        <v>19.342380407445152</v>
      </c>
      <c r="BV211" s="4504">
        <f t="shared" si="302"/>
        <v>19.342380407445152</v>
      </c>
      <c r="BW211" s="4504">
        <f t="shared" si="303"/>
        <v>19.342380407445152</v>
      </c>
      <c r="BX211" s="4504">
        <f t="shared" si="304"/>
        <v>19.342380407445152</v>
      </c>
      <c r="BY211" s="4504">
        <f t="shared" si="305"/>
        <v>19.342380407445152</v>
      </c>
    </row>
    <row r="212" spans="1:77" s="1323" customFormat="1">
      <c r="A212" s="2611">
        <v>20</v>
      </c>
      <c r="B212" s="2554" t="s">
        <v>717</v>
      </c>
      <c r="C212" s="2555">
        <v>0.04</v>
      </c>
      <c r="D212" s="2609" t="s">
        <v>434</v>
      </c>
      <c r="E212" s="4453">
        <f>+'11.3. ДА Базова година'!H173</f>
        <v>129.85127112855838</v>
      </c>
      <c r="F212" s="2655">
        <f>E212+SUMIF('11.2. ДА за периода'!$B$111:$B$131,$B212,'11.2. ДА за периода'!F$111:F$131)</f>
        <v>129.85127112855838</v>
      </c>
      <c r="G212" s="1136">
        <f>F212+SUMIF('11.2. ДА за периода'!$B$111:$B$131,$B212,'11.2. ДА за периода'!G$111:G$131)</f>
        <v>129.85127112855838</v>
      </c>
      <c r="H212" s="1136">
        <f>G212+SUMIF('11.2. ДА за периода'!$B$111:$B$131,$B212,'11.2. ДА за периода'!H$111:H$131)</f>
        <v>129.85127112855838</v>
      </c>
      <c r="I212" s="1136">
        <f>H212+SUMIF('11.2. ДА за периода'!$B$111:$B$131,$B212,'11.2. ДА за периода'!I$111:I$131)</f>
        <v>129.85127112855838</v>
      </c>
      <c r="J212" s="1136">
        <f>I212+SUMIF('11.2. ДА за периода'!$B$111:$B$131,$B212,'11.2. ДА за периода'!J$111:J$131)</f>
        <v>129.85127112855838</v>
      </c>
      <c r="K212" s="2656">
        <f>J212+SUMIF('11.2. ДА за периода'!$B$111:$B$131,$B212,'11.2. ДА за периода'!K$111:K$131)</f>
        <v>129.85127112855838</v>
      </c>
      <c r="L212" s="4453">
        <f>+'11.3. ДА Базова година'!L173</f>
        <v>0</v>
      </c>
      <c r="M212" s="2655">
        <f>L212+SUMIF('11.2. ДА за периода'!$B$111:$B$131,$B212,'11.2. ДА за периода'!M$111:M$131)</f>
        <v>0</v>
      </c>
      <c r="N212" s="1136">
        <f>M212+SUMIF('11.2. ДА за периода'!$B$111:$B$131,$B212,'11.2. ДА за периода'!N$111:N$131)</f>
        <v>0</v>
      </c>
      <c r="O212" s="1136">
        <f>N212+SUMIF('11.2. ДА за периода'!$B$111:$B$131,$B212,'11.2. ДА за периода'!O$111:O$131)</f>
        <v>0</v>
      </c>
      <c r="P212" s="1136">
        <f>O212+SUMIF('11.2. ДА за периода'!$B$111:$B$131,$B212,'11.2. ДА за периода'!P$111:P$131)</f>
        <v>0</v>
      </c>
      <c r="Q212" s="1136">
        <f>P212+SUMIF('11.2. ДА за периода'!$B$111:$B$131,$B212,'11.2. ДА за периода'!Q$111:Q$131)</f>
        <v>0</v>
      </c>
      <c r="R212" s="2656">
        <f>Q212+SUMIF('11.2. ДА за периода'!$B$111:$B$131,$B212,'11.2. ДА за периода'!R$111:R$131)</f>
        <v>0</v>
      </c>
      <c r="S212" s="4453">
        <f>+'11.3. ДА Базова година'!P173</f>
        <v>5989.4704299999994</v>
      </c>
      <c r="T212" s="2655">
        <f>S212+SUMIF('11.2. ДА за периода'!$B$111:$B$131,$B212,'11.2. ДА за периода'!T$111:T$131)</f>
        <v>5989.4704299999994</v>
      </c>
      <c r="U212" s="1136">
        <f>T212+SUMIF('11.2. ДА за периода'!$B$111:$B$131,$B212,'11.2. ДА за периода'!U$111:U$131)</f>
        <v>5989.4704299999994</v>
      </c>
      <c r="V212" s="1136">
        <f>U212+SUMIF('11.2. ДА за периода'!$B$111:$B$131,$B212,'11.2. ДА за периода'!V$111:V$131)</f>
        <v>5989.4704299999994</v>
      </c>
      <c r="W212" s="1136">
        <f>V212+SUMIF('11.2. ДА за периода'!$B$111:$B$131,$B212,'11.2. ДА за периода'!W$111:W$131)</f>
        <v>5989.4704299999994</v>
      </c>
      <c r="X212" s="1136">
        <f>W212+SUMIF('11.2. ДА за периода'!$B$111:$B$131,$B212,'11.2. ДА за периода'!X$111:X$131)</f>
        <v>5989.4704299999994</v>
      </c>
      <c r="Y212" s="2656">
        <f>X212+SUMIF('11.2. ДА за периода'!$B$111:$B$131,$B212,'11.2. ДА за периода'!Y$111:Y$131)</f>
        <v>5989.4704299999994</v>
      </c>
      <c r="Z212" s="4453">
        <f>+'11.3. ДА Базова година'!T173</f>
        <v>0</v>
      </c>
      <c r="AA212" s="2655">
        <f>Z212+SUMIF('11.2. ДА за периода'!$B$111:$B$131,$B212,'11.2. ДА за периода'!AA$111:AA$131)</f>
        <v>0</v>
      </c>
      <c r="AB212" s="1136">
        <f>AA212+SUMIF('11.2. ДА за периода'!$B$111:$B$131,$B212,'11.2. ДА за периода'!AB$111:AB$131)</f>
        <v>0</v>
      </c>
      <c r="AC212" s="1136">
        <f>AB212+SUMIF('11.2. ДА за периода'!$B$111:$B$131,$B212,'11.2. ДА за периода'!AC$111:AC$131)</f>
        <v>0</v>
      </c>
      <c r="AD212" s="1136">
        <f>AC212+SUMIF('11.2. ДА за периода'!$B$111:$B$131,$B212,'11.2. ДА за периода'!AD$111:AD$131)</f>
        <v>0</v>
      </c>
      <c r="AE212" s="1136">
        <f>AD212+SUMIF('11.2. ДА за периода'!$B$111:$B$131,$B212,'11.2. ДА за периода'!AE$111:AE$131)</f>
        <v>0</v>
      </c>
      <c r="AF212" s="2656">
        <f>AE212+SUMIF('11.2. ДА за периода'!$B$111:$B$131,$B212,'11.2. ДА за периода'!AF$111:AF$131)</f>
        <v>0</v>
      </c>
      <c r="AG212" s="4453">
        <f>+'11.3. ДА Базова година'!X173</f>
        <v>7.9609288714416087</v>
      </c>
      <c r="AH212" s="2655">
        <f>AG212+SUMIF('11.2. ДА за периода'!$B$111:$B$131,$B212,'11.2. ДА за периода'!AH$111:AH$131)</f>
        <v>7.9609288714416087</v>
      </c>
      <c r="AI212" s="1136">
        <f>AH212+SUMIF('11.2. ДА за периода'!$B$111:$B$131,$B212,'11.2. ДА за периода'!AI$111:AI$131)</f>
        <v>7.9609288714416087</v>
      </c>
      <c r="AJ212" s="1136">
        <f>AI212+SUMIF('11.2. ДА за периода'!$B$111:$B$131,$B212,'11.2. ДА за периода'!AJ$111:AJ$131)</f>
        <v>7.9609288714416087</v>
      </c>
      <c r="AK212" s="1136">
        <f>AJ212+SUMIF('11.2. ДА за периода'!$B$111:$B$131,$B212,'11.2. ДА за периода'!AK$111:AK$131)</f>
        <v>7.9609288714416087</v>
      </c>
      <c r="AL212" s="1136">
        <f>AK212+SUMIF('11.2. ДА за периода'!$B$111:$B$131,$B212,'11.2. ДА за периода'!AL$111:AL$131)</f>
        <v>7.9609288714416087</v>
      </c>
      <c r="AM212" s="2656">
        <f>AL212+SUMIF('11.2. ДА за периода'!$B$111:$B$131,$B212,'11.2. ДА за периода'!AM$111:AM$131)</f>
        <v>7.9609288714416087</v>
      </c>
      <c r="AN212" s="2551"/>
      <c r="AO212" s="2589"/>
      <c r="AP212" s="4488"/>
      <c r="AQ212" s="4504">
        <f t="shared" si="271"/>
        <v>66.391900691040831</v>
      </c>
      <c r="AR212" s="4504">
        <f t="shared" si="272"/>
        <v>66.391900691040831</v>
      </c>
      <c r="AS212" s="4504">
        <f t="shared" si="273"/>
        <v>66.391900691040831</v>
      </c>
      <c r="AT212" s="4504">
        <f t="shared" si="274"/>
        <v>66.391900691040831</v>
      </c>
      <c r="AU212" s="4504">
        <f t="shared" si="275"/>
        <v>66.391900691040831</v>
      </c>
      <c r="AV212" s="4504">
        <f t="shared" si="276"/>
        <v>66.391900691040831</v>
      </c>
      <c r="AW212" s="4504">
        <f t="shared" si="277"/>
        <v>66.391900691040831</v>
      </c>
      <c r="AX212" s="4504">
        <f t="shared" si="278"/>
        <v>0</v>
      </c>
      <c r="AY212" s="4504">
        <f t="shared" si="279"/>
        <v>0</v>
      </c>
      <c r="AZ212" s="4504">
        <f t="shared" si="280"/>
        <v>0</v>
      </c>
      <c r="BA212" s="4504">
        <f t="shared" si="281"/>
        <v>0</v>
      </c>
      <c r="BB212" s="4504">
        <f t="shared" si="282"/>
        <v>0</v>
      </c>
      <c r="BC212" s="4504">
        <f t="shared" si="283"/>
        <v>0</v>
      </c>
      <c r="BD212" s="4504">
        <f t="shared" si="284"/>
        <v>0</v>
      </c>
      <c r="BE212" s="4504">
        <f t="shared" si="285"/>
        <v>3062.3676035238236</v>
      </c>
      <c r="BF212" s="4504">
        <f t="shared" si="286"/>
        <v>3062.3676035238236</v>
      </c>
      <c r="BG212" s="4504">
        <f t="shared" si="287"/>
        <v>3062.3676035238236</v>
      </c>
      <c r="BH212" s="4504">
        <f t="shared" si="288"/>
        <v>3062.3676035238236</v>
      </c>
      <c r="BI212" s="4504">
        <f t="shared" si="289"/>
        <v>3062.3676035238236</v>
      </c>
      <c r="BJ212" s="4504">
        <f t="shared" si="290"/>
        <v>3062.3676035238236</v>
      </c>
      <c r="BK212" s="4504">
        <f t="shared" si="291"/>
        <v>3062.3676035238236</v>
      </c>
      <c r="BL212" s="4504">
        <f t="shared" si="292"/>
        <v>0</v>
      </c>
      <c r="BM212" s="4504">
        <f t="shared" si="293"/>
        <v>0</v>
      </c>
      <c r="BN212" s="4504">
        <f t="shared" si="294"/>
        <v>0</v>
      </c>
      <c r="BO212" s="4504">
        <f t="shared" si="295"/>
        <v>0</v>
      </c>
      <c r="BP212" s="4504">
        <f t="shared" si="296"/>
        <v>0</v>
      </c>
      <c r="BQ212" s="4504">
        <f t="shared" si="297"/>
        <v>0</v>
      </c>
      <c r="BR212" s="4504">
        <f t="shared" si="298"/>
        <v>0</v>
      </c>
      <c r="BS212" s="4504">
        <f t="shared" si="299"/>
        <v>4.0703582987486691</v>
      </c>
      <c r="BT212" s="4504">
        <f t="shared" si="300"/>
        <v>4.0703582987486691</v>
      </c>
      <c r="BU212" s="4504">
        <f t="shared" si="301"/>
        <v>4.0703582987486691</v>
      </c>
      <c r="BV212" s="4504">
        <f t="shared" si="302"/>
        <v>4.0703582987486691</v>
      </c>
      <c r="BW212" s="4504">
        <f t="shared" si="303"/>
        <v>4.0703582987486691</v>
      </c>
      <c r="BX212" s="4504">
        <f t="shared" si="304"/>
        <v>4.0703582987486691</v>
      </c>
      <c r="BY212" s="4504">
        <f t="shared" si="305"/>
        <v>4.0703582987486691</v>
      </c>
    </row>
    <row r="213" spans="1:77" s="1323" customFormat="1" ht="24.6" thickBot="1">
      <c r="A213" s="2611">
        <v>21</v>
      </c>
      <c r="B213" s="2554" t="s">
        <v>707</v>
      </c>
      <c r="C213" s="2560">
        <v>0.2</v>
      </c>
      <c r="D213" s="2590" t="s">
        <v>679</v>
      </c>
      <c r="E213" s="4453">
        <f>+'11.3. ДА Базова година'!H174</f>
        <v>0</v>
      </c>
      <c r="F213" s="2672">
        <f>E213+SUMIF('11.2. ДА за периода'!$B$111:$B$131,$B213,'11.2. ДА за периода'!F$111:F$131)</f>
        <v>0</v>
      </c>
      <c r="G213" s="1138">
        <f>F213+SUMIF('11.2. ДА за периода'!$B$111:$B$131,$B213,'11.2. ДА за периода'!G$111:G$131)</f>
        <v>0</v>
      </c>
      <c r="H213" s="1138">
        <f>G213+SUMIF('11.2. ДА за периода'!$B$111:$B$131,$B213,'11.2. ДА за периода'!H$111:H$131)</f>
        <v>0</v>
      </c>
      <c r="I213" s="1138">
        <f>H213+SUMIF('11.2. ДА за периода'!$B$111:$B$131,$B213,'11.2. ДА за периода'!I$111:I$131)</f>
        <v>0</v>
      </c>
      <c r="J213" s="1138">
        <f>I213+SUMIF('11.2. ДА за периода'!$B$111:$B$131,$B213,'11.2. ДА за периода'!J$111:J$131)</f>
        <v>0</v>
      </c>
      <c r="K213" s="2673">
        <f>J213+SUMIF('11.2. ДА за периода'!$B$111:$B$131,$B213,'11.2. ДА за периода'!K$111:K$131)</f>
        <v>0</v>
      </c>
      <c r="L213" s="4453">
        <f>+'11.3. ДА Базова година'!L174</f>
        <v>0</v>
      </c>
      <c r="M213" s="2672">
        <f>L213+SUMIF('11.2. ДА за периода'!$B$111:$B$131,$B213,'11.2. ДА за периода'!M$111:M$131)</f>
        <v>0</v>
      </c>
      <c r="N213" s="1138">
        <f>M213+SUMIF('11.2. ДА за периода'!$B$111:$B$131,$B213,'11.2. ДА за периода'!N$111:N$131)</f>
        <v>0</v>
      </c>
      <c r="O213" s="1138">
        <f>N213+SUMIF('11.2. ДА за периода'!$B$111:$B$131,$B213,'11.2. ДА за периода'!O$111:O$131)</f>
        <v>0</v>
      </c>
      <c r="P213" s="1138">
        <f>O213+SUMIF('11.2. ДА за периода'!$B$111:$B$131,$B213,'11.2. ДА за периода'!P$111:P$131)</f>
        <v>0</v>
      </c>
      <c r="Q213" s="1138">
        <f>P213+SUMIF('11.2. ДА за периода'!$B$111:$B$131,$B213,'11.2. ДА за периода'!Q$111:Q$131)</f>
        <v>0</v>
      </c>
      <c r="R213" s="2673">
        <f>Q213+SUMIF('11.2. ДА за периода'!$B$111:$B$131,$B213,'11.2. ДА за периода'!R$111:R$131)</f>
        <v>0</v>
      </c>
      <c r="S213" s="4453">
        <f>+'11.3. ДА Базова година'!P174</f>
        <v>0</v>
      </c>
      <c r="T213" s="2672">
        <f>S213+SUMIF('11.2. ДА за периода'!$B$111:$B$131,$B213,'11.2. ДА за периода'!T$111:T$131)</f>
        <v>0</v>
      </c>
      <c r="U213" s="1138">
        <f>T213+SUMIF('11.2. ДА за периода'!$B$111:$B$131,$B213,'11.2. ДА за периода'!U$111:U$131)</f>
        <v>0</v>
      </c>
      <c r="V213" s="1138">
        <f>U213+SUMIF('11.2. ДА за периода'!$B$111:$B$131,$B213,'11.2. ДА за периода'!V$111:V$131)</f>
        <v>0</v>
      </c>
      <c r="W213" s="1138">
        <f>V213+SUMIF('11.2. ДА за периода'!$B$111:$B$131,$B213,'11.2. ДА за периода'!W$111:W$131)</f>
        <v>0</v>
      </c>
      <c r="X213" s="1138">
        <f>W213+SUMIF('11.2. ДА за периода'!$B$111:$B$131,$B213,'11.2. ДА за периода'!X$111:X$131)</f>
        <v>0</v>
      </c>
      <c r="Y213" s="2673">
        <f>X213+SUMIF('11.2. ДА за периода'!$B$111:$B$131,$B213,'11.2. ДА за периода'!Y$111:Y$131)</f>
        <v>0</v>
      </c>
      <c r="Z213" s="4453">
        <f>+'11.3. ДА Базова година'!T174</f>
        <v>0</v>
      </c>
      <c r="AA213" s="2672">
        <f>Z213+SUMIF('11.2. ДА за периода'!$B$111:$B$131,$B213,'11.2. ДА за периода'!AA$111:AA$131)</f>
        <v>0</v>
      </c>
      <c r="AB213" s="1138">
        <f>AA213+SUMIF('11.2. ДА за периода'!$B$111:$B$131,$B213,'11.2. ДА за периода'!AB$111:AB$131)</f>
        <v>0</v>
      </c>
      <c r="AC213" s="1138">
        <f>AB213+SUMIF('11.2. ДА за периода'!$B$111:$B$131,$B213,'11.2. ДА за периода'!AC$111:AC$131)</f>
        <v>0</v>
      </c>
      <c r="AD213" s="1138">
        <f>AC213+SUMIF('11.2. ДА за периода'!$B$111:$B$131,$B213,'11.2. ДА за периода'!AD$111:AD$131)</f>
        <v>0</v>
      </c>
      <c r="AE213" s="1138">
        <f>AD213+SUMIF('11.2. ДА за периода'!$B$111:$B$131,$B213,'11.2. ДА за периода'!AE$111:AE$131)</f>
        <v>0</v>
      </c>
      <c r="AF213" s="2673">
        <f>AE213+SUMIF('11.2. ДА за периода'!$B$111:$B$131,$B213,'11.2. ДА за периода'!AF$111:AF$131)</f>
        <v>0</v>
      </c>
      <c r="AG213" s="4453">
        <f>+'11.3. ДА Базова година'!X174</f>
        <v>0</v>
      </c>
      <c r="AH213" s="2672">
        <f>AG213+SUMIF('11.2. ДА за периода'!$B$111:$B$131,$B213,'11.2. ДА за периода'!AH$111:AH$131)</f>
        <v>0</v>
      </c>
      <c r="AI213" s="1138">
        <f>AH213+SUMIF('11.2. ДА за периода'!$B$111:$B$131,$B213,'11.2. ДА за периода'!AI$111:AI$131)</f>
        <v>0</v>
      </c>
      <c r="AJ213" s="1138">
        <f>AI213+SUMIF('11.2. ДА за периода'!$B$111:$B$131,$B213,'11.2. ДА за периода'!AJ$111:AJ$131)</f>
        <v>0</v>
      </c>
      <c r="AK213" s="1138">
        <f>AJ213+SUMIF('11.2. ДА за периода'!$B$111:$B$131,$B213,'11.2. ДА за периода'!AK$111:AK$131)</f>
        <v>0</v>
      </c>
      <c r="AL213" s="1138">
        <f>AK213+SUMIF('11.2. ДА за периода'!$B$111:$B$131,$B213,'11.2. ДА за периода'!AL$111:AL$131)</f>
        <v>0</v>
      </c>
      <c r="AM213" s="2673">
        <f>AL213+SUMIF('11.2. ДА за периода'!$B$111:$B$131,$B213,'11.2. ДА за периода'!AM$111:AM$131)</f>
        <v>0</v>
      </c>
      <c r="AN213" s="2551"/>
      <c r="AO213" s="2589"/>
      <c r="AP213" s="4488"/>
      <c r="AQ213" s="4504">
        <f t="shared" si="271"/>
        <v>0</v>
      </c>
      <c r="AR213" s="4504">
        <f t="shared" si="272"/>
        <v>0</v>
      </c>
      <c r="AS213" s="4504">
        <f t="shared" si="273"/>
        <v>0</v>
      </c>
      <c r="AT213" s="4504">
        <f t="shared" si="274"/>
        <v>0</v>
      </c>
      <c r="AU213" s="4504">
        <f t="shared" si="275"/>
        <v>0</v>
      </c>
      <c r="AV213" s="4504">
        <f t="shared" si="276"/>
        <v>0</v>
      </c>
      <c r="AW213" s="4504">
        <f t="shared" si="277"/>
        <v>0</v>
      </c>
      <c r="AX213" s="4504">
        <f t="shared" si="278"/>
        <v>0</v>
      </c>
      <c r="AY213" s="4504">
        <f t="shared" si="279"/>
        <v>0</v>
      </c>
      <c r="AZ213" s="4504">
        <f t="shared" si="280"/>
        <v>0</v>
      </c>
      <c r="BA213" s="4504">
        <f t="shared" si="281"/>
        <v>0</v>
      </c>
      <c r="BB213" s="4504">
        <f t="shared" si="282"/>
        <v>0</v>
      </c>
      <c r="BC213" s="4504">
        <f t="shared" si="283"/>
        <v>0</v>
      </c>
      <c r="BD213" s="4504">
        <f t="shared" si="284"/>
        <v>0</v>
      </c>
      <c r="BE213" s="4504">
        <f t="shared" si="285"/>
        <v>0</v>
      </c>
      <c r="BF213" s="4504">
        <f t="shared" si="286"/>
        <v>0</v>
      </c>
      <c r="BG213" s="4504">
        <f t="shared" si="287"/>
        <v>0</v>
      </c>
      <c r="BH213" s="4504">
        <f t="shared" si="288"/>
        <v>0</v>
      </c>
      <c r="BI213" s="4504">
        <f t="shared" si="289"/>
        <v>0</v>
      </c>
      <c r="BJ213" s="4504">
        <f t="shared" si="290"/>
        <v>0</v>
      </c>
      <c r="BK213" s="4504">
        <f t="shared" si="291"/>
        <v>0</v>
      </c>
      <c r="BL213" s="4504">
        <f t="shared" si="292"/>
        <v>0</v>
      </c>
      <c r="BM213" s="4504">
        <f t="shared" si="293"/>
        <v>0</v>
      </c>
      <c r="BN213" s="4504">
        <f t="shared" si="294"/>
        <v>0</v>
      </c>
      <c r="BO213" s="4504">
        <f t="shared" si="295"/>
        <v>0</v>
      </c>
      <c r="BP213" s="4504">
        <f t="shared" si="296"/>
        <v>0</v>
      </c>
      <c r="BQ213" s="4504">
        <f t="shared" si="297"/>
        <v>0</v>
      </c>
      <c r="BR213" s="4504">
        <f t="shared" si="298"/>
        <v>0</v>
      </c>
      <c r="BS213" s="4504">
        <f t="shared" si="299"/>
        <v>0</v>
      </c>
      <c r="BT213" s="4504">
        <f t="shared" si="300"/>
        <v>0</v>
      </c>
      <c r="BU213" s="4504">
        <f t="shared" si="301"/>
        <v>0</v>
      </c>
      <c r="BV213" s="4504">
        <f t="shared" si="302"/>
        <v>0</v>
      </c>
      <c r="BW213" s="4504">
        <f t="shared" si="303"/>
        <v>0</v>
      </c>
      <c r="BX213" s="4504">
        <f t="shared" si="304"/>
        <v>0</v>
      </c>
      <c r="BY213" s="4504">
        <f t="shared" si="305"/>
        <v>0</v>
      </c>
    </row>
    <row r="214" spans="1:77" s="1323" customFormat="1" ht="13.8" thickBot="1">
      <c r="A214" s="3746" t="s">
        <v>206</v>
      </c>
      <c r="B214" s="2577"/>
      <c r="C214" s="2577"/>
      <c r="D214" s="2540" t="s">
        <v>218</v>
      </c>
      <c r="E214" s="1246">
        <f t="shared" ref="E214" si="306">SUM(E215:E235)</f>
        <v>945.4039829159716</v>
      </c>
      <c r="F214" s="2670">
        <f t="shared" ref="F214:AM214" si="307">SUM(F215:F235)</f>
        <v>1134.1847598239717</v>
      </c>
      <c r="G214" s="1147">
        <f t="shared" si="307"/>
        <v>1506.2302294239717</v>
      </c>
      <c r="H214" s="1147">
        <f t="shared" si="307"/>
        <v>1632.8338894239716</v>
      </c>
      <c r="I214" s="1148">
        <f t="shared" si="307"/>
        <v>1870.0971272239715</v>
      </c>
      <c r="J214" s="1147">
        <f t="shared" si="307"/>
        <v>1882.6906272239714</v>
      </c>
      <c r="K214" s="1147">
        <f t="shared" si="307"/>
        <v>2354.3022016239711</v>
      </c>
      <c r="L214" s="1246">
        <f t="shared" si="307"/>
        <v>842.94337999999993</v>
      </c>
      <c r="M214" s="2670">
        <f t="shared" si="307"/>
        <v>852.42225959999996</v>
      </c>
      <c r="N214" s="1147">
        <f t="shared" si="307"/>
        <v>852.42225959999996</v>
      </c>
      <c r="O214" s="1147">
        <f t="shared" si="307"/>
        <v>852.42225959999996</v>
      </c>
      <c r="P214" s="1148">
        <f t="shared" si="307"/>
        <v>852.42225959999996</v>
      </c>
      <c r="Q214" s="1147">
        <f t="shared" si="307"/>
        <v>852.42225959999996</v>
      </c>
      <c r="R214" s="1147">
        <f t="shared" si="307"/>
        <v>852.42225959999996</v>
      </c>
      <c r="S214" s="1246">
        <f t="shared" si="307"/>
        <v>999.20738999999969</v>
      </c>
      <c r="T214" s="2670">
        <f t="shared" si="307"/>
        <v>1215.2073899999998</v>
      </c>
      <c r="U214" s="1147">
        <f t="shared" si="307"/>
        <v>1215.2073899999998</v>
      </c>
      <c r="V214" s="1147">
        <f t="shared" si="307"/>
        <v>1215.2073899999998</v>
      </c>
      <c r="W214" s="1148">
        <f t="shared" si="307"/>
        <v>1215.2073899999998</v>
      </c>
      <c r="X214" s="1147">
        <f t="shared" si="307"/>
        <v>1215.2073899999998</v>
      </c>
      <c r="Y214" s="2671">
        <f t="shared" si="307"/>
        <v>1215.2073899999998</v>
      </c>
      <c r="Z214" s="1246">
        <f t="shared" si="307"/>
        <v>0</v>
      </c>
      <c r="AA214" s="2670">
        <f t="shared" si="307"/>
        <v>0</v>
      </c>
      <c r="AB214" s="1147">
        <f t="shared" si="307"/>
        <v>0</v>
      </c>
      <c r="AC214" s="1147">
        <f t="shared" si="307"/>
        <v>0</v>
      </c>
      <c r="AD214" s="1148">
        <f t="shared" si="307"/>
        <v>0</v>
      </c>
      <c r="AE214" s="1147">
        <f t="shared" si="307"/>
        <v>0</v>
      </c>
      <c r="AF214" s="2671">
        <f t="shared" si="307"/>
        <v>0</v>
      </c>
      <c r="AG214" s="1246">
        <f t="shared" si="307"/>
        <v>18.111887084027405</v>
      </c>
      <c r="AH214" s="2670">
        <f t="shared" si="307"/>
        <v>18.111887084027405</v>
      </c>
      <c r="AI214" s="1147">
        <f t="shared" si="307"/>
        <v>18.111887084027405</v>
      </c>
      <c r="AJ214" s="1147">
        <f t="shared" si="307"/>
        <v>18.111887084027405</v>
      </c>
      <c r="AK214" s="1148">
        <f t="shared" si="307"/>
        <v>18.111887084027405</v>
      </c>
      <c r="AL214" s="1147">
        <f t="shared" si="307"/>
        <v>18.111887084027405</v>
      </c>
      <c r="AM214" s="2671">
        <f t="shared" si="307"/>
        <v>18.111887084027405</v>
      </c>
      <c r="AN214" s="2562"/>
      <c r="AO214" s="2589"/>
      <c r="AP214" s="4488"/>
      <c r="AQ214" s="4504">
        <f t="shared" si="271"/>
        <v>483.37738091550472</v>
      </c>
      <c r="AR214" s="4504">
        <f t="shared" si="272"/>
        <v>579.89945947447973</v>
      </c>
      <c r="AS214" s="4504">
        <f t="shared" si="273"/>
        <v>770.12328751679422</v>
      </c>
      <c r="AT214" s="4504">
        <f t="shared" si="274"/>
        <v>834.85471100452071</v>
      </c>
      <c r="AU214" s="4504">
        <f t="shared" si="275"/>
        <v>956.16547819798836</v>
      </c>
      <c r="AV214" s="4504">
        <f t="shared" si="276"/>
        <v>962.60443250383287</v>
      </c>
      <c r="AW214" s="4504">
        <f t="shared" si="277"/>
        <v>1203.7356015727191</v>
      </c>
      <c r="AX214" s="4504">
        <f t="shared" si="278"/>
        <v>430.99010650209885</v>
      </c>
      <c r="AY214" s="4504">
        <f t="shared" si="279"/>
        <v>435.83658068441531</v>
      </c>
      <c r="AZ214" s="4504">
        <f t="shared" si="280"/>
        <v>435.83658068441531</v>
      </c>
      <c r="BA214" s="4504">
        <f t="shared" si="281"/>
        <v>435.83658068441531</v>
      </c>
      <c r="BB214" s="4504">
        <f t="shared" si="282"/>
        <v>435.83658068441531</v>
      </c>
      <c r="BC214" s="4504">
        <f t="shared" si="283"/>
        <v>435.83658068441531</v>
      </c>
      <c r="BD214" s="4504">
        <f t="shared" si="284"/>
        <v>435.83658068441531</v>
      </c>
      <c r="BE214" s="4504">
        <f t="shared" si="285"/>
        <v>510.88662613826341</v>
      </c>
      <c r="BF214" s="4504">
        <f t="shared" si="286"/>
        <v>621.32567247664667</v>
      </c>
      <c r="BG214" s="4504">
        <f t="shared" si="287"/>
        <v>621.32567247664667</v>
      </c>
      <c r="BH214" s="4504">
        <f t="shared" si="288"/>
        <v>621.32567247664667</v>
      </c>
      <c r="BI214" s="4504">
        <f t="shared" si="289"/>
        <v>621.32567247664667</v>
      </c>
      <c r="BJ214" s="4504">
        <f t="shared" si="290"/>
        <v>621.32567247664667</v>
      </c>
      <c r="BK214" s="4504">
        <f t="shared" si="291"/>
        <v>621.32567247664667</v>
      </c>
      <c r="BL214" s="4504">
        <f t="shared" si="292"/>
        <v>0</v>
      </c>
      <c r="BM214" s="4504">
        <f t="shared" si="293"/>
        <v>0</v>
      </c>
      <c r="BN214" s="4504">
        <f t="shared" si="294"/>
        <v>0</v>
      </c>
      <c r="BO214" s="4504">
        <f t="shared" si="295"/>
        <v>0</v>
      </c>
      <c r="BP214" s="4504">
        <f t="shared" si="296"/>
        <v>0</v>
      </c>
      <c r="BQ214" s="4504">
        <f t="shared" si="297"/>
        <v>0</v>
      </c>
      <c r="BR214" s="4504">
        <f t="shared" si="298"/>
        <v>0</v>
      </c>
      <c r="BS214" s="4504">
        <f t="shared" si="299"/>
        <v>9.2604608192058642</v>
      </c>
      <c r="BT214" s="4504">
        <f t="shared" si="300"/>
        <v>9.2604608192058642</v>
      </c>
      <c r="BU214" s="4504">
        <f t="shared" si="301"/>
        <v>9.2604608192058642</v>
      </c>
      <c r="BV214" s="4504">
        <f t="shared" si="302"/>
        <v>9.2604608192058642</v>
      </c>
      <c r="BW214" s="4504">
        <f t="shared" si="303"/>
        <v>9.2604608192058642</v>
      </c>
      <c r="BX214" s="4504">
        <f t="shared" si="304"/>
        <v>9.2604608192058642</v>
      </c>
      <c r="BY214" s="4504">
        <f t="shared" si="305"/>
        <v>9.2604608192058642</v>
      </c>
    </row>
    <row r="215" spans="1:77" s="1323" customFormat="1">
      <c r="A215" s="2553">
        <v>1</v>
      </c>
      <c r="B215" s="2614" t="s">
        <v>696</v>
      </c>
      <c r="C215" s="2571">
        <v>0</v>
      </c>
      <c r="D215" s="2615" t="s">
        <v>558</v>
      </c>
      <c r="E215" s="4453">
        <f>+'11.3. ДА Базова година'!F176</f>
        <v>0</v>
      </c>
      <c r="F215" s="2652">
        <f>$E215-SUMIF('11.2. ДА за периода'!$B$155:$B$175,$B215,'11.2. ДА за периода'!$E$155:$E$175)+SUMIF('11.2. ДА за периода'!$B$155:$B$175,$B215,'11.2. ДА за периода'!F$155:F$175)</f>
        <v>0</v>
      </c>
      <c r="G215" s="1145">
        <f>$E215-SUMIF('11.2. ДА за периода'!$B$155:$B$175,$B215,'11.2. ДА за периода'!$E$155:$E$175)+SUMIF('11.2. ДА за периода'!$B$155:$B$175,$B215,'11.2. ДА за периода'!G$155:G$175)</f>
        <v>0</v>
      </c>
      <c r="H215" s="1145">
        <f>$E215-SUMIF('11.2. ДА за периода'!$B$155:$B$175,$B215,'11.2. ДА за периода'!$E$155:$E$175)+SUMIF('11.2. ДА за периода'!$B$155:$B$175,$B215,'11.2. ДА за периода'!H$155:H$175)</f>
        <v>0</v>
      </c>
      <c r="I215" s="1145">
        <f>$E215-SUMIF('11.2. ДА за периода'!$B$155:$B$175,$B215,'11.2. ДА за периода'!$E$155:$E$175)+SUMIF('11.2. ДА за периода'!$B$155:$B$175,$B215,'11.2. ДА за периода'!I$155:I$175)</f>
        <v>0</v>
      </c>
      <c r="J215" s="1145">
        <f>$E215-SUMIF('11.2. ДА за периода'!$B$155:$B$175,$B215,'11.2. ДА за периода'!$E$155:$E$175)+SUMIF('11.2. ДА за периода'!$B$155:$B$175,$B215,'11.2. ДА за периода'!J$155:J$175)</f>
        <v>0</v>
      </c>
      <c r="K215" s="2653">
        <f>$E215-SUMIF('11.2. ДА за периода'!$B$155:$B$175,$B215,'11.2. ДА за периода'!$E$155:$E$175)+SUMIF('11.2. ДА за периода'!$B$155:$B$175,$B215,'11.2. ДА за периода'!K$155:K$175)</f>
        <v>0</v>
      </c>
      <c r="L215" s="4453">
        <f>+'11.3. ДА Базова година'!J176</f>
        <v>0</v>
      </c>
      <c r="M215" s="2652">
        <f>$L215-SUMIF('11.2. ДА за периода'!$B$155:$B$175,$B215,'11.2. ДА за периода'!$L$155:$L$175)+SUMIF('11.2. ДА за периода'!$B$155:$B$175,$B215,'11.2. ДА за периода'!M$155:M$175)</f>
        <v>0</v>
      </c>
      <c r="N215" s="1145">
        <f>$L215-SUMIF('11.2. ДА за периода'!$B$155:$B$175,$B215,'11.2. ДА за периода'!$L$155:$L$175)+SUMIF('11.2. ДА за периода'!$B$155:$B$175,$B215,'11.2. ДА за периода'!N$155:N$175)</f>
        <v>0</v>
      </c>
      <c r="O215" s="1145">
        <f>$L215-SUMIF('11.2. ДА за периода'!$B$155:$B$175,$B215,'11.2. ДА за периода'!$L$155:$L$175)+SUMIF('11.2. ДА за периода'!$B$155:$B$175,$B215,'11.2. ДА за периода'!O$155:O$175)</f>
        <v>0</v>
      </c>
      <c r="P215" s="1145">
        <f>$L215-SUMIF('11.2. ДА за периода'!$B$155:$B$175,$B215,'11.2. ДА за периода'!$L$155:$L$175)+SUMIF('11.2. ДА за периода'!$B$155:$B$175,$B215,'11.2. ДА за периода'!P$155:P$175)</f>
        <v>0</v>
      </c>
      <c r="Q215" s="1145">
        <f>$L215-SUMIF('11.2. ДА за периода'!$B$155:$B$175,$B215,'11.2. ДА за периода'!$L$155:$L$175)+SUMIF('11.2. ДА за периода'!$B$155:$B$175,$B215,'11.2. ДА за периода'!Q$155:Q$175)</f>
        <v>0</v>
      </c>
      <c r="R215" s="2653">
        <f>$L215-SUMIF('11.2. ДА за периода'!$B$155:$B$175,$B215,'11.2. ДА за периода'!$L$155:$L$175)+SUMIF('11.2. ДА за периода'!$B$155:$B$175,$B215,'11.2. ДА за периода'!R$155:R$175)</f>
        <v>0</v>
      </c>
      <c r="S215" s="4453">
        <f>+'11.3. ДА Базова година'!N176</f>
        <v>0</v>
      </c>
      <c r="T215" s="2652">
        <f>$S215-SUMIF('11.2. ДА за периода'!$B$155:$B$175,$B215,'11.2. ДА за периода'!$S$155:$S$175)+SUMIF('11.2. ДА за периода'!$B$155:$B$175,$B215,'11.2. ДА за периода'!T$155:T$175)</f>
        <v>0</v>
      </c>
      <c r="U215" s="1145">
        <f>$S215-SUMIF('11.2. ДА за периода'!$B$155:$B$175,$B215,'11.2. ДА за периода'!$S$155:$S$175)+SUMIF('11.2. ДА за периода'!$B$155:$B$175,$B215,'11.2. ДА за периода'!U$155:U$175)</f>
        <v>0</v>
      </c>
      <c r="V215" s="1145">
        <f>$S215-SUMIF('11.2. ДА за периода'!$B$155:$B$175,$B215,'11.2. ДА за периода'!$S$155:$S$175)+SUMIF('11.2. ДА за периода'!$B$155:$B$175,$B215,'11.2. ДА за периода'!V$155:V$175)</f>
        <v>0</v>
      </c>
      <c r="W215" s="1145">
        <f>$S215-SUMIF('11.2. ДА за периода'!$B$155:$B$175,$B215,'11.2. ДА за периода'!$S$155:$S$175)+SUMIF('11.2. ДА за периода'!$B$155:$B$175,$B215,'11.2. ДА за периода'!W$155:W$175)</f>
        <v>0</v>
      </c>
      <c r="X215" s="1145">
        <f>$S215-SUMIF('11.2. ДА за периода'!$B$155:$B$175,$B215,'11.2. ДА за периода'!$S$155:$S$175)+SUMIF('11.2. ДА за периода'!$B$155:$B$175,$B215,'11.2. ДА за периода'!X$155:X$175)</f>
        <v>0</v>
      </c>
      <c r="Y215" s="2653">
        <f>$S215-SUMIF('11.2. ДА за периода'!$B$155:$B$175,$B215,'11.2. ДА за периода'!$S$155:$S$175)+SUMIF('11.2. ДА за периода'!$B$155:$B$175,$B215,'11.2. ДА за периода'!Y$155:Y$175)</f>
        <v>0</v>
      </c>
      <c r="Z215" s="4453">
        <f>+'11.3. ДА Базова година'!R176</f>
        <v>0</v>
      </c>
      <c r="AA215" s="2652">
        <f>$Z215-SUMIF('11.2. ДА за периода'!$B$155:$B$175,$B215,'11.2. ДА за периода'!$Z$155:$Z$175)+SUMIF('11.2. ДА за периода'!$B$155:$B$175,$B215,'11.2. ДА за периода'!AA$155:AA$175)</f>
        <v>0</v>
      </c>
      <c r="AB215" s="1145">
        <f>$Z215-SUMIF('11.2. ДА за периода'!$B$155:$B$175,$B215,'11.2. ДА за периода'!$Z$155:$Z$175)+SUMIF('11.2. ДА за периода'!$B$155:$B$175,$B215,'11.2. ДА за периода'!AB$155:AB$175)</f>
        <v>0</v>
      </c>
      <c r="AC215" s="1145">
        <f>$Z215-SUMIF('11.2. ДА за периода'!$B$155:$B$175,$B215,'11.2. ДА за периода'!$Z$155:$Z$175)+SUMIF('11.2. ДА за периода'!$B$155:$B$175,$B215,'11.2. ДА за периода'!AC$155:AC$175)</f>
        <v>0</v>
      </c>
      <c r="AD215" s="1145">
        <f>$Z215-SUMIF('11.2. ДА за периода'!$B$155:$B$175,$B215,'11.2. ДА за периода'!$Z$155:$Z$175)+SUMIF('11.2. ДА за периода'!$B$155:$B$175,$B215,'11.2. ДА за периода'!AD$155:AD$175)</f>
        <v>0</v>
      </c>
      <c r="AE215" s="1145">
        <f>$Z215-SUMIF('11.2. ДА за периода'!$B$155:$B$175,$B215,'11.2. ДА за периода'!$Z$155:$Z$175)+SUMIF('11.2. ДА за периода'!$B$155:$B$175,$B215,'11.2. ДА за периода'!AE$155:AE$175)</f>
        <v>0</v>
      </c>
      <c r="AF215" s="2653">
        <f>$Z215-SUMIF('11.2. ДА за периода'!$B$155:$B$175,$B215,'11.2. ДА за периода'!$Z$155:$Z$175)+SUMIF('11.2. ДА за периода'!$B$155:$B$175,$B215,'11.2. ДА за периода'!AF$155:AF$175)</f>
        <v>0</v>
      </c>
      <c r="AG215" s="4453">
        <f>+'11.3. ДА Базова година'!V176</f>
        <v>0</v>
      </c>
      <c r="AH215" s="2652">
        <f>$AG215-SUMIF('11.2. ДА за периода'!$B$155:$B$175,$B215,'11.2. ДА за периода'!$AG$155:$AG$175)+SUMIF('11.2. ДА за периода'!$B$155:$B$175,$B215,'11.2. ДА за периода'!AH$155:AH$175)</f>
        <v>0</v>
      </c>
      <c r="AI215" s="1145">
        <f>$AG215-SUMIF('11.2. ДА за периода'!$B$155:$B$175,$B215,'11.2. ДА за периода'!$AG$155:$AG$175)+SUMIF('11.2. ДА за периода'!$B$155:$B$175,$B215,'11.2. ДА за периода'!AI$155:AI$175)</f>
        <v>0</v>
      </c>
      <c r="AJ215" s="1145">
        <f>$AG215-SUMIF('11.2. ДА за периода'!$B$155:$B$175,$B215,'11.2. ДА за периода'!$AG$155:$AG$175)+SUMIF('11.2. ДА за периода'!$B$155:$B$175,$B215,'11.2. ДА за периода'!AJ$155:AJ$175)</f>
        <v>0</v>
      </c>
      <c r="AK215" s="1145">
        <f>$AG215-SUMIF('11.2. ДА за периода'!$B$155:$B$175,$B215,'11.2. ДА за периода'!$AG$155:$AG$175)+SUMIF('11.2. ДА за периода'!$B$155:$B$175,$B215,'11.2. ДА за периода'!AK$155:AK$175)</f>
        <v>0</v>
      </c>
      <c r="AL215" s="1145">
        <f>$AG215-SUMIF('11.2. ДА за периода'!$B$155:$B$175,$B215,'11.2. ДА за периода'!$AG$155:$AG$175)+SUMIF('11.2. ДА за периода'!$B$155:$B$175,$B215,'11.2. ДА за периода'!AL$155:AL$175)</f>
        <v>0</v>
      </c>
      <c r="AM215" s="2653">
        <f>$AG215-SUMIF('11.2. ДА за периода'!$B$155:$B$175,$B215,'11.2. ДА за периода'!$AG$155:$AG$175)+SUMIF('11.2. ДА за периода'!$B$155:$B$175,$B215,'11.2. ДА за периода'!AM$155:AM$175)</f>
        <v>0</v>
      </c>
      <c r="AN215" s="2562"/>
      <c r="AO215" s="2589"/>
      <c r="AP215" s="4488"/>
      <c r="AQ215" s="4504">
        <f t="shared" si="271"/>
        <v>0</v>
      </c>
      <c r="AR215" s="4504">
        <f t="shared" si="272"/>
        <v>0</v>
      </c>
      <c r="AS215" s="4504">
        <f t="shared" si="273"/>
        <v>0</v>
      </c>
      <c r="AT215" s="4504">
        <f t="shared" si="274"/>
        <v>0</v>
      </c>
      <c r="AU215" s="4504">
        <f t="shared" si="275"/>
        <v>0</v>
      </c>
      <c r="AV215" s="4504">
        <f t="shared" si="276"/>
        <v>0</v>
      </c>
      <c r="AW215" s="4504">
        <f t="shared" si="277"/>
        <v>0</v>
      </c>
      <c r="AX215" s="4504">
        <f t="shared" si="278"/>
        <v>0</v>
      </c>
      <c r="AY215" s="4504">
        <f t="shared" si="279"/>
        <v>0</v>
      </c>
      <c r="AZ215" s="4504">
        <f t="shared" si="280"/>
        <v>0</v>
      </c>
      <c r="BA215" s="4504">
        <f t="shared" si="281"/>
        <v>0</v>
      </c>
      <c r="BB215" s="4504">
        <f t="shared" si="282"/>
        <v>0</v>
      </c>
      <c r="BC215" s="4504">
        <f t="shared" si="283"/>
        <v>0</v>
      </c>
      <c r="BD215" s="4504">
        <f t="shared" si="284"/>
        <v>0</v>
      </c>
      <c r="BE215" s="4504">
        <f t="shared" si="285"/>
        <v>0</v>
      </c>
      <c r="BF215" s="4504">
        <f t="shared" si="286"/>
        <v>0</v>
      </c>
      <c r="BG215" s="4504">
        <f t="shared" si="287"/>
        <v>0</v>
      </c>
      <c r="BH215" s="4504">
        <f t="shared" si="288"/>
        <v>0</v>
      </c>
      <c r="BI215" s="4504">
        <f t="shared" si="289"/>
        <v>0</v>
      </c>
      <c r="BJ215" s="4504">
        <f t="shared" si="290"/>
        <v>0</v>
      </c>
      <c r="BK215" s="4504">
        <f t="shared" si="291"/>
        <v>0</v>
      </c>
      <c r="BL215" s="4504">
        <f t="shared" si="292"/>
        <v>0</v>
      </c>
      <c r="BM215" s="4504">
        <f t="shared" si="293"/>
        <v>0</v>
      </c>
      <c r="BN215" s="4504">
        <f t="shared" si="294"/>
        <v>0</v>
      </c>
      <c r="BO215" s="4504">
        <f t="shared" si="295"/>
        <v>0</v>
      </c>
      <c r="BP215" s="4504">
        <f t="shared" si="296"/>
        <v>0</v>
      </c>
      <c r="BQ215" s="4504">
        <f t="shared" si="297"/>
        <v>0</v>
      </c>
      <c r="BR215" s="4504">
        <f t="shared" si="298"/>
        <v>0</v>
      </c>
      <c r="BS215" s="4504">
        <f t="shared" si="299"/>
        <v>0</v>
      </c>
      <c r="BT215" s="4504">
        <f t="shared" si="300"/>
        <v>0</v>
      </c>
      <c r="BU215" s="4504">
        <f t="shared" si="301"/>
        <v>0</v>
      </c>
      <c r="BV215" s="4504">
        <f t="shared" si="302"/>
        <v>0</v>
      </c>
      <c r="BW215" s="4504">
        <f t="shared" si="303"/>
        <v>0</v>
      </c>
      <c r="BX215" s="4504">
        <f t="shared" si="304"/>
        <v>0</v>
      </c>
      <c r="BY215" s="4504">
        <f t="shared" si="305"/>
        <v>0</v>
      </c>
    </row>
    <row r="216" spans="1:77" s="1323" customFormat="1">
      <c r="A216" s="2553">
        <v>2</v>
      </c>
      <c r="B216" s="2554" t="s">
        <v>697</v>
      </c>
      <c r="C216" s="2555">
        <v>0.03</v>
      </c>
      <c r="D216" s="2609" t="s">
        <v>426</v>
      </c>
      <c r="E216" s="4453">
        <f>+'11.3. ДА Базова година'!F177</f>
        <v>8.5566875898665415</v>
      </c>
      <c r="F216" s="2655">
        <f>$E216-SUMIF('11.2. ДА за периода'!$B$155:$B$175,$B216,'11.2. ДА за периода'!$E$155:$E$175)+SUMIF('11.2. ДА за периода'!$B$155:$B$175,$B216,'11.2. ДА за периода'!F$155:F$175)</f>
        <v>8.5566875898665415</v>
      </c>
      <c r="G216" s="1136">
        <f>$E216-SUMIF('11.2. ДА за периода'!$B$155:$B$175,$B216,'11.2. ДА за периода'!$E$155:$E$175)+SUMIF('11.2. ДА за периода'!$B$155:$B$175,$B216,'11.2. ДА за периода'!G$155:G$175)</f>
        <v>8.5566875898665415</v>
      </c>
      <c r="H216" s="1136">
        <f>$E216-SUMIF('11.2. ДА за периода'!$B$155:$B$175,$B216,'11.2. ДА за периода'!$E$155:$E$175)+SUMIF('11.2. ДА за периода'!$B$155:$B$175,$B216,'11.2. ДА за периода'!H$155:H$175)</f>
        <v>8.5566875898665415</v>
      </c>
      <c r="I216" s="1136">
        <f>$E216-SUMIF('11.2. ДА за периода'!$B$155:$B$175,$B216,'11.2. ДА за периода'!$E$155:$E$175)+SUMIF('11.2. ДА за периода'!$B$155:$B$175,$B216,'11.2. ДА за периода'!I$155:I$175)</f>
        <v>8.5566875898665415</v>
      </c>
      <c r="J216" s="1136">
        <f>$E216-SUMIF('11.2. ДА за периода'!$B$155:$B$175,$B216,'11.2. ДА за периода'!$E$155:$E$175)+SUMIF('11.2. ДА за периода'!$B$155:$B$175,$B216,'11.2. ДА за периода'!J$155:J$175)</f>
        <v>8.5566875898665415</v>
      </c>
      <c r="K216" s="2656">
        <f>$E216-SUMIF('11.2. ДА за периода'!$B$155:$B$175,$B216,'11.2. ДА за периода'!$E$155:$E$175)+SUMIF('11.2. ДА за периода'!$B$155:$B$175,$B216,'11.2. ДА за периода'!K$155:K$175)</f>
        <v>8.5566875898665415</v>
      </c>
      <c r="L216" s="4453">
        <f>+'11.3. ДА Базова година'!J177</f>
        <v>3.585</v>
      </c>
      <c r="M216" s="2655">
        <f>$L216-SUMIF('11.2. ДА за периода'!$B$155:$B$175,$B216,'11.2. ДА за периода'!$L$155:$L$175)+SUMIF('11.2. ДА за периода'!$B$155:$B$175,$B216,'11.2. ДА за периода'!M$155:M$175)</f>
        <v>3.585</v>
      </c>
      <c r="N216" s="1136">
        <f>$L216-SUMIF('11.2. ДА за периода'!$B$155:$B$175,$B216,'11.2. ДА за периода'!$L$155:$L$175)+SUMIF('11.2. ДА за периода'!$B$155:$B$175,$B216,'11.2. ДА за периода'!N$155:N$175)</f>
        <v>3.585</v>
      </c>
      <c r="O216" s="1136">
        <f>$L216-SUMIF('11.2. ДА за периода'!$B$155:$B$175,$B216,'11.2. ДА за периода'!$L$155:$L$175)+SUMIF('11.2. ДА за периода'!$B$155:$B$175,$B216,'11.2. ДА за периода'!O$155:O$175)</f>
        <v>3.585</v>
      </c>
      <c r="P216" s="1136">
        <f>$L216-SUMIF('11.2. ДА за периода'!$B$155:$B$175,$B216,'11.2. ДА за периода'!$L$155:$L$175)+SUMIF('11.2. ДА за периода'!$B$155:$B$175,$B216,'11.2. ДА за периода'!P$155:P$175)</f>
        <v>3.585</v>
      </c>
      <c r="Q216" s="1136">
        <f>$L216-SUMIF('11.2. ДА за периода'!$B$155:$B$175,$B216,'11.2. ДА за периода'!$L$155:$L$175)+SUMIF('11.2. ДА за периода'!$B$155:$B$175,$B216,'11.2. ДА за периода'!Q$155:Q$175)</f>
        <v>3.585</v>
      </c>
      <c r="R216" s="2656">
        <f>$L216-SUMIF('11.2. ДА за периода'!$B$155:$B$175,$B216,'11.2. ДА за периода'!$L$155:$L$175)+SUMIF('11.2. ДА за периода'!$B$155:$B$175,$B216,'11.2. ДА за периода'!R$155:R$175)</f>
        <v>3.585</v>
      </c>
      <c r="S216" s="4453">
        <f>+'11.3. ДА Базова година'!N177</f>
        <v>107.1246</v>
      </c>
      <c r="T216" s="2655">
        <f>$S216-SUMIF('11.2. ДА за периода'!$B$155:$B$175,$B216,'11.2. ДА за периода'!$S$155:$S$175)+SUMIF('11.2. ДА за периода'!$B$155:$B$175,$B216,'11.2. ДА за периода'!T$155:T$175)</f>
        <v>107.1246</v>
      </c>
      <c r="U216" s="1136">
        <f>$S216-SUMIF('11.2. ДА за периода'!$B$155:$B$175,$B216,'11.2. ДА за периода'!$S$155:$S$175)+SUMIF('11.2. ДА за периода'!$B$155:$B$175,$B216,'11.2. ДА за периода'!U$155:U$175)</f>
        <v>107.1246</v>
      </c>
      <c r="V216" s="1136">
        <f>$S216-SUMIF('11.2. ДА за периода'!$B$155:$B$175,$B216,'11.2. ДА за периода'!$S$155:$S$175)+SUMIF('11.2. ДА за периода'!$B$155:$B$175,$B216,'11.2. ДА за периода'!V$155:V$175)</f>
        <v>107.1246</v>
      </c>
      <c r="W216" s="1136">
        <f>$S216-SUMIF('11.2. ДА за периода'!$B$155:$B$175,$B216,'11.2. ДА за периода'!$S$155:$S$175)+SUMIF('11.2. ДА за периода'!$B$155:$B$175,$B216,'11.2. ДА за периода'!W$155:W$175)</f>
        <v>107.1246</v>
      </c>
      <c r="X216" s="1136">
        <f>$S216-SUMIF('11.2. ДА за периода'!$B$155:$B$175,$B216,'11.2. ДА за периода'!$S$155:$S$175)+SUMIF('11.2. ДА за периода'!$B$155:$B$175,$B216,'11.2. ДА за периода'!X$155:X$175)</f>
        <v>107.1246</v>
      </c>
      <c r="Y216" s="2656">
        <f>$S216-SUMIF('11.2. ДА за периода'!$B$155:$B$175,$B216,'11.2. ДА за периода'!$S$155:$S$175)+SUMIF('11.2. ДА за периода'!$B$155:$B$175,$B216,'11.2. ДА за периода'!Y$155:Y$175)</f>
        <v>107.1246</v>
      </c>
      <c r="Z216" s="4453">
        <f>+'11.3. ДА Базова година'!R177</f>
        <v>0</v>
      </c>
      <c r="AA216" s="2655">
        <f>$Z216-SUMIF('11.2. ДА за периода'!$B$155:$B$175,$B216,'11.2. ДА за периода'!$Z$155:$Z$175)+SUMIF('11.2. ДА за периода'!$B$155:$B$175,$B216,'11.2. ДА за периода'!AA$155:AA$175)</f>
        <v>0</v>
      </c>
      <c r="AB216" s="1136">
        <f>$Z216-SUMIF('11.2. ДА за периода'!$B$155:$B$175,$B216,'11.2. ДА за периода'!$Z$155:$Z$175)+SUMIF('11.2. ДА за периода'!$B$155:$B$175,$B216,'11.2. ДА за периода'!AB$155:AB$175)</f>
        <v>0</v>
      </c>
      <c r="AC216" s="1136">
        <f>$Z216-SUMIF('11.2. ДА за периода'!$B$155:$B$175,$B216,'11.2. ДА за периода'!$Z$155:$Z$175)+SUMIF('11.2. ДА за периода'!$B$155:$B$175,$B216,'11.2. ДА за периода'!AC$155:AC$175)</f>
        <v>0</v>
      </c>
      <c r="AD216" s="1136">
        <f>$Z216-SUMIF('11.2. ДА за периода'!$B$155:$B$175,$B216,'11.2. ДА за периода'!$Z$155:$Z$175)+SUMIF('11.2. ДА за периода'!$B$155:$B$175,$B216,'11.2. ДА за периода'!AD$155:AD$175)</f>
        <v>0</v>
      </c>
      <c r="AE216" s="1136">
        <f>$Z216-SUMIF('11.2. ДА за периода'!$B$155:$B$175,$B216,'11.2. ДА за периода'!$Z$155:$Z$175)+SUMIF('11.2. ДА за периода'!$B$155:$B$175,$B216,'11.2. ДА за периода'!AE$155:AE$175)</f>
        <v>0</v>
      </c>
      <c r="AF216" s="2656">
        <f>$Z216-SUMIF('11.2. ДА за периода'!$B$155:$B$175,$B216,'11.2. ДА за периода'!$Z$155:$Z$175)+SUMIF('11.2. ДА за периода'!$B$155:$B$175,$B216,'11.2. ДА за периода'!AF$155:AF$175)</f>
        <v>0</v>
      </c>
      <c r="AG216" s="4453">
        <f>+'11.3. ДА Базова година'!V177</f>
        <v>1.892062410133458</v>
      </c>
      <c r="AH216" s="2655">
        <f>$AG216-SUMIF('11.2. ДА за периода'!$B$155:$B$175,$B216,'11.2. ДА за периода'!$AG$155:$AG$175)+SUMIF('11.2. ДА за периода'!$B$155:$B$175,$B216,'11.2. ДА за периода'!AH$155:AH$175)</f>
        <v>1.892062410133458</v>
      </c>
      <c r="AI216" s="1136">
        <f>$AG216-SUMIF('11.2. ДА за периода'!$B$155:$B$175,$B216,'11.2. ДА за периода'!$AG$155:$AG$175)+SUMIF('11.2. ДА за периода'!$B$155:$B$175,$B216,'11.2. ДА за периода'!AI$155:AI$175)</f>
        <v>1.892062410133458</v>
      </c>
      <c r="AJ216" s="1136">
        <f>$AG216-SUMIF('11.2. ДА за периода'!$B$155:$B$175,$B216,'11.2. ДА за периода'!$AG$155:$AG$175)+SUMIF('11.2. ДА за периода'!$B$155:$B$175,$B216,'11.2. ДА за периода'!AJ$155:AJ$175)</f>
        <v>1.892062410133458</v>
      </c>
      <c r="AK216" s="1136">
        <f>$AG216-SUMIF('11.2. ДА за периода'!$B$155:$B$175,$B216,'11.2. ДА за периода'!$AG$155:$AG$175)+SUMIF('11.2. ДА за периода'!$B$155:$B$175,$B216,'11.2. ДА за периода'!AK$155:AK$175)</f>
        <v>1.892062410133458</v>
      </c>
      <c r="AL216" s="1136">
        <f>$AG216-SUMIF('11.2. ДА за периода'!$B$155:$B$175,$B216,'11.2. ДА за периода'!$AG$155:$AG$175)+SUMIF('11.2. ДА за периода'!$B$155:$B$175,$B216,'11.2. ДА за периода'!AL$155:AL$175)</f>
        <v>1.892062410133458</v>
      </c>
      <c r="AM216" s="2656">
        <f>$AG216-SUMIF('11.2. ДА за периода'!$B$155:$B$175,$B216,'11.2. ДА за периода'!$AG$155:$AG$175)+SUMIF('11.2. ДА за периода'!$B$155:$B$175,$B216,'11.2. ДА за периода'!AM$155:AM$175)</f>
        <v>1.892062410133458</v>
      </c>
      <c r="AN216" s="2562"/>
      <c r="AO216" s="2589"/>
      <c r="AP216" s="4488"/>
      <c r="AQ216" s="4504">
        <f t="shared" si="271"/>
        <v>4.3749648946312005</v>
      </c>
      <c r="AR216" s="4504">
        <f t="shared" si="272"/>
        <v>4.3749648946312005</v>
      </c>
      <c r="AS216" s="4504">
        <f t="shared" si="273"/>
        <v>4.3749648946312005</v>
      </c>
      <c r="AT216" s="4504">
        <f t="shared" si="274"/>
        <v>4.3749648946312005</v>
      </c>
      <c r="AU216" s="4504">
        <f t="shared" si="275"/>
        <v>4.3749648946312005</v>
      </c>
      <c r="AV216" s="4504">
        <f t="shared" si="276"/>
        <v>4.3749648946312005</v>
      </c>
      <c r="AW216" s="4504">
        <f t="shared" si="277"/>
        <v>4.3749648946312005</v>
      </c>
      <c r="AX216" s="4504">
        <f t="shared" si="278"/>
        <v>1.8329813940884432</v>
      </c>
      <c r="AY216" s="4504">
        <f t="shared" si="279"/>
        <v>1.8329813940884432</v>
      </c>
      <c r="AZ216" s="4504">
        <f t="shared" si="280"/>
        <v>1.8329813940884432</v>
      </c>
      <c r="BA216" s="4504">
        <f t="shared" si="281"/>
        <v>1.8329813940884432</v>
      </c>
      <c r="BB216" s="4504">
        <f t="shared" si="282"/>
        <v>1.8329813940884432</v>
      </c>
      <c r="BC216" s="4504">
        <f t="shared" si="283"/>
        <v>1.8329813940884432</v>
      </c>
      <c r="BD216" s="4504">
        <f t="shared" si="284"/>
        <v>1.8329813940884432</v>
      </c>
      <c r="BE216" s="4504">
        <f t="shared" si="285"/>
        <v>54.771938256392431</v>
      </c>
      <c r="BF216" s="4504">
        <f t="shared" si="286"/>
        <v>54.771938256392431</v>
      </c>
      <c r="BG216" s="4504">
        <f t="shared" si="287"/>
        <v>54.771938256392431</v>
      </c>
      <c r="BH216" s="4504">
        <f t="shared" si="288"/>
        <v>54.771938256392431</v>
      </c>
      <c r="BI216" s="4504">
        <f t="shared" si="289"/>
        <v>54.771938256392431</v>
      </c>
      <c r="BJ216" s="4504">
        <f t="shared" si="290"/>
        <v>54.771938256392431</v>
      </c>
      <c r="BK216" s="4504">
        <f t="shared" si="291"/>
        <v>54.771938256392431</v>
      </c>
      <c r="BL216" s="4504">
        <f t="shared" si="292"/>
        <v>0</v>
      </c>
      <c r="BM216" s="4504">
        <f t="shared" si="293"/>
        <v>0</v>
      </c>
      <c r="BN216" s="4504">
        <f t="shared" si="294"/>
        <v>0</v>
      </c>
      <c r="BO216" s="4504">
        <f t="shared" si="295"/>
        <v>0</v>
      </c>
      <c r="BP216" s="4504">
        <f t="shared" si="296"/>
        <v>0</v>
      </c>
      <c r="BQ216" s="4504">
        <f t="shared" si="297"/>
        <v>0</v>
      </c>
      <c r="BR216" s="4504">
        <f t="shared" si="298"/>
        <v>0</v>
      </c>
      <c r="BS216" s="4504">
        <f t="shared" si="299"/>
        <v>0.96739614901778681</v>
      </c>
      <c r="BT216" s="4504">
        <f t="shared" si="300"/>
        <v>0.96739614901778681</v>
      </c>
      <c r="BU216" s="4504">
        <f t="shared" si="301"/>
        <v>0.96739614901778681</v>
      </c>
      <c r="BV216" s="4504">
        <f t="shared" si="302"/>
        <v>0.96739614901778681</v>
      </c>
      <c r="BW216" s="4504">
        <f t="shared" si="303"/>
        <v>0.96739614901778681</v>
      </c>
      <c r="BX216" s="4504">
        <f t="shared" si="304"/>
        <v>0.96739614901778681</v>
      </c>
      <c r="BY216" s="4504">
        <f t="shared" si="305"/>
        <v>0.96739614901778681</v>
      </c>
    </row>
    <row r="217" spans="1:77" s="1323" customFormat="1">
      <c r="A217" s="2553">
        <v>3</v>
      </c>
      <c r="B217" s="2554">
        <v>911301</v>
      </c>
      <c r="C217" s="2555">
        <v>0.1</v>
      </c>
      <c r="D217" s="2609" t="s">
        <v>427</v>
      </c>
      <c r="E217" s="4453">
        <f>+'11.3. ДА Базова година'!F178</f>
        <v>0</v>
      </c>
      <c r="F217" s="2655">
        <f>$E217-SUMIF('11.2. ДА за периода'!$B$155:$B$175,$B217,'11.2. ДА за периода'!$E$155:$E$175)+SUMIF('11.2. ДА за периода'!$B$155:$B$175,$B217,'11.2. ДА за периода'!F$155:F$175)</f>
        <v>0</v>
      </c>
      <c r="G217" s="1136">
        <f>$E217-SUMIF('11.2. ДА за периода'!$B$155:$B$175,$B217,'11.2. ДА за периода'!$E$155:$E$175)+SUMIF('11.2. ДА за периода'!$B$155:$B$175,$B217,'11.2. ДА за периода'!G$155:G$175)</f>
        <v>0</v>
      </c>
      <c r="H217" s="1136">
        <f>$E217-SUMIF('11.2. ДА за периода'!$B$155:$B$175,$B217,'11.2. ДА за периода'!$E$155:$E$175)+SUMIF('11.2. ДА за периода'!$B$155:$B$175,$B217,'11.2. ДА за периода'!H$155:H$175)</f>
        <v>0</v>
      </c>
      <c r="I217" s="1136">
        <f>$E217-SUMIF('11.2. ДА за периода'!$B$155:$B$175,$B217,'11.2. ДА за периода'!$E$155:$E$175)+SUMIF('11.2. ДА за периода'!$B$155:$B$175,$B217,'11.2. ДА за периода'!I$155:I$175)</f>
        <v>0</v>
      </c>
      <c r="J217" s="1136">
        <f>$E217-SUMIF('11.2. ДА за периода'!$B$155:$B$175,$B217,'11.2. ДА за периода'!$E$155:$E$175)+SUMIF('11.2. ДА за периода'!$B$155:$B$175,$B217,'11.2. ДА за периода'!J$155:J$175)</f>
        <v>0</v>
      </c>
      <c r="K217" s="2656">
        <f>$E217-SUMIF('11.2. ДА за периода'!$B$155:$B$175,$B217,'11.2. ДА за периода'!$E$155:$E$175)+SUMIF('11.2. ДА за периода'!$B$155:$B$175,$B217,'11.2. ДА за периода'!K$155:K$175)</f>
        <v>0</v>
      </c>
      <c r="L217" s="4453">
        <f>+'11.3. ДА Базова година'!J178</f>
        <v>0</v>
      </c>
      <c r="M217" s="2655">
        <f>$L217-SUMIF('11.2. ДА за периода'!$B$155:$B$175,$B217,'11.2. ДА за периода'!$L$155:$L$175)+SUMIF('11.2. ДА за периода'!$B$155:$B$175,$B217,'11.2. ДА за периода'!M$155:M$175)</f>
        <v>0</v>
      </c>
      <c r="N217" s="1136">
        <f>$L217-SUMIF('11.2. ДА за периода'!$B$155:$B$175,$B217,'11.2. ДА за периода'!$L$155:$L$175)+SUMIF('11.2. ДА за периода'!$B$155:$B$175,$B217,'11.2. ДА за периода'!N$155:N$175)</f>
        <v>0</v>
      </c>
      <c r="O217" s="1136">
        <f>$L217-SUMIF('11.2. ДА за периода'!$B$155:$B$175,$B217,'11.2. ДА за периода'!$L$155:$L$175)+SUMIF('11.2. ДА за периода'!$B$155:$B$175,$B217,'11.2. ДА за периода'!O$155:O$175)</f>
        <v>0</v>
      </c>
      <c r="P217" s="1136">
        <f>$L217-SUMIF('11.2. ДА за периода'!$B$155:$B$175,$B217,'11.2. ДА за периода'!$L$155:$L$175)+SUMIF('11.2. ДА за периода'!$B$155:$B$175,$B217,'11.2. ДА за периода'!P$155:P$175)</f>
        <v>0</v>
      </c>
      <c r="Q217" s="1136">
        <f>$L217-SUMIF('11.2. ДА за периода'!$B$155:$B$175,$B217,'11.2. ДА за периода'!$L$155:$L$175)+SUMIF('11.2. ДА за периода'!$B$155:$B$175,$B217,'11.2. ДА за периода'!Q$155:Q$175)</f>
        <v>0</v>
      </c>
      <c r="R217" s="2656">
        <f>$L217-SUMIF('11.2. ДА за периода'!$B$155:$B$175,$B217,'11.2. ДА за периода'!$L$155:$L$175)+SUMIF('11.2. ДА за периода'!$B$155:$B$175,$B217,'11.2. ДА за периода'!R$155:R$175)</f>
        <v>0</v>
      </c>
      <c r="S217" s="4453">
        <f>+'11.3. ДА Базова година'!N178</f>
        <v>0</v>
      </c>
      <c r="T217" s="2655">
        <f>$S217-SUMIF('11.2. ДА за периода'!$B$155:$B$175,$B217,'11.2. ДА за периода'!$S$155:$S$175)+SUMIF('11.2. ДА за периода'!$B$155:$B$175,$B217,'11.2. ДА за периода'!T$155:T$175)</f>
        <v>0</v>
      </c>
      <c r="U217" s="1136">
        <f>$S217-SUMIF('11.2. ДА за периода'!$B$155:$B$175,$B217,'11.2. ДА за периода'!$S$155:$S$175)+SUMIF('11.2. ДА за периода'!$B$155:$B$175,$B217,'11.2. ДА за периода'!U$155:U$175)</f>
        <v>0</v>
      </c>
      <c r="V217" s="1136">
        <f>$S217-SUMIF('11.2. ДА за периода'!$B$155:$B$175,$B217,'11.2. ДА за периода'!$S$155:$S$175)+SUMIF('11.2. ДА за периода'!$B$155:$B$175,$B217,'11.2. ДА за периода'!V$155:V$175)</f>
        <v>0</v>
      </c>
      <c r="W217" s="1136">
        <f>$S217-SUMIF('11.2. ДА за периода'!$B$155:$B$175,$B217,'11.2. ДА за периода'!$S$155:$S$175)+SUMIF('11.2. ДА за периода'!$B$155:$B$175,$B217,'11.2. ДА за периода'!W$155:W$175)</f>
        <v>0</v>
      </c>
      <c r="X217" s="1136">
        <f>$S217-SUMIF('11.2. ДА за периода'!$B$155:$B$175,$B217,'11.2. ДА за периода'!$S$155:$S$175)+SUMIF('11.2. ДА за периода'!$B$155:$B$175,$B217,'11.2. ДА за периода'!X$155:X$175)</f>
        <v>0</v>
      </c>
      <c r="Y217" s="2656">
        <f>$S217-SUMIF('11.2. ДА за периода'!$B$155:$B$175,$B217,'11.2. ДА за периода'!$S$155:$S$175)+SUMIF('11.2. ДА за периода'!$B$155:$B$175,$B217,'11.2. ДА за периода'!Y$155:Y$175)</f>
        <v>0</v>
      </c>
      <c r="Z217" s="4453">
        <f>+'11.3. ДА Базова година'!R178</f>
        <v>0</v>
      </c>
      <c r="AA217" s="2655">
        <f>$Z217-SUMIF('11.2. ДА за периода'!$B$155:$B$175,$B217,'11.2. ДА за периода'!$Z$155:$Z$175)+SUMIF('11.2. ДА за периода'!$B$155:$B$175,$B217,'11.2. ДА за периода'!AA$155:AA$175)</f>
        <v>0</v>
      </c>
      <c r="AB217" s="1136">
        <f>$Z217-SUMIF('11.2. ДА за периода'!$B$155:$B$175,$B217,'11.2. ДА за периода'!$Z$155:$Z$175)+SUMIF('11.2. ДА за периода'!$B$155:$B$175,$B217,'11.2. ДА за периода'!AB$155:AB$175)</f>
        <v>0</v>
      </c>
      <c r="AC217" s="1136">
        <f>$Z217-SUMIF('11.2. ДА за периода'!$B$155:$B$175,$B217,'11.2. ДА за периода'!$Z$155:$Z$175)+SUMIF('11.2. ДА за периода'!$B$155:$B$175,$B217,'11.2. ДА за периода'!AC$155:AC$175)</f>
        <v>0</v>
      </c>
      <c r="AD217" s="1136">
        <f>$Z217-SUMIF('11.2. ДА за периода'!$B$155:$B$175,$B217,'11.2. ДА за периода'!$Z$155:$Z$175)+SUMIF('11.2. ДА за периода'!$B$155:$B$175,$B217,'11.2. ДА за периода'!AD$155:AD$175)</f>
        <v>0</v>
      </c>
      <c r="AE217" s="1136">
        <f>$Z217-SUMIF('11.2. ДА за периода'!$B$155:$B$175,$B217,'11.2. ДА за периода'!$Z$155:$Z$175)+SUMIF('11.2. ДА за периода'!$B$155:$B$175,$B217,'11.2. ДА за периода'!AE$155:AE$175)</f>
        <v>0</v>
      </c>
      <c r="AF217" s="2656">
        <f>$Z217-SUMIF('11.2. ДА за периода'!$B$155:$B$175,$B217,'11.2. ДА за периода'!$Z$155:$Z$175)+SUMIF('11.2. ДА за периода'!$B$155:$B$175,$B217,'11.2. ДА за периода'!AF$155:AF$175)</f>
        <v>0</v>
      </c>
      <c r="AG217" s="4453">
        <f>+'11.3. ДА Базова година'!V178</f>
        <v>0</v>
      </c>
      <c r="AH217" s="2655">
        <f>$AG217-SUMIF('11.2. ДА за периода'!$B$155:$B$175,$B217,'11.2. ДА за периода'!$AG$155:$AG$175)+SUMIF('11.2. ДА за периода'!$B$155:$B$175,$B217,'11.2. ДА за периода'!AH$155:AH$175)</f>
        <v>0</v>
      </c>
      <c r="AI217" s="1136">
        <f>$AG217-SUMIF('11.2. ДА за периода'!$B$155:$B$175,$B217,'11.2. ДА за периода'!$AG$155:$AG$175)+SUMIF('11.2. ДА за периода'!$B$155:$B$175,$B217,'11.2. ДА за периода'!AI$155:AI$175)</f>
        <v>0</v>
      </c>
      <c r="AJ217" s="1136">
        <f>$AG217-SUMIF('11.2. ДА за периода'!$B$155:$B$175,$B217,'11.2. ДА за периода'!$AG$155:$AG$175)+SUMIF('11.2. ДА за периода'!$B$155:$B$175,$B217,'11.2. ДА за периода'!AJ$155:AJ$175)</f>
        <v>0</v>
      </c>
      <c r="AK217" s="1136">
        <f>$AG217-SUMIF('11.2. ДА за периода'!$B$155:$B$175,$B217,'11.2. ДА за периода'!$AG$155:$AG$175)+SUMIF('11.2. ДА за периода'!$B$155:$B$175,$B217,'11.2. ДА за периода'!AK$155:AK$175)</f>
        <v>0</v>
      </c>
      <c r="AL217" s="1136">
        <f>$AG217-SUMIF('11.2. ДА за периода'!$B$155:$B$175,$B217,'11.2. ДА за периода'!$AG$155:$AG$175)+SUMIF('11.2. ДА за периода'!$B$155:$B$175,$B217,'11.2. ДА за периода'!AL$155:AL$175)</f>
        <v>0</v>
      </c>
      <c r="AM217" s="2656">
        <f>$AG217-SUMIF('11.2. ДА за периода'!$B$155:$B$175,$B217,'11.2. ДА за периода'!$AG$155:$AG$175)+SUMIF('11.2. ДА за периода'!$B$155:$B$175,$B217,'11.2. ДА за периода'!AM$155:AM$175)</f>
        <v>0</v>
      </c>
      <c r="AN217" s="2562"/>
      <c r="AO217" s="2589"/>
      <c r="AP217" s="4488"/>
      <c r="AQ217" s="4504">
        <f t="shared" si="271"/>
        <v>0</v>
      </c>
      <c r="AR217" s="4504">
        <f t="shared" si="272"/>
        <v>0</v>
      </c>
      <c r="AS217" s="4504">
        <f t="shared" si="273"/>
        <v>0</v>
      </c>
      <c r="AT217" s="4504">
        <f t="shared" si="274"/>
        <v>0</v>
      </c>
      <c r="AU217" s="4504">
        <f t="shared" si="275"/>
        <v>0</v>
      </c>
      <c r="AV217" s="4504">
        <f t="shared" si="276"/>
        <v>0</v>
      </c>
      <c r="AW217" s="4504">
        <f t="shared" si="277"/>
        <v>0</v>
      </c>
      <c r="AX217" s="4504">
        <f t="shared" si="278"/>
        <v>0</v>
      </c>
      <c r="AY217" s="4504">
        <f t="shared" si="279"/>
        <v>0</v>
      </c>
      <c r="AZ217" s="4504">
        <f t="shared" si="280"/>
        <v>0</v>
      </c>
      <c r="BA217" s="4504">
        <f t="shared" si="281"/>
        <v>0</v>
      </c>
      <c r="BB217" s="4504">
        <f t="shared" si="282"/>
        <v>0</v>
      </c>
      <c r="BC217" s="4504">
        <f t="shared" si="283"/>
        <v>0</v>
      </c>
      <c r="BD217" s="4504">
        <f t="shared" si="284"/>
        <v>0</v>
      </c>
      <c r="BE217" s="4504">
        <f t="shared" si="285"/>
        <v>0</v>
      </c>
      <c r="BF217" s="4504">
        <f t="shared" si="286"/>
        <v>0</v>
      </c>
      <c r="BG217" s="4504">
        <f t="shared" si="287"/>
        <v>0</v>
      </c>
      <c r="BH217" s="4504">
        <f t="shared" si="288"/>
        <v>0</v>
      </c>
      <c r="BI217" s="4504">
        <f t="shared" si="289"/>
        <v>0</v>
      </c>
      <c r="BJ217" s="4504">
        <f t="shared" si="290"/>
        <v>0</v>
      </c>
      <c r="BK217" s="4504">
        <f t="shared" si="291"/>
        <v>0</v>
      </c>
      <c r="BL217" s="4504">
        <f t="shared" si="292"/>
        <v>0</v>
      </c>
      <c r="BM217" s="4504">
        <f t="shared" si="293"/>
        <v>0</v>
      </c>
      <c r="BN217" s="4504">
        <f t="shared" si="294"/>
        <v>0</v>
      </c>
      <c r="BO217" s="4504">
        <f t="shared" si="295"/>
        <v>0</v>
      </c>
      <c r="BP217" s="4504">
        <f t="shared" si="296"/>
        <v>0</v>
      </c>
      <c r="BQ217" s="4504">
        <f t="shared" si="297"/>
        <v>0</v>
      </c>
      <c r="BR217" s="4504">
        <f t="shared" si="298"/>
        <v>0</v>
      </c>
      <c r="BS217" s="4504">
        <f t="shared" si="299"/>
        <v>0</v>
      </c>
      <c r="BT217" s="4504">
        <f t="shared" si="300"/>
        <v>0</v>
      </c>
      <c r="BU217" s="4504">
        <f t="shared" si="301"/>
        <v>0</v>
      </c>
      <c r="BV217" s="4504">
        <f t="shared" si="302"/>
        <v>0</v>
      </c>
      <c r="BW217" s="4504">
        <f t="shared" si="303"/>
        <v>0</v>
      </c>
      <c r="BX217" s="4504">
        <f t="shared" si="304"/>
        <v>0</v>
      </c>
      <c r="BY217" s="4504">
        <f t="shared" si="305"/>
        <v>0</v>
      </c>
    </row>
    <row r="218" spans="1:77" s="1323" customFormat="1">
      <c r="A218" s="2553">
        <v>4</v>
      </c>
      <c r="B218" s="2554">
        <v>911302</v>
      </c>
      <c r="C218" s="2555">
        <v>0.1</v>
      </c>
      <c r="D218" s="2609" t="s">
        <v>428</v>
      </c>
      <c r="E218" s="4453">
        <f>+'11.3. ДА Базова година'!F179</f>
        <v>0</v>
      </c>
      <c r="F218" s="2655">
        <f>$E218-SUMIF('11.2. ДА за периода'!$B$155:$B$175,$B218,'11.2. ДА за периода'!$E$155:$E$175)+SUMIF('11.2. ДА за периода'!$B$155:$B$175,$B218,'11.2. ДА за периода'!F$155:F$175)</f>
        <v>0</v>
      </c>
      <c r="G218" s="1136">
        <f>$E218-SUMIF('11.2. ДА за периода'!$B$155:$B$175,$B218,'11.2. ДА за периода'!$E$155:$E$175)+SUMIF('11.2. ДА за периода'!$B$155:$B$175,$B218,'11.2. ДА за периода'!G$155:G$175)</f>
        <v>0</v>
      </c>
      <c r="H218" s="1136">
        <f>$E218-SUMIF('11.2. ДА за периода'!$B$155:$B$175,$B218,'11.2. ДА за периода'!$E$155:$E$175)+SUMIF('11.2. ДА за периода'!$B$155:$B$175,$B218,'11.2. ДА за периода'!H$155:H$175)</f>
        <v>0</v>
      </c>
      <c r="I218" s="1136">
        <f>$E218-SUMIF('11.2. ДА за периода'!$B$155:$B$175,$B218,'11.2. ДА за периода'!$E$155:$E$175)+SUMIF('11.2. ДА за периода'!$B$155:$B$175,$B218,'11.2. ДА за периода'!I$155:I$175)</f>
        <v>0</v>
      </c>
      <c r="J218" s="1136">
        <f>$E218-SUMIF('11.2. ДА за периода'!$B$155:$B$175,$B218,'11.2. ДА за периода'!$E$155:$E$175)+SUMIF('11.2. ДА за периода'!$B$155:$B$175,$B218,'11.2. ДА за периода'!J$155:J$175)</f>
        <v>0</v>
      </c>
      <c r="K218" s="2656">
        <f>$E218-SUMIF('11.2. ДА за периода'!$B$155:$B$175,$B218,'11.2. ДА за периода'!$E$155:$E$175)+SUMIF('11.2. ДА за периода'!$B$155:$B$175,$B218,'11.2. ДА за периода'!K$155:K$175)</f>
        <v>0</v>
      </c>
      <c r="L218" s="4453">
        <f>+'11.3. ДА Базова година'!J179</f>
        <v>0</v>
      </c>
      <c r="M218" s="2655">
        <f>$L218-SUMIF('11.2. ДА за периода'!$B$155:$B$175,$B218,'11.2. ДА за периода'!$L$155:$L$175)+SUMIF('11.2. ДА за периода'!$B$155:$B$175,$B218,'11.2. ДА за периода'!M$155:M$175)</f>
        <v>0</v>
      </c>
      <c r="N218" s="1136">
        <f>$L218-SUMIF('11.2. ДА за периода'!$B$155:$B$175,$B218,'11.2. ДА за периода'!$L$155:$L$175)+SUMIF('11.2. ДА за периода'!$B$155:$B$175,$B218,'11.2. ДА за периода'!N$155:N$175)</f>
        <v>0</v>
      </c>
      <c r="O218" s="1136">
        <f>$L218-SUMIF('11.2. ДА за периода'!$B$155:$B$175,$B218,'11.2. ДА за периода'!$L$155:$L$175)+SUMIF('11.2. ДА за периода'!$B$155:$B$175,$B218,'11.2. ДА за периода'!O$155:O$175)</f>
        <v>0</v>
      </c>
      <c r="P218" s="1136">
        <f>$L218-SUMIF('11.2. ДА за периода'!$B$155:$B$175,$B218,'11.2. ДА за периода'!$L$155:$L$175)+SUMIF('11.2. ДА за периода'!$B$155:$B$175,$B218,'11.2. ДА за периода'!P$155:P$175)</f>
        <v>0</v>
      </c>
      <c r="Q218" s="1136">
        <f>$L218-SUMIF('11.2. ДА за периода'!$B$155:$B$175,$B218,'11.2. ДА за периода'!$L$155:$L$175)+SUMIF('11.2. ДА за периода'!$B$155:$B$175,$B218,'11.2. ДА за периода'!Q$155:Q$175)</f>
        <v>0</v>
      </c>
      <c r="R218" s="2656">
        <f>$L218-SUMIF('11.2. ДА за периода'!$B$155:$B$175,$B218,'11.2. ДА за периода'!$L$155:$L$175)+SUMIF('11.2. ДА за периода'!$B$155:$B$175,$B218,'11.2. ДА за периода'!R$155:R$175)</f>
        <v>0</v>
      </c>
      <c r="S218" s="4453">
        <f>+'11.3. ДА Базова година'!N179</f>
        <v>0</v>
      </c>
      <c r="T218" s="2655">
        <f>$S218-SUMIF('11.2. ДА за периода'!$B$155:$B$175,$B218,'11.2. ДА за периода'!$S$155:$S$175)+SUMIF('11.2. ДА за периода'!$B$155:$B$175,$B218,'11.2. ДА за периода'!T$155:T$175)</f>
        <v>0</v>
      </c>
      <c r="U218" s="1136">
        <f>$S218-SUMIF('11.2. ДА за периода'!$B$155:$B$175,$B218,'11.2. ДА за периода'!$S$155:$S$175)+SUMIF('11.2. ДА за периода'!$B$155:$B$175,$B218,'11.2. ДА за периода'!U$155:U$175)</f>
        <v>0</v>
      </c>
      <c r="V218" s="1136">
        <f>$S218-SUMIF('11.2. ДА за периода'!$B$155:$B$175,$B218,'11.2. ДА за периода'!$S$155:$S$175)+SUMIF('11.2. ДА за периода'!$B$155:$B$175,$B218,'11.2. ДА за периода'!V$155:V$175)</f>
        <v>0</v>
      </c>
      <c r="W218" s="1136">
        <f>$S218-SUMIF('11.2. ДА за периода'!$B$155:$B$175,$B218,'11.2. ДА за периода'!$S$155:$S$175)+SUMIF('11.2. ДА за периода'!$B$155:$B$175,$B218,'11.2. ДА за периода'!W$155:W$175)</f>
        <v>0</v>
      </c>
      <c r="X218" s="1136">
        <f>$S218-SUMIF('11.2. ДА за периода'!$B$155:$B$175,$B218,'11.2. ДА за периода'!$S$155:$S$175)+SUMIF('11.2. ДА за периода'!$B$155:$B$175,$B218,'11.2. ДА за периода'!X$155:X$175)</f>
        <v>0</v>
      </c>
      <c r="Y218" s="2656">
        <f>$S218-SUMIF('11.2. ДА за периода'!$B$155:$B$175,$B218,'11.2. ДА за периода'!$S$155:$S$175)+SUMIF('11.2. ДА за периода'!$B$155:$B$175,$B218,'11.2. ДА за периода'!Y$155:Y$175)</f>
        <v>0</v>
      </c>
      <c r="Z218" s="4453">
        <f>+'11.3. ДА Базова година'!R179</f>
        <v>0</v>
      </c>
      <c r="AA218" s="2655">
        <f>$Z218-SUMIF('11.2. ДА за периода'!$B$155:$B$175,$B218,'11.2. ДА за периода'!$Z$155:$Z$175)+SUMIF('11.2. ДА за периода'!$B$155:$B$175,$B218,'11.2. ДА за периода'!AA$155:AA$175)</f>
        <v>0</v>
      </c>
      <c r="AB218" s="1136">
        <f>$Z218-SUMIF('11.2. ДА за периода'!$B$155:$B$175,$B218,'11.2. ДА за периода'!$Z$155:$Z$175)+SUMIF('11.2. ДА за периода'!$B$155:$B$175,$B218,'11.2. ДА за периода'!AB$155:AB$175)</f>
        <v>0</v>
      </c>
      <c r="AC218" s="1136">
        <f>$Z218-SUMIF('11.2. ДА за периода'!$B$155:$B$175,$B218,'11.2. ДА за периода'!$Z$155:$Z$175)+SUMIF('11.2. ДА за периода'!$B$155:$B$175,$B218,'11.2. ДА за периода'!AC$155:AC$175)</f>
        <v>0</v>
      </c>
      <c r="AD218" s="1136">
        <f>$Z218-SUMIF('11.2. ДА за периода'!$B$155:$B$175,$B218,'11.2. ДА за периода'!$Z$155:$Z$175)+SUMIF('11.2. ДА за периода'!$B$155:$B$175,$B218,'11.2. ДА за периода'!AD$155:AD$175)</f>
        <v>0</v>
      </c>
      <c r="AE218" s="1136">
        <f>$Z218-SUMIF('11.2. ДА за периода'!$B$155:$B$175,$B218,'11.2. ДА за периода'!$Z$155:$Z$175)+SUMIF('11.2. ДА за периода'!$B$155:$B$175,$B218,'11.2. ДА за периода'!AE$155:AE$175)</f>
        <v>0</v>
      </c>
      <c r="AF218" s="2656">
        <f>$Z218-SUMIF('11.2. ДА за периода'!$B$155:$B$175,$B218,'11.2. ДА за периода'!$Z$155:$Z$175)+SUMIF('11.2. ДА за периода'!$B$155:$B$175,$B218,'11.2. ДА за периода'!AF$155:AF$175)</f>
        <v>0</v>
      </c>
      <c r="AG218" s="4453">
        <f>+'11.3. ДА Базова година'!V179</f>
        <v>0</v>
      </c>
      <c r="AH218" s="2655">
        <f>$AG218-SUMIF('11.2. ДА за периода'!$B$155:$B$175,$B218,'11.2. ДА за периода'!$AG$155:$AG$175)+SUMIF('11.2. ДА за периода'!$B$155:$B$175,$B218,'11.2. ДА за периода'!AH$155:AH$175)</f>
        <v>0</v>
      </c>
      <c r="AI218" s="1136">
        <f>$AG218-SUMIF('11.2. ДА за периода'!$B$155:$B$175,$B218,'11.2. ДА за периода'!$AG$155:$AG$175)+SUMIF('11.2. ДА за периода'!$B$155:$B$175,$B218,'11.2. ДА за периода'!AI$155:AI$175)</f>
        <v>0</v>
      </c>
      <c r="AJ218" s="1136">
        <f>$AG218-SUMIF('11.2. ДА за периода'!$B$155:$B$175,$B218,'11.2. ДА за периода'!$AG$155:$AG$175)+SUMIF('11.2. ДА за периода'!$B$155:$B$175,$B218,'11.2. ДА за периода'!AJ$155:AJ$175)</f>
        <v>0</v>
      </c>
      <c r="AK218" s="1136">
        <f>$AG218-SUMIF('11.2. ДА за периода'!$B$155:$B$175,$B218,'11.2. ДА за периода'!$AG$155:$AG$175)+SUMIF('11.2. ДА за периода'!$B$155:$B$175,$B218,'11.2. ДА за периода'!AK$155:AK$175)</f>
        <v>0</v>
      </c>
      <c r="AL218" s="1136">
        <f>$AG218-SUMIF('11.2. ДА за периода'!$B$155:$B$175,$B218,'11.2. ДА за периода'!$AG$155:$AG$175)+SUMIF('11.2. ДА за периода'!$B$155:$B$175,$B218,'11.2. ДА за периода'!AL$155:AL$175)</f>
        <v>0</v>
      </c>
      <c r="AM218" s="2656">
        <f>$AG218-SUMIF('11.2. ДА за периода'!$B$155:$B$175,$B218,'11.2. ДА за периода'!$AG$155:$AG$175)+SUMIF('11.2. ДА за периода'!$B$155:$B$175,$B218,'11.2. ДА за периода'!AM$155:AM$175)</f>
        <v>0</v>
      </c>
      <c r="AN218" s="2562"/>
      <c r="AO218" s="2589"/>
      <c r="AP218" s="4488"/>
      <c r="AQ218" s="4504">
        <f t="shared" si="271"/>
        <v>0</v>
      </c>
      <c r="AR218" s="4504">
        <f t="shared" si="272"/>
        <v>0</v>
      </c>
      <c r="AS218" s="4504">
        <f t="shared" si="273"/>
        <v>0</v>
      </c>
      <c r="AT218" s="4504">
        <f t="shared" si="274"/>
        <v>0</v>
      </c>
      <c r="AU218" s="4504">
        <f t="shared" si="275"/>
        <v>0</v>
      </c>
      <c r="AV218" s="4504">
        <f t="shared" si="276"/>
        <v>0</v>
      </c>
      <c r="AW218" s="4504">
        <f t="shared" si="277"/>
        <v>0</v>
      </c>
      <c r="AX218" s="4504">
        <f t="shared" si="278"/>
        <v>0</v>
      </c>
      <c r="AY218" s="4504">
        <f t="shared" si="279"/>
        <v>0</v>
      </c>
      <c r="AZ218" s="4504">
        <f t="shared" si="280"/>
        <v>0</v>
      </c>
      <c r="BA218" s="4504">
        <f t="shared" si="281"/>
        <v>0</v>
      </c>
      <c r="BB218" s="4504">
        <f t="shared" si="282"/>
        <v>0</v>
      </c>
      <c r="BC218" s="4504">
        <f t="shared" si="283"/>
        <v>0</v>
      </c>
      <c r="BD218" s="4504">
        <f t="shared" si="284"/>
        <v>0</v>
      </c>
      <c r="BE218" s="4504">
        <f t="shared" si="285"/>
        <v>0</v>
      </c>
      <c r="BF218" s="4504">
        <f t="shared" si="286"/>
        <v>0</v>
      </c>
      <c r="BG218" s="4504">
        <f t="shared" si="287"/>
        <v>0</v>
      </c>
      <c r="BH218" s="4504">
        <f t="shared" si="288"/>
        <v>0</v>
      </c>
      <c r="BI218" s="4504">
        <f t="shared" si="289"/>
        <v>0</v>
      </c>
      <c r="BJ218" s="4504">
        <f t="shared" si="290"/>
        <v>0</v>
      </c>
      <c r="BK218" s="4504">
        <f t="shared" si="291"/>
        <v>0</v>
      </c>
      <c r="BL218" s="4504">
        <f t="shared" si="292"/>
        <v>0</v>
      </c>
      <c r="BM218" s="4504">
        <f t="shared" si="293"/>
        <v>0</v>
      </c>
      <c r="BN218" s="4504">
        <f t="shared" si="294"/>
        <v>0</v>
      </c>
      <c r="BO218" s="4504">
        <f t="shared" si="295"/>
        <v>0</v>
      </c>
      <c r="BP218" s="4504">
        <f t="shared" si="296"/>
        <v>0</v>
      </c>
      <c r="BQ218" s="4504">
        <f t="shared" si="297"/>
        <v>0</v>
      </c>
      <c r="BR218" s="4504">
        <f t="shared" si="298"/>
        <v>0</v>
      </c>
      <c r="BS218" s="4504">
        <f t="shared" si="299"/>
        <v>0</v>
      </c>
      <c r="BT218" s="4504">
        <f t="shared" si="300"/>
        <v>0</v>
      </c>
      <c r="BU218" s="4504">
        <f t="shared" si="301"/>
        <v>0</v>
      </c>
      <c r="BV218" s="4504">
        <f t="shared" si="302"/>
        <v>0</v>
      </c>
      <c r="BW218" s="4504">
        <f t="shared" si="303"/>
        <v>0</v>
      </c>
      <c r="BX218" s="4504">
        <f t="shared" si="304"/>
        <v>0</v>
      </c>
      <c r="BY218" s="4504">
        <f t="shared" si="305"/>
        <v>0</v>
      </c>
    </row>
    <row r="219" spans="1:77" s="1323" customFormat="1">
      <c r="A219" s="2553">
        <v>5</v>
      </c>
      <c r="B219" s="2554" t="s">
        <v>714</v>
      </c>
      <c r="C219" s="2555">
        <v>0.1</v>
      </c>
      <c r="D219" s="2590" t="s">
        <v>407</v>
      </c>
      <c r="E219" s="4453">
        <f>+'11.3. ДА Базова година'!F180</f>
        <v>0.36935742742214939</v>
      </c>
      <c r="F219" s="2655">
        <f>$E219-SUMIF('11.2. ДА за периода'!$B$155:$B$175,$B219,'11.2. ДА за периода'!$E$155:$E$175)+SUMIF('11.2. ДА за периода'!$B$155:$B$175,$B219,'11.2. ДА за периода'!F$155:F$175)</f>
        <v>0.36935742742214939</v>
      </c>
      <c r="G219" s="1136">
        <f>$E219-SUMIF('11.2. ДА за периода'!$B$155:$B$175,$B219,'11.2. ДА за периода'!$E$155:$E$175)+SUMIF('11.2. ДА за периода'!$B$155:$B$175,$B219,'11.2. ДА за периода'!G$155:G$175)</f>
        <v>0.36935742742214939</v>
      </c>
      <c r="H219" s="1136">
        <f>$E219-SUMIF('11.2. ДА за периода'!$B$155:$B$175,$B219,'11.2. ДА за периода'!$E$155:$E$175)+SUMIF('11.2. ДА за периода'!$B$155:$B$175,$B219,'11.2. ДА за периода'!H$155:H$175)</f>
        <v>0.36935742742214939</v>
      </c>
      <c r="I219" s="1136">
        <f>$E219-SUMIF('11.2. ДА за периода'!$B$155:$B$175,$B219,'11.2. ДА за периода'!$E$155:$E$175)+SUMIF('11.2. ДА за периода'!$B$155:$B$175,$B219,'11.2. ДА за периода'!I$155:I$175)</f>
        <v>0.36935742742214939</v>
      </c>
      <c r="J219" s="1136">
        <f>$E219-SUMIF('11.2. ДА за периода'!$B$155:$B$175,$B219,'11.2. ДА за периода'!$E$155:$E$175)+SUMIF('11.2. ДА за периода'!$B$155:$B$175,$B219,'11.2. ДА за периода'!J$155:J$175)</f>
        <v>0.36935742742214939</v>
      </c>
      <c r="K219" s="2656">
        <f>$E219-SUMIF('11.2. ДА за периода'!$B$155:$B$175,$B219,'11.2. ДА за периода'!$E$155:$E$175)+SUMIF('11.2. ДА за периода'!$B$155:$B$175,$B219,'11.2. ДА за периода'!K$155:K$175)</f>
        <v>0.36935742742214939</v>
      </c>
      <c r="L219" s="4453">
        <f>+'11.3. ДА Базова година'!J180</f>
        <v>0</v>
      </c>
      <c r="M219" s="2655">
        <f>$L219-SUMIF('11.2. ДА за периода'!$B$155:$B$175,$B219,'11.2. ДА за периода'!$L$155:$L$175)+SUMIF('11.2. ДА за периода'!$B$155:$B$175,$B219,'11.2. ДА за периода'!M$155:M$175)</f>
        <v>0</v>
      </c>
      <c r="N219" s="1136">
        <f>$L219-SUMIF('11.2. ДА за периода'!$B$155:$B$175,$B219,'11.2. ДА за периода'!$L$155:$L$175)+SUMIF('11.2. ДА за периода'!$B$155:$B$175,$B219,'11.2. ДА за периода'!N$155:N$175)</f>
        <v>0</v>
      </c>
      <c r="O219" s="1136">
        <f>$L219-SUMIF('11.2. ДА за периода'!$B$155:$B$175,$B219,'11.2. ДА за периода'!$L$155:$L$175)+SUMIF('11.2. ДА за периода'!$B$155:$B$175,$B219,'11.2. ДА за периода'!O$155:O$175)</f>
        <v>0</v>
      </c>
      <c r="P219" s="1136">
        <f>$L219-SUMIF('11.2. ДА за периода'!$B$155:$B$175,$B219,'11.2. ДА за периода'!$L$155:$L$175)+SUMIF('11.2. ДА за периода'!$B$155:$B$175,$B219,'11.2. ДА за периода'!P$155:P$175)</f>
        <v>0</v>
      </c>
      <c r="Q219" s="1136">
        <f>$L219-SUMIF('11.2. ДА за периода'!$B$155:$B$175,$B219,'11.2. ДА за периода'!$L$155:$L$175)+SUMIF('11.2. ДА за периода'!$B$155:$B$175,$B219,'11.2. ДА за периода'!Q$155:Q$175)</f>
        <v>0</v>
      </c>
      <c r="R219" s="2656">
        <f>$L219-SUMIF('11.2. ДА за периода'!$B$155:$B$175,$B219,'11.2. ДА за периода'!$L$155:$L$175)+SUMIF('11.2. ДА за периода'!$B$155:$B$175,$B219,'11.2. ДА за периода'!R$155:R$175)</f>
        <v>0</v>
      </c>
      <c r="S219" s="4453">
        <f>+'11.3. ДА Базова година'!N180</f>
        <v>0</v>
      </c>
      <c r="T219" s="2655">
        <f>$S219-SUMIF('11.2. ДА за периода'!$B$155:$B$175,$B219,'11.2. ДА за периода'!$S$155:$S$175)+SUMIF('11.2. ДА за периода'!$B$155:$B$175,$B219,'11.2. ДА за периода'!T$155:T$175)</f>
        <v>0</v>
      </c>
      <c r="U219" s="1136">
        <f>$S219-SUMIF('11.2. ДА за периода'!$B$155:$B$175,$B219,'11.2. ДА за периода'!$S$155:$S$175)+SUMIF('11.2. ДА за периода'!$B$155:$B$175,$B219,'11.2. ДА за периода'!U$155:U$175)</f>
        <v>0</v>
      </c>
      <c r="V219" s="1136">
        <f>$S219-SUMIF('11.2. ДА за периода'!$B$155:$B$175,$B219,'11.2. ДА за периода'!$S$155:$S$175)+SUMIF('11.2. ДА за периода'!$B$155:$B$175,$B219,'11.2. ДА за периода'!V$155:V$175)</f>
        <v>0</v>
      </c>
      <c r="W219" s="1136">
        <f>$S219-SUMIF('11.2. ДА за периода'!$B$155:$B$175,$B219,'11.2. ДА за периода'!$S$155:$S$175)+SUMIF('11.2. ДА за периода'!$B$155:$B$175,$B219,'11.2. ДА за периода'!W$155:W$175)</f>
        <v>0</v>
      </c>
      <c r="X219" s="1136">
        <f>$S219-SUMIF('11.2. ДА за периода'!$B$155:$B$175,$B219,'11.2. ДА за периода'!$S$155:$S$175)+SUMIF('11.2. ДА за периода'!$B$155:$B$175,$B219,'11.2. ДА за периода'!X$155:X$175)</f>
        <v>0</v>
      </c>
      <c r="Y219" s="2656">
        <f>$S219-SUMIF('11.2. ДА за периода'!$B$155:$B$175,$B219,'11.2. ДА за периода'!$S$155:$S$175)+SUMIF('11.2. ДА за периода'!$B$155:$B$175,$B219,'11.2. ДА за периода'!Y$155:Y$175)</f>
        <v>0</v>
      </c>
      <c r="Z219" s="4453">
        <f>+'11.3. ДА Базова година'!R180</f>
        <v>0</v>
      </c>
      <c r="AA219" s="2655">
        <f>$Z219-SUMIF('11.2. ДА за периода'!$B$155:$B$175,$B219,'11.2. ДА за периода'!$Z$155:$Z$175)+SUMIF('11.2. ДА за периода'!$B$155:$B$175,$B219,'11.2. ДА за периода'!AA$155:AA$175)</f>
        <v>0</v>
      </c>
      <c r="AB219" s="1136">
        <f>$Z219-SUMIF('11.2. ДА за периода'!$B$155:$B$175,$B219,'11.2. ДА за периода'!$Z$155:$Z$175)+SUMIF('11.2. ДА за периода'!$B$155:$B$175,$B219,'11.2. ДА за периода'!AB$155:AB$175)</f>
        <v>0</v>
      </c>
      <c r="AC219" s="1136">
        <f>$Z219-SUMIF('11.2. ДА за периода'!$B$155:$B$175,$B219,'11.2. ДА за периода'!$Z$155:$Z$175)+SUMIF('11.2. ДА за периода'!$B$155:$B$175,$B219,'11.2. ДА за периода'!AC$155:AC$175)</f>
        <v>0</v>
      </c>
      <c r="AD219" s="1136">
        <f>$Z219-SUMIF('11.2. ДА за периода'!$B$155:$B$175,$B219,'11.2. ДА за периода'!$Z$155:$Z$175)+SUMIF('11.2. ДА за периода'!$B$155:$B$175,$B219,'11.2. ДА за периода'!AD$155:AD$175)</f>
        <v>0</v>
      </c>
      <c r="AE219" s="1136">
        <f>$Z219-SUMIF('11.2. ДА за периода'!$B$155:$B$175,$B219,'11.2. ДА за периода'!$Z$155:$Z$175)+SUMIF('11.2. ДА за периода'!$B$155:$B$175,$B219,'11.2. ДА за периода'!AE$155:AE$175)</f>
        <v>0</v>
      </c>
      <c r="AF219" s="2656">
        <f>$Z219-SUMIF('11.2. ДА за периода'!$B$155:$B$175,$B219,'11.2. ДА за периода'!$Z$155:$Z$175)+SUMIF('11.2. ДА за периода'!$B$155:$B$175,$B219,'11.2. ДА за периода'!AF$155:AF$175)</f>
        <v>0</v>
      </c>
      <c r="AG219" s="4453">
        <f>+'11.3. ДА Базова година'!V180</f>
        <v>0.23977257257785062</v>
      </c>
      <c r="AH219" s="2655">
        <f>$AG219-SUMIF('11.2. ДА за периода'!$B$155:$B$175,$B219,'11.2. ДА за периода'!$AG$155:$AG$175)+SUMIF('11.2. ДА за периода'!$B$155:$B$175,$B219,'11.2. ДА за периода'!AH$155:AH$175)</f>
        <v>0.23977257257785062</v>
      </c>
      <c r="AI219" s="1136">
        <f>$AG219-SUMIF('11.2. ДА за периода'!$B$155:$B$175,$B219,'11.2. ДА за периода'!$AG$155:$AG$175)+SUMIF('11.2. ДА за периода'!$B$155:$B$175,$B219,'11.2. ДА за периода'!AI$155:AI$175)</f>
        <v>0.23977257257785062</v>
      </c>
      <c r="AJ219" s="1136">
        <f>$AG219-SUMIF('11.2. ДА за периода'!$B$155:$B$175,$B219,'11.2. ДА за периода'!$AG$155:$AG$175)+SUMIF('11.2. ДА за периода'!$B$155:$B$175,$B219,'11.2. ДА за периода'!AJ$155:AJ$175)</f>
        <v>0.23977257257785062</v>
      </c>
      <c r="AK219" s="1136">
        <f>$AG219-SUMIF('11.2. ДА за периода'!$B$155:$B$175,$B219,'11.2. ДА за периода'!$AG$155:$AG$175)+SUMIF('11.2. ДА за периода'!$B$155:$B$175,$B219,'11.2. ДА за периода'!AK$155:AK$175)</f>
        <v>0.23977257257785062</v>
      </c>
      <c r="AL219" s="1136">
        <f>$AG219-SUMIF('11.2. ДА за периода'!$B$155:$B$175,$B219,'11.2. ДА за периода'!$AG$155:$AG$175)+SUMIF('11.2. ДА за периода'!$B$155:$B$175,$B219,'11.2. ДА за периода'!AL$155:AL$175)</f>
        <v>0.23977257257785062</v>
      </c>
      <c r="AM219" s="2656">
        <f>$AG219-SUMIF('11.2. ДА за периода'!$B$155:$B$175,$B219,'11.2. ДА за периода'!$AG$155:$AG$175)+SUMIF('11.2. ДА за периода'!$B$155:$B$175,$B219,'11.2. ДА за периода'!AM$155:AM$175)</f>
        <v>0.23977257257785062</v>
      </c>
      <c r="AN219" s="2562"/>
      <c r="AO219" s="2589"/>
      <c r="AP219" s="4488"/>
      <c r="AQ219" s="4504">
        <f t="shared" si="271"/>
        <v>0.18884945390046651</v>
      </c>
      <c r="AR219" s="4504">
        <f t="shared" si="272"/>
        <v>0.18884945390046651</v>
      </c>
      <c r="AS219" s="4504">
        <f t="shared" si="273"/>
        <v>0.18884945390046651</v>
      </c>
      <c r="AT219" s="4504">
        <f t="shared" si="274"/>
        <v>0.18884945390046651</v>
      </c>
      <c r="AU219" s="4504">
        <f t="shared" si="275"/>
        <v>0.18884945390046651</v>
      </c>
      <c r="AV219" s="4504">
        <f t="shared" si="276"/>
        <v>0.18884945390046651</v>
      </c>
      <c r="AW219" s="4504">
        <f t="shared" si="277"/>
        <v>0.18884945390046651</v>
      </c>
      <c r="AX219" s="4504">
        <f t="shared" si="278"/>
        <v>0</v>
      </c>
      <c r="AY219" s="4504">
        <f t="shared" si="279"/>
        <v>0</v>
      </c>
      <c r="AZ219" s="4504">
        <f t="shared" si="280"/>
        <v>0</v>
      </c>
      <c r="BA219" s="4504">
        <f t="shared" si="281"/>
        <v>0</v>
      </c>
      <c r="BB219" s="4504">
        <f t="shared" si="282"/>
        <v>0</v>
      </c>
      <c r="BC219" s="4504">
        <f t="shared" si="283"/>
        <v>0</v>
      </c>
      <c r="BD219" s="4504">
        <f t="shared" si="284"/>
        <v>0</v>
      </c>
      <c r="BE219" s="4504">
        <f t="shared" si="285"/>
        <v>0</v>
      </c>
      <c r="BF219" s="4504">
        <f t="shared" si="286"/>
        <v>0</v>
      </c>
      <c r="BG219" s="4504">
        <f t="shared" si="287"/>
        <v>0</v>
      </c>
      <c r="BH219" s="4504">
        <f t="shared" si="288"/>
        <v>0</v>
      </c>
      <c r="BI219" s="4504">
        <f t="shared" si="289"/>
        <v>0</v>
      </c>
      <c r="BJ219" s="4504">
        <f t="shared" si="290"/>
        <v>0</v>
      </c>
      <c r="BK219" s="4504">
        <f t="shared" si="291"/>
        <v>0</v>
      </c>
      <c r="BL219" s="4504">
        <f t="shared" si="292"/>
        <v>0</v>
      </c>
      <c r="BM219" s="4504">
        <f t="shared" si="293"/>
        <v>0</v>
      </c>
      <c r="BN219" s="4504">
        <f t="shared" si="294"/>
        <v>0</v>
      </c>
      <c r="BO219" s="4504">
        <f t="shared" si="295"/>
        <v>0</v>
      </c>
      <c r="BP219" s="4504">
        <f t="shared" si="296"/>
        <v>0</v>
      </c>
      <c r="BQ219" s="4504">
        <f t="shared" si="297"/>
        <v>0</v>
      </c>
      <c r="BR219" s="4504">
        <f t="shared" si="298"/>
        <v>0</v>
      </c>
      <c r="BS219" s="4504">
        <f t="shared" si="299"/>
        <v>0.12259376969258608</v>
      </c>
      <c r="BT219" s="4504">
        <f t="shared" si="300"/>
        <v>0.12259376969258608</v>
      </c>
      <c r="BU219" s="4504">
        <f t="shared" si="301"/>
        <v>0.12259376969258608</v>
      </c>
      <c r="BV219" s="4504">
        <f t="shared" si="302"/>
        <v>0.12259376969258608</v>
      </c>
      <c r="BW219" s="4504">
        <f t="shared" si="303"/>
        <v>0.12259376969258608</v>
      </c>
      <c r="BX219" s="4504">
        <f t="shared" si="304"/>
        <v>0.12259376969258608</v>
      </c>
      <c r="BY219" s="4504">
        <f t="shared" si="305"/>
        <v>0.12259376969258608</v>
      </c>
    </row>
    <row r="220" spans="1:77" s="1323" customFormat="1">
      <c r="A220" s="2553">
        <v>6</v>
      </c>
      <c r="B220" s="2554" t="s">
        <v>715</v>
      </c>
      <c r="C220" s="2555">
        <v>0.1</v>
      </c>
      <c r="D220" s="2590" t="s">
        <v>1001</v>
      </c>
      <c r="E220" s="4453">
        <f>+'11.3. ДА Базова година'!F181</f>
        <v>3.2000000000000003E-4</v>
      </c>
      <c r="F220" s="2655">
        <f>$E220-SUMIF('11.2. ДА за периода'!$B$155:$B$175,$B220,'11.2. ДА за периода'!$E$155:$E$175)+SUMIF('11.2. ДА за периода'!$B$155:$B$175,$B220,'11.2. ДА за периода'!F$155:F$175)</f>
        <v>3.2000000000000003E-4</v>
      </c>
      <c r="G220" s="1136">
        <f>$E220-SUMIF('11.2. ДА за периода'!$B$155:$B$175,$B220,'11.2. ДА за периода'!$E$155:$E$175)+SUMIF('11.2. ДА за периода'!$B$155:$B$175,$B220,'11.2. ДА за периода'!G$155:G$175)</f>
        <v>3.2000000000000003E-4</v>
      </c>
      <c r="H220" s="1136">
        <f>$E220-SUMIF('11.2. ДА за периода'!$B$155:$B$175,$B220,'11.2. ДА за периода'!$E$155:$E$175)+SUMIF('11.2. ДА за периода'!$B$155:$B$175,$B220,'11.2. ДА за периода'!H$155:H$175)</f>
        <v>3.2000000000000003E-4</v>
      </c>
      <c r="I220" s="1136">
        <f>$E220-SUMIF('11.2. ДА за периода'!$B$155:$B$175,$B220,'11.2. ДА за периода'!$E$155:$E$175)+SUMIF('11.2. ДА за периода'!$B$155:$B$175,$B220,'11.2. ДА за периода'!I$155:I$175)</f>
        <v>3.2000000000000003E-4</v>
      </c>
      <c r="J220" s="1136">
        <f>$E220-SUMIF('11.2. ДА за периода'!$B$155:$B$175,$B220,'11.2. ДА за периода'!$E$155:$E$175)+SUMIF('11.2. ДА за периода'!$B$155:$B$175,$B220,'11.2. ДА за периода'!J$155:J$175)</f>
        <v>3.2000000000000003E-4</v>
      </c>
      <c r="K220" s="2656">
        <f>$E220-SUMIF('11.2. ДА за периода'!$B$155:$B$175,$B220,'11.2. ДА за периода'!$E$155:$E$175)+SUMIF('11.2. ДА за периода'!$B$155:$B$175,$B220,'11.2. ДА за периода'!K$155:K$175)</f>
        <v>3.2000000000000003E-4</v>
      </c>
      <c r="L220" s="4453">
        <f>+'11.3. ДА Базова година'!J181</f>
        <v>0</v>
      </c>
      <c r="M220" s="2655">
        <f>$L220-SUMIF('11.2. ДА за периода'!$B$155:$B$175,$B220,'11.2. ДА за периода'!$L$155:$L$175)+SUMIF('11.2. ДА за периода'!$B$155:$B$175,$B220,'11.2. ДА за периода'!M$155:M$175)</f>
        <v>0</v>
      </c>
      <c r="N220" s="1136">
        <f>$L220-SUMIF('11.2. ДА за периода'!$B$155:$B$175,$B220,'11.2. ДА за периода'!$L$155:$L$175)+SUMIF('11.2. ДА за периода'!$B$155:$B$175,$B220,'11.2. ДА за периода'!N$155:N$175)</f>
        <v>0</v>
      </c>
      <c r="O220" s="1136">
        <f>$L220-SUMIF('11.2. ДА за периода'!$B$155:$B$175,$B220,'11.2. ДА за периода'!$L$155:$L$175)+SUMIF('11.2. ДА за периода'!$B$155:$B$175,$B220,'11.2. ДА за периода'!O$155:O$175)</f>
        <v>0</v>
      </c>
      <c r="P220" s="1136">
        <f>$L220-SUMIF('11.2. ДА за периода'!$B$155:$B$175,$B220,'11.2. ДА за периода'!$L$155:$L$175)+SUMIF('11.2. ДА за периода'!$B$155:$B$175,$B220,'11.2. ДА за периода'!P$155:P$175)</f>
        <v>0</v>
      </c>
      <c r="Q220" s="1136">
        <f>$L220-SUMIF('11.2. ДА за периода'!$B$155:$B$175,$B220,'11.2. ДА за периода'!$L$155:$L$175)+SUMIF('11.2. ДА за периода'!$B$155:$B$175,$B220,'11.2. ДА за периода'!Q$155:Q$175)</f>
        <v>0</v>
      </c>
      <c r="R220" s="2656">
        <f>$L220-SUMIF('11.2. ДА за периода'!$B$155:$B$175,$B220,'11.2. ДА за периода'!$L$155:$L$175)+SUMIF('11.2. ДА за периода'!$B$155:$B$175,$B220,'11.2. ДА за периода'!R$155:R$175)</f>
        <v>0</v>
      </c>
      <c r="S220" s="4453">
        <f>+'11.3. ДА Базова година'!N181</f>
        <v>0</v>
      </c>
      <c r="T220" s="2655">
        <f>$S220-SUMIF('11.2. ДА за периода'!$B$155:$B$175,$B220,'11.2. ДА за периода'!$S$155:$S$175)+SUMIF('11.2. ДА за периода'!$B$155:$B$175,$B220,'11.2. ДА за периода'!T$155:T$175)</f>
        <v>0</v>
      </c>
      <c r="U220" s="1136">
        <f>$S220-SUMIF('11.2. ДА за периода'!$B$155:$B$175,$B220,'11.2. ДА за периода'!$S$155:$S$175)+SUMIF('11.2. ДА за периода'!$B$155:$B$175,$B220,'11.2. ДА за периода'!U$155:U$175)</f>
        <v>0</v>
      </c>
      <c r="V220" s="1136">
        <f>$S220-SUMIF('11.2. ДА за периода'!$B$155:$B$175,$B220,'11.2. ДА за периода'!$S$155:$S$175)+SUMIF('11.2. ДА за периода'!$B$155:$B$175,$B220,'11.2. ДА за периода'!V$155:V$175)</f>
        <v>0</v>
      </c>
      <c r="W220" s="1136">
        <f>$S220-SUMIF('11.2. ДА за периода'!$B$155:$B$175,$B220,'11.2. ДА за периода'!$S$155:$S$175)+SUMIF('11.2. ДА за периода'!$B$155:$B$175,$B220,'11.2. ДА за периода'!W$155:W$175)</f>
        <v>0</v>
      </c>
      <c r="X220" s="1136">
        <f>$S220-SUMIF('11.2. ДА за периода'!$B$155:$B$175,$B220,'11.2. ДА за периода'!$S$155:$S$175)+SUMIF('11.2. ДА за периода'!$B$155:$B$175,$B220,'11.2. ДА за периода'!X$155:X$175)</f>
        <v>0</v>
      </c>
      <c r="Y220" s="2656">
        <f>$S220-SUMIF('11.2. ДА за периода'!$B$155:$B$175,$B220,'11.2. ДА за периода'!$S$155:$S$175)+SUMIF('11.2. ДА за периода'!$B$155:$B$175,$B220,'11.2. ДА за периода'!Y$155:Y$175)</f>
        <v>0</v>
      </c>
      <c r="Z220" s="4453">
        <f>+'11.3. ДА Базова година'!R181</f>
        <v>0</v>
      </c>
      <c r="AA220" s="2655">
        <f>$Z220-SUMIF('11.2. ДА за периода'!$B$155:$B$175,$B220,'11.2. ДА за периода'!$Z$155:$Z$175)+SUMIF('11.2. ДА за периода'!$B$155:$B$175,$B220,'11.2. ДА за периода'!AA$155:AA$175)</f>
        <v>0</v>
      </c>
      <c r="AB220" s="1136">
        <f>$Z220-SUMIF('11.2. ДА за периода'!$B$155:$B$175,$B220,'11.2. ДА за периода'!$Z$155:$Z$175)+SUMIF('11.2. ДА за периода'!$B$155:$B$175,$B220,'11.2. ДА за периода'!AB$155:AB$175)</f>
        <v>0</v>
      </c>
      <c r="AC220" s="1136">
        <f>$Z220-SUMIF('11.2. ДА за периода'!$B$155:$B$175,$B220,'11.2. ДА за периода'!$Z$155:$Z$175)+SUMIF('11.2. ДА за периода'!$B$155:$B$175,$B220,'11.2. ДА за периода'!AC$155:AC$175)</f>
        <v>0</v>
      </c>
      <c r="AD220" s="1136">
        <f>$Z220-SUMIF('11.2. ДА за периода'!$B$155:$B$175,$B220,'11.2. ДА за периода'!$Z$155:$Z$175)+SUMIF('11.2. ДА за периода'!$B$155:$B$175,$B220,'11.2. ДА за периода'!AD$155:AD$175)</f>
        <v>0</v>
      </c>
      <c r="AE220" s="1136">
        <f>$Z220-SUMIF('11.2. ДА за периода'!$B$155:$B$175,$B220,'11.2. ДА за периода'!$Z$155:$Z$175)+SUMIF('11.2. ДА за периода'!$B$155:$B$175,$B220,'11.2. ДА за периода'!AE$155:AE$175)</f>
        <v>0</v>
      </c>
      <c r="AF220" s="2656">
        <f>$Z220-SUMIF('11.2. ДА за периода'!$B$155:$B$175,$B220,'11.2. ДА за периода'!$Z$155:$Z$175)+SUMIF('11.2. ДА за периода'!$B$155:$B$175,$B220,'11.2. ДА за периода'!AF$155:AF$175)</f>
        <v>0</v>
      </c>
      <c r="AG220" s="4453">
        <f>+'11.3. ДА Базова година'!V181</f>
        <v>0</v>
      </c>
      <c r="AH220" s="2655">
        <f>$AG220-SUMIF('11.2. ДА за периода'!$B$155:$B$175,$B220,'11.2. ДА за периода'!$AG$155:$AG$175)+SUMIF('11.2. ДА за периода'!$B$155:$B$175,$B220,'11.2. ДА за периода'!AH$155:AH$175)</f>
        <v>0</v>
      </c>
      <c r="AI220" s="1136">
        <f>$AG220-SUMIF('11.2. ДА за периода'!$B$155:$B$175,$B220,'11.2. ДА за периода'!$AG$155:$AG$175)+SUMIF('11.2. ДА за периода'!$B$155:$B$175,$B220,'11.2. ДА за периода'!AI$155:AI$175)</f>
        <v>0</v>
      </c>
      <c r="AJ220" s="1136">
        <f>$AG220-SUMIF('11.2. ДА за периода'!$B$155:$B$175,$B220,'11.2. ДА за периода'!$AG$155:$AG$175)+SUMIF('11.2. ДА за периода'!$B$155:$B$175,$B220,'11.2. ДА за периода'!AJ$155:AJ$175)</f>
        <v>0</v>
      </c>
      <c r="AK220" s="1136">
        <f>$AG220-SUMIF('11.2. ДА за периода'!$B$155:$B$175,$B220,'11.2. ДА за периода'!$AG$155:$AG$175)+SUMIF('11.2. ДА за периода'!$B$155:$B$175,$B220,'11.2. ДА за периода'!AK$155:AK$175)</f>
        <v>0</v>
      </c>
      <c r="AL220" s="1136">
        <f>$AG220-SUMIF('11.2. ДА за периода'!$B$155:$B$175,$B220,'11.2. ДА за периода'!$AG$155:$AG$175)+SUMIF('11.2. ДА за периода'!$B$155:$B$175,$B220,'11.2. ДА за периода'!AL$155:AL$175)</f>
        <v>0</v>
      </c>
      <c r="AM220" s="2656">
        <f>$AG220-SUMIF('11.2. ДА за периода'!$B$155:$B$175,$B220,'11.2. ДА за периода'!$AG$155:$AG$175)+SUMIF('11.2. ДА за периода'!$B$155:$B$175,$B220,'11.2. ДА за периода'!AM$155:AM$175)</f>
        <v>0</v>
      </c>
      <c r="AN220" s="2562"/>
      <c r="AO220" s="2589"/>
      <c r="AP220" s="4488"/>
      <c r="AQ220" s="4504">
        <f t="shared" si="271"/>
        <v>1.6361340198278994E-4</v>
      </c>
      <c r="AR220" s="4504">
        <f t="shared" si="272"/>
        <v>1.6361340198278994E-4</v>
      </c>
      <c r="AS220" s="4504">
        <f t="shared" si="273"/>
        <v>1.6361340198278994E-4</v>
      </c>
      <c r="AT220" s="4504">
        <f t="shared" si="274"/>
        <v>1.6361340198278994E-4</v>
      </c>
      <c r="AU220" s="4504">
        <f t="shared" si="275"/>
        <v>1.6361340198278994E-4</v>
      </c>
      <c r="AV220" s="4504">
        <f t="shared" si="276"/>
        <v>1.6361340198278994E-4</v>
      </c>
      <c r="AW220" s="4504">
        <f t="shared" si="277"/>
        <v>1.6361340198278994E-4</v>
      </c>
      <c r="AX220" s="4504">
        <f t="shared" si="278"/>
        <v>0</v>
      </c>
      <c r="AY220" s="4504">
        <f t="shared" si="279"/>
        <v>0</v>
      </c>
      <c r="AZ220" s="4504">
        <f t="shared" si="280"/>
        <v>0</v>
      </c>
      <c r="BA220" s="4504">
        <f t="shared" si="281"/>
        <v>0</v>
      </c>
      <c r="BB220" s="4504">
        <f t="shared" si="282"/>
        <v>0</v>
      </c>
      <c r="BC220" s="4504">
        <f t="shared" si="283"/>
        <v>0</v>
      </c>
      <c r="BD220" s="4504">
        <f t="shared" si="284"/>
        <v>0</v>
      </c>
      <c r="BE220" s="4504">
        <f t="shared" si="285"/>
        <v>0</v>
      </c>
      <c r="BF220" s="4504">
        <f t="shared" si="286"/>
        <v>0</v>
      </c>
      <c r="BG220" s="4504">
        <f t="shared" si="287"/>
        <v>0</v>
      </c>
      <c r="BH220" s="4504">
        <f t="shared" si="288"/>
        <v>0</v>
      </c>
      <c r="BI220" s="4504">
        <f t="shared" si="289"/>
        <v>0</v>
      </c>
      <c r="BJ220" s="4504">
        <f t="shared" si="290"/>
        <v>0</v>
      </c>
      <c r="BK220" s="4504">
        <f t="shared" si="291"/>
        <v>0</v>
      </c>
      <c r="BL220" s="4504">
        <f t="shared" si="292"/>
        <v>0</v>
      </c>
      <c r="BM220" s="4504">
        <f t="shared" si="293"/>
        <v>0</v>
      </c>
      <c r="BN220" s="4504">
        <f t="shared" si="294"/>
        <v>0</v>
      </c>
      <c r="BO220" s="4504">
        <f t="shared" si="295"/>
        <v>0</v>
      </c>
      <c r="BP220" s="4504">
        <f t="shared" si="296"/>
        <v>0</v>
      </c>
      <c r="BQ220" s="4504">
        <f t="shared" si="297"/>
        <v>0</v>
      </c>
      <c r="BR220" s="4504">
        <f t="shared" si="298"/>
        <v>0</v>
      </c>
      <c r="BS220" s="4504">
        <f t="shared" si="299"/>
        <v>0</v>
      </c>
      <c r="BT220" s="4504">
        <f t="shared" si="300"/>
        <v>0</v>
      </c>
      <c r="BU220" s="4504">
        <f t="shared" si="301"/>
        <v>0</v>
      </c>
      <c r="BV220" s="4504">
        <f t="shared" si="302"/>
        <v>0</v>
      </c>
      <c r="BW220" s="4504">
        <f t="shared" si="303"/>
        <v>0</v>
      </c>
      <c r="BX220" s="4504">
        <f t="shared" si="304"/>
        <v>0</v>
      </c>
      <c r="BY220" s="4504">
        <f t="shared" si="305"/>
        <v>0</v>
      </c>
    </row>
    <row r="221" spans="1:77" s="1323" customFormat="1" ht="24">
      <c r="A221" s="2553">
        <v>7</v>
      </c>
      <c r="B221" s="2554" t="s">
        <v>706</v>
      </c>
      <c r="C221" s="2555">
        <v>0.1</v>
      </c>
      <c r="D221" s="2590" t="s">
        <v>695</v>
      </c>
      <c r="E221" s="4453">
        <f>+'11.3. ДА Базова година'!F182</f>
        <v>0</v>
      </c>
      <c r="F221" s="2655">
        <f>$E221-SUMIF('11.2. ДА за периода'!$B$155:$B$175,$B221,'11.2. ДА за периода'!$E$155:$E$175)+SUMIF('11.2. ДА за периода'!$B$155:$B$175,$B221,'11.2. ДА за периода'!F$155:F$175)</f>
        <v>0</v>
      </c>
      <c r="G221" s="1136">
        <f>$E221-SUMIF('11.2. ДА за периода'!$B$155:$B$175,$B221,'11.2. ДА за периода'!$E$155:$E$175)+SUMIF('11.2. ДА за периода'!$B$155:$B$175,$B221,'11.2. ДА за периода'!G$155:G$175)</f>
        <v>0</v>
      </c>
      <c r="H221" s="1136">
        <f>$E221-SUMIF('11.2. ДА за периода'!$B$155:$B$175,$B221,'11.2. ДА за периода'!$E$155:$E$175)+SUMIF('11.2. ДА за периода'!$B$155:$B$175,$B221,'11.2. ДА за периода'!H$155:H$175)</f>
        <v>0</v>
      </c>
      <c r="I221" s="1136">
        <f>$E221-SUMIF('11.2. ДА за периода'!$B$155:$B$175,$B221,'11.2. ДА за периода'!$E$155:$E$175)+SUMIF('11.2. ДА за периода'!$B$155:$B$175,$B221,'11.2. ДА за периода'!I$155:I$175)</f>
        <v>0</v>
      </c>
      <c r="J221" s="1136">
        <f>$E221-SUMIF('11.2. ДА за периода'!$B$155:$B$175,$B221,'11.2. ДА за периода'!$E$155:$E$175)+SUMIF('11.2. ДА за периода'!$B$155:$B$175,$B221,'11.2. ДА за периода'!J$155:J$175)</f>
        <v>0</v>
      </c>
      <c r="K221" s="2656">
        <f>$E221-SUMIF('11.2. ДА за периода'!$B$155:$B$175,$B221,'11.2. ДА за периода'!$E$155:$E$175)+SUMIF('11.2. ДА за периода'!$B$155:$B$175,$B221,'11.2. ДА за периода'!K$155:K$175)</f>
        <v>0</v>
      </c>
      <c r="L221" s="4453">
        <f>+'11.3. ДА Базова година'!J182</f>
        <v>0</v>
      </c>
      <c r="M221" s="2655">
        <f>$L221-SUMIF('11.2. ДА за периода'!$B$155:$B$175,$B221,'11.2. ДА за периода'!$L$155:$L$175)+SUMIF('11.2. ДА за периода'!$B$155:$B$175,$B221,'11.2. ДА за периода'!M$155:M$175)</f>
        <v>0</v>
      </c>
      <c r="N221" s="1136">
        <f>$L221-SUMIF('11.2. ДА за периода'!$B$155:$B$175,$B221,'11.2. ДА за периода'!$L$155:$L$175)+SUMIF('11.2. ДА за периода'!$B$155:$B$175,$B221,'11.2. ДА за периода'!N$155:N$175)</f>
        <v>0</v>
      </c>
      <c r="O221" s="1136">
        <f>$L221-SUMIF('11.2. ДА за периода'!$B$155:$B$175,$B221,'11.2. ДА за периода'!$L$155:$L$175)+SUMIF('11.2. ДА за периода'!$B$155:$B$175,$B221,'11.2. ДА за периода'!O$155:O$175)</f>
        <v>0</v>
      </c>
      <c r="P221" s="1136">
        <f>$L221-SUMIF('11.2. ДА за периода'!$B$155:$B$175,$B221,'11.2. ДА за периода'!$L$155:$L$175)+SUMIF('11.2. ДА за периода'!$B$155:$B$175,$B221,'11.2. ДА за периода'!P$155:P$175)</f>
        <v>0</v>
      </c>
      <c r="Q221" s="1136">
        <f>$L221-SUMIF('11.2. ДА за периода'!$B$155:$B$175,$B221,'11.2. ДА за периода'!$L$155:$L$175)+SUMIF('11.2. ДА за периода'!$B$155:$B$175,$B221,'11.2. ДА за периода'!Q$155:Q$175)</f>
        <v>0</v>
      </c>
      <c r="R221" s="2656">
        <f>$L221-SUMIF('11.2. ДА за периода'!$B$155:$B$175,$B221,'11.2. ДА за периода'!$L$155:$L$175)+SUMIF('11.2. ДА за периода'!$B$155:$B$175,$B221,'11.2. ДА за периода'!R$155:R$175)</f>
        <v>0</v>
      </c>
      <c r="S221" s="4453">
        <f>+'11.3. ДА Базова година'!N182</f>
        <v>0</v>
      </c>
      <c r="T221" s="2655">
        <f>$S221-SUMIF('11.2. ДА за периода'!$B$155:$B$175,$B221,'11.2. ДА за периода'!$S$155:$S$175)+SUMIF('11.2. ДА за периода'!$B$155:$B$175,$B221,'11.2. ДА за периода'!T$155:T$175)</f>
        <v>0</v>
      </c>
      <c r="U221" s="1136">
        <f>$S221-SUMIF('11.2. ДА за периода'!$B$155:$B$175,$B221,'11.2. ДА за периода'!$S$155:$S$175)+SUMIF('11.2. ДА за периода'!$B$155:$B$175,$B221,'11.2. ДА за периода'!U$155:U$175)</f>
        <v>0</v>
      </c>
      <c r="V221" s="1136">
        <f>$S221-SUMIF('11.2. ДА за периода'!$B$155:$B$175,$B221,'11.2. ДА за периода'!$S$155:$S$175)+SUMIF('11.2. ДА за периода'!$B$155:$B$175,$B221,'11.2. ДА за периода'!V$155:V$175)</f>
        <v>0</v>
      </c>
      <c r="W221" s="1136">
        <f>$S221-SUMIF('11.2. ДА за периода'!$B$155:$B$175,$B221,'11.2. ДА за периода'!$S$155:$S$175)+SUMIF('11.2. ДА за периода'!$B$155:$B$175,$B221,'11.2. ДА за периода'!W$155:W$175)</f>
        <v>0</v>
      </c>
      <c r="X221" s="1136">
        <f>$S221-SUMIF('11.2. ДА за периода'!$B$155:$B$175,$B221,'11.2. ДА за периода'!$S$155:$S$175)+SUMIF('11.2. ДА за периода'!$B$155:$B$175,$B221,'11.2. ДА за периода'!X$155:X$175)</f>
        <v>0</v>
      </c>
      <c r="Y221" s="2656">
        <f>$S221-SUMIF('11.2. ДА за периода'!$B$155:$B$175,$B221,'11.2. ДА за периода'!$S$155:$S$175)+SUMIF('11.2. ДА за периода'!$B$155:$B$175,$B221,'11.2. ДА за периода'!Y$155:Y$175)</f>
        <v>0</v>
      </c>
      <c r="Z221" s="4453">
        <f>+'11.3. ДА Базова година'!R182</f>
        <v>0</v>
      </c>
      <c r="AA221" s="2655">
        <f>$Z221-SUMIF('11.2. ДА за периода'!$B$155:$B$175,$B221,'11.2. ДА за периода'!$Z$155:$Z$175)+SUMIF('11.2. ДА за периода'!$B$155:$B$175,$B221,'11.2. ДА за периода'!AA$155:AA$175)</f>
        <v>0</v>
      </c>
      <c r="AB221" s="1136">
        <f>$Z221-SUMIF('11.2. ДА за периода'!$B$155:$B$175,$B221,'11.2. ДА за периода'!$Z$155:$Z$175)+SUMIF('11.2. ДА за периода'!$B$155:$B$175,$B221,'11.2. ДА за периода'!AB$155:AB$175)</f>
        <v>0</v>
      </c>
      <c r="AC221" s="1136">
        <f>$Z221-SUMIF('11.2. ДА за периода'!$B$155:$B$175,$B221,'11.2. ДА за периода'!$Z$155:$Z$175)+SUMIF('11.2. ДА за периода'!$B$155:$B$175,$B221,'11.2. ДА за периода'!AC$155:AC$175)</f>
        <v>0</v>
      </c>
      <c r="AD221" s="1136">
        <f>$Z221-SUMIF('11.2. ДА за периода'!$B$155:$B$175,$B221,'11.2. ДА за периода'!$Z$155:$Z$175)+SUMIF('11.2. ДА за периода'!$B$155:$B$175,$B221,'11.2. ДА за периода'!AD$155:AD$175)</f>
        <v>0</v>
      </c>
      <c r="AE221" s="1136">
        <f>$Z221-SUMIF('11.2. ДА за периода'!$B$155:$B$175,$B221,'11.2. ДА за периода'!$Z$155:$Z$175)+SUMIF('11.2. ДА за периода'!$B$155:$B$175,$B221,'11.2. ДА за периода'!AE$155:AE$175)</f>
        <v>0</v>
      </c>
      <c r="AF221" s="2656">
        <f>$Z221-SUMIF('11.2. ДА за периода'!$B$155:$B$175,$B221,'11.2. ДА за периода'!$Z$155:$Z$175)+SUMIF('11.2. ДА за периода'!$B$155:$B$175,$B221,'11.2. ДА за периода'!AF$155:AF$175)</f>
        <v>0</v>
      </c>
      <c r="AG221" s="4453">
        <f>+'11.3. ДА Базова година'!V182</f>
        <v>0</v>
      </c>
      <c r="AH221" s="2655">
        <f>$AG221-SUMIF('11.2. ДА за периода'!$B$155:$B$175,$B221,'11.2. ДА за периода'!$AG$155:$AG$175)+SUMIF('11.2. ДА за периода'!$B$155:$B$175,$B221,'11.2. ДА за периода'!AH$155:AH$175)</f>
        <v>0</v>
      </c>
      <c r="AI221" s="1136">
        <f>$AG221-SUMIF('11.2. ДА за периода'!$B$155:$B$175,$B221,'11.2. ДА за периода'!$AG$155:$AG$175)+SUMIF('11.2. ДА за периода'!$B$155:$B$175,$B221,'11.2. ДА за периода'!AI$155:AI$175)</f>
        <v>0</v>
      </c>
      <c r="AJ221" s="1136">
        <f>$AG221-SUMIF('11.2. ДА за периода'!$B$155:$B$175,$B221,'11.2. ДА за периода'!$AG$155:$AG$175)+SUMIF('11.2. ДА за периода'!$B$155:$B$175,$B221,'11.2. ДА за периода'!AJ$155:AJ$175)</f>
        <v>0</v>
      </c>
      <c r="AK221" s="1136">
        <f>$AG221-SUMIF('11.2. ДА за периода'!$B$155:$B$175,$B221,'11.2. ДА за периода'!$AG$155:$AG$175)+SUMIF('11.2. ДА за периода'!$B$155:$B$175,$B221,'11.2. ДА за периода'!AK$155:AK$175)</f>
        <v>0</v>
      </c>
      <c r="AL221" s="1136">
        <f>$AG221-SUMIF('11.2. ДА за периода'!$B$155:$B$175,$B221,'11.2. ДА за периода'!$AG$155:$AG$175)+SUMIF('11.2. ДА за периода'!$B$155:$B$175,$B221,'11.2. ДА за периода'!AL$155:AL$175)</f>
        <v>0</v>
      </c>
      <c r="AM221" s="2656">
        <f>$AG221-SUMIF('11.2. ДА за периода'!$B$155:$B$175,$B221,'11.2. ДА за периода'!$AG$155:$AG$175)+SUMIF('11.2. ДА за периода'!$B$155:$B$175,$B221,'11.2. ДА за периода'!AM$155:AM$175)</f>
        <v>0</v>
      </c>
      <c r="AN221" s="2562"/>
      <c r="AO221" s="2589"/>
      <c r="AP221" s="4488"/>
      <c r="AQ221" s="4504">
        <f t="shared" si="271"/>
        <v>0</v>
      </c>
      <c r="AR221" s="4504">
        <f t="shared" si="272"/>
        <v>0</v>
      </c>
      <c r="AS221" s="4504">
        <f t="shared" si="273"/>
        <v>0</v>
      </c>
      <c r="AT221" s="4504">
        <f t="shared" si="274"/>
        <v>0</v>
      </c>
      <c r="AU221" s="4504">
        <f t="shared" si="275"/>
        <v>0</v>
      </c>
      <c r="AV221" s="4504">
        <f t="shared" si="276"/>
        <v>0</v>
      </c>
      <c r="AW221" s="4504">
        <f t="shared" si="277"/>
        <v>0</v>
      </c>
      <c r="AX221" s="4504">
        <f t="shared" si="278"/>
        <v>0</v>
      </c>
      <c r="AY221" s="4504">
        <f t="shared" si="279"/>
        <v>0</v>
      </c>
      <c r="AZ221" s="4504">
        <f t="shared" si="280"/>
        <v>0</v>
      </c>
      <c r="BA221" s="4504">
        <f t="shared" si="281"/>
        <v>0</v>
      </c>
      <c r="BB221" s="4504">
        <f t="shared" si="282"/>
        <v>0</v>
      </c>
      <c r="BC221" s="4504">
        <f t="shared" si="283"/>
        <v>0</v>
      </c>
      <c r="BD221" s="4504">
        <f t="shared" si="284"/>
        <v>0</v>
      </c>
      <c r="BE221" s="4504">
        <f t="shared" si="285"/>
        <v>0</v>
      </c>
      <c r="BF221" s="4504">
        <f t="shared" si="286"/>
        <v>0</v>
      </c>
      <c r="BG221" s="4504">
        <f t="shared" si="287"/>
        <v>0</v>
      </c>
      <c r="BH221" s="4504">
        <f t="shared" si="288"/>
        <v>0</v>
      </c>
      <c r="BI221" s="4504">
        <f t="shared" si="289"/>
        <v>0</v>
      </c>
      <c r="BJ221" s="4504">
        <f t="shared" si="290"/>
        <v>0</v>
      </c>
      <c r="BK221" s="4504">
        <f t="shared" si="291"/>
        <v>0</v>
      </c>
      <c r="BL221" s="4504">
        <f t="shared" si="292"/>
        <v>0</v>
      </c>
      <c r="BM221" s="4504">
        <f t="shared" si="293"/>
        <v>0</v>
      </c>
      <c r="BN221" s="4504">
        <f t="shared" si="294"/>
        <v>0</v>
      </c>
      <c r="BO221" s="4504">
        <f t="shared" si="295"/>
        <v>0</v>
      </c>
      <c r="BP221" s="4504">
        <f t="shared" si="296"/>
        <v>0</v>
      </c>
      <c r="BQ221" s="4504">
        <f t="shared" si="297"/>
        <v>0</v>
      </c>
      <c r="BR221" s="4504">
        <f t="shared" si="298"/>
        <v>0</v>
      </c>
      <c r="BS221" s="4504">
        <f t="shared" si="299"/>
        <v>0</v>
      </c>
      <c r="BT221" s="4504">
        <f t="shared" si="300"/>
        <v>0</v>
      </c>
      <c r="BU221" s="4504">
        <f t="shared" si="301"/>
        <v>0</v>
      </c>
      <c r="BV221" s="4504">
        <f t="shared" si="302"/>
        <v>0</v>
      </c>
      <c r="BW221" s="4504">
        <f t="shared" si="303"/>
        <v>0</v>
      </c>
      <c r="BX221" s="4504">
        <f t="shared" si="304"/>
        <v>0</v>
      </c>
      <c r="BY221" s="4504">
        <f t="shared" si="305"/>
        <v>0</v>
      </c>
    </row>
    <row r="222" spans="1:77" s="1323" customFormat="1">
      <c r="A222" s="2553">
        <v>8</v>
      </c>
      <c r="B222" s="2554" t="s">
        <v>716</v>
      </c>
      <c r="C222" s="2555">
        <v>0.1</v>
      </c>
      <c r="D222" s="2590" t="s">
        <v>713</v>
      </c>
      <c r="E222" s="4453">
        <f>+'11.3. ДА Базова година'!F183</f>
        <v>0</v>
      </c>
      <c r="F222" s="2655">
        <f>$E222-SUMIF('11.2. ДА за периода'!$B$155:$B$175,$B222,'11.2. ДА за периода'!$E$155:$E$175)+SUMIF('11.2. ДА за периода'!$B$155:$B$175,$B222,'11.2. ДА за периода'!F$155:F$175)</f>
        <v>0</v>
      </c>
      <c r="G222" s="1136">
        <f>$E222-SUMIF('11.2. ДА за периода'!$B$155:$B$175,$B222,'11.2. ДА за периода'!$E$155:$E$175)+SUMIF('11.2. ДА за периода'!$B$155:$B$175,$B222,'11.2. ДА за периода'!G$155:G$175)</f>
        <v>0</v>
      </c>
      <c r="H222" s="1136">
        <f>$E222-SUMIF('11.2. ДА за периода'!$B$155:$B$175,$B222,'11.2. ДА за периода'!$E$155:$E$175)+SUMIF('11.2. ДА за периода'!$B$155:$B$175,$B222,'11.2. ДА за периода'!H$155:H$175)</f>
        <v>0</v>
      </c>
      <c r="I222" s="1136">
        <f>$E222-SUMIF('11.2. ДА за периода'!$B$155:$B$175,$B222,'11.2. ДА за периода'!$E$155:$E$175)+SUMIF('11.2. ДА за периода'!$B$155:$B$175,$B222,'11.2. ДА за периода'!I$155:I$175)</f>
        <v>0</v>
      </c>
      <c r="J222" s="1136">
        <f>$E222-SUMIF('11.2. ДА за периода'!$B$155:$B$175,$B222,'11.2. ДА за периода'!$E$155:$E$175)+SUMIF('11.2. ДА за периода'!$B$155:$B$175,$B222,'11.2. ДА за периода'!J$155:J$175)</f>
        <v>0</v>
      </c>
      <c r="K222" s="2656">
        <f>$E222-SUMIF('11.2. ДА за периода'!$B$155:$B$175,$B222,'11.2. ДА за периода'!$E$155:$E$175)+SUMIF('11.2. ДА за периода'!$B$155:$B$175,$B222,'11.2. ДА за периода'!K$155:K$175)</f>
        <v>0</v>
      </c>
      <c r="L222" s="4453">
        <f>+'11.3. ДА Базова година'!J183</f>
        <v>0</v>
      </c>
      <c r="M222" s="2655">
        <f>$L222-SUMIF('11.2. ДА за периода'!$B$155:$B$175,$B222,'11.2. ДА за периода'!$L$155:$L$175)+SUMIF('11.2. ДА за периода'!$B$155:$B$175,$B222,'11.2. ДА за периода'!M$155:M$175)</f>
        <v>0</v>
      </c>
      <c r="N222" s="1136">
        <f>$L222-SUMIF('11.2. ДА за периода'!$B$155:$B$175,$B222,'11.2. ДА за периода'!$L$155:$L$175)+SUMIF('11.2. ДА за периода'!$B$155:$B$175,$B222,'11.2. ДА за периода'!N$155:N$175)</f>
        <v>0</v>
      </c>
      <c r="O222" s="1136">
        <f>$L222-SUMIF('11.2. ДА за периода'!$B$155:$B$175,$B222,'11.2. ДА за периода'!$L$155:$L$175)+SUMIF('11.2. ДА за периода'!$B$155:$B$175,$B222,'11.2. ДА за периода'!O$155:O$175)</f>
        <v>0</v>
      </c>
      <c r="P222" s="1136">
        <f>$L222-SUMIF('11.2. ДА за периода'!$B$155:$B$175,$B222,'11.2. ДА за периода'!$L$155:$L$175)+SUMIF('11.2. ДА за периода'!$B$155:$B$175,$B222,'11.2. ДА за периода'!P$155:P$175)</f>
        <v>0</v>
      </c>
      <c r="Q222" s="1136">
        <f>$L222-SUMIF('11.2. ДА за периода'!$B$155:$B$175,$B222,'11.2. ДА за периода'!$L$155:$L$175)+SUMIF('11.2. ДА за периода'!$B$155:$B$175,$B222,'11.2. ДА за периода'!Q$155:Q$175)</f>
        <v>0</v>
      </c>
      <c r="R222" s="2656">
        <f>$L222-SUMIF('11.2. ДА за периода'!$B$155:$B$175,$B222,'11.2. ДА за периода'!$L$155:$L$175)+SUMIF('11.2. ДА за периода'!$B$155:$B$175,$B222,'11.2. ДА за периода'!R$155:R$175)</f>
        <v>0</v>
      </c>
      <c r="S222" s="4453">
        <f>+'11.3. ДА Базова година'!N183</f>
        <v>0</v>
      </c>
      <c r="T222" s="2655">
        <f>$S222-SUMIF('11.2. ДА за периода'!$B$155:$B$175,$B222,'11.2. ДА за периода'!$S$155:$S$175)+SUMIF('11.2. ДА за периода'!$B$155:$B$175,$B222,'11.2. ДА за периода'!T$155:T$175)</f>
        <v>0</v>
      </c>
      <c r="U222" s="1136">
        <f>$S222-SUMIF('11.2. ДА за периода'!$B$155:$B$175,$B222,'11.2. ДА за периода'!$S$155:$S$175)+SUMIF('11.2. ДА за периода'!$B$155:$B$175,$B222,'11.2. ДА за периода'!U$155:U$175)</f>
        <v>0</v>
      </c>
      <c r="V222" s="1136">
        <f>$S222-SUMIF('11.2. ДА за периода'!$B$155:$B$175,$B222,'11.2. ДА за периода'!$S$155:$S$175)+SUMIF('11.2. ДА за периода'!$B$155:$B$175,$B222,'11.2. ДА за периода'!V$155:V$175)</f>
        <v>0</v>
      </c>
      <c r="W222" s="1136">
        <f>$S222-SUMIF('11.2. ДА за периода'!$B$155:$B$175,$B222,'11.2. ДА за периода'!$S$155:$S$175)+SUMIF('11.2. ДА за периода'!$B$155:$B$175,$B222,'11.2. ДА за периода'!W$155:W$175)</f>
        <v>0</v>
      </c>
      <c r="X222" s="1136">
        <f>$S222-SUMIF('11.2. ДА за периода'!$B$155:$B$175,$B222,'11.2. ДА за периода'!$S$155:$S$175)+SUMIF('11.2. ДА за периода'!$B$155:$B$175,$B222,'11.2. ДА за периода'!X$155:X$175)</f>
        <v>0</v>
      </c>
      <c r="Y222" s="2656">
        <f>$S222-SUMIF('11.2. ДА за периода'!$B$155:$B$175,$B222,'11.2. ДА за периода'!$S$155:$S$175)+SUMIF('11.2. ДА за периода'!$B$155:$B$175,$B222,'11.2. ДА за периода'!Y$155:Y$175)</f>
        <v>0</v>
      </c>
      <c r="Z222" s="4453">
        <f>+'11.3. ДА Базова година'!R183</f>
        <v>0</v>
      </c>
      <c r="AA222" s="2655">
        <f>$Z222-SUMIF('11.2. ДА за периода'!$B$155:$B$175,$B222,'11.2. ДА за периода'!$Z$155:$Z$175)+SUMIF('11.2. ДА за периода'!$B$155:$B$175,$B222,'11.2. ДА за периода'!AA$155:AA$175)</f>
        <v>0</v>
      </c>
      <c r="AB222" s="1136">
        <f>$Z222-SUMIF('11.2. ДА за периода'!$B$155:$B$175,$B222,'11.2. ДА за периода'!$Z$155:$Z$175)+SUMIF('11.2. ДА за периода'!$B$155:$B$175,$B222,'11.2. ДА за периода'!AB$155:AB$175)</f>
        <v>0</v>
      </c>
      <c r="AC222" s="1136">
        <f>$Z222-SUMIF('11.2. ДА за периода'!$B$155:$B$175,$B222,'11.2. ДА за периода'!$Z$155:$Z$175)+SUMIF('11.2. ДА за периода'!$B$155:$B$175,$B222,'11.2. ДА за периода'!AC$155:AC$175)</f>
        <v>0</v>
      </c>
      <c r="AD222" s="1136">
        <f>$Z222-SUMIF('11.2. ДА за периода'!$B$155:$B$175,$B222,'11.2. ДА за периода'!$Z$155:$Z$175)+SUMIF('11.2. ДА за периода'!$B$155:$B$175,$B222,'11.2. ДА за периода'!AD$155:AD$175)</f>
        <v>0</v>
      </c>
      <c r="AE222" s="1136">
        <f>$Z222-SUMIF('11.2. ДА за периода'!$B$155:$B$175,$B222,'11.2. ДА за периода'!$Z$155:$Z$175)+SUMIF('11.2. ДА за периода'!$B$155:$B$175,$B222,'11.2. ДА за периода'!AE$155:AE$175)</f>
        <v>0</v>
      </c>
      <c r="AF222" s="2656">
        <f>$Z222-SUMIF('11.2. ДА за периода'!$B$155:$B$175,$B222,'11.2. ДА за периода'!$Z$155:$Z$175)+SUMIF('11.2. ДА за периода'!$B$155:$B$175,$B222,'11.2. ДА за периода'!AF$155:AF$175)</f>
        <v>0</v>
      </c>
      <c r="AG222" s="4453">
        <f>+'11.3. ДА Базова година'!V183</f>
        <v>0</v>
      </c>
      <c r="AH222" s="2655">
        <f>$AG222-SUMIF('11.2. ДА за периода'!$B$155:$B$175,$B222,'11.2. ДА за периода'!$AG$155:$AG$175)+SUMIF('11.2. ДА за периода'!$B$155:$B$175,$B222,'11.2. ДА за периода'!AH$155:AH$175)</f>
        <v>0</v>
      </c>
      <c r="AI222" s="1136">
        <f>$AG222-SUMIF('11.2. ДА за периода'!$B$155:$B$175,$B222,'11.2. ДА за периода'!$AG$155:$AG$175)+SUMIF('11.2. ДА за периода'!$B$155:$B$175,$B222,'11.2. ДА за периода'!AI$155:AI$175)</f>
        <v>0</v>
      </c>
      <c r="AJ222" s="1136">
        <f>$AG222-SUMIF('11.2. ДА за периода'!$B$155:$B$175,$B222,'11.2. ДА за периода'!$AG$155:$AG$175)+SUMIF('11.2. ДА за периода'!$B$155:$B$175,$B222,'11.2. ДА за периода'!AJ$155:AJ$175)</f>
        <v>0</v>
      </c>
      <c r="AK222" s="1136">
        <f>$AG222-SUMIF('11.2. ДА за периода'!$B$155:$B$175,$B222,'11.2. ДА за периода'!$AG$155:$AG$175)+SUMIF('11.2. ДА за периода'!$B$155:$B$175,$B222,'11.2. ДА за периода'!AK$155:AK$175)</f>
        <v>0</v>
      </c>
      <c r="AL222" s="1136">
        <f>$AG222-SUMIF('11.2. ДА за периода'!$B$155:$B$175,$B222,'11.2. ДА за периода'!$AG$155:$AG$175)+SUMIF('11.2. ДА за периода'!$B$155:$B$175,$B222,'11.2. ДА за периода'!AL$155:AL$175)</f>
        <v>0</v>
      </c>
      <c r="AM222" s="2656">
        <f>$AG222-SUMIF('11.2. ДА за периода'!$B$155:$B$175,$B222,'11.2. ДА за периода'!$AG$155:$AG$175)+SUMIF('11.2. ДА за периода'!$B$155:$B$175,$B222,'11.2. ДА за периода'!AM$155:AM$175)</f>
        <v>0</v>
      </c>
      <c r="AN222" s="2562"/>
      <c r="AO222" s="2589"/>
      <c r="AP222" s="4488"/>
      <c r="AQ222" s="4504">
        <f t="shared" si="271"/>
        <v>0</v>
      </c>
      <c r="AR222" s="4504">
        <f t="shared" si="272"/>
        <v>0</v>
      </c>
      <c r="AS222" s="4504">
        <f t="shared" si="273"/>
        <v>0</v>
      </c>
      <c r="AT222" s="4504">
        <f t="shared" si="274"/>
        <v>0</v>
      </c>
      <c r="AU222" s="4504">
        <f t="shared" si="275"/>
        <v>0</v>
      </c>
      <c r="AV222" s="4504">
        <f t="shared" si="276"/>
        <v>0</v>
      </c>
      <c r="AW222" s="4504">
        <f t="shared" si="277"/>
        <v>0</v>
      </c>
      <c r="AX222" s="4504">
        <f t="shared" si="278"/>
        <v>0</v>
      </c>
      <c r="AY222" s="4504">
        <f t="shared" si="279"/>
        <v>0</v>
      </c>
      <c r="AZ222" s="4504">
        <f t="shared" si="280"/>
        <v>0</v>
      </c>
      <c r="BA222" s="4504">
        <f t="shared" si="281"/>
        <v>0</v>
      </c>
      <c r="BB222" s="4504">
        <f t="shared" si="282"/>
        <v>0</v>
      </c>
      <c r="BC222" s="4504">
        <f t="shared" si="283"/>
        <v>0</v>
      </c>
      <c r="BD222" s="4504">
        <f t="shared" si="284"/>
        <v>0</v>
      </c>
      <c r="BE222" s="4504">
        <f t="shared" si="285"/>
        <v>0</v>
      </c>
      <c r="BF222" s="4504">
        <f t="shared" si="286"/>
        <v>0</v>
      </c>
      <c r="BG222" s="4504">
        <f t="shared" si="287"/>
        <v>0</v>
      </c>
      <c r="BH222" s="4504">
        <f t="shared" si="288"/>
        <v>0</v>
      </c>
      <c r="BI222" s="4504">
        <f t="shared" si="289"/>
        <v>0</v>
      </c>
      <c r="BJ222" s="4504">
        <f t="shared" si="290"/>
        <v>0</v>
      </c>
      <c r="BK222" s="4504">
        <f t="shared" si="291"/>
        <v>0</v>
      </c>
      <c r="BL222" s="4504">
        <f t="shared" si="292"/>
        <v>0</v>
      </c>
      <c r="BM222" s="4504">
        <f t="shared" si="293"/>
        <v>0</v>
      </c>
      <c r="BN222" s="4504">
        <f t="shared" si="294"/>
        <v>0</v>
      </c>
      <c r="BO222" s="4504">
        <f t="shared" si="295"/>
        <v>0</v>
      </c>
      <c r="BP222" s="4504">
        <f t="shared" si="296"/>
        <v>0</v>
      </c>
      <c r="BQ222" s="4504">
        <f t="shared" si="297"/>
        <v>0</v>
      </c>
      <c r="BR222" s="4504">
        <f t="shared" si="298"/>
        <v>0</v>
      </c>
      <c r="BS222" s="4504">
        <f t="shared" si="299"/>
        <v>0</v>
      </c>
      <c r="BT222" s="4504">
        <f t="shared" si="300"/>
        <v>0</v>
      </c>
      <c r="BU222" s="4504">
        <f t="shared" si="301"/>
        <v>0</v>
      </c>
      <c r="BV222" s="4504">
        <f t="shared" si="302"/>
        <v>0</v>
      </c>
      <c r="BW222" s="4504">
        <f t="shared" si="303"/>
        <v>0</v>
      </c>
      <c r="BX222" s="4504">
        <f t="shared" si="304"/>
        <v>0</v>
      </c>
      <c r="BY222" s="4504">
        <f t="shared" si="305"/>
        <v>0</v>
      </c>
    </row>
    <row r="223" spans="1:77" s="1323" customFormat="1">
      <c r="A223" s="2611">
        <v>9</v>
      </c>
      <c r="B223" s="2554">
        <v>911306</v>
      </c>
      <c r="C223" s="2555">
        <v>0.1</v>
      </c>
      <c r="D223" s="2590" t="s">
        <v>1032</v>
      </c>
      <c r="E223" s="4453">
        <f>+'11.3. ДА Базова година'!F184</f>
        <v>9.4200000000000006E-2</v>
      </c>
      <c r="F223" s="2655">
        <f>$E223-SUMIF('11.2. ДА за периода'!$B$155:$B$175,$B223,'11.2. ДА за периода'!$E$155:$E$175)+SUMIF('11.2. ДА за периода'!$B$155:$B$175,$B223,'11.2. ДА за периода'!F$155:F$175)</f>
        <v>9.4200000000000006E-2</v>
      </c>
      <c r="G223" s="1136">
        <f>$E223-SUMIF('11.2. ДА за периода'!$B$155:$B$175,$B223,'11.2. ДА за периода'!$E$155:$E$175)+SUMIF('11.2. ДА за периода'!$B$155:$B$175,$B223,'11.2. ДА за периода'!G$155:G$175)</f>
        <v>9.4200000000000006E-2</v>
      </c>
      <c r="H223" s="1136">
        <f>$E223-SUMIF('11.2. ДА за периода'!$B$155:$B$175,$B223,'11.2. ДА за периода'!$E$155:$E$175)+SUMIF('11.2. ДА за периода'!$B$155:$B$175,$B223,'11.2. ДА за периода'!H$155:H$175)</f>
        <v>9.4200000000000006E-2</v>
      </c>
      <c r="I223" s="1136">
        <f>$E223-SUMIF('11.2. ДА за периода'!$B$155:$B$175,$B223,'11.2. ДА за периода'!$E$155:$E$175)+SUMIF('11.2. ДА за периода'!$B$155:$B$175,$B223,'11.2. ДА за периода'!I$155:I$175)</f>
        <v>9.4200000000000006E-2</v>
      </c>
      <c r="J223" s="1136">
        <f>$E223-SUMIF('11.2. ДА за периода'!$B$155:$B$175,$B223,'11.2. ДА за периода'!$E$155:$E$175)+SUMIF('11.2. ДА за периода'!$B$155:$B$175,$B223,'11.2. ДА за периода'!J$155:J$175)</f>
        <v>9.4200000000000006E-2</v>
      </c>
      <c r="K223" s="2656">
        <f>$E223-SUMIF('11.2. ДА за периода'!$B$155:$B$175,$B223,'11.2. ДА за периода'!$E$155:$E$175)+SUMIF('11.2. ДА за периода'!$B$155:$B$175,$B223,'11.2. ДА за периода'!K$155:K$175)</f>
        <v>9.4200000000000006E-2</v>
      </c>
      <c r="L223" s="4453">
        <f>+'11.3. ДА Базова година'!J184</f>
        <v>0.84623999999999999</v>
      </c>
      <c r="M223" s="2655">
        <f>$L223-SUMIF('11.2. ДА за периода'!$B$155:$B$175,$B223,'11.2. ДА за периода'!$L$155:$L$175)+SUMIF('11.2. ДА за периода'!$B$155:$B$175,$B223,'11.2. ДА за периода'!M$155:M$175)</f>
        <v>0.84623999999999999</v>
      </c>
      <c r="N223" s="1136">
        <f>$L223-SUMIF('11.2. ДА за периода'!$B$155:$B$175,$B223,'11.2. ДА за периода'!$L$155:$L$175)+SUMIF('11.2. ДА за периода'!$B$155:$B$175,$B223,'11.2. ДА за периода'!N$155:N$175)</f>
        <v>0.84623999999999999</v>
      </c>
      <c r="O223" s="1136">
        <f>$L223-SUMIF('11.2. ДА за периода'!$B$155:$B$175,$B223,'11.2. ДА за периода'!$L$155:$L$175)+SUMIF('11.2. ДА за периода'!$B$155:$B$175,$B223,'11.2. ДА за периода'!O$155:O$175)</f>
        <v>0.84623999999999999</v>
      </c>
      <c r="P223" s="1136">
        <f>$L223-SUMIF('11.2. ДА за периода'!$B$155:$B$175,$B223,'11.2. ДА за периода'!$L$155:$L$175)+SUMIF('11.2. ДА за периода'!$B$155:$B$175,$B223,'11.2. ДА за периода'!P$155:P$175)</f>
        <v>0.84623999999999999</v>
      </c>
      <c r="Q223" s="1136">
        <f>$L223-SUMIF('11.2. ДА за периода'!$B$155:$B$175,$B223,'11.2. ДА за периода'!$L$155:$L$175)+SUMIF('11.2. ДА за периода'!$B$155:$B$175,$B223,'11.2. ДА за периода'!Q$155:Q$175)</f>
        <v>0.84623999999999999</v>
      </c>
      <c r="R223" s="2656">
        <f>$L223-SUMIF('11.2. ДА за периода'!$B$155:$B$175,$B223,'11.2. ДА за периода'!$L$155:$L$175)+SUMIF('11.2. ДА за периода'!$B$155:$B$175,$B223,'11.2. ДА за периода'!R$155:R$175)</f>
        <v>0.84623999999999999</v>
      </c>
      <c r="S223" s="4453">
        <f>+'11.3. ДА Базова година'!N184</f>
        <v>1.5900000000000003E-3</v>
      </c>
      <c r="T223" s="2655">
        <f>$S223-SUMIF('11.2. ДА за периода'!$B$155:$B$175,$B223,'11.2. ДА за периода'!$S$155:$S$175)+SUMIF('11.2. ДА за периода'!$B$155:$B$175,$B223,'11.2. ДА за периода'!T$155:T$175)</f>
        <v>1.5900000000000003E-3</v>
      </c>
      <c r="U223" s="1136">
        <f>$S223-SUMIF('11.2. ДА за периода'!$B$155:$B$175,$B223,'11.2. ДА за периода'!$S$155:$S$175)+SUMIF('11.2. ДА за периода'!$B$155:$B$175,$B223,'11.2. ДА за периода'!U$155:U$175)</f>
        <v>1.5900000000000003E-3</v>
      </c>
      <c r="V223" s="1136">
        <f>$S223-SUMIF('11.2. ДА за периода'!$B$155:$B$175,$B223,'11.2. ДА за периода'!$S$155:$S$175)+SUMIF('11.2. ДА за периода'!$B$155:$B$175,$B223,'11.2. ДА за периода'!V$155:V$175)</f>
        <v>1.5900000000000003E-3</v>
      </c>
      <c r="W223" s="1136">
        <f>$S223-SUMIF('11.2. ДА за периода'!$B$155:$B$175,$B223,'11.2. ДА за периода'!$S$155:$S$175)+SUMIF('11.2. ДА за периода'!$B$155:$B$175,$B223,'11.2. ДА за периода'!W$155:W$175)</f>
        <v>1.5900000000000003E-3</v>
      </c>
      <c r="X223" s="1136">
        <f>$S223-SUMIF('11.2. ДА за периода'!$B$155:$B$175,$B223,'11.2. ДА за периода'!$S$155:$S$175)+SUMIF('11.2. ДА за периода'!$B$155:$B$175,$B223,'11.2. ДА за периода'!X$155:X$175)</f>
        <v>1.5900000000000003E-3</v>
      </c>
      <c r="Y223" s="2656">
        <f>$S223-SUMIF('11.2. ДА за периода'!$B$155:$B$175,$B223,'11.2. ДА за периода'!$S$155:$S$175)+SUMIF('11.2. ДА за периода'!$B$155:$B$175,$B223,'11.2. ДА за периода'!Y$155:Y$175)</f>
        <v>1.5900000000000003E-3</v>
      </c>
      <c r="Z223" s="4453">
        <f>+'11.3. ДА Базова година'!R184</f>
        <v>0</v>
      </c>
      <c r="AA223" s="2655">
        <f>$Z223-SUMIF('11.2. ДА за периода'!$B$155:$B$175,$B223,'11.2. ДА за периода'!$Z$155:$Z$175)+SUMIF('11.2. ДА за периода'!$B$155:$B$175,$B223,'11.2. ДА за периода'!AA$155:AA$175)</f>
        <v>0</v>
      </c>
      <c r="AB223" s="1136">
        <f>$Z223-SUMIF('11.2. ДА за периода'!$B$155:$B$175,$B223,'11.2. ДА за периода'!$Z$155:$Z$175)+SUMIF('11.2. ДА за периода'!$B$155:$B$175,$B223,'11.2. ДА за периода'!AB$155:AB$175)</f>
        <v>0</v>
      </c>
      <c r="AC223" s="1136">
        <f>$Z223-SUMIF('11.2. ДА за периода'!$B$155:$B$175,$B223,'11.2. ДА за периода'!$Z$155:$Z$175)+SUMIF('11.2. ДА за периода'!$B$155:$B$175,$B223,'11.2. ДА за периода'!AC$155:AC$175)</f>
        <v>0</v>
      </c>
      <c r="AD223" s="1136">
        <f>$Z223-SUMIF('11.2. ДА за периода'!$B$155:$B$175,$B223,'11.2. ДА за периода'!$Z$155:$Z$175)+SUMIF('11.2. ДА за периода'!$B$155:$B$175,$B223,'11.2. ДА за периода'!AD$155:AD$175)</f>
        <v>0</v>
      </c>
      <c r="AE223" s="1136">
        <f>$Z223-SUMIF('11.2. ДА за периода'!$B$155:$B$175,$B223,'11.2. ДА за периода'!$Z$155:$Z$175)+SUMIF('11.2. ДА за периода'!$B$155:$B$175,$B223,'11.2. ДА за периода'!AE$155:AE$175)</f>
        <v>0</v>
      </c>
      <c r="AF223" s="2656">
        <f>$Z223-SUMIF('11.2. ДА за периода'!$B$155:$B$175,$B223,'11.2. ДА за периода'!$Z$155:$Z$175)+SUMIF('11.2. ДА за периода'!$B$155:$B$175,$B223,'11.2. ДА за периода'!AF$155:AF$175)</f>
        <v>0</v>
      </c>
      <c r="AG223" s="4453">
        <f>+'11.3. ДА Базова година'!V184</f>
        <v>0</v>
      </c>
      <c r="AH223" s="2655">
        <f>$AG223-SUMIF('11.2. ДА за периода'!$B$155:$B$175,$B223,'11.2. ДА за периода'!$AG$155:$AG$175)+SUMIF('11.2. ДА за периода'!$B$155:$B$175,$B223,'11.2. ДА за периода'!AH$155:AH$175)</f>
        <v>0</v>
      </c>
      <c r="AI223" s="1136">
        <f>$AG223-SUMIF('11.2. ДА за периода'!$B$155:$B$175,$B223,'11.2. ДА за периода'!$AG$155:$AG$175)+SUMIF('11.2. ДА за периода'!$B$155:$B$175,$B223,'11.2. ДА за периода'!AI$155:AI$175)</f>
        <v>0</v>
      </c>
      <c r="AJ223" s="1136">
        <f>$AG223-SUMIF('11.2. ДА за периода'!$B$155:$B$175,$B223,'11.2. ДА за периода'!$AG$155:$AG$175)+SUMIF('11.2. ДА за периода'!$B$155:$B$175,$B223,'11.2. ДА за периода'!AJ$155:AJ$175)</f>
        <v>0</v>
      </c>
      <c r="AK223" s="1136">
        <f>$AG223-SUMIF('11.2. ДА за периода'!$B$155:$B$175,$B223,'11.2. ДА за периода'!$AG$155:$AG$175)+SUMIF('11.2. ДА за периода'!$B$155:$B$175,$B223,'11.2. ДА за периода'!AK$155:AK$175)</f>
        <v>0</v>
      </c>
      <c r="AL223" s="1136">
        <f>$AG223-SUMIF('11.2. ДА за периода'!$B$155:$B$175,$B223,'11.2. ДА за периода'!$AG$155:$AG$175)+SUMIF('11.2. ДА за периода'!$B$155:$B$175,$B223,'11.2. ДА за периода'!AL$155:AL$175)</f>
        <v>0</v>
      </c>
      <c r="AM223" s="2656">
        <f>$AG223-SUMIF('11.2. ДА за периода'!$B$155:$B$175,$B223,'11.2. ДА за периода'!$AG$155:$AG$175)+SUMIF('11.2. ДА за периода'!$B$155:$B$175,$B223,'11.2. ДА за периода'!AM$155:AM$175)</f>
        <v>0</v>
      </c>
      <c r="AN223" s="2562"/>
      <c r="AO223" s="2589"/>
      <c r="AP223" s="4488"/>
      <c r="AQ223" s="4504">
        <f t="shared" si="271"/>
        <v>4.8163695208683785E-2</v>
      </c>
      <c r="AR223" s="4504">
        <f t="shared" si="272"/>
        <v>4.8163695208683785E-2</v>
      </c>
      <c r="AS223" s="4504">
        <f t="shared" si="273"/>
        <v>4.8163695208683785E-2</v>
      </c>
      <c r="AT223" s="4504">
        <f t="shared" si="274"/>
        <v>4.8163695208683785E-2</v>
      </c>
      <c r="AU223" s="4504">
        <f t="shared" si="275"/>
        <v>4.8163695208683785E-2</v>
      </c>
      <c r="AV223" s="4504">
        <f t="shared" si="276"/>
        <v>4.8163695208683785E-2</v>
      </c>
      <c r="AW223" s="4504">
        <f t="shared" si="277"/>
        <v>4.8163695208683785E-2</v>
      </c>
      <c r="AX223" s="4504">
        <f t="shared" si="278"/>
        <v>0.43267564154348792</v>
      </c>
      <c r="AY223" s="4504">
        <f t="shared" si="279"/>
        <v>0.43267564154348792</v>
      </c>
      <c r="AZ223" s="4504">
        <f t="shared" si="280"/>
        <v>0.43267564154348792</v>
      </c>
      <c r="BA223" s="4504">
        <f t="shared" si="281"/>
        <v>0.43267564154348792</v>
      </c>
      <c r="BB223" s="4504">
        <f t="shared" si="282"/>
        <v>0.43267564154348792</v>
      </c>
      <c r="BC223" s="4504">
        <f t="shared" si="283"/>
        <v>0.43267564154348792</v>
      </c>
      <c r="BD223" s="4504">
        <f t="shared" si="284"/>
        <v>0.43267564154348792</v>
      </c>
      <c r="BE223" s="4504">
        <f t="shared" si="285"/>
        <v>8.1295409110198756E-4</v>
      </c>
      <c r="BF223" s="4504">
        <f t="shared" si="286"/>
        <v>8.1295409110198756E-4</v>
      </c>
      <c r="BG223" s="4504">
        <f t="shared" si="287"/>
        <v>8.1295409110198756E-4</v>
      </c>
      <c r="BH223" s="4504">
        <f t="shared" si="288"/>
        <v>8.1295409110198756E-4</v>
      </c>
      <c r="BI223" s="4504">
        <f t="shared" si="289"/>
        <v>8.1295409110198756E-4</v>
      </c>
      <c r="BJ223" s="4504">
        <f t="shared" si="290"/>
        <v>8.1295409110198756E-4</v>
      </c>
      <c r="BK223" s="4504">
        <f t="shared" si="291"/>
        <v>8.1295409110198756E-4</v>
      </c>
      <c r="BL223" s="4504">
        <f t="shared" si="292"/>
        <v>0</v>
      </c>
      <c r="BM223" s="4504">
        <f t="shared" si="293"/>
        <v>0</v>
      </c>
      <c r="BN223" s="4504">
        <f t="shared" si="294"/>
        <v>0</v>
      </c>
      <c r="BO223" s="4504">
        <f t="shared" si="295"/>
        <v>0</v>
      </c>
      <c r="BP223" s="4504">
        <f t="shared" si="296"/>
        <v>0</v>
      </c>
      <c r="BQ223" s="4504">
        <f t="shared" si="297"/>
        <v>0</v>
      </c>
      <c r="BR223" s="4504">
        <f t="shared" si="298"/>
        <v>0</v>
      </c>
      <c r="BS223" s="4504">
        <f t="shared" si="299"/>
        <v>0</v>
      </c>
      <c r="BT223" s="4504">
        <f t="shared" si="300"/>
        <v>0</v>
      </c>
      <c r="BU223" s="4504">
        <f t="shared" si="301"/>
        <v>0</v>
      </c>
      <c r="BV223" s="4504">
        <f t="shared" si="302"/>
        <v>0</v>
      </c>
      <c r="BW223" s="4504">
        <f t="shared" si="303"/>
        <v>0</v>
      </c>
      <c r="BX223" s="4504">
        <f t="shared" si="304"/>
        <v>0</v>
      </c>
      <c r="BY223" s="4504">
        <f t="shared" si="305"/>
        <v>0</v>
      </c>
    </row>
    <row r="224" spans="1:77" s="1323" customFormat="1">
      <c r="A224" s="2611">
        <v>10</v>
      </c>
      <c r="B224" s="2554">
        <v>91140101</v>
      </c>
      <c r="C224" s="2610">
        <v>0.1</v>
      </c>
      <c r="D224" s="2584" t="s">
        <v>1016</v>
      </c>
      <c r="E224" s="4453">
        <f>+'11.3. ДА Базова година'!F185</f>
        <v>0</v>
      </c>
      <c r="F224" s="2655">
        <f>$E224-SUMIF('11.2. ДА за периода'!$B$155:$B$175,$B224,'11.2. ДА за периода'!$E$155:$E$175)+SUMIF('11.2. ДА за периода'!$B$155:$B$175,$B224,'11.2. ДА за периода'!F$155:F$175)</f>
        <v>0</v>
      </c>
      <c r="G224" s="1136">
        <f>$E224-SUMIF('11.2. ДА за периода'!$B$155:$B$175,$B224,'11.2. ДА за периода'!$E$155:$E$175)+SUMIF('11.2. ДА за периода'!$B$155:$B$175,$B224,'11.2. ДА за периода'!G$155:G$175)</f>
        <v>0</v>
      </c>
      <c r="H224" s="1136">
        <f>$E224-SUMIF('11.2. ДА за периода'!$B$155:$B$175,$B224,'11.2. ДА за периода'!$E$155:$E$175)+SUMIF('11.2. ДА за периода'!$B$155:$B$175,$B224,'11.2. ДА за периода'!H$155:H$175)</f>
        <v>0</v>
      </c>
      <c r="I224" s="1136">
        <f>$E224-SUMIF('11.2. ДА за периода'!$B$155:$B$175,$B224,'11.2. ДА за периода'!$E$155:$E$175)+SUMIF('11.2. ДА за периода'!$B$155:$B$175,$B224,'11.2. ДА за периода'!I$155:I$175)</f>
        <v>0</v>
      </c>
      <c r="J224" s="1136">
        <f>$E224-SUMIF('11.2. ДА за периода'!$B$155:$B$175,$B224,'11.2. ДА за периода'!$E$155:$E$175)+SUMIF('11.2. ДА за периода'!$B$155:$B$175,$B224,'11.2. ДА за периода'!J$155:J$175)</f>
        <v>0</v>
      </c>
      <c r="K224" s="2656">
        <f>$E224-SUMIF('11.2. ДА за периода'!$B$155:$B$175,$B224,'11.2. ДА за периода'!$E$155:$E$175)+SUMIF('11.2. ДА за периода'!$B$155:$B$175,$B224,'11.2. ДА за периода'!K$155:K$175)</f>
        <v>0</v>
      </c>
      <c r="L224" s="4453">
        <f>+'11.3. ДА Базова година'!J185</f>
        <v>0</v>
      </c>
      <c r="M224" s="2655">
        <f>$L224-SUMIF('11.2. ДА за периода'!$B$155:$B$175,$B224,'11.2. ДА за периода'!$L$155:$L$175)+SUMIF('11.2. ДА за периода'!$B$155:$B$175,$B224,'11.2. ДА за периода'!M$155:M$175)</f>
        <v>0</v>
      </c>
      <c r="N224" s="1136">
        <f>$L224-SUMIF('11.2. ДА за периода'!$B$155:$B$175,$B224,'11.2. ДА за периода'!$L$155:$L$175)+SUMIF('11.2. ДА за периода'!$B$155:$B$175,$B224,'11.2. ДА за периода'!N$155:N$175)</f>
        <v>0</v>
      </c>
      <c r="O224" s="1136">
        <f>$L224-SUMIF('11.2. ДА за периода'!$B$155:$B$175,$B224,'11.2. ДА за периода'!$L$155:$L$175)+SUMIF('11.2. ДА за периода'!$B$155:$B$175,$B224,'11.2. ДА за периода'!O$155:O$175)</f>
        <v>0</v>
      </c>
      <c r="P224" s="1136">
        <f>$L224-SUMIF('11.2. ДА за периода'!$B$155:$B$175,$B224,'11.2. ДА за периода'!$L$155:$L$175)+SUMIF('11.2. ДА за периода'!$B$155:$B$175,$B224,'11.2. ДА за периода'!P$155:P$175)</f>
        <v>0</v>
      </c>
      <c r="Q224" s="1136">
        <f>$L224-SUMIF('11.2. ДА за периода'!$B$155:$B$175,$B224,'11.2. ДА за периода'!$L$155:$L$175)+SUMIF('11.2. ДА за периода'!$B$155:$B$175,$B224,'11.2. ДА за периода'!Q$155:Q$175)</f>
        <v>0</v>
      </c>
      <c r="R224" s="2656">
        <f>$L224-SUMIF('11.2. ДА за периода'!$B$155:$B$175,$B224,'11.2. ДА за периода'!$L$155:$L$175)+SUMIF('11.2. ДА за периода'!$B$155:$B$175,$B224,'11.2. ДА за периода'!R$155:R$175)</f>
        <v>0</v>
      </c>
      <c r="S224" s="4453">
        <f>+'11.3. ДА Базова година'!N185</f>
        <v>0</v>
      </c>
      <c r="T224" s="2655">
        <f>$S224-SUMIF('11.2. ДА за периода'!$B$155:$B$175,$B224,'11.2. ДА за периода'!$S$155:$S$175)+SUMIF('11.2. ДА за периода'!$B$155:$B$175,$B224,'11.2. ДА за периода'!T$155:T$175)</f>
        <v>0</v>
      </c>
      <c r="U224" s="1136">
        <f>$S224-SUMIF('11.2. ДА за периода'!$B$155:$B$175,$B224,'11.2. ДА за периода'!$S$155:$S$175)+SUMIF('11.2. ДА за периода'!$B$155:$B$175,$B224,'11.2. ДА за периода'!U$155:U$175)</f>
        <v>0</v>
      </c>
      <c r="V224" s="1136">
        <f>$S224-SUMIF('11.2. ДА за периода'!$B$155:$B$175,$B224,'11.2. ДА за периода'!$S$155:$S$175)+SUMIF('11.2. ДА за периода'!$B$155:$B$175,$B224,'11.2. ДА за периода'!V$155:V$175)</f>
        <v>0</v>
      </c>
      <c r="W224" s="1136">
        <f>$S224-SUMIF('11.2. ДА за периода'!$B$155:$B$175,$B224,'11.2. ДА за периода'!$S$155:$S$175)+SUMIF('11.2. ДА за периода'!$B$155:$B$175,$B224,'11.2. ДА за периода'!W$155:W$175)</f>
        <v>0</v>
      </c>
      <c r="X224" s="1136">
        <f>$S224-SUMIF('11.2. ДА за периода'!$B$155:$B$175,$B224,'11.2. ДА за периода'!$S$155:$S$175)+SUMIF('11.2. ДА за периода'!$B$155:$B$175,$B224,'11.2. ДА за периода'!X$155:X$175)</f>
        <v>0</v>
      </c>
      <c r="Y224" s="2656">
        <f>$S224-SUMIF('11.2. ДА за периода'!$B$155:$B$175,$B224,'11.2. ДА за периода'!$S$155:$S$175)+SUMIF('11.2. ДА за периода'!$B$155:$B$175,$B224,'11.2. ДА за периода'!Y$155:Y$175)</f>
        <v>0</v>
      </c>
      <c r="Z224" s="4453">
        <f>+'11.3. ДА Базова година'!R185</f>
        <v>0</v>
      </c>
      <c r="AA224" s="2655">
        <f>$Z224-SUMIF('11.2. ДА за периода'!$B$155:$B$175,$B224,'11.2. ДА за периода'!$Z$155:$Z$175)+SUMIF('11.2. ДА за периода'!$B$155:$B$175,$B224,'11.2. ДА за периода'!AA$155:AA$175)</f>
        <v>0</v>
      </c>
      <c r="AB224" s="1136">
        <f>$Z224-SUMIF('11.2. ДА за периода'!$B$155:$B$175,$B224,'11.2. ДА за периода'!$Z$155:$Z$175)+SUMIF('11.2. ДА за периода'!$B$155:$B$175,$B224,'11.2. ДА за периода'!AB$155:AB$175)</f>
        <v>0</v>
      </c>
      <c r="AC224" s="1136">
        <f>$Z224-SUMIF('11.2. ДА за периода'!$B$155:$B$175,$B224,'11.2. ДА за периода'!$Z$155:$Z$175)+SUMIF('11.2. ДА за периода'!$B$155:$B$175,$B224,'11.2. ДА за периода'!AC$155:AC$175)</f>
        <v>0</v>
      </c>
      <c r="AD224" s="1136">
        <f>$Z224-SUMIF('11.2. ДА за периода'!$B$155:$B$175,$B224,'11.2. ДА за периода'!$Z$155:$Z$175)+SUMIF('11.2. ДА за периода'!$B$155:$B$175,$B224,'11.2. ДА за периода'!AD$155:AD$175)</f>
        <v>0</v>
      </c>
      <c r="AE224" s="1136">
        <f>$Z224-SUMIF('11.2. ДА за периода'!$B$155:$B$175,$B224,'11.2. ДА за периода'!$Z$155:$Z$175)+SUMIF('11.2. ДА за периода'!$B$155:$B$175,$B224,'11.2. ДА за периода'!AE$155:AE$175)</f>
        <v>0</v>
      </c>
      <c r="AF224" s="2656">
        <f>$Z224-SUMIF('11.2. ДА за периода'!$B$155:$B$175,$B224,'11.2. ДА за периода'!$Z$155:$Z$175)+SUMIF('11.2. ДА за периода'!$B$155:$B$175,$B224,'11.2. ДА за периода'!AF$155:AF$175)</f>
        <v>0</v>
      </c>
      <c r="AG224" s="4453">
        <f>+'11.3. ДА Базова година'!V185</f>
        <v>0</v>
      </c>
      <c r="AH224" s="2655">
        <f>$AG224-SUMIF('11.2. ДА за периода'!$B$155:$B$175,$B224,'11.2. ДА за периода'!$AG$155:$AG$175)+SUMIF('11.2. ДА за периода'!$B$155:$B$175,$B224,'11.2. ДА за периода'!AH$155:AH$175)</f>
        <v>0</v>
      </c>
      <c r="AI224" s="1136">
        <f>$AG224-SUMIF('11.2. ДА за периода'!$B$155:$B$175,$B224,'11.2. ДА за периода'!$AG$155:$AG$175)+SUMIF('11.2. ДА за периода'!$B$155:$B$175,$B224,'11.2. ДА за периода'!AI$155:AI$175)</f>
        <v>0</v>
      </c>
      <c r="AJ224" s="1136">
        <f>$AG224-SUMIF('11.2. ДА за периода'!$B$155:$B$175,$B224,'11.2. ДА за периода'!$AG$155:$AG$175)+SUMIF('11.2. ДА за периода'!$B$155:$B$175,$B224,'11.2. ДА за периода'!AJ$155:AJ$175)</f>
        <v>0</v>
      </c>
      <c r="AK224" s="1136">
        <f>$AG224-SUMIF('11.2. ДА за периода'!$B$155:$B$175,$B224,'11.2. ДА за периода'!$AG$155:$AG$175)+SUMIF('11.2. ДА за периода'!$B$155:$B$175,$B224,'11.2. ДА за периода'!AK$155:AK$175)</f>
        <v>0</v>
      </c>
      <c r="AL224" s="1136">
        <f>$AG224-SUMIF('11.2. ДА за периода'!$B$155:$B$175,$B224,'11.2. ДА за периода'!$AG$155:$AG$175)+SUMIF('11.2. ДА за периода'!$B$155:$B$175,$B224,'11.2. ДА за периода'!AL$155:AL$175)</f>
        <v>0</v>
      </c>
      <c r="AM224" s="2656">
        <f>$AG224-SUMIF('11.2. ДА за периода'!$B$155:$B$175,$B224,'11.2. ДА за периода'!$AG$155:$AG$175)+SUMIF('11.2. ДА за периода'!$B$155:$B$175,$B224,'11.2. ДА за периода'!AM$155:AM$175)</f>
        <v>0</v>
      </c>
      <c r="AN224" s="2562"/>
      <c r="AO224" s="2589"/>
      <c r="AP224" s="4488"/>
      <c r="AQ224" s="4504">
        <f t="shared" si="271"/>
        <v>0</v>
      </c>
      <c r="AR224" s="4504">
        <f t="shared" si="272"/>
        <v>0</v>
      </c>
      <c r="AS224" s="4504">
        <f t="shared" si="273"/>
        <v>0</v>
      </c>
      <c r="AT224" s="4504">
        <f t="shared" si="274"/>
        <v>0</v>
      </c>
      <c r="AU224" s="4504">
        <f t="shared" si="275"/>
        <v>0</v>
      </c>
      <c r="AV224" s="4504">
        <f t="shared" si="276"/>
        <v>0</v>
      </c>
      <c r="AW224" s="4504">
        <f t="shared" si="277"/>
        <v>0</v>
      </c>
      <c r="AX224" s="4504">
        <f t="shared" si="278"/>
        <v>0</v>
      </c>
      <c r="AY224" s="4504">
        <f t="shared" si="279"/>
        <v>0</v>
      </c>
      <c r="AZ224" s="4504">
        <f t="shared" si="280"/>
        <v>0</v>
      </c>
      <c r="BA224" s="4504">
        <f t="shared" si="281"/>
        <v>0</v>
      </c>
      <c r="BB224" s="4504">
        <f t="shared" si="282"/>
        <v>0</v>
      </c>
      <c r="BC224" s="4504">
        <f t="shared" si="283"/>
        <v>0</v>
      </c>
      <c r="BD224" s="4504">
        <f t="shared" si="284"/>
        <v>0</v>
      </c>
      <c r="BE224" s="4504">
        <f t="shared" si="285"/>
        <v>0</v>
      </c>
      <c r="BF224" s="4504">
        <f t="shared" si="286"/>
        <v>0</v>
      </c>
      <c r="BG224" s="4504">
        <f t="shared" si="287"/>
        <v>0</v>
      </c>
      <c r="BH224" s="4504">
        <f t="shared" si="288"/>
        <v>0</v>
      </c>
      <c r="BI224" s="4504">
        <f t="shared" si="289"/>
        <v>0</v>
      </c>
      <c r="BJ224" s="4504">
        <f t="shared" si="290"/>
        <v>0</v>
      </c>
      <c r="BK224" s="4504">
        <f t="shared" si="291"/>
        <v>0</v>
      </c>
      <c r="BL224" s="4504">
        <f t="shared" si="292"/>
        <v>0</v>
      </c>
      <c r="BM224" s="4504">
        <f t="shared" si="293"/>
        <v>0</v>
      </c>
      <c r="BN224" s="4504">
        <f t="shared" si="294"/>
        <v>0</v>
      </c>
      <c r="BO224" s="4504">
        <f t="shared" si="295"/>
        <v>0</v>
      </c>
      <c r="BP224" s="4504">
        <f t="shared" si="296"/>
        <v>0</v>
      </c>
      <c r="BQ224" s="4504">
        <f t="shared" si="297"/>
        <v>0</v>
      </c>
      <c r="BR224" s="4504">
        <f t="shared" si="298"/>
        <v>0</v>
      </c>
      <c r="BS224" s="4504">
        <f t="shared" si="299"/>
        <v>0</v>
      </c>
      <c r="BT224" s="4504">
        <f t="shared" si="300"/>
        <v>0</v>
      </c>
      <c r="BU224" s="4504">
        <f t="shared" si="301"/>
        <v>0</v>
      </c>
      <c r="BV224" s="4504">
        <f t="shared" si="302"/>
        <v>0</v>
      </c>
      <c r="BW224" s="4504">
        <f t="shared" si="303"/>
        <v>0</v>
      </c>
      <c r="BX224" s="4504">
        <f t="shared" si="304"/>
        <v>0</v>
      </c>
      <c r="BY224" s="4504">
        <f t="shared" si="305"/>
        <v>0</v>
      </c>
    </row>
    <row r="225" spans="1:77" s="1323" customFormat="1">
      <c r="A225" s="2611">
        <v>11</v>
      </c>
      <c r="B225" s="2554">
        <v>91140102</v>
      </c>
      <c r="C225" s="2610">
        <v>0.04</v>
      </c>
      <c r="D225" s="2584" t="s">
        <v>432</v>
      </c>
      <c r="E225" s="4453">
        <f>+'11.3. ДА Базова година'!F186</f>
        <v>1.46852</v>
      </c>
      <c r="F225" s="2655">
        <f>$E225-SUMIF('11.2. ДА за периода'!$B$155:$B$175,$B225,'11.2. ДА за периода'!$E$155:$E$175)+SUMIF('11.2. ДА за периода'!$B$155:$B$175,$B225,'11.2. ДА за периода'!F$155:F$175)</f>
        <v>1.46852</v>
      </c>
      <c r="G225" s="1136">
        <f>$E225-SUMIF('11.2. ДА за периода'!$B$155:$B$175,$B225,'11.2. ДА за периода'!$E$155:$E$175)+SUMIF('11.2. ДА за периода'!$B$155:$B$175,$B225,'11.2. ДА за периода'!G$155:G$175)</f>
        <v>1.46852</v>
      </c>
      <c r="H225" s="1136">
        <f>$E225-SUMIF('11.2. ДА за периода'!$B$155:$B$175,$B225,'11.2. ДА за периода'!$E$155:$E$175)+SUMIF('11.2. ДА за периода'!$B$155:$B$175,$B225,'11.2. ДА за периода'!H$155:H$175)</f>
        <v>1.46852</v>
      </c>
      <c r="I225" s="1136">
        <f>$E225-SUMIF('11.2. ДА за периода'!$B$155:$B$175,$B225,'11.2. ДА за периода'!$E$155:$E$175)+SUMIF('11.2. ДА за периода'!$B$155:$B$175,$B225,'11.2. ДА за периода'!I$155:I$175)</f>
        <v>1.46852</v>
      </c>
      <c r="J225" s="1136">
        <f>$E225-SUMIF('11.2. ДА за периода'!$B$155:$B$175,$B225,'11.2. ДА за периода'!$E$155:$E$175)+SUMIF('11.2. ДА за периода'!$B$155:$B$175,$B225,'11.2. ДА за периода'!J$155:J$175)</f>
        <v>1.46852</v>
      </c>
      <c r="K225" s="2656">
        <f>$E225-SUMIF('11.2. ДА за периода'!$B$155:$B$175,$B225,'11.2. ДА за периода'!$E$155:$E$175)+SUMIF('11.2. ДА за периода'!$B$155:$B$175,$B225,'11.2. ДА за периода'!K$155:K$175)</f>
        <v>1.46852</v>
      </c>
      <c r="L225" s="4453">
        <f>+'11.3. ДА Базова година'!J186</f>
        <v>0</v>
      </c>
      <c r="M225" s="2655">
        <f>$L225-SUMIF('11.2. ДА за периода'!$B$155:$B$175,$B225,'11.2. ДА за периода'!$L$155:$L$175)+SUMIF('11.2. ДА за периода'!$B$155:$B$175,$B225,'11.2. ДА за периода'!M$155:M$175)</f>
        <v>0</v>
      </c>
      <c r="N225" s="1136">
        <f>$L225-SUMIF('11.2. ДА за периода'!$B$155:$B$175,$B225,'11.2. ДА за периода'!$L$155:$L$175)+SUMIF('11.2. ДА за периода'!$B$155:$B$175,$B225,'11.2. ДА за периода'!N$155:N$175)</f>
        <v>0</v>
      </c>
      <c r="O225" s="1136">
        <f>$L225-SUMIF('11.2. ДА за периода'!$B$155:$B$175,$B225,'11.2. ДА за периода'!$L$155:$L$175)+SUMIF('11.2. ДА за периода'!$B$155:$B$175,$B225,'11.2. ДА за периода'!O$155:O$175)</f>
        <v>0</v>
      </c>
      <c r="P225" s="1136">
        <f>$L225-SUMIF('11.2. ДА за периода'!$B$155:$B$175,$B225,'11.2. ДА за периода'!$L$155:$L$175)+SUMIF('11.2. ДА за периода'!$B$155:$B$175,$B225,'11.2. ДА за периода'!P$155:P$175)</f>
        <v>0</v>
      </c>
      <c r="Q225" s="1136">
        <f>$L225-SUMIF('11.2. ДА за периода'!$B$155:$B$175,$B225,'11.2. ДА за периода'!$L$155:$L$175)+SUMIF('11.2. ДА за периода'!$B$155:$B$175,$B225,'11.2. ДА за периода'!Q$155:Q$175)</f>
        <v>0</v>
      </c>
      <c r="R225" s="2656">
        <f>$L225-SUMIF('11.2. ДА за периода'!$B$155:$B$175,$B225,'11.2. ДА за периода'!$L$155:$L$175)+SUMIF('11.2. ДА за периода'!$B$155:$B$175,$B225,'11.2. ДА за периода'!R$155:R$175)</f>
        <v>0</v>
      </c>
      <c r="S225" s="4453">
        <f>+'11.3. ДА Базова година'!N186</f>
        <v>50.063879999999997</v>
      </c>
      <c r="T225" s="2655">
        <f>$S225-SUMIF('11.2. ДА за периода'!$B$155:$B$175,$B225,'11.2. ДА за периода'!$S$155:$S$175)+SUMIF('11.2. ДА за периода'!$B$155:$B$175,$B225,'11.2. ДА за периода'!T$155:T$175)</f>
        <v>50.063879999999997</v>
      </c>
      <c r="U225" s="1136">
        <f>$S225-SUMIF('11.2. ДА за периода'!$B$155:$B$175,$B225,'11.2. ДА за периода'!$S$155:$S$175)+SUMIF('11.2. ДА за периода'!$B$155:$B$175,$B225,'11.2. ДА за периода'!U$155:U$175)</f>
        <v>50.063879999999997</v>
      </c>
      <c r="V225" s="1136">
        <f>$S225-SUMIF('11.2. ДА за периода'!$B$155:$B$175,$B225,'11.2. ДА за периода'!$S$155:$S$175)+SUMIF('11.2. ДА за периода'!$B$155:$B$175,$B225,'11.2. ДА за периода'!V$155:V$175)</f>
        <v>50.063879999999997</v>
      </c>
      <c r="W225" s="1136">
        <f>$S225-SUMIF('11.2. ДА за периода'!$B$155:$B$175,$B225,'11.2. ДА за периода'!$S$155:$S$175)+SUMIF('11.2. ДА за периода'!$B$155:$B$175,$B225,'11.2. ДА за периода'!W$155:W$175)</f>
        <v>50.063879999999997</v>
      </c>
      <c r="X225" s="1136">
        <f>$S225-SUMIF('11.2. ДА за периода'!$B$155:$B$175,$B225,'11.2. ДА за периода'!$S$155:$S$175)+SUMIF('11.2. ДА за периода'!$B$155:$B$175,$B225,'11.2. ДА за периода'!X$155:X$175)</f>
        <v>50.063879999999997</v>
      </c>
      <c r="Y225" s="2656">
        <f>$S225-SUMIF('11.2. ДА за периода'!$B$155:$B$175,$B225,'11.2. ДА за периода'!$S$155:$S$175)+SUMIF('11.2. ДА за периода'!$B$155:$B$175,$B225,'11.2. ДА за периода'!Y$155:Y$175)</f>
        <v>50.063879999999997</v>
      </c>
      <c r="Z225" s="4453">
        <f>+'11.3. ДА Базова година'!R186</f>
        <v>0</v>
      </c>
      <c r="AA225" s="2655">
        <f>$Z225-SUMIF('11.2. ДА за периода'!$B$155:$B$175,$B225,'11.2. ДА за периода'!$Z$155:$Z$175)+SUMIF('11.2. ДА за периода'!$B$155:$B$175,$B225,'11.2. ДА за периода'!AA$155:AA$175)</f>
        <v>0</v>
      </c>
      <c r="AB225" s="1136">
        <f>$Z225-SUMIF('11.2. ДА за периода'!$B$155:$B$175,$B225,'11.2. ДА за периода'!$Z$155:$Z$175)+SUMIF('11.2. ДА за периода'!$B$155:$B$175,$B225,'11.2. ДА за периода'!AB$155:AB$175)</f>
        <v>0</v>
      </c>
      <c r="AC225" s="1136">
        <f>$Z225-SUMIF('11.2. ДА за периода'!$B$155:$B$175,$B225,'11.2. ДА за периода'!$Z$155:$Z$175)+SUMIF('11.2. ДА за периода'!$B$155:$B$175,$B225,'11.2. ДА за периода'!AC$155:AC$175)</f>
        <v>0</v>
      </c>
      <c r="AD225" s="1136">
        <f>$Z225-SUMIF('11.2. ДА за периода'!$B$155:$B$175,$B225,'11.2. ДА за периода'!$Z$155:$Z$175)+SUMIF('11.2. ДА за периода'!$B$155:$B$175,$B225,'11.2. ДА за периода'!AD$155:AD$175)</f>
        <v>0</v>
      </c>
      <c r="AE225" s="1136">
        <f>$Z225-SUMIF('11.2. ДА за периода'!$B$155:$B$175,$B225,'11.2. ДА за периода'!$Z$155:$Z$175)+SUMIF('11.2. ДА за периода'!$B$155:$B$175,$B225,'11.2. ДА за периода'!AE$155:AE$175)</f>
        <v>0</v>
      </c>
      <c r="AF225" s="2656">
        <f>$Z225-SUMIF('11.2. ДА за периода'!$B$155:$B$175,$B225,'11.2. ДА за периода'!$Z$155:$Z$175)+SUMIF('11.2. ДА за периода'!$B$155:$B$175,$B225,'11.2. ДА за периода'!AF$155:AF$175)</f>
        <v>0</v>
      </c>
      <c r="AG225" s="4453">
        <f>+'11.3. ДА Базова година'!V186</f>
        <v>0</v>
      </c>
      <c r="AH225" s="2655">
        <f>$AG225-SUMIF('11.2. ДА за периода'!$B$155:$B$175,$B225,'11.2. ДА за периода'!$AG$155:$AG$175)+SUMIF('11.2. ДА за периода'!$B$155:$B$175,$B225,'11.2. ДА за периода'!AH$155:AH$175)</f>
        <v>0</v>
      </c>
      <c r="AI225" s="1136">
        <f>$AG225-SUMIF('11.2. ДА за периода'!$B$155:$B$175,$B225,'11.2. ДА за периода'!$AG$155:$AG$175)+SUMIF('11.2. ДА за периода'!$B$155:$B$175,$B225,'11.2. ДА за периода'!AI$155:AI$175)</f>
        <v>0</v>
      </c>
      <c r="AJ225" s="1136">
        <f>$AG225-SUMIF('11.2. ДА за периода'!$B$155:$B$175,$B225,'11.2. ДА за периода'!$AG$155:$AG$175)+SUMIF('11.2. ДА за периода'!$B$155:$B$175,$B225,'11.2. ДА за периода'!AJ$155:AJ$175)</f>
        <v>0</v>
      </c>
      <c r="AK225" s="1136">
        <f>$AG225-SUMIF('11.2. ДА за периода'!$B$155:$B$175,$B225,'11.2. ДА за периода'!$AG$155:$AG$175)+SUMIF('11.2. ДА за периода'!$B$155:$B$175,$B225,'11.2. ДА за периода'!AK$155:AK$175)</f>
        <v>0</v>
      </c>
      <c r="AL225" s="1136">
        <f>$AG225-SUMIF('11.2. ДА за периода'!$B$155:$B$175,$B225,'11.2. ДА за периода'!$AG$155:$AG$175)+SUMIF('11.2. ДА за периода'!$B$155:$B$175,$B225,'11.2. ДА за периода'!AL$155:AL$175)</f>
        <v>0</v>
      </c>
      <c r="AM225" s="2656">
        <f>$AG225-SUMIF('11.2. ДА за периода'!$B$155:$B$175,$B225,'11.2. ДА за периода'!$AG$155:$AG$175)+SUMIF('11.2. ДА за периода'!$B$155:$B$175,$B225,'11.2. ДА за периода'!AM$155:AM$175)</f>
        <v>0</v>
      </c>
      <c r="AN225" s="2562"/>
      <c r="AO225" s="2589"/>
      <c r="AP225" s="4488"/>
      <c r="AQ225" s="4504">
        <f t="shared" si="271"/>
        <v>0.75084235337427085</v>
      </c>
      <c r="AR225" s="4504">
        <f t="shared" si="272"/>
        <v>0.75084235337427085</v>
      </c>
      <c r="AS225" s="4504">
        <f t="shared" si="273"/>
        <v>0.75084235337427085</v>
      </c>
      <c r="AT225" s="4504">
        <f t="shared" si="274"/>
        <v>0.75084235337427085</v>
      </c>
      <c r="AU225" s="4504">
        <f t="shared" si="275"/>
        <v>0.75084235337427085</v>
      </c>
      <c r="AV225" s="4504">
        <f t="shared" si="276"/>
        <v>0.75084235337427085</v>
      </c>
      <c r="AW225" s="4504">
        <f t="shared" si="277"/>
        <v>0.75084235337427085</v>
      </c>
      <c r="AX225" s="4504">
        <f t="shared" si="278"/>
        <v>0</v>
      </c>
      <c r="AY225" s="4504">
        <f t="shared" si="279"/>
        <v>0</v>
      </c>
      <c r="AZ225" s="4504">
        <f t="shared" si="280"/>
        <v>0</v>
      </c>
      <c r="BA225" s="4504">
        <f t="shared" si="281"/>
        <v>0</v>
      </c>
      <c r="BB225" s="4504">
        <f t="shared" si="282"/>
        <v>0</v>
      </c>
      <c r="BC225" s="4504">
        <f t="shared" si="283"/>
        <v>0</v>
      </c>
      <c r="BD225" s="4504">
        <f t="shared" si="284"/>
        <v>0</v>
      </c>
      <c r="BE225" s="4504">
        <f t="shared" si="285"/>
        <v>25.597255385181739</v>
      </c>
      <c r="BF225" s="4504">
        <f t="shared" si="286"/>
        <v>25.597255385181739</v>
      </c>
      <c r="BG225" s="4504">
        <f t="shared" si="287"/>
        <v>25.597255385181739</v>
      </c>
      <c r="BH225" s="4504">
        <f t="shared" si="288"/>
        <v>25.597255385181739</v>
      </c>
      <c r="BI225" s="4504">
        <f t="shared" si="289"/>
        <v>25.597255385181739</v>
      </c>
      <c r="BJ225" s="4504">
        <f t="shared" si="290"/>
        <v>25.597255385181739</v>
      </c>
      <c r="BK225" s="4504">
        <f t="shared" si="291"/>
        <v>25.597255385181739</v>
      </c>
      <c r="BL225" s="4504">
        <f t="shared" si="292"/>
        <v>0</v>
      </c>
      <c r="BM225" s="4504">
        <f t="shared" si="293"/>
        <v>0</v>
      </c>
      <c r="BN225" s="4504">
        <f t="shared" si="294"/>
        <v>0</v>
      </c>
      <c r="BO225" s="4504">
        <f t="shared" si="295"/>
        <v>0</v>
      </c>
      <c r="BP225" s="4504">
        <f t="shared" si="296"/>
        <v>0</v>
      </c>
      <c r="BQ225" s="4504">
        <f t="shared" si="297"/>
        <v>0</v>
      </c>
      <c r="BR225" s="4504">
        <f t="shared" si="298"/>
        <v>0</v>
      </c>
      <c r="BS225" s="4504">
        <f t="shared" si="299"/>
        <v>0</v>
      </c>
      <c r="BT225" s="4504">
        <f t="shared" si="300"/>
        <v>0</v>
      </c>
      <c r="BU225" s="4504">
        <f t="shared" si="301"/>
        <v>0</v>
      </c>
      <c r="BV225" s="4504">
        <f t="shared" si="302"/>
        <v>0</v>
      </c>
      <c r="BW225" s="4504">
        <f t="shared" si="303"/>
        <v>0</v>
      </c>
      <c r="BX225" s="4504">
        <f t="shared" si="304"/>
        <v>0</v>
      </c>
      <c r="BY225" s="4504">
        <f t="shared" si="305"/>
        <v>0</v>
      </c>
    </row>
    <row r="226" spans="1:77" s="1323" customFormat="1">
      <c r="A226" s="2611">
        <v>12</v>
      </c>
      <c r="B226" s="2554" t="s">
        <v>698</v>
      </c>
      <c r="C226" s="2555">
        <v>0.02</v>
      </c>
      <c r="D226" s="2585" t="s">
        <v>738</v>
      </c>
      <c r="E226" s="4453">
        <f>+'11.3. ДА Базова година'!F187</f>
        <v>0</v>
      </c>
      <c r="F226" s="2655">
        <f>$E226-SUMIF('11.2. ДА за периода'!$B$155:$B$175,$B226,'11.2. ДА за периода'!$E$155:$E$175)+SUMIF('11.2. ДА за периода'!$B$155:$B$175,$B226,'11.2. ДА за периода'!F$155:F$175)</f>
        <v>0</v>
      </c>
      <c r="G226" s="1136">
        <f>$E226-SUMIF('11.2. ДА за периода'!$B$155:$B$175,$B226,'11.2. ДА за периода'!$E$155:$E$175)+SUMIF('11.2. ДА за периода'!$B$155:$B$175,$B226,'11.2. ДА за периода'!G$155:G$175)</f>
        <v>0</v>
      </c>
      <c r="H226" s="1136">
        <f>$E226-SUMIF('11.2. ДА за периода'!$B$155:$B$175,$B226,'11.2. ДА за периода'!$E$155:$E$175)+SUMIF('11.2. ДА за периода'!$B$155:$B$175,$B226,'11.2. ДА за периода'!H$155:H$175)</f>
        <v>0</v>
      </c>
      <c r="I226" s="1136">
        <f>$E226-SUMIF('11.2. ДА за периода'!$B$155:$B$175,$B226,'11.2. ДА за периода'!$E$155:$E$175)+SUMIF('11.2. ДА за периода'!$B$155:$B$175,$B226,'11.2. ДА за периода'!I$155:I$175)</f>
        <v>0</v>
      </c>
      <c r="J226" s="1136">
        <f>$E226-SUMIF('11.2. ДА за периода'!$B$155:$B$175,$B226,'11.2. ДА за периода'!$E$155:$E$175)+SUMIF('11.2. ДА за периода'!$B$155:$B$175,$B226,'11.2. ДА за периода'!J$155:J$175)</f>
        <v>0</v>
      </c>
      <c r="K226" s="2656">
        <f>$E226-SUMIF('11.2. ДА за периода'!$B$155:$B$175,$B226,'11.2. ДА за периода'!$E$155:$E$175)+SUMIF('11.2. ДА за периода'!$B$155:$B$175,$B226,'11.2. ДА за периода'!K$155:K$175)</f>
        <v>0</v>
      </c>
      <c r="L226" s="4453">
        <f>+'11.3. ДА Базова година'!J187</f>
        <v>0</v>
      </c>
      <c r="M226" s="2655">
        <f>$L226-SUMIF('11.2. ДА за периода'!$B$155:$B$175,$B226,'11.2. ДА за периода'!$L$155:$L$175)+SUMIF('11.2. ДА за периода'!$B$155:$B$175,$B226,'11.2. ДА за периода'!M$155:M$175)</f>
        <v>0</v>
      </c>
      <c r="N226" s="1136">
        <f>$L226-SUMIF('11.2. ДА за периода'!$B$155:$B$175,$B226,'11.2. ДА за периода'!$L$155:$L$175)+SUMIF('11.2. ДА за периода'!$B$155:$B$175,$B226,'11.2. ДА за периода'!N$155:N$175)</f>
        <v>0</v>
      </c>
      <c r="O226" s="1136">
        <f>$L226-SUMIF('11.2. ДА за периода'!$B$155:$B$175,$B226,'11.2. ДА за периода'!$L$155:$L$175)+SUMIF('11.2. ДА за периода'!$B$155:$B$175,$B226,'11.2. ДА за периода'!O$155:O$175)</f>
        <v>0</v>
      </c>
      <c r="P226" s="1136">
        <f>$L226-SUMIF('11.2. ДА за периода'!$B$155:$B$175,$B226,'11.2. ДА за периода'!$L$155:$L$175)+SUMIF('11.2. ДА за периода'!$B$155:$B$175,$B226,'11.2. ДА за периода'!P$155:P$175)</f>
        <v>0</v>
      </c>
      <c r="Q226" s="1136">
        <f>$L226-SUMIF('11.2. ДА за периода'!$B$155:$B$175,$B226,'11.2. ДА за периода'!$L$155:$L$175)+SUMIF('11.2. ДА за периода'!$B$155:$B$175,$B226,'11.2. ДА за периода'!Q$155:Q$175)</f>
        <v>0</v>
      </c>
      <c r="R226" s="2656">
        <f>$L226-SUMIF('11.2. ДА за периода'!$B$155:$B$175,$B226,'11.2. ДА за периода'!$L$155:$L$175)+SUMIF('11.2. ДА за периода'!$B$155:$B$175,$B226,'11.2. ДА за периода'!R$155:R$175)</f>
        <v>0</v>
      </c>
      <c r="S226" s="4453">
        <f>+'11.3. ДА Базова година'!N187</f>
        <v>0</v>
      </c>
      <c r="T226" s="2655">
        <f>$S226-SUMIF('11.2. ДА за периода'!$B$155:$B$175,$B226,'11.2. ДА за периода'!$S$155:$S$175)+SUMIF('11.2. ДА за периода'!$B$155:$B$175,$B226,'11.2. ДА за периода'!T$155:T$175)</f>
        <v>0</v>
      </c>
      <c r="U226" s="1136">
        <f>$S226-SUMIF('11.2. ДА за периода'!$B$155:$B$175,$B226,'11.2. ДА за периода'!$S$155:$S$175)+SUMIF('11.2. ДА за периода'!$B$155:$B$175,$B226,'11.2. ДА за периода'!U$155:U$175)</f>
        <v>0</v>
      </c>
      <c r="V226" s="1136">
        <f>$S226-SUMIF('11.2. ДА за периода'!$B$155:$B$175,$B226,'11.2. ДА за периода'!$S$155:$S$175)+SUMIF('11.2. ДА за периода'!$B$155:$B$175,$B226,'11.2. ДА за периода'!V$155:V$175)</f>
        <v>0</v>
      </c>
      <c r="W226" s="1136">
        <f>$S226-SUMIF('11.2. ДА за периода'!$B$155:$B$175,$B226,'11.2. ДА за периода'!$S$155:$S$175)+SUMIF('11.2. ДА за периода'!$B$155:$B$175,$B226,'11.2. ДА за периода'!W$155:W$175)</f>
        <v>0</v>
      </c>
      <c r="X226" s="1136">
        <f>$S226-SUMIF('11.2. ДА за периода'!$B$155:$B$175,$B226,'11.2. ДА за периода'!$S$155:$S$175)+SUMIF('11.2. ДА за периода'!$B$155:$B$175,$B226,'11.2. ДА за периода'!X$155:X$175)</f>
        <v>0</v>
      </c>
      <c r="Y226" s="2656">
        <f>$S226-SUMIF('11.2. ДА за периода'!$B$155:$B$175,$B226,'11.2. ДА за периода'!$S$155:$S$175)+SUMIF('11.2. ДА за периода'!$B$155:$B$175,$B226,'11.2. ДА за периода'!Y$155:Y$175)</f>
        <v>0</v>
      </c>
      <c r="Z226" s="4453">
        <f>+'11.3. ДА Базова година'!R187</f>
        <v>0</v>
      </c>
      <c r="AA226" s="2655">
        <f>$Z226-SUMIF('11.2. ДА за периода'!$B$155:$B$175,$B226,'11.2. ДА за периода'!$Z$155:$Z$175)+SUMIF('11.2. ДА за периода'!$B$155:$B$175,$B226,'11.2. ДА за периода'!AA$155:AA$175)</f>
        <v>0</v>
      </c>
      <c r="AB226" s="1136">
        <f>$Z226-SUMIF('11.2. ДА за периода'!$B$155:$B$175,$B226,'11.2. ДА за периода'!$Z$155:$Z$175)+SUMIF('11.2. ДА за периода'!$B$155:$B$175,$B226,'11.2. ДА за периода'!AB$155:AB$175)</f>
        <v>0</v>
      </c>
      <c r="AC226" s="1136">
        <f>$Z226-SUMIF('11.2. ДА за периода'!$B$155:$B$175,$B226,'11.2. ДА за периода'!$Z$155:$Z$175)+SUMIF('11.2. ДА за периода'!$B$155:$B$175,$B226,'11.2. ДА за периода'!AC$155:AC$175)</f>
        <v>0</v>
      </c>
      <c r="AD226" s="1136">
        <f>$Z226-SUMIF('11.2. ДА за периода'!$B$155:$B$175,$B226,'11.2. ДА за периода'!$Z$155:$Z$175)+SUMIF('11.2. ДА за периода'!$B$155:$B$175,$B226,'11.2. ДА за периода'!AD$155:AD$175)</f>
        <v>0</v>
      </c>
      <c r="AE226" s="1136">
        <f>$Z226-SUMIF('11.2. ДА за периода'!$B$155:$B$175,$B226,'11.2. ДА за периода'!$Z$155:$Z$175)+SUMIF('11.2. ДА за периода'!$B$155:$B$175,$B226,'11.2. ДА за периода'!AE$155:AE$175)</f>
        <v>0</v>
      </c>
      <c r="AF226" s="2656">
        <f>$Z226-SUMIF('11.2. ДА за периода'!$B$155:$B$175,$B226,'11.2. ДА за периода'!$Z$155:$Z$175)+SUMIF('11.2. ДА за периода'!$B$155:$B$175,$B226,'11.2. ДА за периода'!AF$155:AF$175)</f>
        <v>0</v>
      </c>
      <c r="AG226" s="4453">
        <f>+'11.3. ДА Базова година'!V187</f>
        <v>0</v>
      </c>
      <c r="AH226" s="2655">
        <f>$AG226-SUMIF('11.2. ДА за периода'!$B$155:$B$175,$B226,'11.2. ДА за периода'!$AG$155:$AG$175)+SUMIF('11.2. ДА за периода'!$B$155:$B$175,$B226,'11.2. ДА за периода'!AH$155:AH$175)</f>
        <v>0</v>
      </c>
      <c r="AI226" s="1136">
        <f>$AG226-SUMIF('11.2. ДА за периода'!$B$155:$B$175,$B226,'11.2. ДА за периода'!$AG$155:$AG$175)+SUMIF('11.2. ДА за периода'!$B$155:$B$175,$B226,'11.2. ДА за периода'!AI$155:AI$175)</f>
        <v>0</v>
      </c>
      <c r="AJ226" s="1136">
        <f>$AG226-SUMIF('11.2. ДА за периода'!$B$155:$B$175,$B226,'11.2. ДА за периода'!$AG$155:$AG$175)+SUMIF('11.2. ДА за периода'!$B$155:$B$175,$B226,'11.2. ДА за периода'!AJ$155:AJ$175)</f>
        <v>0</v>
      </c>
      <c r="AK226" s="1136">
        <f>$AG226-SUMIF('11.2. ДА за периода'!$B$155:$B$175,$B226,'11.2. ДА за периода'!$AG$155:$AG$175)+SUMIF('11.2. ДА за периода'!$B$155:$B$175,$B226,'11.2. ДА за периода'!AK$155:AK$175)</f>
        <v>0</v>
      </c>
      <c r="AL226" s="1136">
        <f>$AG226-SUMIF('11.2. ДА за периода'!$B$155:$B$175,$B226,'11.2. ДА за периода'!$AG$155:$AG$175)+SUMIF('11.2. ДА за периода'!$B$155:$B$175,$B226,'11.2. ДА за периода'!AL$155:AL$175)</f>
        <v>0</v>
      </c>
      <c r="AM226" s="2656">
        <f>$AG226-SUMIF('11.2. ДА за периода'!$B$155:$B$175,$B226,'11.2. ДА за периода'!$AG$155:$AG$175)+SUMIF('11.2. ДА за периода'!$B$155:$B$175,$B226,'11.2. ДА за периода'!AM$155:AM$175)</f>
        <v>0</v>
      </c>
      <c r="AN226" s="2562"/>
      <c r="AO226" s="2589"/>
      <c r="AP226" s="4488"/>
      <c r="AQ226" s="4504">
        <f t="shared" si="271"/>
        <v>0</v>
      </c>
      <c r="AR226" s="4504">
        <f t="shared" si="272"/>
        <v>0</v>
      </c>
      <c r="AS226" s="4504">
        <f t="shared" si="273"/>
        <v>0</v>
      </c>
      <c r="AT226" s="4504">
        <f t="shared" si="274"/>
        <v>0</v>
      </c>
      <c r="AU226" s="4504">
        <f t="shared" si="275"/>
        <v>0</v>
      </c>
      <c r="AV226" s="4504">
        <f t="shared" si="276"/>
        <v>0</v>
      </c>
      <c r="AW226" s="4504">
        <f t="shared" si="277"/>
        <v>0</v>
      </c>
      <c r="AX226" s="4504">
        <f t="shared" si="278"/>
        <v>0</v>
      </c>
      <c r="AY226" s="4504">
        <f t="shared" si="279"/>
        <v>0</v>
      </c>
      <c r="AZ226" s="4504">
        <f t="shared" si="280"/>
        <v>0</v>
      </c>
      <c r="BA226" s="4504">
        <f t="shared" si="281"/>
        <v>0</v>
      </c>
      <c r="BB226" s="4504">
        <f t="shared" si="282"/>
        <v>0</v>
      </c>
      <c r="BC226" s="4504">
        <f t="shared" si="283"/>
        <v>0</v>
      </c>
      <c r="BD226" s="4504">
        <f t="shared" si="284"/>
        <v>0</v>
      </c>
      <c r="BE226" s="4504">
        <f t="shared" si="285"/>
        <v>0</v>
      </c>
      <c r="BF226" s="4504">
        <f t="shared" si="286"/>
        <v>0</v>
      </c>
      <c r="BG226" s="4504">
        <f t="shared" si="287"/>
        <v>0</v>
      </c>
      <c r="BH226" s="4504">
        <f t="shared" si="288"/>
        <v>0</v>
      </c>
      <c r="BI226" s="4504">
        <f t="shared" si="289"/>
        <v>0</v>
      </c>
      <c r="BJ226" s="4504">
        <f t="shared" si="290"/>
        <v>0</v>
      </c>
      <c r="BK226" s="4504">
        <f t="shared" si="291"/>
        <v>0</v>
      </c>
      <c r="BL226" s="4504">
        <f t="shared" si="292"/>
        <v>0</v>
      </c>
      <c r="BM226" s="4504">
        <f t="shared" si="293"/>
        <v>0</v>
      </c>
      <c r="BN226" s="4504">
        <f t="shared" si="294"/>
        <v>0</v>
      </c>
      <c r="BO226" s="4504">
        <f t="shared" si="295"/>
        <v>0</v>
      </c>
      <c r="BP226" s="4504">
        <f t="shared" si="296"/>
        <v>0</v>
      </c>
      <c r="BQ226" s="4504">
        <f t="shared" si="297"/>
        <v>0</v>
      </c>
      <c r="BR226" s="4504">
        <f t="shared" si="298"/>
        <v>0</v>
      </c>
      <c r="BS226" s="4504">
        <f t="shared" si="299"/>
        <v>0</v>
      </c>
      <c r="BT226" s="4504">
        <f t="shared" si="300"/>
        <v>0</v>
      </c>
      <c r="BU226" s="4504">
        <f t="shared" si="301"/>
        <v>0</v>
      </c>
      <c r="BV226" s="4504">
        <f t="shared" si="302"/>
        <v>0</v>
      </c>
      <c r="BW226" s="4504">
        <f t="shared" si="303"/>
        <v>0</v>
      </c>
      <c r="BX226" s="4504">
        <f t="shared" si="304"/>
        <v>0</v>
      </c>
      <c r="BY226" s="4504">
        <f t="shared" si="305"/>
        <v>0</v>
      </c>
    </row>
    <row r="227" spans="1:77" s="1323" customFormat="1">
      <c r="A227" s="2611">
        <v>13</v>
      </c>
      <c r="B227" s="2554" t="s">
        <v>699</v>
      </c>
      <c r="C227" s="2555">
        <v>0.02</v>
      </c>
      <c r="D227" s="2585" t="s">
        <v>739</v>
      </c>
      <c r="E227" s="4453">
        <f>+'11.3. ДА Базова година'!F188</f>
        <v>26.470409632685548</v>
      </c>
      <c r="F227" s="2655">
        <f>$E227-SUMIF('11.2. ДА за периода'!$B$155:$B$175,$B227,'11.2. ДА за периода'!$E$155:$E$175)+SUMIF('11.2. ДА за периода'!$B$155:$B$175,$B227,'11.2. ДА за периода'!F$155:F$175)</f>
        <v>26.470409632685548</v>
      </c>
      <c r="G227" s="1136">
        <f>$E227-SUMIF('11.2. ДА за периода'!$B$155:$B$175,$B227,'11.2. ДА за периода'!$E$155:$E$175)+SUMIF('11.2. ДА за периода'!$B$155:$B$175,$B227,'11.2. ДА за периода'!G$155:G$175)</f>
        <v>26.470409632685548</v>
      </c>
      <c r="H227" s="1136">
        <f>$E227-SUMIF('11.2. ДА за периода'!$B$155:$B$175,$B227,'11.2. ДА за периода'!$E$155:$E$175)+SUMIF('11.2. ДА за периода'!$B$155:$B$175,$B227,'11.2. ДА за периода'!H$155:H$175)</f>
        <v>26.470409632685548</v>
      </c>
      <c r="I227" s="1136">
        <f>$E227-SUMIF('11.2. ДА за периода'!$B$155:$B$175,$B227,'11.2. ДА за периода'!$E$155:$E$175)+SUMIF('11.2. ДА за периода'!$B$155:$B$175,$B227,'11.2. ДА за периода'!I$155:I$175)</f>
        <v>26.470409632685548</v>
      </c>
      <c r="J227" s="1136">
        <f>$E227-SUMIF('11.2. ДА за периода'!$B$155:$B$175,$B227,'11.2. ДА за периода'!$E$155:$E$175)+SUMIF('11.2. ДА за периода'!$B$155:$B$175,$B227,'11.2. ДА за периода'!J$155:J$175)</f>
        <v>26.470409632685548</v>
      </c>
      <c r="K227" s="2656">
        <f>$E227-SUMIF('11.2. ДА за периода'!$B$155:$B$175,$B227,'11.2. ДА за периода'!$E$155:$E$175)+SUMIF('11.2. ДА за периода'!$B$155:$B$175,$B227,'11.2. ДА за периода'!K$155:K$175)</f>
        <v>33.24240963268555</v>
      </c>
      <c r="L227" s="4453">
        <f>+'11.3. ДА Базова година'!J188</f>
        <v>0</v>
      </c>
      <c r="M227" s="2655">
        <f>$L227-SUMIF('11.2. ДА за периода'!$B$155:$B$175,$B227,'11.2. ДА за периода'!$L$155:$L$175)+SUMIF('11.2. ДА за периода'!$B$155:$B$175,$B227,'11.2. ДА за периода'!M$155:M$175)</f>
        <v>0</v>
      </c>
      <c r="N227" s="1136">
        <f>$L227-SUMIF('11.2. ДА за периода'!$B$155:$B$175,$B227,'11.2. ДА за периода'!$L$155:$L$175)+SUMIF('11.2. ДА за периода'!$B$155:$B$175,$B227,'11.2. ДА за периода'!N$155:N$175)</f>
        <v>0</v>
      </c>
      <c r="O227" s="1136">
        <f>$L227-SUMIF('11.2. ДА за периода'!$B$155:$B$175,$B227,'11.2. ДА за периода'!$L$155:$L$175)+SUMIF('11.2. ДА за периода'!$B$155:$B$175,$B227,'11.2. ДА за периода'!O$155:O$175)</f>
        <v>0</v>
      </c>
      <c r="P227" s="1136">
        <f>$L227-SUMIF('11.2. ДА за периода'!$B$155:$B$175,$B227,'11.2. ДА за периода'!$L$155:$L$175)+SUMIF('11.2. ДА за периода'!$B$155:$B$175,$B227,'11.2. ДА за периода'!P$155:P$175)</f>
        <v>0</v>
      </c>
      <c r="Q227" s="1136">
        <f>$L227-SUMIF('11.2. ДА за периода'!$B$155:$B$175,$B227,'11.2. ДА за периода'!$L$155:$L$175)+SUMIF('11.2. ДА за периода'!$B$155:$B$175,$B227,'11.2. ДА за периода'!Q$155:Q$175)</f>
        <v>0</v>
      </c>
      <c r="R227" s="2656">
        <f>$L227-SUMIF('11.2. ДА за периода'!$B$155:$B$175,$B227,'11.2. ДА за периода'!$L$155:$L$175)+SUMIF('11.2. ДА за периода'!$B$155:$B$175,$B227,'11.2. ДА за периода'!R$155:R$175)</f>
        <v>0</v>
      </c>
      <c r="S227" s="4453">
        <f>+'11.3. ДА Базова година'!N188</f>
        <v>0</v>
      </c>
      <c r="T227" s="2655">
        <f>$S227-SUMIF('11.2. ДА за периода'!$B$155:$B$175,$B227,'11.2. ДА за периода'!$S$155:$S$175)+SUMIF('11.2. ДА за периода'!$B$155:$B$175,$B227,'11.2. ДА за периода'!T$155:T$175)</f>
        <v>0</v>
      </c>
      <c r="U227" s="1136">
        <f>$S227-SUMIF('11.2. ДА за периода'!$B$155:$B$175,$B227,'11.2. ДА за периода'!$S$155:$S$175)+SUMIF('11.2. ДА за периода'!$B$155:$B$175,$B227,'11.2. ДА за периода'!U$155:U$175)</f>
        <v>0</v>
      </c>
      <c r="V227" s="1136">
        <f>$S227-SUMIF('11.2. ДА за периода'!$B$155:$B$175,$B227,'11.2. ДА за периода'!$S$155:$S$175)+SUMIF('11.2. ДА за периода'!$B$155:$B$175,$B227,'11.2. ДА за периода'!V$155:V$175)</f>
        <v>0</v>
      </c>
      <c r="W227" s="1136">
        <f>$S227-SUMIF('11.2. ДА за периода'!$B$155:$B$175,$B227,'11.2. ДА за периода'!$S$155:$S$175)+SUMIF('11.2. ДА за периода'!$B$155:$B$175,$B227,'11.2. ДА за периода'!W$155:W$175)</f>
        <v>0</v>
      </c>
      <c r="X227" s="1136">
        <f>$S227-SUMIF('11.2. ДА за периода'!$B$155:$B$175,$B227,'11.2. ДА за периода'!$S$155:$S$175)+SUMIF('11.2. ДА за периода'!$B$155:$B$175,$B227,'11.2. ДА за периода'!X$155:X$175)</f>
        <v>0</v>
      </c>
      <c r="Y227" s="2656">
        <f>$S227-SUMIF('11.2. ДА за периода'!$B$155:$B$175,$B227,'11.2. ДА за периода'!$S$155:$S$175)+SUMIF('11.2. ДА за периода'!$B$155:$B$175,$B227,'11.2. ДА за периода'!Y$155:Y$175)</f>
        <v>0</v>
      </c>
      <c r="Z227" s="4453">
        <f>+'11.3. ДА Базова година'!R188</f>
        <v>0</v>
      </c>
      <c r="AA227" s="2655">
        <f>$Z227-SUMIF('11.2. ДА за периода'!$B$155:$B$175,$B227,'11.2. ДА за периода'!$Z$155:$Z$175)+SUMIF('11.2. ДА за периода'!$B$155:$B$175,$B227,'11.2. ДА за периода'!AA$155:AA$175)</f>
        <v>0</v>
      </c>
      <c r="AB227" s="1136">
        <f>$Z227-SUMIF('11.2. ДА за периода'!$B$155:$B$175,$B227,'11.2. ДА за периода'!$Z$155:$Z$175)+SUMIF('11.2. ДА за периода'!$B$155:$B$175,$B227,'11.2. ДА за периода'!AB$155:AB$175)</f>
        <v>0</v>
      </c>
      <c r="AC227" s="1136">
        <f>$Z227-SUMIF('11.2. ДА за периода'!$B$155:$B$175,$B227,'11.2. ДА за периода'!$Z$155:$Z$175)+SUMIF('11.2. ДА за периода'!$B$155:$B$175,$B227,'11.2. ДА за периода'!AC$155:AC$175)</f>
        <v>0</v>
      </c>
      <c r="AD227" s="1136">
        <f>$Z227-SUMIF('11.2. ДА за периода'!$B$155:$B$175,$B227,'11.2. ДА за периода'!$Z$155:$Z$175)+SUMIF('11.2. ДА за периода'!$B$155:$B$175,$B227,'11.2. ДА за периода'!AD$155:AD$175)</f>
        <v>0</v>
      </c>
      <c r="AE227" s="1136">
        <f>$Z227-SUMIF('11.2. ДА за периода'!$B$155:$B$175,$B227,'11.2. ДА за периода'!$Z$155:$Z$175)+SUMIF('11.2. ДА за периода'!$B$155:$B$175,$B227,'11.2. ДА за периода'!AE$155:AE$175)</f>
        <v>0</v>
      </c>
      <c r="AF227" s="2656">
        <f>$Z227-SUMIF('11.2. ДА за периода'!$B$155:$B$175,$B227,'11.2. ДА за периода'!$Z$155:$Z$175)+SUMIF('11.2. ДА за периода'!$B$155:$B$175,$B227,'11.2. ДА за периода'!AF$155:AF$175)</f>
        <v>0</v>
      </c>
      <c r="AG227" s="4453">
        <f>+'11.3. ДА Базова година'!V188</f>
        <v>0.47770036731444621</v>
      </c>
      <c r="AH227" s="2655">
        <f>$AG227-SUMIF('11.2. ДА за периода'!$B$155:$B$175,$B227,'11.2. ДА за периода'!$AG$155:$AG$175)+SUMIF('11.2. ДА за периода'!$B$155:$B$175,$B227,'11.2. ДА за периода'!AH$155:AH$175)</f>
        <v>0.47770036731444621</v>
      </c>
      <c r="AI227" s="1136">
        <f>$AG227-SUMIF('11.2. ДА за периода'!$B$155:$B$175,$B227,'11.2. ДА за периода'!$AG$155:$AG$175)+SUMIF('11.2. ДА за периода'!$B$155:$B$175,$B227,'11.2. ДА за периода'!AI$155:AI$175)</f>
        <v>0.47770036731444621</v>
      </c>
      <c r="AJ227" s="1136">
        <f>$AG227-SUMIF('11.2. ДА за периода'!$B$155:$B$175,$B227,'11.2. ДА за периода'!$AG$155:$AG$175)+SUMIF('11.2. ДА за периода'!$B$155:$B$175,$B227,'11.2. ДА за периода'!AJ$155:AJ$175)</f>
        <v>0.47770036731444621</v>
      </c>
      <c r="AK227" s="1136">
        <f>$AG227-SUMIF('11.2. ДА за периода'!$B$155:$B$175,$B227,'11.2. ДА за периода'!$AG$155:$AG$175)+SUMIF('11.2. ДА за периода'!$B$155:$B$175,$B227,'11.2. ДА за периода'!AK$155:AK$175)</f>
        <v>0.47770036731444621</v>
      </c>
      <c r="AL227" s="1136">
        <f>$AG227-SUMIF('11.2. ДА за периода'!$B$155:$B$175,$B227,'11.2. ДА за периода'!$AG$155:$AG$175)+SUMIF('11.2. ДА за периода'!$B$155:$B$175,$B227,'11.2. ДА за периода'!AL$155:AL$175)</f>
        <v>0.47770036731444621</v>
      </c>
      <c r="AM227" s="2656">
        <f>$AG227-SUMIF('11.2. ДА за периода'!$B$155:$B$175,$B227,'11.2. ДА за периода'!$AG$155:$AG$175)+SUMIF('11.2. ДА за периода'!$B$155:$B$175,$B227,'11.2. ДА за периода'!AM$155:AM$175)</f>
        <v>0.47770036731444621</v>
      </c>
      <c r="AN227" s="2562"/>
      <c r="AO227" s="2589"/>
      <c r="AP227" s="4488"/>
      <c r="AQ227" s="4504">
        <f t="shared" si="271"/>
        <v>13.534105537130298</v>
      </c>
      <c r="AR227" s="4504">
        <f t="shared" si="272"/>
        <v>13.534105537130298</v>
      </c>
      <c r="AS227" s="4504">
        <f t="shared" si="273"/>
        <v>13.534105537130298</v>
      </c>
      <c r="AT227" s="4504">
        <f t="shared" si="274"/>
        <v>13.534105537130298</v>
      </c>
      <c r="AU227" s="4504">
        <f t="shared" si="275"/>
        <v>13.534105537130298</v>
      </c>
      <c r="AV227" s="4504">
        <f t="shared" si="276"/>
        <v>13.534105537130298</v>
      </c>
      <c r="AW227" s="4504">
        <f t="shared" si="277"/>
        <v>16.996574156591091</v>
      </c>
      <c r="AX227" s="4504">
        <f t="shared" si="278"/>
        <v>0</v>
      </c>
      <c r="AY227" s="4504">
        <f t="shared" si="279"/>
        <v>0</v>
      </c>
      <c r="AZ227" s="4504">
        <f t="shared" si="280"/>
        <v>0</v>
      </c>
      <c r="BA227" s="4504">
        <f t="shared" si="281"/>
        <v>0</v>
      </c>
      <c r="BB227" s="4504">
        <f t="shared" si="282"/>
        <v>0</v>
      </c>
      <c r="BC227" s="4504">
        <f t="shared" si="283"/>
        <v>0</v>
      </c>
      <c r="BD227" s="4504">
        <f t="shared" si="284"/>
        <v>0</v>
      </c>
      <c r="BE227" s="4504">
        <f t="shared" si="285"/>
        <v>0</v>
      </c>
      <c r="BF227" s="4504">
        <f t="shared" si="286"/>
        <v>0</v>
      </c>
      <c r="BG227" s="4504">
        <f t="shared" si="287"/>
        <v>0</v>
      </c>
      <c r="BH227" s="4504">
        <f t="shared" si="288"/>
        <v>0</v>
      </c>
      <c r="BI227" s="4504">
        <f t="shared" si="289"/>
        <v>0</v>
      </c>
      <c r="BJ227" s="4504">
        <f t="shared" si="290"/>
        <v>0</v>
      </c>
      <c r="BK227" s="4504">
        <f t="shared" si="291"/>
        <v>0</v>
      </c>
      <c r="BL227" s="4504">
        <f t="shared" si="292"/>
        <v>0</v>
      </c>
      <c r="BM227" s="4504">
        <f t="shared" si="293"/>
        <v>0</v>
      </c>
      <c r="BN227" s="4504">
        <f t="shared" si="294"/>
        <v>0</v>
      </c>
      <c r="BO227" s="4504">
        <f t="shared" si="295"/>
        <v>0</v>
      </c>
      <c r="BP227" s="4504">
        <f t="shared" si="296"/>
        <v>0</v>
      </c>
      <c r="BQ227" s="4504">
        <f t="shared" si="297"/>
        <v>0</v>
      </c>
      <c r="BR227" s="4504">
        <f t="shared" si="298"/>
        <v>0</v>
      </c>
      <c r="BS227" s="4504">
        <f t="shared" si="299"/>
        <v>0.24424431945232777</v>
      </c>
      <c r="BT227" s="4504">
        <f t="shared" si="300"/>
        <v>0.24424431945232777</v>
      </c>
      <c r="BU227" s="4504">
        <f t="shared" si="301"/>
        <v>0.24424431945232777</v>
      </c>
      <c r="BV227" s="4504">
        <f t="shared" si="302"/>
        <v>0.24424431945232777</v>
      </c>
      <c r="BW227" s="4504">
        <f t="shared" si="303"/>
        <v>0.24424431945232777</v>
      </c>
      <c r="BX227" s="4504">
        <f t="shared" si="304"/>
        <v>0.24424431945232777</v>
      </c>
      <c r="BY227" s="4504">
        <f t="shared" si="305"/>
        <v>0.24424431945232777</v>
      </c>
    </row>
    <row r="228" spans="1:77" s="1323" customFormat="1">
      <c r="A228" s="2611">
        <v>14</v>
      </c>
      <c r="B228" s="2554" t="s">
        <v>700</v>
      </c>
      <c r="C228" s="2555">
        <v>0.02</v>
      </c>
      <c r="D228" s="2585" t="s">
        <v>418</v>
      </c>
      <c r="E228" s="4453">
        <f>+'11.3. ДА Базова година'!F189</f>
        <v>0.49985250891096844</v>
      </c>
      <c r="F228" s="2655">
        <f>$E228-SUMIF('11.2. ДА за периода'!$B$155:$B$175,$B228,'11.2. ДА за периода'!$E$155:$E$175)+SUMIF('11.2. ДА за периода'!$B$155:$B$175,$B228,'11.2. ДА за периода'!F$155:F$175)</f>
        <v>0.49985250891096844</v>
      </c>
      <c r="G228" s="1136">
        <f>$E228-SUMIF('11.2. ДА за периода'!$B$155:$B$175,$B228,'11.2. ДА за периода'!$E$155:$E$175)+SUMIF('11.2. ДА за периода'!$B$155:$B$175,$B228,'11.2. ДА за периода'!G$155:G$175)</f>
        <v>0.49985250891096844</v>
      </c>
      <c r="H228" s="1136">
        <f>$E228-SUMIF('11.2. ДА за периода'!$B$155:$B$175,$B228,'11.2. ДА за периода'!$E$155:$E$175)+SUMIF('11.2. ДА за периода'!$B$155:$B$175,$B228,'11.2. ДА за периода'!H$155:H$175)</f>
        <v>0.49985250891096844</v>
      </c>
      <c r="I228" s="1136">
        <f>$E228-SUMIF('11.2. ДА за периода'!$B$155:$B$175,$B228,'11.2. ДА за периода'!$E$155:$E$175)+SUMIF('11.2. ДА за периода'!$B$155:$B$175,$B228,'11.2. ДА за периода'!I$155:I$175)</f>
        <v>0.49985250891096844</v>
      </c>
      <c r="J228" s="1136">
        <f>$E228-SUMIF('11.2. ДА за периода'!$B$155:$B$175,$B228,'11.2. ДА за периода'!$E$155:$E$175)+SUMIF('11.2. ДА за периода'!$B$155:$B$175,$B228,'11.2. ДА за периода'!J$155:J$175)</f>
        <v>0.49985250891096844</v>
      </c>
      <c r="K228" s="2656">
        <f>$E228-SUMIF('11.2. ДА за периода'!$B$155:$B$175,$B228,'11.2. ДА за периода'!$E$155:$E$175)+SUMIF('11.2. ДА за периода'!$B$155:$B$175,$B228,'11.2. ДА за периода'!K$155:K$175)</f>
        <v>0.49985250891096844</v>
      </c>
      <c r="L228" s="4453">
        <f>+'11.3. ДА Базова година'!J189</f>
        <v>0</v>
      </c>
      <c r="M228" s="2655">
        <f>$L228-SUMIF('11.2. ДА за периода'!$B$155:$B$175,$B228,'11.2. ДА за периода'!$L$155:$L$175)+SUMIF('11.2. ДА за периода'!$B$155:$B$175,$B228,'11.2. ДА за периода'!M$155:M$175)</f>
        <v>0</v>
      </c>
      <c r="N228" s="1136">
        <f>$L228-SUMIF('11.2. ДА за периода'!$B$155:$B$175,$B228,'11.2. ДА за периода'!$L$155:$L$175)+SUMIF('11.2. ДА за периода'!$B$155:$B$175,$B228,'11.2. ДА за периода'!N$155:N$175)</f>
        <v>0</v>
      </c>
      <c r="O228" s="1136">
        <f>$L228-SUMIF('11.2. ДА за периода'!$B$155:$B$175,$B228,'11.2. ДА за периода'!$L$155:$L$175)+SUMIF('11.2. ДА за периода'!$B$155:$B$175,$B228,'11.2. ДА за периода'!O$155:O$175)</f>
        <v>0</v>
      </c>
      <c r="P228" s="1136">
        <f>$L228-SUMIF('11.2. ДА за периода'!$B$155:$B$175,$B228,'11.2. ДА за периода'!$L$155:$L$175)+SUMIF('11.2. ДА за периода'!$B$155:$B$175,$B228,'11.2. ДА за периода'!P$155:P$175)</f>
        <v>0</v>
      </c>
      <c r="Q228" s="1136">
        <f>$L228-SUMIF('11.2. ДА за периода'!$B$155:$B$175,$B228,'11.2. ДА за периода'!$L$155:$L$175)+SUMIF('11.2. ДА за периода'!$B$155:$B$175,$B228,'11.2. ДА за периода'!Q$155:Q$175)</f>
        <v>0</v>
      </c>
      <c r="R228" s="2656">
        <f>$L228-SUMIF('11.2. ДА за периода'!$B$155:$B$175,$B228,'11.2. ДА за периода'!$L$155:$L$175)+SUMIF('11.2. ДА за периода'!$B$155:$B$175,$B228,'11.2. ДА за периода'!R$155:R$175)</f>
        <v>0</v>
      </c>
      <c r="S228" s="4453">
        <f>+'11.3. ДА Базова година'!N189</f>
        <v>0</v>
      </c>
      <c r="T228" s="2655">
        <f>$S228-SUMIF('11.2. ДА за периода'!$B$155:$B$175,$B228,'11.2. ДА за периода'!$S$155:$S$175)+SUMIF('11.2. ДА за периода'!$B$155:$B$175,$B228,'11.2. ДА за периода'!T$155:T$175)</f>
        <v>0</v>
      </c>
      <c r="U228" s="1136">
        <f>$S228-SUMIF('11.2. ДА за периода'!$B$155:$B$175,$B228,'11.2. ДА за периода'!$S$155:$S$175)+SUMIF('11.2. ДА за периода'!$B$155:$B$175,$B228,'11.2. ДА за периода'!U$155:U$175)</f>
        <v>0</v>
      </c>
      <c r="V228" s="1136">
        <f>$S228-SUMIF('11.2. ДА за периода'!$B$155:$B$175,$B228,'11.2. ДА за периода'!$S$155:$S$175)+SUMIF('11.2. ДА за периода'!$B$155:$B$175,$B228,'11.2. ДА за периода'!V$155:V$175)</f>
        <v>0</v>
      </c>
      <c r="W228" s="1136">
        <f>$S228-SUMIF('11.2. ДА за периода'!$B$155:$B$175,$B228,'11.2. ДА за периода'!$S$155:$S$175)+SUMIF('11.2. ДА за периода'!$B$155:$B$175,$B228,'11.2. ДА за периода'!W$155:W$175)</f>
        <v>0</v>
      </c>
      <c r="X228" s="1136">
        <f>$S228-SUMIF('11.2. ДА за периода'!$B$155:$B$175,$B228,'11.2. ДА за периода'!$S$155:$S$175)+SUMIF('11.2. ДА за периода'!$B$155:$B$175,$B228,'11.2. ДА за периода'!X$155:X$175)</f>
        <v>0</v>
      </c>
      <c r="Y228" s="2656">
        <f>$S228-SUMIF('11.2. ДА за периода'!$B$155:$B$175,$B228,'11.2. ДА за периода'!$S$155:$S$175)+SUMIF('11.2. ДА за периода'!$B$155:$B$175,$B228,'11.2. ДА за периода'!Y$155:Y$175)</f>
        <v>0</v>
      </c>
      <c r="Z228" s="4453">
        <f>+'11.3. ДА Базова година'!R189</f>
        <v>0</v>
      </c>
      <c r="AA228" s="2655">
        <f>$Z228-SUMIF('11.2. ДА за периода'!$B$155:$B$175,$B228,'11.2. ДА за периода'!$Z$155:$Z$175)+SUMIF('11.2. ДА за периода'!$B$155:$B$175,$B228,'11.2. ДА за периода'!AA$155:AA$175)</f>
        <v>0</v>
      </c>
      <c r="AB228" s="1136">
        <f>$Z228-SUMIF('11.2. ДА за периода'!$B$155:$B$175,$B228,'11.2. ДА за периода'!$Z$155:$Z$175)+SUMIF('11.2. ДА за периода'!$B$155:$B$175,$B228,'11.2. ДА за периода'!AB$155:AB$175)</f>
        <v>0</v>
      </c>
      <c r="AC228" s="1136">
        <f>$Z228-SUMIF('11.2. ДА за периода'!$B$155:$B$175,$B228,'11.2. ДА за периода'!$Z$155:$Z$175)+SUMIF('11.2. ДА за периода'!$B$155:$B$175,$B228,'11.2. ДА за периода'!AC$155:AC$175)</f>
        <v>0</v>
      </c>
      <c r="AD228" s="1136">
        <f>$Z228-SUMIF('11.2. ДА за периода'!$B$155:$B$175,$B228,'11.2. ДА за периода'!$Z$155:$Z$175)+SUMIF('11.2. ДА за периода'!$B$155:$B$175,$B228,'11.2. ДА за периода'!AD$155:AD$175)</f>
        <v>0</v>
      </c>
      <c r="AE228" s="1136">
        <f>$Z228-SUMIF('11.2. ДА за периода'!$B$155:$B$175,$B228,'11.2. ДА за периода'!$Z$155:$Z$175)+SUMIF('11.2. ДА за периода'!$B$155:$B$175,$B228,'11.2. ДА за периода'!AE$155:AE$175)</f>
        <v>0</v>
      </c>
      <c r="AF228" s="2656">
        <f>$Z228-SUMIF('11.2. ДА за периода'!$B$155:$B$175,$B228,'11.2. ДА за периода'!$Z$155:$Z$175)+SUMIF('11.2. ДА за периода'!$B$155:$B$175,$B228,'11.2. ДА за периода'!AF$155:AF$175)</f>
        <v>0</v>
      </c>
      <c r="AG228" s="4453">
        <f>+'11.3. ДА Базова година'!V189</f>
        <v>1.7227491089031471E-2</v>
      </c>
      <c r="AH228" s="2655">
        <f>$AG228-SUMIF('11.2. ДА за периода'!$B$155:$B$175,$B228,'11.2. ДА за периода'!$AG$155:$AG$175)+SUMIF('11.2. ДА за периода'!$B$155:$B$175,$B228,'11.2. ДА за периода'!AH$155:AH$175)</f>
        <v>1.7227491089031471E-2</v>
      </c>
      <c r="AI228" s="1136">
        <f>$AG228-SUMIF('11.2. ДА за периода'!$B$155:$B$175,$B228,'11.2. ДА за периода'!$AG$155:$AG$175)+SUMIF('11.2. ДА за периода'!$B$155:$B$175,$B228,'11.2. ДА за периода'!AI$155:AI$175)</f>
        <v>1.7227491089031471E-2</v>
      </c>
      <c r="AJ228" s="1136">
        <f>$AG228-SUMIF('11.2. ДА за периода'!$B$155:$B$175,$B228,'11.2. ДА за периода'!$AG$155:$AG$175)+SUMIF('11.2. ДА за периода'!$B$155:$B$175,$B228,'11.2. ДА за периода'!AJ$155:AJ$175)</f>
        <v>1.7227491089031471E-2</v>
      </c>
      <c r="AK228" s="1136">
        <f>$AG228-SUMIF('11.2. ДА за периода'!$B$155:$B$175,$B228,'11.2. ДА за периода'!$AG$155:$AG$175)+SUMIF('11.2. ДА за периода'!$B$155:$B$175,$B228,'11.2. ДА за периода'!AK$155:AK$175)</f>
        <v>1.7227491089031471E-2</v>
      </c>
      <c r="AL228" s="1136">
        <f>$AG228-SUMIF('11.2. ДА за периода'!$B$155:$B$175,$B228,'11.2. ДА за периода'!$AG$155:$AG$175)+SUMIF('11.2. ДА за периода'!$B$155:$B$175,$B228,'11.2. ДА за периода'!AL$155:AL$175)</f>
        <v>1.7227491089031471E-2</v>
      </c>
      <c r="AM228" s="2656">
        <f>$AG228-SUMIF('11.2. ДА за периода'!$B$155:$B$175,$B228,'11.2. ДА за периода'!$AG$155:$AG$175)+SUMIF('11.2. ДА за периода'!$B$155:$B$175,$B228,'11.2. ДА за периода'!AM$155:AM$175)</f>
        <v>1.7227491089031471E-2</v>
      </c>
      <c r="AN228" s="2562"/>
      <c r="AO228" s="2589"/>
      <c r="AP228" s="4488"/>
      <c r="AQ228" s="4504">
        <f t="shared" si="271"/>
        <v>0.25557052960173865</v>
      </c>
      <c r="AR228" s="4504">
        <f t="shared" si="272"/>
        <v>0.25557052960173865</v>
      </c>
      <c r="AS228" s="4504">
        <f t="shared" si="273"/>
        <v>0.25557052960173865</v>
      </c>
      <c r="AT228" s="4504">
        <f t="shared" si="274"/>
        <v>0.25557052960173865</v>
      </c>
      <c r="AU228" s="4504">
        <f t="shared" si="275"/>
        <v>0.25557052960173865</v>
      </c>
      <c r="AV228" s="4504">
        <f t="shared" si="276"/>
        <v>0.25557052960173865</v>
      </c>
      <c r="AW228" s="4504">
        <f t="shared" si="277"/>
        <v>0.25557052960173865</v>
      </c>
      <c r="AX228" s="4504">
        <f t="shared" si="278"/>
        <v>0</v>
      </c>
      <c r="AY228" s="4504">
        <f t="shared" si="279"/>
        <v>0</v>
      </c>
      <c r="AZ228" s="4504">
        <f t="shared" si="280"/>
        <v>0</v>
      </c>
      <c r="BA228" s="4504">
        <f t="shared" si="281"/>
        <v>0</v>
      </c>
      <c r="BB228" s="4504">
        <f t="shared" si="282"/>
        <v>0</v>
      </c>
      <c r="BC228" s="4504">
        <f t="shared" si="283"/>
        <v>0</v>
      </c>
      <c r="BD228" s="4504">
        <f t="shared" si="284"/>
        <v>0</v>
      </c>
      <c r="BE228" s="4504">
        <f t="shared" si="285"/>
        <v>0</v>
      </c>
      <c r="BF228" s="4504">
        <f t="shared" si="286"/>
        <v>0</v>
      </c>
      <c r="BG228" s="4504">
        <f t="shared" si="287"/>
        <v>0</v>
      </c>
      <c r="BH228" s="4504">
        <f t="shared" si="288"/>
        <v>0</v>
      </c>
      <c r="BI228" s="4504">
        <f t="shared" si="289"/>
        <v>0</v>
      </c>
      <c r="BJ228" s="4504">
        <f t="shared" si="290"/>
        <v>0</v>
      </c>
      <c r="BK228" s="4504">
        <f t="shared" si="291"/>
        <v>0</v>
      </c>
      <c r="BL228" s="4504">
        <f t="shared" si="292"/>
        <v>0</v>
      </c>
      <c r="BM228" s="4504">
        <f t="shared" si="293"/>
        <v>0</v>
      </c>
      <c r="BN228" s="4504">
        <f t="shared" si="294"/>
        <v>0</v>
      </c>
      <c r="BO228" s="4504">
        <f t="shared" si="295"/>
        <v>0</v>
      </c>
      <c r="BP228" s="4504">
        <f t="shared" si="296"/>
        <v>0</v>
      </c>
      <c r="BQ228" s="4504">
        <f t="shared" si="297"/>
        <v>0</v>
      </c>
      <c r="BR228" s="4504">
        <f t="shared" si="298"/>
        <v>0</v>
      </c>
      <c r="BS228" s="4504">
        <f t="shared" si="299"/>
        <v>8.8082763272019915E-3</v>
      </c>
      <c r="BT228" s="4504">
        <f t="shared" si="300"/>
        <v>8.8082763272019915E-3</v>
      </c>
      <c r="BU228" s="4504">
        <f t="shared" si="301"/>
        <v>8.8082763272019915E-3</v>
      </c>
      <c r="BV228" s="4504">
        <f t="shared" si="302"/>
        <v>8.8082763272019915E-3</v>
      </c>
      <c r="BW228" s="4504">
        <f t="shared" si="303"/>
        <v>8.8082763272019915E-3</v>
      </c>
      <c r="BX228" s="4504">
        <f t="shared" si="304"/>
        <v>8.8082763272019915E-3</v>
      </c>
      <c r="BY228" s="4504">
        <f t="shared" si="305"/>
        <v>8.8082763272019915E-3</v>
      </c>
    </row>
    <row r="229" spans="1:77" s="1323" customFormat="1">
      <c r="A229" s="2611">
        <v>15</v>
      </c>
      <c r="B229" s="2554" t="s">
        <v>701</v>
      </c>
      <c r="C229" s="2555">
        <v>0.02</v>
      </c>
      <c r="D229" s="2584" t="s">
        <v>419</v>
      </c>
      <c r="E229" s="4453">
        <f>+'11.3. ДА Базова година'!F190</f>
        <v>0.47748000000000007</v>
      </c>
      <c r="F229" s="2655">
        <f>$E229-SUMIF('11.2. ДА за периода'!$B$155:$B$175,$B229,'11.2. ДА за периода'!$E$155:$E$175)+SUMIF('11.2. ДА за периода'!$B$155:$B$175,$B229,'11.2. ДА за периода'!F$155:F$175)</f>
        <v>0.47748000000000007</v>
      </c>
      <c r="G229" s="1136">
        <f>$E229-SUMIF('11.2. ДА за периода'!$B$155:$B$175,$B229,'11.2. ДА за периода'!$E$155:$E$175)+SUMIF('11.2. ДА за периода'!$B$155:$B$175,$B229,'11.2. ДА за периода'!G$155:G$175)</f>
        <v>0.47748000000000007</v>
      </c>
      <c r="H229" s="1136">
        <f>$E229-SUMIF('11.2. ДА за периода'!$B$155:$B$175,$B229,'11.2. ДА за периода'!$E$155:$E$175)+SUMIF('11.2. ДА за периода'!$B$155:$B$175,$B229,'11.2. ДА за периода'!H$155:H$175)</f>
        <v>0.47748000000000007</v>
      </c>
      <c r="I229" s="1136">
        <f>$E229-SUMIF('11.2. ДА за периода'!$B$155:$B$175,$B229,'11.2. ДА за периода'!$E$155:$E$175)+SUMIF('11.2. ДА за периода'!$B$155:$B$175,$B229,'11.2. ДА за периода'!I$155:I$175)</f>
        <v>0.47748000000000007</v>
      </c>
      <c r="J229" s="1136">
        <f>$E229-SUMIF('11.2. ДА за периода'!$B$155:$B$175,$B229,'11.2. ДА за периода'!$E$155:$E$175)+SUMIF('11.2. ДА за периода'!$B$155:$B$175,$B229,'11.2. ДА за периода'!J$155:J$175)</f>
        <v>0.47748000000000007</v>
      </c>
      <c r="K229" s="2656">
        <f>$E229-SUMIF('11.2. ДА за периода'!$B$155:$B$175,$B229,'11.2. ДА за периода'!$E$155:$E$175)+SUMIF('11.2. ДА за периода'!$B$155:$B$175,$B229,'11.2. ДА за периода'!K$155:K$175)</f>
        <v>0.47748000000000007</v>
      </c>
      <c r="L229" s="4453">
        <f>+'11.3. ДА Базова година'!J190</f>
        <v>0</v>
      </c>
      <c r="M229" s="2655">
        <f>$L229-SUMIF('11.2. ДА за периода'!$B$155:$B$175,$B229,'11.2. ДА за периода'!$L$155:$L$175)+SUMIF('11.2. ДА за периода'!$B$155:$B$175,$B229,'11.2. ДА за периода'!M$155:M$175)</f>
        <v>0</v>
      </c>
      <c r="N229" s="1136">
        <f>$L229-SUMIF('11.2. ДА за периода'!$B$155:$B$175,$B229,'11.2. ДА за периода'!$L$155:$L$175)+SUMIF('11.2. ДА за периода'!$B$155:$B$175,$B229,'11.2. ДА за периода'!N$155:N$175)</f>
        <v>0</v>
      </c>
      <c r="O229" s="1136">
        <f>$L229-SUMIF('11.2. ДА за периода'!$B$155:$B$175,$B229,'11.2. ДА за периода'!$L$155:$L$175)+SUMIF('11.2. ДА за периода'!$B$155:$B$175,$B229,'11.2. ДА за периода'!O$155:O$175)</f>
        <v>0</v>
      </c>
      <c r="P229" s="1136">
        <f>$L229-SUMIF('11.2. ДА за периода'!$B$155:$B$175,$B229,'11.2. ДА за периода'!$L$155:$L$175)+SUMIF('11.2. ДА за периода'!$B$155:$B$175,$B229,'11.2. ДА за периода'!P$155:P$175)</f>
        <v>0</v>
      </c>
      <c r="Q229" s="1136">
        <f>$L229-SUMIF('11.2. ДА за периода'!$B$155:$B$175,$B229,'11.2. ДА за периода'!$L$155:$L$175)+SUMIF('11.2. ДА за периода'!$B$155:$B$175,$B229,'11.2. ДА за периода'!Q$155:Q$175)</f>
        <v>0</v>
      </c>
      <c r="R229" s="2656">
        <f>$L229-SUMIF('11.2. ДА за периода'!$B$155:$B$175,$B229,'11.2. ДА за периода'!$L$155:$L$175)+SUMIF('11.2. ДА за периода'!$B$155:$B$175,$B229,'11.2. ДА за периода'!R$155:R$175)</f>
        <v>0</v>
      </c>
      <c r="S229" s="4453">
        <f>+'11.3. ДА Базова година'!N190</f>
        <v>0</v>
      </c>
      <c r="T229" s="2655">
        <f>$S229-SUMIF('11.2. ДА за периода'!$B$155:$B$175,$B229,'11.2. ДА за периода'!$S$155:$S$175)+SUMIF('11.2. ДА за периода'!$B$155:$B$175,$B229,'11.2. ДА за периода'!T$155:T$175)</f>
        <v>0</v>
      </c>
      <c r="U229" s="1136">
        <f>$S229-SUMIF('11.2. ДА за периода'!$B$155:$B$175,$B229,'11.2. ДА за периода'!$S$155:$S$175)+SUMIF('11.2. ДА за периода'!$B$155:$B$175,$B229,'11.2. ДА за периода'!U$155:U$175)</f>
        <v>0</v>
      </c>
      <c r="V229" s="1136">
        <f>$S229-SUMIF('11.2. ДА за периода'!$B$155:$B$175,$B229,'11.2. ДА за периода'!$S$155:$S$175)+SUMIF('11.2. ДА за периода'!$B$155:$B$175,$B229,'11.2. ДА за периода'!V$155:V$175)</f>
        <v>0</v>
      </c>
      <c r="W229" s="1136">
        <f>$S229-SUMIF('11.2. ДА за периода'!$B$155:$B$175,$B229,'11.2. ДА за периода'!$S$155:$S$175)+SUMIF('11.2. ДА за периода'!$B$155:$B$175,$B229,'11.2. ДА за периода'!W$155:W$175)</f>
        <v>0</v>
      </c>
      <c r="X229" s="1136">
        <f>$S229-SUMIF('11.2. ДА за периода'!$B$155:$B$175,$B229,'11.2. ДА за периода'!$S$155:$S$175)+SUMIF('11.2. ДА за периода'!$B$155:$B$175,$B229,'11.2. ДА за периода'!X$155:X$175)</f>
        <v>0</v>
      </c>
      <c r="Y229" s="2656">
        <f>$S229-SUMIF('11.2. ДА за периода'!$B$155:$B$175,$B229,'11.2. ДА за периода'!$S$155:$S$175)+SUMIF('11.2. ДА за периода'!$B$155:$B$175,$B229,'11.2. ДА за периода'!Y$155:Y$175)</f>
        <v>0</v>
      </c>
      <c r="Z229" s="4453">
        <f>+'11.3. ДА Базова година'!R190</f>
        <v>0</v>
      </c>
      <c r="AA229" s="2655">
        <f>$Z229-SUMIF('11.2. ДА за периода'!$B$155:$B$175,$B229,'11.2. ДА за периода'!$Z$155:$Z$175)+SUMIF('11.2. ДА за периода'!$B$155:$B$175,$B229,'11.2. ДА за периода'!AA$155:AA$175)</f>
        <v>0</v>
      </c>
      <c r="AB229" s="1136">
        <f>$Z229-SUMIF('11.2. ДА за периода'!$B$155:$B$175,$B229,'11.2. ДА за периода'!$Z$155:$Z$175)+SUMIF('11.2. ДА за периода'!$B$155:$B$175,$B229,'11.2. ДА за периода'!AB$155:AB$175)</f>
        <v>0</v>
      </c>
      <c r="AC229" s="1136">
        <f>$Z229-SUMIF('11.2. ДА за периода'!$B$155:$B$175,$B229,'11.2. ДА за периода'!$Z$155:$Z$175)+SUMIF('11.2. ДА за периода'!$B$155:$B$175,$B229,'11.2. ДА за периода'!AC$155:AC$175)</f>
        <v>0</v>
      </c>
      <c r="AD229" s="1136">
        <f>$Z229-SUMIF('11.2. ДА за периода'!$B$155:$B$175,$B229,'11.2. ДА за периода'!$Z$155:$Z$175)+SUMIF('11.2. ДА за периода'!$B$155:$B$175,$B229,'11.2. ДА за периода'!AD$155:AD$175)</f>
        <v>0</v>
      </c>
      <c r="AE229" s="1136">
        <f>$Z229-SUMIF('11.2. ДА за периода'!$B$155:$B$175,$B229,'11.2. ДА за периода'!$Z$155:$Z$175)+SUMIF('11.2. ДА за периода'!$B$155:$B$175,$B229,'11.2. ДА за периода'!AE$155:AE$175)</f>
        <v>0</v>
      </c>
      <c r="AF229" s="2656">
        <f>$Z229-SUMIF('11.2. ДА за периода'!$B$155:$B$175,$B229,'11.2. ДА за периода'!$Z$155:$Z$175)+SUMIF('11.2. ДА за периода'!$B$155:$B$175,$B229,'11.2. ДА за периода'!AF$155:AF$175)</f>
        <v>0</v>
      </c>
      <c r="AG229" s="4453">
        <f>+'11.3. ДА Базова година'!V190</f>
        <v>0</v>
      </c>
      <c r="AH229" s="2655">
        <f>$AG229-SUMIF('11.2. ДА за периода'!$B$155:$B$175,$B229,'11.2. ДА за периода'!$AG$155:$AG$175)+SUMIF('11.2. ДА за периода'!$B$155:$B$175,$B229,'11.2. ДА за периода'!AH$155:AH$175)</f>
        <v>0</v>
      </c>
      <c r="AI229" s="1136">
        <f>$AG229-SUMIF('11.2. ДА за периода'!$B$155:$B$175,$B229,'11.2. ДА за периода'!$AG$155:$AG$175)+SUMIF('11.2. ДА за периода'!$B$155:$B$175,$B229,'11.2. ДА за периода'!AI$155:AI$175)</f>
        <v>0</v>
      </c>
      <c r="AJ229" s="1136">
        <f>$AG229-SUMIF('11.2. ДА за периода'!$B$155:$B$175,$B229,'11.2. ДА за периода'!$AG$155:$AG$175)+SUMIF('11.2. ДА за периода'!$B$155:$B$175,$B229,'11.2. ДА за периода'!AJ$155:AJ$175)</f>
        <v>0</v>
      </c>
      <c r="AK229" s="1136">
        <f>$AG229-SUMIF('11.2. ДА за периода'!$B$155:$B$175,$B229,'11.2. ДА за периода'!$AG$155:$AG$175)+SUMIF('11.2. ДА за периода'!$B$155:$B$175,$B229,'11.2. ДА за периода'!AK$155:AK$175)</f>
        <v>0</v>
      </c>
      <c r="AL229" s="1136">
        <f>$AG229-SUMIF('11.2. ДА за периода'!$B$155:$B$175,$B229,'11.2. ДА за периода'!$AG$155:$AG$175)+SUMIF('11.2. ДА за периода'!$B$155:$B$175,$B229,'11.2. ДА за периода'!AL$155:AL$175)</f>
        <v>0</v>
      </c>
      <c r="AM229" s="2656">
        <f>$AG229-SUMIF('11.2. ДА за периода'!$B$155:$B$175,$B229,'11.2. ДА за периода'!$AG$155:$AG$175)+SUMIF('11.2. ДА за периода'!$B$155:$B$175,$B229,'11.2. ДА за периода'!AM$155:AM$175)</f>
        <v>0</v>
      </c>
      <c r="AN229" s="2562"/>
      <c r="AO229" s="2589"/>
      <c r="AP229" s="4488"/>
      <c r="AQ229" s="4504">
        <f t="shared" si="271"/>
        <v>0.24413164743357044</v>
      </c>
      <c r="AR229" s="4504">
        <f t="shared" si="272"/>
        <v>0.24413164743357044</v>
      </c>
      <c r="AS229" s="4504">
        <f t="shared" si="273"/>
        <v>0.24413164743357044</v>
      </c>
      <c r="AT229" s="4504">
        <f t="shared" si="274"/>
        <v>0.24413164743357044</v>
      </c>
      <c r="AU229" s="4504">
        <f t="shared" si="275"/>
        <v>0.24413164743357044</v>
      </c>
      <c r="AV229" s="4504">
        <f t="shared" si="276"/>
        <v>0.24413164743357044</v>
      </c>
      <c r="AW229" s="4504">
        <f t="shared" si="277"/>
        <v>0.24413164743357044</v>
      </c>
      <c r="AX229" s="4504">
        <f t="shared" si="278"/>
        <v>0</v>
      </c>
      <c r="AY229" s="4504">
        <f t="shared" si="279"/>
        <v>0</v>
      </c>
      <c r="AZ229" s="4504">
        <f t="shared" si="280"/>
        <v>0</v>
      </c>
      <c r="BA229" s="4504">
        <f t="shared" si="281"/>
        <v>0</v>
      </c>
      <c r="BB229" s="4504">
        <f t="shared" si="282"/>
        <v>0</v>
      </c>
      <c r="BC229" s="4504">
        <f t="shared" si="283"/>
        <v>0</v>
      </c>
      <c r="BD229" s="4504">
        <f t="shared" si="284"/>
        <v>0</v>
      </c>
      <c r="BE229" s="4504">
        <f t="shared" si="285"/>
        <v>0</v>
      </c>
      <c r="BF229" s="4504">
        <f t="shared" si="286"/>
        <v>0</v>
      </c>
      <c r="BG229" s="4504">
        <f t="shared" si="287"/>
        <v>0</v>
      </c>
      <c r="BH229" s="4504">
        <f t="shared" si="288"/>
        <v>0</v>
      </c>
      <c r="BI229" s="4504">
        <f t="shared" si="289"/>
        <v>0</v>
      </c>
      <c r="BJ229" s="4504">
        <f t="shared" si="290"/>
        <v>0</v>
      </c>
      <c r="BK229" s="4504">
        <f t="shared" si="291"/>
        <v>0</v>
      </c>
      <c r="BL229" s="4504">
        <f t="shared" si="292"/>
        <v>0</v>
      </c>
      <c r="BM229" s="4504">
        <f t="shared" si="293"/>
        <v>0</v>
      </c>
      <c r="BN229" s="4504">
        <f t="shared" si="294"/>
        <v>0</v>
      </c>
      <c r="BO229" s="4504">
        <f t="shared" si="295"/>
        <v>0</v>
      </c>
      <c r="BP229" s="4504">
        <f t="shared" si="296"/>
        <v>0</v>
      </c>
      <c r="BQ229" s="4504">
        <f t="shared" si="297"/>
        <v>0</v>
      </c>
      <c r="BR229" s="4504">
        <f t="shared" si="298"/>
        <v>0</v>
      </c>
      <c r="BS229" s="4504">
        <f t="shared" si="299"/>
        <v>0</v>
      </c>
      <c r="BT229" s="4504">
        <f t="shared" si="300"/>
        <v>0</v>
      </c>
      <c r="BU229" s="4504">
        <f t="shared" si="301"/>
        <v>0</v>
      </c>
      <c r="BV229" s="4504">
        <f t="shared" si="302"/>
        <v>0</v>
      </c>
      <c r="BW229" s="4504">
        <f t="shared" si="303"/>
        <v>0</v>
      </c>
      <c r="BX229" s="4504">
        <f t="shared" si="304"/>
        <v>0</v>
      </c>
      <c r="BY229" s="4504">
        <f t="shared" si="305"/>
        <v>0</v>
      </c>
    </row>
    <row r="230" spans="1:77" s="1323" customFormat="1">
      <c r="A230" s="2611">
        <v>16</v>
      </c>
      <c r="B230" s="2554" t="s">
        <v>702</v>
      </c>
      <c r="C230" s="2555">
        <v>0.02</v>
      </c>
      <c r="D230" s="2585" t="s">
        <v>420</v>
      </c>
      <c r="E230" s="4453">
        <f>+'11.3. ДА Базова година'!F191</f>
        <v>889.59762429265311</v>
      </c>
      <c r="F230" s="2655">
        <f>$E230-SUMIF('11.2. ДА за периода'!$B$155:$B$175,$B230,'11.2. ДА за периода'!$E$155:$E$175)+SUMIF('11.2. ДА за периода'!$B$155:$B$175,$B230,'11.2. ДА за периода'!F$155:F$175)</f>
        <v>1078.3784012006531</v>
      </c>
      <c r="G230" s="1136">
        <f>$E230-SUMIF('11.2. ДА за периода'!$B$155:$B$175,$B230,'11.2. ДА за периода'!$E$155:$E$175)+SUMIF('11.2. ДА за периода'!$B$155:$B$175,$B230,'11.2. ДА за периода'!G$155:G$175)</f>
        <v>1450.423870800653</v>
      </c>
      <c r="H230" s="1136">
        <f>$E230-SUMIF('11.2. ДА за периода'!$B$155:$B$175,$B230,'11.2. ДА за периода'!$E$155:$E$175)+SUMIF('11.2. ДА за периода'!$B$155:$B$175,$B230,'11.2. ДА за периода'!H$155:H$175)</f>
        <v>1577.027530800653</v>
      </c>
      <c r="I230" s="1136">
        <f>$E230-SUMIF('11.2. ДА за периода'!$B$155:$B$175,$B230,'11.2. ДА за периода'!$E$155:$E$175)+SUMIF('11.2. ДА за периода'!$B$155:$B$175,$B230,'11.2. ДА за периода'!I$155:I$175)</f>
        <v>1814.2907686006529</v>
      </c>
      <c r="J230" s="1136">
        <f>$E230-SUMIF('11.2. ДА за периода'!$B$155:$B$175,$B230,'11.2. ДА за периода'!$E$155:$E$175)+SUMIF('11.2. ДА за периода'!$B$155:$B$175,$B230,'11.2. ДА за периода'!J$155:J$175)</f>
        <v>1826.8842686006528</v>
      </c>
      <c r="K230" s="2656">
        <f>$E230-SUMIF('11.2. ДА за периода'!$B$155:$B$175,$B230,'11.2. ДА за периода'!$E$155:$E$175)+SUMIF('11.2. ДА за периода'!$B$155:$B$175,$B230,'11.2. ДА за периода'!K$155:K$175)</f>
        <v>2291.7238430006528</v>
      </c>
      <c r="L230" s="4453">
        <f>+'11.3. ДА Базова година'!J191</f>
        <v>0</v>
      </c>
      <c r="M230" s="2655">
        <f>$L230-SUMIF('11.2. ДА за периода'!$B$155:$B$175,$B230,'11.2. ДА за периода'!$L$155:$L$175)+SUMIF('11.2. ДА за периода'!$B$155:$B$175,$B230,'11.2. ДА за периода'!M$155:M$175)</f>
        <v>0</v>
      </c>
      <c r="N230" s="1136">
        <f>$L230-SUMIF('11.2. ДА за периода'!$B$155:$B$175,$B230,'11.2. ДА за периода'!$L$155:$L$175)+SUMIF('11.2. ДА за периода'!$B$155:$B$175,$B230,'11.2. ДА за периода'!N$155:N$175)</f>
        <v>0</v>
      </c>
      <c r="O230" s="1136">
        <f>$L230-SUMIF('11.2. ДА за периода'!$B$155:$B$175,$B230,'11.2. ДА за периода'!$L$155:$L$175)+SUMIF('11.2. ДА за периода'!$B$155:$B$175,$B230,'11.2. ДА за периода'!O$155:O$175)</f>
        <v>0</v>
      </c>
      <c r="P230" s="1136">
        <f>$L230-SUMIF('11.2. ДА за периода'!$B$155:$B$175,$B230,'11.2. ДА за периода'!$L$155:$L$175)+SUMIF('11.2. ДА за периода'!$B$155:$B$175,$B230,'11.2. ДА за периода'!P$155:P$175)</f>
        <v>0</v>
      </c>
      <c r="Q230" s="1136">
        <f>$L230-SUMIF('11.2. ДА за периода'!$B$155:$B$175,$B230,'11.2. ДА за периода'!$L$155:$L$175)+SUMIF('11.2. ДА за периода'!$B$155:$B$175,$B230,'11.2. ДА за периода'!Q$155:Q$175)</f>
        <v>0</v>
      </c>
      <c r="R230" s="2656">
        <f>$L230-SUMIF('11.2. ДА за периода'!$B$155:$B$175,$B230,'11.2. ДА за периода'!$L$155:$L$175)+SUMIF('11.2. ДА за периода'!$B$155:$B$175,$B230,'11.2. ДА за периода'!R$155:R$175)</f>
        <v>0</v>
      </c>
      <c r="S230" s="4453">
        <f>+'11.3. ДА Базова година'!N191</f>
        <v>0.54432000000000003</v>
      </c>
      <c r="T230" s="2655">
        <f>$S230-SUMIF('11.2. ДА за периода'!$B$155:$B$175,$B230,'11.2. ДА за периода'!$S$155:$S$175)+SUMIF('11.2. ДА за периода'!$B$155:$B$175,$B230,'11.2. ДА за периода'!T$155:T$175)</f>
        <v>0.54432000000000003</v>
      </c>
      <c r="U230" s="1136">
        <f>$S230-SUMIF('11.2. ДА за периода'!$B$155:$B$175,$B230,'11.2. ДА за периода'!$S$155:$S$175)+SUMIF('11.2. ДА за периода'!$B$155:$B$175,$B230,'11.2. ДА за периода'!U$155:U$175)</f>
        <v>0.54432000000000003</v>
      </c>
      <c r="V230" s="1136">
        <f>$S230-SUMIF('11.2. ДА за периода'!$B$155:$B$175,$B230,'11.2. ДА за периода'!$S$155:$S$175)+SUMIF('11.2. ДА за периода'!$B$155:$B$175,$B230,'11.2. ДА за периода'!V$155:V$175)</f>
        <v>0.54432000000000003</v>
      </c>
      <c r="W230" s="1136">
        <f>$S230-SUMIF('11.2. ДА за периода'!$B$155:$B$175,$B230,'11.2. ДА за периода'!$S$155:$S$175)+SUMIF('11.2. ДА за периода'!$B$155:$B$175,$B230,'11.2. ДА за периода'!W$155:W$175)</f>
        <v>0.54432000000000003</v>
      </c>
      <c r="X230" s="1136">
        <f>$S230-SUMIF('11.2. ДА за периода'!$B$155:$B$175,$B230,'11.2. ДА за периода'!$S$155:$S$175)+SUMIF('11.2. ДА за периода'!$B$155:$B$175,$B230,'11.2. ДА за периода'!X$155:X$175)</f>
        <v>0.54432000000000003</v>
      </c>
      <c r="Y230" s="2656">
        <f>$S230-SUMIF('11.2. ДА за периода'!$B$155:$B$175,$B230,'11.2. ДА за периода'!$S$155:$S$175)+SUMIF('11.2. ДА за периода'!$B$155:$B$175,$B230,'11.2. ДА за периода'!Y$155:Y$175)</f>
        <v>0.54432000000000003</v>
      </c>
      <c r="Z230" s="4453">
        <f>+'11.3. ДА Базова година'!R191</f>
        <v>0</v>
      </c>
      <c r="AA230" s="2655">
        <f>$Z230-SUMIF('11.2. ДА за периода'!$B$155:$B$175,$B230,'11.2. ДА за периода'!$Z$155:$Z$175)+SUMIF('11.2. ДА за периода'!$B$155:$B$175,$B230,'11.2. ДА за периода'!AA$155:AA$175)</f>
        <v>0</v>
      </c>
      <c r="AB230" s="1136">
        <f>$Z230-SUMIF('11.2. ДА за периода'!$B$155:$B$175,$B230,'11.2. ДА за периода'!$Z$155:$Z$175)+SUMIF('11.2. ДА за периода'!$B$155:$B$175,$B230,'11.2. ДА за периода'!AB$155:AB$175)</f>
        <v>0</v>
      </c>
      <c r="AC230" s="1136">
        <f>$Z230-SUMIF('11.2. ДА за периода'!$B$155:$B$175,$B230,'11.2. ДА за периода'!$Z$155:$Z$175)+SUMIF('11.2. ДА за периода'!$B$155:$B$175,$B230,'11.2. ДА за периода'!AC$155:AC$175)</f>
        <v>0</v>
      </c>
      <c r="AD230" s="1136">
        <f>$Z230-SUMIF('11.2. ДА за периода'!$B$155:$B$175,$B230,'11.2. ДА за периода'!$Z$155:$Z$175)+SUMIF('11.2. ДА за периода'!$B$155:$B$175,$B230,'11.2. ДА за периода'!AD$155:AD$175)</f>
        <v>0</v>
      </c>
      <c r="AE230" s="1136">
        <f>$Z230-SUMIF('11.2. ДА за периода'!$B$155:$B$175,$B230,'11.2. ДА за периода'!$Z$155:$Z$175)+SUMIF('11.2. ДА за периода'!$B$155:$B$175,$B230,'11.2. ДА за периода'!AE$155:AE$175)</f>
        <v>0</v>
      </c>
      <c r="AF230" s="2656">
        <f>$Z230-SUMIF('11.2. ДА за периода'!$B$155:$B$175,$B230,'11.2. ДА за периода'!$Z$155:$Z$175)+SUMIF('11.2. ДА за периода'!$B$155:$B$175,$B230,'11.2. ДА за периода'!AF$155:AF$175)</f>
        <v>0</v>
      </c>
      <c r="AG230" s="4453">
        <f>+'11.3. ДА Базова година'!V191</f>
        <v>14.517045707345957</v>
      </c>
      <c r="AH230" s="2655">
        <f>$AG230-SUMIF('11.2. ДА за периода'!$B$155:$B$175,$B230,'11.2. ДА за периода'!$AG$155:$AG$175)+SUMIF('11.2. ДА за периода'!$B$155:$B$175,$B230,'11.2. ДА за периода'!AH$155:AH$175)</f>
        <v>14.517045707345957</v>
      </c>
      <c r="AI230" s="1136">
        <f>$AG230-SUMIF('11.2. ДА за периода'!$B$155:$B$175,$B230,'11.2. ДА за периода'!$AG$155:$AG$175)+SUMIF('11.2. ДА за периода'!$B$155:$B$175,$B230,'11.2. ДА за периода'!AI$155:AI$175)</f>
        <v>14.517045707345957</v>
      </c>
      <c r="AJ230" s="1136">
        <f>$AG230-SUMIF('11.2. ДА за периода'!$B$155:$B$175,$B230,'11.2. ДА за периода'!$AG$155:$AG$175)+SUMIF('11.2. ДА за периода'!$B$155:$B$175,$B230,'11.2. ДА за периода'!AJ$155:AJ$175)</f>
        <v>14.517045707345957</v>
      </c>
      <c r="AK230" s="1136">
        <f>$AG230-SUMIF('11.2. ДА за периода'!$B$155:$B$175,$B230,'11.2. ДА за периода'!$AG$155:$AG$175)+SUMIF('11.2. ДА за периода'!$B$155:$B$175,$B230,'11.2. ДА за периода'!AK$155:AK$175)</f>
        <v>14.517045707345957</v>
      </c>
      <c r="AL230" s="1136">
        <f>$AG230-SUMIF('11.2. ДА за периода'!$B$155:$B$175,$B230,'11.2. ДА за периода'!$AG$155:$AG$175)+SUMIF('11.2. ДА за периода'!$B$155:$B$175,$B230,'11.2. ДА за периода'!AL$155:AL$175)</f>
        <v>14.517045707345957</v>
      </c>
      <c r="AM230" s="2656">
        <f>$AG230-SUMIF('11.2. ДА за периода'!$B$155:$B$175,$B230,'11.2. ДА за периода'!$AG$155:$AG$175)+SUMIF('11.2. ДА за периода'!$B$155:$B$175,$B230,'11.2. ДА за периода'!AM$155:AM$175)</f>
        <v>14.517045707345957</v>
      </c>
      <c r="AN230" s="2562"/>
      <c r="AO230" s="2589"/>
      <c r="AP230" s="4488"/>
      <c r="AQ230" s="4504">
        <f t="shared" si="271"/>
        <v>454.84404283227741</v>
      </c>
      <c r="AR230" s="4504">
        <f t="shared" si="272"/>
        <v>551.36612139125236</v>
      </c>
      <c r="AS230" s="4504">
        <f t="shared" si="273"/>
        <v>741.58994943356686</v>
      </c>
      <c r="AT230" s="4504">
        <f t="shared" si="274"/>
        <v>806.32137292129335</v>
      </c>
      <c r="AU230" s="4504">
        <f t="shared" si="275"/>
        <v>927.632140114761</v>
      </c>
      <c r="AV230" s="4504">
        <f t="shared" si="276"/>
        <v>934.0710944206055</v>
      </c>
      <c r="AW230" s="4504">
        <f t="shared" si="277"/>
        <v>1171.7397948700311</v>
      </c>
      <c r="AX230" s="4504">
        <f t="shared" si="278"/>
        <v>0</v>
      </c>
      <c r="AY230" s="4504">
        <f t="shared" si="279"/>
        <v>0</v>
      </c>
      <c r="AZ230" s="4504">
        <f t="shared" si="280"/>
        <v>0</v>
      </c>
      <c r="BA230" s="4504">
        <f t="shared" si="281"/>
        <v>0</v>
      </c>
      <c r="BB230" s="4504">
        <f t="shared" si="282"/>
        <v>0</v>
      </c>
      <c r="BC230" s="4504">
        <f t="shared" si="283"/>
        <v>0</v>
      </c>
      <c r="BD230" s="4504">
        <f t="shared" si="284"/>
        <v>0</v>
      </c>
      <c r="BE230" s="4504">
        <f t="shared" si="285"/>
        <v>0.27830639677272567</v>
      </c>
      <c r="BF230" s="4504">
        <f t="shared" si="286"/>
        <v>0.27830639677272567</v>
      </c>
      <c r="BG230" s="4504">
        <f t="shared" si="287"/>
        <v>0.27830639677272567</v>
      </c>
      <c r="BH230" s="4504">
        <f t="shared" si="288"/>
        <v>0.27830639677272567</v>
      </c>
      <c r="BI230" s="4504">
        <f t="shared" si="289"/>
        <v>0.27830639677272567</v>
      </c>
      <c r="BJ230" s="4504">
        <f t="shared" si="290"/>
        <v>0.27830639677272567</v>
      </c>
      <c r="BK230" s="4504">
        <f t="shared" si="291"/>
        <v>0.27830639677272567</v>
      </c>
      <c r="BL230" s="4504">
        <f t="shared" si="292"/>
        <v>0</v>
      </c>
      <c r="BM230" s="4504">
        <f t="shared" si="293"/>
        <v>0</v>
      </c>
      <c r="BN230" s="4504">
        <f t="shared" si="294"/>
        <v>0</v>
      </c>
      <c r="BO230" s="4504">
        <f t="shared" si="295"/>
        <v>0</v>
      </c>
      <c r="BP230" s="4504">
        <f t="shared" si="296"/>
        <v>0</v>
      </c>
      <c r="BQ230" s="4504">
        <f t="shared" si="297"/>
        <v>0</v>
      </c>
      <c r="BR230" s="4504">
        <f t="shared" si="298"/>
        <v>0</v>
      </c>
      <c r="BS230" s="4504">
        <f t="shared" si="299"/>
        <v>7.422447609120403</v>
      </c>
      <c r="BT230" s="4504">
        <f t="shared" si="300"/>
        <v>7.422447609120403</v>
      </c>
      <c r="BU230" s="4504">
        <f t="shared" si="301"/>
        <v>7.422447609120403</v>
      </c>
      <c r="BV230" s="4504">
        <f t="shared" si="302"/>
        <v>7.422447609120403</v>
      </c>
      <c r="BW230" s="4504">
        <f t="shared" si="303"/>
        <v>7.422447609120403</v>
      </c>
      <c r="BX230" s="4504">
        <f t="shared" si="304"/>
        <v>7.422447609120403</v>
      </c>
      <c r="BY230" s="4504">
        <f t="shared" si="305"/>
        <v>7.422447609120403</v>
      </c>
    </row>
    <row r="231" spans="1:77" s="1323" customFormat="1">
      <c r="A231" s="2611">
        <v>17</v>
      </c>
      <c r="B231" s="2554" t="s">
        <v>703</v>
      </c>
      <c r="C231" s="2555">
        <v>0.02</v>
      </c>
      <c r="D231" s="2590" t="s">
        <v>421</v>
      </c>
      <c r="E231" s="4453">
        <f>+'11.3. ДА Базова година'!F192</f>
        <v>0</v>
      </c>
      <c r="F231" s="2655">
        <f>$E231-SUMIF('11.2. ДА за периода'!$B$155:$B$175,$B231,'11.2. ДА за периода'!$E$155:$E$175)+SUMIF('11.2. ДА за периода'!$B$155:$B$175,$B231,'11.2. ДА за периода'!F$155:F$175)</f>
        <v>0</v>
      </c>
      <c r="G231" s="1136">
        <f>$E231-SUMIF('11.2. ДА за периода'!$B$155:$B$175,$B231,'11.2. ДА за периода'!$E$155:$E$175)+SUMIF('11.2. ДА за периода'!$B$155:$B$175,$B231,'11.2. ДА за периода'!G$155:G$175)</f>
        <v>0</v>
      </c>
      <c r="H231" s="1136">
        <f>$E231-SUMIF('11.2. ДА за периода'!$B$155:$B$175,$B231,'11.2. ДА за периода'!$E$155:$E$175)+SUMIF('11.2. ДА за периода'!$B$155:$B$175,$B231,'11.2. ДА за периода'!H$155:H$175)</f>
        <v>0</v>
      </c>
      <c r="I231" s="1136">
        <f>$E231-SUMIF('11.2. ДА за периода'!$B$155:$B$175,$B231,'11.2. ДА за периода'!$E$155:$E$175)+SUMIF('11.2. ДА за периода'!$B$155:$B$175,$B231,'11.2. ДА за периода'!I$155:I$175)</f>
        <v>0</v>
      </c>
      <c r="J231" s="1136">
        <f>$E231-SUMIF('11.2. ДА за периода'!$B$155:$B$175,$B231,'11.2. ДА за периода'!$E$155:$E$175)+SUMIF('11.2. ДА за периода'!$B$155:$B$175,$B231,'11.2. ДА за периода'!J$155:J$175)</f>
        <v>0</v>
      </c>
      <c r="K231" s="2656">
        <f>$E231-SUMIF('11.2. ДА за периода'!$B$155:$B$175,$B231,'11.2. ДА за периода'!$E$155:$E$175)+SUMIF('11.2. ДА за периода'!$B$155:$B$175,$B231,'11.2. ДА за периода'!K$155:K$175)</f>
        <v>0</v>
      </c>
      <c r="L231" s="4453">
        <f>+'11.3. ДА Базова година'!J192</f>
        <v>836.35033999999996</v>
      </c>
      <c r="M231" s="2655">
        <f>$L231-SUMIF('11.2. ДА за периода'!$B$155:$B$175,$B231,'11.2. ДА за периода'!$L$155:$L$175)+SUMIF('11.2. ДА за периода'!$B$155:$B$175,$B231,'11.2. ДА за периода'!M$155:M$175)</f>
        <v>845.82921959999999</v>
      </c>
      <c r="N231" s="1136">
        <f>$L231-SUMIF('11.2. ДА за периода'!$B$155:$B$175,$B231,'11.2. ДА за периода'!$L$155:$L$175)+SUMIF('11.2. ДА за периода'!$B$155:$B$175,$B231,'11.2. ДА за периода'!N$155:N$175)</f>
        <v>845.82921959999999</v>
      </c>
      <c r="O231" s="1136">
        <f>$L231-SUMIF('11.2. ДА за периода'!$B$155:$B$175,$B231,'11.2. ДА за периода'!$L$155:$L$175)+SUMIF('11.2. ДА за периода'!$B$155:$B$175,$B231,'11.2. ДА за периода'!O$155:O$175)</f>
        <v>845.82921959999999</v>
      </c>
      <c r="P231" s="1136">
        <f>$L231-SUMIF('11.2. ДА за периода'!$B$155:$B$175,$B231,'11.2. ДА за периода'!$L$155:$L$175)+SUMIF('11.2. ДА за периода'!$B$155:$B$175,$B231,'11.2. ДА за периода'!P$155:P$175)</f>
        <v>845.82921959999999</v>
      </c>
      <c r="Q231" s="1136">
        <f>$L231-SUMIF('11.2. ДА за периода'!$B$155:$B$175,$B231,'11.2. ДА за периода'!$L$155:$L$175)+SUMIF('11.2. ДА за периода'!$B$155:$B$175,$B231,'11.2. ДА за периода'!Q$155:Q$175)</f>
        <v>845.82921959999999</v>
      </c>
      <c r="R231" s="2656">
        <f>$L231-SUMIF('11.2. ДА за периода'!$B$155:$B$175,$B231,'11.2. ДА за периода'!$L$155:$L$175)+SUMIF('11.2. ДА за периода'!$B$155:$B$175,$B231,'11.2. ДА за периода'!R$155:R$175)</f>
        <v>845.82921959999999</v>
      </c>
      <c r="S231" s="4453">
        <f>+'11.3. ДА Базова година'!N192</f>
        <v>0.17016000000000001</v>
      </c>
      <c r="T231" s="2655">
        <f>$S231-SUMIF('11.2. ДА за периода'!$B$155:$B$175,$B231,'11.2. ДА за периода'!$S$155:$S$175)+SUMIF('11.2. ДА за периода'!$B$155:$B$175,$B231,'11.2. ДА за периода'!T$155:T$175)</f>
        <v>0.17016000000000001</v>
      </c>
      <c r="U231" s="1136">
        <f>$S231-SUMIF('11.2. ДА за периода'!$B$155:$B$175,$B231,'11.2. ДА за периода'!$S$155:$S$175)+SUMIF('11.2. ДА за периода'!$B$155:$B$175,$B231,'11.2. ДА за периода'!U$155:U$175)</f>
        <v>0.17016000000000001</v>
      </c>
      <c r="V231" s="1136">
        <f>$S231-SUMIF('11.2. ДА за периода'!$B$155:$B$175,$B231,'11.2. ДА за периода'!$S$155:$S$175)+SUMIF('11.2. ДА за периода'!$B$155:$B$175,$B231,'11.2. ДА за периода'!V$155:V$175)</f>
        <v>0.17016000000000001</v>
      </c>
      <c r="W231" s="1136">
        <f>$S231-SUMIF('11.2. ДА за периода'!$B$155:$B$175,$B231,'11.2. ДА за периода'!$S$155:$S$175)+SUMIF('11.2. ДА за периода'!$B$155:$B$175,$B231,'11.2. ДА за периода'!W$155:W$175)</f>
        <v>0.17016000000000001</v>
      </c>
      <c r="X231" s="1136">
        <f>$S231-SUMIF('11.2. ДА за периода'!$B$155:$B$175,$B231,'11.2. ДА за периода'!$S$155:$S$175)+SUMIF('11.2. ДА за периода'!$B$155:$B$175,$B231,'11.2. ДА за периода'!X$155:X$175)</f>
        <v>0.17016000000000001</v>
      </c>
      <c r="Y231" s="2656">
        <f>$S231-SUMIF('11.2. ДА за периода'!$B$155:$B$175,$B231,'11.2. ДА за периода'!$S$155:$S$175)+SUMIF('11.2. ДА за периода'!$B$155:$B$175,$B231,'11.2. ДА за периода'!Y$155:Y$175)</f>
        <v>0.17016000000000001</v>
      </c>
      <c r="Z231" s="4453">
        <f>+'11.3. ДА Базова година'!R192</f>
        <v>0</v>
      </c>
      <c r="AA231" s="2655">
        <f>$Z231-SUMIF('11.2. ДА за периода'!$B$155:$B$175,$B231,'11.2. ДА за периода'!$Z$155:$Z$175)+SUMIF('11.2. ДА за периода'!$B$155:$B$175,$B231,'11.2. ДА за периода'!AA$155:AA$175)</f>
        <v>0</v>
      </c>
      <c r="AB231" s="1136">
        <f>$Z231-SUMIF('11.2. ДА за периода'!$B$155:$B$175,$B231,'11.2. ДА за периода'!$Z$155:$Z$175)+SUMIF('11.2. ДА за периода'!$B$155:$B$175,$B231,'11.2. ДА за периода'!AB$155:AB$175)</f>
        <v>0</v>
      </c>
      <c r="AC231" s="1136">
        <f>$Z231-SUMIF('11.2. ДА за периода'!$B$155:$B$175,$B231,'11.2. ДА за периода'!$Z$155:$Z$175)+SUMIF('11.2. ДА за периода'!$B$155:$B$175,$B231,'11.2. ДА за периода'!AC$155:AC$175)</f>
        <v>0</v>
      </c>
      <c r="AD231" s="1136">
        <f>$Z231-SUMIF('11.2. ДА за периода'!$B$155:$B$175,$B231,'11.2. ДА за периода'!$Z$155:$Z$175)+SUMIF('11.2. ДА за периода'!$B$155:$B$175,$B231,'11.2. ДА за периода'!AD$155:AD$175)</f>
        <v>0</v>
      </c>
      <c r="AE231" s="1136">
        <f>$Z231-SUMIF('11.2. ДА за периода'!$B$155:$B$175,$B231,'11.2. ДА за периода'!$Z$155:$Z$175)+SUMIF('11.2. ДА за периода'!$B$155:$B$175,$B231,'11.2. ДА за периода'!AE$155:AE$175)</f>
        <v>0</v>
      </c>
      <c r="AF231" s="2656">
        <f>$Z231-SUMIF('11.2. ДА за периода'!$B$155:$B$175,$B231,'11.2. ДА за периода'!$Z$155:$Z$175)+SUMIF('11.2. ДА за периода'!$B$155:$B$175,$B231,'11.2. ДА за периода'!AF$155:AF$175)</f>
        <v>0</v>
      </c>
      <c r="AG231" s="4453">
        <f>+'11.3. ДА Базова година'!V192</f>
        <v>0</v>
      </c>
      <c r="AH231" s="2655">
        <f>$AG231-SUMIF('11.2. ДА за периода'!$B$155:$B$175,$B231,'11.2. ДА за периода'!$AG$155:$AG$175)+SUMIF('11.2. ДА за периода'!$B$155:$B$175,$B231,'11.2. ДА за периода'!AH$155:AH$175)</f>
        <v>0</v>
      </c>
      <c r="AI231" s="1136">
        <f>$AG231-SUMIF('11.2. ДА за периода'!$B$155:$B$175,$B231,'11.2. ДА за периода'!$AG$155:$AG$175)+SUMIF('11.2. ДА за периода'!$B$155:$B$175,$B231,'11.2. ДА за периода'!AI$155:AI$175)</f>
        <v>0</v>
      </c>
      <c r="AJ231" s="1136">
        <f>$AG231-SUMIF('11.2. ДА за периода'!$B$155:$B$175,$B231,'11.2. ДА за периода'!$AG$155:$AG$175)+SUMIF('11.2. ДА за периода'!$B$155:$B$175,$B231,'11.2. ДА за периода'!AJ$155:AJ$175)</f>
        <v>0</v>
      </c>
      <c r="AK231" s="1136">
        <f>$AG231-SUMIF('11.2. ДА за периода'!$B$155:$B$175,$B231,'11.2. ДА за периода'!$AG$155:$AG$175)+SUMIF('11.2. ДА за периода'!$B$155:$B$175,$B231,'11.2. ДА за периода'!AK$155:AK$175)</f>
        <v>0</v>
      </c>
      <c r="AL231" s="1136">
        <f>$AG231-SUMIF('11.2. ДА за периода'!$B$155:$B$175,$B231,'11.2. ДА за периода'!$AG$155:$AG$175)+SUMIF('11.2. ДА за периода'!$B$155:$B$175,$B231,'11.2. ДА за периода'!AL$155:AL$175)</f>
        <v>0</v>
      </c>
      <c r="AM231" s="2656">
        <f>$AG231-SUMIF('11.2. ДА за периода'!$B$155:$B$175,$B231,'11.2. ДА за периода'!$AG$155:$AG$175)+SUMIF('11.2. ДА за периода'!$B$155:$B$175,$B231,'11.2. ДА за периода'!AM$155:AM$175)</f>
        <v>0</v>
      </c>
      <c r="AN231" s="2562"/>
      <c r="AO231" s="2589"/>
      <c r="AP231" s="4488"/>
      <c r="AQ231" s="4504">
        <f t="shared" si="271"/>
        <v>0</v>
      </c>
      <c r="AR231" s="4504">
        <f t="shared" si="272"/>
        <v>0</v>
      </c>
      <c r="AS231" s="4504">
        <f t="shared" si="273"/>
        <v>0</v>
      </c>
      <c r="AT231" s="4504">
        <f t="shared" si="274"/>
        <v>0</v>
      </c>
      <c r="AU231" s="4504">
        <f t="shared" si="275"/>
        <v>0</v>
      </c>
      <c r="AV231" s="4504">
        <f t="shared" si="276"/>
        <v>0</v>
      </c>
      <c r="AW231" s="4504">
        <f t="shared" si="277"/>
        <v>0</v>
      </c>
      <c r="AX231" s="4504">
        <f t="shared" si="278"/>
        <v>427.61913867769692</v>
      </c>
      <c r="AY231" s="4504">
        <f t="shared" si="279"/>
        <v>432.46561286001338</v>
      </c>
      <c r="AZ231" s="4504">
        <f t="shared" si="280"/>
        <v>432.46561286001338</v>
      </c>
      <c r="BA231" s="4504">
        <f t="shared" si="281"/>
        <v>432.46561286001338</v>
      </c>
      <c r="BB231" s="4504">
        <f t="shared" si="282"/>
        <v>432.46561286001338</v>
      </c>
      <c r="BC231" s="4504">
        <f t="shared" si="283"/>
        <v>432.46561286001338</v>
      </c>
      <c r="BD231" s="4504">
        <f t="shared" si="284"/>
        <v>432.46561286001338</v>
      </c>
      <c r="BE231" s="4504">
        <f t="shared" si="285"/>
        <v>8.7001426504348542E-2</v>
      </c>
      <c r="BF231" s="4504">
        <f t="shared" si="286"/>
        <v>8.7001426504348542E-2</v>
      </c>
      <c r="BG231" s="4504">
        <f t="shared" si="287"/>
        <v>8.7001426504348542E-2</v>
      </c>
      <c r="BH231" s="4504">
        <f t="shared" si="288"/>
        <v>8.7001426504348542E-2</v>
      </c>
      <c r="BI231" s="4504">
        <f t="shared" si="289"/>
        <v>8.7001426504348542E-2</v>
      </c>
      <c r="BJ231" s="4504">
        <f t="shared" si="290"/>
        <v>8.7001426504348542E-2</v>
      </c>
      <c r="BK231" s="4504">
        <f t="shared" si="291"/>
        <v>8.7001426504348542E-2</v>
      </c>
      <c r="BL231" s="4504">
        <f t="shared" si="292"/>
        <v>0</v>
      </c>
      <c r="BM231" s="4504">
        <f t="shared" si="293"/>
        <v>0</v>
      </c>
      <c r="BN231" s="4504">
        <f t="shared" si="294"/>
        <v>0</v>
      </c>
      <c r="BO231" s="4504">
        <f t="shared" si="295"/>
        <v>0</v>
      </c>
      <c r="BP231" s="4504">
        <f t="shared" si="296"/>
        <v>0</v>
      </c>
      <c r="BQ231" s="4504">
        <f t="shared" si="297"/>
        <v>0</v>
      </c>
      <c r="BR231" s="4504">
        <f t="shared" si="298"/>
        <v>0</v>
      </c>
      <c r="BS231" s="4504">
        <f t="shared" si="299"/>
        <v>0</v>
      </c>
      <c r="BT231" s="4504">
        <f t="shared" si="300"/>
        <v>0</v>
      </c>
      <c r="BU231" s="4504">
        <f t="shared" si="301"/>
        <v>0</v>
      </c>
      <c r="BV231" s="4504">
        <f t="shared" si="302"/>
        <v>0</v>
      </c>
      <c r="BW231" s="4504">
        <f t="shared" si="303"/>
        <v>0</v>
      </c>
      <c r="BX231" s="4504">
        <f t="shared" si="304"/>
        <v>0</v>
      </c>
      <c r="BY231" s="4504">
        <f t="shared" si="305"/>
        <v>0</v>
      </c>
    </row>
    <row r="232" spans="1:77" s="1323" customFormat="1" ht="24">
      <c r="A232" s="2611">
        <v>18</v>
      </c>
      <c r="B232" s="2554" t="s">
        <v>704</v>
      </c>
      <c r="C232" s="2555">
        <v>0.04</v>
      </c>
      <c r="D232" s="2590" t="s">
        <v>422</v>
      </c>
      <c r="E232" s="4453">
        <f>+'11.3. ДА Базова година'!F193</f>
        <v>17.241960000000002</v>
      </c>
      <c r="F232" s="2655">
        <f>$E232-SUMIF('11.2. ДА за периода'!$B$155:$B$175,$B232,'11.2. ДА за периода'!$E$155:$E$175)+SUMIF('11.2. ДА за периода'!$B$155:$B$175,$B232,'11.2. ДА за периода'!F$155:F$175)</f>
        <v>17.241960000000002</v>
      </c>
      <c r="G232" s="1136">
        <f>$E232-SUMIF('11.2. ДА за периода'!$B$155:$B$175,$B232,'11.2. ДА за периода'!$E$155:$E$175)+SUMIF('11.2. ДА за периода'!$B$155:$B$175,$B232,'11.2. ДА за периода'!G$155:G$175)</f>
        <v>17.241960000000002</v>
      </c>
      <c r="H232" s="1136">
        <f>$E232-SUMIF('11.2. ДА за периода'!$B$155:$B$175,$B232,'11.2. ДА за периода'!$E$155:$E$175)+SUMIF('11.2. ДА за периода'!$B$155:$B$175,$B232,'11.2. ДА за периода'!H$155:H$175)</f>
        <v>17.241960000000002</v>
      </c>
      <c r="I232" s="1136">
        <f>$E232-SUMIF('11.2. ДА за периода'!$B$155:$B$175,$B232,'11.2. ДА за периода'!$E$155:$E$175)+SUMIF('11.2. ДА за периода'!$B$155:$B$175,$B232,'11.2. ДА за периода'!I$155:I$175)</f>
        <v>17.241960000000002</v>
      </c>
      <c r="J232" s="1136">
        <f>$E232-SUMIF('11.2. ДА за периода'!$B$155:$B$175,$B232,'11.2. ДА за периода'!$E$155:$E$175)+SUMIF('11.2. ДА за периода'!$B$155:$B$175,$B232,'11.2. ДА за периода'!J$155:J$175)</f>
        <v>17.241960000000002</v>
      </c>
      <c r="K232" s="2656">
        <f>$E232-SUMIF('11.2. ДА за периода'!$B$155:$B$175,$B232,'11.2. ДА за периода'!$E$155:$E$175)+SUMIF('11.2. ДА за периода'!$B$155:$B$175,$B232,'11.2. ДА за периода'!K$155:K$175)</f>
        <v>17.241960000000002</v>
      </c>
      <c r="L232" s="4453">
        <f>+'11.3. ДА Базова година'!J193</f>
        <v>2.1618000000000004</v>
      </c>
      <c r="M232" s="2655">
        <f>$L232-SUMIF('11.2. ДА за периода'!$B$155:$B$175,$B232,'11.2. ДА за периода'!$L$155:$L$175)+SUMIF('11.2. ДА за периода'!$B$155:$B$175,$B232,'11.2. ДА за периода'!M$155:M$175)</f>
        <v>2.1618000000000004</v>
      </c>
      <c r="N232" s="1136">
        <f>$L232-SUMIF('11.2. ДА за периода'!$B$155:$B$175,$B232,'11.2. ДА за периода'!$L$155:$L$175)+SUMIF('11.2. ДА за периода'!$B$155:$B$175,$B232,'11.2. ДА за периода'!N$155:N$175)</f>
        <v>2.1618000000000004</v>
      </c>
      <c r="O232" s="1136">
        <f>$L232-SUMIF('11.2. ДА за периода'!$B$155:$B$175,$B232,'11.2. ДА за периода'!$L$155:$L$175)+SUMIF('11.2. ДА за периода'!$B$155:$B$175,$B232,'11.2. ДА за периода'!O$155:O$175)</f>
        <v>2.1618000000000004</v>
      </c>
      <c r="P232" s="1136">
        <f>$L232-SUMIF('11.2. ДА за периода'!$B$155:$B$175,$B232,'11.2. ДА за периода'!$L$155:$L$175)+SUMIF('11.2. ДА за периода'!$B$155:$B$175,$B232,'11.2. ДА за периода'!P$155:P$175)</f>
        <v>2.1618000000000004</v>
      </c>
      <c r="Q232" s="1136">
        <f>$L232-SUMIF('11.2. ДА за периода'!$B$155:$B$175,$B232,'11.2. ДА за периода'!$L$155:$L$175)+SUMIF('11.2. ДА за периода'!$B$155:$B$175,$B232,'11.2. ДА за периода'!Q$155:Q$175)</f>
        <v>2.1618000000000004</v>
      </c>
      <c r="R232" s="2656">
        <f>$L232-SUMIF('11.2. ДА за периода'!$B$155:$B$175,$B232,'11.2. ДА за периода'!$L$155:$L$175)+SUMIF('11.2. ДА за периода'!$B$155:$B$175,$B232,'11.2. ДА за периода'!R$155:R$175)</f>
        <v>2.1618000000000004</v>
      </c>
      <c r="S232" s="4453">
        <f>+'11.3. ДА Базова година'!N193</f>
        <v>601.72415999999976</v>
      </c>
      <c r="T232" s="2655">
        <f>$S232-SUMIF('11.2. ДА за периода'!$B$155:$B$175,$B232,'11.2. ДА за периода'!$S$155:$S$175)+SUMIF('11.2. ДА за периода'!$B$155:$B$175,$B232,'11.2. ДА за периода'!T$155:T$175)</f>
        <v>817.72415999999976</v>
      </c>
      <c r="U232" s="1136">
        <f>$S232-SUMIF('11.2. ДА за периода'!$B$155:$B$175,$B232,'11.2. ДА за периода'!$S$155:$S$175)+SUMIF('11.2. ДА за периода'!$B$155:$B$175,$B232,'11.2. ДА за периода'!U$155:U$175)</f>
        <v>817.72415999999976</v>
      </c>
      <c r="V232" s="1136">
        <f>$S232-SUMIF('11.2. ДА за периода'!$B$155:$B$175,$B232,'11.2. ДА за периода'!$S$155:$S$175)+SUMIF('11.2. ДА за периода'!$B$155:$B$175,$B232,'11.2. ДА за периода'!V$155:V$175)</f>
        <v>817.72415999999976</v>
      </c>
      <c r="W232" s="1136">
        <f>$S232-SUMIF('11.2. ДА за периода'!$B$155:$B$175,$B232,'11.2. ДА за периода'!$S$155:$S$175)+SUMIF('11.2. ДА за периода'!$B$155:$B$175,$B232,'11.2. ДА за периода'!W$155:W$175)</f>
        <v>817.72415999999976</v>
      </c>
      <c r="X232" s="1136">
        <f>$S232-SUMIF('11.2. ДА за периода'!$B$155:$B$175,$B232,'11.2. ДА за периода'!$S$155:$S$175)+SUMIF('11.2. ДА за периода'!$B$155:$B$175,$B232,'11.2. ДА за периода'!X$155:X$175)</f>
        <v>817.72415999999976</v>
      </c>
      <c r="Y232" s="2656">
        <f>$S232-SUMIF('11.2. ДА за периода'!$B$155:$B$175,$B232,'11.2. ДА за периода'!$S$155:$S$175)+SUMIF('11.2. ДА за периода'!$B$155:$B$175,$B232,'11.2. ДА за периода'!Y$155:Y$175)</f>
        <v>817.72415999999976</v>
      </c>
      <c r="Z232" s="4453">
        <f>+'11.3. ДА Базова година'!R193</f>
        <v>0</v>
      </c>
      <c r="AA232" s="2655">
        <f>$Z232-SUMIF('11.2. ДА за периода'!$B$155:$B$175,$B232,'11.2. ДА за периода'!$Z$155:$Z$175)+SUMIF('11.2. ДА за периода'!$B$155:$B$175,$B232,'11.2. ДА за периода'!AA$155:AA$175)</f>
        <v>0</v>
      </c>
      <c r="AB232" s="1136">
        <f>$Z232-SUMIF('11.2. ДА за периода'!$B$155:$B$175,$B232,'11.2. ДА за периода'!$Z$155:$Z$175)+SUMIF('11.2. ДА за периода'!$B$155:$B$175,$B232,'11.2. ДА за периода'!AB$155:AB$175)</f>
        <v>0</v>
      </c>
      <c r="AC232" s="1136">
        <f>$Z232-SUMIF('11.2. ДА за периода'!$B$155:$B$175,$B232,'11.2. ДА за периода'!$Z$155:$Z$175)+SUMIF('11.2. ДА за периода'!$B$155:$B$175,$B232,'11.2. ДА за периода'!AC$155:AC$175)</f>
        <v>0</v>
      </c>
      <c r="AD232" s="1136">
        <f>$Z232-SUMIF('11.2. ДА за периода'!$B$155:$B$175,$B232,'11.2. ДА за периода'!$Z$155:$Z$175)+SUMIF('11.2. ДА за периода'!$B$155:$B$175,$B232,'11.2. ДА за периода'!AD$155:AD$175)</f>
        <v>0</v>
      </c>
      <c r="AE232" s="1136">
        <f>$Z232-SUMIF('11.2. ДА за периода'!$B$155:$B$175,$B232,'11.2. ДА за периода'!$Z$155:$Z$175)+SUMIF('11.2. ДА за периода'!$B$155:$B$175,$B232,'11.2. ДА за периода'!AE$155:AE$175)</f>
        <v>0</v>
      </c>
      <c r="AF232" s="2656">
        <f>$Z232-SUMIF('11.2. ДА за периода'!$B$155:$B$175,$B232,'11.2. ДА за периода'!$Z$155:$Z$175)+SUMIF('11.2. ДА за периода'!$B$155:$B$175,$B232,'11.2. ДА за периода'!AF$155:AF$175)</f>
        <v>0</v>
      </c>
      <c r="AG232" s="4453">
        <f>+'11.3. ДА Базова година'!V193</f>
        <v>0</v>
      </c>
      <c r="AH232" s="2655">
        <f>$AG232-SUMIF('11.2. ДА за периода'!$B$155:$B$175,$B232,'11.2. ДА за периода'!$AG$155:$AG$175)+SUMIF('11.2. ДА за периода'!$B$155:$B$175,$B232,'11.2. ДА за периода'!AH$155:AH$175)</f>
        <v>0</v>
      </c>
      <c r="AI232" s="1136">
        <f>$AG232-SUMIF('11.2. ДА за периода'!$B$155:$B$175,$B232,'11.2. ДА за периода'!$AG$155:$AG$175)+SUMIF('11.2. ДА за периода'!$B$155:$B$175,$B232,'11.2. ДА за периода'!AI$155:AI$175)</f>
        <v>0</v>
      </c>
      <c r="AJ232" s="1136">
        <f>$AG232-SUMIF('11.2. ДА за периода'!$B$155:$B$175,$B232,'11.2. ДА за периода'!$AG$155:$AG$175)+SUMIF('11.2. ДА за периода'!$B$155:$B$175,$B232,'11.2. ДА за периода'!AJ$155:AJ$175)</f>
        <v>0</v>
      </c>
      <c r="AK232" s="1136">
        <f>$AG232-SUMIF('11.2. ДА за периода'!$B$155:$B$175,$B232,'11.2. ДА за периода'!$AG$155:$AG$175)+SUMIF('11.2. ДА за периода'!$B$155:$B$175,$B232,'11.2. ДА за периода'!AK$155:AK$175)</f>
        <v>0</v>
      </c>
      <c r="AL232" s="1136">
        <f>$AG232-SUMIF('11.2. ДА за периода'!$B$155:$B$175,$B232,'11.2. ДА за периода'!$AG$155:$AG$175)+SUMIF('11.2. ДА за периода'!$B$155:$B$175,$B232,'11.2. ДА за периода'!AL$155:AL$175)</f>
        <v>0</v>
      </c>
      <c r="AM232" s="2656">
        <f>$AG232-SUMIF('11.2. ДА за периода'!$B$155:$B$175,$B232,'11.2. ДА за периода'!$AG$155:$AG$175)+SUMIF('11.2. ДА за периода'!$B$155:$B$175,$B232,'11.2. ДА за периода'!AM$155:AM$175)</f>
        <v>0</v>
      </c>
      <c r="AN232" s="2562"/>
      <c r="AO232" s="2589"/>
      <c r="AP232" s="4488"/>
      <c r="AQ232" s="4504">
        <f t="shared" si="271"/>
        <v>8.8156741639099518</v>
      </c>
      <c r="AR232" s="4504">
        <f t="shared" si="272"/>
        <v>8.8156741639099518</v>
      </c>
      <c r="AS232" s="4504">
        <f t="shared" si="273"/>
        <v>8.8156741639099518</v>
      </c>
      <c r="AT232" s="4504">
        <f t="shared" si="274"/>
        <v>8.8156741639099518</v>
      </c>
      <c r="AU232" s="4504">
        <f t="shared" si="275"/>
        <v>8.8156741639099518</v>
      </c>
      <c r="AV232" s="4504">
        <f t="shared" si="276"/>
        <v>8.8156741639099518</v>
      </c>
      <c r="AW232" s="4504">
        <f t="shared" si="277"/>
        <v>8.8156741639099518</v>
      </c>
      <c r="AX232" s="4504">
        <f t="shared" si="278"/>
        <v>1.1053107887699853</v>
      </c>
      <c r="AY232" s="4504">
        <f t="shared" si="279"/>
        <v>1.1053107887699853</v>
      </c>
      <c r="AZ232" s="4504">
        <f t="shared" si="280"/>
        <v>1.1053107887699853</v>
      </c>
      <c r="BA232" s="4504">
        <f t="shared" si="281"/>
        <v>1.1053107887699853</v>
      </c>
      <c r="BB232" s="4504">
        <f t="shared" si="282"/>
        <v>1.1053107887699853</v>
      </c>
      <c r="BC232" s="4504">
        <f t="shared" si="283"/>
        <v>1.1053107887699853</v>
      </c>
      <c r="BD232" s="4504">
        <f t="shared" si="284"/>
        <v>1.1053107887699853</v>
      </c>
      <c r="BE232" s="4504">
        <f t="shared" si="285"/>
        <v>307.65667772761424</v>
      </c>
      <c r="BF232" s="4504">
        <f t="shared" si="286"/>
        <v>418.09572406599744</v>
      </c>
      <c r="BG232" s="4504">
        <f t="shared" si="287"/>
        <v>418.09572406599744</v>
      </c>
      <c r="BH232" s="4504">
        <f t="shared" si="288"/>
        <v>418.09572406599744</v>
      </c>
      <c r="BI232" s="4504">
        <f t="shared" si="289"/>
        <v>418.09572406599744</v>
      </c>
      <c r="BJ232" s="4504">
        <f t="shared" si="290"/>
        <v>418.09572406599744</v>
      </c>
      <c r="BK232" s="4504">
        <f t="shared" si="291"/>
        <v>418.09572406599744</v>
      </c>
      <c r="BL232" s="4504">
        <f t="shared" si="292"/>
        <v>0</v>
      </c>
      <c r="BM232" s="4504">
        <f t="shared" si="293"/>
        <v>0</v>
      </c>
      <c r="BN232" s="4504">
        <f t="shared" si="294"/>
        <v>0</v>
      </c>
      <c r="BO232" s="4504">
        <f t="shared" si="295"/>
        <v>0</v>
      </c>
      <c r="BP232" s="4504">
        <f t="shared" si="296"/>
        <v>0</v>
      </c>
      <c r="BQ232" s="4504">
        <f t="shared" si="297"/>
        <v>0</v>
      </c>
      <c r="BR232" s="4504">
        <f t="shared" si="298"/>
        <v>0</v>
      </c>
      <c r="BS232" s="4504">
        <f t="shared" si="299"/>
        <v>0</v>
      </c>
      <c r="BT232" s="4504">
        <f t="shared" si="300"/>
        <v>0</v>
      </c>
      <c r="BU232" s="4504">
        <f t="shared" si="301"/>
        <v>0</v>
      </c>
      <c r="BV232" s="4504">
        <f t="shared" si="302"/>
        <v>0</v>
      </c>
      <c r="BW232" s="4504">
        <f t="shared" si="303"/>
        <v>0</v>
      </c>
      <c r="BX232" s="4504">
        <f t="shared" si="304"/>
        <v>0</v>
      </c>
      <c r="BY232" s="4504">
        <f t="shared" si="305"/>
        <v>0</v>
      </c>
    </row>
    <row r="233" spans="1:77" s="1323" customFormat="1">
      <c r="A233" s="2611">
        <v>19</v>
      </c>
      <c r="B233" s="2554" t="s">
        <v>705</v>
      </c>
      <c r="C233" s="2555">
        <v>0.04</v>
      </c>
      <c r="D233" s="2590" t="s">
        <v>423</v>
      </c>
      <c r="E233" s="4453">
        <f>+'11.3. ДА Базова година'!F194</f>
        <v>0.27992146443333782</v>
      </c>
      <c r="F233" s="2655">
        <f>$E233-SUMIF('11.2. ДА за периода'!$B$155:$B$175,$B233,'11.2. ДА за периода'!$E$155:$E$175)+SUMIF('11.2. ДА за периода'!$B$155:$B$175,$B233,'11.2. ДА за периода'!F$155:F$175)</f>
        <v>0.27992146443333782</v>
      </c>
      <c r="G233" s="1136">
        <f>$E233-SUMIF('11.2. ДА за периода'!$B$155:$B$175,$B233,'11.2. ДА за периода'!$E$155:$E$175)+SUMIF('11.2. ДА за периода'!$B$155:$B$175,$B233,'11.2. ДА за периода'!G$155:G$175)</f>
        <v>0.27992146443333782</v>
      </c>
      <c r="H233" s="1136">
        <f>$E233-SUMIF('11.2. ДА за периода'!$B$155:$B$175,$B233,'11.2. ДА за периода'!$E$155:$E$175)+SUMIF('11.2. ДА за периода'!$B$155:$B$175,$B233,'11.2. ДА за периода'!H$155:H$175)</f>
        <v>0.27992146443333782</v>
      </c>
      <c r="I233" s="1136">
        <f>$E233-SUMIF('11.2. ДА за периода'!$B$155:$B$175,$B233,'11.2. ДА за периода'!$E$155:$E$175)+SUMIF('11.2. ДА за периода'!$B$155:$B$175,$B233,'11.2. ДА за периода'!I$155:I$175)</f>
        <v>0.27992146443333782</v>
      </c>
      <c r="J233" s="1136">
        <f>$E233-SUMIF('11.2. ДА за периода'!$B$155:$B$175,$B233,'11.2. ДА за периода'!$E$155:$E$175)+SUMIF('11.2. ДА за периода'!$B$155:$B$175,$B233,'11.2. ДА за периода'!J$155:J$175)</f>
        <v>0.27992146443333782</v>
      </c>
      <c r="K233" s="2656">
        <f>$E233-SUMIF('11.2. ДА за периода'!$B$155:$B$175,$B233,'11.2. ДА за периода'!$E$155:$E$175)+SUMIF('11.2. ДА за периода'!$B$155:$B$175,$B233,'11.2. ДА за периода'!K$155:K$175)</f>
        <v>0.27992146443333782</v>
      </c>
      <c r="L233" s="4453">
        <f>+'11.3. ДА Базова година'!J194</f>
        <v>0</v>
      </c>
      <c r="M233" s="2655">
        <f>$L233-SUMIF('11.2. ДА за периода'!$B$155:$B$175,$B233,'11.2. ДА за периода'!$L$155:$L$175)+SUMIF('11.2. ДА за периода'!$B$155:$B$175,$B233,'11.2. ДА за периода'!M$155:M$175)</f>
        <v>0</v>
      </c>
      <c r="N233" s="1136">
        <f>$L233-SUMIF('11.2. ДА за периода'!$B$155:$B$175,$B233,'11.2. ДА за периода'!$L$155:$L$175)+SUMIF('11.2. ДА за периода'!$B$155:$B$175,$B233,'11.2. ДА за периода'!N$155:N$175)</f>
        <v>0</v>
      </c>
      <c r="O233" s="1136">
        <f>$L233-SUMIF('11.2. ДА за периода'!$B$155:$B$175,$B233,'11.2. ДА за периода'!$L$155:$L$175)+SUMIF('11.2. ДА за периода'!$B$155:$B$175,$B233,'11.2. ДА за периода'!O$155:O$175)</f>
        <v>0</v>
      </c>
      <c r="P233" s="1136">
        <f>$L233-SUMIF('11.2. ДА за периода'!$B$155:$B$175,$B233,'11.2. ДА за периода'!$L$155:$L$175)+SUMIF('11.2. ДА за периода'!$B$155:$B$175,$B233,'11.2. ДА за периода'!P$155:P$175)</f>
        <v>0</v>
      </c>
      <c r="Q233" s="1136">
        <f>$L233-SUMIF('11.2. ДА за периода'!$B$155:$B$175,$B233,'11.2. ДА за периода'!$L$155:$L$175)+SUMIF('11.2. ДА за периода'!$B$155:$B$175,$B233,'11.2. ДА за периода'!Q$155:Q$175)</f>
        <v>0</v>
      </c>
      <c r="R233" s="2656">
        <f>$L233-SUMIF('11.2. ДА за периода'!$B$155:$B$175,$B233,'11.2. ДА за периода'!$L$155:$L$175)+SUMIF('11.2. ДА за периода'!$B$155:$B$175,$B233,'11.2. ДА за периода'!R$155:R$175)</f>
        <v>0</v>
      </c>
      <c r="S233" s="4453">
        <f>+'11.3. ДА Базова година'!N194</f>
        <v>0</v>
      </c>
      <c r="T233" s="2655">
        <f>$S233-SUMIF('11.2. ДА за периода'!$B$155:$B$175,$B233,'11.2. ДА за периода'!$S$155:$S$175)+SUMIF('11.2. ДА за периода'!$B$155:$B$175,$B233,'11.2. ДА за периода'!T$155:T$175)</f>
        <v>0</v>
      </c>
      <c r="U233" s="1136">
        <f>$S233-SUMIF('11.2. ДА за периода'!$B$155:$B$175,$B233,'11.2. ДА за периода'!$S$155:$S$175)+SUMIF('11.2. ДА за периода'!$B$155:$B$175,$B233,'11.2. ДА за периода'!U$155:U$175)</f>
        <v>0</v>
      </c>
      <c r="V233" s="1136">
        <f>$S233-SUMIF('11.2. ДА за периода'!$B$155:$B$175,$B233,'11.2. ДА за периода'!$S$155:$S$175)+SUMIF('11.2. ДА за периода'!$B$155:$B$175,$B233,'11.2. ДА за периода'!V$155:V$175)</f>
        <v>0</v>
      </c>
      <c r="W233" s="1136">
        <f>$S233-SUMIF('11.2. ДА за периода'!$B$155:$B$175,$B233,'11.2. ДА за периода'!$S$155:$S$175)+SUMIF('11.2. ДА за периода'!$B$155:$B$175,$B233,'11.2. ДА за периода'!W$155:W$175)</f>
        <v>0</v>
      </c>
      <c r="X233" s="1136">
        <f>$S233-SUMIF('11.2. ДА за периода'!$B$155:$B$175,$B233,'11.2. ДА за периода'!$S$155:$S$175)+SUMIF('11.2. ДА за периода'!$B$155:$B$175,$B233,'11.2. ДА за периода'!X$155:X$175)</f>
        <v>0</v>
      </c>
      <c r="Y233" s="2656">
        <f>$S233-SUMIF('11.2. ДА за периода'!$B$155:$B$175,$B233,'11.2. ДА за периода'!$S$155:$S$175)+SUMIF('11.2. ДА за периода'!$B$155:$B$175,$B233,'11.2. ДА за периода'!Y$155:Y$175)</f>
        <v>0</v>
      </c>
      <c r="Z233" s="4453">
        <f>+'11.3. ДА Базова година'!R194</f>
        <v>0</v>
      </c>
      <c r="AA233" s="2655">
        <f>$Z233-SUMIF('11.2. ДА за периода'!$B$155:$B$175,$B233,'11.2. ДА за периода'!$Z$155:$Z$175)+SUMIF('11.2. ДА за периода'!$B$155:$B$175,$B233,'11.2. ДА за периода'!AA$155:AA$175)</f>
        <v>0</v>
      </c>
      <c r="AB233" s="1136">
        <f>$Z233-SUMIF('11.2. ДА за периода'!$B$155:$B$175,$B233,'11.2. ДА за периода'!$Z$155:$Z$175)+SUMIF('11.2. ДА за периода'!$B$155:$B$175,$B233,'11.2. ДА за периода'!AB$155:AB$175)</f>
        <v>0</v>
      </c>
      <c r="AC233" s="1136">
        <f>$Z233-SUMIF('11.2. ДА за периода'!$B$155:$B$175,$B233,'11.2. ДА за периода'!$Z$155:$Z$175)+SUMIF('11.2. ДА за периода'!$B$155:$B$175,$B233,'11.2. ДА за периода'!AC$155:AC$175)</f>
        <v>0</v>
      </c>
      <c r="AD233" s="1136">
        <f>$Z233-SUMIF('11.2. ДА за периода'!$B$155:$B$175,$B233,'11.2. ДА за периода'!$Z$155:$Z$175)+SUMIF('11.2. ДА за периода'!$B$155:$B$175,$B233,'11.2. ДА за периода'!AD$155:AD$175)</f>
        <v>0</v>
      </c>
      <c r="AE233" s="1136">
        <f>$Z233-SUMIF('11.2. ДА за периода'!$B$155:$B$175,$B233,'11.2. ДА за периода'!$Z$155:$Z$175)+SUMIF('11.2. ДА за периода'!$B$155:$B$175,$B233,'11.2. ДА за периода'!AE$155:AE$175)</f>
        <v>0</v>
      </c>
      <c r="AF233" s="2656">
        <f>$Z233-SUMIF('11.2. ДА за периода'!$B$155:$B$175,$B233,'11.2. ДА за периода'!$Z$155:$Z$175)+SUMIF('11.2. ДА за периода'!$B$155:$B$175,$B233,'11.2. ДА за периода'!AF$155:AF$175)</f>
        <v>0</v>
      </c>
      <c r="AG233" s="4453">
        <f>+'11.3. ДА Базова година'!V194</f>
        <v>0.96807853556666235</v>
      </c>
      <c r="AH233" s="2655">
        <f>$AG233-SUMIF('11.2. ДА за периода'!$B$155:$B$175,$B233,'11.2. ДА за периода'!$AG$155:$AG$175)+SUMIF('11.2. ДА за периода'!$B$155:$B$175,$B233,'11.2. ДА за периода'!AH$155:AH$175)</f>
        <v>0.96807853556666235</v>
      </c>
      <c r="AI233" s="1136">
        <f>$AG233-SUMIF('11.2. ДА за периода'!$B$155:$B$175,$B233,'11.2. ДА за периода'!$AG$155:$AG$175)+SUMIF('11.2. ДА за периода'!$B$155:$B$175,$B233,'11.2. ДА за периода'!AI$155:AI$175)</f>
        <v>0.96807853556666235</v>
      </c>
      <c r="AJ233" s="1136">
        <f>$AG233-SUMIF('11.2. ДА за периода'!$B$155:$B$175,$B233,'11.2. ДА за периода'!$AG$155:$AG$175)+SUMIF('11.2. ДА за периода'!$B$155:$B$175,$B233,'11.2. ДА за периода'!AJ$155:AJ$175)</f>
        <v>0.96807853556666235</v>
      </c>
      <c r="AK233" s="1136">
        <f>$AG233-SUMIF('11.2. ДА за периода'!$B$155:$B$175,$B233,'11.2. ДА за периода'!$AG$155:$AG$175)+SUMIF('11.2. ДА за периода'!$B$155:$B$175,$B233,'11.2. ДА за периода'!AK$155:AK$175)</f>
        <v>0.96807853556666235</v>
      </c>
      <c r="AL233" s="1136">
        <f>$AG233-SUMIF('11.2. ДА за периода'!$B$155:$B$175,$B233,'11.2. ДА за периода'!$AG$155:$AG$175)+SUMIF('11.2. ДА за периода'!$B$155:$B$175,$B233,'11.2. ДА за периода'!AL$155:AL$175)</f>
        <v>0.96807853556666235</v>
      </c>
      <c r="AM233" s="2656">
        <f>$AG233-SUMIF('11.2. ДА за периода'!$B$155:$B$175,$B233,'11.2. ДА за периода'!$AG$155:$AG$175)+SUMIF('11.2. ДА за периода'!$B$155:$B$175,$B233,'11.2. ДА за периода'!AM$155:AM$175)</f>
        <v>0.96807853556666235</v>
      </c>
      <c r="AN233" s="2562"/>
      <c r="AO233" s="2589"/>
      <c r="AP233" s="4488"/>
      <c r="AQ233" s="4504">
        <f t="shared" si="271"/>
        <v>0.14312157213732166</v>
      </c>
      <c r="AR233" s="4504">
        <f t="shared" si="272"/>
        <v>0.14312157213732166</v>
      </c>
      <c r="AS233" s="4504">
        <f t="shared" si="273"/>
        <v>0.14312157213732166</v>
      </c>
      <c r="AT233" s="4504">
        <f t="shared" si="274"/>
        <v>0.14312157213732166</v>
      </c>
      <c r="AU233" s="4504">
        <f t="shared" si="275"/>
        <v>0.14312157213732166</v>
      </c>
      <c r="AV233" s="4504">
        <f t="shared" si="276"/>
        <v>0.14312157213732166</v>
      </c>
      <c r="AW233" s="4504">
        <f t="shared" si="277"/>
        <v>0.14312157213732166</v>
      </c>
      <c r="AX233" s="4504">
        <f t="shared" si="278"/>
        <v>0</v>
      </c>
      <c r="AY233" s="4504">
        <f t="shared" si="279"/>
        <v>0</v>
      </c>
      <c r="AZ233" s="4504">
        <f t="shared" si="280"/>
        <v>0</v>
      </c>
      <c r="BA233" s="4504">
        <f t="shared" si="281"/>
        <v>0</v>
      </c>
      <c r="BB233" s="4504">
        <f t="shared" si="282"/>
        <v>0</v>
      </c>
      <c r="BC233" s="4504">
        <f t="shared" si="283"/>
        <v>0</v>
      </c>
      <c r="BD233" s="4504">
        <f t="shared" si="284"/>
        <v>0</v>
      </c>
      <c r="BE233" s="4504">
        <f t="shared" si="285"/>
        <v>0</v>
      </c>
      <c r="BF233" s="4504">
        <f t="shared" si="286"/>
        <v>0</v>
      </c>
      <c r="BG233" s="4504">
        <f t="shared" si="287"/>
        <v>0</v>
      </c>
      <c r="BH233" s="4504">
        <f t="shared" si="288"/>
        <v>0</v>
      </c>
      <c r="BI233" s="4504">
        <f t="shared" si="289"/>
        <v>0</v>
      </c>
      <c r="BJ233" s="4504">
        <f t="shared" si="290"/>
        <v>0</v>
      </c>
      <c r="BK233" s="4504">
        <f t="shared" si="291"/>
        <v>0</v>
      </c>
      <c r="BL233" s="4504">
        <f t="shared" si="292"/>
        <v>0</v>
      </c>
      <c r="BM233" s="4504">
        <f t="shared" si="293"/>
        <v>0</v>
      </c>
      <c r="BN233" s="4504">
        <f t="shared" si="294"/>
        <v>0</v>
      </c>
      <c r="BO233" s="4504">
        <f t="shared" si="295"/>
        <v>0</v>
      </c>
      <c r="BP233" s="4504">
        <f t="shared" si="296"/>
        <v>0</v>
      </c>
      <c r="BQ233" s="4504">
        <f t="shared" si="297"/>
        <v>0</v>
      </c>
      <c r="BR233" s="4504">
        <f t="shared" si="298"/>
        <v>0</v>
      </c>
      <c r="BS233" s="4504">
        <f t="shared" si="299"/>
        <v>0.49497069559555912</v>
      </c>
      <c r="BT233" s="4504">
        <f t="shared" si="300"/>
        <v>0.49497069559555912</v>
      </c>
      <c r="BU233" s="4504">
        <f t="shared" si="301"/>
        <v>0.49497069559555912</v>
      </c>
      <c r="BV233" s="4504">
        <f t="shared" si="302"/>
        <v>0.49497069559555912</v>
      </c>
      <c r="BW233" s="4504">
        <f t="shared" si="303"/>
        <v>0.49497069559555912</v>
      </c>
      <c r="BX233" s="4504">
        <f t="shared" si="304"/>
        <v>0.49497069559555912</v>
      </c>
      <c r="BY233" s="4504">
        <f t="shared" si="305"/>
        <v>0.49497069559555912</v>
      </c>
    </row>
    <row r="234" spans="1:77" s="1323" customFormat="1">
      <c r="A234" s="2611">
        <v>20</v>
      </c>
      <c r="B234" s="2554" t="s">
        <v>717</v>
      </c>
      <c r="C234" s="2555">
        <v>0.04</v>
      </c>
      <c r="D234" s="2609" t="s">
        <v>434</v>
      </c>
      <c r="E234" s="4453">
        <f>+'11.3. ДА Базова година'!F195</f>
        <v>0.34764999999999996</v>
      </c>
      <c r="F234" s="2655">
        <f>$E234-SUMIF('11.2. ДА за периода'!$B$155:$B$175,$B234,'11.2. ДА за периода'!$E$155:$E$175)+SUMIF('11.2. ДА за периода'!$B$155:$B$175,$B234,'11.2. ДА за периода'!F$155:F$175)</f>
        <v>0.34764999999999996</v>
      </c>
      <c r="G234" s="1136">
        <f>$E234-SUMIF('11.2. ДА за периода'!$B$155:$B$175,$B234,'11.2. ДА за периода'!$E$155:$E$175)+SUMIF('11.2. ДА за периода'!$B$155:$B$175,$B234,'11.2. ДА за периода'!G$155:G$175)</f>
        <v>0.34764999999999996</v>
      </c>
      <c r="H234" s="1136">
        <f>$E234-SUMIF('11.2. ДА за периода'!$B$155:$B$175,$B234,'11.2. ДА за периода'!$E$155:$E$175)+SUMIF('11.2. ДА за периода'!$B$155:$B$175,$B234,'11.2. ДА за периода'!H$155:H$175)</f>
        <v>0.34764999999999996</v>
      </c>
      <c r="I234" s="1136">
        <f>$E234-SUMIF('11.2. ДА за периода'!$B$155:$B$175,$B234,'11.2. ДА за периода'!$E$155:$E$175)+SUMIF('11.2. ДА за периода'!$B$155:$B$175,$B234,'11.2. ДА за периода'!I$155:I$175)</f>
        <v>0.34764999999999996</v>
      </c>
      <c r="J234" s="1136">
        <f>$E234-SUMIF('11.2. ДА за периода'!$B$155:$B$175,$B234,'11.2. ДА за периода'!$E$155:$E$175)+SUMIF('11.2. ДА за периода'!$B$155:$B$175,$B234,'11.2. ДА за периода'!J$155:J$175)</f>
        <v>0.34764999999999996</v>
      </c>
      <c r="K234" s="2656">
        <f>$E234-SUMIF('11.2. ДА за периода'!$B$155:$B$175,$B234,'11.2. ДА за периода'!$E$155:$E$175)+SUMIF('11.2. ДА за периода'!$B$155:$B$175,$B234,'11.2. ДА за периода'!K$155:K$175)</f>
        <v>0.34764999999999996</v>
      </c>
      <c r="L234" s="4453">
        <f>+'11.3. ДА Базова година'!J195</f>
        <v>0</v>
      </c>
      <c r="M234" s="2655">
        <f>$L234-SUMIF('11.2. ДА за периода'!$B$155:$B$175,$B234,'11.2. ДА за периода'!$L$155:$L$175)+SUMIF('11.2. ДА за периода'!$B$155:$B$175,$B234,'11.2. ДА за периода'!M$155:M$175)</f>
        <v>0</v>
      </c>
      <c r="N234" s="1136">
        <f>$L234-SUMIF('11.2. ДА за периода'!$B$155:$B$175,$B234,'11.2. ДА за периода'!$L$155:$L$175)+SUMIF('11.2. ДА за периода'!$B$155:$B$175,$B234,'11.2. ДА за периода'!N$155:N$175)</f>
        <v>0</v>
      </c>
      <c r="O234" s="1136">
        <f>$L234-SUMIF('11.2. ДА за периода'!$B$155:$B$175,$B234,'11.2. ДА за периода'!$L$155:$L$175)+SUMIF('11.2. ДА за периода'!$B$155:$B$175,$B234,'11.2. ДА за периода'!O$155:O$175)</f>
        <v>0</v>
      </c>
      <c r="P234" s="1136">
        <f>$L234-SUMIF('11.2. ДА за периода'!$B$155:$B$175,$B234,'11.2. ДА за периода'!$L$155:$L$175)+SUMIF('11.2. ДА за периода'!$B$155:$B$175,$B234,'11.2. ДА за периода'!P$155:P$175)</f>
        <v>0</v>
      </c>
      <c r="Q234" s="1136">
        <f>$L234-SUMIF('11.2. ДА за периода'!$B$155:$B$175,$B234,'11.2. ДА за периода'!$L$155:$L$175)+SUMIF('11.2. ДА за периода'!$B$155:$B$175,$B234,'11.2. ДА за периода'!Q$155:Q$175)</f>
        <v>0</v>
      </c>
      <c r="R234" s="2656">
        <f>$L234-SUMIF('11.2. ДА за периода'!$B$155:$B$175,$B234,'11.2. ДА за периода'!$L$155:$L$175)+SUMIF('11.2. ДА за периода'!$B$155:$B$175,$B234,'11.2. ДА за периода'!R$155:R$175)</f>
        <v>0</v>
      </c>
      <c r="S234" s="4453">
        <f>+'11.3. ДА Базова година'!N195</f>
        <v>239.57867999999999</v>
      </c>
      <c r="T234" s="2655">
        <f>$S234-SUMIF('11.2. ДА за периода'!$B$155:$B$175,$B234,'11.2. ДА за периода'!$S$155:$S$175)+SUMIF('11.2. ДА за периода'!$B$155:$B$175,$B234,'11.2. ДА за периода'!T$155:T$175)</f>
        <v>239.57867999999999</v>
      </c>
      <c r="U234" s="1136">
        <f>$S234-SUMIF('11.2. ДА за периода'!$B$155:$B$175,$B234,'11.2. ДА за периода'!$S$155:$S$175)+SUMIF('11.2. ДА за периода'!$B$155:$B$175,$B234,'11.2. ДА за периода'!U$155:U$175)</f>
        <v>239.57867999999999</v>
      </c>
      <c r="V234" s="1136">
        <f>$S234-SUMIF('11.2. ДА за периода'!$B$155:$B$175,$B234,'11.2. ДА за периода'!$S$155:$S$175)+SUMIF('11.2. ДА за периода'!$B$155:$B$175,$B234,'11.2. ДА за периода'!V$155:V$175)</f>
        <v>239.57867999999999</v>
      </c>
      <c r="W234" s="1136">
        <f>$S234-SUMIF('11.2. ДА за периода'!$B$155:$B$175,$B234,'11.2. ДА за периода'!$S$155:$S$175)+SUMIF('11.2. ДА за периода'!$B$155:$B$175,$B234,'11.2. ДА за периода'!W$155:W$175)</f>
        <v>239.57867999999999</v>
      </c>
      <c r="X234" s="1136">
        <f>$S234-SUMIF('11.2. ДА за периода'!$B$155:$B$175,$B234,'11.2. ДА за периода'!$S$155:$S$175)+SUMIF('11.2. ДА за периода'!$B$155:$B$175,$B234,'11.2. ДА за периода'!X$155:X$175)</f>
        <v>239.57867999999999</v>
      </c>
      <c r="Y234" s="2656">
        <f>$S234-SUMIF('11.2. ДА за периода'!$B$155:$B$175,$B234,'11.2. ДА за периода'!$S$155:$S$175)+SUMIF('11.2. ДА за периода'!$B$155:$B$175,$B234,'11.2. ДА за периода'!Y$155:Y$175)</f>
        <v>239.57867999999999</v>
      </c>
      <c r="Z234" s="4453">
        <f>+'11.3. ДА Базова година'!R195</f>
        <v>0</v>
      </c>
      <c r="AA234" s="2655">
        <f>$Z234-SUMIF('11.2. ДА за периода'!$B$155:$B$175,$B234,'11.2. ДА за периода'!$Z$155:$Z$175)+SUMIF('11.2. ДА за периода'!$B$155:$B$175,$B234,'11.2. ДА за периода'!AA$155:AA$175)</f>
        <v>0</v>
      </c>
      <c r="AB234" s="1136">
        <f>$Z234-SUMIF('11.2. ДА за периода'!$B$155:$B$175,$B234,'11.2. ДА за периода'!$Z$155:$Z$175)+SUMIF('11.2. ДА за периода'!$B$155:$B$175,$B234,'11.2. ДА за периода'!AB$155:AB$175)</f>
        <v>0</v>
      </c>
      <c r="AC234" s="1136">
        <f>$Z234-SUMIF('11.2. ДА за периода'!$B$155:$B$175,$B234,'11.2. ДА за периода'!$Z$155:$Z$175)+SUMIF('11.2. ДА за периода'!$B$155:$B$175,$B234,'11.2. ДА за периода'!AC$155:AC$175)</f>
        <v>0</v>
      </c>
      <c r="AD234" s="1136">
        <f>$Z234-SUMIF('11.2. ДА за периода'!$B$155:$B$175,$B234,'11.2. ДА за периода'!$Z$155:$Z$175)+SUMIF('11.2. ДА за периода'!$B$155:$B$175,$B234,'11.2. ДА за периода'!AD$155:AD$175)</f>
        <v>0</v>
      </c>
      <c r="AE234" s="1136">
        <f>$Z234-SUMIF('11.2. ДА за периода'!$B$155:$B$175,$B234,'11.2. ДА за периода'!$Z$155:$Z$175)+SUMIF('11.2. ДА за периода'!$B$155:$B$175,$B234,'11.2. ДА за периода'!AE$155:AE$175)</f>
        <v>0</v>
      </c>
      <c r="AF234" s="2656">
        <f>$Z234-SUMIF('11.2. ДА за периода'!$B$155:$B$175,$B234,'11.2. ДА за периода'!$Z$155:$Z$175)+SUMIF('11.2. ДА за периода'!$B$155:$B$175,$B234,'11.2. ДА за периода'!AF$155:AF$175)</f>
        <v>0</v>
      </c>
      <c r="AG234" s="4453">
        <f>+'11.3. ДА Базова година'!V195</f>
        <v>0</v>
      </c>
      <c r="AH234" s="2655">
        <f>$AG234-SUMIF('11.2. ДА за периода'!$B$155:$B$175,$B234,'11.2. ДА за периода'!$AG$155:$AG$175)+SUMIF('11.2. ДА за периода'!$B$155:$B$175,$B234,'11.2. ДА за периода'!AH$155:AH$175)</f>
        <v>0</v>
      </c>
      <c r="AI234" s="1136">
        <f>$AG234-SUMIF('11.2. ДА за периода'!$B$155:$B$175,$B234,'11.2. ДА за периода'!$AG$155:$AG$175)+SUMIF('11.2. ДА за периода'!$B$155:$B$175,$B234,'11.2. ДА за периода'!AI$155:AI$175)</f>
        <v>0</v>
      </c>
      <c r="AJ234" s="1136">
        <f>$AG234-SUMIF('11.2. ДА за периода'!$B$155:$B$175,$B234,'11.2. ДА за периода'!$AG$155:$AG$175)+SUMIF('11.2. ДА за периода'!$B$155:$B$175,$B234,'11.2. ДА за периода'!AJ$155:AJ$175)</f>
        <v>0</v>
      </c>
      <c r="AK234" s="1136">
        <f>$AG234-SUMIF('11.2. ДА за периода'!$B$155:$B$175,$B234,'11.2. ДА за периода'!$AG$155:$AG$175)+SUMIF('11.2. ДА за периода'!$B$155:$B$175,$B234,'11.2. ДА за периода'!AK$155:AK$175)</f>
        <v>0</v>
      </c>
      <c r="AL234" s="1136">
        <f>$AG234-SUMIF('11.2. ДА за периода'!$B$155:$B$175,$B234,'11.2. ДА за периода'!$AG$155:$AG$175)+SUMIF('11.2. ДА за периода'!$B$155:$B$175,$B234,'11.2. ДА за периода'!AL$155:AL$175)</f>
        <v>0</v>
      </c>
      <c r="AM234" s="2656">
        <f>$AG234-SUMIF('11.2. ДА за периода'!$B$155:$B$175,$B234,'11.2. ДА за периода'!$AG$155:$AG$175)+SUMIF('11.2. ДА за периода'!$B$155:$B$175,$B234,'11.2. ДА за периода'!AM$155:AM$175)</f>
        <v>0</v>
      </c>
      <c r="AN234" s="2562"/>
      <c r="AO234" s="2589"/>
      <c r="AP234" s="4488"/>
      <c r="AQ234" s="4504">
        <f t="shared" si="271"/>
        <v>0.17775062249786533</v>
      </c>
      <c r="AR234" s="4504">
        <f t="shared" si="272"/>
        <v>0.17775062249786533</v>
      </c>
      <c r="AS234" s="4504">
        <f t="shared" si="273"/>
        <v>0.17775062249786533</v>
      </c>
      <c r="AT234" s="4504">
        <f t="shared" si="274"/>
        <v>0.17775062249786533</v>
      </c>
      <c r="AU234" s="4504">
        <f t="shared" si="275"/>
        <v>0.17775062249786533</v>
      </c>
      <c r="AV234" s="4504">
        <f t="shared" si="276"/>
        <v>0.17775062249786533</v>
      </c>
      <c r="AW234" s="4504">
        <f t="shared" si="277"/>
        <v>0.17775062249786533</v>
      </c>
      <c r="AX234" s="4504">
        <f t="shared" si="278"/>
        <v>0</v>
      </c>
      <c r="AY234" s="4504">
        <f t="shared" si="279"/>
        <v>0</v>
      </c>
      <c r="AZ234" s="4504">
        <f t="shared" si="280"/>
        <v>0</v>
      </c>
      <c r="BA234" s="4504">
        <f t="shared" si="281"/>
        <v>0</v>
      </c>
      <c r="BB234" s="4504">
        <f t="shared" si="282"/>
        <v>0</v>
      </c>
      <c r="BC234" s="4504">
        <f t="shared" si="283"/>
        <v>0</v>
      </c>
      <c r="BD234" s="4504">
        <f t="shared" si="284"/>
        <v>0</v>
      </c>
      <c r="BE234" s="4504">
        <f t="shared" si="285"/>
        <v>122.49463399170685</v>
      </c>
      <c r="BF234" s="4504">
        <f t="shared" si="286"/>
        <v>122.49463399170685</v>
      </c>
      <c r="BG234" s="4504">
        <f t="shared" si="287"/>
        <v>122.49463399170685</v>
      </c>
      <c r="BH234" s="4504">
        <f t="shared" si="288"/>
        <v>122.49463399170685</v>
      </c>
      <c r="BI234" s="4504">
        <f t="shared" si="289"/>
        <v>122.49463399170685</v>
      </c>
      <c r="BJ234" s="4504">
        <f t="shared" si="290"/>
        <v>122.49463399170685</v>
      </c>
      <c r="BK234" s="4504">
        <f t="shared" si="291"/>
        <v>122.49463399170685</v>
      </c>
      <c r="BL234" s="4504">
        <f t="shared" si="292"/>
        <v>0</v>
      </c>
      <c r="BM234" s="4504">
        <f t="shared" si="293"/>
        <v>0</v>
      </c>
      <c r="BN234" s="4504">
        <f t="shared" si="294"/>
        <v>0</v>
      </c>
      <c r="BO234" s="4504">
        <f t="shared" si="295"/>
        <v>0</v>
      </c>
      <c r="BP234" s="4504">
        <f t="shared" si="296"/>
        <v>0</v>
      </c>
      <c r="BQ234" s="4504">
        <f t="shared" si="297"/>
        <v>0</v>
      </c>
      <c r="BR234" s="4504">
        <f t="shared" si="298"/>
        <v>0</v>
      </c>
      <c r="BS234" s="4504">
        <f t="shared" si="299"/>
        <v>0</v>
      </c>
      <c r="BT234" s="4504">
        <f t="shared" si="300"/>
        <v>0</v>
      </c>
      <c r="BU234" s="4504">
        <f t="shared" si="301"/>
        <v>0</v>
      </c>
      <c r="BV234" s="4504">
        <f t="shared" si="302"/>
        <v>0</v>
      </c>
      <c r="BW234" s="4504">
        <f t="shared" si="303"/>
        <v>0</v>
      </c>
      <c r="BX234" s="4504">
        <f t="shared" si="304"/>
        <v>0</v>
      </c>
      <c r="BY234" s="4504">
        <f t="shared" si="305"/>
        <v>0</v>
      </c>
    </row>
    <row r="235" spans="1:77" s="1323" customFormat="1" ht="24.6" thickBot="1">
      <c r="A235" s="2611">
        <v>21</v>
      </c>
      <c r="B235" s="2554" t="s">
        <v>707</v>
      </c>
      <c r="C235" s="2560">
        <v>0.2</v>
      </c>
      <c r="D235" s="2590" t="s">
        <v>679</v>
      </c>
      <c r="E235" s="4453">
        <f>+'11.3. ДА Базова година'!F196</f>
        <v>0</v>
      </c>
      <c r="F235" s="2672">
        <f>$E235-SUMIF('11.2. ДА за периода'!$B$155:$B$175,$B235,'11.2. ДА за периода'!$E$155:$E$175)+SUMIF('11.2. ДА за периода'!$B$155:$B$175,$B235,'11.2. ДА за периода'!F$155:F$175)</f>
        <v>0</v>
      </c>
      <c r="G235" s="1138">
        <f>$E235-SUMIF('11.2. ДА за периода'!$B$155:$B$175,$B235,'11.2. ДА за периода'!$E$155:$E$175)+SUMIF('11.2. ДА за периода'!$B$155:$B$175,$B235,'11.2. ДА за периода'!G$155:G$175)</f>
        <v>0</v>
      </c>
      <c r="H235" s="1138">
        <f>$E235-SUMIF('11.2. ДА за периода'!$B$155:$B$175,$B235,'11.2. ДА за периода'!$E$155:$E$175)+SUMIF('11.2. ДА за периода'!$B$155:$B$175,$B235,'11.2. ДА за периода'!H$155:H$175)</f>
        <v>0</v>
      </c>
      <c r="I235" s="1138">
        <f>$E235-SUMIF('11.2. ДА за периода'!$B$155:$B$175,$B235,'11.2. ДА за периода'!$E$155:$E$175)+SUMIF('11.2. ДА за периода'!$B$155:$B$175,$B235,'11.2. ДА за периода'!I$155:I$175)</f>
        <v>0</v>
      </c>
      <c r="J235" s="1138">
        <f>$E235-SUMIF('11.2. ДА за периода'!$B$155:$B$175,$B235,'11.2. ДА за периода'!$E$155:$E$175)+SUMIF('11.2. ДА за периода'!$B$155:$B$175,$B235,'11.2. ДА за периода'!J$155:J$175)</f>
        <v>0</v>
      </c>
      <c r="K235" s="2673">
        <f>$E235-SUMIF('11.2. ДА за периода'!$B$155:$B$175,$B235,'11.2. ДА за периода'!$E$155:$E$175)+SUMIF('11.2. ДА за периода'!$B$155:$B$175,$B235,'11.2. ДА за периода'!K$155:K$175)</f>
        <v>0</v>
      </c>
      <c r="L235" s="4453">
        <f>+'11.3. ДА Базова година'!J196</f>
        <v>0</v>
      </c>
      <c r="M235" s="2672">
        <f>$L235-SUMIF('11.2. ДА за периода'!$B$155:$B$175,$B235,'11.2. ДА за периода'!$L$155:$L$175)+SUMIF('11.2. ДА за периода'!$B$155:$B$175,$B235,'11.2. ДА за периода'!M$155:M$175)</f>
        <v>0</v>
      </c>
      <c r="N235" s="1138">
        <f>$L235-SUMIF('11.2. ДА за периода'!$B$155:$B$175,$B235,'11.2. ДА за периода'!$L$155:$L$175)+SUMIF('11.2. ДА за периода'!$B$155:$B$175,$B235,'11.2. ДА за периода'!N$155:N$175)</f>
        <v>0</v>
      </c>
      <c r="O235" s="1138">
        <f>$L235-SUMIF('11.2. ДА за периода'!$B$155:$B$175,$B235,'11.2. ДА за периода'!$L$155:$L$175)+SUMIF('11.2. ДА за периода'!$B$155:$B$175,$B235,'11.2. ДА за периода'!O$155:O$175)</f>
        <v>0</v>
      </c>
      <c r="P235" s="1138">
        <f>$L235-SUMIF('11.2. ДА за периода'!$B$155:$B$175,$B235,'11.2. ДА за периода'!$L$155:$L$175)+SUMIF('11.2. ДА за периода'!$B$155:$B$175,$B235,'11.2. ДА за периода'!P$155:P$175)</f>
        <v>0</v>
      </c>
      <c r="Q235" s="1138">
        <f>$L235-SUMIF('11.2. ДА за периода'!$B$155:$B$175,$B235,'11.2. ДА за периода'!$L$155:$L$175)+SUMIF('11.2. ДА за периода'!$B$155:$B$175,$B235,'11.2. ДА за периода'!Q$155:Q$175)</f>
        <v>0</v>
      </c>
      <c r="R235" s="2673">
        <f>$L235-SUMIF('11.2. ДА за периода'!$B$155:$B$175,$B235,'11.2. ДА за периода'!$L$155:$L$175)+SUMIF('11.2. ДА за периода'!$B$155:$B$175,$B235,'11.2. ДА за периода'!R$155:R$175)</f>
        <v>0</v>
      </c>
      <c r="S235" s="4453">
        <f>+'11.3. ДА Базова година'!N196</f>
        <v>0</v>
      </c>
      <c r="T235" s="2672">
        <f>$S235-SUMIF('11.2. ДА за периода'!$B$155:$B$175,$B235,'11.2. ДА за периода'!$S$155:$S$175)+SUMIF('11.2. ДА за периода'!$B$155:$B$175,$B235,'11.2. ДА за периода'!T$155:T$175)</f>
        <v>0</v>
      </c>
      <c r="U235" s="1138">
        <f>$S235-SUMIF('11.2. ДА за периода'!$B$155:$B$175,$B235,'11.2. ДА за периода'!$S$155:$S$175)+SUMIF('11.2. ДА за периода'!$B$155:$B$175,$B235,'11.2. ДА за периода'!U$155:U$175)</f>
        <v>0</v>
      </c>
      <c r="V235" s="1138">
        <f>$S235-SUMIF('11.2. ДА за периода'!$B$155:$B$175,$B235,'11.2. ДА за периода'!$S$155:$S$175)+SUMIF('11.2. ДА за периода'!$B$155:$B$175,$B235,'11.2. ДА за периода'!V$155:V$175)</f>
        <v>0</v>
      </c>
      <c r="W235" s="1138">
        <f>$S235-SUMIF('11.2. ДА за периода'!$B$155:$B$175,$B235,'11.2. ДА за периода'!$S$155:$S$175)+SUMIF('11.2. ДА за периода'!$B$155:$B$175,$B235,'11.2. ДА за периода'!W$155:W$175)</f>
        <v>0</v>
      </c>
      <c r="X235" s="1138">
        <f>$S235-SUMIF('11.2. ДА за периода'!$B$155:$B$175,$B235,'11.2. ДА за периода'!$S$155:$S$175)+SUMIF('11.2. ДА за периода'!$B$155:$B$175,$B235,'11.2. ДА за периода'!X$155:X$175)</f>
        <v>0</v>
      </c>
      <c r="Y235" s="2673">
        <f>$S235-SUMIF('11.2. ДА за периода'!$B$155:$B$175,$B235,'11.2. ДА за периода'!$S$155:$S$175)+SUMIF('11.2. ДА за периода'!$B$155:$B$175,$B235,'11.2. ДА за периода'!Y$155:Y$175)</f>
        <v>0</v>
      </c>
      <c r="Z235" s="4453">
        <f>+'11.3. ДА Базова година'!R196</f>
        <v>0</v>
      </c>
      <c r="AA235" s="2672">
        <f>$Z235-SUMIF('11.2. ДА за периода'!$B$155:$B$175,$B235,'11.2. ДА за периода'!$Z$155:$Z$175)+SUMIF('11.2. ДА за периода'!$B$155:$B$175,$B235,'11.2. ДА за периода'!AA$155:AA$175)</f>
        <v>0</v>
      </c>
      <c r="AB235" s="1138">
        <f>$Z235-SUMIF('11.2. ДА за периода'!$B$155:$B$175,$B235,'11.2. ДА за периода'!$Z$155:$Z$175)+SUMIF('11.2. ДА за периода'!$B$155:$B$175,$B235,'11.2. ДА за периода'!AB$155:AB$175)</f>
        <v>0</v>
      </c>
      <c r="AC235" s="1138">
        <f>$Z235-SUMIF('11.2. ДА за периода'!$B$155:$B$175,$B235,'11.2. ДА за периода'!$Z$155:$Z$175)+SUMIF('11.2. ДА за периода'!$B$155:$B$175,$B235,'11.2. ДА за периода'!AC$155:AC$175)</f>
        <v>0</v>
      </c>
      <c r="AD235" s="1138">
        <f>$Z235-SUMIF('11.2. ДА за периода'!$B$155:$B$175,$B235,'11.2. ДА за периода'!$Z$155:$Z$175)+SUMIF('11.2. ДА за периода'!$B$155:$B$175,$B235,'11.2. ДА за периода'!AD$155:AD$175)</f>
        <v>0</v>
      </c>
      <c r="AE235" s="1138">
        <f>$Z235-SUMIF('11.2. ДА за периода'!$B$155:$B$175,$B235,'11.2. ДА за периода'!$Z$155:$Z$175)+SUMIF('11.2. ДА за периода'!$B$155:$B$175,$B235,'11.2. ДА за периода'!AE$155:AE$175)</f>
        <v>0</v>
      </c>
      <c r="AF235" s="2673">
        <f>$Z235-SUMIF('11.2. ДА за периода'!$B$155:$B$175,$B235,'11.2. ДА за периода'!$Z$155:$Z$175)+SUMIF('11.2. ДА за периода'!$B$155:$B$175,$B235,'11.2. ДА за периода'!AF$155:AF$175)</f>
        <v>0</v>
      </c>
      <c r="AG235" s="4453">
        <f>+'11.3. ДА Базова година'!V196</f>
        <v>0</v>
      </c>
      <c r="AH235" s="2672">
        <f>$AG235-SUMIF('11.2. ДА за периода'!$B$155:$B$175,$B235,'11.2. ДА за периода'!$AG$155:$AG$175)+SUMIF('11.2. ДА за периода'!$B$155:$B$175,$B235,'11.2. ДА за периода'!AH$155:AH$175)</f>
        <v>0</v>
      </c>
      <c r="AI235" s="1138">
        <f>$AG235-SUMIF('11.2. ДА за периода'!$B$155:$B$175,$B235,'11.2. ДА за периода'!$AG$155:$AG$175)+SUMIF('11.2. ДА за периода'!$B$155:$B$175,$B235,'11.2. ДА за периода'!AI$155:AI$175)</f>
        <v>0</v>
      </c>
      <c r="AJ235" s="1138">
        <f>$AG235-SUMIF('11.2. ДА за периода'!$B$155:$B$175,$B235,'11.2. ДА за периода'!$AG$155:$AG$175)+SUMIF('11.2. ДА за периода'!$B$155:$B$175,$B235,'11.2. ДА за периода'!AJ$155:AJ$175)</f>
        <v>0</v>
      </c>
      <c r="AK235" s="1138">
        <f>$AG235-SUMIF('11.2. ДА за периода'!$B$155:$B$175,$B235,'11.2. ДА за периода'!$AG$155:$AG$175)+SUMIF('11.2. ДА за периода'!$B$155:$B$175,$B235,'11.2. ДА за периода'!AK$155:AK$175)</f>
        <v>0</v>
      </c>
      <c r="AL235" s="1138">
        <f>$AG235-SUMIF('11.2. ДА за периода'!$B$155:$B$175,$B235,'11.2. ДА за периода'!$AG$155:$AG$175)+SUMIF('11.2. ДА за периода'!$B$155:$B$175,$B235,'11.2. ДА за периода'!AL$155:AL$175)</f>
        <v>0</v>
      </c>
      <c r="AM235" s="2673">
        <f>$AG235-SUMIF('11.2. ДА за периода'!$B$155:$B$175,$B235,'11.2. ДА за периода'!$AG$155:$AG$175)+SUMIF('11.2. ДА за периода'!$B$155:$B$175,$B235,'11.2. ДА за периода'!AM$155:AM$175)</f>
        <v>0</v>
      </c>
      <c r="AN235" s="2562"/>
      <c r="AO235" s="2589"/>
      <c r="AP235" s="4488"/>
      <c r="AQ235" s="4504">
        <f t="shared" si="271"/>
        <v>0</v>
      </c>
      <c r="AR235" s="4504">
        <f t="shared" si="272"/>
        <v>0</v>
      </c>
      <c r="AS235" s="4504">
        <f t="shared" si="273"/>
        <v>0</v>
      </c>
      <c r="AT235" s="4504">
        <f t="shared" si="274"/>
        <v>0</v>
      </c>
      <c r="AU235" s="4504">
        <f t="shared" si="275"/>
        <v>0</v>
      </c>
      <c r="AV235" s="4504">
        <f t="shared" si="276"/>
        <v>0</v>
      </c>
      <c r="AW235" s="4504">
        <f t="shared" si="277"/>
        <v>0</v>
      </c>
      <c r="AX235" s="4504">
        <f t="shared" si="278"/>
        <v>0</v>
      </c>
      <c r="AY235" s="4504">
        <f t="shared" si="279"/>
        <v>0</v>
      </c>
      <c r="AZ235" s="4504">
        <f t="shared" si="280"/>
        <v>0</v>
      </c>
      <c r="BA235" s="4504">
        <f t="shared" si="281"/>
        <v>0</v>
      </c>
      <c r="BB235" s="4504">
        <f t="shared" si="282"/>
        <v>0</v>
      </c>
      <c r="BC235" s="4504">
        <f t="shared" si="283"/>
        <v>0</v>
      </c>
      <c r="BD235" s="4504">
        <f t="shared" si="284"/>
        <v>0</v>
      </c>
      <c r="BE235" s="4504">
        <f t="shared" si="285"/>
        <v>0</v>
      </c>
      <c r="BF235" s="4504">
        <f t="shared" si="286"/>
        <v>0</v>
      </c>
      <c r="BG235" s="4504">
        <f t="shared" si="287"/>
        <v>0</v>
      </c>
      <c r="BH235" s="4504">
        <f t="shared" si="288"/>
        <v>0</v>
      </c>
      <c r="BI235" s="4504">
        <f t="shared" si="289"/>
        <v>0</v>
      </c>
      <c r="BJ235" s="4504">
        <f t="shared" si="290"/>
        <v>0</v>
      </c>
      <c r="BK235" s="4504">
        <f t="shared" si="291"/>
        <v>0</v>
      </c>
      <c r="BL235" s="4504">
        <f t="shared" si="292"/>
        <v>0</v>
      </c>
      <c r="BM235" s="4504">
        <f t="shared" si="293"/>
        <v>0</v>
      </c>
      <c r="BN235" s="4504">
        <f t="shared" si="294"/>
        <v>0</v>
      </c>
      <c r="BO235" s="4504">
        <f t="shared" si="295"/>
        <v>0</v>
      </c>
      <c r="BP235" s="4504">
        <f t="shared" si="296"/>
        <v>0</v>
      </c>
      <c r="BQ235" s="4504">
        <f t="shared" si="297"/>
        <v>0</v>
      </c>
      <c r="BR235" s="4504">
        <f t="shared" si="298"/>
        <v>0</v>
      </c>
      <c r="BS235" s="4504">
        <f t="shared" si="299"/>
        <v>0</v>
      </c>
      <c r="BT235" s="4504">
        <f t="shared" si="300"/>
        <v>0</v>
      </c>
      <c r="BU235" s="4504">
        <f t="shared" si="301"/>
        <v>0</v>
      </c>
      <c r="BV235" s="4504">
        <f t="shared" si="302"/>
        <v>0</v>
      </c>
      <c r="BW235" s="4504">
        <f t="shared" si="303"/>
        <v>0</v>
      </c>
      <c r="BX235" s="4504">
        <f t="shared" si="304"/>
        <v>0</v>
      </c>
      <c r="BY235" s="4504">
        <f t="shared" si="305"/>
        <v>0</v>
      </c>
    </row>
    <row r="236" spans="1:77" s="1323" customFormat="1" ht="13.8" thickBot="1">
      <c r="A236" s="3746" t="s">
        <v>219</v>
      </c>
      <c r="B236" s="2577"/>
      <c r="C236" s="2577"/>
      <c r="D236" s="2540" t="s">
        <v>220</v>
      </c>
      <c r="E236" s="1246">
        <f t="shared" ref="E236" si="308">SUM(E237:E257)</f>
        <v>16996.531908830941</v>
      </c>
      <c r="F236" s="2670">
        <f t="shared" ref="F236:AM236" si="309">SUM(F237:F257)</f>
        <v>18130.716668654917</v>
      </c>
      <c r="G236" s="1147">
        <f t="shared" si="309"/>
        <v>19636.946898078888</v>
      </c>
      <c r="H236" s="1147">
        <f t="shared" si="309"/>
        <v>21269.780787502856</v>
      </c>
      <c r="I236" s="1147">
        <f t="shared" si="309"/>
        <v>23139.877914726825</v>
      </c>
      <c r="J236" s="1147">
        <f t="shared" si="309"/>
        <v>25022.568541950797</v>
      </c>
      <c r="K236" s="2671">
        <f t="shared" si="309"/>
        <v>27376.870743574767</v>
      </c>
      <c r="L236" s="1246">
        <f t="shared" si="309"/>
        <v>11108.463589999999</v>
      </c>
      <c r="M236" s="2670">
        <f t="shared" si="309"/>
        <v>11960.885849599999</v>
      </c>
      <c r="N236" s="1147">
        <f t="shared" si="309"/>
        <v>12813.308109199999</v>
      </c>
      <c r="O236" s="1147">
        <f t="shared" si="309"/>
        <v>13665.730368799999</v>
      </c>
      <c r="P236" s="1148">
        <f t="shared" si="309"/>
        <v>14518.152628399999</v>
      </c>
      <c r="Q236" s="1147">
        <f t="shared" si="309"/>
        <v>15370.574888000001</v>
      </c>
      <c r="R236" s="1147">
        <f t="shared" si="309"/>
        <v>16222.997147600001</v>
      </c>
      <c r="S236" s="1246">
        <f t="shared" si="309"/>
        <v>22621.687759999993</v>
      </c>
      <c r="T236" s="2670">
        <f t="shared" si="309"/>
        <v>23836.895149999997</v>
      </c>
      <c r="U236" s="1147">
        <f t="shared" si="309"/>
        <v>25052.102539999993</v>
      </c>
      <c r="V236" s="1147">
        <f t="shared" si="309"/>
        <v>26267.309929999996</v>
      </c>
      <c r="W236" s="1148">
        <f t="shared" si="309"/>
        <v>27482.517319999995</v>
      </c>
      <c r="X236" s="1147">
        <f t="shared" si="309"/>
        <v>28697.724709999995</v>
      </c>
      <c r="Y236" s="2671">
        <f t="shared" si="309"/>
        <v>29912.932099999991</v>
      </c>
      <c r="Z236" s="1246">
        <f t="shared" si="309"/>
        <v>0</v>
      </c>
      <c r="AA236" s="2670">
        <f t="shared" si="309"/>
        <v>0</v>
      </c>
      <c r="AB236" s="1147">
        <f t="shared" si="309"/>
        <v>0</v>
      </c>
      <c r="AC236" s="1147">
        <f t="shared" si="309"/>
        <v>0</v>
      </c>
      <c r="AD236" s="1148">
        <f t="shared" si="309"/>
        <v>0</v>
      </c>
      <c r="AE236" s="1147">
        <f t="shared" si="309"/>
        <v>0</v>
      </c>
      <c r="AF236" s="2671">
        <f t="shared" si="309"/>
        <v>0</v>
      </c>
      <c r="AG236" s="1246">
        <f t="shared" si="309"/>
        <v>1465.1274611690478</v>
      </c>
      <c r="AH236" s="2670">
        <f t="shared" si="309"/>
        <v>1483.2393482530754</v>
      </c>
      <c r="AI236" s="1147">
        <f t="shared" si="309"/>
        <v>1501.3512353371025</v>
      </c>
      <c r="AJ236" s="1147">
        <f t="shared" si="309"/>
        <v>1519.46312242113</v>
      </c>
      <c r="AK236" s="1148">
        <f t="shared" si="309"/>
        <v>1537.5750095051574</v>
      </c>
      <c r="AL236" s="1147">
        <f t="shared" si="309"/>
        <v>1555.6868965891847</v>
      </c>
      <c r="AM236" s="2671">
        <f t="shared" si="309"/>
        <v>1573.798783673212</v>
      </c>
      <c r="AN236" s="2551"/>
      <c r="AO236" s="2589"/>
      <c r="AP236" s="4488"/>
      <c r="AQ236" s="4504">
        <f t="shared" si="271"/>
        <v>8690.1887734777265</v>
      </c>
      <c r="AR236" s="4504">
        <f t="shared" si="272"/>
        <v>9270.0882329522083</v>
      </c>
      <c r="AS236" s="4504">
        <f t="shared" si="273"/>
        <v>10040.211520469002</v>
      </c>
      <c r="AT236" s="4504">
        <f t="shared" si="274"/>
        <v>10875.06623147352</v>
      </c>
      <c r="AU236" s="4504">
        <f t="shared" si="275"/>
        <v>11831.231709671509</v>
      </c>
      <c r="AV236" s="4504">
        <f t="shared" si="276"/>
        <v>12793.836142175342</v>
      </c>
      <c r="AW236" s="4504">
        <f t="shared" si="277"/>
        <v>13997.57174374806</v>
      </c>
      <c r="AX236" s="4504">
        <f t="shared" si="278"/>
        <v>5679.667246130798</v>
      </c>
      <c r="AY236" s="4504">
        <f t="shared" si="279"/>
        <v>6115.5038268152139</v>
      </c>
      <c r="AZ236" s="4504">
        <f t="shared" si="280"/>
        <v>6551.3404074996288</v>
      </c>
      <c r="BA236" s="4504">
        <f t="shared" si="281"/>
        <v>6987.1769881840446</v>
      </c>
      <c r="BB236" s="4504">
        <f t="shared" si="282"/>
        <v>7423.0135688684595</v>
      </c>
      <c r="BC236" s="4504">
        <f t="shared" si="283"/>
        <v>7858.8501495528762</v>
      </c>
      <c r="BD236" s="4504">
        <f t="shared" si="284"/>
        <v>8294.6867302372921</v>
      </c>
      <c r="BE236" s="4504">
        <f t="shared" si="285"/>
        <v>11566.285290643867</v>
      </c>
      <c r="BF236" s="4504">
        <f t="shared" si="286"/>
        <v>12187.610963120514</v>
      </c>
      <c r="BG236" s="4504">
        <f t="shared" si="287"/>
        <v>12808.93663559716</v>
      </c>
      <c r="BH236" s="4504">
        <f t="shared" si="288"/>
        <v>13430.262308073809</v>
      </c>
      <c r="BI236" s="4504">
        <f t="shared" si="289"/>
        <v>14051.587980550456</v>
      </c>
      <c r="BJ236" s="4504">
        <f t="shared" si="290"/>
        <v>14672.913653027101</v>
      </c>
      <c r="BK236" s="4504">
        <f t="shared" si="291"/>
        <v>15294.239325503746</v>
      </c>
      <c r="BL236" s="4504">
        <f t="shared" si="292"/>
        <v>0</v>
      </c>
      <c r="BM236" s="4504">
        <f t="shared" si="293"/>
        <v>0</v>
      </c>
      <c r="BN236" s="4504">
        <f t="shared" si="294"/>
        <v>0</v>
      </c>
      <c r="BO236" s="4504">
        <f t="shared" si="295"/>
        <v>0</v>
      </c>
      <c r="BP236" s="4504">
        <f t="shared" si="296"/>
        <v>0</v>
      </c>
      <c r="BQ236" s="4504">
        <f t="shared" si="297"/>
        <v>0</v>
      </c>
      <c r="BR236" s="4504">
        <f t="shared" si="298"/>
        <v>0</v>
      </c>
      <c r="BS236" s="4504">
        <f t="shared" si="299"/>
        <v>749.10777581336208</v>
      </c>
      <c r="BT236" s="4504">
        <f t="shared" si="300"/>
        <v>758.36823663256791</v>
      </c>
      <c r="BU236" s="4504">
        <f t="shared" si="301"/>
        <v>767.62869745177363</v>
      </c>
      <c r="BV236" s="4504">
        <f t="shared" si="302"/>
        <v>776.88915827097958</v>
      </c>
      <c r="BW236" s="4504">
        <f t="shared" si="303"/>
        <v>786.14961909018541</v>
      </c>
      <c r="BX236" s="4504">
        <f t="shared" si="304"/>
        <v>795.41007990939124</v>
      </c>
      <c r="BY236" s="4504">
        <f t="shared" si="305"/>
        <v>804.67054072859708</v>
      </c>
    </row>
    <row r="237" spans="1:77" s="1323" customFormat="1">
      <c r="A237" s="2553">
        <v>1</v>
      </c>
      <c r="B237" s="2614" t="s">
        <v>696</v>
      </c>
      <c r="C237" s="2571">
        <v>0</v>
      </c>
      <c r="D237" s="2601" t="s">
        <v>558</v>
      </c>
      <c r="E237" s="4453">
        <f>+'11.3. ДА Базова година'!H176</f>
        <v>0</v>
      </c>
      <c r="F237" s="2643">
        <f t="shared" ref="F237:K252" si="310">E237+F215</f>
        <v>0</v>
      </c>
      <c r="G237" s="2641">
        <f t="shared" si="310"/>
        <v>0</v>
      </c>
      <c r="H237" s="2641">
        <f t="shared" si="310"/>
        <v>0</v>
      </c>
      <c r="I237" s="2641">
        <f t="shared" si="310"/>
        <v>0</v>
      </c>
      <c r="J237" s="2641">
        <f t="shared" si="310"/>
        <v>0</v>
      </c>
      <c r="K237" s="2642">
        <f t="shared" si="310"/>
        <v>0</v>
      </c>
      <c r="L237" s="4453">
        <f>+'11.3. ДА Базова година'!L176</f>
        <v>0</v>
      </c>
      <c r="M237" s="2643">
        <f t="shared" ref="M237:R252" si="311">L237+M215</f>
        <v>0</v>
      </c>
      <c r="N237" s="2641">
        <f t="shared" si="311"/>
        <v>0</v>
      </c>
      <c r="O237" s="2641">
        <f t="shared" si="311"/>
        <v>0</v>
      </c>
      <c r="P237" s="2641">
        <f t="shared" si="311"/>
        <v>0</v>
      </c>
      <c r="Q237" s="2641">
        <f t="shared" si="311"/>
        <v>0</v>
      </c>
      <c r="R237" s="2642">
        <f t="shared" si="311"/>
        <v>0</v>
      </c>
      <c r="S237" s="4453">
        <f>+'11.3. ДА Базова година'!P176</f>
        <v>0</v>
      </c>
      <c r="T237" s="2643">
        <f t="shared" ref="T237:Y252" si="312">S237+T215</f>
        <v>0</v>
      </c>
      <c r="U237" s="2641">
        <f t="shared" si="312"/>
        <v>0</v>
      </c>
      <c r="V237" s="2641">
        <f t="shared" si="312"/>
        <v>0</v>
      </c>
      <c r="W237" s="2641">
        <f t="shared" si="312"/>
        <v>0</v>
      </c>
      <c r="X237" s="2641">
        <f t="shared" si="312"/>
        <v>0</v>
      </c>
      <c r="Y237" s="2642">
        <f t="shared" si="312"/>
        <v>0</v>
      </c>
      <c r="Z237" s="4453">
        <f>+'11.3. ДА Базова година'!T176</f>
        <v>0</v>
      </c>
      <c r="AA237" s="2643">
        <f t="shared" ref="AA237:AF252" si="313">Z237+AA215</f>
        <v>0</v>
      </c>
      <c r="AB237" s="2641">
        <f t="shared" si="313"/>
        <v>0</v>
      </c>
      <c r="AC237" s="2641">
        <f t="shared" si="313"/>
        <v>0</v>
      </c>
      <c r="AD237" s="2641">
        <f t="shared" si="313"/>
        <v>0</v>
      </c>
      <c r="AE237" s="2641">
        <f t="shared" si="313"/>
        <v>0</v>
      </c>
      <c r="AF237" s="2642">
        <f t="shared" si="313"/>
        <v>0</v>
      </c>
      <c r="AG237" s="4453">
        <f>+'11.3. ДА Базова година'!X176</f>
        <v>0</v>
      </c>
      <c r="AH237" s="2643">
        <f t="shared" ref="AH237:AM252" si="314">AG237+AH215</f>
        <v>0</v>
      </c>
      <c r="AI237" s="2641">
        <f t="shared" si="314"/>
        <v>0</v>
      </c>
      <c r="AJ237" s="2641">
        <f t="shared" si="314"/>
        <v>0</v>
      </c>
      <c r="AK237" s="2641">
        <f t="shared" si="314"/>
        <v>0</v>
      </c>
      <c r="AL237" s="2641">
        <f t="shared" si="314"/>
        <v>0</v>
      </c>
      <c r="AM237" s="2642">
        <f t="shared" si="314"/>
        <v>0</v>
      </c>
      <c r="AN237" s="2551"/>
      <c r="AO237" s="2589"/>
      <c r="AP237" s="4488"/>
      <c r="AQ237" s="4504">
        <f t="shared" si="271"/>
        <v>0</v>
      </c>
      <c r="AR237" s="4504">
        <f t="shared" si="272"/>
        <v>0</v>
      </c>
      <c r="AS237" s="4504">
        <f t="shared" si="273"/>
        <v>0</v>
      </c>
      <c r="AT237" s="4504">
        <f t="shared" si="274"/>
        <v>0</v>
      </c>
      <c r="AU237" s="4504">
        <f t="shared" si="275"/>
        <v>0</v>
      </c>
      <c r="AV237" s="4504">
        <f t="shared" si="276"/>
        <v>0</v>
      </c>
      <c r="AW237" s="4504">
        <f t="shared" si="277"/>
        <v>0</v>
      </c>
      <c r="AX237" s="4504">
        <f t="shared" si="278"/>
        <v>0</v>
      </c>
      <c r="AY237" s="4504">
        <f t="shared" si="279"/>
        <v>0</v>
      </c>
      <c r="AZ237" s="4504">
        <f t="shared" si="280"/>
        <v>0</v>
      </c>
      <c r="BA237" s="4504">
        <f t="shared" si="281"/>
        <v>0</v>
      </c>
      <c r="BB237" s="4504">
        <f t="shared" si="282"/>
        <v>0</v>
      </c>
      <c r="BC237" s="4504">
        <f t="shared" si="283"/>
        <v>0</v>
      </c>
      <c r="BD237" s="4504">
        <f t="shared" si="284"/>
        <v>0</v>
      </c>
      <c r="BE237" s="4504">
        <f t="shared" si="285"/>
        <v>0</v>
      </c>
      <c r="BF237" s="4504">
        <f t="shared" si="286"/>
        <v>0</v>
      </c>
      <c r="BG237" s="4504">
        <f t="shared" si="287"/>
        <v>0</v>
      </c>
      <c r="BH237" s="4504">
        <f t="shared" si="288"/>
        <v>0</v>
      </c>
      <c r="BI237" s="4504">
        <f t="shared" si="289"/>
        <v>0</v>
      </c>
      <c r="BJ237" s="4504">
        <f t="shared" si="290"/>
        <v>0</v>
      </c>
      <c r="BK237" s="4504">
        <f t="shared" si="291"/>
        <v>0</v>
      </c>
      <c r="BL237" s="4504">
        <f t="shared" si="292"/>
        <v>0</v>
      </c>
      <c r="BM237" s="4504">
        <f t="shared" si="293"/>
        <v>0</v>
      </c>
      <c r="BN237" s="4504">
        <f t="shared" si="294"/>
        <v>0</v>
      </c>
      <c r="BO237" s="4504">
        <f t="shared" si="295"/>
        <v>0</v>
      </c>
      <c r="BP237" s="4504">
        <f t="shared" si="296"/>
        <v>0</v>
      </c>
      <c r="BQ237" s="4504">
        <f t="shared" si="297"/>
        <v>0</v>
      </c>
      <c r="BR237" s="4504">
        <f t="shared" si="298"/>
        <v>0</v>
      </c>
      <c r="BS237" s="4504">
        <f t="shared" si="299"/>
        <v>0</v>
      </c>
      <c r="BT237" s="4504">
        <f t="shared" si="300"/>
        <v>0</v>
      </c>
      <c r="BU237" s="4504">
        <f t="shared" si="301"/>
        <v>0</v>
      </c>
      <c r="BV237" s="4504">
        <f t="shared" si="302"/>
        <v>0</v>
      </c>
      <c r="BW237" s="4504">
        <f t="shared" si="303"/>
        <v>0</v>
      </c>
      <c r="BX237" s="4504">
        <f t="shared" si="304"/>
        <v>0</v>
      </c>
      <c r="BY237" s="4504">
        <f t="shared" si="305"/>
        <v>0</v>
      </c>
    </row>
    <row r="238" spans="1:77" s="1323" customFormat="1">
      <c r="A238" s="2553">
        <v>2</v>
      </c>
      <c r="B238" s="2554" t="s">
        <v>697</v>
      </c>
      <c r="C238" s="2555">
        <v>0.03</v>
      </c>
      <c r="D238" s="2609" t="s">
        <v>426</v>
      </c>
      <c r="E238" s="4453">
        <f>+'11.3. ДА Базова година'!H177</f>
        <v>540.91466117411176</v>
      </c>
      <c r="F238" s="1228">
        <f t="shared" si="310"/>
        <v>549.47134876397831</v>
      </c>
      <c r="G238" s="1224">
        <f t="shared" si="310"/>
        <v>558.02803635384487</v>
      </c>
      <c r="H238" s="1224">
        <f t="shared" si="310"/>
        <v>566.58472394371142</v>
      </c>
      <c r="I238" s="1224">
        <f t="shared" si="310"/>
        <v>575.14141153357798</v>
      </c>
      <c r="J238" s="1224">
        <f t="shared" si="310"/>
        <v>583.69809912344454</v>
      </c>
      <c r="K238" s="1229">
        <f t="shared" si="310"/>
        <v>592.25478671331109</v>
      </c>
      <c r="L238" s="4453">
        <f>+'11.3. ДА Базова година'!L177</f>
        <v>39.43497</v>
      </c>
      <c r="M238" s="1228">
        <f t="shared" si="311"/>
        <v>43.019970000000001</v>
      </c>
      <c r="N238" s="1224">
        <f t="shared" si="311"/>
        <v>46.604970000000002</v>
      </c>
      <c r="O238" s="1224">
        <f t="shared" si="311"/>
        <v>50.189970000000002</v>
      </c>
      <c r="P238" s="1224">
        <f t="shared" si="311"/>
        <v>53.774970000000003</v>
      </c>
      <c r="Q238" s="1224">
        <f t="shared" si="311"/>
        <v>57.359970000000004</v>
      </c>
      <c r="R238" s="1229">
        <f t="shared" si="311"/>
        <v>60.944970000000005</v>
      </c>
      <c r="S238" s="4453">
        <f>+'11.3. ДА Базова година'!P177</f>
        <v>1513.2978400000002</v>
      </c>
      <c r="T238" s="1228">
        <f t="shared" si="312"/>
        <v>1620.4224400000003</v>
      </c>
      <c r="U238" s="1224">
        <f t="shared" si="312"/>
        <v>1727.5470400000004</v>
      </c>
      <c r="V238" s="1224">
        <f t="shared" si="312"/>
        <v>1834.6716400000005</v>
      </c>
      <c r="W238" s="1224">
        <f t="shared" si="312"/>
        <v>1941.7962400000006</v>
      </c>
      <c r="X238" s="1224">
        <f t="shared" si="312"/>
        <v>2048.9208400000007</v>
      </c>
      <c r="Y238" s="1229">
        <f t="shared" si="312"/>
        <v>2156.0454400000008</v>
      </c>
      <c r="Z238" s="4453">
        <f>+'11.3. ДА Базова година'!T177</f>
        <v>0</v>
      </c>
      <c r="AA238" s="1228">
        <f t="shared" si="313"/>
        <v>0</v>
      </c>
      <c r="AB238" s="1224">
        <f t="shared" si="313"/>
        <v>0</v>
      </c>
      <c r="AC238" s="1224">
        <f t="shared" si="313"/>
        <v>0</v>
      </c>
      <c r="AD238" s="1224">
        <f t="shared" si="313"/>
        <v>0</v>
      </c>
      <c r="AE238" s="1224">
        <f t="shared" si="313"/>
        <v>0</v>
      </c>
      <c r="AF238" s="1229">
        <f t="shared" si="313"/>
        <v>0</v>
      </c>
      <c r="AG238" s="4453">
        <f>+'11.3. ДА Базова година'!X177</f>
        <v>70.939388825888045</v>
      </c>
      <c r="AH238" s="1228">
        <f t="shared" si="314"/>
        <v>72.831451236021508</v>
      </c>
      <c r="AI238" s="1224">
        <f t="shared" si="314"/>
        <v>74.72351364615497</v>
      </c>
      <c r="AJ238" s="1224">
        <f t="shared" si="314"/>
        <v>76.615576056288432</v>
      </c>
      <c r="AK238" s="1224">
        <f t="shared" si="314"/>
        <v>78.507638466421895</v>
      </c>
      <c r="AL238" s="1224">
        <f t="shared" si="314"/>
        <v>80.399700876555357</v>
      </c>
      <c r="AM238" s="1229">
        <f t="shared" si="314"/>
        <v>82.29176328668882</v>
      </c>
      <c r="AN238" s="2551"/>
      <c r="AO238" s="2589"/>
      <c r="AP238" s="4488"/>
      <c r="AQ238" s="4504">
        <f t="shared" si="271"/>
        <v>276.56527467832672</v>
      </c>
      <c r="AR238" s="4504">
        <f t="shared" si="272"/>
        <v>280.94023957295792</v>
      </c>
      <c r="AS238" s="4504">
        <f t="shared" si="273"/>
        <v>285.31520446758913</v>
      </c>
      <c r="AT238" s="4504">
        <f t="shared" si="274"/>
        <v>289.69016936222033</v>
      </c>
      <c r="AU238" s="4504">
        <f t="shared" si="275"/>
        <v>294.06513425685154</v>
      </c>
      <c r="AV238" s="4504">
        <f t="shared" si="276"/>
        <v>298.4400991514828</v>
      </c>
      <c r="AW238" s="4504">
        <f t="shared" si="277"/>
        <v>302.815064046114</v>
      </c>
      <c r="AX238" s="4504">
        <f t="shared" si="278"/>
        <v>20.16277999621644</v>
      </c>
      <c r="AY238" s="4504">
        <f t="shared" si="279"/>
        <v>21.995761390304885</v>
      </c>
      <c r="AZ238" s="4504">
        <f t="shared" si="280"/>
        <v>23.828742784393327</v>
      </c>
      <c r="BA238" s="4504">
        <f t="shared" si="281"/>
        <v>25.661724178481773</v>
      </c>
      <c r="BB238" s="4504">
        <f t="shared" si="282"/>
        <v>27.494705572570215</v>
      </c>
      <c r="BC238" s="4504">
        <f t="shared" si="283"/>
        <v>29.327686966658661</v>
      </c>
      <c r="BD238" s="4504">
        <f t="shared" si="284"/>
        <v>31.160668360747103</v>
      </c>
      <c r="BE238" s="4504">
        <f t="shared" si="285"/>
        <v>773.73689942377416</v>
      </c>
      <c r="BF238" s="4504">
        <f t="shared" si="286"/>
        <v>828.50883768016661</v>
      </c>
      <c r="BG238" s="4504">
        <f t="shared" si="287"/>
        <v>883.28077593655917</v>
      </c>
      <c r="BH238" s="4504">
        <f t="shared" si="288"/>
        <v>938.05271419295161</v>
      </c>
      <c r="BI238" s="4504">
        <f t="shared" si="289"/>
        <v>992.82465244934406</v>
      </c>
      <c r="BJ238" s="4504">
        <f t="shared" si="290"/>
        <v>1047.5965907057366</v>
      </c>
      <c r="BK238" s="4504">
        <f t="shared" si="291"/>
        <v>1102.3685289621289</v>
      </c>
      <c r="BL238" s="4504">
        <f t="shared" si="292"/>
        <v>0</v>
      </c>
      <c r="BM238" s="4504">
        <f t="shared" si="293"/>
        <v>0</v>
      </c>
      <c r="BN238" s="4504">
        <f t="shared" si="294"/>
        <v>0</v>
      </c>
      <c r="BO238" s="4504">
        <f t="shared" si="295"/>
        <v>0</v>
      </c>
      <c r="BP238" s="4504">
        <f t="shared" si="296"/>
        <v>0</v>
      </c>
      <c r="BQ238" s="4504">
        <f t="shared" si="297"/>
        <v>0</v>
      </c>
      <c r="BR238" s="4504">
        <f t="shared" si="298"/>
        <v>0</v>
      </c>
      <c r="BS238" s="4504">
        <f t="shared" si="299"/>
        <v>36.2707335636983</v>
      </c>
      <c r="BT238" s="4504">
        <f t="shared" si="300"/>
        <v>37.238129712716088</v>
      </c>
      <c r="BU238" s="4504">
        <f t="shared" si="301"/>
        <v>38.205525861733875</v>
      </c>
      <c r="BV238" s="4504">
        <f t="shared" si="302"/>
        <v>39.17292201075167</v>
      </c>
      <c r="BW238" s="4504">
        <f t="shared" si="303"/>
        <v>40.140318159769457</v>
      </c>
      <c r="BX238" s="4504">
        <f t="shared" si="304"/>
        <v>41.107714308787244</v>
      </c>
      <c r="BY238" s="4504">
        <f t="shared" si="305"/>
        <v>42.075110457805032</v>
      </c>
    </row>
    <row r="239" spans="1:77" s="1323" customFormat="1">
      <c r="A239" s="2553">
        <v>3</v>
      </c>
      <c r="B239" s="2554">
        <v>911301</v>
      </c>
      <c r="C239" s="2555">
        <v>0.1</v>
      </c>
      <c r="D239" s="2609" t="s">
        <v>427</v>
      </c>
      <c r="E239" s="4453">
        <f>+'11.3. ДА Базова година'!H178</f>
        <v>0</v>
      </c>
      <c r="F239" s="1228">
        <f t="shared" si="310"/>
        <v>0</v>
      </c>
      <c r="G239" s="1224">
        <f t="shared" si="310"/>
        <v>0</v>
      </c>
      <c r="H239" s="1224">
        <f t="shared" si="310"/>
        <v>0</v>
      </c>
      <c r="I239" s="1224">
        <f t="shared" si="310"/>
        <v>0</v>
      </c>
      <c r="J239" s="1224">
        <f t="shared" si="310"/>
        <v>0</v>
      </c>
      <c r="K239" s="1229">
        <f t="shared" si="310"/>
        <v>0</v>
      </c>
      <c r="L239" s="4453">
        <f>+'11.3. ДА Базова година'!L178</f>
        <v>0</v>
      </c>
      <c r="M239" s="1228">
        <f t="shared" si="311"/>
        <v>0</v>
      </c>
      <c r="N239" s="1224">
        <f t="shared" si="311"/>
        <v>0</v>
      </c>
      <c r="O239" s="1224">
        <f t="shared" si="311"/>
        <v>0</v>
      </c>
      <c r="P239" s="1224">
        <f t="shared" si="311"/>
        <v>0</v>
      </c>
      <c r="Q239" s="1224">
        <f t="shared" si="311"/>
        <v>0</v>
      </c>
      <c r="R239" s="1229">
        <f t="shared" si="311"/>
        <v>0</v>
      </c>
      <c r="S239" s="4453">
        <f>+'11.3. ДА Базова година'!P178</f>
        <v>0</v>
      </c>
      <c r="T239" s="1228">
        <f t="shared" si="312"/>
        <v>0</v>
      </c>
      <c r="U239" s="1224">
        <f t="shared" si="312"/>
        <v>0</v>
      </c>
      <c r="V239" s="1224">
        <f t="shared" si="312"/>
        <v>0</v>
      </c>
      <c r="W239" s="1224">
        <f t="shared" si="312"/>
        <v>0</v>
      </c>
      <c r="X239" s="1224">
        <f t="shared" si="312"/>
        <v>0</v>
      </c>
      <c r="Y239" s="1229">
        <f t="shared" si="312"/>
        <v>0</v>
      </c>
      <c r="Z239" s="4453">
        <f>+'11.3. ДА Базова година'!T178</f>
        <v>0</v>
      </c>
      <c r="AA239" s="1228">
        <f t="shared" si="313"/>
        <v>0</v>
      </c>
      <c r="AB239" s="1224">
        <f t="shared" si="313"/>
        <v>0</v>
      </c>
      <c r="AC239" s="1224">
        <f t="shared" si="313"/>
        <v>0</v>
      </c>
      <c r="AD239" s="1224">
        <f t="shared" si="313"/>
        <v>0</v>
      </c>
      <c r="AE239" s="1224">
        <f t="shared" si="313"/>
        <v>0</v>
      </c>
      <c r="AF239" s="1229">
        <f t="shared" si="313"/>
        <v>0</v>
      </c>
      <c r="AG239" s="4453">
        <f>+'11.3. ДА Базова година'!X178</f>
        <v>0</v>
      </c>
      <c r="AH239" s="1228">
        <f t="shared" si="314"/>
        <v>0</v>
      </c>
      <c r="AI239" s="1224">
        <f t="shared" si="314"/>
        <v>0</v>
      </c>
      <c r="AJ239" s="1224">
        <f t="shared" si="314"/>
        <v>0</v>
      </c>
      <c r="AK239" s="1224">
        <f t="shared" si="314"/>
        <v>0</v>
      </c>
      <c r="AL239" s="1224">
        <f t="shared" si="314"/>
        <v>0</v>
      </c>
      <c r="AM239" s="1229">
        <f t="shared" si="314"/>
        <v>0</v>
      </c>
      <c r="AN239" s="2551"/>
      <c r="AO239" s="2589"/>
      <c r="AP239" s="4488"/>
      <c r="AQ239" s="4504">
        <f t="shared" si="271"/>
        <v>0</v>
      </c>
      <c r="AR239" s="4504">
        <f t="shared" si="272"/>
        <v>0</v>
      </c>
      <c r="AS239" s="4504">
        <f t="shared" si="273"/>
        <v>0</v>
      </c>
      <c r="AT239" s="4504">
        <f t="shared" si="274"/>
        <v>0</v>
      </c>
      <c r="AU239" s="4504">
        <f t="shared" si="275"/>
        <v>0</v>
      </c>
      <c r="AV239" s="4504">
        <f t="shared" si="276"/>
        <v>0</v>
      </c>
      <c r="AW239" s="4504">
        <f t="shared" si="277"/>
        <v>0</v>
      </c>
      <c r="AX239" s="4504">
        <f t="shared" si="278"/>
        <v>0</v>
      </c>
      <c r="AY239" s="4504">
        <f t="shared" si="279"/>
        <v>0</v>
      </c>
      <c r="AZ239" s="4504">
        <f t="shared" si="280"/>
        <v>0</v>
      </c>
      <c r="BA239" s="4504">
        <f t="shared" si="281"/>
        <v>0</v>
      </c>
      <c r="BB239" s="4504">
        <f t="shared" si="282"/>
        <v>0</v>
      </c>
      <c r="BC239" s="4504">
        <f t="shared" si="283"/>
        <v>0</v>
      </c>
      <c r="BD239" s="4504">
        <f t="shared" si="284"/>
        <v>0</v>
      </c>
      <c r="BE239" s="4504">
        <f t="shared" si="285"/>
        <v>0</v>
      </c>
      <c r="BF239" s="4504">
        <f t="shared" si="286"/>
        <v>0</v>
      </c>
      <c r="BG239" s="4504">
        <f t="shared" si="287"/>
        <v>0</v>
      </c>
      <c r="BH239" s="4504">
        <f t="shared" si="288"/>
        <v>0</v>
      </c>
      <c r="BI239" s="4504">
        <f t="shared" si="289"/>
        <v>0</v>
      </c>
      <c r="BJ239" s="4504">
        <f t="shared" si="290"/>
        <v>0</v>
      </c>
      <c r="BK239" s="4504">
        <f t="shared" si="291"/>
        <v>0</v>
      </c>
      <c r="BL239" s="4504">
        <f t="shared" si="292"/>
        <v>0</v>
      </c>
      <c r="BM239" s="4504">
        <f t="shared" si="293"/>
        <v>0</v>
      </c>
      <c r="BN239" s="4504">
        <f t="shared" si="294"/>
        <v>0</v>
      </c>
      <c r="BO239" s="4504">
        <f t="shared" si="295"/>
        <v>0</v>
      </c>
      <c r="BP239" s="4504">
        <f t="shared" si="296"/>
        <v>0</v>
      </c>
      <c r="BQ239" s="4504">
        <f t="shared" si="297"/>
        <v>0</v>
      </c>
      <c r="BR239" s="4504">
        <f t="shared" si="298"/>
        <v>0</v>
      </c>
      <c r="BS239" s="4504">
        <f t="shared" si="299"/>
        <v>0</v>
      </c>
      <c r="BT239" s="4504">
        <f t="shared" si="300"/>
        <v>0</v>
      </c>
      <c r="BU239" s="4504">
        <f t="shared" si="301"/>
        <v>0</v>
      </c>
      <c r="BV239" s="4504">
        <f t="shared" si="302"/>
        <v>0</v>
      </c>
      <c r="BW239" s="4504">
        <f t="shared" si="303"/>
        <v>0</v>
      </c>
      <c r="BX239" s="4504">
        <f t="shared" si="304"/>
        <v>0</v>
      </c>
      <c r="BY239" s="4504">
        <f t="shared" si="305"/>
        <v>0</v>
      </c>
    </row>
    <row r="240" spans="1:77" s="1323" customFormat="1">
      <c r="A240" s="2553">
        <v>4</v>
      </c>
      <c r="B240" s="2554">
        <v>911302</v>
      </c>
      <c r="C240" s="2555">
        <v>0.1</v>
      </c>
      <c r="D240" s="2609" t="s">
        <v>428</v>
      </c>
      <c r="E240" s="4453">
        <f>+'11.3. ДА Базова година'!H179</f>
        <v>0</v>
      </c>
      <c r="F240" s="1228">
        <f t="shared" si="310"/>
        <v>0</v>
      </c>
      <c r="G240" s="1224">
        <f t="shared" si="310"/>
        <v>0</v>
      </c>
      <c r="H240" s="1224">
        <f t="shared" si="310"/>
        <v>0</v>
      </c>
      <c r="I240" s="1224">
        <f t="shared" si="310"/>
        <v>0</v>
      </c>
      <c r="J240" s="1224">
        <f t="shared" si="310"/>
        <v>0</v>
      </c>
      <c r="K240" s="1229">
        <f t="shared" si="310"/>
        <v>0</v>
      </c>
      <c r="L240" s="4453">
        <f>+'11.3. ДА Базова година'!L179</f>
        <v>0</v>
      </c>
      <c r="M240" s="1228">
        <f t="shared" si="311"/>
        <v>0</v>
      </c>
      <c r="N240" s="1224">
        <f t="shared" si="311"/>
        <v>0</v>
      </c>
      <c r="O240" s="1224">
        <f t="shared" si="311"/>
        <v>0</v>
      </c>
      <c r="P240" s="1224">
        <f t="shared" si="311"/>
        <v>0</v>
      </c>
      <c r="Q240" s="1224">
        <f t="shared" si="311"/>
        <v>0</v>
      </c>
      <c r="R240" s="1229">
        <f t="shared" si="311"/>
        <v>0</v>
      </c>
      <c r="S240" s="4453">
        <f>+'11.3. ДА Базова година'!P179</f>
        <v>0</v>
      </c>
      <c r="T240" s="1228">
        <f t="shared" si="312"/>
        <v>0</v>
      </c>
      <c r="U240" s="1224">
        <f t="shared" si="312"/>
        <v>0</v>
      </c>
      <c r="V240" s="1224">
        <f t="shared" si="312"/>
        <v>0</v>
      </c>
      <c r="W240" s="1224">
        <f t="shared" si="312"/>
        <v>0</v>
      </c>
      <c r="X240" s="1224">
        <f t="shared" si="312"/>
        <v>0</v>
      </c>
      <c r="Y240" s="1229">
        <f t="shared" si="312"/>
        <v>0</v>
      </c>
      <c r="Z240" s="4453">
        <f>+'11.3. ДА Базова година'!T179</f>
        <v>0</v>
      </c>
      <c r="AA240" s="1228">
        <f t="shared" si="313"/>
        <v>0</v>
      </c>
      <c r="AB240" s="1224">
        <f t="shared" si="313"/>
        <v>0</v>
      </c>
      <c r="AC240" s="1224">
        <f t="shared" si="313"/>
        <v>0</v>
      </c>
      <c r="AD240" s="1224">
        <f t="shared" si="313"/>
        <v>0</v>
      </c>
      <c r="AE240" s="1224">
        <f t="shared" si="313"/>
        <v>0</v>
      </c>
      <c r="AF240" s="1229">
        <f t="shared" si="313"/>
        <v>0</v>
      </c>
      <c r="AG240" s="4453">
        <f>+'11.3. ДА Базова година'!X179</f>
        <v>0</v>
      </c>
      <c r="AH240" s="1228">
        <f t="shared" si="314"/>
        <v>0</v>
      </c>
      <c r="AI240" s="1224">
        <f t="shared" si="314"/>
        <v>0</v>
      </c>
      <c r="AJ240" s="1224">
        <f t="shared" si="314"/>
        <v>0</v>
      </c>
      <c r="AK240" s="1224">
        <f t="shared" si="314"/>
        <v>0</v>
      </c>
      <c r="AL240" s="1224">
        <f t="shared" si="314"/>
        <v>0</v>
      </c>
      <c r="AM240" s="1229">
        <f t="shared" si="314"/>
        <v>0</v>
      </c>
      <c r="AN240" s="2551"/>
      <c r="AO240" s="2589"/>
      <c r="AP240" s="4488"/>
      <c r="AQ240" s="4504">
        <f t="shared" si="271"/>
        <v>0</v>
      </c>
      <c r="AR240" s="4504">
        <f t="shared" si="272"/>
        <v>0</v>
      </c>
      <c r="AS240" s="4504">
        <f t="shared" si="273"/>
        <v>0</v>
      </c>
      <c r="AT240" s="4504">
        <f t="shared" si="274"/>
        <v>0</v>
      </c>
      <c r="AU240" s="4504">
        <f t="shared" si="275"/>
        <v>0</v>
      </c>
      <c r="AV240" s="4504">
        <f t="shared" si="276"/>
        <v>0</v>
      </c>
      <c r="AW240" s="4504">
        <f t="shared" si="277"/>
        <v>0</v>
      </c>
      <c r="AX240" s="4504">
        <f t="shared" si="278"/>
        <v>0</v>
      </c>
      <c r="AY240" s="4504">
        <f t="shared" si="279"/>
        <v>0</v>
      </c>
      <c r="AZ240" s="4504">
        <f t="shared" si="280"/>
        <v>0</v>
      </c>
      <c r="BA240" s="4504">
        <f t="shared" si="281"/>
        <v>0</v>
      </c>
      <c r="BB240" s="4504">
        <f t="shared" si="282"/>
        <v>0</v>
      </c>
      <c r="BC240" s="4504">
        <f t="shared" si="283"/>
        <v>0</v>
      </c>
      <c r="BD240" s="4504">
        <f t="shared" si="284"/>
        <v>0</v>
      </c>
      <c r="BE240" s="4504">
        <f t="shared" si="285"/>
        <v>0</v>
      </c>
      <c r="BF240" s="4504">
        <f t="shared" si="286"/>
        <v>0</v>
      </c>
      <c r="BG240" s="4504">
        <f t="shared" si="287"/>
        <v>0</v>
      </c>
      <c r="BH240" s="4504">
        <f t="shared" si="288"/>
        <v>0</v>
      </c>
      <c r="BI240" s="4504">
        <f t="shared" si="289"/>
        <v>0</v>
      </c>
      <c r="BJ240" s="4504">
        <f t="shared" si="290"/>
        <v>0</v>
      </c>
      <c r="BK240" s="4504">
        <f t="shared" si="291"/>
        <v>0</v>
      </c>
      <c r="BL240" s="4504">
        <f t="shared" si="292"/>
        <v>0</v>
      </c>
      <c r="BM240" s="4504">
        <f t="shared" si="293"/>
        <v>0</v>
      </c>
      <c r="BN240" s="4504">
        <f t="shared" si="294"/>
        <v>0</v>
      </c>
      <c r="BO240" s="4504">
        <f t="shared" si="295"/>
        <v>0</v>
      </c>
      <c r="BP240" s="4504">
        <f t="shared" si="296"/>
        <v>0</v>
      </c>
      <c r="BQ240" s="4504">
        <f t="shared" si="297"/>
        <v>0</v>
      </c>
      <c r="BR240" s="4504">
        <f t="shared" si="298"/>
        <v>0</v>
      </c>
      <c r="BS240" s="4504">
        <f t="shared" si="299"/>
        <v>0</v>
      </c>
      <c r="BT240" s="4504">
        <f t="shared" si="300"/>
        <v>0</v>
      </c>
      <c r="BU240" s="4504">
        <f t="shared" si="301"/>
        <v>0</v>
      </c>
      <c r="BV240" s="4504">
        <f t="shared" si="302"/>
        <v>0</v>
      </c>
      <c r="BW240" s="4504">
        <f t="shared" si="303"/>
        <v>0</v>
      </c>
      <c r="BX240" s="4504">
        <f t="shared" si="304"/>
        <v>0</v>
      </c>
      <c r="BY240" s="4504">
        <f t="shared" si="305"/>
        <v>0</v>
      </c>
    </row>
    <row r="241" spans="1:77" s="1323" customFormat="1">
      <c r="A241" s="2553">
        <v>5</v>
      </c>
      <c r="B241" s="2554" t="s">
        <v>714</v>
      </c>
      <c r="C241" s="2555">
        <v>0.1</v>
      </c>
      <c r="D241" s="2590" t="s">
        <v>407</v>
      </c>
      <c r="E241" s="4453">
        <f>+'11.3. ДА Базова година'!H180</f>
        <v>186.85057218193634</v>
      </c>
      <c r="F241" s="1228">
        <f t="shared" si="310"/>
        <v>187.2199296093585</v>
      </c>
      <c r="G241" s="1224">
        <f t="shared" si="310"/>
        <v>187.58928703678066</v>
      </c>
      <c r="H241" s="1224">
        <f t="shared" si="310"/>
        <v>187.95864446420282</v>
      </c>
      <c r="I241" s="1224">
        <f t="shared" si="310"/>
        <v>188.32800189162498</v>
      </c>
      <c r="J241" s="1224">
        <f t="shared" si="310"/>
        <v>188.69735931904714</v>
      </c>
      <c r="K241" s="1229">
        <f t="shared" si="310"/>
        <v>189.0667167464693</v>
      </c>
      <c r="L241" s="4453">
        <f>+'11.3. ДА Базова година'!L180</f>
        <v>0</v>
      </c>
      <c r="M241" s="1228">
        <f t="shared" si="311"/>
        <v>0</v>
      </c>
      <c r="N241" s="1224">
        <f t="shared" si="311"/>
        <v>0</v>
      </c>
      <c r="O241" s="1224">
        <f t="shared" si="311"/>
        <v>0</v>
      </c>
      <c r="P241" s="1224">
        <f t="shared" si="311"/>
        <v>0</v>
      </c>
      <c r="Q241" s="1224">
        <f t="shared" si="311"/>
        <v>0</v>
      </c>
      <c r="R241" s="1229">
        <f t="shared" si="311"/>
        <v>0</v>
      </c>
      <c r="S241" s="4453">
        <f>+'11.3. ДА Базова година'!P180</f>
        <v>1417.2899799999998</v>
      </c>
      <c r="T241" s="1228">
        <f t="shared" si="312"/>
        <v>1417.2899799999998</v>
      </c>
      <c r="U241" s="1224">
        <f t="shared" si="312"/>
        <v>1417.2899799999998</v>
      </c>
      <c r="V241" s="1224">
        <f t="shared" si="312"/>
        <v>1417.2899799999998</v>
      </c>
      <c r="W241" s="1224">
        <f t="shared" si="312"/>
        <v>1417.2899799999998</v>
      </c>
      <c r="X241" s="1224">
        <f t="shared" si="312"/>
        <v>1417.2899799999998</v>
      </c>
      <c r="Y241" s="1229">
        <f t="shared" si="312"/>
        <v>1417.2899799999998</v>
      </c>
      <c r="Z241" s="4453">
        <f>+'11.3. ДА Базова година'!T180</f>
        <v>0</v>
      </c>
      <c r="AA241" s="1228">
        <f t="shared" si="313"/>
        <v>0</v>
      </c>
      <c r="AB241" s="1224">
        <f t="shared" si="313"/>
        <v>0</v>
      </c>
      <c r="AC241" s="1224">
        <f t="shared" si="313"/>
        <v>0</v>
      </c>
      <c r="AD241" s="1224">
        <f t="shared" si="313"/>
        <v>0</v>
      </c>
      <c r="AE241" s="1224">
        <f t="shared" si="313"/>
        <v>0</v>
      </c>
      <c r="AF241" s="1229">
        <f t="shared" si="313"/>
        <v>0</v>
      </c>
      <c r="AG241" s="4453">
        <f>+'11.3. ДА Базова година'!X180</f>
        <v>17.368827818063703</v>
      </c>
      <c r="AH241" s="1228">
        <f t="shared" si="314"/>
        <v>17.608600390641556</v>
      </c>
      <c r="AI241" s="1224">
        <f t="shared" si="314"/>
        <v>17.848372963219408</v>
      </c>
      <c r="AJ241" s="1224">
        <f t="shared" si="314"/>
        <v>18.08814553579726</v>
      </c>
      <c r="AK241" s="1224">
        <f t="shared" si="314"/>
        <v>18.327918108375112</v>
      </c>
      <c r="AL241" s="1224">
        <f t="shared" si="314"/>
        <v>18.567690680952964</v>
      </c>
      <c r="AM241" s="1229">
        <f t="shared" si="314"/>
        <v>18.807463253530816</v>
      </c>
      <c r="AN241" s="2551"/>
      <c r="AO241" s="2589"/>
      <c r="AP241" s="4488"/>
      <c r="AQ241" s="4504">
        <f t="shared" si="271"/>
        <v>95.53518055349204</v>
      </c>
      <c r="AR241" s="4504">
        <f t="shared" si="272"/>
        <v>95.724030007392514</v>
      </c>
      <c r="AS241" s="4504">
        <f t="shared" si="273"/>
        <v>95.912879461292988</v>
      </c>
      <c r="AT241" s="4504">
        <f t="shared" si="274"/>
        <v>96.101728915193462</v>
      </c>
      <c r="AU241" s="4504">
        <f t="shared" si="275"/>
        <v>96.290578369093936</v>
      </c>
      <c r="AV241" s="4504">
        <f t="shared" si="276"/>
        <v>96.479427822994396</v>
      </c>
      <c r="AW241" s="4504">
        <f t="shared" si="277"/>
        <v>96.668277276894869</v>
      </c>
      <c r="AX241" s="4504">
        <f t="shared" si="278"/>
        <v>0</v>
      </c>
      <c r="AY241" s="4504">
        <f t="shared" si="279"/>
        <v>0</v>
      </c>
      <c r="AZ241" s="4504">
        <f t="shared" si="280"/>
        <v>0</v>
      </c>
      <c r="BA241" s="4504">
        <f t="shared" si="281"/>
        <v>0</v>
      </c>
      <c r="BB241" s="4504">
        <f t="shared" si="282"/>
        <v>0</v>
      </c>
      <c r="BC241" s="4504">
        <f t="shared" si="283"/>
        <v>0</v>
      </c>
      <c r="BD241" s="4504">
        <f t="shared" si="284"/>
        <v>0</v>
      </c>
      <c r="BE241" s="4504">
        <f t="shared" si="285"/>
        <v>724.64886007475081</v>
      </c>
      <c r="BF241" s="4504">
        <f t="shared" si="286"/>
        <v>724.64886007475081</v>
      </c>
      <c r="BG241" s="4504">
        <f t="shared" si="287"/>
        <v>724.64886007475081</v>
      </c>
      <c r="BH241" s="4504">
        <f t="shared" si="288"/>
        <v>724.64886007475081</v>
      </c>
      <c r="BI241" s="4504">
        <f t="shared" si="289"/>
        <v>724.64886007475081</v>
      </c>
      <c r="BJ241" s="4504">
        <f t="shared" si="290"/>
        <v>724.64886007475081</v>
      </c>
      <c r="BK241" s="4504">
        <f t="shared" si="291"/>
        <v>724.64886007475081</v>
      </c>
      <c r="BL241" s="4504">
        <f t="shared" si="292"/>
        <v>0</v>
      </c>
      <c r="BM241" s="4504">
        <f t="shared" si="293"/>
        <v>0</v>
      </c>
      <c r="BN241" s="4504">
        <f t="shared" si="294"/>
        <v>0</v>
      </c>
      <c r="BO241" s="4504">
        <f t="shared" si="295"/>
        <v>0</v>
      </c>
      <c r="BP241" s="4504">
        <f t="shared" si="296"/>
        <v>0</v>
      </c>
      <c r="BQ241" s="4504">
        <f t="shared" si="297"/>
        <v>0</v>
      </c>
      <c r="BR241" s="4504">
        <f t="shared" si="298"/>
        <v>0</v>
      </c>
      <c r="BS241" s="4504">
        <f t="shared" si="299"/>
        <v>8.8805406492710013</v>
      </c>
      <c r="BT241" s="4504">
        <f t="shared" si="300"/>
        <v>9.0031344189635885</v>
      </c>
      <c r="BU241" s="4504">
        <f t="shared" si="301"/>
        <v>9.1257281886561756</v>
      </c>
      <c r="BV241" s="4504">
        <f t="shared" si="302"/>
        <v>9.2483219583487628</v>
      </c>
      <c r="BW241" s="4504">
        <f t="shared" si="303"/>
        <v>9.37091572804135</v>
      </c>
      <c r="BX241" s="4504">
        <f t="shared" si="304"/>
        <v>9.4935094977339354</v>
      </c>
      <c r="BY241" s="4504">
        <f t="shared" si="305"/>
        <v>9.6161032674265225</v>
      </c>
    </row>
    <row r="242" spans="1:77" s="1323" customFormat="1">
      <c r="A242" s="2553">
        <v>6</v>
      </c>
      <c r="B242" s="2554" t="s">
        <v>715</v>
      </c>
      <c r="C242" s="2555">
        <v>0.1</v>
      </c>
      <c r="D242" s="2590" t="s">
        <v>1001</v>
      </c>
      <c r="E242" s="4453">
        <f>+'11.3. ДА Базова година'!H181</f>
        <v>103.25675850125268</v>
      </c>
      <c r="F242" s="1228">
        <f t="shared" si="310"/>
        <v>103.25707850125268</v>
      </c>
      <c r="G242" s="1224">
        <f t="shared" si="310"/>
        <v>103.25739850125268</v>
      </c>
      <c r="H242" s="1224">
        <f t="shared" si="310"/>
        <v>103.25771850125268</v>
      </c>
      <c r="I242" s="1224">
        <f t="shared" si="310"/>
        <v>103.25803850125268</v>
      </c>
      <c r="J242" s="1224">
        <f t="shared" si="310"/>
        <v>103.25835850125269</v>
      </c>
      <c r="K242" s="1229">
        <f t="shared" si="310"/>
        <v>103.25867850125269</v>
      </c>
      <c r="L242" s="4453">
        <f>+'11.3. ДА Базова година'!L181</f>
        <v>0</v>
      </c>
      <c r="M242" s="1228">
        <f t="shared" si="311"/>
        <v>0</v>
      </c>
      <c r="N242" s="1224">
        <f t="shared" si="311"/>
        <v>0</v>
      </c>
      <c r="O242" s="1224">
        <f t="shared" si="311"/>
        <v>0</v>
      </c>
      <c r="P242" s="1224">
        <f t="shared" si="311"/>
        <v>0</v>
      </c>
      <c r="Q242" s="1224">
        <f t="shared" si="311"/>
        <v>0</v>
      </c>
      <c r="R242" s="1229">
        <f t="shared" si="311"/>
        <v>0</v>
      </c>
      <c r="S242" s="4453">
        <f>+'11.3. ДА Базова година'!P181</f>
        <v>42.437559999999998</v>
      </c>
      <c r="T242" s="1228">
        <f t="shared" si="312"/>
        <v>42.437559999999998</v>
      </c>
      <c r="U242" s="1224">
        <f t="shared" si="312"/>
        <v>42.437559999999998</v>
      </c>
      <c r="V242" s="1224">
        <f t="shared" si="312"/>
        <v>42.437559999999998</v>
      </c>
      <c r="W242" s="1224">
        <f t="shared" si="312"/>
        <v>42.437559999999998</v>
      </c>
      <c r="X242" s="1224">
        <f t="shared" si="312"/>
        <v>42.437559999999998</v>
      </c>
      <c r="Y242" s="1229">
        <f t="shared" si="312"/>
        <v>42.437559999999998</v>
      </c>
      <c r="Z242" s="4453">
        <f>+'11.3. ДА Базова година'!T181</f>
        <v>0</v>
      </c>
      <c r="AA242" s="1228">
        <f t="shared" si="313"/>
        <v>0</v>
      </c>
      <c r="AB242" s="1224">
        <f t="shared" si="313"/>
        <v>0</v>
      </c>
      <c r="AC242" s="1224">
        <f t="shared" si="313"/>
        <v>0</v>
      </c>
      <c r="AD242" s="1224">
        <f t="shared" si="313"/>
        <v>0</v>
      </c>
      <c r="AE242" s="1224">
        <f t="shared" si="313"/>
        <v>0</v>
      </c>
      <c r="AF242" s="1229">
        <f t="shared" si="313"/>
        <v>0</v>
      </c>
      <c r="AG242" s="4453">
        <f>+'11.3. ДА Базова година'!X181</f>
        <v>45.168631498747281</v>
      </c>
      <c r="AH242" s="1228">
        <f t="shared" si="314"/>
        <v>45.168631498747281</v>
      </c>
      <c r="AI242" s="1224">
        <f t="shared" si="314"/>
        <v>45.168631498747281</v>
      </c>
      <c r="AJ242" s="1224">
        <f t="shared" si="314"/>
        <v>45.168631498747281</v>
      </c>
      <c r="AK242" s="1224">
        <f t="shared" si="314"/>
        <v>45.168631498747281</v>
      </c>
      <c r="AL242" s="1224">
        <f t="shared" si="314"/>
        <v>45.168631498747281</v>
      </c>
      <c r="AM242" s="1229">
        <f t="shared" si="314"/>
        <v>45.168631498747281</v>
      </c>
      <c r="AN242" s="2551"/>
      <c r="AO242" s="2589"/>
      <c r="AP242" s="4488"/>
      <c r="AQ242" s="4504">
        <f t="shared" si="271"/>
        <v>52.794342300329106</v>
      </c>
      <c r="AR242" s="4504">
        <f t="shared" si="272"/>
        <v>52.794505913731093</v>
      </c>
      <c r="AS242" s="4504">
        <f t="shared" si="273"/>
        <v>52.794669527133074</v>
      </c>
      <c r="AT242" s="4504">
        <f t="shared" si="274"/>
        <v>52.794833140535061</v>
      </c>
      <c r="AU242" s="4504">
        <f t="shared" si="275"/>
        <v>52.794996753937042</v>
      </c>
      <c r="AV242" s="4504">
        <f t="shared" si="276"/>
        <v>52.79516036733903</v>
      </c>
      <c r="AW242" s="4504">
        <f t="shared" si="277"/>
        <v>52.79532398074101</v>
      </c>
      <c r="AX242" s="4504">
        <f t="shared" si="278"/>
        <v>0</v>
      </c>
      <c r="AY242" s="4504">
        <f t="shared" si="279"/>
        <v>0</v>
      </c>
      <c r="AZ242" s="4504">
        <f t="shared" si="280"/>
        <v>0</v>
      </c>
      <c r="BA242" s="4504">
        <f t="shared" si="281"/>
        <v>0</v>
      </c>
      <c r="BB242" s="4504">
        <f t="shared" si="282"/>
        <v>0</v>
      </c>
      <c r="BC242" s="4504">
        <f t="shared" si="283"/>
        <v>0</v>
      </c>
      <c r="BD242" s="4504">
        <f t="shared" si="284"/>
        <v>0</v>
      </c>
      <c r="BE242" s="4504">
        <f t="shared" si="285"/>
        <v>21.697979885777393</v>
      </c>
      <c r="BF242" s="4504">
        <f t="shared" si="286"/>
        <v>21.697979885777393</v>
      </c>
      <c r="BG242" s="4504">
        <f t="shared" si="287"/>
        <v>21.697979885777393</v>
      </c>
      <c r="BH242" s="4504">
        <f t="shared" si="288"/>
        <v>21.697979885777393</v>
      </c>
      <c r="BI242" s="4504">
        <f t="shared" si="289"/>
        <v>21.697979885777393</v>
      </c>
      <c r="BJ242" s="4504">
        <f t="shared" si="290"/>
        <v>21.697979885777393</v>
      </c>
      <c r="BK242" s="4504">
        <f t="shared" si="291"/>
        <v>21.697979885777393</v>
      </c>
      <c r="BL242" s="4504">
        <f t="shared" si="292"/>
        <v>0</v>
      </c>
      <c r="BM242" s="4504">
        <f t="shared" si="293"/>
        <v>0</v>
      </c>
      <c r="BN242" s="4504">
        <f t="shared" si="294"/>
        <v>0</v>
      </c>
      <c r="BO242" s="4504">
        <f t="shared" si="295"/>
        <v>0</v>
      </c>
      <c r="BP242" s="4504">
        <f t="shared" si="296"/>
        <v>0</v>
      </c>
      <c r="BQ242" s="4504">
        <f t="shared" si="297"/>
        <v>0</v>
      </c>
      <c r="BR242" s="4504">
        <f t="shared" si="298"/>
        <v>0</v>
      </c>
      <c r="BS242" s="4504">
        <f t="shared" si="299"/>
        <v>23.094354570053266</v>
      </c>
      <c r="BT242" s="4504">
        <f t="shared" si="300"/>
        <v>23.094354570053266</v>
      </c>
      <c r="BU242" s="4504">
        <f t="shared" si="301"/>
        <v>23.094354570053266</v>
      </c>
      <c r="BV242" s="4504">
        <f t="shared" si="302"/>
        <v>23.094354570053266</v>
      </c>
      <c r="BW242" s="4504">
        <f t="shared" si="303"/>
        <v>23.094354570053266</v>
      </c>
      <c r="BX242" s="4504">
        <f t="shared" si="304"/>
        <v>23.094354570053266</v>
      </c>
      <c r="BY242" s="4504">
        <f t="shared" si="305"/>
        <v>23.094354570053266</v>
      </c>
    </row>
    <row r="243" spans="1:77" s="1323" customFormat="1" ht="24">
      <c r="A243" s="2553">
        <v>7</v>
      </c>
      <c r="B243" s="2554" t="s">
        <v>706</v>
      </c>
      <c r="C243" s="2555">
        <v>0.1</v>
      </c>
      <c r="D243" s="2590" t="s">
        <v>695</v>
      </c>
      <c r="E243" s="4453">
        <f>+'11.3. ДА Базова година'!H182</f>
        <v>94.690167820852992</v>
      </c>
      <c r="F243" s="1228">
        <f t="shared" si="310"/>
        <v>94.690167820852992</v>
      </c>
      <c r="G243" s="1224">
        <f t="shared" si="310"/>
        <v>94.690167820852992</v>
      </c>
      <c r="H243" s="1224">
        <f t="shared" si="310"/>
        <v>94.690167820852992</v>
      </c>
      <c r="I243" s="1224">
        <f t="shared" si="310"/>
        <v>94.690167820852992</v>
      </c>
      <c r="J243" s="1224">
        <f t="shared" si="310"/>
        <v>94.690167820852992</v>
      </c>
      <c r="K243" s="1229">
        <f t="shared" si="310"/>
        <v>94.690167820852992</v>
      </c>
      <c r="L243" s="4453">
        <f>+'11.3. ДА Базова година'!L182</f>
        <v>0</v>
      </c>
      <c r="M243" s="1228">
        <f t="shared" si="311"/>
        <v>0</v>
      </c>
      <c r="N243" s="1224">
        <f t="shared" si="311"/>
        <v>0</v>
      </c>
      <c r="O243" s="1224">
        <f t="shared" si="311"/>
        <v>0</v>
      </c>
      <c r="P243" s="1224">
        <f t="shared" si="311"/>
        <v>0</v>
      </c>
      <c r="Q243" s="1224">
        <f t="shared" si="311"/>
        <v>0</v>
      </c>
      <c r="R243" s="1229">
        <f t="shared" si="311"/>
        <v>0</v>
      </c>
      <c r="S243" s="4453">
        <f>+'11.3. ДА Базова година'!P182</f>
        <v>121.90919</v>
      </c>
      <c r="T243" s="1228">
        <f t="shared" si="312"/>
        <v>121.90919</v>
      </c>
      <c r="U243" s="1224">
        <f t="shared" si="312"/>
        <v>121.90919</v>
      </c>
      <c r="V243" s="1224">
        <f t="shared" si="312"/>
        <v>121.90919</v>
      </c>
      <c r="W243" s="1224">
        <f t="shared" si="312"/>
        <v>121.90919</v>
      </c>
      <c r="X243" s="1224">
        <f t="shared" si="312"/>
        <v>121.90919</v>
      </c>
      <c r="Y243" s="1229">
        <f t="shared" si="312"/>
        <v>121.90919</v>
      </c>
      <c r="Z243" s="4453">
        <f>+'11.3. ДА Базова година'!T182</f>
        <v>0</v>
      </c>
      <c r="AA243" s="1228">
        <f t="shared" si="313"/>
        <v>0</v>
      </c>
      <c r="AB243" s="1224">
        <f t="shared" si="313"/>
        <v>0</v>
      </c>
      <c r="AC243" s="1224">
        <f t="shared" si="313"/>
        <v>0</v>
      </c>
      <c r="AD243" s="1224">
        <f t="shared" si="313"/>
        <v>0</v>
      </c>
      <c r="AE243" s="1224">
        <f t="shared" si="313"/>
        <v>0</v>
      </c>
      <c r="AF243" s="1229">
        <f t="shared" si="313"/>
        <v>0</v>
      </c>
      <c r="AG243" s="4453">
        <f>+'11.3. ДА Базова година'!X182</f>
        <v>18.195752179147036</v>
      </c>
      <c r="AH243" s="1228">
        <f t="shared" si="314"/>
        <v>18.195752179147036</v>
      </c>
      <c r="AI243" s="1224">
        <f t="shared" si="314"/>
        <v>18.195752179147036</v>
      </c>
      <c r="AJ243" s="1224">
        <f t="shared" si="314"/>
        <v>18.195752179147036</v>
      </c>
      <c r="AK243" s="1224">
        <f t="shared" si="314"/>
        <v>18.195752179147036</v>
      </c>
      <c r="AL243" s="1224">
        <f t="shared" si="314"/>
        <v>18.195752179147036</v>
      </c>
      <c r="AM243" s="1229">
        <f t="shared" si="314"/>
        <v>18.195752179147036</v>
      </c>
      <c r="AN243" s="2551"/>
      <c r="AO243" s="2589"/>
      <c r="AP243" s="4488"/>
      <c r="AQ243" s="4504">
        <f t="shared" si="271"/>
        <v>48.414314035909563</v>
      </c>
      <c r="AR243" s="4504">
        <f t="shared" si="272"/>
        <v>48.414314035909563</v>
      </c>
      <c r="AS243" s="4504">
        <f t="shared" si="273"/>
        <v>48.414314035909563</v>
      </c>
      <c r="AT243" s="4504">
        <f t="shared" si="274"/>
        <v>48.414314035909563</v>
      </c>
      <c r="AU243" s="4504">
        <f t="shared" si="275"/>
        <v>48.414314035909563</v>
      </c>
      <c r="AV243" s="4504">
        <f t="shared" si="276"/>
        <v>48.414314035909563</v>
      </c>
      <c r="AW243" s="4504">
        <f t="shared" si="277"/>
        <v>48.414314035909563</v>
      </c>
      <c r="AX243" s="4504">
        <f t="shared" si="278"/>
        <v>0</v>
      </c>
      <c r="AY243" s="4504">
        <f t="shared" si="279"/>
        <v>0</v>
      </c>
      <c r="AZ243" s="4504">
        <f t="shared" si="280"/>
        <v>0</v>
      </c>
      <c r="BA243" s="4504">
        <f t="shared" si="281"/>
        <v>0</v>
      </c>
      <c r="BB243" s="4504">
        <f t="shared" si="282"/>
        <v>0</v>
      </c>
      <c r="BC243" s="4504">
        <f t="shared" si="283"/>
        <v>0</v>
      </c>
      <c r="BD243" s="4504">
        <f t="shared" si="284"/>
        <v>0</v>
      </c>
      <c r="BE243" s="4504">
        <f t="shared" si="285"/>
        <v>62.331179090207229</v>
      </c>
      <c r="BF243" s="4504">
        <f t="shared" si="286"/>
        <v>62.331179090207229</v>
      </c>
      <c r="BG243" s="4504">
        <f t="shared" si="287"/>
        <v>62.331179090207229</v>
      </c>
      <c r="BH243" s="4504">
        <f t="shared" si="288"/>
        <v>62.331179090207229</v>
      </c>
      <c r="BI243" s="4504">
        <f t="shared" si="289"/>
        <v>62.331179090207229</v>
      </c>
      <c r="BJ243" s="4504">
        <f t="shared" si="290"/>
        <v>62.331179090207229</v>
      </c>
      <c r="BK243" s="4504">
        <f t="shared" si="291"/>
        <v>62.331179090207229</v>
      </c>
      <c r="BL243" s="4504">
        <f t="shared" si="292"/>
        <v>0</v>
      </c>
      <c r="BM243" s="4504">
        <f t="shared" si="293"/>
        <v>0</v>
      </c>
      <c r="BN243" s="4504">
        <f t="shared" si="294"/>
        <v>0</v>
      </c>
      <c r="BO243" s="4504">
        <f t="shared" si="295"/>
        <v>0</v>
      </c>
      <c r="BP243" s="4504">
        <f t="shared" si="296"/>
        <v>0</v>
      </c>
      <c r="BQ243" s="4504">
        <f t="shared" si="297"/>
        <v>0</v>
      </c>
      <c r="BR243" s="4504">
        <f t="shared" si="298"/>
        <v>0</v>
      </c>
      <c r="BS243" s="4504">
        <f t="shared" si="299"/>
        <v>9.3033403614562804</v>
      </c>
      <c r="BT243" s="4504">
        <f t="shared" si="300"/>
        <v>9.3033403614562804</v>
      </c>
      <c r="BU243" s="4504">
        <f t="shared" si="301"/>
        <v>9.3033403614562804</v>
      </c>
      <c r="BV243" s="4504">
        <f t="shared" si="302"/>
        <v>9.3033403614562804</v>
      </c>
      <c r="BW243" s="4504">
        <f t="shared" si="303"/>
        <v>9.3033403614562804</v>
      </c>
      <c r="BX243" s="4504">
        <f t="shared" si="304"/>
        <v>9.3033403614562804</v>
      </c>
      <c r="BY243" s="4504">
        <f t="shared" si="305"/>
        <v>9.3033403614562804</v>
      </c>
    </row>
    <row r="244" spans="1:77" s="1323" customFormat="1">
      <c r="A244" s="2553">
        <v>8</v>
      </c>
      <c r="B244" s="2554" t="s">
        <v>716</v>
      </c>
      <c r="C244" s="2555">
        <v>0.1</v>
      </c>
      <c r="D244" s="2590" t="s">
        <v>713</v>
      </c>
      <c r="E244" s="4453">
        <f>+'11.3. ДА Базова година'!H183</f>
        <v>0</v>
      </c>
      <c r="F244" s="1228">
        <f t="shared" si="310"/>
        <v>0</v>
      </c>
      <c r="G244" s="1224">
        <f t="shared" si="310"/>
        <v>0</v>
      </c>
      <c r="H244" s="1224">
        <f t="shared" si="310"/>
        <v>0</v>
      </c>
      <c r="I244" s="1224">
        <f t="shared" si="310"/>
        <v>0</v>
      </c>
      <c r="J244" s="1224">
        <f t="shared" si="310"/>
        <v>0</v>
      </c>
      <c r="K244" s="1229">
        <f t="shared" si="310"/>
        <v>0</v>
      </c>
      <c r="L244" s="4453">
        <f>+'11.3. ДА Базова година'!L183</f>
        <v>0</v>
      </c>
      <c r="M244" s="1228">
        <f t="shared" si="311"/>
        <v>0</v>
      </c>
      <c r="N244" s="1224">
        <f t="shared" si="311"/>
        <v>0</v>
      </c>
      <c r="O244" s="1224">
        <f t="shared" si="311"/>
        <v>0</v>
      </c>
      <c r="P244" s="1224">
        <f t="shared" si="311"/>
        <v>0</v>
      </c>
      <c r="Q244" s="1224">
        <f t="shared" si="311"/>
        <v>0</v>
      </c>
      <c r="R244" s="1229">
        <f t="shared" si="311"/>
        <v>0</v>
      </c>
      <c r="S244" s="4453">
        <f>+'11.3. ДА Базова година'!P183</f>
        <v>1060.6911700000001</v>
      </c>
      <c r="T244" s="1228">
        <f t="shared" si="312"/>
        <v>1060.6911700000001</v>
      </c>
      <c r="U244" s="1224">
        <f t="shared" si="312"/>
        <v>1060.6911700000001</v>
      </c>
      <c r="V244" s="1224">
        <f t="shared" si="312"/>
        <v>1060.6911700000001</v>
      </c>
      <c r="W244" s="1224">
        <f t="shared" si="312"/>
        <v>1060.6911700000001</v>
      </c>
      <c r="X244" s="1224">
        <f t="shared" si="312"/>
        <v>1060.6911700000001</v>
      </c>
      <c r="Y244" s="1229">
        <f t="shared" si="312"/>
        <v>1060.6911700000001</v>
      </c>
      <c r="Z244" s="4453">
        <f>+'11.3. ДА Базова година'!T183</f>
        <v>0</v>
      </c>
      <c r="AA244" s="1228">
        <f t="shared" si="313"/>
        <v>0</v>
      </c>
      <c r="AB244" s="1224">
        <f t="shared" si="313"/>
        <v>0</v>
      </c>
      <c r="AC244" s="1224">
        <f t="shared" si="313"/>
        <v>0</v>
      </c>
      <c r="AD244" s="1224">
        <f t="shared" si="313"/>
        <v>0</v>
      </c>
      <c r="AE244" s="1224">
        <f t="shared" si="313"/>
        <v>0</v>
      </c>
      <c r="AF244" s="1229">
        <f t="shared" si="313"/>
        <v>0</v>
      </c>
      <c r="AG244" s="4453">
        <f>+'11.3. ДА Базова година'!X183</f>
        <v>0</v>
      </c>
      <c r="AH244" s="1228">
        <f t="shared" si="314"/>
        <v>0</v>
      </c>
      <c r="AI244" s="1224">
        <f t="shared" si="314"/>
        <v>0</v>
      </c>
      <c r="AJ244" s="1224">
        <f t="shared" si="314"/>
        <v>0</v>
      </c>
      <c r="AK244" s="1224">
        <f t="shared" si="314"/>
        <v>0</v>
      </c>
      <c r="AL244" s="1224">
        <f t="shared" si="314"/>
        <v>0</v>
      </c>
      <c r="AM244" s="1229">
        <f t="shared" si="314"/>
        <v>0</v>
      </c>
      <c r="AN244" s="2551"/>
      <c r="AO244" s="2589"/>
      <c r="AP244" s="4488"/>
      <c r="AQ244" s="4504">
        <f t="shared" si="271"/>
        <v>0</v>
      </c>
      <c r="AR244" s="4504">
        <f t="shared" si="272"/>
        <v>0</v>
      </c>
      <c r="AS244" s="4504">
        <f t="shared" si="273"/>
        <v>0</v>
      </c>
      <c r="AT244" s="4504">
        <f t="shared" si="274"/>
        <v>0</v>
      </c>
      <c r="AU244" s="4504">
        <f t="shared" si="275"/>
        <v>0</v>
      </c>
      <c r="AV244" s="4504">
        <f t="shared" si="276"/>
        <v>0</v>
      </c>
      <c r="AW244" s="4504">
        <f t="shared" si="277"/>
        <v>0</v>
      </c>
      <c r="AX244" s="4504">
        <f t="shared" si="278"/>
        <v>0</v>
      </c>
      <c r="AY244" s="4504">
        <f t="shared" si="279"/>
        <v>0</v>
      </c>
      <c r="AZ244" s="4504">
        <f t="shared" si="280"/>
        <v>0</v>
      </c>
      <c r="BA244" s="4504">
        <f t="shared" si="281"/>
        <v>0</v>
      </c>
      <c r="BB244" s="4504">
        <f t="shared" si="282"/>
        <v>0</v>
      </c>
      <c r="BC244" s="4504">
        <f t="shared" si="283"/>
        <v>0</v>
      </c>
      <c r="BD244" s="4504">
        <f t="shared" si="284"/>
        <v>0</v>
      </c>
      <c r="BE244" s="4504">
        <f t="shared" si="285"/>
        <v>542.32278367751803</v>
      </c>
      <c r="BF244" s="4504">
        <f t="shared" si="286"/>
        <v>542.32278367751803</v>
      </c>
      <c r="BG244" s="4504">
        <f t="shared" si="287"/>
        <v>542.32278367751803</v>
      </c>
      <c r="BH244" s="4504">
        <f t="shared" si="288"/>
        <v>542.32278367751803</v>
      </c>
      <c r="BI244" s="4504">
        <f t="shared" si="289"/>
        <v>542.32278367751803</v>
      </c>
      <c r="BJ244" s="4504">
        <f t="shared" si="290"/>
        <v>542.32278367751803</v>
      </c>
      <c r="BK244" s="4504">
        <f t="shared" si="291"/>
        <v>542.32278367751803</v>
      </c>
      <c r="BL244" s="4504">
        <f t="shared" si="292"/>
        <v>0</v>
      </c>
      <c r="BM244" s="4504">
        <f t="shared" si="293"/>
        <v>0</v>
      </c>
      <c r="BN244" s="4504">
        <f t="shared" si="294"/>
        <v>0</v>
      </c>
      <c r="BO244" s="4504">
        <f t="shared" si="295"/>
        <v>0</v>
      </c>
      <c r="BP244" s="4504">
        <f t="shared" si="296"/>
        <v>0</v>
      </c>
      <c r="BQ244" s="4504">
        <f t="shared" si="297"/>
        <v>0</v>
      </c>
      <c r="BR244" s="4504">
        <f t="shared" si="298"/>
        <v>0</v>
      </c>
      <c r="BS244" s="4504">
        <f t="shared" si="299"/>
        <v>0</v>
      </c>
      <c r="BT244" s="4504">
        <f t="shared" si="300"/>
        <v>0</v>
      </c>
      <c r="BU244" s="4504">
        <f t="shared" si="301"/>
        <v>0</v>
      </c>
      <c r="BV244" s="4504">
        <f t="shared" si="302"/>
        <v>0</v>
      </c>
      <c r="BW244" s="4504">
        <f t="shared" si="303"/>
        <v>0</v>
      </c>
      <c r="BX244" s="4504">
        <f t="shared" si="304"/>
        <v>0</v>
      </c>
      <c r="BY244" s="4504">
        <f t="shared" si="305"/>
        <v>0</v>
      </c>
    </row>
    <row r="245" spans="1:77" s="1323" customFormat="1">
      <c r="A245" s="2611">
        <v>9</v>
      </c>
      <c r="B245" s="2554">
        <v>911306</v>
      </c>
      <c r="C245" s="2555">
        <v>0.1</v>
      </c>
      <c r="D245" s="2590" t="s">
        <v>1032</v>
      </c>
      <c r="E245" s="4453">
        <f>+'11.3. ДА Базова година'!H184</f>
        <v>64.639546888687661</v>
      </c>
      <c r="F245" s="1228">
        <f t="shared" si="310"/>
        <v>64.733746888687662</v>
      </c>
      <c r="G245" s="1224">
        <f t="shared" si="310"/>
        <v>64.827946888687663</v>
      </c>
      <c r="H245" s="1224">
        <f t="shared" si="310"/>
        <v>64.922146888687664</v>
      </c>
      <c r="I245" s="1224">
        <f t="shared" si="310"/>
        <v>65.016346888687664</v>
      </c>
      <c r="J245" s="1224">
        <f t="shared" si="310"/>
        <v>65.110546888687665</v>
      </c>
      <c r="K245" s="1229">
        <f t="shared" si="310"/>
        <v>65.204746888687666</v>
      </c>
      <c r="L245" s="4453">
        <f>+'11.3. ДА Базова година'!L184</f>
        <v>9.30701</v>
      </c>
      <c r="M245" s="1228">
        <f t="shared" si="311"/>
        <v>10.15325</v>
      </c>
      <c r="N245" s="1224">
        <f t="shared" si="311"/>
        <v>10.99949</v>
      </c>
      <c r="O245" s="1224">
        <f t="shared" si="311"/>
        <v>11.84573</v>
      </c>
      <c r="P245" s="1224">
        <f t="shared" si="311"/>
        <v>12.69197</v>
      </c>
      <c r="Q245" s="1224">
        <f t="shared" si="311"/>
        <v>13.538209999999999</v>
      </c>
      <c r="R245" s="1229">
        <f t="shared" si="311"/>
        <v>14.384449999999999</v>
      </c>
      <c r="S245" s="4453">
        <f>+'11.3. ДА Базова година'!P184</f>
        <v>5747.6260299999949</v>
      </c>
      <c r="T245" s="1228">
        <f t="shared" si="312"/>
        <v>5747.6276199999947</v>
      </c>
      <c r="U245" s="1224">
        <f t="shared" si="312"/>
        <v>5747.6292099999946</v>
      </c>
      <c r="V245" s="1224">
        <f t="shared" si="312"/>
        <v>5747.6307999999945</v>
      </c>
      <c r="W245" s="1224">
        <f t="shared" si="312"/>
        <v>5747.6323899999943</v>
      </c>
      <c r="X245" s="1224">
        <f t="shared" si="312"/>
        <v>5747.6339799999942</v>
      </c>
      <c r="Y245" s="1229">
        <f t="shared" si="312"/>
        <v>5747.635569999994</v>
      </c>
      <c r="Z245" s="4453">
        <f>+'11.3. ДА Базова година'!T184</f>
        <v>0</v>
      </c>
      <c r="AA245" s="1228">
        <f t="shared" si="313"/>
        <v>0</v>
      </c>
      <c r="AB245" s="1224">
        <f t="shared" si="313"/>
        <v>0</v>
      </c>
      <c r="AC245" s="1224">
        <f t="shared" si="313"/>
        <v>0</v>
      </c>
      <c r="AD245" s="1224">
        <f t="shared" si="313"/>
        <v>0</v>
      </c>
      <c r="AE245" s="1224">
        <f t="shared" si="313"/>
        <v>0</v>
      </c>
      <c r="AF245" s="1229">
        <f t="shared" si="313"/>
        <v>0</v>
      </c>
      <c r="AG245" s="4453">
        <f>+'11.3. ДА Базова година'!X184</f>
        <v>13.399183111312292</v>
      </c>
      <c r="AH245" s="1228">
        <f t="shared" si="314"/>
        <v>13.399183111312292</v>
      </c>
      <c r="AI245" s="1224">
        <f t="shared" si="314"/>
        <v>13.399183111312292</v>
      </c>
      <c r="AJ245" s="1224">
        <f t="shared" si="314"/>
        <v>13.399183111312292</v>
      </c>
      <c r="AK245" s="1224">
        <f t="shared" si="314"/>
        <v>13.399183111312292</v>
      </c>
      <c r="AL245" s="1224">
        <f t="shared" si="314"/>
        <v>13.399183111312292</v>
      </c>
      <c r="AM245" s="1229">
        <f t="shared" si="314"/>
        <v>13.399183111312292</v>
      </c>
      <c r="AN245" s="2551"/>
      <c r="AO245" s="2589"/>
      <c r="AP245" s="4488"/>
      <c r="AQ245" s="4504">
        <f t="shared" si="271"/>
        <v>33.049675528388285</v>
      </c>
      <c r="AR245" s="4504">
        <f t="shared" si="272"/>
        <v>33.097839223596971</v>
      </c>
      <c r="AS245" s="4504">
        <f t="shared" si="273"/>
        <v>33.146002918805657</v>
      </c>
      <c r="AT245" s="4504">
        <f t="shared" si="274"/>
        <v>33.194166614014343</v>
      </c>
      <c r="AU245" s="4504">
        <f t="shared" si="275"/>
        <v>33.242330309223021</v>
      </c>
      <c r="AV245" s="4504">
        <f t="shared" si="276"/>
        <v>33.290494004431707</v>
      </c>
      <c r="AW245" s="4504">
        <f t="shared" si="277"/>
        <v>33.338657699640393</v>
      </c>
      <c r="AX245" s="4504">
        <f t="shared" si="278"/>
        <v>4.7585986512120177</v>
      </c>
      <c r="AY245" s="4504">
        <f t="shared" si="279"/>
        <v>5.1912742927555051</v>
      </c>
      <c r="AZ245" s="4504">
        <f t="shared" si="280"/>
        <v>5.6239499342989934</v>
      </c>
      <c r="BA245" s="4504">
        <f t="shared" si="281"/>
        <v>6.0566255758424807</v>
      </c>
      <c r="BB245" s="4504">
        <f t="shared" si="282"/>
        <v>6.489301217385969</v>
      </c>
      <c r="BC245" s="4504">
        <f t="shared" si="283"/>
        <v>6.9219768589294572</v>
      </c>
      <c r="BD245" s="4504">
        <f t="shared" si="284"/>
        <v>7.3546525004729446</v>
      </c>
      <c r="BE245" s="4504">
        <f t="shared" si="285"/>
        <v>2938.7145252910504</v>
      </c>
      <c r="BF245" s="4504">
        <f t="shared" si="286"/>
        <v>2938.7153382451415</v>
      </c>
      <c r="BG245" s="4504">
        <f t="shared" si="287"/>
        <v>2938.7161511992326</v>
      </c>
      <c r="BH245" s="4504">
        <f t="shared" si="288"/>
        <v>2938.7169641533233</v>
      </c>
      <c r="BI245" s="4504">
        <f t="shared" si="289"/>
        <v>2938.7177771074143</v>
      </c>
      <c r="BJ245" s="4504">
        <f t="shared" si="290"/>
        <v>2938.7185900615054</v>
      </c>
      <c r="BK245" s="4504">
        <f t="shared" si="291"/>
        <v>2938.7194030155965</v>
      </c>
      <c r="BL245" s="4504">
        <f t="shared" si="292"/>
        <v>0</v>
      </c>
      <c r="BM245" s="4504">
        <f t="shared" si="293"/>
        <v>0</v>
      </c>
      <c r="BN245" s="4504">
        <f t="shared" si="294"/>
        <v>0</v>
      </c>
      <c r="BO245" s="4504">
        <f t="shared" si="295"/>
        <v>0</v>
      </c>
      <c r="BP245" s="4504">
        <f t="shared" si="296"/>
        <v>0</v>
      </c>
      <c r="BQ245" s="4504">
        <f t="shared" si="297"/>
        <v>0</v>
      </c>
      <c r="BR245" s="4504">
        <f t="shared" si="298"/>
        <v>0</v>
      </c>
      <c r="BS245" s="4504">
        <f t="shared" si="299"/>
        <v>6.8508935394754618</v>
      </c>
      <c r="BT245" s="4504">
        <f t="shared" si="300"/>
        <v>6.8508935394754618</v>
      </c>
      <c r="BU245" s="4504">
        <f t="shared" si="301"/>
        <v>6.8508935394754618</v>
      </c>
      <c r="BV245" s="4504">
        <f t="shared" si="302"/>
        <v>6.8508935394754618</v>
      </c>
      <c r="BW245" s="4504">
        <f t="shared" si="303"/>
        <v>6.8508935394754618</v>
      </c>
      <c r="BX245" s="4504">
        <f t="shared" si="304"/>
        <v>6.8508935394754618</v>
      </c>
      <c r="BY245" s="4504">
        <f t="shared" si="305"/>
        <v>6.8508935394754618</v>
      </c>
    </row>
    <row r="246" spans="1:77" s="1323" customFormat="1">
      <c r="A246" s="2611">
        <v>10</v>
      </c>
      <c r="B246" s="2554">
        <v>91140101</v>
      </c>
      <c r="C246" s="2610">
        <v>0.1</v>
      </c>
      <c r="D246" s="2584" t="s">
        <v>1016</v>
      </c>
      <c r="E246" s="4453">
        <f>+'11.3. ДА Базова година'!H185</f>
        <v>66.653299421452701</v>
      </c>
      <c r="F246" s="1228">
        <f t="shared" si="310"/>
        <v>66.653299421452701</v>
      </c>
      <c r="G246" s="1224">
        <f t="shared" si="310"/>
        <v>66.653299421452701</v>
      </c>
      <c r="H246" s="1224">
        <f t="shared" si="310"/>
        <v>66.653299421452701</v>
      </c>
      <c r="I246" s="1224">
        <f t="shared" si="310"/>
        <v>66.653299421452701</v>
      </c>
      <c r="J246" s="1224">
        <f t="shared" si="310"/>
        <v>66.653299421452701</v>
      </c>
      <c r="K246" s="1229">
        <f t="shared" si="310"/>
        <v>66.653299421452701</v>
      </c>
      <c r="L246" s="4453">
        <f>+'11.3. ДА Базова година'!L185</f>
        <v>0</v>
      </c>
      <c r="M246" s="1228">
        <f t="shared" si="311"/>
        <v>0</v>
      </c>
      <c r="N246" s="1224">
        <f t="shared" si="311"/>
        <v>0</v>
      </c>
      <c r="O246" s="1224">
        <f t="shared" si="311"/>
        <v>0</v>
      </c>
      <c r="P246" s="1224">
        <f t="shared" si="311"/>
        <v>0</v>
      </c>
      <c r="Q246" s="1224">
        <f t="shared" si="311"/>
        <v>0</v>
      </c>
      <c r="R246" s="1229">
        <f t="shared" si="311"/>
        <v>0</v>
      </c>
      <c r="S246" s="4453">
        <f>+'11.3. ДА Базова година'!P185</f>
        <v>376.17076000000009</v>
      </c>
      <c r="T246" s="1228">
        <f t="shared" si="312"/>
        <v>376.17076000000009</v>
      </c>
      <c r="U246" s="1224">
        <f t="shared" si="312"/>
        <v>376.17076000000009</v>
      </c>
      <c r="V246" s="1224">
        <f t="shared" si="312"/>
        <v>376.17076000000009</v>
      </c>
      <c r="W246" s="1224">
        <f t="shared" si="312"/>
        <v>376.17076000000009</v>
      </c>
      <c r="X246" s="1224">
        <f t="shared" si="312"/>
        <v>376.17076000000009</v>
      </c>
      <c r="Y246" s="1229">
        <f t="shared" si="312"/>
        <v>376.17076000000009</v>
      </c>
      <c r="Z246" s="4453">
        <f>+'11.3. ДА Базова година'!T185</f>
        <v>0</v>
      </c>
      <c r="AA246" s="1228">
        <f t="shared" si="313"/>
        <v>0</v>
      </c>
      <c r="AB246" s="1224">
        <f t="shared" si="313"/>
        <v>0</v>
      </c>
      <c r="AC246" s="1224">
        <f t="shared" si="313"/>
        <v>0</v>
      </c>
      <c r="AD246" s="1224">
        <f t="shared" si="313"/>
        <v>0</v>
      </c>
      <c r="AE246" s="1224">
        <f t="shared" si="313"/>
        <v>0</v>
      </c>
      <c r="AF246" s="1229">
        <f t="shared" si="313"/>
        <v>0</v>
      </c>
      <c r="AG246" s="4453">
        <f>+'11.3. ДА Базова година'!X185</f>
        <v>1.9825705785472931</v>
      </c>
      <c r="AH246" s="1228">
        <f t="shared" si="314"/>
        <v>1.9825705785472931</v>
      </c>
      <c r="AI246" s="1224">
        <f t="shared" si="314"/>
        <v>1.9825705785472931</v>
      </c>
      <c r="AJ246" s="1224">
        <f t="shared" si="314"/>
        <v>1.9825705785472931</v>
      </c>
      <c r="AK246" s="1224">
        <f t="shared" si="314"/>
        <v>1.9825705785472931</v>
      </c>
      <c r="AL246" s="1224">
        <f t="shared" si="314"/>
        <v>1.9825705785472931</v>
      </c>
      <c r="AM246" s="1229">
        <f t="shared" si="314"/>
        <v>1.9825705785472931</v>
      </c>
      <c r="AN246" s="2551"/>
      <c r="AO246" s="2589"/>
      <c r="AP246" s="4488"/>
      <c r="AQ246" s="4504">
        <f t="shared" si="271"/>
        <v>34.079290849129372</v>
      </c>
      <c r="AR246" s="4504">
        <f t="shared" si="272"/>
        <v>34.079290849129372</v>
      </c>
      <c r="AS246" s="4504">
        <f t="shared" si="273"/>
        <v>34.079290849129372</v>
      </c>
      <c r="AT246" s="4504">
        <f t="shared" si="274"/>
        <v>34.079290849129372</v>
      </c>
      <c r="AU246" s="4504">
        <f t="shared" si="275"/>
        <v>34.079290849129372</v>
      </c>
      <c r="AV246" s="4504">
        <f t="shared" si="276"/>
        <v>34.079290849129372</v>
      </c>
      <c r="AW246" s="4504">
        <f t="shared" si="277"/>
        <v>34.079290849129372</v>
      </c>
      <c r="AX246" s="4504">
        <f t="shared" si="278"/>
        <v>0</v>
      </c>
      <c r="AY246" s="4504">
        <f t="shared" si="279"/>
        <v>0</v>
      </c>
      <c r="AZ246" s="4504">
        <f t="shared" si="280"/>
        <v>0</v>
      </c>
      <c r="BA246" s="4504">
        <f t="shared" si="281"/>
        <v>0</v>
      </c>
      <c r="BB246" s="4504">
        <f t="shared" si="282"/>
        <v>0</v>
      </c>
      <c r="BC246" s="4504">
        <f t="shared" si="283"/>
        <v>0</v>
      </c>
      <c r="BD246" s="4504">
        <f t="shared" si="284"/>
        <v>0</v>
      </c>
      <c r="BE246" s="4504">
        <f t="shared" si="285"/>
        <v>192.33305553141128</v>
      </c>
      <c r="BF246" s="4504">
        <f t="shared" si="286"/>
        <v>192.33305553141128</v>
      </c>
      <c r="BG246" s="4504">
        <f t="shared" si="287"/>
        <v>192.33305553141128</v>
      </c>
      <c r="BH246" s="4504">
        <f t="shared" si="288"/>
        <v>192.33305553141128</v>
      </c>
      <c r="BI246" s="4504">
        <f t="shared" si="289"/>
        <v>192.33305553141128</v>
      </c>
      <c r="BJ246" s="4504">
        <f t="shared" si="290"/>
        <v>192.33305553141128</v>
      </c>
      <c r="BK246" s="4504">
        <f t="shared" si="291"/>
        <v>192.33305553141128</v>
      </c>
      <c r="BL246" s="4504">
        <f t="shared" si="292"/>
        <v>0</v>
      </c>
      <c r="BM246" s="4504">
        <f t="shared" si="293"/>
        <v>0</v>
      </c>
      <c r="BN246" s="4504">
        <f t="shared" si="294"/>
        <v>0</v>
      </c>
      <c r="BO246" s="4504">
        <f t="shared" si="295"/>
        <v>0</v>
      </c>
      <c r="BP246" s="4504">
        <f t="shared" si="296"/>
        <v>0</v>
      </c>
      <c r="BQ246" s="4504">
        <f t="shared" si="297"/>
        <v>0</v>
      </c>
      <c r="BR246" s="4504">
        <f t="shared" si="298"/>
        <v>0</v>
      </c>
      <c r="BS246" s="4504">
        <f t="shared" si="299"/>
        <v>1.0136722407097207</v>
      </c>
      <c r="BT246" s="4504">
        <f t="shared" si="300"/>
        <v>1.0136722407097207</v>
      </c>
      <c r="BU246" s="4504">
        <f t="shared" si="301"/>
        <v>1.0136722407097207</v>
      </c>
      <c r="BV246" s="4504">
        <f t="shared" si="302"/>
        <v>1.0136722407097207</v>
      </c>
      <c r="BW246" s="4504">
        <f t="shared" si="303"/>
        <v>1.0136722407097207</v>
      </c>
      <c r="BX246" s="4504">
        <f t="shared" si="304"/>
        <v>1.0136722407097207</v>
      </c>
      <c r="BY246" s="4504">
        <f t="shared" si="305"/>
        <v>1.0136722407097207</v>
      </c>
    </row>
    <row r="247" spans="1:77" s="1323" customFormat="1">
      <c r="A247" s="2611">
        <v>11</v>
      </c>
      <c r="B247" s="2554">
        <v>91140102</v>
      </c>
      <c r="C247" s="2610">
        <v>0.04</v>
      </c>
      <c r="D247" s="2584" t="s">
        <v>432</v>
      </c>
      <c r="E247" s="4453">
        <f>+'11.3. ДА Базова година'!H186</f>
        <v>199.89085514171038</v>
      </c>
      <c r="F247" s="1228">
        <f t="shared" si="310"/>
        <v>201.35937514171039</v>
      </c>
      <c r="G247" s="1224">
        <f t="shared" si="310"/>
        <v>202.8278951417104</v>
      </c>
      <c r="H247" s="1224">
        <f t="shared" si="310"/>
        <v>204.29641514171041</v>
      </c>
      <c r="I247" s="1224">
        <f t="shared" si="310"/>
        <v>205.76493514171042</v>
      </c>
      <c r="J247" s="1224">
        <f t="shared" si="310"/>
        <v>207.23345514171044</v>
      </c>
      <c r="K247" s="1229">
        <f t="shared" si="310"/>
        <v>208.70197514171045</v>
      </c>
      <c r="L247" s="4453">
        <f>+'11.3. ДА Базова година'!L186</f>
        <v>0</v>
      </c>
      <c r="M247" s="1228">
        <f t="shared" si="311"/>
        <v>0</v>
      </c>
      <c r="N247" s="1224">
        <f t="shared" si="311"/>
        <v>0</v>
      </c>
      <c r="O247" s="1224">
        <f t="shared" si="311"/>
        <v>0</v>
      </c>
      <c r="P247" s="1224">
        <f t="shared" si="311"/>
        <v>0</v>
      </c>
      <c r="Q247" s="1224">
        <f t="shared" si="311"/>
        <v>0</v>
      </c>
      <c r="R247" s="1229">
        <f t="shared" si="311"/>
        <v>0</v>
      </c>
      <c r="S247" s="4453">
        <f>+'11.3. ДА Базова година'!P186</f>
        <v>768.24078999999983</v>
      </c>
      <c r="T247" s="1228">
        <f t="shared" si="312"/>
        <v>818.30466999999987</v>
      </c>
      <c r="U247" s="1224">
        <f t="shared" si="312"/>
        <v>868.36854999999991</v>
      </c>
      <c r="V247" s="1224">
        <f t="shared" si="312"/>
        <v>918.43242999999995</v>
      </c>
      <c r="W247" s="1224">
        <f t="shared" si="312"/>
        <v>968.49630999999999</v>
      </c>
      <c r="X247" s="1224">
        <f t="shared" si="312"/>
        <v>1018.56019</v>
      </c>
      <c r="Y247" s="1229">
        <f t="shared" si="312"/>
        <v>1068.6240700000001</v>
      </c>
      <c r="Z247" s="4453">
        <f>+'11.3. ДА Базова година'!T186</f>
        <v>0</v>
      </c>
      <c r="AA247" s="1228">
        <f t="shared" si="313"/>
        <v>0</v>
      </c>
      <c r="AB247" s="1224">
        <f t="shared" si="313"/>
        <v>0</v>
      </c>
      <c r="AC247" s="1224">
        <f t="shared" si="313"/>
        <v>0</v>
      </c>
      <c r="AD247" s="1224">
        <f t="shared" si="313"/>
        <v>0</v>
      </c>
      <c r="AE247" s="1224">
        <f t="shared" si="313"/>
        <v>0</v>
      </c>
      <c r="AF247" s="1229">
        <f t="shared" si="313"/>
        <v>0</v>
      </c>
      <c r="AG247" s="4453">
        <f>+'11.3. ДА Базова година'!X186</f>
        <v>12.632704858289637</v>
      </c>
      <c r="AH247" s="1228">
        <f t="shared" si="314"/>
        <v>12.632704858289637</v>
      </c>
      <c r="AI247" s="1224">
        <f t="shared" si="314"/>
        <v>12.632704858289637</v>
      </c>
      <c r="AJ247" s="1224">
        <f t="shared" si="314"/>
        <v>12.632704858289637</v>
      </c>
      <c r="AK247" s="1224">
        <f t="shared" si="314"/>
        <v>12.632704858289637</v>
      </c>
      <c r="AL247" s="1224">
        <f t="shared" si="314"/>
        <v>12.632704858289637</v>
      </c>
      <c r="AM247" s="1229">
        <f t="shared" si="314"/>
        <v>12.632704858289637</v>
      </c>
      <c r="AN247" s="2551"/>
      <c r="AO247" s="2589"/>
      <c r="AP247" s="4488"/>
      <c r="AQ247" s="4504">
        <f t="shared" si="271"/>
        <v>102.2025713593259</v>
      </c>
      <c r="AR247" s="4504">
        <f t="shared" si="272"/>
        <v>102.95341371270018</v>
      </c>
      <c r="AS247" s="4504">
        <f t="shared" si="273"/>
        <v>103.70425606607445</v>
      </c>
      <c r="AT247" s="4504">
        <f t="shared" si="274"/>
        <v>104.45509841944873</v>
      </c>
      <c r="AU247" s="4504">
        <f t="shared" si="275"/>
        <v>105.20594077282301</v>
      </c>
      <c r="AV247" s="4504">
        <f t="shared" si="276"/>
        <v>105.95678312619729</v>
      </c>
      <c r="AW247" s="4504">
        <f t="shared" si="277"/>
        <v>106.70762547957156</v>
      </c>
      <c r="AX247" s="4504">
        <f t="shared" si="278"/>
        <v>0</v>
      </c>
      <c r="AY247" s="4504">
        <f t="shared" si="279"/>
        <v>0</v>
      </c>
      <c r="AZ247" s="4504">
        <f t="shared" si="280"/>
        <v>0</v>
      </c>
      <c r="BA247" s="4504">
        <f t="shared" si="281"/>
        <v>0</v>
      </c>
      <c r="BB247" s="4504">
        <f t="shared" si="282"/>
        <v>0</v>
      </c>
      <c r="BC247" s="4504">
        <f t="shared" si="283"/>
        <v>0</v>
      </c>
      <c r="BD247" s="4504">
        <f t="shared" si="284"/>
        <v>0</v>
      </c>
      <c r="BE247" s="4504">
        <f t="shared" si="285"/>
        <v>392.79527873076898</v>
      </c>
      <c r="BF247" s="4504">
        <f t="shared" si="286"/>
        <v>418.3925341159507</v>
      </c>
      <c r="BG247" s="4504">
        <f t="shared" si="287"/>
        <v>443.98978950113246</v>
      </c>
      <c r="BH247" s="4504">
        <f t="shared" si="288"/>
        <v>469.58704488631423</v>
      </c>
      <c r="BI247" s="4504">
        <f t="shared" si="289"/>
        <v>495.184300271496</v>
      </c>
      <c r="BJ247" s="4504">
        <f t="shared" si="290"/>
        <v>520.78155565667771</v>
      </c>
      <c r="BK247" s="4504">
        <f t="shared" si="291"/>
        <v>546.37881104185954</v>
      </c>
      <c r="BL247" s="4504">
        <f t="shared" si="292"/>
        <v>0</v>
      </c>
      <c r="BM247" s="4504">
        <f t="shared" si="293"/>
        <v>0</v>
      </c>
      <c r="BN247" s="4504">
        <f t="shared" si="294"/>
        <v>0</v>
      </c>
      <c r="BO247" s="4504">
        <f t="shared" si="295"/>
        <v>0</v>
      </c>
      <c r="BP247" s="4504">
        <f t="shared" si="296"/>
        <v>0</v>
      </c>
      <c r="BQ247" s="4504">
        <f t="shared" si="297"/>
        <v>0</v>
      </c>
      <c r="BR247" s="4504">
        <f t="shared" si="298"/>
        <v>0</v>
      </c>
      <c r="BS247" s="4504">
        <f t="shared" si="299"/>
        <v>6.4589994315915176</v>
      </c>
      <c r="BT247" s="4504">
        <f t="shared" si="300"/>
        <v>6.4589994315915176</v>
      </c>
      <c r="BU247" s="4504">
        <f t="shared" si="301"/>
        <v>6.4589994315915176</v>
      </c>
      <c r="BV247" s="4504">
        <f t="shared" si="302"/>
        <v>6.4589994315915176</v>
      </c>
      <c r="BW247" s="4504">
        <f t="shared" si="303"/>
        <v>6.4589994315915176</v>
      </c>
      <c r="BX247" s="4504">
        <f t="shared" si="304"/>
        <v>6.4589994315915176</v>
      </c>
      <c r="BY247" s="4504">
        <f t="shared" si="305"/>
        <v>6.4589994315915176</v>
      </c>
    </row>
    <row r="248" spans="1:77" s="1323" customFormat="1">
      <c r="A248" s="2611">
        <v>12</v>
      </c>
      <c r="B248" s="2554" t="s">
        <v>698</v>
      </c>
      <c r="C248" s="2555">
        <v>0.02</v>
      </c>
      <c r="D248" s="2585" t="s">
        <v>738</v>
      </c>
      <c r="E248" s="4453">
        <f>+'11.3. ДА Базова година'!H187</f>
        <v>0</v>
      </c>
      <c r="F248" s="1228">
        <f t="shared" si="310"/>
        <v>0</v>
      </c>
      <c r="G248" s="1224">
        <f t="shared" si="310"/>
        <v>0</v>
      </c>
      <c r="H248" s="1224">
        <f t="shared" si="310"/>
        <v>0</v>
      </c>
      <c r="I248" s="1224">
        <f t="shared" si="310"/>
        <v>0</v>
      </c>
      <c r="J248" s="1224">
        <f t="shared" si="310"/>
        <v>0</v>
      </c>
      <c r="K248" s="1229">
        <f t="shared" si="310"/>
        <v>0</v>
      </c>
      <c r="L248" s="4453">
        <f>+'11.3. ДА Базова година'!L187</f>
        <v>0</v>
      </c>
      <c r="M248" s="1228">
        <f t="shared" si="311"/>
        <v>0</v>
      </c>
      <c r="N248" s="1224">
        <f t="shared" si="311"/>
        <v>0</v>
      </c>
      <c r="O248" s="1224">
        <f t="shared" si="311"/>
        <v>0</v>
      </c>
      <c r="P248" s="1224">
        <f t="shared" si="311"/>
        <v>0</v>
      </c>
      <c r="Q248" s="1224">
        <f t="shared" si="311"/>
        <v>0</v>
      </c>
      <c r="R248" s="1229">
        <f t="shared" si="311"/>
        <v>0</v>
      </c>
      <c r="S248" s="4453">
        <f>+'11.3. ДА Базова година'!P187</f>
        <v>0</v>
      </c>
      <c r="T248" s="1228">
        <f t="shared" si="312"/>
        <v>0</v>
      </c>
      <c r="U248" s="1224">
        <f t="shared" si="312"/>
        <v>0</v>
      </c>
      <c r="V248" s="1224">
        <f t="shared" si="312"/>
        <v>0</v>
      </c>
      <c r="W248" s="1224">
        <f t="shared" si="312"/>
        <v>0</v>
      </c>
      <c r="X248" s="1224">
        <f t="shared" si="312"/>
        <v>0</v>
      </c>
      <c r="Y248" s="1229">
        <f t="shared" si="312"/>
        <v>0</v>
      </c>
      <c r="Z248" s="4453">
        <f>+'11.3. ДА Базова година'!T187</f>
        <v>0</v>
      </c>
      <c r="AA248" s="1228">
        <f t="shared" si="313"/>
        <v>0</v>
      </c>
      <c r="AB248" s="1224">
        <f t="shared" si="313"/>
        <v>0</v>
      </c>
      <c r="AC248" s="1224">
        <f t="shared" si="313"/>
        <v>0</v>
      </c>
      <c r="AD248" s="1224">
        <f t="shared" si="313"/>
        <v>0</v>
      </c>
      <c r="AE248" s="1224">
        <f t="shared" si="313"/>
        <v>0</v>
      </c>
      <c r="AF248" s="1229">
        <f t="shared" si="313"/>
        <v>0</v>
      </c>
      <c r="AG248" s="4453">
        <f>+'11.3. ДА Базова година'!X187</f>
        <v>0</v>
      </c>
      <c r="AH248" s="1228">
        <f t="shared" si="314"/>
        <v>0</v>
      </c>
      <c r="AI248" s="1224">
        <f t="shared" si="314"/>
        <v>0</v>
      </c>
      <c r="AJ248" s="1224">
        <f t="shared" si="314"/>
        <v>0</v>
      </c>
      <c r="AK248" s="1224">
        <f t="shared" si="314"/>
        <v>0</v>
      </c>
      <c r="AL248" s="1224">
        <f t="shared" si="314"/>
        <v>0</v>
      </c>
      <c r="AM248" s="1229">
        <f t="shared" si="314"/>
        <v>0</v>
      </c>
      <c r="AN248" s="2551"/>
      <c r="AO248" s="2589"/>
      <c r="AP248" s="4488"/>
      <c r="AQ248" s="4504">
        <f t="shared" si="271"/>
        <v>0</v>
      </c>
      <c r="AR248" s="4504">
        <f t="shared" si="272"/>
        <v>0</v>
      </c>
      <c r="AS248" s="4504">
        <f t="shared" si="273"/>
        <v>0</v>
      </c>
      <c r="AT248" s="4504">
        <f t="shared" si="274"/>
        <v>0</v>
      </c>
      <c r="AU248" s="4504">
        <f t="shared" si="275"/>
        <v>0</v>
      </c>
      <c r="AV248" s="4504">
        <f t="shared" si="276"/>
        <v>0</v>
      </c>
      <c r="AW248" s="4504">
        <f t="shared" si="277"/>
        <v>0</v>
      </c>
      <c r="AX248" s="4504">
        <f t="shared" si="278"/>
        <v>0</v>
      </c>
      <c r="AY248" s="4504">
        <f t="shared" si="279"/>
        <v>0</v>
      </c>
      <c r="AZ248" s="4504">
        <f t="shared" si="280"/>
        <v>0</v>
      </c>
      <c r="BA248" s="4504">
        <f t="shared" si="281"/>
        <v>0</v>
      </c>
      <c r="BB248" s="4504">
        <f t="shared" si="282"/>
        <v>0</v>
      </c>
      <c r="BC248" s="4504">
        <f t="shared" si="283"/>
        <v>0</v>
      </c>
      <c r="BD248" s="4504">
        <f t="shared" si="284"/>
        <v>0</v>
      </c>
      <c r="BE248" s="4504">
        <f t="shared" si="285"/>
        <v>0</v>
      </c>
      <c r="BF248" s="4504">
        <f t="shared" si="286"/>
        <v>0</v>
      </c>
      <c r="BG248" s="4504">
        <f t="shared" si="287"/>
        <v>0</v>
      </c>
      <c r="BH248" s="4504">
        <f t="shared" si="288"/>
        <v>0</v>
      </c>
      <c r="BI248" s="4504">
        <f t="shared" si="289"/>
        <v>0</v>
      </c>
      <c r="BJ248" s="4504">
        <f t="shared" si="290"/>
        <v>0</v>
      </c>
      <c r="BK248" s="4504">
        <f t="shared" si="291"/>
        <v>0</v>
      </c>
      <c r="BL248" s="4504">
        <f t="shared" si="292"/>
        <v>0</v>
      </c>
      <c r="BM248" s="4504">
        <f t="shared" si="293"/>
        <v>0</v>
      </c>
      <c r="BN248" s="4504">
        <f t="shared" si="294"/>
        <v>0</v>
      </c>
      <c r="BO248" s="4504">
        <f t="shared" si="295"/>
        <v>0</v>
      </c>
      <c r="BP248" s="4504">
        <f t="shared" si="296"/>
        <v>0</v>
      </c>
      <c r="BQ248" s="4504">
        <f t="shared" si="297"/>
        <v>0</v>
      </c>
      <c r="BR248" s="4504">
        <f t="shared" si="298"/>
        <v>0</v>
      </c>
      <c r="BS248" s="4504">
        <f t="shared" si="299"/>
        <v>0</v>
      </c>
      <c r="BT248" s="4504">
        <f t="shared" si="300"/>
        <v>0</v>
      </c>
      <c r="BU248" s="4504">
        <f t="shared" si="301"/>
        <v>0</v>
      </c>
      <c r="BV248" s="4504">
        <f t="shared" si="302"/>
        <v>0</v>
      </c>
      <c r="BW248" s="4504">
        <f t="shared" si="303"/>
        <v>0</v>
      </c>
      <c r="BX248" s="4504">
        <f t="shared" si="304"/>
        <v>0</v>
      </c>
      <c r="BY248" s="4504">
        <f t="shared" si="305"/>
        <v>0</v>
      </c>
    </row>
    <row r="249" spans="1:77" s="1323" customFormat="1">
      <c r="A249" s="2611">
        <v>13</v>
      </c>
      <c r="B249" s="2554" t="s">
        <v>699</v>
      </c>
      <c r="C249" s="2555">
        <v>0.02</v>
      </c>
      <c r="D249" s="2585" t="s">
        <v>739</v>
      </c>
      <c r="E249" s="4453">
        <f>+'11.3. ДА Базова година'!H188</f>
        <v>828.81289918490427</v>
      </c>
      <c r="F249" s="1228">
        <f t="shared" si="310"/>
        <v>855.28330881758984</v>
      </c>
      <c r="G249" s="1224">
        <f t="shared" si="310"/>
        <v>881.75371845027541</v>
      </c>
      <c r="H249" s="1224">
        <f t="shared" si="310"/>
        <v>908.22412808296099</v>
      </c>
      <c r="I249" s="1224">
        <f t="shared" si="310"/>
        <v>934.69453771564656</v>
      </c>
      <c r="J249" s="1224">
        <f t="shared" si="310"/>
        <v>961.16494734833213</v>
      </c>
      <c r="K249" s="1229">
        <f t="shared" si="310"/>
        <v>994.40735698101764</v>
      </c>
      <c r="L249" s="4453">
        <f>+'11.3. ДА Базова година'!L188</f>
        <v>0</v>
      </c>
      <c r="M249" s="1228">
        <f t="shared" si="311"/>
        <v>0</v>
      </c>
      <c r="N249" s="1224">
        <f t="shared" si="311"/>
        <v>0</v>
      </c>
      <c r="O249" s="1224">
        <f t="shared" si="311"/>
        <v>0</v>
      </c>
      <c r="P249" s="1224">
        <f t="shared" si="311"/>
        <v>0</v>
      </c>
      <c r="Q249" s="1224">
        <f t="shared" si="311"/>
        <v>0</v>
      </c>
      <c r="R249" s="1229">
        <f t="shared" si="311"/>
        <v>0</v>
      </c>
      <c r="S249" s="4453">
        <f>+'11.3. ДА Базова година'!P188</f>
        <v>0</v>
      </c>
      <c r="T249" s="1228">
        <f t="shared" si="312"/>
        <v>0</v>
      </c>
      <c r="U249" s="1224">
        <f t="shared" si="312"/>
        <v>0</v>
      </c>
      <c r="V249" s="1224">
        <f t="shared" si="312"/>
        <v>0</v>
      </c>
      <c r="W249" s="1224">
        <f t="shared" si="312"/>
        <v>0</v>
      </c>
      <c r="X249" s="1224">
        <f t="shared" si="312"/>
        <v>0</v>
      </c>
      <c r="Y249" s="1229">
        <f t="shared" si="312"/>
        <v>0</v>
      </c>
      <c r="Z249" s="4453">
        <f>+'11.3. ДА Базова година'!T188</f>
        <v>0</v>
      </c>
      <c r="AA249" s="1228">
        <f t="shared" si="313"/>
        <v>0</v>
      </c>
      <c r="AB249" s="1224">
        <f t="shared" si="313"/>
        <v>0</v>
      </c>
      <c r="AC249" s="1224">
        <f t="shared" si="313"/>
        <v>0</v>
      </c>
      <c r="AD249" s="1224">
        <f t="shared" si="313"/>
        <v>0</v>
      </c>
      <c r="AE249" s="1224">
        <f t="shared" si="313"/>
        <v>0</v>
      </c>
      <c r="AF249" s="1229">
        <f t="shared" si="313"/>
        <v>0</v>
      </c>
      <c r="AG249" s="4453">
        <f>+'11.3. ДА Базова година'!X188</f>
        <v>15.508160815095877</v>
      </c>
      <c r="AH249" s="1228">
        <f t="shared" si="314"/>
        <v>15.985861182410323</v>
      </c>
      <c r="AI249" s="1224">
        <f t="shared" si="314"/>
        <v>16.463561549724769</v>
      </c>
      <c r="AJ249" s="1224">
        <f t="shared" si="314"/>
        <v>16.941261917039217</v>
      </c>
      <c r="AK249" s="1224">
        <f t="shared" si="314"/>
        <v>17.418962284353665</v>
      </c>
      <c r="AL249" s="1224">
        <f t="shared" si="314"/>
        <v>17.896662651668112</v>
      </c>
      <c r="AM249" s="1229">
        <f t="shared" si="314"/>
        <v>18.37436301898256</v>
      </c>
      <c r="AN249" s="2551"/>
      <c r="AO249" s="2589"/>
      <c r="AP249" s="4488"/>
      <c r="AQ249" s="4504">
        <f t="shared" si="271"/>
        <v>423.76530638394149</v>
      </c>
      <c r="AR249" s="4504">
        <f t="shared" si="272"/>
        <v>437.29941192107179</v>
      </c>
      <c r="AS249" s="4504">
        <f t="shared" si="273"/>
        <v>450.8335174582021</v>
      </c>
      <c r="AT249" s="4504">
        <f t="shared" si="274"/>
        <v>464.3676229953324</v>
      </c>
      <c r="AU249" s="4504">
        <f t="shared" si="275"/>
        <v>477.90172853246276</v>
      </c>
      <c r="AV249" s="4504">
        <f t="shared" si="276"/>
        <v>491.43583406959306</v>
      </c>
      <c r="AW249" s="4504">
        <f t="shared" si="277"/>
        <v>508.43240822618412</v>
      </c>
      <c r="AX249" s="4504">
        <f t="shared" si="278"/>
        <v>0</v>
      </c>
      <c r="AY249" s="4504">
        <f t="shared" si="279"/>
        <v>0</v>
      </c>
      <c r="AZ249" s="4504">
        <f t="shared" si="280"/>
        <v>0</v>
      </c>
      <c r="BA249" s="4504">
        <f t="shared" si="281"/>
        <v>0</v>
      </c>
      <c r="BB249" s="4504">
        <f t="shared" si="282"/>
        <v>0</v>
      </c>
      <c r="BC249" s="4504">
        <f t="shared" si="283"/>
        <v>0</v>
      </c>
      <c r="BD249" s="4504">
        <f t="shared" si="284"/>
        <v>0</v>
      </c>
      <c r="BE249" s="4504">
        <f t="shared" si="285"/>
        <v>0</v>
      </c>
      <c r="BF249" s="4504">
        <f t="shared" si="286"/>
        <v>0</v>
      </c>
      <c r="BG249" s="4504">
        <f t="shared" si="287"/>
        <v>0</v>
      </c>
      <c r="BH249" s="4504">
        <f t="shared" si="288"/>
        <v>0</v>
      </c>
      <c r="BI249" s="4504">
        <f t="shared" si="289"/>
        <v>0</v>
      </c>
      <c r="BJ249" s="4504">
        <f t="shared" si="290"/>
        <v>0</v>
      </c>
      <c r="BK249" s="4504">
        <f t="shared" si="291"/>
        <v>0</v>
      </c>
      <c r="BL249" s="4504">
        <f t="shared" si="292"/>
        <v>0</v>
      </c>
      <c r="BM249" s="4504">
        <f t="shared" si="293"/>
        <v>0</v>
      </c>
      <c r="BN249" s="4504">
        <f t="shared" si="294"/>
        <v>0</v>
      </c>
      <c r="BO249" s="4504">
        <f t="shared" si="295"/>
        <v>0</v>
      </c>
      <c r="BP249" s="4504">
        <f t="shared" si="296"/>
        <v>0</v>
      </c>
      <c r="BQ249" s="4504">
        <f t="shared" si="297"/>
        <v>0</v>
      </c>
      <c r="BR249" s="4504">
        <f t="shared" si="298"/>
        <v>0</v>
      </c>
      <c r="BS249" s="4504">
        <f t="shared" si="299"/>
        <v>7.929196717043852</v>
      </c>
      <c r="BT249" s="4504">
        <f t="shared" si="300"/>
        <v>8.1734410364961807</v>
      </c>
      <c r="BU249" s="4504">
        <f t="shared" si="301"/>
        <v>8.4176853559485068</v>
      </c>
      <c r="BV249" s="4504">
        <f t="shared" si="302"/>
        <v>8.6619296754008364</v>
      </c>
      <c r="BW249" s="4504">
        <f t="shared" si="303"/>
        <v>8.9061739948531642</v>
      </c>
      <c r="BX249" s="4504">
        <f t="shared" si="304"/>
        <v>9.1504183143054938</v>
      </c>
      <c r="BY249" s="4504">
        <f t="shared" si="305"/>
        <v>9.3946626337578216</v>
      </c>
    </row>
    <row r="250" spans="1:77" s="1323" customFormat="1">
      <c r="A250" s="2611">
        <v>14</v>
      </c>
      <c r="B250" s="2554" t="s">
        <v>700</v>
      </c>
      <c r="C250" s="2555">
        <v>0.02</v>
      </c>
      <c r="D250" s="2585" t="s">
        <v>418</v>
      </c>
      <c r="E250" s="4453">
        <f>+'11.3. ДА Базова година'!H189</f>
        <v>35.046321401171504</v>
      </c>
      <c r="F250" s="1228">
        <f t="shared" si="310"/>
        <v>35.546173910082473</v>
      </c>
      <c r="G250" s="1224">
        <f t="shared" si="310"/>
        <v>36.046026418993442</v>
      </c>
      <c r="H250" s="1224">
        <f t="shared" si="310"/>
        <v>36.545878927904411</v>
      </c>
      <c r="I250" s="1224">
        <f t="shared" si="310"/>
        <v>37.04573143681538</v>
      </c>
      <c r="J250" s="1224">
        <f t="shared" si="310"/>
        <v>37.545583945726349</v>
      </c>
      <c r="K250" s="1229">
        <f t="shared" si="310"/>
        <v>38.045436454637318</v>
      </c>
      <c r="L250" s="4453">
        <f>+'11.3. ДА Базова година'!L189</f>
        <v>0</v>
      </c>
      <c r="M250" s="1228">
        <f t="shared" si="311"/>
        <v>0</v>
      </c>
      <c r="N250" s="1224">
        <f t="shared" si="311"/>
        <v>0</v>
      </c>
      <c r="O250" s="1224">
        <f t="shared" si="311"/>
        <v>0</v>
      </c>
      <c r="P250" s="1224">
        <f t="shared" si="311"/>
        <v>0</v>
      </c>
      <c r="Q250" s="1224">
        <f t="shared" si="311"/>
        <v>0</v>
      </c>
      <c r="R250" s="1229">
        <f t="shared" si="311"/>
        <v>0</v>
      </c>
      <c r="S250" s="4453">
        <f>+'11.3. ДА Базова година'!P189</f>
        <v>0</v>
      </c>
      <c r="T250" s="1228">
        <f t="shared" si="312"/>
        <v>0</v>
      </c>
      <c r="U250" s="1224">
        <f t="shared" si="312"/>
        <v>0</v>
      </c>
      <c r="V250" s="1224">
        <f t="shared" si="312"/>
        <v>0</v>
      </c>
      <c r="W250" s="1224">
        <f t="shared" si="312"/>
        <v>0</v>
      </c>
      <c r="X250" s="1224">
        <f t="shared" si="312"/>
        <v>0</v>
      </c>
      <c r="Y250" s="1229">
        <f t="shared" si="312"/>
        <v>0</v>
      </c>
      <c r="Z250" s="4453">
        <f>+'11.3. ДА Базова година'!T189</f>
        <v>0</v>
      </c>
      <c r="AA250" s="1228">
        <f t="shared" si="313"/>
        <v>0</v>
      </c>
      <c r="AB250" s="1224">
        <f t="shared" si="313"/>
        <v>0</v>
      </c>
      <c r="AC250" s="1224">
        <f t="shared" si="313"/>
        <v>0</v>
      </c>
      <c r="AD250" s="1224">
        <f t="shared" si="313"/>
        <v>0</v>
      </c>
      <c r="AE250" s="1224">
        <f t="shared" si="313"/>
        <v>0</v>
      </c>
      <c r="AF250" s="1229">
        <f t="shared" si="313"/>
        <v>0</v>
      </c>
      <c r="AG250" s="4453">
        <f>+'11.3. ДА Базова година'!X189</f>
        <v>0.4130485988284967</v>
      </c>
      <c r="AH250" s="1228">
        <f t="shared" si="314"/>
        <v>0.43027608991752819</v>
      </c>
      <c r="AI250" s="1224">
        <f t="shared" si="314"/>
        <v>0.44750358100655968</v>
      </c>
      <c r="AJ250" s="1224">
        <f t="shared" si="314"/>
        <v>0.46473107209559117</v>
      </c>
      <c r="AK250" s="1224">
        <f t="shared" si="314"/>
        <v>0.48195856318462266</v>
      </c>
      <c r="AL250" s="1224">
        <f t="shared" si="314"/>
        <v>0.49918605427365415</v>
      </c>
      <c r="AM250" s="1229">
        <f t="shared" si="314"/>
        <v>0.51641354536268558</v>
      </c>
      <c r="AN250" s="2551"/>
      <c r="AO250" s="2589"/>
      <c r="AP250" s="4488"/>
      <c r="AQ250" s="4504">
        <f t="shared" si="271"/>
        <v>17.918899598212271</v>
      </c>
      <c r="AR250" s="4504">
        <f t="shared" si="272"/>
        <v>18.174470127814008</v>
      </c>
      <c r="AS250" s="4504">
        <f t="shared" si="273"/>
        <v>18.430040657415748</v>
      </c>
      <c r="AT250" s="4504">
        <f t="shared" si="274"/>
        <v>18.685611187017486</v>
      </c>
      <c r="AU250" s="4504">
        <f t="shared" si="275"/>
        <v>18.941181716619226</v>
      </c>
      <c r="AV250" s="4504">
        <f t="shared" si="276"/>
        <v>19.196752246220964</v>
      </c>
      <c r="AW250" s="4504">
        <f t="shared" si="277"/>
        <v>19.452322775822704</v>
      </c>
      <c r="AX250" s="4504">
        <f t="shared" si="278"/>
        <v>0</v>
      </c>
      <c r="AY250" s="4504">
        <f t="shared" si="279"/>
        <v>0</v>
      </c>
      <c r="AZ250" s="4504">
        <f t="shared" si="280"/>
        <v>0</v>
      </c>
      <c r="BA250" s="4504">
        <f t="shared" si="281"/>
        <v>0</v>
      </c>
      <c r="BB250" s="4504">
        <f t="shared" si="282"/>
        <v>0</v>
      </c>
      <c r="BC250" s="4504">
        <f t="shared" si="283"/>
        <v>0</v>
      </c>
      <c r="BD250" s="4504">
        <f t="shared" si="284"/>
        <v>0</v>
      </c>
      <c r="BE250" s="4504">
        <f t="shared" si="285"/>
        <v>0</v>
      </c>
      <c r="BF250" s="4504">
        <f t="shared" si="286"/>
        <v>0</v>
      </c>
      <c r="BG250" s="4504">
        <f t="shared" si="287"/>
        <v>0</v>
      </c>
      <c r="BH250" s="4504">
        <f t="shared" si="288"/>
        <v>0</v>
      </c>
      <c r="BI250" s="4504">
        <f t="shared" si="289"/>
        <v>0</v>
      </c>
      <c r="BJ250" s="4504">
        <f t="shared" si="290"/>
        <v>0</v>
      </c>
      <c r="BK250" s="4504">
        <f t="shared" si="291"/>
        <v>0</v>
      </c>
      <c r="BL250" s="4504">
        <f t="shared" si="292"/>
        <v>0</v>
      </c>
      <c r="BM250" s="4504">
        <f t="shared" si="293"/>
        <v>0</v>
      </c>
      <c r="BN250" s="4504">
        <f t="shared" si="294"/>
        <v>0</v>
      </c>
      <c r="BO250" s="4504">
        <f t="shared" si="295"/>
        <v>0</v>
      </c>
      <c r="BP250" s="4504">
        <f t="shared" si="296"/>
        <v>0</v>
      </c>
      <c r="BQ250" s="4504">
        <f t="shared" si="297"/>
        <v>0</v>
      </c>
      <c r="BR250" s="4504">
        <f t="shared" si="298"/>
        <v>0</v>
      </c>
      <c r="BS250" s="4504">
        <f t="shared" si="299"/>
        <v>0.21118839512048426</v>
      </c>
      <c r="BT250" s="4504">
        <f t="shared" si="300"/>
        <v>0.21999667144768625</v>
      </c>
      <c r="BU250" s="4504">
        <f t="shared" si="301"/>
        <v>0.22880494777488825</v>
      </c>
      <c r="BV250" s="4504">
        <f t="shared" si="302"/>
        <v>0.23761322410209026</v>
      </c>
      <c r="BW250" s="4504">
        <f t="shared" si="303"/>
        <v>0.24642150042929226</v>
      </c>
      <c r="BX250" s="4504">
        <f t="shared" si="304"/>
        <v>0.25522977675649428</v>
      </c>
      <c r="BY250" s="4504">
        <f t="shared" si="305"/>
        <v>0.26403805308369621</v>
      </c>
    </row>
    <row r="251" spans="1:77" s="1323" customFormat="1">
      <c r="A251" s="2611">
        <v>15</v>
      </c>
      <c r="B251" s="2554" t="s">
        <v>701</v>
      </c>
      <c r="C251" s="2555">
        <v>0.02</v>
      </c>
      <c r="D251" s="2584" t="s">
        <v>419</v>
      </c>
      <c r="E251" s="4453">
        <f>+'11.3. ДА Базова година'!H190</f>
        <v>17.239570000000001</v>
      </c>
      <c r="F251" s="1228">
        <f t="shared" si="310"/>
        <v>17.71705</v>
      </c>
      <c r="G251" s="1224">
        <f t="shared" si="310"/>
        <v>18.19453</v>
      </c>
      <c r="H251" s="1224">
        <f t="shared" si="310"/>
        <v>18.67201</v>
      </c>
      <c r="I251" s="1224">
        <f t="shared" si="310"/>
        <v>19.14949</v>
      </c>
      <c r="J251" s="1224">
        <f t="shared" si="310"/>
        <v>19.62697</v>
      </c>
      <c r="K251" s="1229">
        <f t="shared" si="310"/>
        <v>20.10445</v>
      </c>
      <c r="L251" s="4453">
        <f>+'11.3. ДА Базова година'!L190</f>
        <v>0</v>
      </c>
      <c r="M251" s="1228">
        <f t="shared" si="311"/>
        <v>0</v>
      </c>
      <c r="N251" s="1224">
        <f t="shared" si="311"/>
        <v>0</v>
      </c>
      <c r="O251" s="1224">
        <f t="shared" si="311"/>
        <v>0</v>
      </c>
      <c r="P251" s="1224">
        <f t="shared" si="311"/>
        <v>0</v>
      </c>
      <c r="Q251" s="1224">
        <f t="shared" si="311"/>
        <v>0</v>
      </c>
      <c r="R251" s="1229">
        <f t="shared" si="311"/>
        <v>0</v>
      </c>
      <c r="S251" s="4453">
        <f>+'11.3. ДА Базова година'!P190</f>
        <v>0</v>
      </c>
      <c r="T251" s="1228">
        <f t="shared" si="312"/>
        <v>0</v>
      </c>
      <c r="U251" s="1224">
        <f t="shared" si="312"/>
        <v>0</v>
      </c>
      <c r="V251" s="1224">
        <f t="shared" si="312"/>
        <v>0</v>
      </c>
      <c r="W251" s="1224">
        <f t="shared" si="312"/>
        <v>0</v>
      </c>
      <c r="X251" s="1224">
        <f t="shared" si="312"/>
        <v>0</v>
      </c>
      <c r="Y251" s="1229">
        <f t="shared" si="312"/>
        <v>0</v>
      </c>
      <c r="Z251" s="4453">
        <f>+'11.3. ДА Базова година'!T190</f>
        <v>0</v>
      </c>
      <c r="AA251" s="1228">
        <f t="shared" si="313"/>
        <v>0</v>
      </c>
      <c r="AB251" s="1224">
        <f t="shared" si="313"/>
        <v>0</v>
      </c>
      <c r="AC251" s="1224">
        <f t="shared" si="313"/>
        <v>0</v>
      </c>
      <c r="AD251" s="1224">
        <f t="shared" si="313"/>
        <v>0</v>
      </c>
      <c r="AE251" s="1224">
        <f t="shared" si="313"/>
        <v>0</v>
      </c>
      <c r="AF251" s="1229">
        <f t="shared" si="313"/>
        <v>0</v>
      </c>
      <c r="AG251" s="4453">
        <f>+'11.3. ДА Базова година'!X190</f>
        <v>0</v>
      </c>
      <c r="AH251" s="1228">
        <f t="shared" si="314"/>
        <v>0</v>
      </c>
      <c r="AI251" s="1224">
        <f t="shared" si="314"/>
        <v>0</v>
      </c>
      <c r="AJ251" s="1224">
        <f t="shared" si="314"/>
        <v>0</v>
      </c>
      <c r="AK251" s="1224">
        <f t="shared" si="314"/>
        <v>0</v>
      </c>
      <c r="AL251" s="1224">
        <f t="shared" si="314"/>
        <v>0</v>
      </c>
      <c r="AM251" s="1229">
        <f t="shared" si="314"/>
        <v>0</v>
      </c>
      <c r="AN251" s="2551"/>
      <c r="AO251" s="2589"/>
      <c r="AP251" s="4488"/>
      <c r="AQ251" s="4504">
        <f t="shared" si="271"/>
        <v>8.8144521763138926</v>
      </c>
      <c r="AR251" s="4504">
        <f t="shared" si="272"/>
        <v>9.0585838237474636</v>
      </c>
      <c r="AS251" s="4504">
        <f t="shared" si="273"/>
        <v>9.3027154711810329</v>
      </c>
      <c r="AT251" s="4504">
        <f t="shared" si="274"/>
        <v>9.546847118614604</v>
      </c>
      <c r="AU251" s="4504">
        <f t="shared" si="275"/>
        <v>9.7909787660481751</v>
      </c>
      <c r="AV251" s="4504">
        <f t="shared" si="276"/>
        <v>10.035110413481744</v>
      </c>
      <c r="AW251" s="4504">
        <f t="shared" si="277"/>
        <v>10.279242060915315</v>
      </c>
      <c r="AX251" s="4504">
        <f t="shared" si="278"/>
        <v>0</v>
      </c>
      <c r="AY251" s="4504">
        <f t="shared" si="279"/>
        <v>0</v>
      </c>
      <c r="AZ251" s="4504">
        <f t="shared" si="280"/>
        <v>0</v>
      </c>
      <c r="BA251" s="4504">
        <f t="shared" si="281"/>
        <v>0</v>
      </c>
      <c r="BB251" s="4504">
        <f t="shared" si="282"/>
        <v>0</v>
      </c>
      <c r="BC251" s="4504">
        <f t="shared" si="283"/>
        <v>0</v>
      </c>
      <c r="BD251" s="4504">
        <f t="shared" si="284"/>
        <v>0</v>
      </c>
      <c r="BE251" s="4504">
        <f t="shared" si="285"/>
        <v>0</v>
      </c>
      <c r="BF251" s="4504">
        <f t="shared" si="286"/>
        <v>0</v>
      </c>
      <c r="BG251" s="4504">
        <f t="shared" si="287"/>
        <v>0</v>
      </c>
      <c r="BH251" s="4504">
        <f t="shared" si="288"/>
        <v>0</v>
      </c>
      <c r="BI251" s="4504">
        <f t="shared" si="289"/>
        <v>0</v>
      </c>
      <c r="BJ251" s="4504">
        <f t="shared" si="290"/>
        <v>0</v>
      </c>
      <c r="BK251" s="4504">
        <f t="shared" si="291"/>
        <v>0</v>
      </c>
      <c r="BL251" s="4504">
        <f t="shared" si="292"/>
        <v>0</v>
      </c>
      <c r="BM251" s="4504">
        <f t="shared" si="293"/>
        <v>0</v>
      </c>
      <c r="BN251" s="4504">
        <f t="shared" si="294"/>
        <v>0</v>
      </c>
      <c r="BO251" s="4504">
        <f t="shared" si="295"/>
        <v>0</v>
      </c>
      <c r="BP251" s="4504">
        <f t="shared" si="296"/>
        <v>0</v>
      </c>
      <c r="BQ251" s="4504">
        <f t="shared" si="297"/>
        <v>0</v>
      </c>
      <c r="BR251" s="4504">
        <f t="shared" si="298"/>
        <v>0</v>
      </c>
      <c r="BS251" s="4504">
        <f t="shared" si="299"/>
        <v>0</v>
      </c>
      <c r="BT251" s="4504">
        <f t="shared" si="300"/>
        <v>0</v>
      </c>
      <c r="BU251" s="4504">
        <f t="shared" si="301"/>
        <v>0</v>
      </c>
      <c r="BV251" s="4504">
        <f t="shared" si="302"/>
        <v>0</v>
      </c>
      <c r="BW251" s="4504">
        <f t="shared" si="303"/>
        <v>0</v>
      </c>
      <c r="BX251" s="4504">
        <f t="shared" si="304"/>
        <v>0</v>
      </c>
      <c r="BY251" s="4504">
        <f t="shared" si="305"/>
        <v>0</v>
      </c>
    </row>
    <row r="252" spans="1:77" s="1323" customFormat="1">
      <c r="A252" s="2611">
        <v>16</v>
      </c>
      <c r="B252" s="2554" t="s">
        <v>702</v>
      </c>
      <c r="C252" s="2555">
        <v>0.02</v>
      </c>
      <c r="D252" s="2585" t="s">
        <v>420</v>
      </c>
      <c r="E252" s="4453">
        <f>+'11.3. ДА Базова година'!H191</f>
        <v>14410.28634334653</v>
      </c>
      <c r="F252" s="1228">
        <f t="shared" si="310"/>
        <v>15488.664744547183</v>
      </c>
      <c r="G252" s="1224">
        <f t="shared" si="310"/>
        <v>16939.088615347835</v>
      </c>
      <c r="H252" s="1224">
        <f t="shared" si="310"/>
        <v>18516.116146148488</v>
      </c>
      <c r="I252" s="1224">
        <f t="shared" si="310"/>
        <v>20330.406914749139</v>
      </c>
      <c r="J252" s="1224">
        <f t="shared" si="310"/>
        <v>22157.291183349793</v>
      </c>
      <c r="K252" s="1229">
        <f t="shared" si="310"/>
        <v>24449.015026350447</v>
      </c>
      <c r="L252" s="4453">
        <f>+'11.3. ДА Базова година'!L191</f>
        <v>0</v>
      </c>
      <c r="M252" s="1228">
        <f t="shared" si="311"/>
        <v>0</v>
      </c>
      <c r="N252" s="1224">
        <f t="shared" si="311"/>
        <v>0</v>
      </c>
      <c r="O252" s="1224">
        <f t="shared" si="311"/>
        <v>0</v>
      </c>
      <c r="P252" s="1224">
        <f t="shared" si="311"/>
        <v>0</v>
      </c>
      <c r="Q252" s="1224">
        <f t="shared" si="311"/>
        <v>0</v>
      </c>
      <c r="R252" s="1229">
        <f t="shared" si="311"/>
        <v>0</v>
      </c>
      <c r="S252" s="4453">
        <f>+'11.3. ДА Базова година'!P191</f>
        <v>8.6615100000000016</v>
      </c>
      <c r="T252" s="1228">
        <f t="shared" si="312"/>
        <v>9.2058300000000024</v>
      </c>
      <c r="U252" s="1224">
        <f t="shared" si="312"/>
        <v>9.7501500000000032</v>
      </c>
      <c r="V252" s="1224">
        <f t="shared" si="312"/>
        <v>10.294470000000004</v>
      </c>
      <c r="W252" s="1224">
        <f t="shared" si="312"/>
        <v>10.838790000000005</v>
      </c>
      <c r="X252" s="1224">
        <f t="shared" si="312"/>
        <v>11.383110000000006</v>
      </c>
      <c r="Y252" s="1229">
        <f t="shared" si="312"/>
        <v>11.927430000000006</v>
      </c>
      <c r="Z252" s="4453">
        <f>+'11.3. ДА Базова година'!T191</f>
        <v>0</v>
      </c>
      <c r="AA252" s="1228">
        <f t="shared" si="313"/>
        <v>0</v>
      </c>
      <c r="AB252" s="1224">
        <f t="shared" si="313"/>
        <v>0</v>
      </c>
      <c r="AC252" s="1224">
        <f t="shared" si="313"/>
        <v>0</v>
      </c>
      <c r="AD252" s="1224">
        <f t="shared" si="313"/>
        <v>0</v>
      </c>
      <c r="AE252" s="1224">
        <f t="shared" si="313"/>
        <v>0</v>
      </c>
      <c r="AF252" s="1229">
        <f t="shared" si="313"/>
        <v>0</v>
      </c>
      <c r="AG252" s="4453">
        <f>+'11.3. ДА Базова година'!X191</f>
        <v>1228.7537666534595</v>
      </c>
      <c r="AH252" s="1228">
        <f t="shared" si="314"/>
        <v>1243.2708123608054</v>
      </c>
      <c r="AI252" s="1224">
        <f t="shared" si="314"/>
        <v>1257.7878580681513</v>
      </c>
      <c r="AJ252" s="1224">
        <f t="shared" si="314"/>
        <v>1272.3049037754972</v>
      </c>
      <c r="AK252" s="1224">
        <f t="shared" si="314"/>
        <v>1286.8219494828431</v>
      </c>
      <c r="AL252" s="1224">
        <f t="shared" si="314"/>
        <v>1301.3389951901891</v>
      </c>
      <c r="AM252" s="1229">
        <f t="shared" si="314"/>
        <v>1315.856040897535</v>
      </c>
      <c r="AN252" s="2551"/>
      <c r="AO252" s="2589"/>
      <c r="AP252" s="4488"/>
      <c r="AQ252" s="4504">
        <f t="shared" si="271"/>
        <v>7367.8624130658236</v>
      </c>
      <c r="AR252" s="4504">
        <f t="shared" si="272"/>
        <v>7919.2285344570764</v>
      </c>
      <c r="AS252" s="4504">
        <f t="shared" si="273"/>
        <v>8660.8184838906418</v>
      </c>
      <c r="AT252" s="4504">
        <f t="shared" si="274"/>
        <v>9467.1398568119366</v>
      </c>
      <c r="AU252" s="4504">
        <f t="shared" si="275"/>
        <v>10394.771996926696</v>
      </c>
      <c r="AV252" s="4504">
        <f t="shared" si="276"/>
        <v>11328.843091347302</v>
      </c>
      <c r="AW252" s="4504">
        <f t="shared" si="277"/>
        <v>12500.582886217333</v>
      </c>
      <c r="AX252" s="4504">
        <f t="shared" si="278"/>
        <v>0</v>
      </c>
      <c r="AY252" s="4504">
        <f t="shared" si="279"/>
        <v>0</v>
      </c>
      <c r="AZ252" s="4504">
        <f t="shared" si="280"/>
        <v>0</v>
      </c>
      <c r="BA252" s="4504">
        <f t="shared" si="281"/>
        <v>0</v>
      </c>
      <c r="BB252" s="4504">
        <f t="shared" si="282"/>
        <v>0</v>
      </c>
      <c r="BC252" s="4504">
        <f t="shared" si="283"/>
        <v>0</v>
      </c>
      <c r="BD252" s="4504">
        <f t="shared" si="284"/>
        <v>0</v>
      </c>
      <c r="BE252" s="4504">
        <f t="shared" si="285"/>
        <v>4.4285597418998597</v>
      </c>
      <c r="BF252" s="4504">
        <f t="shared" si="286"/>
        <v>4.7068661386725852</v>
      </c>
      <c r="BG252" s="4504">
        <f t="shared" si="287"/>
        <v>4.9851725354453116</v>
      </c>
      <c r="BH252" s="4504">
        <f t="shared" si="288"/>
        <v>5.2634789322180371</v>
      </c>
      <c r="BI252" s="4504">
        <f t="shared" si="289"/>
        <v>5.5417853289907635</v>
      </c>
      <c r="BJ252" s="4504">
        <f t="shared" si="290"/>
        <v>5.8200917257634899</v>
      </c>
      <c r="BK252" s="4504">
        <f t="shared" si="291"/>
        <v>6.0983981225362154</v>
      </c>
      <c r="BL252" s="4504">
        <f t="shared" si="292"/>
        <v>0</v>
      </c>
      <c r="BM252" s="4504">
        <f t="shared" si="293"/>
        <v>0</v>
      </c>
      <c r="BN252" s="4504">
        <f t="shared" si="294"/>
        <v>0</v>
      </c>
      <c r="BO252" s="4504">
        <f t="shared" si="295"/>
        <v>0</v>
      </c>
      <c r="BP252" s="4504">
        <f t="shared" si="296"/>
        <v>0</v>
      </c>
      <c r="BQ252" s="4504">
        <f t="shared" si="297"/>
        <v>0</v>
      </c>
      <c r="BR252" s="4504">
        <f t="shared" si="298"/>
        <v>0</v>
      </c>
      <c r="BS252" s="4504">
        <f t="shared" si="299"/>
        <v>628.25182487918664</v>
      </c>
      <c r="BT252" s="4504">
        <f t="shared" si="300"/>
        <v>635.674272488307</v>
      </c>
      <c r="BU252" s="4504">
        <f t="shared" si="301"/>
        <v>643.09672009742735</v>
      </c>
      <c r="BV252" s="4504">
        <f t="shared" si="302"/>
        <v>650.51916770654771</v>
      </c>
      <c r="BW252" s="4504">
        <f t="shared" si="303"/>
        <v>657.94161531566806</v>
      </c>
      <c r="BX252" s="4504">
        <f t="shared" si="304"/>
        <v>665.36406292478853</v>
      </c>
      <c r="BY252" s="4504">
        <f t="shared" si="305"/>
        <v>672.78651053390888</v>
      </c>
    </row>
    <row r="253" spans="1:77" s="1323" customFormat="1">
      <c r="A253" s="2611">
        <v>17</v>
      </c>
      <c r="B253" s="2554" t="s">
        <v>703</v>
      </c>
      <c r="C253" s="2555">
        <v>0.02</v>
      </c>
      <c r="D253" s="2590" t="s">
        <v>421</v>
      </c>
      <c r="E253" s="4453">
        <f>+'11.3. ДА Базова година'!H192</f>
        <v>0</v>
      </c>
      <c r="F253" s="1228">
        <f t="shared" ref="F253:K257" si="315">E253+F231</f>
        <v>0</v>
      </c>
      <c r="G253" s="1224">
        <f t="shared" si="315"/>
        <v>0</v>
      </c>
      <c r="H253" s="1224">
        <f t="shared" si="315"/>
        <v>0</v>
      </c>
      <c r="I253" s="1224">
        <f t="shared" si="315"/>
        <v>0</v>
      </c>
      <c r="J253" s="1224">
        <f t="shared" si="315"/>
        <v>0</v>
      </c>
      <c r="K253" s="1229">
        <f t="shared" si="315"/>
        <v>0</v>
      </c>
      <c r="L253" s="4453">
        <f>+'11.3. ДА Базова година'!L192</f>
        <v>11035.941859999999</v>
      </c>
      <c r="M253" s="1228">
        <f t="shared" ref="M253:R257" si="316">L253+M231</f>
        <v>11881.771079599999</v>
      </c>
      <c r="N253" s="1224">
        <f t="shared" si="316"/>
        <v>12727.600299199999</v>
      </c>
      <c r="O253" s="1224">
        <f t="shared" si="316"/>
        <v>13573.4295188</v>
      </c>
      <c r="P253" s="1224">
        <f t="shared" si="316"/>
        <v>14419.2587384</v>
      </c>
      <c r="Q253" s="1224">
        <f t="shared" si="316"/>
        <v>15265.087958</v>
      </c>
      <c r="R253" s="1229">
        <f t="shared" si="316"/>
        <v>16110.9171776</v>
      </c>
      <c r="S253" s="4453">
        <f>+'11.3. ДА Базова година'!P192</f>
        <v>1.8717900000000003</v>
      </c>
      <c r="T253" s="1228">
        <f t="shared" ref="T253:Y257" si="317">S253+T231</f>
        <v>2.0419500000000004</v>
      </c>
      <c r="U253" s="1224">
        <f t="shared" si="317"/>
        <v>2.2121100000000005</v>
      </c>
      <c r="V253" s="1224">
        <f t="shared" si="317"/>
        <v>2.3822700000000006</v>
      </c>
      <c r="W253" s="1224">
        <f t="shared" si="317"/>
        <v>2.5524300000000006</v>
      </c>
      <c r="X253" s="1224">
        <f t="shared" si="317"/>
        <v>2.7225900000000007</v>
      </c>
      <c r="Y253" s="1229">
        <f t="shared" si="317"/>
        <v>2.8927500000000008</v>
      </c>
      <c r="Z253" s="4453">
        <f>+'11.3. ДА Базова година'!T192</f>
        <v>0</v>
      </c>
      <c r="AA253" s="1228">
        <f t="shared" ref="AA253:AF257" si="318">Z253+AA231</f>
        <v>0</v>
      </c>
      <c r="AB253" s="1224">
        <f t="shared" si="318"/>
        <v>0</v>
      </c>
      <c r="AC253" s="1224">
        <f t="shared" si="318"/>
        <v>0</v>
      </c>
      <c r="AD253" s="1224">
        <f t="shared" si="318"/>
        <v>0</v>
      </c>
      <c r="AE253" s="1224">
        <f t="shared" si="318"/>
        <v>0</v>
      </c>
      <c r="AF253" s="1229">
        <f t="shared" si="318"/>
        <v>0</v>
      </c>
      <c r="AG253" s="4453">
        <f>+'11.3. ДА Базова година'!X192</f>
        <v>0</v>
      </c>
      <c r="AH253" s="1228">
        <f t="shared" ref="AH253:AM257" si="319">AG253+AH231</f>
        <v>0</v>
      </c>
      <c r="AI253" s="1224">
        <f t="shared" si="319"/>
        <v>0</v>
      </c>
      <c r="AJ253" s="1224">
        <f t="shared" si="319"/>
        <v>0</v>
      </c>
      <c r="AK253" s="1224">
        <f t="shared" si="319"/>
        <v>0</v>
      </c>
      <c r="AL253" s="1224">
        <f t="shared" si="319"/>
        <v>0</v>
      </c>
      <c r="AM253" s="1229">
        <f t="shared" si="319"/>
        <v>0</v>
      </c>
      <c r="AN253" s="2551"/>
      <c r="AO253" s="2589"/>
      <c r="AP253" s="4488"/>
      <c r="AQ253" s="4504">
        <f t="shared" si="271"/>
        <v>0</v>
      </c>
      <c r="AR253" s="4504">
        <f t="shared" si="272"/>
        <v>0</v>
      </c>
      <c r="AS253" s="4504">
        <f t="shared" si="273"/>
        <v>0</v>
      </c>
      <c r="AT253" s="4504">
        <f t="shared" si="274"/>
        <v>0</v>
      </c>
      <c r="AU253" s="4504">
        <f t="shared" si="275"/>
        <v>0</v>
      </c>
      <c r="AV253" s="4504">
        <f t="shared" si="276"/>
        <v>0</v>
      </c>
      <c r="AW253" s="4504">
        <f t="shared" si="277"/>
        <v>0</v>
      </c>
      <c r="AX253" s="4504">
        <f t="shared" si="278"/>
        <v>5642.587474371494</v>
      </c>
      <c r="AY253" s="4504">
        <f t="shared" si="279"/>
        <v>6075.0530872315076</v>
      </c>
      <c r="AZ253" s="4504">
        <f t="shared" si="280"/>
        <v>6507.5187000915212</v>
      </c>
      <c r="BA253" s="4504">
        <f t="shared" si="281"/>
        <v>6939.9843129515348</v>
      </c>
      <c r="BB253" s="4504">
        <f t="shared" si="282"/>
        <v>7372.4499258115484</v>
      </c>
      <c r="BC253" s="4504">
        <f t="shared" si="283"/>
        <v>7804.915538671562</v>
      </c>
      <c r="BD253" s="4504">
        <f t="shared" si="284"/>
        <v>8237.3811515315756</v>
      </c>
      <c r="BE253" s="4504">
        <f t="shared" si="285"/>
        <v>0.95703103030426995</v>
      </c>
      <c r="BF253" s="4504">
        <f t="shared" si="286"/>
        <v>1.0440324568086186</v>
      </c>
      <c r="BG253" s="4504">
        <f t="shared" si="287"/>
        <v>1.1310338833129672</v>
      </c>
      <c r="BH253" s="4504">
        <f t="shared" si="288"/>
        <v>1.2180353098173158</v>
      </c>
      <c r="BI253" s="4504">
        <f t="shared" si="289"/>
        <v>1.3050367363216644</v>
      </c>
      <c r="BJ253" s="4504">
        <f t="shared" si="290"/>
        <v>1.3920381628260128</v>
      </c>
      <c r="BK253" s="4504">
        <f t="shared" si="291"/>
        <v>1.4790395893303614</v>
      </c>
      <c r="BL253" s="4504">
        <f t="shared" si="292"/>
        <v>0</v>
      </c>
      <c r="BM253" s="4504">
        <f t="shared" si="293"/>
        <v>0</v>
      </c>
      <c r="BN253" s="4504">
        <f t="shared" si="294"/>
        <v>0</v>
      </c>
      <c r="BO253" s="4504">
        <f t="shared" si="295"/>
        <v>0</v>
      </c>
      <c r="BP253" s="4504">
        <f t="shared" si="296"/>
        <v>0</v>
      </c>
      <c r="BQ253" s="4504">
        <f t="shared" si="297"/>
        <v>0</v>
      </c>
      <c r="BR253" s="4504">
        <f t="shared" si="298"/>
        <v>0</v>
      </c>
      <c r="BS253" s="4504">
        <f t="shared" si="299"/>
        <v>0</v>
      </c>
      <c r="BT253" s="4504">
        <f t="shared" si="300"/>
        <v>0</v>
      </c>
      <c r="BU253" s="4504">
        <f t="shared" si="301"/>
        <v>0</v>
      </c>
      <c r="BV253" s="4504">
        <f t="shared" si="302"/>
        <v>0</v>
      </c>
      <c r="BW253" s="4504">
        <f t="shared" si="303"/>
        <v>0</v>
      </c>
      <c r="BX253" s="4504">
        <f t="shared" si="304"/>
        <v>0</v>
      </c>
      <c r="BY253" s="4504">
        <f t="shared" si="305"/>
        <v>0</v>
      </c>
    </row>
    <row r="254" spans="1:77" s="1323" customFormat="1" ht="24">
      <c r="A254" s="2611">
        <v>18</v>
      </c>
      <c r="B254" s="2554" t="s">
        <v>704</v>
      </c>
      <c r="C254" s="2555">
        <v>0.04</v>
      </c>
      <c r="D254" s="2590" t="s">
        <v>422</v>
      </c>
      <c r="E254" s="4453">
        <f>+'11.3. ДА Базова година'!H193</f>
        <v>309.17920000000004</v>
      </c>
      <c r="F254" s="1228">
        <f t="shared" si="315"/>
        <v>326.42116000000004</v>
      </c>
      <c r="G254" s="1224">
        <f t="shared" si="315"/>
        <v>343.66312000000005</v>
      </c>
      <c r="H254" s="1224">
        <f t="shared" si="315"/>
        <v>360.90508000000005</v>
      </c>
      <c r="I254" s="1224">
        <f t="shared" si="315"/>
        <v>378.14704000000006</v>
      </c>
      <c r="J254" s="1224">
        <f t="shared" si="315"/>
        <v>395.38900000000007</v>
      </c>
      <c r="K254" s="1229">
        <f t="shared" si="315"/>
        <v>412.63096000000007</v>
      </c>
      <c r="L254" s="4453">
        <f>+'11.3. ДА Базова година'!L193</f>
        <v>23.77975</v>
      </c>
      <c r="M254" s="1228">
        <f t="shared" si="316"/>
        <v>25.941549999999999</v>
      </c>
      <c r="N254" s="1224">
        <f t="shared" si="316"/>
        <v>28.103349999999999</v>
      </c>
      <c r="O254" s="1224">
        <f t="shared" si="316"/>
        <v>30.265149999999998</v>
      </c>
      <c r="P254" s="1224">
        <f t="shared" si="316"/>
        <v>32.426949999999998</v>
      </c>
      <c r="Q254" s="1224">
        <f t="shared" si="316"/>
        <v>34.588749999999997</v>
      </c>
      <c r="R254" s="1229">
        <f t="shared" si="316"/>
        <v>36.750549999999997</v>
      </c>
      <c r="S254" s="4453">
        <f>+'11.3. ДА Базова година'!P193</f>
        <v>8465.123959999999</v>
      </c>
      <c r="T254" s="1228">
        <f t="shared" si="317"/>
        <v>9282.8481199999987</v>
      </c>
      <c r="U254" s="1224">
        <f t="shared" si="317"/>
        <v>10100.572279999998</v>
      </c>
      <c r="V254" s="1224">
        <f t="shared" si="317"/>
        <v>10918.296439999998</v>
      </c>
      <c r="W254" s="1224">
        <f t="shared" si="317"/>
        <v>11736.020599999998</v>
      </c>
      <c r="X254" s="1224">
        <f t="shared" si="317"/>
        <v>12553.744759999998</v>
      </c>
      <c r="Y254" s="1229">
        <f t="shared" si="317"/>
        <v>13371.468919999998</v>
      </c>
      <c r="Z254" s="4453">
        <f>+'11.3. ДА Базова година'!T193</f>
        <v>0</v>
      </c>
      <c r="AA254" s="1228">
        <f t="shared" si="318"/>
        <v>0</v>
      </c>
      <c r="AB254" s="1224">
        <f t="shared" si="318"/>
        <v>0</v>
      </c>
      <c r="AC254" s="1224">
        <f t="shared" si="318"/>
        <v>0</v>
      </c>
      <c r="AD254" s="1224">
        <f t="shared" si="318"/>
        <v>0</v>
      </c>
      <c r="AE254" s="1224">
        <f t="shared" si="318"/>
        <v>0</v>
      </c>
      <c r="AF254" s="1229">
        <f t="shared" si="318"/>
        <v>0</v>
      </c>
      <c r="AG254" s="4453">
        <f>+'11.3. ДА Базова година'!X193</f>
        <v>0</v>
      </c>
      <c r="AH254" s="1228">
        <f t="shared" si="319"/>
        <v>0</v>
      </c>
      <c r="AI254" s="1224">
        <f t="shared" si="319"/>
        <v>0</v>
      </c>
      <c r="AJ254" s="1224">
        <f t="shared" si="319"/>
        <v>0</v>
      </c>
      <c r="AK254" s="1224">
        <f t="shared" si="319"/>
        <v>0</v>
      </c>
      <c r="AL254" s="1224">
        <f t="shared" si="319"/>
        <v>0</v>
      </c>
      <c r="AM254" s="1229">
        <f t="shared" si="319"/>
        <v>0</v>
      </c>
      <c r="AN254" s="2551"/>
      <c r="AO254" s="2589"/>
      <c r="AP254" s="4488"/>
      <c r="AQ254" s="4504">
        <f t="shared" si="271"/>
        <v>158.08081479474188</v>
      </c>
      <c r="AR254" s="4504">
        <f t="shared" si="272"/>
        <v>166.89648895865184</v>
      </c>
      <c r="AS254" s="4504">
        <f t="shared" si="273"/>
        <v>175.7121631225618</v>
      </c>
      <c r="AT254" s="4504">
        <f t="shared" si="274"/>
        <v>184.52783728647177</v>
      </c>
      <c r="AU254" s="4504">
        <f t="shared" si="275"/>
        <v>193.34351145038173</v>
      </c>
      <c r="AV254" s="4504">
        <f t="shared" si="276"/>
        <v>202.15918561429166</v>
      </c>
      <c r="AW254" s="4504">
        <f t="shared" si="277"/>
        <v>210.97485977820162</v>
      </c>
      <c r="AX254" s="4504">
        <f t="shared" si="278"/>
        <v>12.158393111875776</v>
      </c>
      <c r="AY254" s="4504">
        <f t="shared" si="279"/>
        <v>13.263703900645762</v>
      </c>
      <c r="AZ254" s="4504">
        <f t="shared" si="280"/>
        <v>14.369014689415746</v>
      </c>
      <c r="BA254" s="4504">
        <f t="shared" si="281"/>
        <v>15.474325478185731</v>
      </c>
      <c r="BB254" s="4504">
        <f t="shared" si="282"/>
        <v>16.579636266955717</v>
      </c>
      <c r="BC254" s="4504">
        <f t="shared" si="283"/>
        <v>17.684947055725701</v>
      </c>
      <c r="BD254" s="4504">
        <f t="shared" si="284"/>
        <v>18.790257844495684</v>
      </c>
      <c r="BE254" s="4504">
        <f t="shared" si="285"/>
        <v>4328.1491540675825</v>
      </c>
      <c r="BF254" s="4504">
        <f t="shared" si="286"/>
        <v>4746.2448781335797</v>
      </c>
      <c r="BG254" s="4504">
        <f t="shared" si="287"/>
        <v>5164.340602199577</v>
      </c>
      <c r="BH254" s="4504">
        <f t="shared" si="288"/>
        <v>5582.4363262655743</v>
      </c>
      <c r="BI254" s="4504">
        <f t="shared" si="289"/>
        <v>6000.5320503315716</v>
      </c>
      <c r="BJ254" s="4504">
        <f t="shared" si="290"/>
        <v>6418.6277743975697</v>
      </c>
      <c r="BK254" s="4504">
        <f t="shared" si="291"/>
        <v>6836.723498463567</v>
      </c>
      <c r="BL254" s="4504">
        <f t="shared" si="292"/>
        <v>0</v>
      </c>
      <c r="BM254" s="4504">
        <f t="shared" si="293"/>
        <v>0</v>
      </c>
      <c r="BN254" s="4504">
        <f t="shared" si="294"/>
        <v>0</v>
      </c>
      <c r="BO254" s="4504">
        <f t="shared" si="295"/>
        <v>0</v>
      </c>
      <c r="BP254" s="4504">
        <f t="shared" si="296"/>
        <v>0</v>
      </c>
      <c r="BQ254" s="4504">
        <f t="shared" si="297"/>
        <v>0</v>
      </c>
      <c r="BR254" s="4504">
        <f t="shared" si="298"/>
        <v>0</v>
      </c>
      <c r="BS254" s="4504">
        <f t="shared" si="299"/>
        <v>0</v>
      </c>
      <c r="BT254" s="4504">
        <f t="shared" si="300"/>
        <v>0</v>
      </c>
      <c r="BU254" s="4504">
        <f t="shared" si="301"/>
        <v>0</v>
      </c>
      <c r="BV254" s="4504">
        <f t="shared" si="302"/>
        <v>0</v>
      </c>
      <c r="BW254" s="4504">
        <f t="shared" si="303"/>
        <v>0</v>
      </c>
      <c r="BX254" s="4504">
        <f t="shared" si="304"/>
        <v>0</v>
      </c>
      <c r="BY254" s="4504">
        <f t="shared" si="305"/>
        <v>0</v>
      </c>
    </row>
    <row r="255" spans="1:77" s="1323" customFormat="1">
      <c r="A255" s="2611">
        <v>19</v>
      </c>
      <c r="B255" s="2554" t="s">
        <v>705</v>
      </c>
      <c r="C255" s="2555">
        <v>0.04</v>
      </c>
      <c r="D255" s="2590" t="s">
        <v>423</v>
      </c>
      <c r="E255" s="4453">
        <f>+'11.3. ДА Базова година'!H194</f>
        <v>9.5665626397728953</v>
      </c>
      <c r="F255" s="1228">
        <f t="shared" si="315"/>
        <v>9.8464841042062332</v>
      </c>
      <c r="G255" s="1224">
        <f t="shared" si="315"/>
        <v>10.126405568639571</v>
      </c>
      <c r="H255" s="1224">
        <f t="shared" si="315"/>
        <v>10.406327033072909</v>
      </c>
      <c r="I255" s="1224">
        <f t="shared" si="315"/>
        <v>10.686248497506247</v>
      </c>
      <c r="J255" s="1224">
        <f t="shared" si="315"/>
        <v>10.966169961939585</v>
      </c>
      <c r="K255" s="1229">
        <f t="shared" si="315"/>
        <v>11.246091426372923</v>
      </c>
      <c r="L255" s="4453">
        <f>+'11.3. ДА Базова година'!L194</f>
        <v>0</v>
      </c>
      <c r="M255" s="1228">
        <f t="shared" si="316"/>
        <v>0</v>
      </c>
      <c r="N255" s="1224">
        <f t="shared" si="316"/>
        <v>0</v>
      </c>
      <c r="O255" s="1224">
        <f t="shared" si="316"/>
        <v>0</v>
      </c>
      <c r="P255" s="1224">
        <f t="shared" si="316"/>
        <v>0</v>
      </c>
      <c r="Q255" s="1224">
        <f t="shared" si="316"/>
        <v>0</v>
      </c>
      <c r="R255" s="1229">
        <f t="shared" si="316"/>
        <v>0</v>
      </c>
      <c r="S255" s="4453">
        <f>+'11.3. ДА Базова година'!P194</f>
        <v>0</v>
      </c>
      <c r="T255" s="1228">
        <f t="shared" si="317"/>
        <v>0</v>
      </c>
      <c r="U255" s="1224">
        <f t="shared" si="317"/>
        <v>0</v>
      </c>
      <c r="V255" s="1224">
        <f t="shared" si="317"/>
        <v>0</v>
      </c>
      <c r="W255" s="1224">
        <f t="shared" si="317"/>
        <v>0</v>
      </c>
      <c r="X255" s="1224">
        <f t="shared" si="317"/>
        <v>0</v>
      </c>
      <c r="Y255" s="1229">
        <f t="shared" si="317"/>
        <v>0</v>
      </c>
      <c r="Z255" s="4453">
        <f>+'11.3. ДА Базова година'!T194</f>
        <v>0</v>
      </c>
      <c r="AA255" s="1228">
        <f t="shared" si="318"/>
        <v>0</v>
      </c>
      <c r="AB255" s="1224">
        <f t="shared" si="318"/>
        <v>0</v>
      </c>
      <c r="AC255" s="1224">
        <f t="shared" si="318"/>
        <v>0</v>
      </c>
      <c r="AD255" s="1224">
        <f t="shared" si="318"/>
        <v>0</v>
      </c>
      <c r="AE255" s="1224">
        <f t="shared" si="318"/>
        <v>0</v>
      </c>
      <c r="AF255" s="1229">
        <f t="shared" si="318"/>
        <v>0</v>
      </c>
      <c r="AG255" s="4453">
        <f>+'11.3. ДА Базова година'!X194</f>
        <v>32.804497360227103</v>
      </c>
      <c r="AH255" s="1228">
        <f t="shared" si="319"/>
        <v>33.772575895793764</v>
      </c>
      <c r="AI255" s="1224">
        <f t="shared" si="319"/>
        <v>34.740654431360426</v>
      </c>
      <c r="AJ255" s="1224">
        <f t="shared" si="319"/>
        <v>35.708732966927087</v>
      </c>
      <c r="AK255" s="1224">
        <f t="shared" si="319"/>
        <v>36.676811502493749</v>
      </c>
      <c r="AL255" s="1224">
        <f t="shared" si="319"/>
        <v>37.64489003806041</v>
      </c>
      <c r="AM255" s="1229">
        <f t="shared" si="319"/>
        <v>38.612968573627072</v>
      </c>
      <c r="AN255" s="2551"/>
      <c r="AO255" s="2589"/>
      <c r="AP255" s="4488"/>
      <c r="AQ255" s="4504">
        <f t="shared" si="271"/>
        <v>4.8913058086709453</v>
      </c>
      <c r="AR255" s="4504">
        <f t="shared" si="272"/>
        <v>5.0344273808082676</v>
      </c>
      <c r="AS255" s="4504">
        <f t="shared" si="273"/>
        <v>5.1775489529455889</v>
      </c>
      <c r="AT255" s="4504">
        <f t="shared" si="274"/>
        <v>5.3206705250829103</v>
      </c>
      <c r="AU255" s="4504">
        <f t="shared" si="275"/>
        <v>5.4637920972202325</v>
      </c>
      <c r="AV255" s="4504">
        <f t="shared" si="276"/>
        <v>5.6069136693575539</v>
      </c>
      <c r="AW255" s="4504">
        <f t="shared" si="277"/>
        <v>5.7500352414948761</v>
      </c>
      <c r="AX255" s="4504">
        <f t="shared" si="278"/>
        <v>0</v>
      </c>
      <c r="AY255" s="4504">
        <f t="shared" si="279"/>
        <v>0</v>
      </c>
      <c r="AZ255" s="4504">
        <f t="shared" si="280"/>
        <v>0</v>
      </c>
      <c r="BA255" s="4504">
        <f t="shared" si="281"/>
        <v>0</v>
      </c>
      <c r="BB255" s="4504">
        <f t="shared" si="282"/>
        <v>0</v>
      </c>
      <c r="BC255" s="4504">
        <f t="shared" si="283"/>
        <v>0</v>
      </c>
      <c r="BD255" s="4504">
        <f t="shared" si="284"/>
        <v>0</v>
      </c>
      <c r="BE255" s="4504">
        <f t="shared" si="285"/>
        <v>0</v>
      </c>
      <c r="BF255" s="4504">
        <f t="shared" si="286"/>
        <v>0</v>
      </c>
      <c r="BG255" s="4504">
        <f t="shared" si="287"/>
        <v>0</v>
      </c>
      <c r="BH255" s="4504">
        <f t="shared" si="288"/>
        <v>0</v>
      </c>
      <c r="BI255" s="4504">
        <f t="shared" si="289"/>
        <v>0</v>
      </c>
      <c r="BJ255" s="4504">
        <f t="shared" si="290"/>
        <v>0</v>
      </c>
      <c r="BK255" s="4504">
        <f t="shared" si="291"/>
        <v>0</v>
      </c>
      <c r="BL255" s="4504">
        <f t="shared" si="292"/>
        <v>0</v>
      </c>
      <c r="BM255" s="4504">
        <f t="shared" si="293"/>
        <v>0</v>
      </c>
      <c r="BN255" s="4504">
        <f t="shared" si="294"/>
        <v>0</v>
      </c>
      <c r="BO255" s="4504">
        <f t="shared" si="295"/>
        <v>0</v>
      </c>
      <c r="BP255" s="4504">
        <f t="shared" si="296"/>
        <v>0</v>
      </c>
      <c r="BQ255" s="4504">
        <f t="shared" si="297"/>
        <v>0</v>
      </c>
      <c r="BR255" s="4504">
        <f t="shared" si="298"/>
        <v>0</v>
      </c>
      <c r="BS255" s="4504">
        <f t="shared" si="299"/>
        <v>16.7726731670069</v>
      </c>
      <c r="BT255" s="4504">
        <f t="shared" si="300"/>
        <v>17.267643862602458</v>
      </c>
      <c r="BU255" s="4504">
        <f t="shared" si="301"/>
        <v>17.762614558198017</v>
      </c>
      <c r="BV255" s="4504">
        <f t="shared" si="302"/>
        <v>18.257585253793575</v>
      </c>
      <c r="BW255" s="4504">
        <f t="shared" si="303"/>
        <v>18.752555949389134</v>
      </c>
      <c r="BX255" s="4504">
        <f t="shared" si="304"/>
        <v>19.247526644984692</v>
      </c>
      <c r="BY255" s="4504">
        <f t="shared" si="305"/>
        <v>19.74249734058025</v>
      </c>
    </row>
    <row r="256" spans="1:77" s="1323" customFormat="1">
      <c r="A256" s="2611">
        <v>20</v>
      </c>
      <c r="B256" s="2554" t="s">
        <v>717</v>
      </c>
      <c r="C256" s="2555">
        <v>0.04</v>
      </c>
      <c r="D256" s="2609" t="s">
        <v>434</v>
      </c>
      <c r="E256" s="4453">
        <f>+'11.3. ДА Базова година'!H195</f>
        <v>129.50515112855837</v>
      </c>
      <c r="F256" s="1228">
        <f t="shared" si="315"/>
        <v>129.85280112855835</v>
      </c>
      <c r="G256" s="1224">
        <f t="shared" si="315"/>
        <v>130.20045112855834</v>
      </c>
      <c r="H256" s="1224">
        <f t="shared" si="315"/>
        <v>130.54810112855833</v>
      </c>
      <c r="I256" s="1224">
        <f t="shared" si="315"/>
        <v>130.89575112855832</v>
      </c>
      <c r="J256" s="1224">
        <f t="shared" si="315"/>
        <v>131.2434011285583</v>
      </c>
      <c r="K256" s="1229">
        <f t="shared" si="315"/>
        <v>131.59105112855829</v>
      </c>
      <c r="L256" s="4453">
        <f>+'11.3. ДА Базова година'!L195</f>
        <v>0</v>
      </c>
      <c r="M256" s="1228">
        <f t="shared" si="316"/>
        <v>0</v>
      </c>
      <c r="N256" s="1224">
        <f t="shared" si="316"/>
        <v>0</v>
      </c>
      <c r="O256" s="1224">
        <f t="shared" si="316"/>
        <v>0</v>
      </c>
      <c r="P256" s="1224">
        <f t="shared" si="316"/>
        <v>0</v>
      </c>
      <c r="Q256" s="1224">
        <f t="shared" si="316"/>
        <v>0</v>
      </c>
      <c r="R256" s="1229">
        <f t="shared" si="316"/>
        <v>0</v>
      </c>
      <c r="S256" s="4453">
        <f>+'11.3. ДА Базова година'!P195</f>
        <v>3098.3671800000002</v>
      </c>
      <c r="T256" s="1228">
        <f t="shared" si="317"/>
        <v>3337.9458600000003</v>
      </c>
      <c r="U256" s="1224">
        <f t="shared" si="317"/>
        <v>3577.5245400000003</v>
      </c>
      <c r="V256" s="1224">
        <f t="shared" si="317"/>
        <v>3817.1032200000004</v>
      </c>
      <c r="W256" s="1224">
        <f t="shared" si="317"/>
        <v>4056.6819000000005</v>
      </c>
      <c r="X256" s="1224">
        <f t="shared" si="317"/>
        <v>4296.2605800000001</v>
      </c>
      <c r="Y256" s="1229">
        <f t="shared" si="317"/>
        <v>4535.8392599999997</v>
      </c>
      <c r="Z256" s="4453">
        <f>+'11.3. ДА Базова година'!T195</f>
        <v>0</v>
      </c>
      <c r="AA256" s="1228">
        <f t="shared" si="318"/>
        <v>0</v>
      </c>
      <c r="AB256" s="1224">
        <f t="shared" si="318"/>
        <v>0</v>
      </c>
      <c r="AC256" s="1224">
        <f t="shared" si="318"/>
        <v>0</v>
      </c>
      <c r="AD256" s="1224">
        <f t="shared" si="318"/>
        <v>0</v>
      </c>
      <c r="AE256" s="1224">
        <f t="shared" si="318"/>
        <v>0</v>
      </c>
      <c r="AF256" s="1229">
        <f t="shared" si="318"/>
        <v>0</v>
      </c>
      <c r="AG256" s="4453">
        <f>+'11.3. ДА Базова година'!X195</f>
        <v>7.9609288714416087</v>
      </c>
      <c r="AH256" s="1228">
        <f t="shared" si="319"/>
        <v>7.9609288714416087</v>
      </c>
      <c r="AI256" s="1224">
        <f t="shared" si="319"/>
        <v>7.9609288714416087</v>
      </c>
      <c r="AJ256" s="1224">
        <f t="shared" si="319"/>
        <v>7.9609288714416087</v>
      </c>
      <c r="AK256" s="1224">
        <f t="shared" si="319"/>
        <v>7.9609288714416087</v>
      </c>
      <c r="AL256" s="1224">
        <f t="shared" si="319"/>
        <v>7.9609288714416087</v>
      </c>
      <c r="AM256" s="1229">
        <f t="shared" si="319"/>
        <v>7.9609288714416087</v>
      </c>
      <c r="AN256" s="2551"/>
      <c r="AO256" s="2589"/>
      <c r="AP256" s="4488"/>
      <c r="AQ256" s="4504">
        <f t="shared" ref="AQ256:AQ283" si="320">IFERROR(E256/$D$1,0)</f>
        <v>66.214932345121184</v>
      </c>
      <c r="AR256" s="4504">
        <f t="shared" ref="AR256:AR283" si="321">IFERROR(F256/$D$1,0)</f>
        <v>66.392682967619052</v>
      </c>
      <c r="AS256" s="4504">
        <f t="shared" ref="AS256:AS283" si="322">IFERROR(G256/$D$1,0)</f>
        <v>66.570433590116906</v>
      </c>
      <c r="AT256" s="4504">
        <f t="shared" ref="AT256:AT283" si="323">IFERROR(H256/$D$1,0)</f>
        <v>66.74818421261476</v>
      </c>
      <c r="AU256" s="4504">
        <f t="shared" ref="AU256:AU283" si="324">IFERROR(I256/$D$1,0)</f>
        <v>66.925934835112628</v>
      </c>
      <c r="AV256" s="4504">
        <f t="shared" ref="AV256:AV283" si="325">IFERROR(J256/$D$1,0)</f>
        <v>67.103685457610482</v>
      </c>
      <c r="AW256" s="4504">
        <f t="shared" ref="AW256:AW283" si="326">IFERROR(K256/$D$1,0)</f>
        <v>67.281436080108335</v>
      </c>
      <c r="AX256" s="4504">
        <f t="shared" ref="AX256:AX283" si="327">IFERROR(L256/$D$1,0)</f>
        <v>0</v>
      </c>
      <c r="AY256" s="4504">
        <f t="shared" ref="AY256:AY283" si="328">IFERROR(M256/$D$1,0)</f>
        <v>0</v>
      </c>
      <c r="AZ256" s="4504">
        <f t="shared" ref="AZ256:AZ283" si="329">IFERROR(N256/$D$1,0)</f>
        <v>0</v>
      </c>
      <c r="BA256" s="4504">
        <f t="shared" ref="BA256:BA283" si="330">IFERROR(O256/$D$1,0)</f>
        <v>0</v>
      </c>
      <c r="BB256" s="4504">
        <f t="shared" ref="BB256:BB283" si="331">IFERROR(P256/$D$1,0)</f>
        <v>0</v>
      </c>
      <c r="BC256" s="4504">
        <f t="shared" ref="BC256:BC283" si="332">IFERROR(Q256/$D$1,0)</f>
        <v>0</v>
      </c>
      <c r="BD256" s="4504">
        <f t="shared" ref="BD256:BD283" si="333">IFERROR(R256/$D$1,0)</f>
        <v>0</v>
      </c>
      <c r="BE256" s="4504">
        <f t="shared" ref="BE256:BE283" si="334">IFERROR(S256/$D$1,0)</f>
        <v>1584.1699840988226</v>
      </c>
      <c r="BF256" s="4504">
        <f t="shared" ref="BF256:BF283" si="335">IFERROR(T256/$D$1,0)</f>
        <v>1706.6646180905295</v>
      </c>
      <c r="BG256" s="4504">
        <f t="shared" ref="BG256:BG283" si="336">IFERROR(U256/$D$1,0)</f>
        <v>1829.1592520822364</v>
      </c>
      <c r="BH256" s="4504">
        <f t="shared" ref="BH256:BH283" si="337">IFERROR(V256/$D$1,0)</f>
        <v>1951.6538860739433</v>
      </c>
      <c r="BI256" s="4504">
        <f t="shared" ref="BI256:BI283" si="338">IFERROR(W256/$D$1,0)</f>
        <v>2074.1485200656502</v>
      </c>
      <c r="BJ256" s="4504">
        <f t="shared" ref="BJ256:BJ283" si="339">IFERROR(X256/$D$1,0)</f>
        <v>2196.6431540573567</v>
      </c>
      <c r="BK256" s="4504">
        <f t="shared" ref="BK256:BK283" si="340">IFERROR(Y256/$D$1,0)</f>
        <v>2319.1377880490636</v>
      </c>
      <c r="BL256" s="4504">
        <f t="shared" ref="BL256:BL283" si="341">IFERROR(Z256/$D$1,0)</f>
        <v>0</v>
      </c>
      <c r="BM256" s="4504">
        <f t="shared" ref="BM256:BM283" si="342">IFERROR(AA256/$D$1,0)</f>
        <v>0</v>
      </c>
      <c r="BN256" s="4504">
        <f t="shared" ref="BN256:BN283" si="343">IFERROR(AB256/$D$1,0)</f>
        <v>0</v>
      </c>
      <c r="BO256" s="4504">
        <f t="shared" ref="BO256:BO283" si="344">IFERROR(AC256/$D$1,0)</f>
        <v>0</v>
      </c>
      <c r="BP256" s="4504">
        <f t="shared" ref="BP256:BP283" si="345">IFERROR(AD256/$D$1,0)</f>
        <v>0</v>
      </c>
      <c r="BQ256" s="4504">
        <f t="shared" ref="BQ256:BQ283" si="346">IFERROR(AE256/$D$1,0)</f>
        <v>0</v>
      </c>
      <c r="BR256" s="4504">
        <f t="shared" ref="BR256:BR283" si="347">IFERROR(AF256/$D$1,0)</f>
        <v>0</v>
      </c>
      <c r="BS256" s="4504">
        <f t="shared" ref="BS256:BS283" si="348">IFERROR(AG256/$D$1,0)</f>
        <v>4.0703582987486691</v>
      </c>
      <c r="BT256" s="4504">
        <f t="shared" ref="BT256:BT283" si="349">IFERROR(AH256/$D$1,0)</f>
        <v>4.0703582987486691</v>
      </c>
      <c r="BU256" s="4504">
        <f t="shared" ref="BU256:BU283" si="350">IFERROR(AI256/$D$1,0)</f>
        <v>4.0703582987486691</v>
      </c>
      <c r="BV256" s="4504">
        <f t="shared" ref="BV256:BV283" si="351">IFERROR(AJ256/$D$1,0)</f>
        <v>4.0703582987486691</v>
      </c>
      <c r="BW256" s="4504">
        <f t="shared" ref="BW256:BW283" si="352">IFERROR(AK256/$D$1,0)</f>
        <v>4.0703582987486691</v>
      </c>
      <c r="BX256" s="4504">
        <f t="shared" ref="BX256:BX283" si="353">IFERROR(AL256/$D$1,0)</f>
        <v>4.0703582987486691</v>
      </c>
      <c r="BY256" s="4504">
        <f t="shared" ref="BY256:BY283" si="354">IFERROR(AM256/$D$1,0)</f>
        <v>4.0703582987486691</v>
      </c>
    </row>
    <row r="257" spans="1:77" s="1323" customFormat="1" ht="24.6" thickBot="1">
      <c r="A257" s="2611">
        <v>21</v>
      </c>
      <c r="B257" s="2554" t="s">
        <v>707</v>
      </c>
      <c r="C257" s="2560">
        <v>0.2</v>
      </c>
      <c r="D257" s="2590" t="s">
        <v>679</v>
      </c>
      <c r="E257" s="4453">
        <f>+'11.3. ДА Базова година'!H196</f>
        <v>0</v>
      </c>
      <c r="F257" s="2674">
        <f t="shared" si="315"/>
        <v>0</v>
      </c>
      <c r="G257" s="2675">
        <f t="shared" si="315"/>
        <v>0</v>
      </c>
      <c r="H257" s="2675">
        <f t="shared" si="315"/>
        <v>0</v>
      </c>
      <c r="I257" s="2675">
        <f t="shared" si="315"/>
        <v>0</v>
      </c>
      <c r="J257" s="2675">
        <f t="shared" si="315"/>
        <v>0</v>
      </c>
      <c r="K257" s="2676">
        <f t="shared" si="315"/>
        <v>0</v>
      </c>
      <c r="L257" s="4453">
        <f>+'11.3. ДА Базова година'!L196</f>
        <v>0</v>
      </c>
      <c r="M257" s="2674">
        <f t="shared" si="316"/>
        <v>0</v>
      </c>
      <c r="N257" s="2675">
        <f t="shared" si="316"/>
        <v>0</v>
      </c>
      <c r="O257" s="2675">
        <f t="shared" si="316"/>
        <v>0</v>
      </c>
      <c r="P257" s="2675">
        <f t="shared" si="316"/>
        <v>0</v>
      </c>
      <c r="Q257" s="2675">
        <f t="shared" si="316"/>
        <v>0</v>
      </c>
      <c r="R257" s="2676">
        <f t="shared" si="316"/>
        <v>0</v>
      </c>
      <c r="S257" s="4453">
        <f>+'11.3. ДА Базова година'!P196</f>
        <v>0</v>
      </c>
      <c r="T257" s="2674">
        <f t="shared" si="317"/>
        <v>0</v>
      </c>
      <c r="U257" s="2675">
        <f t="shared" si="317"/>
        <v>0</v>
      </c>
      <c r="V257" s="2675">
        <f t="shared" si="317"/>
        <v>0</v>
      </c>
      <c r="W257" s="2675">
        <f t="shared" si="317"/>
        <v>0</v>
      </c>
      <c r="X257" s="2675">
        <f t="shared" si="317"/>
        <v>0</v>
      </c>
      <c r="Y257" s="2676">
        <f t="shared" si="317"/>
        <v>0</v>
      </c>
      <c r="Z257" s="4453">
        <f>+'11.3. ДА Базова година'!T196</f>
        <v>0</v>
      </c>
      <c r="AA257" s="2674">
        <f t="shared" si="318"/>
        <v>0</v>
      </c>
      <c r="AB257" s="2675">
        <f t="shared" si="318"/>
        <v>0</v>
      </c>
      <c r="AC257" s="2675">
        <f t="shared" si="318"/>
        <v>0</v>
      </c>
      <c r="AD257" s="2675">
        <f t="shared" si="318"/>
        <v>0</v>
      </c>
      <c r="AE257" s="2675">
        <f t="shared" si="318"/>
        <v>0</v>
      </c>
      <c r="AF257" s="2676">
        <f t="shared" si="318"/>
        <v>0</v>
      </c>
      <c r="AG257" s="4453">
        <f>+'11.3. ДА Базова година'!X196</f>
        <v>0</v>
      </c>
      <c r="AH257" s="2674">
        <f t="shared" si="319"/>
        <v>0</v>
      </c>
      <c r="AI257" s="2675">
        <f t="shared" si="319"/>
        <v>0</v>
      </c>
      <c r="AJ257" s="2675">
        <f t="shared" si="319"/>
        <v>0</v>
      </c>
      <c r="AK257" s="2675">
        <f t="shared" si="319"/>
        <v>0</v>
      </c>
      <c r="AL257" s="2675">
        <f t="shared" si="319"/>
        <v>0</v>
      </c>
      <c r="AM257" s="2676">
        <f t="shared" si="319"/>
        <v>0</v>
      </c>
      <c r="AN257" s="2551"/>
      <c r="AO257" s="2589"/>
      <c r="AP257" s="4488"/>
      <c r="AQ257" s="4504">
        <f t="shared" si="320"/>
        <v>0</v>
      </c>
      <c r="AR257" s="4504">
        <f t="shared" si="321"/>
        <v>0</v>
      </c>
      <c r="AS257" s="4504">
        <f t="shared" si="322"/>
        <v>0</v>
      </c>
      <c r="AT257" s="4504">
        <f t="shared" si="323"/>
        <v>0</v>
      </c>
      <c r="AU257" s="4504">
        <f t="shared" si="324"/>
        <v>0</v>
      </c>
      <c r="AV257" s="4504">
        <f t="shared" si="325"/>
        <v>0</v>
      </c>
      <c r="AW257" s="4504">
        <f t="shared" si="326"/>
        <v>0</v>
      </c>
      <c r="AX257" s="4504">
        <f t="shared" si="327"/>
        <v>0</v>
      </c>
      <c r="AY257" s="4504">
        <f t="shared" si="328"/>
        <v>0</v>
      </c>
      <c r="AZ257" s="4504">
        <f t="shared" si="329"/>
        <v>0</v>
      </c>
      <c r="BA257" s="4504">
        <f t="shared" si="330"/>
        <v>0</v>
      </c>
      <c r="BB257" s="4504">
        <f t="shared" si="331"/>
        <v>0</v>
      </c>
      <c r="BC257" s="4504">
        <f t="shared" si="332"/>
        <v>0</v>
      </c>
      <c r="BD257" s="4504">
        <f t="shared" si="333"/>
        <v>0</v>
      </c>
      <c r="BE257" s="4504">
        <f t="shared" si="334"/>
        <v>0</v>
      </c>
      <c r="BF257" s="4504">
        <f t="shared" si="335"/>
        <v>0</v>
      </c>
      <c r="BG257" s="4504">
        <f t="shared" si="336"/>
        <v>0</v>
      </c>
      <c r="BH257" s="4504">
        <f t="shared" si="337"/>
        <v>0</v>
      </c>
      <c r="BI257" s="4504">
        <f t="shared" si="338"/>
        <v>0</v>
      </c>
      <c r="BJ257" s="4504">
        <f t="shared" si="339"/>
        <v>0</v>
      </c>
      <c r="BK257" s="4504">
        <f t="shared" si="340"/>
        <v>0</v>
      </c>
      <c r="BL257" s="4504">
        <f t="shared" si="341"/>
        <v>0</v>
      </c>
      <c r="BM257" s="4504">
        <f t="shared" si="342"/>
        <v>0</v>
      </c>
      <c r="BN257" s="4504">
        <f t="shared" si="343"/>
        <v>0</v>
      </c>
      <c r="BO257" s="4504">
        <f t="shared" si="344"/>
        <v>0</v>
      </c>
      <c r="BP257" s="4504">
        <f t="shared" si="345"/>
        <v>0</v>
      </c>
      <c r="BQ257" s="4504">
        <f t="shared" si="346"/>
        <v>0</v>
      </c>
      <c r="BR257" s="4504">
        <f t="shared" si="347"/>
        <v>0</v>
      </c>
      <c r="BS257" s="4504">
        <f t="shared" si="348"/>
        <v>0</v>
      </c>
      <c r="BT257" s="4504">
        <f t="shared" si="349"/>
        <v>0</v>
      </c>
      <c r="BU257" s="4504">
        <f t="shared" si="350"/>
        <v>0</v>
      </c>
      <c r="BV257" s="4504">
        <f t="shared" si="351"/>
        <v>0</v>
      </c>
      <c r="BW257" s="4504">
        <f t="shared" si="352"/>
        <v>0</v>
      </c>
      <c r="BX257" s="4504">
        <f t="shared" si="353"/>
        <v>0</v>
      </c>
      <c r="BY257" s="4504">
        <f t="shared" si="354"/>
        <v>0</v>
      </c>
    </row>
    <row r="258" spans="1:77" s="1323" customFormat="1" ht="13.8" thickBot="1">
      <c r="A258" s="3746" t="s">
        <v>221</v>
      </c>
      <c r="B258" s="2577"/>
      <c r="C258" s="2577"/>
      <c r="D258" s="2540" t="s">
        <v>222</v>
      </c>
      <c r="E258" s="1246">
        <f t="shared" ref="E258" si="355">SUM(E259:E279)</f>
        <v>39945.729996418151</v>
      </c>
      <c r="F258" s="2670">
        <f t="shared" ref="F258:AM258" si="356">SUM(F259:F279)</f>
        <v>48250.58408199418</v>
      </c>
      <c r="G258" s="1147">
        <f t="shared" si="356"/>
        <v>65346.627332570206</v>
      </c>
      <c r="H258" s="1147">
        <f t="shared" si="356"/>
        <v>70043.976443146239</v>
      </c>
      <c r="I258" s="1148">
        <f t="shared" si="356"/>
        <v>80037.041205922273</v>
      </c>
      <c r="J258" s="1147">
        <f t="shared" si="356"/>
        <v>78784.025578698318</v>
      </c>
      <c r="K258" s="1147">
        <f t="shared" si="356"/>
        <v>100010.30209707432</v>
      </c>
      <c r="L258" s="1246">
        <f t="shared" si="356"/>
        <v>30951.24580000003</v>
      </c>
      <c r="M258" s="2670">
        <f t="shared" si="356"/>
        <v>30572.767520400033</v>
      </c>
      <c r="N258" s="1147">
        <f t="shared" si="356"/>
        <v>29720.345260800033</v>
      </c>
      <c r="O258" s="1147">
        <f t="shared" si="356"/>
        <v>28867.923001200033</v>
      </c>
      <c r="P258" s="1148">
        <f t="shared" si="356"/>
        <v>28015.500741600034</v>
      </c>
      <c r="Q258" s="1147">
        <f t="shared" si="356"/>
        <v>27163.078482000034</v>
      </c>
      <c r="R258" s="1147">
        <f t="shared" si="356"/>
        <v>26310.65622240003</v>
      </c>
      <c r="S258" s="1246">
        <f t="shared" si="356"/>
        <v>12031.583889999998</v>
      </c>
      <c r="T258" s="2670">
        <f t="shared" si="356"/>
        <v>16216.376500000002</v>
      </c>
      <c r="U258" s="1147">
        <f t="shared" si="356"/>
        <v>15001.169110000003</v>
      </c>
      <c r="V258" s="1147">
        <f t="shared" si="356"/>
        <v>13785.961720000001</v>
      </c>
      <c r="W258" s="1148">
        <f t="shared" si="356"/>
        <v>12570.754330000003</v>
      </c>
      <c r="X258" s="1147">
        <f t="shared" si="356"/>
        <v>11355.546940000002</v>
      </c>
      <c r="Y258" s="2671">
        <f t="shared" si="356"/>
        <v>10140.339550000004</v>
      </c>
      <c r="Z258" s="1246">
        <f t="shared" si="356"/>
        <v>0</v>
      </c>
      <c r="AA258" s="2670">
        <f t="shared" si="356"/>
        <v>0</v>
      </c>
      <c r="AB258" s="1147">
        <f t="shared" si="356"/>
        <v>0</v>
      </c>
      <c r="AC258" s="1147">
        <f t="shared" si="356"/>
        <v>0</v>
      </c>
      <c r="AD258" s="1148">
        <f t="shared" si="356"/>
        <v>0</v>
      </c>
      <c r="AE258" s="1147">
        <f t="shared" si="356"/>
        <v>0</v>
      </c>
      <c r="AF258" s="2671">
        <f t="shared" si="356"/>
        <v>0</v>
      </c>
      <c r="AG258" s="1246">
        <f t="shared" si="356"/>
        <v>346.30027358183804</v>
      </c>
      <c r="AH258" s="2670">
        <f t="shared" si="356"/>
        <v>328.18838649781071</v>
      </c>
      <c r="AI258" s="1147">
        <f t="shared" si="356"/>
        <v>310.07649941378332</v>
      </c>
      <c r="AJ258" s="1147">
        <f t="shared" si="356"/>
        <v>291.96461232975599</v>
      </c>
      <c r="AK258" s="1148">
        <f t="shared" si="356"/>
        <v>273.85272524572855</v>
      </c>
      <c r="AL258" s="1147">
        <f t="shared" si="356"/>
        <v>255.74083816170122</v>
      </c>
      <c r="AM258" s="2671">
        <f t="shared" si="356"/>
        <v>237.62895107767383</v>
      </c>
      <c r="AN258" s="2551"/>
      <c r="AO258" s="2589"/>
      <c r="AP258" s="4488"/>
      <c r="AQ258" s="4504">
        <f t="shared" si="320"/>
        <v>20423.92743562485</v>
      </c>
      <c r="AR258" s="4504">
        <f t="shared" si="321"/>
        <v>24670.131904099118</v>
      </c>
      <c r="AS258" s="4504">
        <f t="shared" si="322"/>
        <v>33411.200018698051</v>
      </c>
      <c r="AT258" s="4504">
        <f t="shared" si="323"/>
        <v>35812.916482079854</v>
      </c>
      <c r="AU258" s="4504">
        <f t="shared" si="324"/>
        <v>40922.289363555254</v>
      </c>
      <c r="AV258" s="4504">
        <f t="shared" si="325"/>
        <v>40281.632646343656</v>
      </c>
      <c r="AW258" s="4504">
        <f t="shared" si="326"/>
        <v>51134.455498215248</v>
      </c>
      <c r="AX258" s="4504">
        <f t="shared" si="327"/>
        <v>15825.120690448572</v>
      </c>
      <c r="AY258" s="4504">
        <f t="shared" si="328"/>
        <v>15631.607818879982</v>
      </c>
      <c r="AZ258" s="4504">
        <f t="shared" si="329"/>
        <v>15195.771238195566</v>
      </c>
      <c r="BA258" s="4504">
        <f t="shared" si="330"/>
        <v>14759.93465751115</v>
      </c>
      <c r="BB258" s="4504">
        <f t="shared" si="331"/>
        <v>14324.098076826736</v>
      </c>
      <c r="BC258" s="4504">
        <f t="shared" si="332"/>
        <v>13888.261496142321</v>
      </c>
      <c r="BD258" s="4504">
        <f t="shared" si="333"/>
        <v>13452.424915457903</v>
      </c>
      <c r="BE258" s="4504">
        <f t="shared" si="334"/>
        <v>6151.6511608882156</v>
      </c>
      <c r="BF258" s="4504">
        <f t="shared" si="335"/>
        <v>8291.3016468711503</v>
      </c>
      <c r="BG258" s="4504">
        <f t="shared" si="336"/>
        <v>7669.9759743945042</v>
      </c>
      <c r="BH258" s="4504">
        <f t="shared" si="337"/>
        <v>7048.6503019178563</v>
      </c>
      <c r="BI258" s="4504">
        <f t="shared" si="338"/>
        <v>6427.3246294412111</v>
      </c>
      <c r="BJ258" s="4504">
        <f t="shared" si="339"/>
        <v>5805.9989569645631</v>
      </c>
      <c r="BK258" s="4504">
        <f t="shared" si="340"/>
        <v>5184.673284487918</v>
      </c>
      <c r="BL258" s="4504">
        <f t="shared" si="341"/>
        <v>0</v>
      </c>
      <c r="BM258" s="4504">
        <f t="shared" si="342"/>
        <v>0</v>
      </c>
      <c r="BN258" s="4504">
        <f t="shared" si="343"/>
        <v>0</v>
      </c>
      <c r="BO258" s="4504">
        <f t="shared" si="344"/>
        <v>0</v>
      </c>
      <c r="BP258" s="4504">
        <f t="shared" si="345"/>
        <v>0</v>
      </c>
      <c r="BQ258" s="4504">
        <f t="shared" si="346"/>
        <v>0</v>
      </c>
      <c r="BR258" s="4504">
        <f t="shared" si="347"/>
        <v>0</v>
      </c>
      <c r="BS258" s="4504">
        <f t="shared" si="348"/>
        <v>177.06051833842309</v>
      </c>
      <c r="BT258" s="4504">
        <f t="shared" si="349"/>
        <v>167.80005751921726</v>
      </c>
      <c r="BU258" s="4504">
        <f t="shared" si="350"/>
        <v>158.53959670001143</v>
      </c>
      <c r="BV258" s="4504">
        <f t="shared" si="351"/>
        <v>149.2791358808056</v>
      </c>
      <c r="BW258" s="4504">
        <f t="shared" si="352"/>
        <v>140.01867506159971</v>
      </c>
      <c r="BX258" s="4504">
        <f t="shared" si="353"/>
        <v>130.75821424239388</v>
      </c>
      <c r="BY258" s="4504">
        <f t="shared" si="354"/>
        <v>121.49775342318803</v>
      </c>
    </row>
    <row r="259" spans="1:77">
      <c r="A259" s="2553">
        <v>1</v>
      </c>
      <c r="B259" s="2614" t="s">
        <v>696</v>
      </c>
      <c r="C259" s="2571">
        <v>0</v>
      </c>
      <c r="D259" s="2601" t="s">
        <v>558</v>
      </c>
      <c r="E259" s="1249">
        <f>E193-E237</f>
        <v>170.7975894027575</v>
      </c>
      <c r="F259" s="2643">
        <f t="shared" ref="F259:L274" si="357">F193-F237</f>
        <v>170.7975894027575</v>
      </c>
      <c r="G259" s="2641">
        <f t="shared" si="357"/>
        <v>170.7975894027575</v>
      </c>
      <c r="H259" s="2641">
        <f t="shared" si="357"/>
        <v>170.7975894027575</v>
      </c>
      <c r="I259" s="2641">
        <f t="shared" si="357"/>
        <v>170.7975894027575</v>
      </c>
      <c r="J259" s="2641">
        <f t="shared" si="357"/>
        <v>170.7975894027575</v>
      </c>
      <c r="K259" s="2642">
        <f t="shared" si="357"/>
        <v>170.7975894027575</v>
      </c>
      <c r="L259" s="2677">
        <f>L193-L237</f>
        <v>0</v>
      </c>
      <c r="M259" s="2640">
        <f t="shared" ref="M259:S274" si="358">M193-M237</f>
        <v>0</v>
      </c>
      <c r="N259" s="2641">
        <f t="shared" si="358"/>
        <v>0</v>
      </c>
      <c r="O259" s="2641">
        <f t="shared" si="358"/>
        <v>0</v>
      </c>
      <c r="P259" s="2641">
        <f t="shared" si="358"/>
        <v>0</v>
      </c>
      <c r="Q259" s="2641">
        <f t="shared" si="358"/>
        <v>0</v>
      </c>
      <c r="R259" s="2642">
        <f t="shared" si="358"/>
        <v>0</v>
      </c>
      <c r="S259" s="1249">
        <f>S193-S237</f>
        <v>0</v>
      </c>
      <c r="T259" s="2643">
        <f t="shared" ref="T259:Z274" si="359">T193-T237</f>
        <v>0</v>
      </c>
      <c r="U259" s="2641">
        <f t="shared" si="359"/>
        <v>0</v>
      </c>
      <c r="V259" s="2641">
        <f t="shared" si="359"/>
        <v>0</v>
      </c>
      <c r="W259" s="2641">
        <f t="shared" si="359"/>
        <v>0</v>
      </c>
      <c r="X259" s="2641">
        <f t="shared" si="359"/>
        <v>0</v>
      </c>
      <c r="Y259" s="2642">
        <f t="shared" si="359"/>
        <v>0</v>
      </c>
      <c r="Z259" s="1249">
        <f>Z193-Z237</f>
        <v>0</v>
      </c>
      <c r="AA259" s="2643">
        <f t="shared" ref="AA259:AM274" si="360">AA193-AA237</f>
        <v>0</v>
      </c>
      <c r="AB259" s="2641">
        <f t="shared" si="360"/>
        <v>0</v>
      </c>
      <c r="AC259" s="2641">
        <f t="shared" si="360"/>
        <v>0</v>
      </c>
      <c r="AD259" s="2641">
        <f t="shared" si="360"/>
        <v>0</v>
      </c>
      <c r="AE259" s="2641">
        <f t="shared" si="360"/>
        <v>0</v>
      </c>
      <c r="AF259" s="2642">
        <f t="shared" si="360"/>
        <v>0</v>
      </c>
      <c r="AG259" s="1249">
        <f>AG193-AG237</f>
        <v>3.2137305972425696</v>
      </c>
      <c r="AH259" s="2643">
        <f t="shared" ref="AH259:AM261" si="361">AH193-AH237</f>
        <v>3.2137305972425696</v>
      </c>
      <c r="AI259" s="2641">
        <f t="shared" si="361"/>
        <v>3.2137305972425696</v>
      </c>
      <c r="AJ259" s="2641">
        <f t="shared" si="361"/>
        <v>3.2137305972425696</v>
      </c>
      <c r="AK259" s="2641">
        <f t="shared" si="361"/>
        <v>3.2137305972425696</v>
      </c>
      <c r="AL259" s="2641">
        <f t="shared" si="361"/>
        <v>3.2137305972425696</v>
      </c>
      <c r="AM259" s="2642">
        <f t="shared" si="361"/>
        <v>3.2137305972425696</v>
      </c>
      <c r="AN259" s="2551"/>
      <c r="AO259" s="2589"/>
      <c r="AP259" s="4488"/>
      <c r="AQ259" s="4504">
        <f t="shared" si="320"/>
        <v>87.327420789515187</v>
      </c>
      <c r="AR259" s="4504">
        <f t="shared" si="321"/>
        <v>87.327420789515187</v>
      </c>
      <c r="AS259" s="4504">
        <f t="shared" si="322"/>
        <v>87.327420789515187</v>
      </c>
      <c r="AT259" s="4504">
        <f t="shared" si="323"/>
        <v>87.327420789515187</v>
      </c>
      <c r="AU259" s="4504">
        <f t="shared" si="324"/>
        <v>87.327420789515187</v>
      </c>
      <c r="AV259" s="4504">
        <f t="shared" si="325"/>
        <v>87.327420789515187</v>
      </c>
      <c r="AW259" s="4504">
        <f t="shared" si="326"/>
        <v>87.327420789515187</v>
      </c>
      <c r="AX259" s="4504">
        <f t="shared" si="327"/>
        <v>0</v>
      </c>
      <c r="AY259" s="4504">
        <f t="shared" si="328"/>
        <v>0</v>
      </c>
      <c r="AZ259" s="4504">
        <f t="shared" si="329"/>
        <v>0</v>
      </c>
      <c r="BA259" s="4504">
        <f t="shared" si="330"/>
        <v>0</v>
      </c>
      <c r="BB259" s="4504">
        <f t="shared" si="331"/>
        <v>0</v>
      </c>
      <c r="BC259" s="4504">
        <f t="shared" si="332"/>
        <v>0</v>
      </c>
      <c r="BD259" s="4504">
        <f t="shared" si="333"/>
        <v>0</v>
      </c>
      <c r="BE259" s="4504">
        <f t="shared" si="334"/>
        <v>0</v>
      </c>
      <c r="BF259" s="4504">
        <f t="shared" si="335"/>
        <v>0</v>
      </c>
      <c r="BG259" s="4504">
        <f t="shared" si="336"/>
        <v>0</v>
      </c>
      <c r="BH259" s="4504">
        <f t="shared" si="337"/>
        <v>0</v>
      </c>
      <c r="BI259" s="4504">
        <f t="shared" si="338"/>
        <v>0</v>
      </c>
      <c r="BJ259" s="4504">
        <f t="shared" si="339"/>
        <v>0</v>
      </c>
      <c r="BK259" s="4504">
        <f t="shared" si="340"/>
        <v>0</v>
      </c>
      <c r="BL259" s="4504">
        <f t="shared" si="341"/>
        <v>0</v>
      </c>
      <c r="BM259" s="4504">
        <f t="shared" si="342"/>
        <v>0</v>
      </c>
      <c r="BN259" s="4504">
        <f t="shared" si="343"/>
        <v>0</v>
      </c>
      <c r="BO259" s="4504">
        <f t="shared" si="344"/>
        <v>0</v>
      </c>
      <c r="BP259" s="4504">
        <f t="shared" si="345"/>
        <v>0</v>
      </c>
      <c r="BQ259" s="4504">
        <f t="shared" si="346"/>
        <v>0</v>
      </c>
      <c r="BR259" s="4504">
        <f t="shared" si="347"/>
        <v>0</v>
      </c>
      <c r="BS259" s="4504">
        <f t="shared" si="348"/>
        <v>1.6431543627220002</v>
      </c>
      <c r="BT259" s="4504">
        <f t="shared" si="349"/>
        <v>1.6431543627220002</v>
      </c>
      <c r="BU259" s="4504">
        <f t="shared" si="350"/>
        <v>1.6431543627220002</v>
      </c>
      <c r="BV259" s="4504">
        <f t="shared" si="351"/>
        <v>1.6431543627220002</v>
      </c>
      <c r="BW259" s="4504">
        <f t="shared" si="352"/>
        <v>1.6431543627220002</v>
      </c>
      <c r="BX259" s="4504">
        <f t="shared" si="353"/>
        <v>1.6431543627220002</v>
      </c>
      <c r="BY259" s="4504">
        <f t="shared" si="354"/>
        <v>1.6431543627220002</v>
      </c>
    </row>
    <row r="260" spans="1:77">
      <c r="A260" s="2553">
        <v>2</v>
      </c>
      <c r="B260" s="2554" t="s">
        <v>697</v>
      </c>
      <c r="C260" s="2555">
        <v>0.03</v>
      </c>
      <c r="D260" s="2609" t="s">
        <v>426</v>
      </c>
      <c r="E260" s="1249">
        <f>E194-E238</f>
        <v>52.205316920694372</v>
      </c>
      <c r="F260" s="1228">
        <f t="shared" si="357"/>
        <v>43.648629330827816</v>
      </c>
      <c r="G260" s="1224">
        <f t="shared" si="357"/>
        <v>35.091941740961261</v>
      </c>
      <c r="H260" s="1224">
        <f t="shared" si="357"/>
        <v>26.535254151094705</v>
      </c>
      <c r="I260" s="1224">
        <f t="shared" si="357"/>
        <v>17.978566561228149</v>
      </c>
      <c r="J260" s="1224">
        <f t="shared" si="357"/>
        <v>9.4218789713615934</v>
      </c>
      <c r="K260" s="1229">
        <f t="shared" si="357"/>
        <v>0.8651913814950376</v>
      </c>
      <c r="L260" s="2679">
        <f>L194-L238</f>
        <v>80.064629999999994</v>
      </c>
      <c r="M260" s="908">
        <f t="shared" si="358"/>
        <v>76.479629999999986</v>
      </c>
      <c r="N260" s="1224">
        <f t="shared" si="358"/>
        <v>72.894629999999978</v>
      </c>
      <c r="O260" s="1224">
        <f t="shared" si="358"/>
        <v>69.309629999999984</v>
      </c>
      <c r="P260" s="1224">
        <f t="shared" si="358"/>
        <v>65.724629999999991</v>
      </c>
      <c r="Q260" s="1224">
        <f t="shared" si="358"/>
        <v>62.139629999999983</v>
      </c>
      <c r="R260" s="1229">
        <f t="shared" si="358"/>
        <v>58.554629999999982</v>
      </c>
      <c r="S260" s="1249">
        <f>S194-S238</f>
        <v>2053.95021</v>
      </c>
      <c r="T260" s="1228">
        <f t="shared" si="359"/>
        <v>1946.8256099999999</v>
      </c>
      <c r="U260" s="1224">
        <f t="shared" si="359"/>
        <v>1839.7010099999998</v>
      </c>
      <c r="V260" s="1224">
        <f t="shared" si="359"/>
        <v>1732.5764099999997</v>
      </c>
      <c r="W260" s="1224">
        <f t="shared" si="359"/>
        <v>1625.4518099999996</v>
      </c>
      <c r="X260" s="1224">
        <f t="shared" si="359"/>
        <v>1518.3272099999995</v>
      </c>
      <c r="Y260" s="1229">
        <f t="shared" si="359"/>
        <v>1411.2026099999994</v>
      </c>
      <c r="Z260" s="1249">
        <f>Z194-Z238</f>
        <v>0</v>
      </c>
      <c r="AA260" s="1228">
        <f t="shared" si="360"/>
        <v>0</v>
      </c>
      <c r="AB260" s="1224">
        <f t="shared" si="360"/>
        <v>0</v>
      </c>
      <c r="AC260" s="1224">
        <f t="shared" si="360"/>
        <v>0</v>
      </c>
      <c r="AD260" s="1224">
        <f t="shared" si="360"/>
        <v>0</v>
      </c>
      <c r="AE260" s="1224">
        <f t="shared" si="360"/>
        <v>0</v>
      </c>
      <c r="AF260" s="1229">
        <f t="shared" si="360"/>
        <v>0</v>
      </c>
      <c r="AG260" s="1249">
        <f>AG194-AG238</f>
        <v>6.2184630793054225</v>
      </c>
      <c r="AH260" s="1228">
        <f t="shared" si="361"/>
        <v>4.3264006691719601</v>
      </c>
      <c r="AI260" s="1224">
        <f t="shared" si="361"/>
        <v>2.4343382590384977</v>
      </c>
      <c r="AJ260" s="1224">
        <f t="shared" si="361"/>
        <v>0.54227584890503522</v>
      </c>
      <c r="AK260" s="1224">
        <f t="shared" si="361"/>
        <v>-1.3497865612284272</v>
      </c>
      <c r="AL260" s="1224">
        <f t="shared" si="361"/>
        <v>-3.2418489713618897</v>
      </c>
      <c r="AM260" s="1229">
        <f t="shared" si="361"/>
        <v>-5.1339113814953521</v>
      </c>
      <c r="AN260" s="2551"/>
      <c r="AO260" s="2589"/>
      <c r="AP260" s="4488"/>
      <c r="AQ260" s="4504">
        <f t="shared" si="320"/>
        <v>26.692154696826602</v>
      </c>
      <c r="AR260" s="4504">
        <f t="shared" si="321"/>
        <v>22.317189802195394</v>
      </c>
      <c r="AS260" s="4504">
        <f t="shared" si="322"/>
        <v>17.942224907564185</v>
      </c>
      <c r="AT260" s="4504">
        <f t="shared" si="323"/>
        <v>13.567260012932978</v>
      </c>
      <c r="AU260" s="4504">
        <f t="shared" si="324"/>
        <v>9.1922951183017698</v>
      </c>
      <c r="AV260" s="4504">
        <f t="shared" si="325"/>
        <v>4.8173302236705613</v>
      </c>
      <c r="AW260" s="4504">
        <f t="shared" si="326"/>
        <v>0.44236532903935294</v>
      </c>
      <c r="AX260" s="4504">
        <f t="shared" si="327"/>
        <v>40.936395289979188</v>
      </c>
      <c r="AY260" s="4504">
        <f t="shared" si="328"/>
        <v>39.103413895890739</v>
      </c>
      <c r="AZ260" s="4504">
        <f t="shared" si="329"/>
        <v>37.27043250180229</v>
      </c>
      <c r="BA260" s="4504">
        <f t="shared" si="330"/>
        <v>35.437451107713855</v>
      </c>
      <c r="BB260" s="4504">
        <f t="shared" si="331"/>
        <v>33.604469713625413</v>
      </c>
      <c r="BC260" s="4504">
        <f t="shared" si="332"/>
        <v>31.771488319536967</v>
      </c>
      <c r="BD260" s="4504">
        <f t="shared" si="333"/>
        <v>29.938506925448522</v>
      </c>
      <c r="BE260" s="4504">
        <f t="shared" si="334"/>
        <v>1050.168066754268</v>
      </c>
      <c r="BF260" s="4504">
        <f t="shared" si="335"/>
        <v>995.39612849787557</v>
      </c>
      <c r="BG260" s="4504">
        <f t="shared" si="336"/>
        <v>940.62419024148301</v>
      </c>
      <c r="BH260" s="4504">
        <f t="shared" si="337"/>
        <v>885.85225198509056</v>
      </c>
      <c r="BI260" s="4504">
        <f t="shared" si="338"/>
        <v>831.08031372869812</v>
      </c>
      <c r="BJ260" s="4504">
        <f t="shared" si="339"/>
        <v>776.30837547230567</v>
      </c>
      <c r="BK260" s="4504">
        <f t="shared" si="340"/>
        <v>721.53643721591311</v>
      </c>
      <c r="BL260" s="4504">
        <f t="shared" si="341"/>
        <v>0</v>
      </c>
      <c r="BM260" s="4504">
        <f t="shared" si="342"/>
        <v>0</v>
      </c>
      <c r="BN260" s="4504">
        <f t="shared" si="343"/>
        <v>0</v>
      </c>
      <c r="BO260" s="4504">
        <f t="shared" si="344"/>
        <v>0</v>
      </c>
      <c r="BP260" s="4504">
        <f t="shared" si="345"/>
        <v>0</v>
      </c>
      <c r="BQ260" s="4504">
        <f t="shared" si="346"/>
        <v>0</v>
      </c>
      <c r="BR260" s="4504">
        <f t="shared" si="347"/>
        <v>0</v>
      </c>
      <c r="BS260" s="4504">
        <f t="shared" si="348"/>
        <v>3.1794496859672989</v>
      </c>
      <c r="BT260" s="4504">
        <f t="shared" si="349"/>
        <v>2.2120535369495102</v>
      </c>
      <c r="BU260" s="4504">
        <f t="shared" si="350"/>
        <v>1.2446573879317209</v>
      </c>
      <c r="BV260" s="4504">
        <f t="shared" si="351"/>
        <v>0.27726123891393178</v>
      </c>
      <c r="BW260" s="4504">
        <f t="shared" si="352"/>
        <v>-0.6901349101038573</v>
      </c>
      <c r="BX260" s="4504">
        <f t="shared" si="353"/>
        <v>-1.6575310591216463</v>
      </c>
      <c r="BY260" s="4504">
        <f t="shared" si="354"/>
        <v>-2.6249272081394355</v>
      </c>
    </row>
    <row r="261" spans="1:77">
      <c r="A261" s="2553">
        <v>3</v>
      </c>
      <c r="B261" s="2554">
        <v>911301</v>
      </c>
      <c r="C261" s="2555">
        <v>0.1</v>
      </c>
      <c r="D261" s="2609" t="s">
        <v>427</v>
      </c>
      <c r="E261" s="1249">
        <f>E195-E239</f>
        <v>0</v>
      </c>
      <c r="F261" s="1228">
        <f t="shared" si="357"/>
        <v>0</v>
      </c>
      <c r="G261" s="1224">
        <f t="shared" si="357"/>
        <v>0</v>
      </c>
      <c r="H261" s="1224">
        <f t="shared" si="357"/>
        <v>0</v>
      </c>
      <c r="I261" s="1224">
        <f t="shared" si="357"/>
        <v>0</v>
      </c>
      <c r="J261" s="1224">
        <f t="shared" si="357"/>
        <v>0</v>
      </c>
      <c r="K261" s="1229">
        <f t="shared" si="357"/>
        <v>0</v>
      </c>
      <c r="L261" s="2679">
        <f>L195-L239</f>
        <v>0</v>
      </c>
      <c r="M261" s="908">
        <f t="shared" si="358"/>
        <v>0</v>
      </c>
      <c r="N261" s="1224">
        <f t="shared" si="358"/>
        <v>0</v>
      </c>
      <c r="O261" s="1224">
        <f t="shared" si="358"/>
        <v>0</v>
      </c>
      <c r="P261" s="1224">
        <f t="shared" si="358"/>
        <v>0</v>
      </c>
      <c r="Q261" s="1224">
        <f t="shared" si="358"/>
        <v>0</v>
      </c>
      <c r="R261" s="1229">
        <f t="shared" si="358"/>
        <v>0</v>
      </c>
      <c r="S261" s="1249">
        <f>S195-S239</f>
        <v>0</v>
      </c>
      <c r="T261" s="1228">
        <f t="shared" si="359"/>
        <v>0</v>
      </c>
      <c r="U261" s="1224">
        <f t="shared" si="359"/>
        <v>0</v>
      </c>
      <c r="V261" s="1224">
        <f t="shared" si="359"/>
        <v>0</v>
      </c>
      <c r="W261" s="1224">
        <f t="shared" si="359"/>
        <v>0</v>
      </c>
      <c r="X261" s="1224">
        <f t="shared" si="359"/>
        <v>0</v>
      </c>
      <c r="Y261" s="1229">
        <f t="shared" si="359"/>
        <v>0</v>
      </c>
      <c r="Z261" s="1249">
        <f>Z195-Z239</f>
        <v>0</v>
      </c>
      <c r="AA261" s="1228">
        <f t="shared" si="360"/>
        <v>0</v>
      </c>
      <c r="AB261" s="1224">
        <f t="shared" si="360"/>
        <v>0</v>
      </c>
      <c r="AC261" s="1224">
        <f t="shared" si="360"/>
        <v>0</v>
      </c>
      <c r="AD261" s="1224">
        <f t="shared" si="360"/>
        <v>0</v>
      </c>
      <c r="AE261" s="1224">
        <f t="shared" si="360"/>
        <v>0</v>
      </c>
      <c r="AF261" s="1229">
        <f t="shared" si="360"/>
        <v>0</v>
      </c>
      <c r="AG261" s="1249">
        <f>AG195-AG239</f>
        <v>0</v>
      </c>
      <c r="AH261" s="1228">
        <f t="shared" si="361"/>
        <v>0</v>
      </c>
      <c r="AI261" s="1224">
        <f t="shared" si="361"/>
        <v>0</v>
      </c>
      <c r="AJ261" s="1224">
        <f t="shared" si="361"/>
        <v>0</v>
      </c>
      <c r="AK261" s="1224">
        <f t="shared" si="361"/>
        <v>0</v>
      </c>
      <c r="AL261" s="1224">
        <f t="shared" si="361"/>
        <v>0</v>
      </c>
      <c r="AM261" s="1229">
        <f t="shared" si="361"/>
        <v>0</v>
      </c>
      <c r="AN261" s="2551"/>
      <c r="AO261" s="2589"/>
      <c r="AP261" s="4488"/>
      <c r="AQ261" s="4504">
        <f t="shared" si="320"/>
        <v>0</v>
      </c>
      <c r="AR261" s="4504">
        <f t="shared" si="321"/>
        <v>0</v>
      </c>
      <c r="AS261" s="4504">
        <f t="shared" si="322"/>
        <v>0</v>
      </c>
      <c r="AT261" s="4504">
        <f t="shared" si="323"/>
        <v>0</v>
      </c>
      <c r="AU261" s="4504">
        <f t="shared" si="324"/>
        <v>0</v>
      </c>
      <c r="AV261" s="4504">
        <f t="shared" si="325"/>
        <v>0</v>
      </c>
      <c r="AW261" s="4504">
        <f t="shared" si="326"/>
        <v>0</v>
      </c>
      <c r="AX261" s="4504">
        <f t="shared" si="327"/>
        <v>0</v>
      </c>
      <c r="AY261" s="4504">
        <f t="shared" si="328"/>
        <v>0</v>
      </c>
      <c r="AZ261" s="4504">
        <f t="shared" si="329"/>
        <v>0</v>
      </c>
      <c r="BA261" s="4504">
        <f t="shared" si="330"/>
        <v>0</v>
      </c>
      <c r="BB261" s="4504">
        <f t="shared" si="331"/>
        <v>0</v>
      </c>
      <c r="BC261" s="4504">
        <f t="shared" si="332"/>
        <v>0</v>
      </c>
      <c r="BD261" s="4504">
        <f t="shared" si="333"/>
        <v>0</v>
      </c>
      <c r="BE261" s="4504">
        <f t="shared" si="334"/>
        <v>0</v>
      </c>
      <c r="BF261" s="4504">
        <f t="shared" si="335"/>
        <v>0</v>
      </c>
      <c r="BG261" s="4504">
        <f t="shared" si="336"/>
        <v>0</v>
      </c>
      <c r="BH261" s="4504">
        <f t="shared" si="337"/>
        <v>0</v>
      </c>
      <c r="BI261" s="4504">
        <f t="shared" si="338"/>
        <v>0</v>
      </c>
      <c r="BJ261" s="4504">
        <f t="shared" si="339"/>
        <v>0</v>
      </c>
      <c r="BK261" s="4504">
        <f t="shared" si="340"/>
        <v>0</v>
      </c>
      <c r="BL261" s="4504">
        <f t="shared" si="341"/>
        <v>0</v>
      </c>
      <c r="BM261" s="4504">
        <f t="shared" si="342"/>
        <v>0</v>
      </c>
      <c r="BN261" s="4504">
        <f t="shared" si="343"/>
        <v>0</v>
      </c>
      <c r="BO261" s="4504">
        <f t="shared" si="344"/>
        <v>0</v>
      </c>
      <c r="BP261" s="4504">
        <f t="shared" si="345"/>
        <v>0</v>
      </c>
      <c r="BQ261" s="4504">
        <f t="shared" si="346"/>
        <v>0</v>
      </c>
      <c r="BR261" s="4504">
        <f t="shared" si="347"/>
        <v>0</v>
      </c>
      <c r="BS261" s="4504">
        <f t="shared" si="348"/>
        <v>0</v>
      </c>
      <c r="BT261" s="4504">
        <f t="shared" si="349"/>
        <v>0</v>
      </c>
      <c r="BU261" s="4504">
        <f t="shared" si="350"/>
        <v>0</v>
      </c>
      <c r="BV261" s="4504">
        <f t="shared" si="351"/>
        <v>0</v>
      </c>
      <c r="BW261" s="4504">
        <f t="shared" si="352"/>
        <v>0</v>
      </c>
      <c r="BX261" s="4504">
        <f t="shared" si="353"/>
        <v>0</v>
      </c>
      <c r="BY261" s="4504">
        <f t="shared" si="354"/>
        <v>0</v>
      </c>
    </row>
    <row r="262" spans="1:77">
      <c r="A262" s="2553">
        <v>4</v>
      </c>
      <c r="B262" s="2554">
        <v>911302</v>
      </c>
      <c r="C262" s="2555">
        <v>0.1</v>
      </c>
      <c r="D262" s="2609" t="s">
        <v>428</v>
      </c>
      <c r="E262" s="1249">
        <f t="shared" ref="E262:E279" si="362">E196-E240</f>
        <v>0</v>
      </c>
      <c r="F262" s="1228">
        <f t="shared" si="357"/>
        <v>0</v>
      </c>
      <c r="G262" s="1224">
        <f t="shared" si="357"/>
        <v>0</v>
      </c>
      <c r="H262" s="1224">
        <f t="shared" si="357"/>
        <v>0</v>
      </c>
      <c r="I262" s="1224">
        <f t="shared" si="357"/>
        <v>0</v>
      </c>
      <c r="J262" s="1224">
        <f t="shared" si="357"/>
        <v>0</v>
      </c>
      <c r="K262" s="1229">
        <f t="shared" si="357"/>
        <v>0</v>
      </c>
      <c r="L262" s="2679">
        <f t="shared" si="357"/>
        <v>0</v>
      </c>
      <c r="M262" s="908">
        <f t="shared" si="358"/>
        <v>0</v>
      </c>
      <c r="N262" s="1224">
        <f t="shared" si="358"/>
        <v>0</v>
      </c>
      <c r="O262" s="1224">
        <f t="shared" si="358"/>
        <v>0</v>
      </c>
      <c r="P262" s="1224">
        <f t="shared" si="358"/>
        <v>0</v>
      </c>
      <c r="Q262" s="1224">
        <f t="shared" si="358"/>
        <v>0</v>
      </c>
      <c r="R262" s="1229">
        <f t="shared" si="358"/>
        <v>0</v>
      </c>
      <c r="S262" s="1249">
        <f t="shared" si="358"/>
        <v>0</v>
      </c>
      <c r="T262" s="1228">
        <f t="shared" si="359"/>
        <v>0</v>
      </c>
      <c r="U262" s="1224">
        <f t="shared" si="359"/>
        <v>0</v>
      </c>
      <c r="V262" s="1224">
        <f t="shared" si="359"/>
        <v>0</v>
      </c>
      <c r="W262" s="1224">
        <f t="shared" si="359"/>
        <v>0</v>
      </c>
      <c r="X262" s="1224">
        <f t="shared" si="359"/>
        <v>0</v>
      </c>
      <c r="Y262" s="1229">
        <f t="shared" si="359"/>
        <v>0</v>
      </c>
      <c r="Z262" s="1249">
        <f t="shared" si="359"/>
        <v>0</v>
      </c>
      <c r="AA262" s="1228">
        <f t="shared" si="360"/>
        <v>0</v>
      </c>
      <c r="AB262" s="1224">
        <f t="shared" si="360"/>
        <v>0</v>
      </c>
      <c r="AC262" s="1224">
        <f t="shared" si="360"/>
        <v>0</v>
      </c>
      <c r="AD262" s="1224">
        <f t="shared" si="360"/>
        <v>0</v>
      </c>
      <c r="AE262" s="1224">
        <f t="shared" si="360"/>
        <v>0</v>
      </c>
      <c r="AF262" s="1229">
        <f t="shared" si="360"/>
        <v>0</v>
      </c>
      <c r="AG262" s="1249">
        <f t="shared" si="360"/>
        <v>0</v>
      </c>
      <c r="AH262" s="1228">
        <f t="shared" si="360"/>
        <v>0</v>
      </c>
      <c r="AI262" s="1224">
        <f t="shared" si="360"/>
        <v>0</v>
      </c>
      <c r="AJ262" s="1224">
        <f t="shared" si="360"/>
        <v>0</v>
      </c>
      <c r="AK262" s="1224">
        <f t="shared" si="360"/>
        <v>0</v>
      </c>
      <c r="AL262" s="1224">
        <f t="shared" si="360"/>
        <v>0</v>
      </c>
      <c r="AM262" s="1229">
        <f t="shared" si="360"/>
        <v>0</v>
      </c>
      <c r="AN262" s="2551"/>
      <c r="AO262" s="2589"/>
      <c r="AP262" s="4488"/>
      <c r="AQ262" s="4504">
        <f t="shared" si="320"/>
        <v>0</v>
      </c>
      <c r="AR262" s="4504">
        <f t="shared" si="321"/>
        <v>0</v>
      </c>
      <c r="AS262" s="4504">
        <f t="shared" si="322"/>
        <v>0</v>
      </c>
      <c r="AT262" s="4504">
        <f t="shared" si="323"/>
        <v>0</v>
      </c>
      <c r="AU262" s="4504">
        <f t="shared" si="324"/>
        <v>0</v>
      </c>
      <c r="AV262" s="4504">
        <f t="shared" si="325"/>
        <v>0</v>
      </c>
      <c r="AW262" s="4504">
        <f t="shared" si="326"/>
        <v>0</v>
      </c>
      <c r="AX262" s="4504">
        <f t="shared" si="327"/>
        <v>0</v>
      </c>
      <c r="AY262" s="4504">
        <f t="shared" si="328"/>
        <v>0</v>
      </c>
      <c r="AZ262" s="4504">
        <f t="shared" si="329"/>
        <v>0</v>
      </c>
      <c r="BA262" s="4504">
        <f t="shared" si="330"/>
        <v>0</v>
      </c>
      <c r="BB262" s="4504">
        <f t="shared" si="331"/>
        <v>0</v>
      </c>
      <c r="BC262" s="4504">
        <f t="shared" si="332"/>
        <v>0</v>
      </c>
      <c r="BD262" s="4504">
        <f t="shared" si="333"/>
        <v>0</v>
      </c>
      <c r="BE262" s="4504">
        <f t="shared" si="334"/>
        <v>0</v>
      </c>
      <c r="BF262" s="4504">
        <f t="shared" si="335"/>
        <v>0</v>
      </c>
      <c r="BG262" s="4504">
        <f t="shared" si="336"/>
        <v>0</v>
      </c>
      <c r="BH262" s="4504">
        <f t="shared" si="337"/>
        <v>0</v>
      </c>
      <c r="BI262" s="4504">
        <f t="shared" si="338"/>
        <v>0</v>
      </c>
      <c r="BJ262" s="4504">
        <f t="shared" si="339"/>
        <v>0</v>
      </c>
      <c r="BK262" s="4504">
        <f t="shared" si="340"/>
        <v>0</v>
      </c>
      <c r="BL262" s="4504">
        <f t="shared" si="341"/>
        <v>0</v>
      </c>
      <c r="BM262" s="4504">
        <f t="shared" si="342"/>
        <v>0</v>
      </c>
      <c r="BN262" s="4504">
        <f t="shared" si="343"/>
        <v>0</v>
      </c>
      <c r="BO262" s="4504">
        <f t="shared" si="344"/>
        <v>0</v>
      </c>
      <c r="BP262" s="4504">
        <f t="shared" si="345"/>
        <v>0</v>
      </c>
      <c r="BQ262" s="4504">
        <f t="shared" si="346"/>
        <v>0</v>
      </c>
      <c r="BR262" s="4504">
        <f t="shared" si="347"/>
        <v>0</v>
      </c>
      <c r="BS262" s="4504">
        <f t="shared" si="348"/>
        <v>0</v>
      </c>
      <c r="BT262" s="4504">
        <f t="shared" si="349"/>
        <v>0</v>
      </c>
      <c r="BU262" s="4504">
        <f t="shared" si="350"/>
        <v>0</v>
      </c>
      <c r="BV262" s="4504">
        <f t="shared" si="351"/>
        <v>0</v>
      </c>
      <c r="BW262" s="4504">
        <f t="shared" si="352"/>
        <v>0</v>
      </c>
      <c r="BX262" s="4504">
        <f t="shared" si="353"/>
        <v>0</v>
      </c>
      <c r="BY262" s="4504">
        <f t="shared" si="354"/>
        <v>0</v>
      </c>
    </row>
    <row r="263" spans="1:77">
      <c r="A263" s="2553">
        <v>5</v>
      </c>
      <c r="B263" s="2554" t="s">
        <v>714</v>
      </c>
      <c r="C263" s="2555">
        <v>0.1</v>
      </c>
      <c r="D263" s="2590" t="s">
        <v>407</v>
      </c>
      <c r="E263" s="1249">
        <f t="shared" si="362"/>
        <v>1.9045585341928017E-3</v>
      </c>
      <c r="F263" s="1228">
        <f t="shared" si="357"/>
        <v>-0.36745286888796613</v>
      </c>
      <c r="G263" s="1224">
        <f t="shared" si="357"/>
        <v>-0.73681029631012507</v>
      </c>
      <c r="H263" s="1224">
        <f t="shared" si="357"/>
        <v>-1.106167723732284</v>
      </c>
      <c r="I263" s="1224">
        <f t="shared" si="357"/>
        <v>-1.4755251511544429</v>
      </c>
      <c r="J263" s="1224">
        <f t="shared" si="357"/>
        <v>-1.8448825785766019</v>
      </c>
      <c r="K263" s="1229">
        <f t="shared" si="357"/>
        <v>-2.2142400059987608</v>
      </c>
      <c r="L263" s="2679">
        <f t="shared" si="357"/>
        <v>0</v>
      </c>
      <c r="M263" s="908">
        <f t="shared" si="358"/>
        <v>0</v>
      </c>
      <c r="N263" s="1224">
        <f t="shared" si="358"/>
        <v>0</v>
      </c>
      <c r="O263" s="1224">
        <f t="shared" si="358"/>
        <v>0</v>
      </c>
      <c r="P263" s="1224">
        <f t="shared" si="358"/>
        <v>0</v>
      </c>
      <c r="Q263" s="1224">
        <f t="shared" si="358"/>
        <v>0</v>
      </c>
      <c r="R263" s="1229">
        <f t="shared" si="358"/>
        <v>0</v>
      </c>
      <c r="S263" s="1249">
        <f t="shared" si="358"/>
        <v>0</v>
      </c>
      <c r="T263" s="1228">
        <f t="shared" si="359"/>
        <v>0</v>
      </c>
      <c r="U263" s="1224">
        <f t="shared" si="359"/>
        <v>0</v>
      </c>
      <c r="V263" s="1224">
        <f t="shared" si="359"/>
        <v>0</v>
      </c>
      <c r="W263" s="1224">
        <f t="shared" si="359"/>
        <v>0</v>
      </c>
      <c r="X263" s="1224">
        <f t="shared" si="359"/>
        <v>0</v>
      </c>
      <c r="Y263" s="1229">
        <f t="shared" si="359"/>
        <v>0</v>
      </c>
      <c r="Z263" s="1249">
        <f t="shared" si="359"/>
        <v>0</v>
      </c>
      <c r="AA263" s="1228">
        <f t="shared" si="360"/>
        <v>0</v>
      </c>
      <c r="AB263" s="1224">
        <f t="shared" si="360"/>
        <v>0</v>
      </c>
      <c r="AC263" s="1224">
        <f t="shared" si="360"/>
        <v>0</v>
      </c>
      <c r="AD263" s="1224">
        <f t="shared" si="360"/>
        <v>0</v>
      </c>
      <c r="AE263" s="1224">
        <f t="shared" si="360"/>
        <v>0</v>
      </c>
      <c r="AF263" s="1229">
        <f t="shared" si="360"/>
        <v>0</v>
      </c>
      <c r="AG263" s="1249">
        <f t="shared" si="360"/>
        <v>-1.9045585341963545E-3</v>
      </c>
      <c r="AH263" s="1228">
        <f t="shared" si="360"/>
        <v>-0.24167713111204847</v>
      </c>
      <c r="AI263" s="1224">
        <f t="shared" si="360"/>
        <v>-0.48144970368990059</v>
      </c>
      <c r="AJ263" s="1224">
        <f t="shared" si="360"/>
        <v>-0.7212222762677527</v>
      </c>
      <c r="AK263" s="1224">
        <f t="shared" si="360"/>
        <v>-0.96099484884560482</v>
      </c>
      <c r="AL263" s="1224">
        <f t="shared" si="360"/>
        <v>-1.2007674214234569</v>
      </c>
      <c r="AM263" s="1229">
        <f t="shared" si="360"/>
        <v>-1.4405399940013091</v>
      </c>
      <c r="AN263" s="2551"/>
      <c r="AO263" s="2589"/>
      <c r="AP263" s="4488"/>
      <c r="AQ263" s="4504">
        <f t="shared" si="320"/>
        <v>9.7378531579575003E-4</v>
      </c>
      <c r="AR263" s="4504">
        <f t="shared" si="321"/>
        <v>-0.18787566858467564</v>
      </c>
      <c r="AS263" s="4504">
        <f t="shared" si="322"/>
        <v>-0.376725122485147</v>
      </c>
      <c r="AT263" s="4504">
        <f t="shared" si="323"/>
        <v>-0.56557457638561837</v>
      </c>
      <c r="AU263" s="4504">
        <f t="shared" si="324"/>
        <v>-0.75442403028608973</v>
      </c>
      <c r="AV263" s="4504">
        <f t="shared" si="325"/>
        <v>-0.94327348418656121</v>
      </c>
      <c r="AW263" s="4504">
        <f t="shared" si="326"/>
        <v>-1.1321229380870326</v>
      </c>
      <c r="AX263" s="4504">
        <f t="shared" si="327"/>
        <v>0</v>
      </c>
      <c r="AY263" s="4504">
        <f t="shared" si="328"/>
        <v>0</v>
      </c>
      <c r="AZ263" s="4504">
        <f t="shared" si="329"/>
        <v>0</v>
      </c>
      <c r="BA263" s="4504">
        <f t="shared" si="330"/>
        <v>0</v>
      </c>
      <c r="BB263" s="4504">
        <f t="shared" si="331"/>
        <v>0</v>
      </c>
      <c r="BC263" s="4504">
        <f t="shared" si="332"/>
        <v>0</v>
      </c>
      <c r="BD263" s="4504">
        <f t="shared" si="333"/>
        <v>0</v>
      </c>
      <c r="BE263" s="4504">
        <f t="shared" si="334"/>
        <v>0</v>
      </c>
      <c r="BF263" s="4504">
        <f t="shared" si="335"/>
        <v>0</v>
      </c>
      <c r="BG263" s="4504">
        <f t="shared" si="336"/>
        <v>0</v>
      </c>
      <c r="BH263" s="4504">
        <f t="shared" si="337"/>
        <v>0</v>
      </c>
      <c r="BI263" s="4504">
        <f t="shared" si="338"/>
        <v>0</v>
      </c>
      <c r="BJ263" s="4504">
        <f t="shared" si="339"/>
        <v>0</v>
      </c>
      <c r="BK263" s="4504">
        <f t="shared" si="340"/>
        <v>0</v>
      </c>
      <c r="BL263" s="4504">
        <f t="shared" si="341"/>
        <v>0</v>
      </c>
      <c r="BM263" s="4504">
        <f t="shared" si="342"/>
        <v>0</v>
      </c>
      <c r="BN263" s="4504">
        <f t="shared" si="343"/>
        <v>0</v>
      </c>
      <c r="BO263" s="4504">
        <f t="shared" si="344"/>
        <v>0</v>
      </c>
      <c r="BP263" s="4504">
        <f t="shared" si="345"/>
        <v>0</v>
      </c>
      <c r="BQ263" s="4504">
        <f t="shared" si="346"/>
        <v>0</v>
      </c>
      <c r="BR263" s="4504">
        <f t="shared" si="347"/>
        <v>0</v>
      </c>
      <c r="BS263" s="4504">
        <f t="shared" si="348"/>
        <v>-9.737853157975665E-4</v>
      </c>
      <c r="BT263" s="4504">
        <f t="shared" si="349"/>
        <v>-0.12356755500838441</v>
      </c>
      <c r="BU263" s="4504">
        <f t="shared" si="350"/>
        <v>-0.24616132470097124</v>
      </c>
      <c r="BV263" s="4504">
        <f t="shared" si="351"/>
        <v>-0.36875509439355808</v>
      </c>
      <c r="BW263" s="4504">
        <f t="shared" si="352"/>
        <v>-0.49134886408614492</v>
      </c>
      <c r="BX263" s="4504">
        <f t="shared" si="353"/>
        <v>-0.61394263377873182</v>
      </c>
      <c r="BY263" s="4504">
        <f t="shared" si="354"/>
        <v>-0.73653640347131866</v>
      </c>
    </row>
    <row r="264" spans="1:77">
      <c r="A264" s="2553">
        <v>6</v>
      </c>
      <c r="B264" s="2554" t="s">
        <v>715</v>
      </c>
      <c r="C264" s="2555">
        <v>0.1</v>
      </c>
      <c r="D264" s="2590" t="s">
        <v>1001</v>
      </c>
      <c r="E264" s="1249">
        <f t="shared" si="362"/>
        <v>0</v>
      </c>
      <c r="F264" s="1228">
        <f t="shared" si="357"/>
        <v>-3.1999999997367468E-4</v>
      </c>
      <c r="G264" s="1224">
        <f t="shared" si="357"/>
        <v>-6.3999999997577106E-4</v>
      </c>
      <c r="H264" s="1224">
        <f t="shared" si="357"/>
        <v>-9.5999999997786745E-4</v>
      </c>
      <c r="I264" s="1224">
        <f t="shared" si="357"/>
        <v>-1.2799999999799638E-3</v>
      </c>
      <c r="J264" s="1224">
        <f t="shared" si="357"/>
        <v>-1.5999999999820602E-3</v>
      </c>
      <c r="K264" s="1229">
        <f t="shared" si="357"/>
        <v>-1.9199999999841566E-3</v>
      </c>
      <c r="L264" s="2679">
        <f t="shared" si="357"/>
        <v>0</v>
      </c>
      <c r="M264" s="908">
        <f t="shared" si="358"/>
        <v>0</v>
      </c>
      <c r="N264" s="1224">
        <f t="shared" si="358"/>
        <v>0</v>
      </c>
      <c r="O264" s="1224">
        <f t="shared" si="358"/>
        <v>0</v>
      </c>
      <c r="P264" s="1224">
        <f t="shared" si="358"/>
        <v>0</v>
      </c>
      <c r="Q264" s="1224">
        <f t="shared" si="358"/>
        <v>0</v>
      </c>
      <c r="R264" s="1229">
        <f t="shared" si="358"/>
        <v>0</v>
      </c>
      <c r="S264" s="1249">
        <f t="shared" si="358"/>
        <v>0</v>
      </c>
      <c r="T264" s="1228">
        <f t="shared" si="359"/>
        <v>0</v>
      </c>
      <c r="U264" s="1224">
        <f t="shared" si="359"/>
        <v>0</v>
      </c>
      <c r="V264" s="1224">
        <f t="shared" si="359"/>
        <v>0</v>
      </c>
      <c r="W264" s="1224">
        <f t="shared" si="359"/>
        <v>0</v>
      </c>
      <c r="X264" s="1224">
        <f t="shared" si="359"/>
        <v>0</v>
      </c>
      <c r="Y264" s="1229">
        <f t="shared" si="359"/>
        <v>0</v>
      </c>
      <c r="Z264" s="1249">
        <f t="shared" si="359"/>
        <v>0</v>
      </c>
      <c r="AA264" s="1228">
        <f t="shared" si="360"/>
        <v>0</v>
      </c>
      <c r="AB264" s="1224">
        <f t="shared" si="360"/>
        <v>0</v>
      </c>
      <c r="AC264" s="1224">
        <f t="shared" si="360"/>
        <v>0</v>
      </c>
      <c r="AD264" s="1224">
        <f t="shared" si="360"/>
        <v>0</v>
      </c>
      <c r="AE264" s="1224">
        <f t="shared" si="360"/>
        <v>0</v>
      </c>
      <c r="AF264" s="1229">
        <f t="shared" si="360"/>
        <v>0</v>
      </c>
      <c r="AG264" s="1249">
        <f t="shared" si="360"/>
        <v>0</v>
      </c>
      <c r="AH264" s="1228">
        <f t="shared" si="360"/>
        <v>0</v>
      </c>
      <c r="AI264" s="1224">
        <f t="shared" si="360"/>
        <v>0</v>
      </c>
      <c r="AJ264" s="1224">
        <f t="shared" si="360"/>
        <v>0</v>
      </c>
      <c r="AK264" s="1224">
        <f t="shared" si="360"/>
        <v>0</v>
      </c>
      <c r="AL264" s="1224">
        <f t="shared" si="360"/>
        <v>0</v>
      </c>
      <c r="AM264" s="1229">
        <f t="shared" si="360"/>
        <v>0</v>
      </c>
      <c r="AN264" s="2551"/>
      <c r="AO264" s="2589"/>
      <c r="AP264" s="4488"/>
      <c r="AQ264" s="4504">
        <f t="shared" si="320"/>
        <v>0</v>
      </c>
      <c r="AR264" s="4504">
        <f t="shared" si="321"/>
        <v>-1.6361340196933001E-4</v>
      </c>
      <c r="AS264" s="4504">
        <f t="shared" si="322"/>
        <v>-3.2722680395319179E-4</v>
      </c>
      <c r="AT264" s="4504">
        <f t="shared" si="323"/>
        <v>-4.9084020593705353E-4</v>
      </c>
      <c r="AU264" s="4504">
        <f t="shared" si="324"/>
        <v>-6.5445360792091537E-4</v>
      </c>
      <c r="AV264" s="4504">
        <f t="shared" si="325"/>
        <v>-8.180670099047771E-4</v>
      </c>
      <c r="AW264" s="4504">
        <f t="shared" si="326"/>
        <v>-9.8168041188863883E-4</v>
      </c>
      <c r="AX264" s="4504">
        <f t="shared" si="327"/>
        <v>0</v>
      </c>
      <c r="AY264" s="4504">
        <f t="shared" si="328"/>
        <v>0</v>
      </c>
      <c r="AZ264" s="4504">
        <f t="shared" si="329"/>
        <v>0</v>
      </c>
      <c r="BA264" s="4504">
        <f t="shared" si="330"/>
        <v>0</v>
      </c>
      <c r="BB264" s="4504">
        <f t="shared" si="331"/>
        <v>0</v>
      </c>
      <c r="BC264" s="4504">
        <f t="shared" si="332"/>
        <v>0</v>
      </c>
      <c r="BD264" s="4504">
        <f t="shared" si="333"/>
        <v>0</v>
      </c>
      <c r="BE264" s="4504">
        <f t="shared" si="334"/>
        <v>0</v>
      </c>
      <c r="BF264" s="4504">
        <f t="shared" si="335"/>
        <v>0</v>
      </c>
      <c r="BG264" s="4504">
        <f t="shared" si="336"/>
        <v>0</v>
      </c>
      <c r="BH264" s="4504">
        <f t="shared" si="337"/>
        <v>0</v>
      </c>
      <c r="BI264" s="4504">
        <f t="shared" si="338"/>
        <v>0</v>
      </c>
      <c r="BJ264" s="4504">
        <f t="shared" si="339"/>
        <v>0</v>
      </c>
      <c r="BK264" s="4504">
        <f t="shared" si="340"/>
        <v>0</v>
      </c>
      <c r="BL264" s="4504">
        <f t="shared" si="341"/>
        <v>0</v>
      </c>
      <c r="BM264" s="4504">
        <f t="shared" si="342"/>
        <v>0</v>
      </c>
      <c r="BN264" s="4504">
        <f t="shared" si="343"/>
        <v>0</v>
      </c>
      <c r="BO264" s="4504">
        <f t="shared" si="344"/>
        <v>0</v>
      </c>
      <c r="BP264" s="4504">
        <f t="shared" si="345"/>
        <v>0</v>
      </c>
      <c r="BQ264" s="4504">
        <f t="shared" si="346"/>
        <v>0</v>
      </c>
      <c r="BR264" s="4504">
        <f t="shared" si="347"/>
        <v>0</v>
      </c>
      <c r="BS264" s="4504">
        <f t="shared" si="348"/>
        <v>0</v>
      </c>
      <c r="BT264" s="4504">
        <f t="shared" si="349"/>
        <v>0</v>
      </c>
      <c r="BU264" s="4504">
        <f t="shared" si="350"/>
        <v>0</v>
      </c>
      <c r="BV264" s="4504">
        <f t="shared" si="351"/>
        <v>0</v>
      </c>
      <c r="BW264" s="4504">
        <f t="shared" si="352"/>
        <v>0</v>
      </c>
      <c r="BX264" s="4504">
        <f t="shared" si="353"/>
        <v>0</v>
      </c>
      <c r="BY264" s="4504">
        <f t="shared" si="354"/>
        <v>0</v>
      </c>
    </row>
    <row r="265" spans="1:77" ht="24">
      <c r="A265" s="2553">
        <v>7</v>
      </c>
      <c r="B265" s="2554" t="s">
        <v>706</v>
      </c>
      <c r="C265" s="2555">
        <v>0.1</v>
      </c>
      <c r="D265" s="2590" t="s">
        <v>695</v>
      </c>
      <c r="E265" s="1249">
        <f t="shared" si="362"/>
        <v>0</v>
      </c>
      <c r="F265" s="1228">
        <f t="shared" si="357"/>
        <v>0</v>
      </c>
      <c r="G265" s="1224">
        <f t="shared" si="357"/>
        <v>0</v>
      </c>
      <c r="H265" s="1224">
        <f t="shared" si="357"/>
        <v>0</v>
      </c>
      <c r="I265" s="1224">
        <f t="shared" si="357"/>
        <v>0</v>
      </c>
      <c r="J265" s="1224">
        <f t="shared" si="357"/>
        <v>0</v>
      </c>
      <c r="K265" s="1229">
        <f t="shared" si="357"/>
        <v>0</v>
      </c>
      <c r="L265" s="2679">
        <f t="shared" si="357"/>
        <v>0</v>
      </c>
      <c r="M265" s="908">
        <f t="shared" si="358"/>
        <v>0</v>
      </c>
      <c r="N265" s="1224">
        <f t="shared" si="358"/>
        <v>0</v>
      </c>
      <c r="O265" s="1224">
        <f t="shared" si="358"/>
        <v>0</v>
      </c>
      <c r="P265" s="1224">
        <f t="shared" si="358"/>
        <v>0</v>
      </c>
      <c r="Q265" s="1224">
        <f t="shared" si="358"/>
        <v>0</v>
      </c>
      <c r="R265" s="1229">
        <f t="shared" si="358"/>
        <v>0</v>
      </c>
      <c r="S265" s="1249">
        <f t="shared" si="358"/>
        <v>0</v>
      </c>
      <c r="T265" s="1228">
        <f t="shared" si="359"/>
        <v>0</v>
      </c>
      <c r="U265" s="1224">
        <f t="shared" si="359"/>
        <v>0</v>
      </c>
      <c r="V265" s="1224">
        <f t="shared" si="359"/>
        <v>0</v>
      </c>
      <c r="W265" s="1224">
        <f t="shared" si="359"/>
        <v>0</v>
      </c>
      <c r="X265" s="1224">
        <f t="shared" si="359"/>
        <v>0</v>
      </c>
      <c r="Y265" s="1229">
        <f t="shared" si="359"/>
        <v>0</v>
      </c>
      <c r="Z265" s="1249">
        <f t="shared" si="359"/>
        <v>0</v>
      </c>
      <c r="AA265" s="1228">
        <f t="shared" si="360"/>
        <v>0</v>
      </c>
      <c r="AB265" s="1224">
        <f t="shared" si="360"/>
        <v>0</v>
      </c>
      <c r="AC265" s="1224">
        <f t="shared" si="360"/>
        <v>0</v>
      </c>
      <c r="AD265" s="1224">
        <f t="shared" si="360"/>
        <v>0</v>
      </c>
      <c r="AE265" s="1224">
        <f t="shared" si="360"/>
        <v>0</v>
      </c>
      <c r="AF265" s="1229">
        <f t="shared" si="360"/>
        <v>0</v>
      </c>
      <c r="AG265" s="1249">
        <f t="shared" si="360"/>
        <v>0</v>
      </c>
      <c r="AH265" s="1228">
        <f t="shared" si="360"/>
        <v>0</v>
      </c>
      <c r="AI265" s="1224">
        <f t="shared" si="360"/>
        <v>0</v>
      </c>
      <c r="AJ265" s="1224">
        <f t="shared" si="360"/>
        <v>0</v>
      </c>
      <c r="AK265" s="1224">
        <f t="shared" si="360"/>
        <v>0</v>
      </c>
      <c r="AL265" s="1224">
        <f t="shared" si="360"/>
        <v>0</v>
      </c>
      <c r="AM265" s="1229">
        <f t="shared" si="360"/>
        <v>0</v>
      </c>
      <c r="AN265" s="2551"/>
      <c r="AO265" s="2589"/>
      <c r="AP265" s="4488"/>
      <c r="AQ265" s="4504">
        <f t="shared" si="320"/>
        <v>0</v>
      </c>
      <c r="AR265" s="4504">
        <f t="shared" si="321"/>
        <v>0</v>
      </c>
      <c r="AS265" s="4504">
        <f t="shared" si="322"/>
        <v>0</v>
      </c>
      <c r="AT265" s="4504">
        <f t="shared" si="323"/>
        <v>0</v>
      </c>
      <c r="AU265" s="4504">
        <f t="shared" si="324"/>
        <v>0</v>
      </c>
      <c r="AV265" s="4504">
        <f t="shared" si="325"/>
        <v>0</v>
      </c>
      <c r="AW265" s="4504">
        <f t="shared" si="326"/>
        <v>0</v>
      </c>
      <c r="AX265" s="4504">
        <f t="shared" si="327"/>
        <v>0</v>
      </c>
      <c r="AY265" s="4504">
        <f t="shared" si="328"/>
        <v>0</v>
      </c>
      <c r="AZ265" s="4504">
        <f t="shared" si="329"/>
        <v>0</v>
      </c>
      <c r="BA265" s="4504">
        <f t="shared" si="330"/>
        <v>0</v>
      </c>
      <c r="BB265" s="4504">
        <f t="shared" si="331"/>
        <v>0</v>
      </c>
      <c r="BC265" s="4504">
        <f t="shared" si="332"/>
        <v>0</v>
      </c>
      <c r="BD265" s="4504">
        <f t="shared" si="333"/>
        <v>0</v>
      </c>
      <c r="BE265" s="4504">
        <f t="shared" si="334"/>
        <v>0</v>
      </c>
      <c r="BF265" s="4504">
        <f t="shared" si="335"/>
        <v>0</v>
      </c>
      <c r="BG265" s="4504">
        <f t="shared" si="336"/>
        <v>0</v>
      </c>
      <c r="BH265" s="4504">
        <f t="shared" si="337"/>
        <v>0</v>
      </c>
      <c r="BI265" s="4504">
        <f t="shared" si="338"/>
        <v>0</v>
      </c>
      <c r="BJ265" s="4504">
        <f t="shared" si="339"/>
        <v>0</v>
      </c>
      <c r="BK265" s="4504">
        <f t="shared" si="340"/>
        <v>0</v>
      </c>
      <c r="BL265" s="4504">
        <f t="shared" si="341"/>
        <v>0</v>
      </c>
      <c r="BM265" s="4504">
        <f t="shared" si="342"/>
        <v>0</v>
      </c>
      <c r="BN265" s="4504">
        <f t="shared" si="343"/>
        <v>0</v>
      </c>
      <c r="BO265" s="4504">
        <f t="shared" si="344"/>
        <v>0</v>
      </c>
      <c r="BP265" s="4504">
        <f t="shared" si="345"/>
        <v>0</v>
      </c>
      <c r="BQ265" s="4504">
        <f t="shared" si="346"/>
        <v>0</v>
      </c>
      <c r="BR265" s="4504">
        <f t="shared" si="347"/>
        <v>0</v>
      </c>
      <c r="BS265" s="4504">
        <f t="shared" si="348"/>
        <v>0</v>
      </c>
      <c r="BT265" s="4504">
        <f t="shared" si="349"/>
        <v>0</v>
      </c>
      <c r="BU265" s="4504">
        <f t="shared" si="350"/>
        <v>0</v>
      </c>
      <c r="BV265" s="4504">
        <f t="shared" si="351"/>
        <v>0</v>
      </c>
      <c r="BW265" s="4504">
        <f t="shared" si="352"/>
        <v>0</v>
      </c>
      <c r="BX265" s="4504">
        <f t="shared" si="353"/>
        <v>0</v>
      </c>
      <c r="BY265" s="4504">
        <f t="shared" si="354"/>
        <v>0</v>
      </c>
    </row>
    <row r="266" spans="1:77">
      <c r="A266" s="2553">
        <v>8</v>
      </c>
      <c r="B266" s="2554" t="s">
        <v>716</v>
      </c>
      <c r="C266" s="2555">
        <v>0.1</v>
      </c>
      <c r="D266" s="2590" t="s">
        <v>713</v>
      </c>
      <c r="E266" s="1249">
        <f t="shared" si="362"/>
        <v>0</v>
      </c>
      <c r="F266" s="1228">
        <f t="shared" si="357"/>
        <v>0</v>
      </c>
      <c r="G266" s="1224">
        <f t="shared" si="357"/>
        <v>0</v>
      </c>
      <c r="H266" s="1224">
        <f t="shared" si="357"/>
        <v>0</v>
      </c>
      <c r="I266" s="1224">
        <f t="shared" si="357"/>
        <v>0</v>
      </c>
      <c r="J266" s="1224">
        <f t="shared" si="357"/>
        <v>0</v>
      </c>
      <c r="K266" s="1229">
        <f t="shared" si="357"/>
        <v>0</v>
      </c>
      <c r="L266" s="2679">
        <f t="shared" si="357"/>
        <v>0</v>
      </c>
      <c r="M266" s="908">
        <f t="shared" si="358"/>
        <v>0</v>
      </c>
      <c r="N266" s="1224">
        <f t="shared" si="358"/>
        <v>0</v>
      </c>
      <c r="O266" s="1224">
        <f t="shared" si="358"/>
        <v>0</v>
      </c>
      <c r="P266" s="1224">
        <f t="shared" si="358"/>
        <v>0</v>
      </c>
      <c r="Q266" s="1224">
        <f t="shared" si="358"/>
        <v>0</v>
      </c>
      <c r="R266" s="1229">
        <f t="shared" si="358"/>
        <v>0</v>
      </c>
      <c r="S266" s="1249">
        <f t="shared" si="358"/>
        <v>0</v>
      </c>
      <c r="T266" s="1228">
        <f t="shared" si="359"/>
        <v>0</v>
      </c>
      <c r="U266" s="1224">
        <f t="shared" si="359"/>
        <v>0</v>
      </c>
      <c r="V266" s="1224">
        <f t="shared" si="359"/>
        <v>0</v>
      </c>
      <c r="W266" s="1224">
        <f t="shared" si="359"/>
        <v>0</v>
      </c>
      <c r="X266" s="1224">
        <f t="shared" si="359"/>
        <v>0</v>
      </c>
      <c r="Y266" s="1229">
        <f t="shared" si="359"/>
        <v>0</v>
      </c>
      <c r="Z266" s="1249">
        <f t="shared" si="359"/>
        <v>0</v>
      </c>
      <c r="AA266" s="1228">
        <f t="shared" si="360"/>
        <v>0</v>
      </c>
      <c r="AB266" s="1224">
        <f t="shared" si="360"/>
        <v>0</v>
      </c>
      <c r="AC266" s="1224">
        <f t="shared" si="360"/>
        <v>0</v>
      </c>
      <c r="AD266" s="1224">
        <f t="shared" si="360"/>
        <v>0</v>
      </c>
      <c r="AE266" s="1224">
        <f t="shared" si="360"/>
        <v>0</v>
      </c>
      <c r="AF266" s="1229">
        <f t="shared" si="360"/>
        <v>0</v>
      </c>
      <c r="AG266" s="1249">
        <f t="shared" si="360"/>
        <v>0</v>
      </c>
      <c r="AH266" s="1228">
        <f t="shared" si="360"/>
        <v>0</v>
      </c>
      <c r="AI266" s="1224">
        <f t="shared" si="360"/>
        <v>0</v>
      </c>
      <c r="AJ266" s="1224">
        <f t="shared" si="360"/>
        <v>0</v>
      </c>
      <c r="AK266" s="1224">
        <f t="shared" si="360"/>
        <v>0</v>
      </c>
      <c r="AL266" s="1224">
        <f t="shared" si="360"/>
        <v>0</v>
      </c>
      <c r="AM266" s="1229">
        <f t="shared" si="360"/>
        <v>0</v>
      </c>
      <c r="AN266" s="2551"/>
      <c r="AO266" s="2589"/>
      <c r="AP266" s="4488"/>
      <c r="AQ266" s="4504">
        <f t="shared" si="320"/>
        <v>0</v>
      </c>
      <c r="AR266" s="4504">
        <f t="shared" si="321"/>
        <v>0</v>
      </c>
      <c r="AS266" s="4504">
        <f t="shared" si="322"/>
        <v>0</v>
      </c>
      <c r="AT266" s="4504">
        <f t="shared" si="323"/>
        <v>0</v>
      </c>
      <c r="AU266" s="4504">
        <f t="shared" si="324"/>
        <v>0</v>
      </c>
      <c r="AV266" s="4504">
        <f t="shared" si="325"/>
        <v>0</v>
      </c>
      <c r="AW266" s="4504">
        <f t="shared" si="326"/>
        <v>0</v>
      </c>
      <c r="AX266" s="4504">
        <f t="shared" si="327"/>
        <v>0</v>
      </c>
      <c r="AY266" s="4504">
        <f t="shared" si="328"/>
        <v>0</v>
      </c>
      <c r="AZ266" s="4504">
        <f t="shared" si="329"/>
        <v>0</v>
      </c>
      <c r="BA266" s="4504">
        <f t="shared" si="330"/>
        <v>0</v>
      </c>
      <c r="BB266" s="4504">
        <f t="shared" si="331"/>
        <v>0</v>
      </c>
      <c r="BC266" s="4504">
        <f t="shared" si="332"/>
        <v>0</v>
      </c>
      <c r="BD266" s="4504">
        <f t="shared" si="333"/>
        <v>0</v>
      </c>
      <c r="BE266" s="4504">
        <f t="shared" si="334"/>
        <v>0</v>
      </c>
      <c r="BF266" s="4504">
        <f t="shared" si="335"/>
        <v>0</v>
      </c>
      <c r="BG266" s="4504">
        <f t="shared" si="336"/>
        <v>0</v>
      </c>
      <c r="BH266" s="4504">
        <f t="shared" si="337"/>
        <v>0</v>
      </c>
      <c r="BI266" s="4504">
        <f t="shared" si="338"/>
        <v>0</v>
      </c>
      <c r="BJ266" s="4504">
        <f t="shared" si="339"/>
        <v>0</v>
      </c>
      <c r="BK266" s="4504">
        <f t="shared" si="340"/>
        <v>0</v>
      </c>
      <c r="BL266" s="4504">
        <f t="shared" si="341"/>
        <v>0</v>
      </c>
      <c r="BM266" s="4504">
        <f t="shared" si="342"/>
        <v>0</v>
      </c>
      <c r="BN266" s="4504">
        <f t="shared" si="343"/>
        <v>0</v>
      </c>
      <c r="BO266" s="4504">
        <f t="shared" si="344"/>
        <v>0</v>
      </c>
      <c r="BP266" s="4504">
        <f t="shared" si="345"/>
        <v>0</v>
      </c>
      <c r="BQ266" s="4504">
        <f t="shared" si="346"/>
        <v>0</v>
      </c>
      <c r="BR266" s="4504">
        <f t="shared" si="347"/>
        <v>0</v>
      </c>
      <c r="BS266" s="4504">
        <f t="shared" si="348"/>
        <v>0</v>
      </c>
      <c r="BT266" s="4504">
        <f t="shared" si="349"/>
        <v>0</v>
      </c>
      <c r="BU266" s="4504">
        <f t="shared" si="350"/>
        <v>0</v>
      </c>
      <c r="BV266" s="4504">
        <f t="shared" si="351"/>
        <v>0</v>
      </c>
      <c r="BW266" s="4504">
        <f t="shared" si="352"/>
        <v>0</v>
      </c>
      <c r="BX266" s="4504">
        <f t="shared" si="353"/>
        <v>0</v>
      </c>
      <c r="BY266" s="4504">
        <f t="shared" si="354"/>
        <v>0</v>
      </c>
    </row>
    <row r="267" spans="1:77">
      <c r="A267" s="2611">
        <v>9</v>
      </c>
      <c r="B267" s="2554">
        <v>911306</v>
      </c>
      <c r="C267" s="2555">
        <v>0.1</v>
      </c>
      <c r="D267" s="2590" t="s">
        <v>1032</v>
      </c>
      <c r="E267" s="1249">
        <f t="shared" si="362"/>
        <v>0</v>
      </c>
      <c r="F267" s="1228">
        <f t="shared" si="357"/>
        <v>-9.4200000000000728E-2</v>
      </c>
      <c r="G267" s="1224">
        <f t="shared" si="357"/>
        <v>-0.18840000000000146</v>
      </c>
      <c r="H267" s="1224">
        <f t="shared" si="357"/>
        <v>-0.28260000000000218</v>
      </c>
      <c r="I267" s="1224">
        <f t="shared" si="357"/>
        <v>-0.37680000000000291</v>
      </c>
      <c r="J267" s="1224">
        <f t="shared" si="357"/>
        <v>-0.47100000000000364</v>
      </c>
      <c r="K267" s="1229">
        <f t="shared" si="357"/>
        <v>-0.56520000000000437</v>
      </c>
      <c r="L267" s="2679">
        <f t="shared" si="357"/>
        <v>18.87379</v>
      </c>
      <c r="M267" s="908">
        <f t="shared" si="358"/>
        <v>18.027549999999998</v>
      </c>
      <c r="N267" s="1224">
        <f t="shared" si="358"/>
        <v>17.181309999999996</v>
      </c>
      <c r="O267" s="1224">
        <f t="shared" si="358"/>
        <v>16.335069999999998</v>
      </c>
      <c r="P267" s="1224">
        <f t="shared" si="358"/>
        <v>15.488829999999998</v>
      </c>
      <c r="Q267" s="1224">
        <f t="shared" si="358"/>
        <v>14.642589999999998</v>
      </c>
      <c r="R267" s="1229">
        <f t="shared" si="358"/>
        <v>13.796349999999999</v>
      </c>
      <c r="S267" s="1249">
        <f t="shared" si="358"/>
        <v>0</v>
      </c>
      <c r="T267" s="1228">
        <f t="shared" si="359"/>
        <v>-1.5899999971225043E-3</v>
      </c>
      <c r="U267" s="1224">
        <f t="shared" si="359"/>
        <v>-3.1799999969734927E-3</v>
      </c>
      <c r="V267" s="1224">
        <f t="shared" si="359"/>
        <v>-4.7699999968244811E-3</v>
      </c>
      <c r="W267" s="1224">
        <f t="shared" si="359"/>
        <v>-6.3599999966754694E-3</v>
      </c>
      <c r="X267" s="1224">
        <f t="shared" si="359"/>
        <v>-7.9499999965264578E-3</v>
      </c>
      <c r="Y267" s="1229">
        <f t="shared" si="359"/>
        <v>-9.5399999963774462E-3</v>
      </c>
      <c r="Z267" s="1249">
        <f t="shared" si="359"/>
        <v>0</v>
      </c>
      <c r="AA267" s="1228">
        <f t="shared" si="360"/>
        <v>0</v>
      </c>
      <c r="AB267" s="1224">
        <f t="shared" si="360"/>
        <v>0</v>
      </c>
      <c r="AC267" s="1224">
        <f t="shared" si="360"/>
        <v>0</v>
      </c>
      <c r="AD267" s="1224">
        <f t="shared" si="360"/>
        <v>0</v>
      </c>
      <c r="AE267" s="1224">
        <f t="shared" si="360"/>
        <v>0</v>
      </c>
      <c r="AF267" s="1229">
        <f t="shared" si="360"/>
        <v>0</v>
      </c>
      <c r="AG267" s="1249">
        <f t="shared" si="360"/>
        <v>0</v>
      </c>
      <c r="AH267" s="1228">
        <f t="shared" si="360"/>
        <v>0</v>
      </c>
      <c r="AI267" s="1224">
        <f t="shared" si="360"/>
        <v>0</v>
      </c>
      <c r="AJ267" s="1224">
        <f t="shared" si="360"/>
        <v>0</v>
      </c>
      <c r="AK267" s="1224">
        <f t="shared" si="360"/>
        <v>0</v>
      </c>
      <c r="AL267" s="1224">
        <f t="shared" si="360"/>
        <v>0</v>
      </c>
      <c r="AM267" s="1229">
        <f t="shared" si="360"/>
        <v>0</v>
      </c>
      <c r="AN267" s="2551"/>
      <c r="AO267" s="2589"/>
      <c r="AP267" s="4488"/>
      <c r="AQ267" s="4504">
        <f t="shared" si="320"/>
        <v>0</v>
      </c>
      <c r="AR267" s="4504">
        <f t="shared" si="321"/>
        <v>-4.8163695208684153E-2</v>
      </c>
      <c r="AS267" s="4504">
        <f t="shared" si="322"/>
        <v>-9.6327390417368305E-2</v>
      </c>
      <c r="AT267" s="4504">
        <f t="shared" si="323"/>
        <v>-0.14449108562605245</v>
      </c>
      <c r="AU267" s="4504">
        <f t="shared" si="324"/>
        <v>-0.19265478083473661</v>
      </c>
      <c r="AV267" s="4504">
        <f t="shared" si="325"/>
        <v>-0.24081847604342077</v>
      </c>
      <c r="AW267" s="4504">
        <f t="shared" si="326"/>
        <v>-0.2889821712521049</v>
      </c>
      <c r="AX267" s="4504">
        <f t="shared" si="327"/>
        <v>9.650015594402376</v>
      </c>
      <c r="AY267" s="4504">
        <f t="shared" si="328"/>
        <v>9.2173399528588877</v>
      </c>
      <c r="AZ267" s="4504">
        <f t="shared" si="329"/>
        <v>8.7846643113153995</v>
      </c>
      <c r="BA267" s="4504">
        <f t="shared" si="330"/>
        <v>8.3519886697719112</v>
      </c>
      <c r="BB267" s="4504">
        <f t="shared" si="331"/>
        <v>7.9193130282284239</v>
      </c>
      <c r="BC267" s="4504">
        <f t="shared" si="332"/>
        <v>7.4866373866849365</v>
      </c>
      <c r="BD267" s="4504">
        <f t="shared" si="333"/>
        <v>7.0539617451414482</v>
      </c>
      <c r="BE267" s="4504">
        <f t="shared" si="334"/>
        <v>0</v>
      </c>
      <c r="BF267" s="4504">
        <f t="shared" si="335"/>
        <v>-8.1295408963074722E-4</v>
      </c>
      <c r="BG267" s="4504">
        <f t="shared" si="336"/>
        <v>-1.6259081806565463E-3</v>
      </c>
      <c r="BH267" s="4504">
        <f t="shared" si="337"/>
        <v>-2.438862271682345E-3</v>
      </c>
      <c r="BI267" s="4504">
        <f t="shared" si="338"/>
        <v>-3.2518163627081442E-3</v>
      </c>
      <c r="BJ267" s="4504">
        <f t="shared" si="339"/>
        <v>-4.0647704537339433E-3</v>
      </c>
      <c r="BK267" s="4504">
        <f t="shared" si="340"/>
        <v>-4.8777245447597425E-3</v>
      </c>
      <c r="BL267" s="4504">
        <f t="shared" si="341"/>
        <v>0</v>
      </c>
      <c r="BM267" s="4504">
        <f t="shared" si="342"/>
        <v>0</v>
      </c>
      <c r="BN267" s="4504">
        <f t="shared" si="343"/>
        <v>0</v>
      </c>
      <c r="BO267" s="4504">
        <f t="shared" si="344"/>
        <v>0</v>
      </c>
      <c r="BP267" s="4504">
        <f t="shared" si="345"/>
        <v>0</v>
      </c>
      <c r="BQ267" s="4504">
        <f t="shared" si="346"/>
        <v>0</v>
      </c>
      <c r="BR267" s="4504">
        <f t="shared" si="347"/>
        <v>0</v>
      </c>
      <c r="BS267" s="4504">
        <f t="shared" si="348"/>
        <v>0</v>
      </c>
      <c r="BT267" s="4504">
        <f t="shared" si="349"/>
        <v>0</v>
      </c>
      <c r="BU267" s="4504">
        <f t="shared" si="350"/>
        <v>0</v>
      </c>
      <c r="BV267" s="4504">
        <f t="shared" si="351"/>
        <v>0</v>
      </c>
      <c r="BW267" s="4504">
        <f t="shared" si="352"/>
        <v>0</v>
      </c>
      <c r="BX267" s="4504">
        <f t="shared" si="353"/>
        <v>0</v>
      </c>
      <c r="BY267" s="4504">
        <f t="shared" si="354"/>
        <v>0</v>
      </c>
    </row>
    <row r="268" spans="1:77">
      <c r="A268" s="2611">
        <v>10</v>
      </c>
      <c r="B268" s="2554">
        <v>91140101</v>
      </c>
      <c r="C268" s="2610">
        <v>0.1</v>
      </c>
      <c r="D268" s="2584" t="s">
        <v>1016</v>
      </c>
      <c r="E268" s="1249">
        <f t="shared" si="362"/>
        <v>0</v>
      </c>
      <c r="F268" s="1228">
        <f t="shared" si="357"/>
        <v>0</v>
      </c>
      <c r="G268" s="1224">
        <f t="shared" si="357"/>
        <v>0</v>
      </c>
      <c r="H268" s="1224">
        <f t="shared" si="357"/>
        <v>0</v>
      </c>
      <c r="I268" s="1224">
        <f t="shared" si="357"/>
        <v>0</v>
      </c>
      <c r="J268" s="1224">
        <f t="shared" si="357"/>
        <v>0</v>
      </c>
      <c r="K268" s="1229">
        <f t="shared" si="357"/>
        <v>0</v>
      </c>
      <c r="L268" s="2679">
        <f t="shared" si="357"/>
        <v>0</v>
      </c>
      <c r="M268" s="908">
        <f t="shared" si="358"/>
        <v>0</v>
      </c>
      <c r="N268" s="1224">
        <f t="shared" si="358"/>
        <v>0</v>
      </c>
      <c r="O268" s="1224">
        <f t="shared" si="358"/>
        <v>0</v>
      </c>
      <c r="P268" s="1224">
        <f t="shared" si="358"/>
        <v>0</v>
      </c>
      <c r="Q268" s="1224">
        <f t="shared" si="358"/>
        <v>0</v>
      </c>
      <c r="R268" s="1229">
        <f t="shared" si="358"/>
        <v>0</v>
      </c>
      <c r="S268" s="1249">
        <f t="shared" si="358"/>
        <v>0</v>
      </c>
      <c r="T268" s="1228">
        <f t="shared" si="359"/>
        <v>0</v>
      </c>
      <c r="U268" s="1224">
        <f t="shared" si="359"/>
        <v>0</v>
      </c>
      <c r="V268" s="1224">
        <f t="shared" si="359"/>
        <v>0</v>
      </c>
      <c r="W268" s="1224">
        <f t="shared" si="359"/>
        <v>0</v>
      </c>
      <c r="X268" s="1224">
        <f t="shared" si="359"/>
        <v>0</v>
      </c>
      <c r="Y268" s="1229">
        <f t="shared" si="359"/>
        <v>0</v>
      </c>
      <c r="Z268" s="1249">
        <f t="shared" si="359"/>
        <v>0</v>
      </c>
      <c r="AA268" s="1228">
        <f t="shared" si="360"/>
        <v>0</v>
      </c>
      <c r="AB268" s="1224">
        <f t="shared" si="360"/>
        <v>0</v>
      </c>
      <c r="AC268" s="1224">
        <f t="shared" si="360"/>
        <v>0</v>
      </c>
      <c r="AD268" s="1224">
        <f t="shared" si="360"/>
        <v>0</v>
      </c>
      <c r="AE268" s="1224">
        <f t="shared" si="360"/>
        <v>0</v>
      </c>
      <c r="AF268" s="1229">
        <f t="shared" si="360"/>
        <v>0</v>
      </c>
      <c r="AG268" s="1249">
        <f t="shared" si="360"/>
        <v>0</v>
      </c>
      <c r="AH268" s="1228">
        <f t="shared" si="360"/>
        <v>0</v>
      </c>
      <c r="AI268" s="1224">
        <f t="shared" si="360"/>
        <v>0</v>
      </c>
      <c r="AJ268" s="1224">
        <f t="shared" si="360"/>
        <v>0</v>
      </c>
      <c r="AK268" s="1224">
        <f t="shared" si="360"/>
        <v>0</v>
      </c>
      <c r="AL268" s="1224">
        <f t="shared" si="360"/>
        <v>0</v>
      </c>
      <c r="AM268" s="1229">
        <f t="shared" si="360"/>
        <v>0</v>
      </c>
      <c r="AN268" s="2551"/>
      <c r="AO268" s="2589"/>
      <c r="AP268" s="4488"/>
      <c r="AQ268" s="4504">
        <f t="shared" si="320"/>
        <v>0</v>
      </c>
      <c r="AR268" s="4504">
        <f t="shared" si="321"/>
        <v>0</v>
      </c>
      <c r="AS268" s="4504">
        <f t="shared" si="322"/>
        <v>0</v>
      </c>
      <c r="AT268" s="4504">
        <f t="shared" si="323"/>
        <v>0</v>
      </c>
      <c r="AU268" s="4504">
        <f t="shared" si="324"/>
        <v>0</v>
      </c>
      <c r="AV268" s="4504">
        <f t="shared" si="325"/>
        <v>0</v>
      </c>
      <c r="AW268" s="4504">
        <f t="shared" si="326"/>
        <v>0</v>
      </c>
      <c r="AX268" s="4504">
        <f t="shared" si="327"/>
        <v>0</v>
      </c>
      <c r="AY268" s="4504">
        <f t="shared" si="328"/>
        <v>0</v>
      </c>
      <c r="AZ268" s="4504">
        <f t="shared" si="329"/>
        <v>0</v>
      </c>
      <c r="BA268" s="4504">
        <f t="shared" si="330"/>
        <v>0</v>
      </c>
      <c r="BB268" s="4504">
        <f t="shared" si="331"/>
        <v>0</v>
      </c>
      <c r="BC268" s="4504">
        <f t="shared" si="332"/>
        <v>0</v>
      </c>
      <c r="BD268" s="4504">
        <f t="shared" si="333"/>
        <v>0</v>
      </c>
      <c r="BE268" s="4504">
        <f t="shared" si="334"/>
        <v>0</v>
      </c>
      <c r="BF268" s="4504">
        <f t="shared" si="335"/>
        <v>0</v>
      </c>
      <c r="BG268" s="4504">
        <f t="shared" si="336"/>
        <v>0</v>
      </c>
      <c r="BH268" s="4504">
        <f t="shared" si="337"/>
        <v>0</v>
      </c>
      <c r="BI268" s="4504">
        <f t="shared" si="338"/>
        <v>0</v>
      </c>
      <c r="BJ268" s="4504">
        <f t="shared" si="339"/>
        <v>0</v>
      </c>
      <c r="BK268" s="4504">
        <f t="shared" si="340"/>
        <v>0</v>
      </c>
      <c r="BL268" s="4504">
        <f t="shared" si="341"/>
        <v>0</v>
      </c>
      <c r="BM268" s="4504">
        <f t="shared" si="342"/>
        <v>0</v>
      </c>
      <c r="BN268" s="4504">
        <f t="shared" si="343"/>
        <v>0</v>
      </c>
      <c r="BO268" s="4504">
        <f t="shared" si="344"/>
        <v>0</v>
      </c>
      <c r="BP268" s="4504">
        <f t="shared" si="345"/>
        <v>0</v>
      </c>
      <c r="BQ268" s="4504">
        <f t="shared" si="346"/>
        <v>0</v>
      </c>
      <c r="BR268" s="4504">
        <f t="shared" si="347"/>
        <v>0</v>
      </c>
      <c r="BS268" s="4504">
        <f t="shared" si="348"/>
        <v>0</v>
      </c>
      <c r="BT268" s="4504">
        <f t="shared" si="349"/>
        <v>0</v>
      </c>
      <c r="BU268" s="4504">
        <f t="shared" si="350"/>
        <v>0</v>
      </c>
      <c r="BV268" s="4504">
        <f t="shared" si="351"/>
        <v>0</v>
      </c>
      <c r="BW268" s="4504">
        <f t="shared" si="352"/>
        <v>0</v>
      </c>
      <c r="BX268" s="4504">
        <f t="shared" si="353"/>
        <v>0</v>
      </c>
      <c r="BY268" s="4504">
        <f t="shared" si="354"/>
        <v>0</v>
      </c>
    </row>
    <row r="269" spans="1:77">
      <c r="A269" s="2611">
        <v>11</v>
      </c>
      <c r="B269" s="2554">
        <v>91140102</v>
      </c>
      <c r="C269" s="2610">
        <v>0.04</v>
      </c>
      <c r="D269" s="2584" t="s">
        <v>432</v>
      </c>
      <c r="E269" s="1249">
        <f t="shared" si="362"/>
        <v>1.8688799999999901</v>
      </c>
      <c r="F269" s="1228">
        <f t="shared" si="357"/>
        <v>0.40035999999997784</v>
      </c>
      <c r="G269" s="1224">
        <f t="shared" si="357"/>
        <v>-1.0681600000000344</v>
      </c>
      <c r="H269" s="1224">
        <f t="shared" si="357"/>
        <v>-2.5366800000000467</v>
      </c>
      <c r="I269" s="1224">
        <f t="shared" si="357"/>
        <v>-4.0052000000000589</v>
      </c>
      <c r="J269" s="1224">
        <f t="shared" si="357"/>
        <v>-5.4737200000000712</v>
      </c>
      <c r="K269" s="1229">
        <f t="shared" si="357"/>
        <v>-6.9422400000000835</v>
      </c>
      <c r="L269" s="2679">
        <f t="shared" si="357"/>
        <v>0</v>
      </c>
      <c r="M269" s="908">
        <f t="shared" si="358"/>
        <v>0</v>
      </c>
      <c r="N269" s="1224">
        <f t="shared" si="358"/>
        <v>0</v>
      </c>
      <c r="O269" s="1224">
        <f t="shared" si="358"/>
        <v>0</v>
      </c>
      <c r="P269" s="1224">
        <f t="shared" si="358"/>
        <v>0</v>
      </c>
      <c r="Q269" s="1224">
        <f t="shared" si="358"/>
        <v>0</v>
      </c>
      <c r="R269" s="1229">
        <f t="shared" si="358"/>
        <v>0</v>
      </c>
      <c r="S269" s="1249">
        <f t="shared" si="358"/>
        <v>483.35643000000027</v>
      </c>
      <c r="T269" s="1228">
        <f t="shared" si="359"/>
        <v>433.29255000000023</v>
      </c>
      <c r="U269" s="1224">
        <f t="shared" si="359"/>
        <v>383.22867000000019</v>
      </c>
      <c r="V269" s="1224">
        <f t="shared" si="359"/>
        <v>333.16479000000015</v>
      </c>
      <c r="W269" s="1224">
        <f t="shared" si="359"/>
        <v>283.10091000000011</v>
      </c>
      <c r="X269" s="1224">
        <f t="shared" si="359"/>
        <v>233.03703000000007</v>
      </c>
      <c r="Y269" s="1229">
        <f t="shared" si="359"/>
        <v>182.97315000000003</v>
      </c>
      <c r="Z269" s="1249">
        <f t="shared" si="359"/>
        <v>0</v>
      </c>
      <c r="AA269" s="1228">
        <f t="shared" si="360"/>
        <v>0</v>
      </c>
      <c r="AB269" s="1224">
        <f t="shared" si="360"/>
        <v>0</v>
      </c>
      <c r="AC269" s="1224">
        <f t="shared" si="360"/>
        <v>0</v>
      </c>
      <c r="AD269" s="1224">
        <f t="shared" si="360"/>
        <v>0</v>
      </c>
      <c r="AE269" s="1224">
        <f t="shared" si="360"/>
        <v>0</v>
      </c>
      <c r="AF269" s="1229">
        <f t="shared" si="360"/>
        <v>0</v>
      </c>
      <c r="AG269" s="1249">
        <f t="shared" si="360"/>
        <v>0</v>
      </c>
      <c r="AH269" s="1228">
        <f t="shared" si="360"/>
        <v>0</v>
      </c>
      <c r="AI269" s="1224">
        <f t="shared" si="360"/>
        <v>0</v>
      </c>
      <c r="AJ269" s="1224">
        <f t="shared" si="360"/>
        <v>0</v>
      </c>
      <c r="AK269" s="1224">
        <f t="shared" si="360"/>
        <v>0</v>
      </c>
      <c r="AL269" s="1224">
        <f t="shared" si="360"/>
        <v>0</v>
      </c>
      <c r="AM269" s="1229">
        <f t="shared" si="360"/>
        <v>0</v>
      </c>
      <c r="AN269" s="2551"/>
      <c r="AO269" s="2589"/>
      <c r="AP269" s="4488"/>
      <c r="AQ269" s="4504">
        <f t="shared" si="320"/>
        <v>0.95554317092998375</v>
      </c>
      <c r="AR269" s="4504">
        <f t="shared" si="321"/>
        <v>0.20470081755570671</v>
      </c>
      <c r="AS269" s="4504">
        <f t="shared" si="322"/>
        <v>-0.54614153581857039</v>
      </c>
      <c r="AT269" s="4504">
        <f t="shared" si="323"/>
        <v>-1.2969838891928474</v>
      </c>
      <c r="AU269" s="4504">
        <f t="shared" si="324"/>
        <v>-2.0478262425671243</v>
      </c>
      <c r="AV269" s="4504">
        <f t="shared" si="325"/>
        <v>-2.7986685959414017</v>
      </c>
      <c r="AW269" s="4504">
        <f t="shared" si="326"/>
        <v>-3.5495109493156787</v>
      </c>
      <c r="AX269" s="4504">
        <f t="shared" si="327"/>
        <v>0</v>
      </c>
      <c r="AY269" s="4504">
        <f t="shared" si="328"/>
        <v>0</v>
      </c>
      <c r="AZ269" s="4504">
        <f t="shared" si="329"/>
        <v>0</v>
      </c>
      <c r="BA269" s="4504">
        <f t="shared" si="330"/>
        <v>0</v>
      </c>
      <c r="BB269" s="4504">
        <f t="shared" si="331"/>
        <v>0</v>
      </c>
      <c r="BC269" s="4504">
        <f t="shared" si="332"/>
        <v>0</v>
      </c>
      <c r="BD269" s="4504">
        <f t="shared" si="333"/>
        <v>0</v>
      </c>
      <c r="BE269" s="4504">
        <f t="shared" si="334"/>
        <v>247.13621838298843</v>
      </c>
      <c r="BF269" s="4504">
        <f t="shared" si="335"/>
        <v>221.53896299780669</v>
      </c>
      <c r="BG269" s="4504">
        <f t="shared" si="336"/>
        <v>195.94170761262492</v>
      </c>
      <c r="BH269" s="4504">
        <f t="shared" si="337"/>
        <v>170.34445222744316</v>
      </c>
      <c r="BI269" s="4504">
        <f t="shared" si="338"/>
        <v>144.74719684226139</v>
      </c>
      <c r="BJ269" s="4504">
        <f t="shared" si="339"/>
        <v>119.14994145707965</v>
      </c>
      <c r="BK269" s="4504">
        <f t="shared" si="340"/>
        <v>93.552686071897881</v>
      </c>
      <c r="BL269" s="4504">
        <f t="shared" si="341"/>
        <v>0</v>
      </c>
      <c r="BM269" s="4504">
        <f t="shared" si="342"/>
        <v>0</v>
      </c>
      <c r="BN269" s="4504">
        <f t="shared" si="343"/>
        <v>0</v>
      </c>
      <c r="BO269" s="4504">
        <f t="shared" si="344"/>
        <v>0</v>
      </c>
      <c r="BP269" s="4504">
        <f t="shared" si="345"/>
        <v>0</v>
      </c>
      <c r="BQ269" s="4504">
        <f t="shared" si="346"/>
        <v>0</v>
      </c>
      <c r="BR269" s="4504">
        <f t="shared" si="347"/>
        <v>0</v>
      </c>
      <c r="BS269" s="4504">
        <f t="shared" si="348"/>
        <v>0</v>
      </c>
      <c r="BT269" s="4504">
        <f t="shared" si="349"/>
        <v>0</v>
      </c>
      <c r="BU269" s="4504">
        <f t="shared" si="350"/>
        <v>0</v>
      </c>
      <c r="BV269" s="4504">
        <f t="shared" si="351"/>
        <v>0</v>
      </c>
      <c r="BW269" s="4504">
        <f t="shared" si="352"/>
        <v>0</v>
      </c>
      <c r="BX269" s="4504">
        <f t="shared" si="353"/>
        <v>0</v>
      </c>
      <c r="BY269" s="4504">
        <f t="shared" si="354"/>
        <v>0</v>
      </c>
    </row>
    <row r="270" spans="1:77">
      <c r="A270" s="2611">
        <v>12</v>
      </c>
      <c r="B270" s="2554" t="s">
        <v>698</v>
      </c>
      <c r="C270" s="2555">
        <v>0.02</v>
      </c>
      <c r="D270" s="2585" t="s">
        <v>738</v>
      </c>
      <c r="E270" s="1249">
        <f t="shared" si="362"/>
        <v>0</v>
      </c>
      <c r="F270" s="1228">
        <f t="shared" si="357"/>
        <v>0</v>
      </c>
      <c r="G270" s="1224">
        <f t="shared" si="357"/>
        <v>0</v>
      </c>
      <c r="H270" s="1224">
        <f t="shared" si="357"/>
        <v>0</v>
      </c>
      <c r="I270" s="1224">
        <f t="shared" si="357"/>
        <v>0</v>
      </c>
      <c r="J270" s="1224">
        <f t="shared" si="357"/>
        <v>0</v>
      </c>
      <c r="K270" s="1229">
        <f t="shared" si="357"/>
        <v>0</v>
      </c>
      <c r="L270" s="2679">
        <f t="shared" si="357"/>
        <v>0</v>
      </c>
      <c r="M270" s="908">
        <f t="shared" si="358"/>
        <v>0</v>
      </c>
      <c r="N270" s="1224">
        <f t="shared" si="358"/>
        <v>0</v>
      </c>
      <c r="O270" s="1224">
        <f t="shared" si="358"/>
        <v>0</v>
      </c>
      <c r="P270" s="1224">
        <f t="shared" si="358"/>
        <v>0</v>
      </c>
      <c r="Q270" s="1224">
        <f t="shared" si="358"/>
        <v>0</v>
      </c>
      <c r="R270" s="1229">
        <f t="shared" si="358"/>
        <v>0</v>
      </c>
      <c r="S270" s="1249">
        <f t="shared" si="358"/>
        <v>0</v>
      </c>
      <c r="T270" s="1228">
        <f t="shared" si="359"/>
        <v>0</v>
      </c>
      <c r="U270" s="1224">
        <f t="shared" si="359"/>
        <v>0</v>
      </c>
      <c r="V270" s="1224">
        <f t="shared" si="359"/>
        <v>0</v>
      </c>
      <c r="W270" s="1224">
        <f t="shared" si="359"/>
        <v>0</v>
      </c>
      <c r="X270" s="1224">
        <f t="shared" si="359"/>
        <v>0</v>
      </c>
      <c r="Y270" s="1229">
        <f t="shared" si="359"/>
        <v>0</v>
      </c>
      <c r="Z270" s="1249">
        <f t="shared" si="359"/>
        <v>0</v>
      </c>
      <c r="AA270" s="1228">
        <f t="shared" si="360"/>
        <v>0</v>
      </c>
      <c r="AB270" s="1224">
        <f t="shared" si="360"/>
        <v>0</v>
      </c>
      <c r="AC270" s="1224">
        <f t="shared" si="360"/>
        <v>0</v>
      </c>
      <c r="AD270" s="1224">
        <f t="shared" si="360"/>
        <v>0</v>
      </c>
      <c r="AE270" s="1224">
        <f t="shared" si="360"/>
        <v>0</v>
      </c>
      <c r="AF270" s="1229">
        <f t="shared" si="360"/>
        <v>0</v>
      </c>
      <c r="AG270" s="1249">
        <f t="shared" si="360"/>
        <v>0</v>
      </c>
      <c r="AH270" s="1228">
        <f t="shared" si="360"/>
        <v>0</v>
      </c>
      <c r="AI270" s="1224">
        <f t="shared" si="360"/>
        <v>0</v>
      </c>
      <c r="AJ270" s="1224">
        <f t="shared" si="360"/>
        <v>0</v>
      </c>
      <c r="AK270" s="1224">
        <f t="shared" si="360"/>
        <v>0</v>
      </c>
      <c r="AL270" s="1224">
        <f t="shared" si="360"/>
        <v>0</v>
      </c>
      <c r="AM270" s="1229">
        <f t="shared" si="360"/>
        <v>0</v>
      </c>
      <c r="AN270" s="2551"/>
      <c r="AO270" s="2589"/>
      <c r="AP270" s="4488"/>
      <c r="AQ270" s="4504">
        <f t="shared" si="320"/>
        <v>0</v>
      </c>
      <c r="AR270" s="4504">
        <f t="shared" si="321"/>
        <v>0</v>
      </c>
      <c r="AS270" s="4504">
        <f t="shared" si="322"/>
        <v>0</v>
      </c>
      <c r="AT270" s="4504">
        <f t="shared" si="323"/>
        <v>0</v>
      </c>
      <c r="AU270" s="4504">
        <f t="shared" si="324"/>
        <v>0</v>
      </c>
      <c r="AV270" s="4504">
        <f t="shared" si="325"/>
        <v>0</v>
      </c>
      <c r="AW270" s="4504">
        <f t="shared" si="326"/>
        <v>0</v>
      </c>
      <c r="AX270" s="4504">
        <f t="shared" si="327"/>
        <v>0</v>
      </c>
      <c r="AY270" s="4504">
        <f t="shared" si="328"/>
        <v>0</v>
      </c>
      <c r="AZ270" s="4504">
        <f t="shared" si="329"/>
        <v>0</v>
      </c>
      <c r="BA270" s="4504">
        <f t="shared" si="330"/>
        <v>0</v>
      </c>
      <c r="BB270" s="4504">
        <f t="shared" si="331"/>
        <v>0</v>
      </c>
      <c r="BC270" s="4504">
        <f t="shared" si="332"/>
        <v>0</v>
      </c>
      <c r="BD270" s="4504">
        <f t="shared" si="333"/>
        <v>0</v>
      </c>
      <c r="BE270" s="4504">
        <f t="shared" si="334"/>
        <v>0</v>
      </c>
      <c r="BF270" s="4504">
        <f t="shared" si="335"/>
        <v>0</v>
      </c>
      <c r="BG270" s="4504">
        <f t="shared" si="336"/>
        <v>0</v>
      </c>
      <c r="BH270" s="4504">
        <f t="shared" si="337"/>
        <v>0</v>
      </c>
      <c r="BI270" s="4504">
        <f t="shared" si="338"/>
        <v>0</v>
      </c>
      <c r="BJ270" s="4504">
        <f t="shared" si="339"/>
        <v>0</v>
      </c>
      <c r="BK270" s="4504">
        <f t="shared" si="340"/>
        <v>0</v>
      </c>
      <c r="BL270" s="4504">
        <f t="shared" si="341"/>
        <v>0</v>
      </c>
      <c r="BM270" s="4504">
        <f t="shared" si="342"/>
        <v>0</v>
      </c>
      <c r="BN270" s="4504">
        <f t="shared" si="343"/>
        <v>0</v>
      </c>
      <c r="BO270" s="4504">
        <f t="shared" si="344"/>
        <v>0</v>
      </c>
      <c r="BP270" s="4504">
        <f t="shared" si="345"/>
        <v>0</v>
      </c>
      <c r="BQ270" s="4504">
        <f t="shared" si="346"/>
        <v>0</v>
      </c>
      <c r="BR270" s="4504">
        <f t="shared" si="347"/>
        <v>0</v>
      </c>
      <c r="BS270" s="4504">
        <f t="shared" si="348"/>
        <v>0</v>
      </c>
      <c r="BT270" s="4504">
        <f t="shared" si="349"/>
        <v>0</v>
      </c>
      <c r="BU270" s="4504">
        <f t="shared" si="350"/>
        <v>0</v>
      </c>
      <c r="BV270" s="4504">
        <f t="shared" si="351"/>
        <v>0</v>
      </c>
      <c r="BW270" s="4504">
        <f t="shared" si="352"/>
        <v>0</v>
      </c>
      <c r="BX270" s="4504">
        <f t="shared" si="353"/>
        <v>0</v>
      </c>
      <c r="BY270" s="4504">
        <f t="shared" si="354"/>
        <v>0</v>
      </c>
    </row>
    <row r="271" spans="1:77">
      <c r="A271" s="2611">
        <v>13</v>
      </c>
      <c r="B271" s="2554" t="s">
        <v>699</v>
      </c>
      <c r="C271" s="2555">
        <v>0.02</v>
      </c>
      <c r="D271" s="2585" t="s">
        <v>739</v>
      </c>
      <c r="E271" s="1249">
        <f t="shared" si="362"/>
        <v>985.22586001670368</v>
      </c>
      <c r="F271" s="1228">
        <f t="shared" si="357"/>
        <v>958.7554503840181</v>
      </c>
      <c r="G271" s="1224">
        <f t="shared" si="357"/>
        <v>932.28504075133253</v>
      </c>
      <c r="H271" s="1224">
        <f t="shared" si="357"/>
        <v>905.81463111864696</v>
      </c>
      <c r="I271" s="1224">
        <f t="shared" si="357"/>
        <v>879.34422148596138</v>
      </c>
      <c r="J271" s="1224">
        <f t="shared" si="357"/>
        <v>852.87381185327581</v>
      </c>
      <c r="K271" s="1229">
        <f t="shared" si="357"/>
        <v>1158.2314022205906</v>
      </c>
      <c r="L271" s="2679">
        <f t="shared" si="357"/>
        <v>0</v>
      </c>
      <c r="M271" s="908">
        <f t="shared" si="358"/>
        <v>0</v>
      </c>
      <c r="N271" s="1224">
        <f t="shared" si="358"/>
        <v>0</v>
      </c>
      <c r="O271" s="1224">
        <f t="shared" si="358"/>
        <v>0</v>
      </c>
      <c r="P271" s="1224">
        <f t="shared" si="358"/>
        <v>0</v>
      </c>
      <c r="Q271" s="1224">
        <f t="shared" si="358"/>
        <v>0</v>
      </c>
      <c r="R271" s="1229">
        <f t="shared" si="358"/>
        <v>0</v>
      </c>
      <c r="S271" s="1249">
        <f t="shared" si="358"/>
        <v>0</v>
      </c>
      <c r="T271" s="1228">
        <f t="shared" si="359"/>
        <v>0</v>
      </c>
      <c r="U271" s="1224">
        <f t="shared" si="359"/>
        <v>0</v>
      </c>
      <c r="V271" s="1224">
        <f t="shared" si="359"/>
        <v>0</v>
      </c>
      <c r="W271" s="1224">
        <f t="shared" si="359"/>
        <v>0</v>
      </c>
      <c r="X271" s="1224">
        <f t="shared" si="359"/>
        <v>0</v>
      </c>
      <c r="Y271" s="1229">
        <f t="shared" si="359"/>
        <v>0</v>
      </c>
      <c r="Z271" s="1249">
        <f t="shared" si="359"/>
        <v>0</v>
      </c>
      <c r="AA271" s="1228">
        <f t="shared" si="360"/>
        <v>0</v>
      </c>
      <c r="AB271" s="1224">
        <f t="shared" si="360"/>
        <v>0</v>
      </c>
      <c r="AC271" s="1224">
        <f t="shared" si="360"/>
        <v>0</v>
      </c>
      <c r="AD271" s="1224">
        <f t="shared" si="360"/>
        <v>0</v>
      </c>
      <c r="AE271" s="1224">
        <f t="shared" si="360"/>
        <v>0</v>
      </c>
      <c r="AF271" s="1229">
        <f t="shared" si="360"/>
        <v>0</v>
      </c>
      <c r="AG271" s="1249">
        <f t="shared" si="360"/>
        <v>9.4732399832959864</v>
      </c>
      <c r="AH271" s="1228">
        <f t="shared" si="360"/>
        <v>8.9955396159815404</v>
      </c>
      <c r="AI271" s="1224">
        <f t="shared" si="360"/>
        <v>8.5178392486670944</v>
      </c>
      <c r="AJ271" s="1224">
        <f t="shared" si="360"/>
        <v>8.0401388813526466</v>
      </c>
      <c r="AK271" s="1224">
        <f t="shared" si="360"/>
        <v>7.5624385140381989</v>
      </c>
      <c r="AL271" s="1224">
        <f t="shared" si="360"/>
        <v>7.0847381467237511</v>
      </c>
      <c r="AM271" s="1229">
        <f t="shared" si="360"/>
        <v>6.6070377794093034</v>
      </c>
      <c r="AN271" s="2551"/>
      <c r="AO271" s="2589"/>
      <c r="AP271" s="4488"/>
      <c r="AQ271" s="4504">
        <f t="shared" si="320"/>
        <v>503.73798337110264</v>
      </c>
      <c r="AR271" s="4504">
        <f t="shared" si="321"/>
        <v>490.20387783397234</v>
      </c>
      <c r="AS271" s="4504">
        <f t="shared" si="322"/>
        <v>476.66977229684204</v>
      </c>
      <c r="AT271" s="4504">
        <f t="shared" si="323"/>
        <v>463.13566675971174</v>
      </c>
      <c r="AU271" s="4504">
        <f t="shared" si="324"/>
        <v>449.60156122258144</v>
      </c>
      <c r="AV271" s="4504">
        <f t="shared" si="325"/>
        <v>436.06745568545108</v>
      </c>
      <c r="AW271" s="4504">
        <f t="shared" si="326"/>
        <v>592.19431250189973</v>
      </c>
      <c r="AX271" s="4504">
        <f t="shared" si="327"/>
        <v>0</v>
      </c>
      <c r="AY271" s="4504">
        <f t="shared" si="328"/>
        <v>0</v>
      </c>
      <c r="AZ271" s="4504">
        <f t="shared" si="329"/>
        <v>0</v>
      </c>
      <c r="BA271" s="4504">
        <f t="shared" si="330"/>
        <v>0</v>
      </c>
      <c r="BB271" s="4504">
        <f t="shared" si="331"/>
        <v>0</v>
      </c>
      <c r="BC271" s="4504">
        <f t="shared" si="332"/>
        <v>0</v>
      </c>
      <c r="BD271" s="4504">
        <f t="shared" si="333"/>
        <v>0</v>
      </c>
      <c r="BE271" s="4504">
        <f t="shared" si="334"/>
        <v>0</v>
      </c>
      <c r="BF271" s="4504">
        <f t="shared" si="335"/>
        <v>0</v>
      </c>
      <c r="BG271" s="4504">
        <f t="shared" si="336"/>
        <v>0</v>
      </c>
      <c r="BH271" s="4504">
        <f t="shared" si="337"/>
        <v>0</v>
      </c>
      <c r="BI271" s="4504">
        <f t="shared" si="338"/>
        <v>0</v>
      </c>
      <c r="BJ271" s="4504">
        <f t="shared" si="339"/>
        <v>0</v>
      </c>
      <c r="BK271" s="4504">
        <f t="shared" si="340"/>
        <v>0</v>
      </c>
      <c r="BL271" s="4504">
        <f t="shared" si="341"/>
        <v>0</v>
      </c>
      <c r="BM271" s="4504">
        <f t="shared" si="342"/>
        <v>0</v>
      </c>
      <c r="BN271" s="4504">
        <f t="shared" si="343"/>
        <v>0</v>
      </c>
      <c r="BO271" s="4504">
        <f t="shared" si="344"/>
        <v>0</v>
      </c>
      <c r="BP271" s="4504">
        <f t="shared" si="345"/>
        <v>0</v>
      </c>
      <c r="BQ271" s="4504">
        <f t="shared" si="346"/>
        <v>0</v>
      </c>
      <c r="BR271" s="4504">
        <f t="shared" si="347"/>
        <v>0</v>
      </c>
      <c r="BS271" s="4504">
        <f t="shared" si="348"/>
        <v>4.8435906920826381</v>
      </c>
      <c r="BT271" s="4504">
        <f t="shared" si="349"/>
        <v>4.5993463726303103</v>
      </c>
      <c r="BU271" s="4504">
        <f t="shared" si="350"/>
        <v>4.3551020531779834</v>
      </c>
      <c r="BV271" s="4504">
        <f t="shared" si="351"/>
        <v>4.1108577337256547</v>
      </c>
      <c r="BW271" s="4504">
        <f t="shared" si="352"/>
        <v>3.8666134142733259</v>
      </c>
      <c r="BX271" s="4504">
        <f t="shared" si="353"/>
        <v>3.6223690948209972</v>
      </c>
      <c r="BY271" s="4504">
        <f t="shared" si="354"/>
        <v>3.378124775368669</v>
      </c>
    </row>
    <row r="272" spans="1:77">
      <c r="A272" s="2611">
        <v>14</v>
      </c>
      <c r="B272" s="2554" t="s">
        <v>700</v>
      </c>
      <c r="C272" s="2555">
        <v>0.02</v>
      </c>
      <c r="D272" s="2585" t="s">
        <v>418</v>
      </c>
      <c r="E272" s="1249">
        <f t="shared" si="362"/>
        <v>3.7923550166896902</v>
      </c>
      <c r="F272" s="1228">
        <f t="shared" si="357"/>
        <v>3.2925025077787211</v>
      </c>
      <c r="G272" s="1224">
        <f t="shared" si="357"/>
        <v>2.792649998867752</v>
      </c>
      <c r="H272" s="1224">
        <f t="shared" si="357"/>
        <v>2.2927974899567829</v>
      </c>
      <c r="I272" s="1224">
        <f t="shared" si="357"/>
        <v>1.7929449810458138</v>
      </c>
      <c r="J272" s="1224">
        <f t="shared" si="357"/>
        <v>1.2930924721348447</v>
      </c>
      <c r="K272" s="1229">
        <f t="shared" si="357"/>
        <v>0.79323996322387558</v>
      </c>
      <c r="L272" s="2679">
        <f t="shared" si="357"/>
        <v>0</v>
      </c>
      <c r="M272" s="908">
        <f t="shared" si="358"/>
        <v>0</v>
      </c>
      <c r="N272" s="1224">
        <f t="shared" si="358"/>
        <v>0</v>
      </c>
      <c r="O272" s="1224">
        <f t="shared" si="358"/>
        <v>0</v>
      </c>
      <c r="P272" s="1224">
        <f t="shared" si="358"/>
        <v>0</v>
      </c>
      <c r="Q272" s="1224">
        <f t="shared" si="358"/>
        <v>0</v>
      </c>
      <c r="R272" s="1229">
        <f t="shared" si="358"/>
        <v>0</v>
      </c>
      <c r="S272" s="1249">
        <f t="shared" si="358"/>
        <v>0</v>
      </c>
      <c r="T272" s="1228">
        <f t="shared" si="359"/>
        <v>0</v>
      </c>
      <c r="U272" s="1224">
        <f t="shared" si="359"/>
        <v>0</v>
      </c>
      <c r="V272" s="1224">
        <f t="shared" si="359"/>
        <v>0</v>
      </c>
      <c r="W272" s="1224">
        <f t="shared" si="359"/>
        <v>0</v>
      </c>
      <c r="X272" s="1224">
        <f t="shared" si="359"/>
        <v>0</v>
      </c>
      <c r="Y272" s="1229">
        <f t="shared" si="359"/>
        <v>0</v>
      </c>
      <c r="Z272" s="1249">
        <f t="shared" si="359"/>
        <v>0</v>
      </c>
      <c r="AA272" s="1228">
        <f t="shared" si="360"/>
        <v>0</v>
      </c>
      <c r="AB272" s="1224">
        <f t="shared" si="360"/>
        <v>0</v>
      </c>
      <c r="AC272" s="1224">
        <f t="shared" si="360"/>
        <v>0</v>
      </c>
      <c r="AD272" s="1224">
        <f t="shared" si="360"/>
        <v>0</v>
      </c>
      <c r="AE272" s="1224">
        <f t="shared" si="360"/>
        <v>0</v>
      </c>
      <c r="AF272" s="1229">
        <f t="shared" si="360"/>
        <v>0</v>
      </c>
      <c r="AG272" s="1249">
        <f t="shared" si="360"/>
        <v>0.10603498331031053</v>
      </c>
      <c r="AH272" s="1228">
        <f t="shared" si="360"/>
        <v>8.8807492221279039E-2</v>
      </c>
      <c r="AI272" s="1224">
        <f t="shared" si="360"/>
        <v>7.158000113224755E-2</v>
      </c>
      <c r="AJ272" s="1224">
        <f t="shared" si="360"/>
        <v>5.4352510043216062E-2</v>
      </c>
      <c r="AK272" s="1224">
        <f t="shared" si="360"/>
        <v>3.7125018954184574E-2</v>
      </c>
      <c r="AL272" s="1224">
        <f t="shared" si="360"/>
        <v>1.9897527865153086E-2</v>
      </c>
      <c r="AM272" s="1229">
        <f t="shared" si="360"/>
        <v>2.6700367761216537E-3</v>
      </c>
      <c r="AN272" s="2551"/>
      <c r="AO272" s="2589"/>
      <c r="AP272" s="4488"/>
      <c r="AQ272" s="4504">
        <f t="shared" si="320"/>
        <v>1.9390003306471884</v>
      </c>
      <c r="AR272" s="4504">
        <f t="shared" si="321"/>
        <v>1.6834298010454494</v>
      </c>
      <c r="AS272" s="4504">
        <f t="shared" si="322"/>
        <v>1.4278592714437104</v>
      </c>
      <c r="AT272" s="4504">
        <f t="shared" si="323"/>
        <v>1.1722887418419714</v>
      </c>
      <c r="AU272" s="4504">
        <f t="shared" si="324"/>
        <v>0.91671821224023242</v>
      </c>
      <c r="AV272" s="4504">
        <f t="shared" si="325"/>
        <v>0.66114768263849344</v>
      </c>
      <c r="AW272" s="4504">
        <f t="shared" si="326"/>
        <v>0.40557715303675451</v>
      </c>
      <c r="AX272" s="4504">
        <f t="shared" si="327"/>
        <v>0</v>
      </c>
      <c r="AY272" s="4504">
        <f t="shared" si="328"/>
        <v>0</v>
      </c>
      <c r="AZ272" s="4504">
        <f t="shared" si="329"/>
        <v>0</v>
      </c>
      <c r="BA272" s="4504">
        <f t="shared" si="330"/>
        <v>0</v>
      </c>
      <c r="BB272" s="4504">
        <f t="shared" si="331"/>
        <v>0</v>
      </c>
      <c r="BC272" s="4504">
        <f t="shared" si="332"/>
        <v>0</v>
      </c>
      <c r="BD272" s="4504">
        <f t="shared" si="333"/>
        <v>0</v>
      </c>
      <c r="BE272" s="4504">
        <f t="shared" si="334"/>
        <v>0</v>
      </c>
      <c r="BF272" s="4504">
        <f t="shared" si="335"/>
        <v>0</v>
      </c>
      <c r="BG272" s="4504">
        <f t="shared" si="336"/>
        <v>0</v>
      </c>
      <c r="BH272" s="4504">
        <f t="shared" si="337"/>
        <v>0</v>
      </c>
      <c r="BI272" s="4504">
        <f t="shared" si="338"/>
        <v>0</v>
      </c>
      <c r="BJ272" s="4504">
        <f t="shared" si="339"/>
        <v>0</v>
      </c>
      <c r="BK272" s="4504">
        <f t="shared" si="340"/>
        <v>0</v>
      </c>
      <c r="BL272" s="4504">
        <f t="shared" si="341"/>
        <v>0</v>
      </c>
      <c r="BM272" s="4504">
        <f t="shared" si="342"/>
        <v>0</v>
      </c>
      <c r="BN272" s="4504">
        <f t="shared" si="343"/>
        <v>0</v>
      </c>
      <c r="BO272" s="4504">
        <f t="shared" si="344"/>
        <v>0</v>
      </c>
      <c r="BP272" s="4504">
        <f t="shared" si="345"/>
        <v>0</v>
      </c>
      <c r="BQ272" s="4504">
        <f t="shared" si="346"/>
        <v>0</v>
      </c>
      <c r="BR272" s="4504">
        <f t="shared" si="347"/>
        <v>0</v>
      </c>
      <c r="BS272" s="4504">
        <f t="shared" si="348"/>
        <v>5.4214826089338301E-2</v>
      </c>
      <c r="BT272" s="4504">
        <f t="shared" si="349"/>
        <v>4.5406549762136303E-2</v>
      </c>
      <c r="BU272" s="4504">
        <f t="shared" si="350"/>
        <v>3.6598273434934298E-2</v>
      </c>
      <c r="BV272" s="4504">
        <f t="shared" si="351"/>
        <v>2.7789997107732299E-2</v>
      </c>
      <c r="BW272" s="4504">
        <f t="shared" si="352"/>
        <v>1.8981720780530301E-2</v>
      </c>
      <c r="BX272" s="4504">
        <f t="shared" si="353"/>
        <v>1.0173444453328299E-2</v>
      </c>
      <c r="BY272" s="4504">
        <f t="shared" si="354"/>
        <v>1.3651681261263268E-3</v>
      </c>
    </row>
    <row r="273" spans="1:77">
      <c r="A273" s="2611">
        <v>15</v>
      </c>
      <c r="B273" s="2554" t="s">
        <v>701</v>
      </c>
      <c r="C273" s="2555">
        <v>0.02</v>
      </c>
      <c r="D273" s="2584" t="s">
        <v>419</v>
      </c>
      <c r="E273" s="1249">
        <f t="shared" si="362"/>
        <v>7.5608099999999929</v>
      </c>
      <c r="F273" s="1228">
        <f t="shared" si="357"/>
        <v>7.083329999999993</v>
      </c>
      <c r="G273" s="1224">
        <f t="shared" si="357"/>
        <v>6.6058499999999931</v>
      </c>
      <c r="H273" s="1224">
        <f t="shared" si="357"/>
        <v>6.1283699999999932</v>
      </c>
      <c r="I273" s="1224">
        <f t="shared" si="357"/>
        <v>5.6508899999999933</v>
      </c>
      <c r="J273" s="1224">
        <f t="shared" si="357"/>
        <v>5.1734099999999934</v>
      </c>
      <c r="K273" s="1229">
        <f t="shared" si="357"/>
        <v>4.6959299999999935</v>
      </c>
      <c r="L273" s="2679">
        <f t="shared" si="357"/>
        <v>0</v>
      </c>
      <c r="M273" s="908">
        <f t="shared" si="358"/>
        <v>0</v>
      </c>
      <c r="N273" s="1224">
        <f t="shared" si="358"/>
        <v>0</v>
      </c>
      <c r="O273" s="1224">
        <f t="shared" si="358"/>
        <v>0</v>
      </c>
      <c r="P273" s="1224">
        <f t="shared" si="358"/>
        <v>0</v>
      </c>
      <c r="Q273" s="1224">
        <f t="shared" si="358"/>
        <v>0</v>
      </c>
      <c r="R273" s="1229">
        <f t="shared" si="358"/>
        <v>0</v>
      </c>
      <c r="S273" s="1249">
        <f t="shared" si="358"/>
        <v>0</v>
      </c>
      <c r="T273" s="1228">
        <f t="shared" si="359"/>
        <v>0</v>
      </c>
      <c r="U273" s="1224">
        <f t="shared" si="359"/>
        <v>0</v>
      </c>
      <c r="V273" s="1224">
        <f t="shared" si="359"/>
        <v>0</v>
      </c>
      <c r="W273" s="1224">
        <f t="shared" si="359"/>
        <v>0</v>
      </c>
      <c r="X273" s="1224">
        <f t="shared" si="359"/>
        <v>0</v>
      </c>
      <c r="Y273" s="1229">
        <f t="shared" si="359"/>
        <v>0</v>
      </c>
      <c r="Z273" s="1249">
        <f t="shared" si="359"/>
        <v>0</v>
      </c>
      <c r="AA273" s="1228">
        <f t="shared" si="360"/>
        <v>0</v>
      </c>
      <c r="AB273" s="1224">
        <f t="shared" si="360"/>
        <v>0</v>
      </c>
      <c r="AC273" s="1224">
        <f t="shared" si="360"/>
        <v>0</v>
      </c>
      <c r="AD273" s="1224">
        <f t="shared" si="360"/>
        <v>0</v>
      </c>
      <c r="AE273" s="1224">
        <f t="shared" si="360"/>
        <v>0</v>
      </c>
      <c r="AF273" s="1229">
        <f t="shared" si="360"/>
        <v>0</v>
      </c>
      <c r="AG273" s="1249">
        <f t="shared" si="360"/>
        <v>0</v>
      </c>
      <c r="AH273" s="1228">
        <f t="shared" si="360"/>
        <v>0</v>
      </c>
      <c r="AI273" s="1224">
        <f t="shared" si="360"/>
        <v>0</v>
      </c>
      <c r="AJ273" s="1224">
        <f t="shared" si="360"/>
        <v>0</v>
      </c>
      <c r="AK273" s="1224">
        <f t="shared" si="360"/>
        <v>0</v>
      </c>
      <c r="AL273" s="1224">
        <f t="shared" si="360"/>
        <v>0</v>
      </c>
      <c r="AM273" s="1229">
        <f t="shared" si="360"/>
        <v>0</v>
      </c>
      <c r="AN273" s="2551"/>
      <c r="AO273" s="2589"/>
      <c r="AP273" s="4488"/>
      <c r="AQ273" s="4504">
        <f t="shared" si="320"/>
        <v>3.865780768267177</v>
      </c>
      <c r="AR273" s="4504">
        <f t="shared" si="321"/>
        <v>3.6216491208336068</v>
      </c>
      <c r="AS273" s="4504">
        <f t="shared" si="322"/>
        <v>3.3775174734000366</v>
      </c>
      <c r="AT273" s="4504">
        <f t="shared" si="323"/>
        <v>3.133385825966466</v>
      </c>
      <c r="AU273" s="4504">
        <f t="shared" si="324"/>
        <v>2.8892541785328958</v>
      </c>
      <c r="AV273" s="4504">
        <f t="shared" si="325"/>
        <v>2.6451225310993252</v>
      </c>
      <c r="AW273" s="4504">
        <f t="shared" si="326"/>
        <v>2.400990883665755</v>
      </c>
      <c r="AX273" s="4504">
        <f t="shared" si="327"/>
        <v>0</v>
      </c>
      <c r="AY273" s="4504">
        <f t="shared" si="328"/>
        <v>0</v>
      </c>
      <c r="AZ273" s="4504">
        <f t="shared" si="329"/>
        <v>0</v>
      </c>
      <c r="BA273" s="4504">
        <f t="shared" si="330"/>
        <v>0</v>
      </c>
      <c r="BB273" s="4504">
        <f t="shared" si="331"/>
        <v>0</v>
      </c>
      <c r="BC273" s="4504">
        <f t="shared" si="332"/>
        <v>0</v>
      </c>
      <c r="BD273" s="4504">
        <f t="shared" si="333"/>
        <v>0</v>
      </c>
      <c r="BE273" s="4504">
        <f t="shared" si="334"/>
        <v>0</v>
      </c>
      <c r="BF273" s="4504">
        <f t="shared" si="335"/>
        <v>0</v>
      </c>
      <c r="BG273" s="4504">
        <f t="shared" si="336"/>
        <v>0</v>
      </c>
      <c r="BH273" s="4504">
        <f t="shared" si="337"/>
        <v>0</v>
      </c>
      <c r="BI273" s="4504">
        <f t="shared" si="338"/>
        <v>0</v>
      </c>
      <c r="BJ273" s="4504">
        <f t="shared" si="339"/>
        <v>0</v>
      </c>
      <c r="BK273" s="4504">
        <f t="shared" si="340"/>
        <v>0</v>
      </c>
      <c r="BL273" s="4504">
        <f t="shared" si="341"/>
        <v>0</v>
      </c>
      <c r="BM273" s="4504">
        <f t="shared" si="342"/>
        <v>0</v>
      </c>
      <c r="BN273" s="4504">
        <f t="shared" si="343"/>
        <v>0</v>
      </c>
      <c r="BO273" s="4504">
        <f t="shared" si="344"/>
        <v>0</v>
      </c>
      <c r="BP273" s="4504">
        <f t="shared" si="345"/>
        <v>0</v>
      </c>
      <c r="BQ273" s="4504">
        <f t="shared" si="346"/>
        <v>0</v>
      </c>
      <c r="BR273" s="4504">
        <f t="shared" si="347"/>
        <v>0</v>
      </c>
      <c r="BS273" s="4504">
        <f t="shared" si="348"/>
        <v>0</v>
      </c>
      <c r="BT273" s="4504">
        <f t="shared" si="349"/>
        <v>0</v>
      </c>
      <c r="BU273" s="4504">
        <f t="shared" si="350"/>
        <v>0</v>
      </c>
      <c r="BV273" s="4504">
        <f t="shared" si="351"/>
        <v>0</v>
      </c>
      <c r="BW273" s="4504">
        <f t="shared" si="352"/>
        <v>0</v>
      </c>
      <c r="BX273" s="4504">
        <f t="shared" si="353"/>
        <v>0</v>
      </c>
      <c r="BY273" s="4504">
        <f t="shared" si="354"/>
        <v>0</v>
      </c>
    </row>
    <row r="274" spans="1:77">
      <c r="A274" s="2611">
        <v>16</v>
      </c>
      <c r="B274" s="2554" t="s">
        <v>702</v>
      </c>
      <c r="C274" s="2555">
        <v>0.02</v>
      </c>
      <c r="D274" s="2585" t="s">
        <v>420</v>
      </c>
      <c r="E274" s="1249">
        <f t="shared" si="362"/>
        <v>38599.214741014832</v>
      </c>
      <c r="F274" s="1228">
        <f t="shared" si="357"/>
        <v>46959.87518521418</v>
      </c>
      <c r="G274" s="1224">
        <f t="shared" si="357"/>
        <v>64111.724794413531</v>
      </c>
      <c r="H274" s="1224">
        <f t="shared" si="357"/>
        <v>68864.880263612882</v>
      </c>
      <c r="I274" s="1224">
        <f t="shared" si="357"/>
        <v>78913.751385012234</v>
      </c>
      <c r="J274" s="1224">
        <f t="shared" si="357"/>
        <v>77716.542116411583</v>
      </c>
      <c r="K274" s="1229">
        <f t="shared" si="357"/>
        <v>98666.796993410928</v>
      </c>
      <c r="L274" s="2679">
        <f t="shared" si="357"/>
        <v>0</v>
      </c>
      <c r="M274" s="908">
        <f t="shared" si="358"/>
        <v>0</v>
      </c>
      <c r="N274" s="1224">
        <f t="shared" si="358"/>
        <v>0</v>
      </c>
      <c r="O274" s="1224">
        <f t="shared" si="358"/>
        <v>0</v>
      </c>
      <c r="P274" s="1224">
        <f t="shared" si="358"/>
        <v>0</v>
      </c>
      <c r="Q274" s="1224">
        <f t="shared" si="358"/>
        <v>0</v>
      </c>
      <c r="R274" s="1229">
        <f t="shared" si="358"/>
        <v>0</v>
      </c>
      <c r="S274" s="1249">
        <f t="shared" si="358"/>
        <v>18.557029999999997</v>
      </c>
      <c r="T274" s="1228">
        <f t="shared" si="359"/>
        <v>18.012709999999998</v>
      </c>
      <c r="U274" s="1224">
        <f t="shared" si="359"/>
        <v>17.468389999999999</v>
      </c>
      <c r="V274" s="1224">
        <f t="shared" si="359"/>
        <v>16.924069999999997</v>
      </c>
      <c r="W274" s="1224">
        <f t="shared" si="359"/>
        <v>16.379749999999994</v>
      </c>
      <c r="X274" s="1224">
        <f t="shared" si="359"/>
        <v>15.835429999999995</v>
      </c>
      <c r="Y274" s="1229">
        <f t="shared" si="359"/>
        <v>15.291109999999994</v>
      </c>
      <c r="Z274" s="1249">
        <f t="shared" si="359"/>
        <v>0</v>
      </c>
      <c r="AA274" s="1228">
        <f t="shared" si="360"/>
        <v>0</v>
      </c>
      <c r="AB274" s="1224">
        <f t="shared" si="360"/>
        <v>0</v>
      </c>
      <c r="AC274" s="1224">
        <f t="shared" si="360"/>
        <v>0</v>
      </c>
      <c r="AD274" s="1224">
        <f t="shared" si="360"/>
        <v>0</v>
      </c>
      <c r="AE274" s="1224">
        <f t="shared" si="360"/>
        <v>0</v>
      </c>
      <c r="AF274" s="1229">
        <f t="shared" si="360"/>
        <v>0</v>
      </c>
      <c r="AG274" s="1249">
        <f t="shared" si="360"/>
        <v>322.26479898515163</v>
      </c>
      <c r="AH274" s="1228">
        <f t="shared" si="360"/>
        <v>307.74775327780571</v>
      </c>
      <c r="AI274" s="1224">
        <f t="shared" si="360"/>
        <v>293.2307075704598</v>
      </c>
      <c r="AJ274" s="1224">
        <f t="shared" si="360"/>
        <v>278.71366186311388</v>
      </c>
      <c r="AK274" s="1224">
        <f t="shared" si="360"/>
        <v>264.19661615576797</v>
      </c>
      <c r="AL274" s="1224">
        <f t="shared" si="360"/>
        <v>249.67957044842206</v>
      </c>
      <c r="AM274" s="1229">
        <f t="shared" si="360"/>
        <v>235.16252474107614</v>
      </c>
      <c r="AN274" s="2551"/>
      <c r="AO274" s="2589"/>
      <c r="AP274" s="4488"/>
      <c r="AQ274" s="4504">
        <f t="shared" si="320"/>
        <v>19735.46511763028</v>
      </c>
      <c r="AR274" s="4504">
        <f t="shared" si="321"/>
        <v>24010.202924187779</v>
      </c>
      <c r="AS274" s="4504">
        <f t="shared" si="322"/>
        <v>32779.804376869935</v>
      </c>
      <c r="AT274" s="4504">
        <f t="shared" si="323"/>
        <v>35210.054178334969</v>
      </c>
      <c r="AU274" s="4504">
        <f t="shared" si="324"/>
        <v>40347.960397893599</v>
      </c>
      <c r="AV274" s="4504">
        <f t="shared" si="325"/>
        <v>39735.837018765225</v>
      </c>
      <c r="AW274" s="4504">
        <f t="shared" si="326"/>
        <v>50447.532246366471</v>
      </c>
      <c r="AX274" s="4504">
        <f t="shared" si="327"/>
        <v>0</v>
      </c>
      <c r="AY274" s="4504">
        <f t="shared" si="328"/>
        <v>0</v>
      </c>
      <c r="AZ274" s="4504">
        <f t="shared" si="329"/>
        <v>0</v>
      </c>
      <c r="BA274" s="4504">
        <f t="shared" si="330"/>
        <v>0</v>
      </c>
      <c r="BB274" s="4504">
        <f t="shared" si="331"/>
        <v>0</v>
      </c>
      <c r="BC274" s="4504">
        <f t="shared" si="332"/>
        <v>0</v>
      </c>
      <c r="BD274" s="4504">
        <f t="shared" si="333"/>
        <v>0</v>
      </c>
      <c r="BE274" s="4504">
        <f t="shared" si="334"/>
        <v>9.4880587781146613</v>
      </c>
      <c r="BF274" s="4504">
        <f t="shared" si="335"/>
        <v>9.2097523813419357</v>
      </c>
      <c r="BG274" s="4504">
        <f t="shared" si="336"/>
        <v>8.9314459845692102</v>
      </c>
      <c r="BH274" s="4504">
        <f t="shared" si="337"/>
        <v>8.6531395877964847</v>
      </c>
      <c r="BI274" s="4504">
        <f t="shared" si="338"/>
        <v>8.3748331910237575</v>
      </c>
      <c r="BJ274" s="4504">
        <f t="shared" si="339"/>
        <v>8.0965267942510319</v>
      </c>
      <c r="BK274" s="4504">
        <f t="shared" si="340"/>
        <v>7.8182203974783056</v>
      </c>
      <c r="BL274" s="4504">
        <f t="shared" si="341"/>
        <v>0</v>
      </c>
      <c r="BM274" s="4504">
        <f t="shared" si="342"/>
        <v>0</v>
      </c>
      <c r="BN274" s="4504">
        <f t="shared" si="343"/>
        <v>0</v>
      </c>
      <c r="BO274" s="4504">
        <f t="shared" si="344"/>
        <v>0</v>
      </c>
      <c r="BP274" s="4504">
        <f t="shared" si="345"/>
        <v>0</v>
      </c>
      <c r="BQ274" s="4504">
        <f t="shared" si="346"/>
        <v>0</v>
      </c>
      <c r="BR274" s="4504">
        <f t="shared" si="347"/>
        <v>0</v>
      </c>
      <c r="BS274" s="4504">
        <f t="shared" si="348"/>
        <v>164.77137531643939</v>
      </c>
      <c r="BT274" s="4504">
        <f t="shared" si="349"/>
        <v>157.34892770731901</v>
      </c>
      <c r="BU274" s="4504">
        <f t="shared" si="350"/>
        <v>149.92648009819862</v>
      </c>
      <c r="BV274" s="4504">
        <f t="shared" si="351"/>
        <v>142.50403248907824</v>
      </c>
      <c r="BW274" s="4504">
        <f t="shared" si="352"/>
        <v>135.08158487995786</v>
      </c>
      <c r="BX274" s="4504">
        <f t="shared" si="353"/>
        <v>127.65913727083748</v>
      </c>
      <c r="BY274" s="4504">
        <f t="shared" si="354"/>
        <v>120.23668966171709</v>
      </c>
    </row>
    <row r="275" spans="1:77">
      <c r="A275" s="2611">
        <v>17</v>
      </c>
      <c r="B275" s="2554" t="s">
        <v>703</v>
      </c>
      <c r="C275" s="2555">
        <v>0.02</v>
      </c>
      <c r="D275" s="2590" t="s">
        <v>421</v>
      </c>
      <c r="E275" s="1249">
        <f t="shared" si="362"/>
        <v>0</v>
      </c>
      <c r="F275" s="1228">
        <f t="shared" ref="F275:T277" si="363">F209-F253</f>
        <v>0</v>
      </c>
      <c r="G275" s="1224">
        <f t="shared" si="363"/>
        <v>0</v>
      </c>
      <c r="H275" s="1224">
        <f t="shared" si="363"/>
        <v>0</v>
      </c>
      <c r="I275" s="1224">
        <f t="shared" si="363"/>
        <v>0</v>
      </c>
      <c r="J275" s="1224">
        <f t="shared" si="363"/>
        <v>0</v>
      </c>
      <c r="K275" s="1229">
        <f t="shared" si="363"/>
        <v>0</v>
      </c>
      <c r="L275" s="2679">
        <f t="shared" si="363"/>
        <v>30822.04273000003</v>
      </c>
      <c r="M275" s="908">
        <f t="shared" si="363"/>
        <v>30450.157490400034</v>
      </c>
      <c r="N275" s="1224">
        <f t="shared" si="363"/>
        <v>29604.328270800033</v>
      </c>
      <c r="O275" s="1224">
        <f t="shared" si="363"/>
        <v>28758.499051200033</v>
      </c>
      <c r="P275" s="1224">
        <f t="shared" si="363"/>
        <v>27912.669831600033</v>
      </c>
      <c r="Q275" s="1224">
        <f t="shared" si="363"/>
        <v>27066.840612000033</v>
      </c>
      <c r="R275" s="1229">
        <f t="shared" si="363"/>
        <v>26221.011392400032</v>
      </c>
      <c r="S275" s="1249">
        <f t="shared" si="363"/>
        <v>6.6368699999999983</v>
      </c>
      <c r="T275" s="1228">
        <f t="shared" si="363"/>
        <v>6.4667099999999991</v>
      </c>
      <c r="U275" s="1224">
        <f t="shared" ref="U275:AM279" si="364">U209-U253</f>
        <v>6.2965499999999981</v>
      </c>
      <c r="V275" s="1224">
        <f t="shared" si="364"/>
        <v>6.1263899999999989</v>
      </c>
      <c r="W275" s="1224">
        <f t="shared" si="364"/>
        <v>5.9562299999999979</v>
      </c>
      <c r="X275" s="1224">
        <f t="shared" si="364"/>
        <v>5.7860699999999987</v>
      </c>
      <c r="Y275" s="1229">
        <f t="shared" si="364"/>
        <v>5.6159099999999977</v>
      </c>
      <c r="Z275" s="1249">
        <f t="shared" si="364"/>
        <v>0</v>
      </c>
      <c r="AA275" s="1228">
        <f t="shared" si="364"/>
        <v>0</v>
      </c>
      <c r="AB275" s="1224">
        <f t="shared" si="364"/>
        <v>0</v>
      </c>
      <c r="AC275" s="1224">
        <f t="shared" si="364"/>
        <v>0</v>
      </c>
      <c r="AD275" s="1224">
        <f t="shared" si="364"/>
        <v>0</v>
      </c>
      <c r="AE275" s="1224">
        <f t="shared" si="364"/>
        <v>0</v>
      </c>
      <c r="AF275" s="1229">
        <f t="shared" si="364"/>
        <v>0</v>
      </c>
      <c r="AG275" s="1249">
        <f t="shared" si="364"/>
        <v>0</v>
      </c>
      <c r="AH275" s="1228">
        <f t="shared" si="364"/>
        <v>0</v>
      </c>
      <c r="AI275" s="1224">
        <f t="shared" si="364"/>
        <v>0</v>
      </c>
      <c r="AJ275" s="1224">
        <f t="shared" si="364"/>
        <v>0</v>
      </c>
      <c r="AK275" s="1224">
        <f t="shared" si="364"/>
        <v>0</v>
      </c>
      <c r="AL275" s="1224">
        <f t="shared" si="364"/>
        <v>0</v>
      </c>
      <c r="AM275" s="1229">
        <f t="shared" si="364"/>
        <v>0</v>
      </c>
      <c r="AN275" s="2551"/>
      <c r="AO275" s="2589"/>
      <c r="AP275" s="4488"/>
      <c r="AQ275" s="4504">
        <f t="shared" si="320"/>
        <v>0</v>
      </c>
      <c r="AR275" s="4504">
        <f t="shared" si="321"/>
        <v>0</v>
      </c>
      <c r="AS275" s="4504">
        <f t="shared" si="322"/>
        <v>0</v>
      </c>
      <c r="AT275" s="4504">
        <f t="shared" si="323"/>
        <v>0</v>
      </c>
      <c r="AU275" s="4504">
        <f t="shared" si="324"/>
        <v>0</v>
      </c>
      <c r="AV275" s="4504">
        <f t="shared" si="325"/>
        <v>0</v>
      </c>
      <c r="AW275" s="4504">
        <f t="shared" si="326"/>
        <v>0</v>
      </c>
      <c r="AX275" s="4504">
        <f t="shared" si="327"/>
        <v>15759.060209731946</v>
      </c>
      <c r="AY275" s="4504">
        <f t="shared" si="328"/>
        <v>15568.918305987756</v>
      </c>
      <c r="AZ275" s="4504">
        <f t="shared" si="329"/>
        <v>15136.452693127743</v>
      </c>
      <c r="BA275" s="4504">
        <f t="shared" si="330"/>
        <v>14703.987080267731</v>
      </c>
      <c r="BB275" s="4504">
        <f t="shared" si="331"/>
        <v>14271.521467407716</v>
      </c>
      <c r="BC275" s="4504">
        <f t="shared" si="332"/>
        <v>13839.055854547703</v>
      </c>
      <c r="BD275" s="4504">
        <f t="shared" si="333"/>
        <v>13406.590241687689</v>
      </c>
      <c r="BE275" s="4504">
        <f t="shared" si="334"/>
        <v>3.3933777475547457</v>
      </c>
      <c r="BF275" s="4504">
        <f t="shared" si="335"/>
        <v>3.3063763210503976</v>
      </c>
      <c r="BG275" s="4504">
        <f t="shared" si="336"/>
        <v>3.2193748945460485</v>
      </c>
      <c r="BH275" s="4504">
        <f t="shared" si="337"/>
        <v>3.1323734680417004</v>
      </c>
      <c r="BI275" s="4504">
        <f t="shared" si="338"/>
        <v>3.0453720415373513</v>
      </c>
      <c r="BJ275" s="4504">
        <f t="shared" si="339"/>
        <v>2.9583706150330031</v>
      </c>
      <c r="BK275" s="4504">
        <f t="shared" si="340"/>
        <v>2.8713691885286541</v>
      </c>
      <c r="BL275" s="4504">
        <f t="shared" si="341"/>
        <v>0</v>
      </c>
      <c r="BM275" s="4504">
        <f t="shared" si="342"/>
        <v>0</v>
      </c>
      <c r="BN275" s="4504">
        <f t="shared" si="343"/>
        <v>0</v>
      </c>
      <c r="BO275" s="4504">
        <f t="shared" si="344"/>
        <v>0</v>
      </c>
      <c r="BP275" s="4504">
        <f t="shared" si="345"/>
        <v>0</v>
      </c>
      <c r="BQ275" s="4504">
        <f t="shared" si="346"/>
        <v>0</v>
      </c>
      <c r="BR275" s="4504">
        <f t="shared" si="347"/>
        <v>0</v>
      </c>
      <c r="BS275" s="4504">
        <f t="shared" si="348"/>
        <v>0</v>
      </c>
      <c r="BT275" s="4504">
        <f t="shared" si="349"/>
        <v>0</v>
      </c>
      <c r="BU275" s="4504">
        <f t="shared" si="350"/>
        <v>0</v>
      </c>
      <c r="BV275" s="4504">
        <f t="shared" si="351"/>
        <v>0</v>
      </c>
      <c r="BW275" s="4504">
        <f t="shared" si="352"/>
        <v>0</v>
      </c>
      <c r="BX275" s="4504">
        <f t="shared" si="353"/>
        <v>0</v>
      </c>
      <c r="BY275" s="4504">
        <f t="shared" si="354"/>
        <v>0</v>
      </c>
    </row>
    <row r="276" spans="1:77" ht="24">
      <c r="A276" s="2611">
        <v>18</v>
      </c>
      <c r="B276" s="2554" t="s">
        <v>704</v>
      </c>
      <c r="C276" s="2555">
        <v>0.04</v>
      </c>
      <c r="D276" s="2590" t="s">
        <v>422</v>
      </c>
      <c r="E276" s="1249">
        <f t="shared" si="362"/>
        <v>121.87095999999991</v>
      </c>
      <c r="F276" s="1228">
        <f t="shared" si="363"/>
        <v>104.62899999999991</v>
      </c>
      <c r="G276" s="1224">
        <f t="shared" si="363"/>
        <v>87.387039999999899</v>
      </c>
      <c r="H276" s="1224">
        <f t="shared" si="363"/>
        <v>70.145079999999894</v>
      </c>
      <c r="I276" s="1224">
        <f t="shared" si="363"/>
        <v>52.903119999999888</v>
      </c>
      <c r="J276" s="1224">
        <f t="shared" si="363"/>
        <v>35.661159999999882</v>
      </c>
      <c r="K276" s="1229">
        <f t="shared" si="363"/>
        <v>18.419199999999876</v>
      </c>
      <c r="L276" s="2679">
        <f t="shared" si="363"/>
        <v>30.264650000000003</v>
      </c>
      <c r="M276" s="908">
        <f t="shared" si="363"/>
        <v>28.102850000000004</v>
      </c>
      <c r="N276" s="1224">
        <f t="shared" si="363"/>
        <v>25.941050000000004</v>
      </c>
      <c r="O276" s="1224">
        <f t="shared" si="363"/>
        <v>23.779250000000005</v>
      </c>
      <c r="P276" s="1224">
        <f t="shared" si="363"/>
        <v>21.617450000000005</v>
      </c>
      <c r="Q276" s="1224">
        <f t="shared" si="363"/>
        <v>19.455650000000006</v>
      </c>
      <c r="R276" s="1229">
        <f t="shared" si="363"/>
        <v>17.293850000000006</v>
      </c>
      <c r="S276" s="1249">
        <f t="shared" si="363"/>
        <v>6577.9800999999989</v>
      </c>
      <c r="T276" s="1228">
        <f t="shared" si="363"/>
        <v>11160.255939999999</v>
      </c>
      <c r="U276" s="1224">
        <f t="shared" si="364"/>
        <v>10342.531779999999</v>
      </c>
      <c r="V276" s="1224">
        <f t="shared" si="364"/>
        <v>9524.8076199999996</v>
      </c>
      <c r="W276" s="1224">
        <f t="shared" si="364"/>
        <v>8707.0834599999998</v>
      </c>
      <c r="X276" s="1224">
        <f t="shared" si="364"/>
        <v>7889.3593000000001</v>
      </c>
      <c r="Y276" s="1229">
        <f t="shared" si="364"/>
        <v>7071.6351400000003</v>
      </c>
      <c r="Z276" s="1249">
        <f t="shared" si="364"/>
        <v>0</v>
      </c>
      <c r="AA276" s="1228">
        <f t="shared" si="364"/>
        <v>0</v>
      </c>
      <c r="AB276" s="1224">
        <f t="shared" si="364"/>
        <v>0</v>
      </c>
      <c r="AC276" s="1224">
        <f t="shared" si="364"/>
        <v>0</v>
      </c>
      <c r="AD276" s="1224">
        <f t="shared" si="364"/>
        <v>0</v>
      </c>
      <c r="AE276" s="1224">
        <f t="shared" si="364"/>
        <v>0</v>
      </c>
      <c r="AF276" s="1229">
        <f t="shared" si="364"/>
        <v>0</v>
      </c>
      <c r="AG276" s="1249">
        <f t="shared" si="364"/>
        <v>0</v>
      </c>
      <c r="AH276" s="1228">
        <f t="shared" si="364"/>
        <v>0</v>
      </c>
      <c r="AI276" s="1224">
        <f t="shared" si="364"/>
        <v>0</v>
      </c>
      <c r="AJ276" s="1224">
        <f t="shared" si="364"/>
        <v>0</v>
      </c>
      <c r="AK276" s="1224">
        <f t="shared" si="364"/>
        <v>0</v>
      </c>
      <c r="AL276" s="1224">
        <f t="shared" si="364"/>
        <v>0</v>
      </c>
      <c r="AM276" s="1229">
        <f t="shared" si="364"/>
        <v>0</v>
      </c>
      <c r="AN276" s="2551"/>
      <c r="AO276" s="2589"/>
      <c r="AP276" s="4488"/>
      <c r="AQ276" s="4504">
        <f t="shared" si="320"/>
        <v>62.311632401589051</v>
      </c>
      <c r="AR276" s="4504">
        <f t="shared" si="321"/>
        <v>53.495958237679098</v>
      </c>
      <c r="AS276" s="4504">
        <f t="shared" si="322"/>
        <v>44.680284073769144</v>
      </c>
      <c r="AT276" s="4504">
        <f t="shared" si="323"/>
        <v>35.86460990985919</v>
      </c>
      <c r="AU276" s="4504">
        <f t="shared" si="324"/>
        <v>27.048935745949233</v>
      </c>
      <c r="AV276" s="4504">
        <f t="shared" si="325"/>
        <v>18.23326158203928</v>
      </c>
      <c r="AW276" s="4504">
        <f t="shared" si="326"/>
        <v>9.4175874181293242</v>
      </c>
      <c r="AX276" s="4504">
        <f t="shared" si="327"/>
        <v>15.474069832245135</v>
      </c>
      <c r="AY276" s="4504">
        <f t="shared" si="328"/>
        <v>14.368759043475151</v>
      </c>
      <c r="AZ276" s="4504">
        <f t="shared" si="329"/>
        <v>13.263448254705166</v>
      </c>
      <c r="BA276" s="4504">
        <f t="shared" si="330"/>
        <v>12.15813746593518</v>
      </c>
      <c r="BB276" s="4504">
        <f t="shared" si="331"/>
        <v>11.052826677165196</v>
      </c>
      <c r="BC276" s="4504">
        <f t="shared" si="332"/>
        <v>9.9475158883952108</v>
      </c>
      <c r="BD276" s="4504">
        <f t="shared" si="333"/>
        <v>8.842205099625227</v>
      </c>
      <c r="BE276" s="4504">
        <f t="shared" si="334"/>
        <v>3363.2678198002891</v>
      </c>
      <c r="BF276" s="4504">
        <f t="shared" si="335"/>
        <v>5706.1482541938713</v>
      </c>
      <c r="BG276" s="4504">
        <f t="shared" si="336"/>
        <v>5288.052530127874</v>
      </c>
      <c r="BH276" s="4504">
        <f t="shared" si="337"/>
        <v>4869.9568060618767</v>
      </c>
      <c r="BI276" s="4504">
        <f t="shared" si="338"/>
        <v>4451.8610819958794</v>
      </c>
      <c r="BJ276" s="4504">
        <f t="shared" si="339"/>
        <v>4033.7653579298817</v>
      </c>
      <c r="BK276" s="4504">
        <f t="shared" si="340"/>
        <v>3615.669633863884</v>
      </c>
      <c r="BL276" s="4504">
        <f t="shared" si="341"/>
        <v>0</v>
      </c>
      <c r="BM276" s="4504">
        <f t="shared" si="342"/>
        <v>0</v>
      </c>
      <c r="BN276" s="4504">
        <f t="shared" si="343"/>
        <v>0</v>
      </c>
      <c r="BO276" s="4504">
        <f t="shared" si="344"/>
        <v>0</v>
      </c>
      <c r="BP276" s="4504">
        <f t="shared" si="345"/>
        <v>0</v>
      </c>
      <c r="BQ276" s="4504">
        <f t="shared" si="346"/>
        <v>0</v>
      </c>
      <c r="BR276" s="4504">
        <f t="shared" si="347"/>
        <v>0</v>
      </c>
      <c r="BS276" s="4504">
        <f t="shared" si="348"/>
        <v>0</v>
      </c>
      <c r="BT276" s="4504">
        <f t="shared" si="349"/>
        <v>0</v>
      </c>
      <c r="BU276" s="4504">
        <f t="shared" si="350"/>
        <v>0</v>
      </c>
      <c r="BV276" s="4504">
        <f t="shared" si="351"/>
        <v>0</v>
      </c>
      <c r="BW276" s="4504">
        <f t="shared" si="352"/>
        <v>0</v>
      </c>
      <c r="BX276" s="4504">
        <f t="shared" si="353"/>
        <v>0</v>
      </c>
      <c r="BY276" s="4504">
        <f t="shared" si="354"/>
        <v>0</v>
      </c>
    </row>
    <row r="277" spans="1:77">
      <c r="A277" s="2611">
        <v>19</v>
      </c>
      <c r="B277" s="2554" t="s">
        <v>705</v>
      </c>
      <c r="C277" s="2555">
        <v>0.04</v>
      </c>
      <c r="D277" s="2590" t="s">
        <v>423</v>
      </c>
      <c r="E277" s="1249">
        <f t="shared" si="362"/>
        <v>2.8454594879336561</v>
      </c>
      <c r="F277" s="1228">
        <f t="shared" si="363"/>
        <v>2.5655380235003182</v>
      </c>
      <c r="G277" s="1224">
        <f t="shared" si="363"/>
        <v>2.2856165590669804</v>
      </c>
      <c r="H277" s="1224">
        <f t="shared" si="363"/>
        <v>2.0056950946336425</v>
      </c>
      <c r="I277" s="1224">
        <f t="shared" si="363"/>
        <v>1.7257736302003046</v>
      </c>
      <c r="J277" s="1224">
        <f t="shared" si="363"/>
        <v>1.4458521657669667</v>
      </c>
      <c r="K277" s="1229">
        <f t="shared" si="363"/>
        <v>1.1659307013336289</v>
      </c>
      <c r="L277" s="2679">
        <f t="shared" si="363"/>
        <v>0</v>
      </c>
      <c r="M277" s="908">
        <f t="shared" si="363"/>
        <v>0</v>
      </c>
      <c r="N277" s="1224">
        <f t="shared" si="363"/>
        <v>0</v>
      </c>
      <c r="O277" s="1224">
        <f t="shared" si="363"/>
        <v>0</v>
      </c>
      <c r="P277" s="1224">
        <f t="shared" si="363"/>
        <v>0</v>
      </c>
      <c r="Q277" s="1224">
        <f t="shared" si="363"/>
        <v>0</v>
      </c>
      <c r="R277" s="1229">
        <f t="shared" si="363"/>
        <v>0</v>
      </c>
      <c r="S277" s="1249">
        <f t="shared" si="363"/>
        <v>0</v>
      </c>
      <c r="T277" s="1228">
        <f t="shared" si="363"/>
        <v>0</v>
      </c>
      <c r="U277" s="1224">
        <f t="shared" si="364"/>
        <v>0</v>
      </c>
      <c r="V277" s="1224">
        <f t="shared" si="364"/>
        <v>0</v>
      </c>
      <c r="W277" s="1224">
        <f t="shared" si="364"/>
        <v>0</v>
      </c>
      <c r="X277" s="1224">
        <f t="shared" si="364"/>
        <v>0</v>
      </c>
      <c r="Y277" s="1229">
        <f t="shared" si="364"/>
        <v>0</v>
      </c>
      <c r="Z277" s="1249">
        <f t="shared" si="364"/>
        <v>0</v>
      </c>
      <c r="AA277" s="1228">
        <f t="shared" si="364"/>
        <v>0</v>
      </c>
      <c r="AB277" s="1224">
        <f t="shared" si="364"/>
        <v>0</v>
      </c>
      <c r="AC277" s="1224">
        <f t="shared" si="364"/>
        <v>0</v>
      </c>
      <c r="AD277" s="1224">
        <f t="shared" si="364"/>
        <v>0</v>
      </c>
      <c r="AE277" s="1224">
        <f t="shared" si="364"/>
        <v>0</v>
      </c>
      <c r="AF277" s="1229">
        <f t="shared" si="364"/>
        <v>0</v>
      </c>
      <c r="AG277" s="1249">
        <f t="shared" si="364"/>
        <v>5.0259105120663463</v>
      </c>
      <c r="AH277" s="1228">
        <f t="shared" si="364"/>
        <v>4.0578319764996849</v>
      </c>
      <c r="AI277" s="1224">
        <f t="shared" si="364"/>
        <v>3.0897534409330234</v>
      </c>
      <c r="AJ277" s="1224">
        <f t="shared" si="364"/>
        <v>2.1216749053663619</v>
      </c>
      <c r="AK277" s="1224">
        <f t="shared" si="364"/>
        <v>1.1535963697997005</v>
      </c>
      <c r="AL277" s="1224">
        <f t="shared" si="364"/>
        <v>0.18551783423303903</v>
      </c>
      <c r="AM277" s="1229">
        <f t="shared" si="364"/>
        <v>-0.78256070133362243</v>
      </c>
      <c r="AN277" s="2551"/>
      <c r="AO277" s="2589"/>
      <c r="AP277" s="4488"/>
      <c r="AQ277" s="4504">
        <f t="shared" si="320"/>
        <v>1.4548603344532276</v>
      </c>
      <c r="AR277" s="4504">
        <f t="shared" si="321"/>
        <v>1.311738762315906</v>
      </c>
      <c r="AS277" s="4504">
        <f t="shared" si="322"/>
        <v>1.1686171901785842</v>
      </c>
      <c r="AT277" s="4504">
        <f t="shared" si="323"/>
        <v>1.0254956180412627</v>
      </c>
      <c r="AU277" s="4504">
        <f t="shared" si="324"/>
        <v>0.88237404590394086</v>
      </c>
      <c r="AV277" s="4504">
        <f t="shared" si="325"/>
        <v>0.73925247376661918</v>
      </c>
      <c r="AW277" s="4504">
        <f t="shared" si="326"/>
        <v>0.59613090162929749</v>
      </c>
      <c r="AX277" s="4504">
        <f t="shared" si="327"/>
        <v>0</v>
      </c>
      <c r="AY277" s="4504">
        <f t="shared" si="328"/>
        <v>0</v>
      </c>
      <c r="AZ277" s="4504">
        <f t="shared" si="329"/>
        <v>0</v>
      </c>
      <c r="BA277" s="4504">
        <f t="shared" si="330"/>
        <v>0</v>
      </c>
      <c r="BB277" s="4504">
        <f t="shared" si="331"/>
        <v>0</v>
      </c>
      <c r="BC277" s="4504">
        <f t="shared" si="332"/>
        <v>0</v>
      </c>
      <c r="BD277" s="4504">
        <f t="shared" si="333"/>
        <v>0</v>
      </c>
      <c r="BE277" s="4504">
        <f t="shared" si="334"/>
        <v>0</v>
      </c>
      <c r="BF277" s="4504">
        <f t="shared" si="335"/>
        <v>0</v>
      </c>
      <c r="BG277" s="4504">
        <f t="shared" si="336"/>
        <v>0</v>
      </c>
      <c r="BH277" s="4504">
        <f t="shared" si="337"/>
        <v>0</v>
      </c>
      <c r="BI277" s="4504">
        <f t="shared" si="338"/>
        <v>0</v>
      </c>
      <c r="BJ277" s="4504">
        <f t="shared" si="339"/>
        <v>0</v>
      </c>
      <c r="BK277" s="4504">
        <f t="shared" si="340"/>
        <v>0</v>
      </c>
      <c r="BL277" s="4504">
        <f t="shared" si="341"/>
        <v>0</v>
      </c>
      <c r="BM277" s="4504">
        <f t="shared" si="342"/>
        <v>0</v>
      </c>
      <c r="BN277" s="4504">
        <f t="shared" si="343"/>
        <v>0</v>
      </c>
      <c r="BO277" s="4504">
        <f t="shared" si="344"/>
        <v>0</v>
      </c>
      <c r="BP277" s="4504">
        <f t="shared" si="345"/>
        <v>0</v>
      </c>
      <c r="BQ277" s="4504">
        <f t="shared" si="346"/>
        <v>0</v>
      </c>
      <c r="BR277" s="4504">
        <f t="shared" si="347"/>
        <v>0</v>
      </c>
      <c r="BS277" s="4504">
        <f t="shared" si="348"/>
        <v>2.5697072404382522</v>
      </c>
      <c r="BT277" s="4504">
        <f t="shared" si="349"/>
        <v>2.0747365448426933</v>
      </c>
      <c r="BU277" s="4504">
        <f t="shared" si="350"/>
        <v>1.5797658492471347</v>
      </c>
      <c r="BV277" s="4504">
        <f t="shared" si="351"/>
        <v>1.0847951536515761</v>
      </c>
      <c r="BW277" s="4504">
        <f t="shared" si="352"/>
        <v>0.58982445805601735</v>
      </c>
      <c r="BX277" s="4504">
        <f t="shared" si="353"/>
        <v>9.4853762460458749E-2</v>
      </c>
      <c r="BY277" s="4504">
        <f t="shared" si="354"/>
        <v>-0.40011693313509988</v>
      </c>
    </row>
    <row r="278" spans="1:77">
      <c r="A278" s="2611">
        <v>20</v>
      </c>
      <c r="B278" s="2554" t="s">
        <v>717</v>
      </c>
      <c r="C278" s="2555">
        <v>0.04</v>
      </c>
      <c r="D278" s="2609" t="s">
        <v>434</v>
      </c>
      <c r="E278" s="1249">
        <f t="shared" si="362"/>
        <v>0.34612000000001331</v>
      </c>
      <c r="F278" s="1228">
        <f t="shared" ref="F278:Y279" si="365">F212-F256</f>
        <v>-1.5299999999740521E-3</v>
      </c>
      <c r="G278" s="1224">
        <f t="shared" si="365"/>
        <v>-0.34917999999996141</v>
      </c>
      <c r="H278" s="1224">
        <f t="shared" si="365"/>
        <v>-0.69682999999994877</v>
      </c>
      <c r="I278" s="1224">
        <f t="shared" si="365"/>
        <v>-1.0444799999999361</v>
      </c>
      <c r="J278" s="1224">
        <f t="shared" si="365"/>
        <v>-1.3921299999999235</v>
      </c>
      <c r="K278" s="1229">
        <f t="shared" si="365"/>
        <v>-1.7397799999999108</v>
      </c>
      <c r="L278" s="2679">
        <f t="shared" si="365"/>
        <v>0</v>
      </c>
      <c r="M278" s="908">
        <f t="shared" si="365"/>
        <v>0</v>
      </c>
      <c r="N278" s="1224">
        <f t="shared" si="365"/>
        <v>0</v>
      </c>
      <c r="O278" s="1224">
        <f t="shared" si="365"/>
        <v>0</v>
      </c>
      <c r="P278" s="1224">
        <f t="shared" si="365"/>
        <v>0</v>
      </c>
      <c r="Q278" s="1224">
        <f t="shared" si="365"/>
        <v>0</v>
      </c>
      <c r="R278" s="1229">
        <f t="shared" si="365"/>
        <v>0</v>
      </c>
      <c r="S278" s="1249">
        <f t="shared" si="365"/>
        <v>2891.1032499999992</v>
      </c>
      <c r="T278" s="1228">
        <f t="shared" si="365"/>
        <v>2651.5245699999991</v>
      </c>
      <c r="U278" s="1224">
        <f t="shared" si="365"/>
        <v>2411.9458899999991</v>
      </c>
      <c r="V278" s="1224">
        <f t="shared" si="365"/>
        <v>2172.367209999999</v>
      </c>
      <c r="W278" s="1224">
        <f t="shared" si="365"/>
        <v>1932.7885299999989</v>
      </c>
      <c r="X278" s="1224">
        <f t="shared" si="365"/>
        <v>1693.2098499999993</v>
      </c>
      <c r="Y278" s="1229">
        <f t="shared" si="365"/>
        <v>1453.6311699999997</v>
      </c>
      <c r="Z278" s="1249">
        <f t="shared" si="364"/>
        <v>0</v>
      </c>
      <c r="AA278" s="1228">
        <f t="shared" si="364"/>
        <v>0</v>
      </c>
      <c r="AB278" s="1224">
        <f t="shared" si="364"/>
        <v>0</v>
      </c>
      <c r="AC278" s="1224">
        <f t="shared" si="364"/>
        <v>0</v>
      </c>
      <c r="AD278" s="1224">
        <f t="shared" si="364"/>
        <v>0</v>
      </c>
      <c r="AE278" s="1224">
        <f t="shared" si="364"/>
        <v>0</v>
      </c>
      <c r="AF278" s="1229">
        <f t="shared" si="364"/>
        <v>0</v>
      </c>
      <c r="AG278" s="1249">
        <f t="shared" si="364"/>
        <v>0</v>
      </c>
      <c r="AH278" s="1228">
        <f t="shared" si="364"/>
        <v>0</v>
      </c>
      <c r="AI278" s="1224">
        <f t="shared" si="364"/>
        <v>0</v>
      </c>
      <c r="AJ278" s="1224">
        <f t="shared" si="364"/>
        <v>0</v>
      </c>
      <c r="AK278" s="1224">
        <f t="shared" si="364"/>
        <v>0</v>
      </c>
      <c r="AL278" s="1224">
        <f t="shared" si="364"/>
        <v>0</v>
      </c>
      <c r="AM278" s="1229">
        <f t="shared" si="364"/>
        <v>0</v>
      </c>
      <c r="AN278" s="2551"/>
      <c r="AO278" s="2589"/>
      <c r="AP278" s="4488"/>
      <c r="AQ278" s="4504">
        <f t="shared" si="320"/>
        <v>0.17696834591964195</v>
      </c>
      <c r="AR278" s="4504">
        <f t="shared" si="321"/>
        <v>-7.8227657821694735E-4</v>
      </c>
      <c r="AS278" s="4504">
        <f t="shared" si="322"/>
        <v>-0.17853289907607583</v>
      </c>
      <c r="AT278" s="4504">
        <f t="shared" si="323"/>
        <v>-0.35628352157393472</v>
      </c>
      <c r="AU278" s="4504">
        <f t="shared" si="324"/>
        <v>-0.53403414407179362</v>
      </c>
      <c r="AV278" s="4504">
        <f t="shared" si="325"/>
        <v>-0.71178476656965251</v>
      </c>
      <c r="AW278" s="4504">
        <f t="shared" si="326"/>
        <v>-0.8895353890675114</v>
      </c>
      <c r="AX278" s="4504">
        <f t="shared" si="327"/>
        <v>0</v>
      </c>
      <c r="AY278" s="4504">
        <f t="shared" si="328"/>
        <v>0</v>
      </c>
      <c r="AZ278" s="4504">
        <f t="shared" si="329"/>
        <v>0</v>
      </c>
      <c r="BA278" s="4504">
        <f t="shared" si="330"/>
        <v>0</v>
      </c>
      <c r="BB278" s="4504">
        <f t="shared" si="331"/>
        <v>0</v>
      </c>
      <c r="BC278" s="4504">
        <f t="shared" si="332"/>
        <v>0</v>
      </c>
      <c r="BD278" s="4504">
        <f t="shared" si="333"/>
        <v>0</v>
      </c>
      <c r="BE278" s="4504">
        <f t="shared" si="334"/>
        <v>1478.1976194250008</v>
      </c>
      <c r="BF278" s="4504">
        <f t="shared" si="335"/>
        <v>1355.7029854332939</v>
      </c>
      <c r="BG278" s="4504">
        <f t="shared" si="336"/>
        <v>1233.208351441587</v>
      </c>
      <c r="BH278" s="4504">
        <f t="shared" si="337"/>
        <v>1110.7137174498801</v>
      </c>
      <c r="BI278" s="4504">
        <f t="shared" si="338"/>
        <v>988.21908345817326</v>
      </c>
      <c r="BJ278" s="4504">
        <f t="shared" si="339"/>
        <v>865.72444946646658</v>
      </c>
      <c r="BK278" s="4504">
        <f t="shared" si="340"/>
        <v>743.2298154747599</v>
      </c>
      <c r="BL278" s="4504">
        <f t="shared" si="341"/>
        <v>0</v>
      </c>
      <c r="BM278" s="4504">
        <f t="shared" si="342"/>
        <v>0</v>
      </c>
      <c r="BN278" s="4504">
        <f t="shared" si="343"/>
        <v>0</v>
      </c>
      <c r="BO278" s="4504">
        <f t="shared" si="344"/>
        <v>0</v>
      </c>
      <c r="BP278" s="4504">
        <f t="shared" si="345"/>
        <v>0</v>
      </c>
      <c r="BQ278" s="4504">
        <f t="shared" si="346"/>
        <v>0</v>
      </c>
      <c r="BR278" s="4504">
        <f t="shared" si="347"/>
        <v>0</v>
      </c>
      <c r="BS278" s="4504">
        <f t="shared" si="348"/>
        <v>0</v>
      </c>
      <c r="BT278" s="4504">
        <f t="shared" si="349"/>
        <v>0</v>
      </c>
      <c r="BU278" s="4504">
        <f t="shared" si="350"/>
        <v>0</v>
      </c>
      <c r="BV278" s="4504">
        <f t="shared" si="351"/>
        <v>0</v>
      </c>
      <c r="BW278" s="4504">
        <f t="shared" si="352"/>
        <v>0</v>
      </c>
      <c r="BX278" s="4504">
        <f t="shared" si="353"/>
        <v>0</v>
      </c>
      <c r="BY278" s="4504">
        <f t="shared" si="354"/>
        <v>0</v>
      </c>
    </row>
    <row r="279" spans="1:77" ht="24.6" thickBot="1">
      <c r="A279" s="2611">
        <v>21</v>
      </c>
      <c r="B279" s="2554" t="s">
        <v>707</v>
      </c>
      <c r="C279" s="2560">
        <v>0.2</v>
      </c>
      <c r="D279" s="2590" t="s">
        <v>679</v>
      </c>
      <c r="E279" s="1249">
        <f t="shared" si="362"/>
        <v>0</v>
      </c>
      <c r="F279" s="1228">
        <f t="shared" si="365"/>
        <v>0</v>
      </c>
      <c r="G279" s="1224">
        <f t="shared" si="365"/>
        <v>0</v>
      </c>
      <c r="H279" s="1224">
        <f t="shared" si="365"/>
        <v>0</v>
      </c>
      <c r="I279" s="1224">
        <f t="shared" si="365"/>
        <v>0</v>
      </c>
      <c r="J279" s="1224">
        <f t="shared" si="365"/>
        <v>0</v>
      </c>
      <c r="K279" s="1229">
        <f t="shared" si="365"/>
        <v>0</v>
      </c>
      <c r="L279" s="2679">
        <f t="shared" si="365"/>
        <v>0</v>
      </c>
      <c r="M279" s="1236">
        <f t="shared" si="365"/>
        <v>0</v>
      </c>
      <c r="N279" s="1225">
        <f t="shared" si="365"/>
        <v>0</v>
      </c>
      <c r="O279" s="1225">
        <f t="shared" si="365"/>
        <v>0</v>
      </c>
      <c r="P279" s="1225">
        <f t="shared" si="365"/>
        <v>0</v>
      </c>
      <c r="Q279" s="1225">
        <f t="shared" si="365"/>
        <v>0</v>
      </c>
      <c r="R279" s="1231">
        <f t="shared" si="365"/>
        <v>0</v>
      </c>
      <c r="S279" s="1249">
        <f t="shared" si="365"/>
        <v>0</v>
      </c>
      <c r="T279" s="1230">
        <f t="shared" si="365"/>
        <v>0</v>
      </c>
      <c r="U279" s="1225">
        <f t="shared" si="365"/>
        <v>0</v>
      </c>
      <c r="V279" s="1225">
        <f t="shared" si="365"/>
        <v>0</v>
      </c>
      <c r="W279" s="1225">
        <f t="shared" si="365"/>
        <v>0</v>
      </c>
      <c r="X279" s="1225">
        <f t="shared" si="365"/>
        <v>0</v>
      </c>
      <c r="Y279" s="1231">
        <f t="shared" si="365"/>
        <v>0</v>
      </c>
      <c r="Z279" s="1249">
        <f t="shared" si="364"/>
        <v>0</v>
      </c>
      <c r="AA279" s="1230">
        <f t="shared" si="364"/>
        <v>0</v>
      </c>
      <c r="AB279" s="1225">
        <f t="shared" si="364"/>
        <v>0</v>
      </c>
      <c r="AC279" s="1225">
        <f t="shared" si="364"/>
        <v>0</v>
      </c>
      <c r="AD279" s="1225">
        <f t="shared" si="364"/>
        <v>0</v>
      </c>
      <c r="AE279" s="1225">
        <f t="shared" si="364"/>
        <v>0</v>
      </c>
      <c r="AF279" s="1231">
        <f t="shared" si="364"/>
        <v>0</v>
      </c>
      <c r="AG279" s="1249">
        <f t="shared" si="364"/>
        <v>0</v>
      </c>
      <c r="AH279" s="1230">
        <f t="shared" si="364"/>
        <v>0</v>
      </c>
      <c r="AI279" s="1225">
        <f t="shared" si="364"/>
        <v>0</v>
      </c>
      <c r="AJ279" s="1225">
        <f t="shared" si="364"/>
        <v>0</v>
      </c>
      <c r="AK279" s="1225">
        <f t="shared" si="364"/>
        <v>0</v>
      </c>
      <c r="AL279" s="1225">
        <f t="shared" si="364"/>
        <v>0</v>
      </c>
      <c r="AM279" s="1231">
        <f t="shared" si="364"/>
        <v>0</v>
      </c>
      <c r="AN279" s="2551"/>
      <c r="AO279" s="2589"/>
      <c r="AP279" s="4488"/>
      <c r="AQ279" s="4504">
        <f t="shared" si="320"/>
        <v>0</v>
      </c>
      <c r="AR279" s="4504">
        <f t="shared" si="321"/>
        <v>0</v>
      </c>
      <c r="AS279" s="4504">
        <f t="shared" si="322"/>
        <v>0</v>
      </c>
      <c r="AT279" s="4504">
        <f t="shared" si="323"/>
        <v>0</v>
      </c>
      <c r="AU279" s="4504">
        <f t="shared" si="324"/>
        <v>0</v>
      </c>
      <c r="AV279" s="4504">
        <f t="shared" si="325"/>
        <v>0</v>
      </c>
      <c r="AW279" s="4504">
        <f t="shared" si="326"/>
        <v>0</v>
      </c>
      <c r="AX279" s="4504">
        <f t="shared" si="327"/>
        <v>0</v>
      </c>
      <c r="AY279" s="4504">
        <f t="shared" si="328"/>
        <v>0</v>
      </c>
      <c r="AZ279" s="4504">
        <f t="shared" si="329"/>
        <v>0</v>
      </c>
      <c r="BA279" s="4504">
        <f t="shared" si="330"/>
        <v>0</v>
      </c>
      <c r="BB279" s="4504">
        <f t="shared" si="331"/>
        <v>0</v>
      </c>
      <c r="BC279" s="4504">
        <f t="shared" si="332"/>
        <v>0</v>
      </c>
      <c r="BD279" s="4504">
        <f t="shared" si="333"/>
        <v>0</v>
      </c>
      <c r="BE279" s="4504">
        <f t="shared" si="334"/>
        <v>0</v>
      </c>
      <c r="BF279" s="4504">
        <f t="shared" si="335"/>
        <v>0</v>
      </c>
      <c r="BG279" s="4504">
        <f t="shared" si="336"/>
        <v>0</v>
      </c>
      <c r="BH279" s="4504">
        <f t="shared" si="337"/>
        <v>0</v>
      </c>
      <c r="BI279" s="4504">
        <f t="shared" si="338"/>
        <v>0</v>
      </c>
      <c r="BJ279" s="4504">
        <f t="shared" si="339"/>
        <v>0</v>
      </c>
      <c r="BK279" s="4504">
        <f t="shared" si="340"/>
        <v>0</v>
      </c>
      <c r="BL279" s="4504">
        <f t="shared" si="341"/>
        <v>0</v>
      </c>
      <c r="BM279" s="4504">
        <f t="shared" si="342"/>
        <v>0</v>
      </c>
      <c r="BN279" s="4504">
        <f t="shared" si="343"/>
        <v>0</v>
      </c>
      <c r="BO279" s="4504">
        <f t="shared" si="344"/>
        <v>0</v>
      </c>
      <c r="BP279" s="4504">
        <f t="shared" si="345"/>
        <v>0</v>
      </c>
      <c r="BQ279" s="4504">
        <f t="shared" si="346"/>
        <v>0</v>
      </c>
      <c r="BR279" s="4504">
        <f t="shared" si="347"/>
        <v>0</v>
      </c>
      <c r="BS279" s="4504">
        <f t="shared" si="348"/>
        <v>0</v>
      </c>
      <c r="BT279" s="4504">
        <f t="shared" si="349"/>
        <v>0</v>
      </c>
      <c r="BU279" s="4504">
        <f t="shared" si="350"/>
        <v>0</v>
      </c>
      <c r="BV279" s="4504">
        <f t="shared" si="351"/>
        <v>0</v>
      </c>
      <c r="BW279" s="4504">
        <f t="shared" si="352"/>
        <v>0</v>
      </c>
      <c r="BX279" s="4504">
        <f t="shared" si="353"/>
        <v>0</v>
      </c>
      <c r="BY279" s="4504">
        <f t="shared" si="354"/>
        <v>0</v>
      </c>
    </row>
    <row r="280" spans="1:77" ht="13.8" thickBot="1">
      <c r="A280" s="2616"/>
      <c r="B280" s="2616"/>
      <c r="C280" s="2616"/>
      <c r="D280" s="2617" t="s">
        <v>559</v>
      </c>
      <c r="E280" s="2680">
        <f>E10+E111+E192</f>
        <v>68536.111462777757</v>
      </c>
      <c r="F280" s="2681">
        <f t="shared" ref="F280:AM280" si="366">F10+F111+F192</f>
        <v>78829.066974844434</v>
      </c>
      <c r="G280" s="2682">
        <f t="shared" si="366"/>
        <v>98096.673788177781</v>
      </c>
      <c r="H280" s="2682">
        <f t="shared" si="366"/>
        <v>105095.19012151111</v>
      </c>
      <c r="I280" s="2682">
        <f t="shared" si="366"/>
        <v>117664.01867817779</v>
      </c>
      <c r="J280" s="2682">
        <f t="shared" si="366"/>
        <v>119008.36034484445</v>
      </c>
      <c r="K280" s="2683">
        <f t="shared" si="366"/>
        <v>143287.27239817777</v>
      </c>
      <c r="L280" s="2680">
        <f t="shared" si="366"/>
        <v>43388.503722632537</v>
      </c>
      <c r="M280" s="2681">
        <f t="shared" si="366"/>
        <v>43924.114369299205</v>
      </c>
      <c r="N280" s="2682">
        <f t="shared" si="366"/>
        <v>43984.44770263254</v>
      </c>
      <c r="O280" s="2682">
        <f t="shared" si="366"/>
        <v>44042.781035965869</v>
      </c>
      <c r="P280" s="2682">
        <f t="shared" si="366"/>
        <v>44107.44770263254</v>
      </c>
      <c r="Q280" s="2682">
        <f t="shared" si="366"/>
        <v>44170.114369299205</v>
      </c>
      <c r="R280" s="2683">
        <f t="shared" si="366"/>
        <v>44228.44770263254</v>
      </c>
      <c r="S280" s="2680">
        <f t="shared" si="366"/>
        <v>36178.559637029568</v>
      </c>
      <c r="T280" s="2681">
        <f t="shared" si="366"/>
        <v>41632.226303696239</v>
      </c>
      <c r="U280" s="2682">
        <f t="shared" si="366"/>
        <v>41716.559637029568</v>
      </c>
      <c r="V280" s="2682">
        <f t="shared" si="366"/>
        <v>41798.892970362904</v>
      </c>
      <c r="W280" s="2682">
        <f t="shared" si="366"/>
        <v>41887.559637029568</v>
      </c>
      <c r="X280" s="2682">
        <f t="shared" si="366"/>
        <v>41974.226303696239</v>
      </c>
      <c r="Y280" s="2684">
        <f t="shared" si="366"/>
        <v>42056.559637029568</v>
      </c>
      <c r="Z280" s="2680">
        <f t="shared" si="366"/>
        <v>0</v>
      </c>
      <c r="AA280" s="2681">
        <f t="shared" si="366"/>
        <v>0</v>
      </c>
      <c r="AB280" s="2682">
        <f t="shared" si="366"/>
        <v>0</v>
      </c>
      <c r="AC280" s="2682">
        <f t="shared" si="366"/>
        <v>0</v>
      </c>
      <c r="AD280" s="2682">
        <f t="shared" si="366"/>
        <v>0</v>
      </c>
      <c r="AE280" s="2682">
        <f t="shared" si="366"/>
        <v>0</v>
      </c>
      <c r="AF280" s="2684">
        <f t="shared" si="366"/>
        <v>0</v>
      </c>
      <c r="AG280" s="2680">
        <f t="shared" si="366"/>
        <v>2735.7118376133776</v>
      </c>
      <c r="AH280" s="2681">
        <f t="shared" si="366"/>
        <v>2765.7118376133776</v>
      </c>
      <c r="AI280" s="2682">
        <f t="shared" si="366"/>
        <v>3061.7118376133776</v>
      </c>
      <c r="AJ280" s="2682">
        <f t="shared" si="366"/>
        <v>3202.7118376133776</v>
      </c>
      <c r="AK280" s="2682">
        <f t="shared" si="366"/>
        <v>3338.7118376133776</v>
      </c>
      <c r="AL280" s="2682">
        <f t="shared" si="366"/>
        <v>3499.7118376133776</v>
      </c>
      <c r="AM280" s="2684">
        <f t="shared" si="366"/>
        <v>3660.7118376133776</v>
      </c>
      <c r="AN280" s="2608"/>
      <c r="AO280" s="2587"/>
      <c r="AP280" s="4488"/>
      <c r="AQ280" s="4504">
        <f t="shared" si="320"/>
        <v>35041.957359677355</v>
      </c>
      <c r="AR280" s="4504">
        <f t="shared" si="321"/>
        <v>40304.661946510911</v>
      </c>
      <c r="AS280" s="4504">
        <f t="shared" si="322"/>
        <v>50156.032880249193</v>
      </c>
      <c r="AT280" s="4504">
        <f t="shared" si="323"/>
        <v>53734.317461901657</v>
      </c>
      <c r="AU280" s="4504">
        <f t="shared" si="324"/>
        <v>60160.657459072514</v>
      </c>
      <c r="AV280" s="4504">
        <f t="shared" si="325"/>
        <v>60848.008438792967</v>
      </c>
      <c r="AW280" s="4504">
        <f t="shared" si="326"/>
        <v>73261.6190559393</v>
      </c>
      <c r="AX280" s="4504">
        <f t="shared" si="327"/>
        <v>22184.189690633921</v>
      </c>
      <c r="AY280" s="4504">
        <f t="shared" si="328"/>
        <v>22458.043065756843</v>
      </c>
      <c r="AZ280" s="4504">
        <f t="shared" si="329"/>
        <v>22488.891009255683</v>
      </c>
      <c r="BA280" s="4504">
        <f t="shared" si="330"/>
        <v>22518.716368992125</v>
      </c>
      <c r="BB280" s="4504">
        <f t="shared" si="331"/>
        <v>22551.779910642817</v>
      </c>
      <c r="BC280" s="4504">
        <f t="shared" si="332"/>
        <v>22583.820868531111</v>
      </c>
      <c r="BD280" s="4504">
        <f t="shared" si="333"/>
        <v>22613.64622826756</v>
      </c>
      <c r="BE280" s="4504">
        <f t="shared" si="334"/>
        <v>18497.803815786428</v>
      </c>
      <c r="BF280" s="4504">
        <f t="shared" si="335"/>
        <v>21286.21930520354</v>
      </c>
      <c r="BG280" s="4504">
        <f t="shared" si="336"/>
        <v>21329.338253851085</v>
      </c>
      <c r="BH280" s="4504">
        <f t="shared" si="337"/>
        <v>21371.434618736243</v>
      </c>
      <c r="BI280" s="4504">
        <f t="shared" si="338"/>
        <v>21416.769165535639</v>
      </c>
      <c r="BJ280" s="4504">
        <f t="shared" si="339"/>
        <v>21461.081128572649</v>
      </c>
      <c r="BK280" s="4504">
        <f t="shared" si="340"/>
        <v>21503.177493457799</v>
      </c>
      <c r="BL280" s="4504">
        <f t="shared" si="341"/>
        <v>0</v>
      </c>
      <c r="BM280" s="4504">
        <f t="shared" si="342"/>
        <v>0</v>
      </c>
      <c r="BN280" s="4504">
        <f t="shared" si="343"/>
        <v>0</v>
      </c>
      <c r="BO280" s="4504">
        <f t="shared" si="344"/>
        <v>0</v>
      </c>
      <c r="BP280" s="4504">
        <f t="shared" si="345"/>
        <v>0</v>
      </c>
      <c r="BQ280" s="4504">
        <f t="shared" si="346"/>
        <v>0</v>
      </c>
      <c r="BR280" s="4504">
        <f t="shared" si="347"/>
        <v>0</v>
      </c>
      <c r="BS280" s="4504">
        <f t="shared" si="348"/>
        <v>1398.7472518641077</v>
      </c>
      <c r="BT280" s="4504">
        <f t="shared" si="349"/>
        <v>1414.0860082999943</v>
      </c>
      <c r="BU280" s="4504">
        <f t="shared" si="350"/>
        <v>1565.4284051340749</v>
      </c>
      <c r="BV280" s="4504">
        <f t="shared" si="351"/>
        <v>1637.5205603827417</v>
      </c>
      <c r="BW280" s="4504">
        <f t="shared" si="352"/>
        <v>1707.0562562254274</v>
      </c>
      <c r="BX280" s="4504">
        <f t="shared" si="353"/>
        <v>1789.3742490980185</v>
      </c>
      <c r="BY280" s="4504">
        <f t="shared" si="354"/>
        <v>1871.6922419706098</v>
      </c>
    </row>
    <row r="281" spans="1:77" ht="13.8" thickBot="1">
      <c r="A281" s="2616"/>
      <c r="B281" s="2616"/>
      <c r="C281" s="2616"/>
      <c r="D281" s="2617" t="s">
        <v>560</v>
      </c>
      <c r="E281" s="2680">
        <f t="shared" ref="E281" si="367">E35+E131+E214</f>
        <v>1187.80523216846</v>
      </c>
      <c r="F281" s="2681">
        <f t="shared" ref="F281:AM281" si="368">F35+F131+F214</f>
        <v>1477.2873778548042</v>
      </c>
      <c r="G281" s="2682">
        <f t="shared" si="368"/>
        <v>1901.2706848672165</v>
      </c>
      <c r="H281" s="2682">
        <f t="shared" si="368"/>
        <v>2062.1764768187218</v>
      </c>
      <c r="I281" s="2682">
        <f t="shared" si="368"/>
        <v>2335.8557466288739</v>
      </c>
      <c r="J281" s="2682">
        <f t="shared" si="368"/>
        <v>2387.6223471608719</v>
      </c>
      <c r="K281" s="2683">
        <f t="shared" si="368"/>
        <v>2896.3459739889572</v>
      </c>
      <c r="L281" s="2680">
        <f t="shared" si="368"/>
        <v>860.06429193286669</v>
      </c>
      <c r="M281" s="2681">
        <f t="shared" si="368"/>
        <v>871.85241001456529</v>
      </c>
      <c r="N281" s="2682">
        <f t="shared" si="368"/>
        <v>872.40073114854658</v>
      </c>
      <c r="O281" s="2682">
        <f t="shared" si="368"/>
        <v>873.04910633687939</v>
      </c>
      <c r="P281" s="2682">
        <f t="shared" si="368"/>
        <v>873.73998778519217</v>
      </c>
      <c r="Q281" s="2682">
        <f t="shared" si="368"/>
        <v>874.45333132802148</v>
      </c>
      <c r="R281" s="2683">
        <f t="shared" si="368"/>
        <v>875.14994754889369</v>
      </c>
      <c r="S281" s="2680">
        <f t="shared" si="368"/>
        <v>1046.984512339827</v>
      </c>
      <c r="T281" s="2681">
        <f t="shared" si="368"/>
        <v>1267.8023825896466</v>
      </c>
      <c r="U281" s="2682">
        <f t="shared" si="368"/>
        <v>1269.068724043253</v>
      </c>
      <c r="V281" s="2682">
        <f t="shared" si="368"/>
        <v>1271.2282169034147</v>
      </c>
      <c r="W281" s="2682">
        <f t="shared" si="368"/>
        <v>1273.5713034449498</v>
      </c>
      <c r="X281" s="2682">
        <f t="shared" si="368"/>
        <v>1276.0148593701222</v>
      </c>
      <c r="Y281" s="2684">
        <f t="shared" si="368"/>
        <v>1278.4261907211646</v>
      </c>
      <c r="Z281" s="2680">
        <f t="shared" si="368"/>
        <v>0</v>
      </c>
      <c r="AA281" s="2681">
        <f t="shared" si="368"/>
        <v>0</v>
      </c>
      <c r="AB281" s="2682">
        <f t="shared" si="368"/>
        <v>0</v>
      </c>
      <c r="AC281" s="2682">
        <f t="shared" si="368"/>
        <v>0</v>
      </c>
      <c r="AD281" s="2682">
        <f t="shared" si="368"/>
        <v>0</v>
      </c>
      <c r="AE281" s="2682">
        <f t="shared" si="368"/>
        <v>0</v>
      </c>
      <c r="AF281" s="2684">
        <f t="shared" si="368"/>
        <v>0</v>
      </c>
      <c r="AG281" s="2680">
        <f t="shared" si="368"/>
        <v>49.041663038299674</v>
      </c>
      <c r="AH281" s="2681">
        <f t="shared" si="368"/>
        <v>61.024646900153897</v>
      </c>
      <c r="AI281" s="2682">
        <f t="shared" si="368"/>
        <v>68.714646900153895</v>
      </c>
      <c r="AJ281" s="2682">
        <f t="shared" si="368"/>
        <v>78.264646900153892</v>
      </c>
      <c r="AK281" s="2682">
        <f t="shared" si="368"/>
        <v>84.714646900153909</v>
      </c>
      <c r="AL281" s="2682">
        <f t="shared" si="368"/>
        <v>91.3646469001539</v>
      </c>
      <c r="AM281" s="2684">
        <f t="shared" si="368"/>
        <v>98.264646900153906</v>
      </c>
      <c r="AN281" s="2608"/>
      <c r="AO281" s="2587"/>
      <c r="AP281" s="4488"/>
      <c r="AQ281" s="4504">
        <f t="shared" si="320"/>
        <v>607.31517165012292</v>
      </c>
      <c r="AR281" s="4504">
        <f t="shared" si="321"/>
        <v>755.32504249081171</v>
      </c>
      <c r="AS281" s="4504">
        <f t="shared" si="322"/>
        <v>972.10426512898187</v>
      </c>
      <c r="AT281" s="4504">
        <f t="shared" si="323"/>
        <v>1054.3740901912342</v>
      </c>
      <c r="AU281" s="4504">
        <f t="shared" si="324"/>
        <v>1194.3040788968744</v>
      </c>
      <c r="AV281" s="4504">
        <f t="shared" si="325"/>
        <v>1220.7719214660128</v>
      </c>
      <c r="AW281" s="4504">
        <f t="shared" si="326"/>
        <v>1480.8781816359076</v>
      </c>
      <c r="AX281" s="4504">
        <f t="shared" si="327"/>
        <v>439.74388977204904</v>
      </c>
      <c r="AY281" s="4504">
        <f t="shared" si="328"/>
        <v>445.77105884180389</v>
      </c>
      <c r="AZ281" s="4504">
        <f t="shared" si="329"/>
        <v>446.05141098589684</v>
      </c>
      <c r="BA281" s="4504">
        <f t="shared" si="330"/>
        <v>446.38291995566044</v>
      </c>
      <c r="BB281" s="4504">
        <f t="shared" si="331"/>
        <v>446.73616203105189</v>
      </c>
      <c r="BC281" s="4504">
        <f t="shared" si="332"/>
        <v>447.10088879300423</v>
      </c>
      <c r="BD281" s="4504">
        <f t="shared" si="333"/>
        <v>447.45706301104582</v>
      </c>
      <c r="BE281" s="4504">
        <f t="shared" si="334"/>
        <v>535.3146808975356</v>
      </c>
      <c r="BF281" s="4504">
        <f t="shared" si="335"/>
        <v>648.21706517930841</v>
      </c>
      <c r="BG281" s="4504">
        <f t="shared" si="336"/>
        <v>648.86453528335949</v>
      </c>
      <c r="BH281" s="4504">
        <f t="shared" si="337"/>
        <v>649.96866645026137</v>
      </c>
      <c r="BI281" s="4504">
        <f t="shared" si="338"/>
        <v>651.16666757588837</v>
      </c>
      <c r="BJ281" s="4504">
        <f t="shared" si="339"/>
        <v>652.41603788167799</v>
      </c>
      <c r="BK281" s="4504">
        <f t="shared" si="340"/>
        <v>653.64893202433984</v>
      </c>
      <c r="BL281" s="4504">
        <f t="shared" si="341"/>
        <v>0</v>
      </c>
      <c r="BM281" s="4504">
        <f t="shared" si="342"/>
        <v>0</v>
      </c>
      <c r="BN281" s="4504">
        <f t="shared" si="343"/>
        <v>0</v>
      </c>
      <c r="BO281" s="4504">
        <f t="shared" si="344"/>
        <v>0</v>
      </c>
      <c r="BP281" s="4504">
        <f t="shared" si="345"/>
        <v>0</v>
      </c>
      <c r="BQ281" s="4504">
        <f t="shared" si="346"/>
        <v>0</v>
      </c>
      <c r="BR281" s="4504">
        <f t="shared" si="347"/>
        <v>0</v>
      </c>
      <c r="BS281" s="4504">
        <f t="shared" si="348"/>
        <v>25.074604151843296</v>
      </c>
      <c r="BT281" s="4504">
        <f t="shared" si="349"/>
        <v>31.201406512914669</v>
      </c>
      <c r="BU281" s="4504">
        <f t="shared" si="350"/>
        <v>35.133241079313592</v>
      </c>
      <c r="BV281" s="4504">
        <f t="shared" si="351"/>
        <v>40.016078544737475</v>
      </c>
      <c r="BW281" s="4504">
        <f t="shared" si="352"/>
        <v>43.31391117845309</v>
      </c>
      <c r="BX281" s="4504">
        <f t="shared" si="353"/>
        <v>46.714002188407939</v>
      </c>
      <c r="BY281" s="4504">
        <f t="shared" si="354"/>
        <v>50.241916168661852</v>
      </c>
    </row>
    <row r="282" spans="1:77" ht="13.8" thickBot="1">
      <c r="A282" s="2616"/>
      <c r="B282" s="2616"/>
      <c r="C282" s="2616"/>
      <c r="D282" s="2617" t="s">
        <v>561</v>
      </c>
      <c r="E282" s="2680">
        <f t="shared" ref="E282" si="369">E60+E151+E236</f>
        <v>22002.767854322399</v>
      </c>
      <c r="F282" s="2681">
        <f t="shared" ref="F282:AM282" si="370">F60+F151+F236</f>
        <v>23480.055232177212</v>
      </c>
      <c r="G282" s="2682">
        <f t="shared" si="370"/>
        <v>25381.325917044429</v>
      </c>
      <c r="H282" s="2682">
        <f t="shared" si="370"/>
        <v>27443.502393863142</v>
      </c>
      <c r="I282" s="2682">
        <f t="shared" si="370"/>
        <v>29779.358140492019</v>
      </c>
      <c r="J282" s="2682">
        <f t="shared" si="370"/>
        <v>32166.980487652887</v>
      </c>
      <c r="K282" s="2683">
        <f t="shared" si="370"/>
        <v>35063.326461641846</v>
      </c>
      <c r="L282" s="2680">
        <f t="shared" si="370"/>
        <v>12013.086050665877</v>
      </c>
      <c r="M282" s="2681">
        <f t="shared" si="370"/>
        <v>12884.938460680441</v>
      </c>
      <c r="N282" s="2682">
        <f t="shared" si="370"/>
        <v>13757.339191828989</v>
      </c>
      <c r="O282" s="2682">
        <f t="shared" si="370"/>
        <v>14630.388298165868</v>
      </c>
      <c r="P282" s="2682">
        <f t="shared" si="370"/>
        <v>15504.128285951061</v>
      </c>
      <c r="Q282" s="2682">
        <f t="shared" si="370"/>
        <v>16378.581617279084</v>
      </c>
      <c r="R282" s="2683">
        <f t="shared" si="370"/>
        <v>17253.731564827976</v>
      </c>
      <c r="S282" s="2680">
        <f t="shared" si="370"/>
        <v>23508.552485421795</v>
      </c>
      <c r="T282" s="2681">
        <f t="shared" si="370"/>
        <v>24776.354868011447</v>
      </c>
      <c r="U282" s="2682">
        <f t="shared" si="370"/>
        <v>26045.423592054696</v>
      </c>
      <c r="V282" s="2682">
        <f t="shared" si="370"/>
        <v>27316.651808958111</v>
      </c>
      <c r="W282" s="2682">
        <f t="shared" si="370"/>
        <v>28590.223112403062</v>
      </c>
      <c r="X282" s="2682">
        <f t="shared" si="370"/>
        <v>29866.237971773186</v>
      </c>
      <c r="Y282" s="2684">
        <f t="shared" si="370"/>
        <v>31144.664162494344</v>
      </c>
      <c r="Z282" s="2680">
        <f t="shared" si="370"/>
        <v>0</v>
      </c>
      <c r="AA282" s="2681">
        <f t="shared" si="370"/>
        <v>0</v>
      </c>
      <c r="AB282" s="2682">
        <f t="shared" si="370"/>
        <v>0</v>
      </c>
      <c r="AC282" s="2682">
        <f t="shared" si="370"/>
        <v>0</v>
      </c>
      <c r="AD282" s="2682">
        <f t="shared" si="370"/>
        <v>0</v>
      </c>
      <c r="AE282" s="2682">
        <f t="shared" si="370"/>
        <v>0</v>
      </c>
      <c r="AF282" s="2684">
        <f t="shared" si="370"/>
        <v>0</v>
      </c>
      <c r="AG282" s="2680">
        <f t="shared" si="370"/>
        <v>2007.8165245888972</v>
      </c>
      <c r="AH282" s="2681">
        <f t="shared" si="370"/>
        <v>2068.8411714890517</v>
      </c>
      <c r="AI282" s="2682">
        <f t="shared" si="370"/>
        <v>2137.5558183892049</v>
      </c>
      <c r="AJ282" s="2682">
        <f t="shared" si="370"/>
        <v>2215.8204652893592</v>
      </c>
      <c r="AK282" s="2682">
        <f t="shared" si="370"/>
        <v>2300.5351121895128</v>
      </c>
      <c r="AL282" s="2682">
        <f t="shared" si="370"/>
        <v>2391.899759089667</v>
      </c>
      <c r="AM282" s="2684">
        <f t="shared" si="370"/>
        <v>2490.1644059898208</v>
      </c>
      <c r="AN282" s="2608"/>
      <c r="AO282" s="2587"/>
      <c r="AP282" s="4488"/>
      <c r="AQ282" s="4504">
        <f t="shared" si="320"/>
        <v>11249.836567760183</v>
      </c>
      <c r="AR282" s="4504">
        <f t="shared" si="321"/>
        <v>12005.161610251</v>
      </c>
      <c r="AS282" s="4504">
        <f t="shared" si="322"/>
        <v>12977.265875379982</v>
      </c>
      <c r="AT282" s="4504">
        <f t="shared" si="323"/>
        <v>14031.639965571212</v>
      </c>
      <c r="AU282" s="4504">
        <f t="shared" si="324"/>
        <v>15225.944044468088</v>
      </c>
      <c r="AV282" s="4504">
        <f t="shared" si="325"/>
        <v>16446.715965934098</v>
      </c>
      <c r="AW282" s="4504">
        <f t="shared" si="326"/>
        <v>17927.594147570006</v>
      </c>
      <c r="AX282" s="4504">
        <f t="shared" si="327"/>
        <v>6142.1933658170074</v>
      </c>
      <c r="AY282" s="4504">
        <f t="shared" si="328"/>
        <v>6587.9644246588105</v>
      </c>
      <c r="AZ282" s="4504">
        <f t="shared" si="329"/>
        <v>7034.0158356447082</v>
      </c>
      <c r="BA282" s="4504">
        <f t="shared" si="330"/>
        <v>7480.3987556003685</v>
      </c>
      <c r="BB282" s="4504">
        <f t="shared" si="331"/>
        <v>7927.1349176314206</v>
      </c>
      <c r="BC282" s="4504">
        <f t="shared" si="332"/>
        <v>8374.2358064244254</v>
      </c>
      <c r="BD282" s="4504">
        <f t="shared" si="333"/>
        <v>8821.6928694354701</v>
      </c>
      <c r="BE282" s="4504">
        <f t="shared" si="334"/>
        <v>12019.732024471346</v>
      </c>
      <c r="BF282" s="4504">
        <f t="shared" si="335"/>
        <v>12667.94908965066</v>
      </c>
      <c r="BG282" s="4504">
        <f t="shared" si="336"/>
        <v>13316.813624934017</v>
      </c>
      <c r="BH282" s="4504">
        <f t="shared" si="337"/>
        <v>13966.782291384277</v>
      </c>
      <c r="BI282" s="4504">
        <f t="shared" si="338"/>
        <v>14617.948958960167</v>
      </c>
      <c r="BJ282" s="4504">
        <f t="shared" si="339"/>
        <v>15270.364996841845</v>
      </c>
      <c r="BK282" s="4504">
        <f t="shared" si="340"/>
        <v>15924.013928866181</v>
      </c>
      <c r="BL282" s="4504">
        <f t="shared" si="341"/>
        <v>0</v>
      </c>
      <c r="BM282" s="4504">
        <f t="shared" si="342"/>
        <v>0</v>
      </c>
      <c r="BN282" s="4504">
        <f t="shared" si="343"/>
        <v>0</v>
      </c>
      <c r="BO282" s="4504">
        <f t="shared" si="344"/>
        <v>0</v>
      </c>
      <c r="BP282" s="4504">
        <f t="shared" si="345"/>
        <v>0</v>
      </c>
      <c r="BQ282" s="4504">
        <f t="shared" si="346"/>
        <v>0</v>
      </c>
      <c r="BR282" s="4504">
        <f t="shared" si="347"/>
        <v>0</v>
      </c>
      <c r="BS282" s="4504">
        <f t="shared" si="348"/>
        <v>1026.5802879539108</v>
      </c>
      <c r="BT282" s="4504">
        <f t="shared" si="349"/>
        <v>1057.7816944668257</v>
      </c>
      <c r="BU282" s="4504">
        <f t="shared" si="350"/>
        <v>1092.9149355461388</v>
      </c>
      <c r="BV282" s="4504">
        <f t="shared" si="351"/>
        <v>1132.9310140908767</v>
      </c>
      <c r="BW282" s="4504">
        <f t="shared" si="352"/>
        <v>1176.2449252693295</v>
      </c>
      <c r="BX282" s="4504">
        <f t="shared" si="353"/>
        <v>1222.9589274577377</v>
      </c>
      <c r="BY282" s="4504">
        <f t="shared" si="354"/>
        <v>1273.2008436263995</v>
      </c>
    </row>
    <row r="283" spans="1:77" ht="13.8" thickBot="1">
      <c r="A283" s="2616"/>
      <c r="B283" s="2616"/>
      <c r="C283" s="2616"/>
      <c r="D283" s="2617" t="s">
        <v>562</v>
      </c>
      <c r="E283" s="2680">
        <f t="shared" ref="E283" si="371">E85+E171+E258</f>
        <v>46533.343608455361</v>
      </c>
      <c r="F283" s="2681">
        <f>F85+F171+F258</f>
        <v>55349.011742667222</v>
      </c>
      <c r="G283" s="2682">
        <f t="shared" ref="G283:AM283" si="372">G85+G171+G258</f>
        <v>72715.347871133345</v>
      </c>
      <c r="H283" s="2682">
        <f t="shared" si="372"/>
        <v>77651.68772764795</v>
      </c>
      <c r="I283" s="2682">
        <f t="shared" si="372"/>
        <v>87884.660537685762</v>
      </c>
      <c r="J283" s="2682">
        <f t="shared" si="372"/>
        <v>86841.379857191569</v>
      </c>
      <c r="K283" s="2683">
        <f t="shared" si="372"/>
        <v>108223.94593653592</v>
      </c>
      <c r="L283" s="2680">
        <f t="shared" si="372"/>
        <v>31375.417671966661</v>
      </c>
      <c r="M283" s="2681">
        <f t="shared" si="372"/>
        <v>31039.175908618767</v>
      </c>
      <c r="N283" s="2682">
        <f t="shared" si="372"/>
        <v>30227.108510803555</v>
      </c>
      <c r="O283" s="2682">
        <f t="shared" si="372"/>
        <v>29412.392737800008</v>
      </c>
      <c r="P283" s="2682">
        <f t="shared" si="372"/>
        <v>28603.319416681483</v>
      </c>
      <c r="Q283" s="2682">
        <f t="shared" si="372"/>
        <v>27791.532752020128</v>
      </c>
      <c r="R283" s="2683">
        <f t="shared" si="372"/>
        <v>26974.716137804564</v>
      </c>
      <c r="S283" s="2680">
        <f t="shared" si="372"/>
        <v>12670.00715160777</v>
      </c>
      <c r="T283" s="2681">
        <f t="shared" si="372"/>
        <v>16855.871435684796</v>
      </c>
      <c r="U283" s="2682">
        <f t="shared" si="372"/>
        <v>15671.136044974875</v>
      </c>
      <c r="V283" s="2682">
        <f t="shared" si="372"/>
        <v>14482.241161404792</v>
      </c>
      <c r="W283" s="2682">
        <f t="shared" si="372"/>
        <v>13297.336524626511</v>
      </c>
      <c r="X283" s="2682">
        <f t="shared" si="372"/>
        <v>12107.988331923054</v>
      </c>
      <c r="Y283" s="2684">
        <f t="shared" si="372"/>
        <v>10911.895474535224</v>
      </c>
      <c r="Z283" s="2680">
        <f t="shared" si="372"/>
        <v>0</v>
      </c>
      <c r="AA283" s="2681">
        <f t="shared" si="372"/>
        <v>0</v>
      </c>
      <c r="AB283" s="2682">
        <f t="shared" si="372"/>
        <v>0</v>
      </c>
      <c r="AC283" s="2682">
        <f t="shared" si="372"/>
        <v>0</v>
      </c>
      <c r="AD283" s="2682">
        <f t="shared" si="372"/>
        <v>0</v>
      </c>
      <c r="AE283" s="2682">
        <f t="shared" si="372"/>
        <v>0</v>
      </c>
      <c r="AF283" s="2684">
        <f t="shared" si="372"/>
        <v>0</v>
      </c>
      <c r="AG283" s="2680">
        <f t="shared" si="372"/>
        <v>727.89531302447995</v>
      </c>
      <c r="AH283" s="2681">
        <f t="shared" si="372"/>
        <v>696.87066612432614</v>
      </c>
      <c r="AI283" s="2682">
        <f t="shared" si="372"/>
        <v>924.15601922417204</v>
      </c>
      <c r="AJ283" s="2682">
        <f t="shared" si="372"/>
        <v>986.89137232401822</v>
      </c>
      <c r="AK283" s="2682">
        <f t="shared" si="372"/>
        <v>1038.1767254238644</v>
      </c>
      <c r="AL283" s="2682">
        <f t="shared" si="372"/>
        <v>1107.8120785237106</v>
      </c>
      <c r="AM283" s="2684">
        <f t="shared" si="372"/>
        <v>1170.5474316235568</v>
      </c>
      <c r="AN283" s="2608"/>
      <c r="AO283" s="2618"/>
      <c r="AP283" s="4488"/>
      <c r="AQ283" s="4504">
        <f t="shared" si="320"/>
        <v>23792.120791917172</v>
      </c>
      <c r="AR283" s="4504">
        <f t="shared" si="321"/>
        <v>28299.500336259913</v>
      </c>
      <c r="AS283" s="4504">
        <f t="shared" si="322"/>
        <v>37178.767004869209</v>
      </c>
      <c r="AT283" s="4504">
        <f t="shared" si="323"/>
        <v>39702.677496330434</v>
      </c>
      <c r="AU283" s="4504">
        <f t="shared" si="324"/>
        <v>44934.713414604419</v>
      </c>
      <c r="AV283" s="4504">
        <f t="shared" si="325"/>
        <v>44401.292472858877</v>
      </c>
      <c r="AW283" s="4504">
        <f t="shared" si="326"/>
        <v>55334.024908369298</v>
      </c>
      <c r="AX283" s="4504">
        <f t="shared" si="327"/>
        <v>16041.996324816913</v>
      </c>
      <c r="AY283" s="4504">
        <f t="shared" si="328"/>
        <v>15870.078641098034</v>
      </c>
      <c r="AZ283" s="4504">
        <f t="shared" si="329"/>
        <v>15454.875173610977</v>
      </c>
      <c r="BA283" s="4504">
        <f t="shared" si="330"/>
        <v>15038.317613391762</v>
      </c>
      <c r="BB283" s="4504">
        <f t="shared" si="331"/>
        <v>14624.644993011398</v>
      </c>
      <c r="BC283" s="4504">
        <f t="shared" si="332"/>
        <v>14209.585062106691</v>
      </c>
      <c r="BD283" s="4504">
        <f t="shared" si="333"/>
        <v>13791.953358832088</v>
      </c>
      <c r="BE283" s="4504">
        <f t="shared" si="334"/>
        <v>6478.0717913150784</v>
      </c>
      <c r="BF283" s="4504">
        <f t="shared" si="335"/>
        <v>8618.2702155528841</v>
      </c>
      <c r="BG283" s="4504">
        <f t="shared" si="336"/>
        <v>8012.5246289170718</v>
      </c>
      <c r="BH283" s="4504">
        <f t="shared" si="337"/>
        <v>7404.6523273519642</v>
      </c>
      <c r="BI283" s="4504">
        <f t="shared" si="338"/>
        <v>6798.8202065754749</v>
      </c>
      <c r="BJ283" s="4504">
        <f t="shared" si="339"/>
        <v>6190.7161317308019</v>
      </c>
      <c r="BK283" s="4504">
        <f t="shared" si="340"/>
        <v>5579.1635645916176</v>
      </c>
      <c r="BL283" s="4504">
        <f t="shared" si="341"/>
        <v>0</v>
      </c>
      <c r="BM283" s="4504">
        <f t="shared" si="342"/>
        <v>0</v>
      </c>
      <c r="BN283" s="4504">
        <f t="shared" si="343"/>
        <v>0</v>
      </c>
      <c r="BO283" s="4504">
        <f t="shared" si="344"/>
        <v>0</v>
      </c>
      <c r="BP283" s="4504">
        <f t="shared" si="345"/>
        <v>0</v>
      </c>
      <c r="BQ283" s="4504">
        <f t="shared" si="346"/>
        <v>0</v>
      </c>
      <c r="BR283" s="4504">
        <f t="shared" si="347"/>
        <v>0</v>
      </c>
      <c r="BS283" s="4504">
        <f t="shared" si="348"/>
        <v>372.16696391019667</v>
      </c>
      <c r="BT283" s="4504">
        <f t="shared" si="349"/>
        <v>356.30431383316858</v>
      </c>
      <c r="BU283" s="4504">
        <f t="shared" si="350"/>
        <v>472.51346958793556</v>
      </c>
      <c r="BV283" s="4504">
        <f t="shared" si="351"/>
        <v>504.58954629186496</v>
      </c>
      <c r="BW283" s="4504">
        <f t="shared" si="352"/>
        <v>530.81133095609755</v>
      </c>
      <c r="BX283" s="4504">
        <f t="shared" si="353"/>
        <v>566.41532164028092</v>
      </c>
      <c r="BY283" s="4504">
        <f t="shared" si="354"/>
        <v>598.49139834421032</v>
      </c>
    </row>
    <row r="284" spans="1:77" ht="13.8" thickBot="1">
      <c r="A284" s="178"/>
      <c r="B284" s="31"/>
      <c r="C284" s="31"/>
      <c r="D284" s="2619"/>
      <c r="E284" s="353"/>
      <c r="F284" s="352"/>
      <c r="G284" s="352"/>
      <c r="H284" s="352"/>
      <c r="I284" s="352"/>
      <c r="J284" s="352"/>
      <c r="K284" s="352"/>
      <c r="L284" s="353"/>
      <c r="M284" s="352"/>
      <c r="N284" s="352"/>
      <c r="O284" s="352"/>
      <c r="P284" s="352"/>
      <c r="Q284" s="352"/>
      <c r="R284" s="352"/>
      <c r="S284" s="353"/>
      <c r="T284" s="352"/>
      <c r="U284" s="352"/>
      <c r="V284" s="352"/>
      <c r="W284" s="352"/>
      <c r="X284" s="352"/>
      <c r="Y284" s="352"/>
      <c r="Z284" s="353"/>
      <c r="AA284" s="352"/>
      <c r="AB284" s="352"/>
      <c r="AC284" s="352"/>
      <c r="AD284" s="352"/>
      <c r="AE284" s="352"/>
      <c r="AF284" s="352"/>
      <c r="AG284" s="353"/>
      <c r="AH284" s="352"/>
      <c r="AI284" s="352"/>
      <c r="AJ284" s="352"/>
      <c r="AK284" s="352"/>
      <c r="AL284" s="352"/>
      <c r="AM284" s="352"/>
      <c r="AP284" s="4488"/>
    </row>
    <row r="285" spans="1:77" ht="13.8" thickBot="1">
      <c r="D285" s="267" t="s">
        <v>1039</v>
      </c>
      <c r="E285" s="268">
        <f>E280-E282-E283</f>
        <v>0</v>
      </c>
      <c r="F285" s="268">
        <f t="shared" ref="F285:AM285" si="373">F280-F282-F283</f>
        <v>0</v>
      </c>
      <c r="G285" s="268">
        <f t="shared" si="373"/>
        <v>0</v>
      </c>
      <c r="H285" s="268">
        <f t="shared" si="373"/>
        <v>0</v>
      </c>
      <c r="I285" s="268">
        <f t="shared" si="373"/>
        <v>0</v>
      </c>
      <c r="J285" s="268">
        <f t="shared" si="373"/>
        <v>0</v>
      </c>
      <c r="K285" s="268">
        <f t="shared" si="373"/>
        <v>0</v>
      </c>
      <c r="L285" s="268">
        <f t="shared" si="373"/>
        <v>0</v>
      </c>
      <c r="M285" s="268">
        <f t="shared" si="373"/>
        <v>0</v>
      </c>
      <c r="N285" s="268">
        <f t="shared" si="373"/>
        <v>0</v>
      </c>
      <c r="O285" s="268">
        <f t="shared" si="373"/>
        <v>0</v>
      </c>
      <c r="P285" s="268">
        <f t="shared" si="373"/>
        <v>0</v>
      </c>
      <c r="Q285" s="268">
        <f t="shared" si="373"/>
        <v>0</v>
      </c>
      <c r="R285" s="268">
        <f t="shared" si="373"/>
        <v>0</v>
      </c>
      <c r="S285" s="268">
        <f t="shared" si="373"/>
        <v>0</v>
      </c>
      <c r="T285" s="268">
        <f t="shared" si="373"/>
        <v>0</v>
      </c>
      <c r="U285" s="268">
        <f t="shared" si="373"/>
        <v>0</v>
      </c>
      <c r="V285" s="268">
        <f t="shared" si="373"/>
        <v>0</v>
      </c>
      <c r="W285" s="268">
        <f t="shared" si="373"/>
        <v>0</v>
      </c>
      <c r="X285" s="268">
        <f t="shared" si="373"/>
        <v>0</v>
      </c>
      <c r="Y285" s="268">
        <f t="shared" si="373"/>
        <v>0</v>
      </c>
      <c r="Z285" s="268">
        <f t="shared" si="373"/>
        <v>0</v>
      </c>
      <c r="AA285" s="268">
        <f t="shared" si="373"/>
        <v>0</v>
      </c>
      <c r="AB285" s="268">
        <f t="shared" si="373"/>
        <v>0</v>
      </c>
      <c r="AC285" s="268">
        <f t="shared" si="373"/>
        <v>0</v>
      </c>
      <c r="AD285" s="268">
        <f t="shared" si="373"/>
        <v>0</v>
      </c>
      <c r="AE285" s="268">
        <f t="shared" si="373"/>
        <v>0</v>
      </c>
      <c r="AF285" s="268">
        <f t="shared" si="373"/>
        <v>0</v>
      </c>
      <c r="AG285" s="268">
        <f t="shared" si="373"/>
        <v>0</v>
      </c>
      <c r="AH285" s="268">
        <f t="shared" si="373"/>
        <v>0</v>
      </c>
      <c r="AI285" s="268">
        <f t="shared" si="373"/>
        <v>0</v>
      </c>
      <c r="AJ285" s="268">
        <f t="shared" si="373"/>
        <v>0</v>
      </c>
      <c r="AK285" s="268">
        <f t="shared" si="373"/>
        <v>0</v>
      </c>
      <c r="AL285" s="268">
        <f t="shared" si="373"/>
        <v>0</v>
      </c>
      <c r="AM285" s="268">
        <f t="shared" si="373"/>
        <v>0</v>
      </c>
      <c r="AP285" s="4488"/>
      <c r="AQ285" s="4510">
        <f t="shared" ref="AQ285" si="374">IFERROR(E285/$D$1,0)</f>
        <v>0</v>
      </c>
      <c r="AR285" s="4510">
        <f t="shared" ref="AR285" si="375">IFERROR(F285/$D$1,0)</f>
        <v>0</v>
      </c>
      <c r="AS285" s="4510">
        <f t="shared" ref="AS285" si="376">IFERROR(G285/$D$1,0)</f>
        <v>0</v>
      </c>
      <c r="AT285" s="4510">
        <f t="shared" ref="AT285" si="377">IFERROR(H285/$D$1,0)</f>
        <v>0</v>
      </c>
      <c r="AU285" s="4510">
        <f t="shared" ref="AU285" si="378">IFERROR(I285/$D$1,0)</f>
        <v>0</v>
      </c>
      <c r="AV285" s="4510">
        <f t="shared" ref="AV285" si="379">IFERROR(J285/$D$1,0)</f>
        <v>0</v>
      </c>
      <c r="AW285" s="4510">
        <f t="shared" ref="AW285" si="380">IFERROR(K285/$D$1,0)</f>
        <v>0</v>
      </c>
      <c r="AX285" s="4510">
        <f t="shared" ref="AX285" si="381">IFERROR(L285/$D$1,0)</f>
        <v>0</v>
      </c>
      <c r="AY285" s="4510">
        <f t="shared" ref="AY285" si="382">IFERROR(M285/$D$1,0)</f>
        <v>0</v>
      </c>
      <c r="AZ285" s="4510">
        <f t="shared" ref="AZ285" si="383">IFERROR(N285/$D$1,0)</f>
        <v>0</v>
      </c>
      <c r="BA285" s="4510">
        <f t="shared" ref="BA285" si="384">IFERROR(O285/$D$1,0)</f>
        <v>0</v>
      </c>
      <c r="BB285" s="4510">
        <f t="shared" ref="BB285" si="385">IFERROR(P285/$D$1,0)</f>
        <v>0</v>
      </c>
      <c r="BC285" s="4510">
        <f t="shared" ref="BC285" si="386">IFERROR(Q285/$D$1,0)</f>
        <v>0</v>
      </c>
      <c r="BD285" s="4510">
        <f t="shared" ref="BD285" si="387">IFERROR(R285/$D$1,0)</f>
        <v>0</v>
      </c>
      <c r="BE285" s="4510">
        <f t="shared" ref="BE285" si="388">IFERROR(S285/$D$1,0)</f>
        <v>0</v>
      </c>
      <c r="BF285" s="4510">
        <f t="shared" ref="BF285" si="389">IFERROR(T285/$D$1,0)</f>
        <v>0</v>
      </c>
      <c r="BG285" s="4510">
        <f t="shared" ref="BG285" si="390">IFERROR(U285/$D$1,0)</f>
        <v>0</v>
      </c>
      <c r="BH285" s="4510">
        <f t="shared" ref="BH285" si="391">IFERROR(V285/$D$1,0)</f>
        <v>0</v>
      </c>
      <c r="BI285" s="4510">
        <f t="shared" ref="BI285" si="392">IFERROR(W285/$D$1,0)</f>
        <v>0</v>
      </c>
      <c r="BJ285" s="4510">
        <f t="shared" ref="BJ285" si="393">IFERROR(X285/$D$1,0)</f>
        <v>0</v>
      </c>
      <c r="BK285" s="4510">
        <f t="shared" ref="BK285" si="394">IFERROR(Y285/$D$1,0)</f>
        <v>0</v>
      </c>
      <c r="BL285" s="4510">
        <f t="shared" ref="BL285" si="395">IFERROR(Z285/$D$1,0)</f>
        <v>0</v>
      </c>
      <c r="BM285" s="4510">
        <f t="shared" ref="BM285" si="396">IFERROR(AA285/$D$1,0)</f>
        <v>0</v>
      </c>
      <c r="BN285" s="4510">
        <f t="shared" ref="BN285" si="397">IFERROR(AB285/$D$1,0)</f>
        <v>0</v>
      </c>
      <c r="BO285" s="4510">
        <f t="shared" ref="BO285" si="398">IFERROR(AC285/$D$1,0)</f>
        <v>0</v>
      </c>
      <c r="BP285" s="4510">
        <f t="shared" ref="BP285" si="399">IFERROR(AD285/$D$1,0)</f>
        <v>0</v>
      </c>
      <c r="BQ285" s="4510">
        <f t="shared" ref="BQ285" si="400">IFERROR(AE285/$D$1,0)</f>
        <v>0</v>
      </c>
      <c r="BR285" s="4510">
        <f t="shared" ref="BR285" si="401">IFERROR(AF285/$D$1,0)</f>
        <v>0</v>
      </c>
      <c r="BS285" s="4510">
        <f t="shared" ref="BS285" si="402">IFERROR(AG285/$D$1,0)</f>
        <v>0</v>
      </c>
      <c r="BT285" s="4510">
        <f t="shared" ref="BT285" si="403">IFERROR(AH285/$D$1,0)</f>
        <v>0</v>
      </c>
      <c r="BU285" s="4510">
        <f t="shared" ref="BU285" si="404">IFERROR(AI285/$D$1,0)</f>
        <v>0</v>
      </c>
      <c r="BV285" s="4510">
        <f t="shared" ref="BV285" si="405">IFERROR(AJ285/$D$1,0)</f>
        <v>0</v>
      </c>
      <c r="BW285" s="4510">
        <f t="shared" ref="BW285" si="406">IFERROR(AK285/$D$1,0)</f>
        <v>0</v>
      </c>
      <c r="BX285" s="4510">
        <f t="shared" ref="BX285" si="407">IFERROR(AL285/$D$1,0)</f>
        <v>0</v>
      </c>
      <c r="BY285" s="4510">
        <f t="shared" ref="BY285" si="408">IFERROR(AM285/$D$1,0)</f>
        <v>0</v>
      </c>
    </row>
    <row r="286" spans="1:77">
      <c r="D286" s="1439"/>
      <c r="E286" s="1440"/>
      <c r="F286" s="1440"/>
      <c r="G286" s="1440"/>
      <c r="H286" s="1440"/>
      <c r="I286" s="1440"/>
      <c r="J286" s="1440"/>
      <c r="K286" s="1440"/>
      <c r="L286" s="1440"/>
      <c r="M286" s="1440"/>
      <c r="N286" s="1440"/>
      <c r="O286" s="1440"/>
      <c r="P286" s="1440"/>
      <c r="Q286" s="1440"/>
      <c r="R286" s="1440"/>
      <c r="S286" s="1440"/>
      <c r="T286" s="1440"/>
      <c r="U286" s="1440"/>
      <c r="V286" s="1440"/>
      <c r="W286" s="1440"/>
      <c r="X286" s="1440"/>
      <c r="Y286" s="1440"/>
      <c r="Z286" s="1440"/>
      <c r="AA286" s="1440"/>
      <c r="AB286" s="1440"/>
      <c r="AC286" s="1440"/>
      <c r="AD286" s="1440"/>
      <c r="AE286" s="1440"/>
      <c r="AF286" s="1440"/>
      <c r="AG286" s="1440"/>
      <c r="AH286" s="1440"/>
      <c r="AI286" s="1440"/>
      <c r="AJ286" s="1440"/>
      <c r="AK286" s="1440"/>
      <c r="AL286" s="1440"/>
      <c r="AM286" s="1440"/>
    </row>
    <row r="287" spans="1:77">
      <c r="D287" s="2623" t="str">
        <f>'Приложение '!B82</f>
        <v>Дата: 16.03.2026</v>
      </c>
      <c r="E287" s="1440"/>
      <c r="F287" s="1440"/>
      <c r="G287" s="1440"/>
      <c r="H287" s="1440"/>
      <c r="I287" s="1440"/>
      <c r="J287" s="1440"/>
      <c r="K287" s="1440"/>
      <c r="L287" s="1440"/>
      <c r="M287" s="1440"/>
      <c r="N287" s="1440"/>
      <c r="O287" s="1440"/>
      <c r="P287" s="1440"/>
      <c r="Q287" s="1440"/>
      <c r="R287" s="1440"/>
      <c r="S287" s="1440"/>
      <c r="T287" s="1440"/>
      <c r="U287" s="1440"/>
      <c r="V287" s="1440"/>
      <c r="W287" s="1440"/>
      <c r="X287" s="1440"/>
      <c r="Y287" s="1440"/>
      <c r="Z287" s="1440"/>
      <c r="AA287" s="1440"/>
      <c r="AB287" s="1440"/>
      <c r="AC287" s="1440"/>
      <c r="AD287" s="1440"/>
      <c r="AE287" s="1440"/>
      <c r="AF287" s="1440"/>
      <c r="AG287" s="1440"/>
      <c r="AH287" s="1440"/>
      <c r="AI287" s="1440"/>
      <c r="AJ287" s="1440"/>
      <c r="AK287" s="1440"/>
      <c r="AL287" s="1440"/>
      <c r="AM287" s="1440"/>
    </row>
    <row r="288" spans="1:77">
      <c r="A288" s="178"/>
      <c r="B288" s="31"/>
      <c r="C288" s="31"/>
      <c r="D288" s="2619"/>
      <c r="E288" s="3897"/>
      <c r="F288" s="352"/>
      <c r="G288" s="352"/>
      <c r="H288" s="352"/>
      <c r="I288" s="352"/>
      <c r="J288" s="352"/>
      <c r="K288" s="352"/>
      <c r="L288" s="353"/>
      <c r="M288" s="352"/>
      <c r="N288" s="352"/>
      <c r="O288" s="352"/>
      <c r="P288" s="352"/>
      <c r="Q288" s="352"/>
      <c r="R288" s="352"/>
      <c r="S288" s="353"/>
      <c r="T288" s="352"/>
      <c r="U288" s="352"/>
      <c r="V288" s="352"/>
      <c r="W288" s="352"/>
      <c r="X288" s="352"/>
      <c r="Y288" s="352"/>
      <c r="Z288" s="353"/>
      <c r="AA288" s="352"/>
      <c r="AB288" s="352"/>
      <c r="AC288" s="352"/>
      <c r="AD288" s="352"/>
      <c r="AE288" s="352"/>
      <c r="AF288" s="352"/>
      <c r="AG288" s="353"/>
      <c r="AH288" s="352"/>
      <c r="AI288" s="352"/>
      <c r="AJ288" s="352"/>
      <c r="AK288" s="352"/>
      <c r="AL288" s="352"/>
      <c r="AM288" s="352"/>
    </row>
    <row r="289" spans="2:38">
      <c r="C289" s="2620"/>
      <c r="E289" s="2630"/>
      <c r="K289" s="2621"/>
      <c r="M289" s="2621"/>
      <c r="Z289" s="2622"/>
      <c r="AC289" s="2624"/>
      <c r="AD289" s="2625"/>
      <c r="AE289" s="2625"/>
      <c r="AF289" s="2625"/>
      <c r="AG289" s="2626"/>
      <c r="AH289" s="2622"/>
      <c r="AI289" s="2521"/>
      <c r="AJ289" s="694"/>
      <c r="AK289" s="2627"/>
      <c r="AL289" s="1324"/>
    </row>
    <row r="290" spans="2:38" ht="27" customHeight="1">
      <c r="D290" s="3899" t="s">
        <v>187</v>
      </c>
      <c r="E290" s="5349"/>
      <c r="F290" s="5349"/>
      <c r="G290" s="5349"/>
      <c r="H290" s="5349"/>
      <c r="I290" s="5349"/>
      <c r="J290" s="5349"/>
      <c r="K290" s="5349"/>
      <c r="L290" s="5349"/>
      <c r="M290" s="5349"/>
      <c r="N290" s="5349"/>
      <c r="O290" s="5349"/>
      <c r="P290" s="5349"/>
      <c r="Q290" s="5349"/>
      <c r="R290" s="5349"/>
      <c r="S290" s="5349"/>
      <c r="T290" s="5349"/>
      <c r="U290" s="5349"/>
      <c r="V290" s="5349"/>
      <c r="W290" s="5349"/>
      <c r="X290" s="5349"/>
      <c r="Y290" s="5349"/>
      <c r="Z290" s="2622"/>
      <c r="AD290" s="2626"/>
      <c r="AE290" s="2628"/>
      <c r="AF290" s="2625"/>
      <c r="AG290" s="2629"/>
      <c r="AH290" s="2622"/>
      <c r="AI290" s="2521"/>
      <c r="AJ290" s="2521"/>
      <c r="AL290" s="2630"/>
    </row>
    <row r="291" spans="2:38" ht="27" customHeight="1">
      <c r="D291" s="3900" t="s">
        <v>1479</v>
      </c>
      <c r="E291" s="5349"/>
      <c r="F291" s="5349"/>
      <c r="G291" s="5349"/>
      <c r="H291" s="5349"/>
      <c r="I291" s="5349"/>
      <c r="J291" s="5349"/>
      <c r="K291" s="5349"/>
      <c r="L291" s="5349"/>
      <c r="M291" s="5349"/>
      <c r="N291" s="5349"/>
      <c r="O291" s="5349"/>
      <c r="P291" s="5349"/>
      <c r="Q291" s="5349"/>
      <c r="R291" s="5349"/>
      <c r="S291" s="5349"/>
      <c r="T291" s="5349"/>
      <c r="U291" s="5349"/>
      <c r="V291" s="5349"/>
      <c r="W291" s="5349"/>
      <c r="X291" s="5349"/>
      <c r="Y291" s="5349"/>
      <c r="Z291" s="2622"/>
      <c r="AD291" s="2626"/>
      <c r="AE291" s="2628"/>
      <c r="AF291" s="2631"/>
      <c r="AG291" s="2629"/>
      <c r="AH291" s="2622"/>
      <c r="AI291" s="2521"/>
      <c r="AJ291" s="2521"/>
      <c r="AL291" s="688"/>
    </row>
    <row r="292" spans="2:38" ht="27" customHeight="1">
      <c r="E292" s="5349"/>
      <c r="F292" s="5349"/>
      <c r="G292" s="5349"/>
      <c r="H292" s="5349"/>
      <c r="I292" s="5349"/>
      <c r="J292" s="5349"/>
      <c r="K292" s="5349"/>
      <c r="L292" s="5349"/>
      <c r="M292" s="5349"/>
      <c r="N292" s="5349"/>
      <c r="O292" s="5349"/>
      <c r="P292" s="5349"/>
      <c r="Q292" s="5349"/>
      <c r="R292" s="5349"/>
      <c r="S292" s="5349"/>
      <c r="T292" s="5349"/>
      <c r="U292" s="5349"/>
      <c r="V292" s="5349"/>
      <c r="W292" s="5349"/>
      <c r="X292" s="5349"/>
      <c r="Y292" s="5349"/>
      <c r="Z292" s="2622"/>
      <c r="AD292" s="2626"/>
      <c r="AE292" s="2628"/>
      <c r="AF292" s="2631"/>
      <c r="AG292" s="2629"/>
      <c r="AH292" s="2622"/>
      <c r="AI292" s="2521"/>
      <c r="AJ292" s="2521"/>
      <c r="AL292" s="688"/>
    </row>
    <row r="293" spans="2:38" ht="27" customHeight="1">
      <c r="E293" s="5349"/>
      <c r="F293" s="5349"/>
      <c r="G293" s="5349"/>
      <c r="H293" s="5349"/>
      <c r="I293" s="5349"/>
      <c r="J293" s="5349"/>
      <c r="K293" s="5349"/>
      <c r="L293" s="5349"/>
      <c r="M293" s="5349"/>
      <c r="N293" s="5349"/>
      <c r="O293" s="5349"/>
      <c r="P293" s="5349"/>
      <c r="Q293" s="5349"/>
      <c r="R293" s="5349"/>
      <c r="S293" s="5349"/>
      <c r="T293" s="5349"/>
      <c r="U293" s="5349"/>
      <c r="V293" s="5349"/>
      <c r="W293" s="5349"/>
      <c r="X293" s="5349"/>
      <c r="Y293" s="5349"/>
      <c r="Z293" s="2622"/>
      <c r="AD293" s="1721"/>
      <c r="AE293" s="2632"/>
      <c r="AF293" s="2633"/>
      <c r="AG293" s="2626"/>
      <c r="AH293" s="2622"/>
      <c r="AI293" s="2521"/>
      <c r="AJ293" s="2521"/>
      <c r="AK293" s="2627"/>
      <c r="AL293" s="1324"/>
    </row>
    <row r="294" spans="2:38" ht="27" customHeight="1">
      <c r="E294" s="5350"/>
      <c r="F294" s="5350"/>
      <c r="G294" s="5350"/>
      <c r="H294" s="5350"/>
      <c r="I294" s="5350"/>
      <c r="J294" s="5350"/>
      <c r="K294" s="5350"/>
      <c r="L294" s="5350"/>
      <c r="M294" s="5350"/>
      <c r="N294" s="5350"/>
      <c r="O294" s="5350"/>
      <c r="P294" s="5350"/>
      <c r="Q294" s="5350"/>
      <c r="R294" s="5350"/>
      <c r="S294" s="5350"/>
      <c r="T294" s="5350"/>
      <c r="U294" s="5350"/>
      <c r="V294" s="5350"/>
      <c r="W294" s="5350"/>
      <c r="X294" s="5350"/>
      <c r="Y294" s="5350"/>
      <c r="Z294" s="2634"/>
      <c r="AD294" s="2626"/>
      <c r="AE294" s="2635"/>
      <c r="AF294" s="2625"/>
      <c r="AG294" s="692"/>
      <c r="AH294" s="2634"/>
      <c r="AL294" s="2630"/>
    </row>
    <row r="295" spans="2:38" ht="12.75" customHeight="1">
      <c r="B295" s="3896"/>
      <c r="C295" s="3896"/>
      <c r="D295" s="3896"/>
      <c r="E295" s="3896"/>
      <c r="F295" s="3896"/>
      <c r="G295" s="2636"/>
      <c r="H295" s="2636"/>
      <c r="I295" s="2636"/>
      <c r="J295" s="2636"/>
      <c r="K295" s="2637"/>
      <c r="L295" s="2637"/>
      <c r="M295" s="2637"/>
      <c r="N295" s="2637"/>
      <c r="O295" s="2637"/>
      <c r="P295" s="2637"/>
      <c r="Q295" s="2637"/>
      <c r="R295" s="2637"/>
      <c r="S295" s="2637"/>
      <c r="T295" s="2637"/>
    </row>
    <row r="296" spans="2:38" ht="12.75" customHeight="1">
      <c r="B296" s="3747"/>
      <c r="C296" s="3747"/>
      <c r="D296" s="3747"/>
      <c r="E296" s="3747"/>
      <c r="F296" s="3747"/>
      <c r="G296" s="2636"/>
      <c r="H296" s="2636"/>
      <c r="I296" s="2636"/>
      <c r="J296" s="2636"/>
      <c r="K296" s="2637"/>
      <c r="L296" s="2637"/>
      <c r="M296" s="2637"/>
      <c r="N296" s="2637"/>
      <c r="O296" s="2637"/>
      <c r="P296" s="2637"/>
      <c r="Q296" s="2637"/>
      <c r="R296" s="2637"/>
      <c r="S296" s="2637"/>
      <c r="T296" s="2637"/>
    </row>
    <row r="297" spans="2:38" ht="25.5" customHeight="1">
      <c r="B297" s="3747"/>
      <c r="C297" s="3747"/>
      <c r="D297" s="3747"/>
      <c r="E297" s="3747"/>
      <c r="F297" s="3747"/>
      <c r="G297" s="3747"/>
      <c r="H297" s="3747"/>
      <c r="I297" s="3747"/>
      <c r="J297" s="3747"/>
      <c r="K297" s="3747"/>
      <c r="L297" s="3747"/>
      <c r="M297" s="3747"/>
      <c r="N297" s="3747"/>
      <c r="O297" s="3747"/>
      <c r="P297" s="3747"/>
      <c r="Q297" s="3747"/>
      <c r="R297" s="3747"/>
      <c r="S297" s="3747"/>
      <c r="T297" s="3747"/>
    </row>
    <row r="298" spans="2:38" ht="27.75" customHeight="1">
      <c r="B298" s="3747"/>
      <c r="C298" s="3747"/>
      <c r="D298" s="3747"/>
      <c r="E298" s="3747"/>
      <c r="F298" s="3747"/>
      <c r="G298" s="3747"/>
      <c r="H298" s="3747"/>
      <c r="I298" s="3747"/>
      <c r="J298" s="3747"/>
      <c r="K298" s="3747"/>
      <c r="L298" s="3747"/>
      <c r="M298" s="3747"/>
      <c r="N298" s="3747"/>
      <c r="O298" s="3747"/>
      <c r="P298" s="3747"/>
      <c r="Q298" s="3747"/>
      <c r="R298" s="3747"/>
      <c r="S298" s="3747"/>
      <c r="T298" s="3747"/>
    </row>
    <row r="299" spans="2:38" ht="31.5" customHeight="1">
      <c r="B299" s="3747"/>
      <c r="C299" s="3747"/>
      <c r="D299" s="3747"/>
      <c r="E299" s="3747"/>
      <c r="F299" s="3747"/>
      <c r="G299" s="3747"/>
      <c r="H299" s="3747"/>
      <c r="I299" s="3747"/>
      <c r="J299" s="3747"/>
      <c r="K299" s="3747"/>
      <c r="L299" s="3747"/>
      <c r="M299" s="3747"/>
      <c r="N299" s="3747"/>
      <c r="O299" s="3747"/>
      <c r="P299" s="3747"/>
      <c r="Q299" s="3747"/>
      <c r="R299" s="3747"/>
      <c r="S299" s="3747"/>
      <c r="T299" s="3747"/>
    </row>
    <row r="300" spans="2:38" ht="30.75" customHeight="1">
      <c r="B300" s="3747"/>
      <c r="C300" s="3747"/>
      <c r="D300" s="3747"/>
      <c r="E300" s="3747"/>
      <c r="F300" s="3747"/>
      <c r="G300" s="3747"/>
      <c r="H300" s="3747"/>
      <c r="I300" s="3747"/>
      <c r="J300" s="3747"/>
      <c r="K300" s="3747"/>
      <c r="L300" s="3747"/>
      <c r="M300" s="3747"/>
      <c r="N300" s="3747"/>
      <c r="O300" s="3747"/>
      <c r="P300" s="3747"/>
      <c r="Q300" s="3747"/>
      <c r="R300" s="3747"/>
      <c r="S300" s="3747"/>
      <c r="T300" s="3747"/>
    </row>
    <row r="301" spans="2:38">
      <c r="B301" s="3747"/>
      <c r="C301" s="3747"/>
      <c r="D301" s="3747"/>
      <c r="E301" s="3747"/>
      <c r="F301" s="3747"/>
      <c r="G301" s="3747"/>
      <c r="H301" s="3747"/>
      <c r="I301" s="3747"/>
      <c r="J301" s="3747"/>
      <c r="K301" s="3747"/>
      <c r="L301" s="3747"/>
      <c r="M301" s="3747"/>
      <c r="N301" s="3747"/>
      <c r="O301" s="3747"/>
      <c r="P301" s="3747"/>
      <c r="Q301" s="3747"/>
      <c r="R301" s="3747"/>
      <c r="S301" s="3747"/>
      <c r="T301" s="3747"/>
    </row>
  </sheetData>
  <sheetProtection algorithmName="SHA-512" hashValue="uv/f6V5hbxxdmYO4KOAuwNJbL4ama/uCKQyRaRW9cHn0vnoCwDyCumPjYJ6+k5zSPD+VOBug2TRmV3qcf6Mkeg==" saltValue="SNTZtpZtEiG+ifU4znCfZw==" spinCount="100000" sheet="1" formatCells="0" formatColumns="0" formatRows="0"/>
  <mergeCells count="25">
    <mergeCell ref="E292:Y292"/>
    <mergeCell ref="AX7:BD7"/>
    <mergeCell ref="BE7:BK7"/>
    <mergeCell ref="E293:Y293"/>
    <mergeCell ref="E294:Y294"/>
    <mergeCell ref="Z7:AF7"/>
    <mergeCell ref="AG7:AM7"/>
    <mergeCell ref="E290:Y290"/>
    <mergeCell ref="E291:Y291"/>
    <mergeCell ref="BL7:BR7"/>
    <mergeCell ref="BS7:BY7"/>
    <mergeCell ref="A1:C1"/>
    <mergeCell ref="AQ7:AW7"/>
    <mergeCell ref="A2:Y2"/>
    <mergeCell ref="A7:A8"/>
    <mergeCell ref="D7:D8"/>
    <mergeCell ref="E7:K7"/>
    <mergeCell ref="L7:R7"/>
    <mergeCell ref="S7:Y7"/>
    <mergeCell ref="B7:B8"/>
    <mergeCell ref="C7:C8"/>
    <mergeCell ref="A3:Y3"/>
    <mergeCell ref="AO7:AO8"/>
    <mergeCell ref="A4:Y4"/>
    <mergeCell ref="A5:Y5"/>
  </mergeCells>
  <printOptions horizontalCentered="1" verticalCentered="1"/>
  <pageMargins left="0" right="0" top="0.59055118110236227" bottom="0.31496062992125984" header="0.31496062992125984" footer="0"/>
  <pageSetup paperSize="9" scale="70" orientation="landscape" r:id="rId1"/>
  <headerFooter alignWithMargins="0">
    <oddFooter>&amp;C&amp;A&amp;RСтр. &amp;P от &amp;N</oddFooter>
  </headerFooter>
  <rowBreaks count="2" manualBreakCount="2">
    <brk id="201" max="40" man="1"/>
    <brk id="252" max="40" man="1"/>
  </rowBreaks>
  <colBreaks count="1" manualBreakCount="1">
    <brk id="25" max="293" man="1"/>
  </colBreaks>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BCF6C6"/>
  </sheetPr>
  <dimension ref="A1:CK131"/>
  <sheetViews>
    <sheetView showGridLines="0" zoomScaleNormal="100" zoomScaleSheetLayoutView="100" workbookViewId="0">
      <pane xSplit="4" ySplit="10" topLeftCell="E33" activePane="bottomRight" state="frozen"/>
      <selection pane="topRight" activeCell="E1" sqref="E1"/>
      <selection pane="bottomLeft" activeCell="A11" sqref="A11"/>
      <selection pane="bottomRight" activeCell="H20" sqref="H20"/>
    </sheetView>
  </sheetViews>
  <sheetFormatPr defaultColWidth="9.109375" defaultRowHeight="13.2"/>
  <cols>
    <col min="1" max="1" width="3.109375" style="68" customWidth="1"/>
    <col min="2" max="2" width="8.88671875" style="28" customWidth="1"/>
    <col min="3" max="3" width="7" style="28" customWidth="1"/>
    <col min="4" max="4" width="46.6640625" style="28" customWidth="1"/>
    <col min="5" max="11" width="9" style="28" customWidth="1"/>
    <col min="12" max="12" width="9.109375" style="28" customWidth="1"/>
    <col min="13" max="18" width="8.6640625" style="28" customWidth="1"/>
    <col min="19" max="19" width="9.6640625" style="28" customWidth="1"/>
    <col min="20" max="25" width="7.6640625" style="28" customWidth="1"/>
    <col min="26" max="26" width="9.6640625" style="28" customWidth="1"/>
    <col min="27" max="32" width="7.6640625" style="28" customWidth="1"/>
    <col min="33" max="33" width="9.6640625" style="28" customWidth="1"/>
    <col min="34" max="39" width="7.6640625" style="28" customWidth="1"/>
    <col min="40" max="40" width="9.109375" style="28" customWidth="1"/>
    <col min="41" max="46" width="7.6640625" style="28" customWidth="1"/>
    <col min="47" max="47" width="1.5546875" style="42" customWidth="1"/>
    <col min="48" max="16384" width="9.109375" style="42"/>
  </cols>
  <sheetData>
    <row r="1" spans="1:89" ht="25.2" customHeight="1" thickBot="1">
      <c r="A1" s="5285" t="str">
        <f>+'1. Обща информация'!B40</f>
        <v>Фиксиран курс на лева към 1 евро</v>
      </c>
      <c r="B1" s="5286"/>
      <c r="C1" s="5287"/>
      <c r="D1" s="4508">
        <f>+'1. Обща информация'!$C$40</f>
        <v>1.95583</v>
      </c>
      <c r="E1" s="2685"/>
      <c r="F1" s="2685"/>
      <c r="G1" s="2685"/>
      <c r="H1" s="2685"/>
      <c r="I1" s="2685"/>
      <c r="J1" s="2685"/>
      <c r="K1" s="2685"/>
      <c r="L1" s="2685"/>
      <c r="M1" s="2685"/>
      <c r="N1" s="2685"/>
      <c r="O1" s="2685"/>
      <c r="P1" s="2685"/>
      <c r="R1" s="2685"/>
      <c r="S1" s="2687"/>
      <c r="T1" s="2688"/>
      <c r="U1" s="2688"/>
      <c r="V1" s="2688"/>
      <c r="W1" s="2688"/>
      <c r="X1" s="2688"/>
      <c r="Y1" s="2686" t="s">
        <v>189</v>
      </c>
      <c r="Z1" s="2687"/>
      <c r="AA1" s="2688"/>
      <c r="AB1" s="2688"/>
      <c r="AC1" s="2688"/>
      <c r="AD1" s="2688"/>
      <c r="AE1" s="2688"/>
      <c r="AF1" s="2688"/>
      <c r="AG1" s="2687"/>
      <c r="AH1" s="2688"/>
      <c r="AI1" s="2688"/>
      <c r="AJ1" s="2688"/>
      <c r="AK1" s="2688"/>
      <c r="AL1" s="2688"/>
      <c r="AM1" s="2688"/>
      <c r="AN1" s="2689"/>
      <c r="AO1" s="2688"/>
      <c r="AP1" s="2688"/>
      <c r="AQ1" s="2688"/>
      <c r="AR1" s="2688"/>
      <c r="AS1" s="2688"/>
      <c r="AT1" s="2686"/>
      <c r="AU1" s="2690"/>
    </row>
    <row r="2" spans="1:89" s="669" customFormat="1" ht="22.5" customHeight="1">
      <c r="A2" s="5355" t="s">
        <v>1483</v>
      </c>
      <c r="B2" s="5355"/>
      <c r="C2" s="5355"/>
      <c r="D2" s="5355"/>
      <c r="E2" s="5355"/>
      <c r="F2" s="5355"/>
      <c r="G2" s="5355"/>
      <c r="H2" s="5355"/>
      <c r="I2" s="5355"/>
      <c r="J2" s="5355"/>
      <c r="K2" s="5355"/>
      <c r="L2" s="5355"/>
      <c r="M2" s="5355"/>
      <c r="N2" s="5355"/>
      <c r="O2" s="5355"/>
      <c r="P2" s="5355"/>
      <c r="Q2" s="5355"/>
      <c r="R2" s="5355"/>
      <c r="S2" s="5355"/>
      <c r="T2" s="5355"/>
      <c r="U2" s="5355"/>
      <c r="V2" s="5355"/>
      <c r="W2" s="5355"/>
      <c r="X2" s="5355"/>
      <c r="Y2" s="5355"/>
      <c r="Z2" s="2691"/>
      <c r="AA2" s="2691"/>
      <c r="AB2" s="2691"/>
      <c r="AC2" s="2691"/>
      <c r="AD2" s="2691"/>
      <c r="AE2" s="2691"/>
      <c r="AF2" s="2691"/>
      <c r="AG2" s="2691"/>
      <c r="AH2" s="2691"/>
      <c r="AI2" s="2691"/>
      <c r="AJ2" s="2691"/>
      <c r="AK2" s="2691"/>
      <c r="AL2" s="2691"/>
      <c r="AM2" s="2691"/>
      <c r="AN2" s="2691"/>
      <c r="AO2" s="2691"/>
      <c r="AP2" s="2691"/>
      <c r="AQ2" s="2691"/>
      <c r="AR2" s="2691"/>
      <c r="AS2" s="2691"/>
      <c r="AT2" s="2691"/>
      <c r="AU2" s="2692"/>
    </row>
    <row r="3" spans="1:89" ht="27" customHeight="1">
      <c r="A3" s="5355" t="s">
        <v>1482</v>
      </c>
      <c r="B3" s="5355"/>
      <c r="C3" s="5355"/>
      <c r="D3" s="5355"/>
      <c r="E3" s="5355"/>
      <c r="F3" s="5355"/>
      <c r="G3" s="5355"/>
      <c r="H3" s="5355"/>
      <c r="I3" s="5355"/>
      <c r="J3" s="5355"/>
      <c r="K3" s="5355"/>
      <c r="L3" s="5355"/>
      <c r="M3" s="5355"/>
      <c r="N3" s="5355"/>
      <c r="O3" s="5355"/>
      <c r="P3" s="5355"/>
      <c r="Q3" s="5355"/>
      <c r="R3" s="5355"/>
      <c r="S3" s="5355"/>
      <c r="T3" s="5355"/>
      <c r="U3" s="5355"/>
      <c r="V3" s="5355"/>
      <c r="W3" s="5355"/>
      <c r="X3" s="5355"/>
      <c r="Y3" s="5355"/>
      <c r="Z3" s="2693"/>
      <c r="AA3" s="2693"/>
      <c r="AB3" s="2693"/>
      <c r="AC3" s="2693"/>
      <c r="AD3" s="2693"/>
      <c r="AE3" s="2693"/>
      <c r="AF3" s="2693"/>
      <c r="AG3" s="2693"/>
      <c r="AH3" s="2693"/>
      <c r="AI3" s="2693"/>
      <c r="AJ3" s="2693"/>
      <c r="AK3" s="2693"/>
      <c r="AL3" s="2693"/>
      <c r="AM3" s="2693"/>
      <c r="AN3" s="2693"/>
      <c r="AO3" s="2693"/>
      <c r="AP3" s="2693"/>
      <c r="AQ3" s="2693"/>
      <c r="AR3" s="2693"/>
      <c r="AS3" s="2693"/>
      <c r="AT3" s="2693"/>
      <c r="AU3" s="2690"/>
    </row>
    <row r="4" spans="1:89" ht="15.6">
      <c r="A4" s="5356" t="str">
        <f>'1. Обща информация'!A4:D4</f>
        <v>на "В И К" АД, гр. Ловеч</v>
      </c>
      <c r="B4" s="5356"/>
      <c r="C4" s="5356"/>
      <c r="D4" s="5356"/>
      <c r="E4" s="5356"/>
      <c r="F4" s="5356"/>
      <c r="G4" s="5356"/>
      <c r="H4" s="5356"/>
      <c r="I4" s="5356"/>
      <c r="J4" s="5356"/>
      <c r="K4" s="5356"/>
      <c r="L4" s="5356"/>
      <c r="M4" s="5356"/>
      <c r="N4" s="5356"/>
      <c r="O4" s="5356"/>
      <c r="P4" s="5356"/>
      <c r="Q4" s="5356"/>
      <c r="R4" s="5356"/>
      <c r="S4" s="5356"/>
      <c r="T4" s="5356"/>
      <c r="U4" s="5356"/>
      <c r="V4" s="5356"/>
      <c r="W4" s="5356"/>
      <c r="X4" s="5356"/>
      <c r="Y4" s="5356"/>
      <c r="Z4" s="2694"/>
      <c r="AA4" s="2694"/>
      <c r="AB4" s="2694"/>
      <c r="AC4" s="2694"/>
      <c r="AD4" s="2694"/>
      <c r="AE4" s="2694"/>
      <c r="AF4" s="2694"/>
      <c r="AG4" s="2694"/>
      <c r="AH4" s="2694"/>
      <c r="AI4" s="2694"/>
      <c r="AJ4" s="2694"/>
      <c r="AK4" s="2694"/>
      <c r="AL4" s="2694"/>
      <c r="AM4" s="2694"/>
      <c r="AN4" s="2694"/>
      <c r="AO4" s="2694"/>
      <c r="AP4" s="2694"/>
      <c r="AQ4" s="2694"/>
      <c r="AR4" s="2694"/>
      <c r="AS4" s="2694"/>
      <c r="AT4" s="2694"/>
      <c r="AU4" s="2690"/>
    </row>
    <row r="5" spans="1:89" ht="16.2" thickBot="1">
      <c r="A5" s="5356" t="str">
        <f>'1. Обща информация'!A5:D5</f>
        <v>ЕИК по БУЛСТАТ: 110549443</v>
      </c>
      <c r="B5" s="5356"/>
      <c r="C5" s="5356"/>
      <c r="D5" s="5356"/>
      <c r="E5" s="5356"/>
      <c r="F5" s="5356"/>
      <c r="G5" s="5356"/>
      <c r="H5" s="5356"/>
      <c r="I5" s="5356"/>
      <c r="J5" s="5356"/>
      <c r="K5" s="5356"/>
      <c r="L5" s="5356"/>
      <c r="M5" s="5356"/>
      <c r="N5" s="5356"/>
      <c r="O5" s="5356"/>
      <c r="P5" s="5356"/>
      <c r="Q5" s="5356"/>
      <c r="R5" s="5356"/>
      <c r="S5" s="5356"/>
      <c r="T5" s="5356"/>
      <c r="U5" s="5356"/>
      <c r="V5" s="5356"/>
      <c r="W5" s="5356"/>
      <c r="X5" s="5356"/>
      <c r="Y5" s="5356"/>
      <c r="Z5" s="2694"/>
      <c r="AA5" s="2694"/>
      <c r="AB5" s="2694"/>
      <c r="AC5" s="2694"/>
      <c r="AD5" s="2694"/>
      <c r="AE5" s="2694"/>
      <c r="AF5" s="2694"/>
      <c r="AG5" s="2694"/>
      <c r="AH5" s="2694"/>
      <c r="AI5" s="2694"/>
      <c r="AJ5" s="2694"/>
      <c r="AK5" s="2694"/>
      <c r="AL5" s="2694"/>
      <c r="AM5" s="2694"/>
      <c r="AN5" s="2694"/>
      <c r="AO5" s="2694"/>
      <c r="AP5" s="2694"/>
      <c r="AQ5" s="2694"/>
      <c r="AR5" s="2694"/>
      <c r="AS5" s="2694"/>
      <c r="AT5" s="2694"/>
      <c r="AU5" s="2690"/>
    </row>
    <row r="6" spans="1:89" ht="16.2" thickBot="1">
      <c r="A6" s="2695"/>
      <c r="B6" s="2690"/>
      <c r="C6" s="2696"/>
      <c r="D6" s="2697" t="s">
        <v>627</v>
      </c>
      <c r="E6" s="2698">
        <v>1</v>
      </c>
      <c r="F6" s="2699"/>
      <c r="G6" s="2695"/>
      <c r="H6" s="2700"/>
      <c r="I6" s="2695"/>
      <c r="J6" s="2695"/>
      <c r="K6" s="2695"/>
      <c r="L6" s="2695"/>
      <c r="M6" s="2695"/>
      <c r="N6" s="2695"/>
      <c r="O6" s="2695"/>
      <c r="P6" s="2695"/>
      <c r="Q6" s="2695"/>
      <c r="R6" s="2695"/>
      <c r="S6" s="2695"/>
      <c r="T6" s="2695"/>
      <c r="U6" s="2695"/>
      <c r="V6" s="2695"/>
      <c r="W6" s="2695"/>
      <c r="X6" s="2695"/>
      <c r="Y6" s="2695"/>
      <c r="Z6" s="2695"/>
      <c r="AA6" s="2695"/>
      <c r="AB6" s="2695"/>
      <c r="AC6" s="2695"/>
      <c r="AD6" s="2695"/>
      <c r="AE6" s="2695"/>
      <c r="AF6" s="2695"/>
      <c r="AG6" s="2695"/>
      <c r="AH6" s="2695"/>
      <c r="AI6" s="2695"/>
      <c r="AJ6" s="2695"/>
      <c r="AK6" s="2695"/>
      <c r="AL6" s="2695"/>
      <c r="AM6" s="2695"/>
      <c r="AN6" s="2695"/>
      <c r="AO6" s="2695"/>
      <c r="AP6" s="2695"/>
      <c r="AQ6" s="2695"/>
      <c r="AR6" s="2695"/>
      <c r="AS6" s="2695"/>
      <c r="AT6" s="2695"/>
      <c r="AU6" s="2690"/>
    </row>
    <row r="7" spans="1:89" ht="16.2" thickBot="1">
      <c r="A7" s="2695"/>
      <c r="B7" s="2690"/>
      <c r="C7" s="2701"/>
      <c r="D7" s="2697" t="s">
        <v>643</v>
      </c>
      <c r="E7" s="2698">
        <f>12/6</f>
        <v>2</v>
      </c>
      <c r="F7" s="2695"/>
      <c r="G7" s="2695"/>
      <c r="H7" s="2700"/>
      <c r="I7" s="2695"/>
      <c r="J7" s="2695"/>
      <c r="K7" s="2695"/>
      <c r="L7" s="2695"/>
      <c r="M7" s="2695"/>
      <c r="N7" s="2695"/>
      <c r="O7" s="2695"/>
      <c r="P7" s="2695"/>
      <c r="Q7" s="2695"/>
      <c r="R7" s="2695"/>
      <c r="S7" s="2695"/>
      <c r="T7" s="2695"/>
      <c r="U7" s="2695"/>
      <c r="V7" s="2695"/>
      <c r="W7" s="2695"/>
      <c r="X7" s="2695"/>
      <c r="Y7" s="2695"/>
      <c r="Z7" s="2695"/>
      <c r="AA7" s="2695"/>
      <c r="AB7" s="2695"/>
      <c r="AC7" s="2695"/>
      <c r="AD7" s="2695"/>
      <c r="AE7" s="2695"/>
      <c r="AF7" s="2695"/>
      <c r="AG7" s="2695"/>
      <c r="AH7" s="2695"/>
      <c r="AI7" s="2695"/>
      <c r="AJ7" s="2695"/>
      <c r="AK7" s="2695"/>
      <c r="AL7" s="2695"/>
      <c r="AM7" s="2695"/>
      <c r="AN7" s="2695"/>
      <c r="AO7" s="2695"/>
      <c r="AP7" s="2695"/>
      <c r="AQ7" s="2695"/>
      <c r="AR7" s="2695"/>
      <c r="AS7" s="2695"/>
      <c r="AT7" s="2695"/>
      <c r="AU7" s="2690"/>
    </row>
    <row r="8" spans="1:89" ht="13.8" thickBot="1">
      <c r="A8" s="2685"/>
      <c r="B8" s="2688"/>
      <c r="C8" s="2688"/>
      <c r="D8" s="2688"/>
      <c r="E8" s="2688"/>
      <c r="F8" s="2688"/>
      <c r="G8" s="2688"/>
      <c r="H8" s="2702"/>
      <c r="I8" s="2688"/>
      <c r="J8" s="2688"/>
      <c r="K8" s="2688"/>
      <c r="L8" s="2688"/>
      <c r="M8" s="2688"/>
      <c r="N8" s="2688"/>
      <c r="O8" s="2688"/>
      <c r="P8" s="2688"/>
      <c r="Q8" s="2688"/>
      <c r="R8" s="2688"/>
      <c r="S8" s="2688"/>
      <c r="T8" s="2688"/>
      <c r="U8" s="2688"/>
      <c r="V8" s="2688"/>
      <c r="W8" s="2688"/>
      <c r="X8" s="2688"/>
      <c r="Y8" s="2688"/>
      <c r="Z8" s="2688"/>
      <c r="AA8" s="2688"/>
      <c r="AB8" s="2688"/>
      <c r="AC8" s="2688"/>
      <c r="AD8" s="2688"/>
      <c r="AE8" s="2688"/>
      <c r="AF8" s="2688"/>
      <c r="AG8" s="2688"/>
      <c r="AH8" s="2688"/>
      <c r="AI8" s="2688"/>
      <c r="AJ8" s="2688"/>
      <c r="AK8" s="2688"/>
      <c r="AL8" s="2688"/>
      <c r="AM8" s="2688"/>
      <c r="AN8" s="2688"/>
      <c r="AO8" s="2685"/>
      <c r="AP8" s="2688"/>
      <c r="AQ8" s="2688"/>
      <c r="AR8" s="2688"/>
      <c r="AS8" s="2688"/>
      <c r="AT8" s="660" t="s">
        <v>190</v>
      </c>
      <c r="AU8" s="2690"/>
      <c r="CK8" s="660" t="s">
        <v>1889</v>
      </c>
    </row>
    <row r="9" spans="1:89" ht="13.5" customHeight="1" thickBot="1">
      <c r="A9" s="5351" t="s">
        <v>1</v>
      </c>
      <c r="B9" s="5357" t="s">
        <v>1044</v>
      </c>
      <c r="C9" s="5357" t="s">
        <v>1043</v>
      </c>
      <c r="D9" s="5351" t="s">
        <v>87</v>
      </c>
      <c r="E9" s="5351" t="s">
        <v>210</v>
      </c>
      <c r="F9" s="5353"/>
      <c r="G9" s="5353"/>
      <c r="H9" s="5353"/>
      <c r="I9" s="5353"/>
      <c r="J9" s="5353"/>
      <c r="K9" s="5354"/>
      <c r="L9" s="5351" t="s">
        <v>174</v>
      </c>
      <c r="M9" s="5353"/>
      <c r="N9" s="5353"/>
      <c r="O9" s="5353"/>
      <c r="P9" s="5353"/>
      <c r="Q9" s="5353"/>
      <c r="R9" s="5354"/>
      <c r="S9" s="5351" t="s">
        <v>184</v>
      </c>
      <c r="T9" s="5353"/>
      <c r="U9" s="5353"/>
      <c r="V9" s="5353"/>
      <c r="W9" s="5353"/>
      <c r="X9" s="5353"/>
      <c r="Y9" s="5354"/>
      <c r="Z9" s="5351" t="s">
        <v>1029</v>
      </c>
      <c r="AA9" s="5353"/>
      <c r="AB9" s="5353"/>
      <c r="AC9" s="5353"/>
      <c r="AD9" s="5353"/>
      <c r="AE9" s="5353"/>
      <c r="AF9" s="5354"/>
      <c r="AG9" s="5351" t="s">
        <v>1092</v>
      </c>
      <c r="AH9" s="5353"/>
      <c r="AI9" s="5353"/>
      <c r="AJ9" s="5353"/>
      <c r="AK9" s="5353"/>
      <c r="AL9" s="5353"/>
      <c r="AM9" s="5354"/>
      <c r="AN9" s="5351" t="s">
        <v>662</v>
      </c>
      <c r="AO9" s="5353"/>
      <c r="AP9" s="5353"/>
      <c r="AQ9" s="5353"/>
      <c r="AR9" s="5353"/>
      <c r="AS9" s="5353"/>
      <c r="AT9" s="5354"/>
      <c r="AU9" s="4488"/>
      <c r="AV9" s="5338" t="s">
        <v>210</v>
      </c>
      <c r="AW9" s="5338"/>
      <c r="AX9" s="5338"/>
      <c r="AY9" s="5338"/>
      <c r="AZ9" s="5338"/>
      <c r="BA9" s="5338"/>
      <c r="BB9" s="5338"/>
      <c r="BC9" s="5338" t="s">
        <v>174</v>
      </c>
      <c r="BD9" s="5338"/>
      <c r="BE9" s="5338"/>
      <c r="BF9" s="5338"/>
      <c r="BG9" s="5338"/>
      <c r="BH9" s="5338"/>
      <c r="BI9" s="5338"/>
      <c r="BJ9" s="5338" t="s">
        <v>184</v>
      </c>
      <c r="BK9" s="5338"/>
      <c r="BL9" s="5338"/>
      <c r="BM9" s="5338"/>
      <c r="BN9" s="5338"/>
      <c r="BO9" s="5338"/>
      <c r="BP9" s="5338"/>
      <c r="BQ9" s="5338" t="s">
        <v>1029</v>
      </c>
      <c r="BR9" s="5338"/>
      <c r="BS9" s="5338"/>
      <c r="BT9" s="5338"/>
      <c r="BU9" s="5338"/>
      <c r="BV9" s="5338"/>
      <c r="BW9" s="5338"/>
      <c r="BX9" s="5338" t="s">
        <v>1092</v>
      </c>
      <c r="BY9" s="5338"/>
      <c r="BZ9" s="5338"/>
      <c r="CA9" s="5338"/>
      <c r="CB9" s="5338"/>
      <c r="CC9" s="5338"/>
      <c r="CD9" s="5338"/>
      <c r="CE9" s="5338" t="s">
        <v>662</v>
      </c>
      <c r="CF9" s="5338"/>
      <c r="CG9" s="5338"/>
      <c r="CH9" s="5338"/>
      <c r="CI9" s="5338"/>
      <c r="CJ9" s="5338"/>
      <c r="CK9" s="5338"/>
    </row>
    <row r="10" spans="1:89" ht="20.25" customHeight="1" thickBot="1">
      <c r="A10" s="5352"/>
      <c r="B10" s="5358"/>
      <c r="C10" s="5358"/>
      <c r="D10" s="5352"/>
      <c r="E10" s="2703" t="str">
        <f>+'11.3. ДА Базова година'!H8</f>
        <v>2025 г.</v>
      </c>
      <c r="F10" s="2704" t="str">
        <f>'Приложение '!C13</f>
        <v>2026 г.</v>
      </c>
      <c r="G10" s="2705" t="str">
        <f>'Приложение '!C14</f>
        <v>2027 г.</v>
      </c>
      <c r="H10" s="2705" t="str">
        <f>'Приложение '!C15</f>
        <v>2028 г.</v>
      </c>
      <c r="I10" s="2705" t="str">
        <f>'Приложение '!C16</f>
        <v>2029 г.</v>
      </c>
      <c r="J10" s="2705" t="str">
        <f>'Приложение '!C17</f>
        <v>2030 г.</v>
      </c>
      <c r="K10" s="2706" t="str">
        <f>'Приложение '!C18</f>
        <v>2031 г.</v>
      </c>
      <c r="L10" s="2703" t="str">
        <f t="shared" ref="L10:AM10" si="0">E10</f>
        <v>2025 г.</v>
      </c>
      <c r="M10" s="2704" t="str">
        <f t="shared" si="0"/>
        <v>2026 г.</v>
      </c>
      <c r="N10" s="2705" t="str">
        <f t="shared" si="0"/>
        <v>2027 г.</v>
      </c>
      <c r="O10" s="2705" t="str">
        <f t="shared" si="0"/>
        <v>2028 г.</v>
      </c>
      <c r="P10" s="2705" t="str">
        <f t="shared" si="0"/>
        <v>2029 г.</v>
      </c>
      <c r="Q10" s="2705" t="str">
        <f t="shared" si="0"/>
        <v>2030 г.</v>
      </c>
      <c r="R10" s="2706" t="str">
        <f t="shared" si="0"/>
        <v>2031 г.</v>
      </c>
      <c r="S10" s="2707" t="str">
        <f t="shared" si="0"/>
        <v>2025 г.</v>
      </c>
      <c r="T10" s="2708" t="str">
        <f t="shared" si="0"/>
        <v>2026 г.</v>
      </c>
      <c r="U10" s="2705" t="str">
        <f t="shared" si="0"/>
        <v>2027 г.</v>
      </c>
      <c r="V10" s="2705" t="str">
        <f t="shared" si="0"/>
        <v>2028 г.</v>
      </c>
      <c r="W10" s="2708" t="str">
        <f t="shared" si="0"/>
        <v>2029 г.</v>
      </c>
      <c r="X10" s="2705" t="str">
        <f t="shared" si="0"/>
        <v>2030 г.</v>
      </c>
      <c r="Y10" s="2706" t="str">
        <f t="shared" si="0"/>
        <v>2031 г.</v>
      </c>
      <c r="Z10" s="2707" t="str">
        <f t="shared" si="0"/>
        <v>2025 г.</v>
      </c>
      <c r="AA10" s="2708" t="str">
        <f t="shared" si="0"/>
        <v>2026 г.</v>
      </c>
      <c r="AB10" s="2705" t="str">
        <f t="shared" si="0"/>
        <v>2027 г.</v>
      </c>
      <c r="AC10" s="2705" t="str">
        <f t="shared" si="0"/>
        <v>2028 г.</v>
      </c>
      <c r="AD10" s="2708" t="str">
        <f t="shared" si="0"/>
        <v>2029 г.</v>
      </c>
      <c r="AE10" s="2705" t="str">
        <f t="shared" si="0"/>
        <v>2030 г.</v>
      </c>
      <c r="AF10" s="2706" t="str">
        <f t="shared" si="0"/>
        <v>2031 г.</v>
      </c>
      <c r="AG10" s="2707" t="str">
        <f t="shared" si="0"/>
        <v>2025 г.</v>
      </c>
      <c r="AH10" s="2708" t="str">
        <f t="shared" si="0"/>
        <v>2026 г.</v>
      </c>
      <c r="AI10" s="2705" t="str">
        <f t="shared" si="0"/>
        <v>2027 г.</v>
      </c>
      <c r="AJ10" s="2705" t="str">
        <f t="shared" si="0"/>
        <v>2028 г.</v>
      </c>
      <c r="AK10" s="2708" t="str">
        <f t="shared" si="0"/>
        <v>2029 г.</v>
      </c>
      <c r="AL10" s="2705" t="str">
        <f t="shared" si="0"/>
        <v>2030 г.</v>
      </c>
      <c r="AM10" s="2706" t="str">
        <f t="shared" si="0"/>
        <v>2031 г.</v>
      </c>
      <c r="AN10" s="2707" t="str">
        <f t="shared" ref="AN10:AT10" si="1">S10</f>
        <v>2025 г.</v>
      </c>
      <c r="AO10" s="2708" t="str">
        <f t="shared" si="1"/>
        <v>2026 г.</v>
      </c>
      <c r="AP10" s="2705" t="str">
        <f t="shared" si="1"/>
        <v>2027 г.</v>
      </c>
      <c r="AQ10" s="2705" t="str">
        <f t="shared" si="1"/>
        <v>2028 г.</v>
      </c>
      <c r="AR10" s="2705" t="str">
        <f t="shared" si="1"/>
        <v>2029 г.</v>
      </c>
      <c r="AS10" s="2705" t="str">
        <f t="shared" si="1"/>
        <v>2030 г.</v>
      </c>
      <c r="AT10" s="2706" t="str">
        <f t="shared" si="1"/>
        <v>2031 г.</v>
      </c>
      <c r="AU10" s="4488"/>
      <c r="AV10" s="4509" t="str">
        <f>+E10</f>
        <v>2025 г.</v>
      </c>
      <c r="AW10" s="4509" t="str">
        <f t="shared" ref="AW10:BB10" si="2">+F10</f>
        <v>2026 г.</v>
      </c>
      <c r="AX10" s="4509" t="str">
        <f t="shared" si="2"/>
        <v>2027 г.</v>
      </c>
      <c r="AY10" s="4509" t="str">
        <f t="shared" si="2"/>
        <v>2028 г.</v>
      </c>
      <c r="AZ10" s="4509" t="str">
        <f t="shared" si="2"/>
        <v>2029 г.</v>
      </c>
      <c r="BA10" s="4509" t="str">
        <f t="shared" si="2"/>
        <v>2030 г.</v>
      </c>
      <c r="BB10" s="4509" t="str">
        <f t="shared" si="2"/>
        <v>2031 г.</v>
      </c>
      <c r="BC10" s="4509" t="str">
        <f t="shared" ref="BC10" si="3">AV10</f>
        <v>2025 г.</v>
      </c>
      <c r="BD10" s="4509" t="str">
        <f t="shared" ref="BD10" si="4">AW10</f>
        <v>2026 г.</v>
      </c>
      <c r="BE10" s="4509" t="str">
        <f t="shared" ref="BE10" si="5">AX10</f>
        <v>2027 г.</v>
      </c>
      <c r="BF10" s="4509" t="str">
        <f t="shared" ref="BF10" si="6">AY10</f>
        <v>2028 г.</v>
      </c>
      <c r="BG10" s="4509" t="str">
        <f t="shared" ref="BG10" si="7">AZ10</f>
        <v>2029 г.</v>
      </c>
      <c r="BH10" s="4509" t="str">
        <f t="shared" ref="BH10" si="8">BA10</f>
        <v>2030 г.</v>
      </c>
      <c r="BI10" s="4509" t="str">
        <f t="shared" ref="BI10" si="9">BB10</f>
        <v>2031 г.</v>
      </c>
      <c r="BJ10" s="4509" t="str">
        <f t="shared" ref="BJ10" si="10">BC10</f>
        <v>2025 г.</v>
      </c>
      <c r="BK10" s="4509" t="str">
        <f t="shared" ref="BK10" si="11">BD10</f>
        <v>2026 г.</v>
      </c>
      <c r="BL10" s="4509" t="str">
        <f t="shared" ref="BL10" si="12">BE10</f>
        <v>2027 г.</v>
      </c>
      <c r="BM10" s="4509" t="str">
        <f t="shared" ref="BM10" si="13">BF10</f>
        <v>2028 г.</v>
      </c>
      <c r="BN10" s="4509" t="str">
        <f t="shared" ref="BN10" si="14">BG10</f>
        <v>2029 г.</v>
      </c>
      <c r="BO10" s="4509" t="str">
        <f t="shared" ref="BO10" si="15">BH10</f>
        <v>2030 г.</v>
      </c>
      <c r="BP10" s="4509" t="str">
        <f t="shared" ref="BP10" si="16">BI10</f>
        <v>2031 г.</v>
      </c>
      <c r="BQ10" s="4509" t="str">
        <f t="shared" ref="BQ10" si="17">BJ10</f>
        <v>2025 г.</v>
      </c>
      <c r="BR10" s="4509" t="str">
        <f t="shared" ref="BR10" si="18">BK10</f>
        <v>2026 г.</v>
      </c>
      <c r="BS10" s="4509" t="str">
        <f t="shared" ref="BS10" si="19">BL10</f>
        <v>2027 г.</v>
      </c>
      <c r="BT10" s="4509" t="str">
        <f t="shared" ref="BT10" si="20">BM10</f>
        <v>2028 г.</v>
      </c>
      <c r="BU10" s="4509" t="str">
        <f t="shared" ref="BU10" si="21">BN10</f>
        <v>2029 г.</v>
      </c>
      <c r="BV10" s="4509" t="str">
        <f t="shared" ref="BV10" si="22">BO10</f>
        <v>2030 г.</v>
      </c>
      <c r="BW10" s="4509" t="str">
        <f t="shared" ref="BW10" si="23">BP10</f>
        <v>2031 г.</v>
      </c>
      <c r="BX10" s="4509" t="str">
        <f t="shared" ref="BX10" si="24">BQ10</f>
        <v>2025 г.</v>
      </c>
      <c r="BY10" s="4509" t="str">
        <f t="shared" ref="BY10" si="25">BR10</f>
        <v>2026 г.</v>
      </c>
      <c r="BZ10" s="4509" t="str">
        <f t="shared" ref="BZ10" si="26">BS10</f>
        <v>2027 г.</v>
      </c>
      <c r="CA10" s="4509" t="str">
        <f t="shared" ref="CA10" si="27">BT10</f>
        <v>2028 г.</v>
      </c>
      <c r="CB10" s="4509" t="str">
        <f t="shared" ref="CB10" si="28">BU10</f>
        <v>2029 г.</v>
      </c>
      <c r="CC10" s="4509" t="str">
        <f t="shared" ref="CC10" si="29">BV10</f>
        <v>2030 г.</v>
      </c>
      <c r="CD10" s="4509" t="str">
        <f t="shared" ref="CD10" si="30">BW10</f>
        <v>2031 г.</v>
      </c>
      <c r="CE10" s="4509" t="str">
        <f t="shared" ref="CE10" si="31">BJ10</f>
        <v>2025 г.</v>
      </c>
      <c r="CF10" s="4509" t="str">
        <f t="shared" ref="CF10" si="32">BK10</f>
        <v>2026 г.</v>
      </c>
      <c r="CG10" s="4509" t="str">
        <f t="shared" ref="CG10" si="33">BL10</f>
        <v>2027 г.</v>
      </c>
      <c r="CH10" s="4509" t="str">
        <f t="shared" ref="CH10" si="34">BM10</f>
        <v>2028 г.</v>
      </c>
      <c r="CI10" s="4509" t="str">
        <f t="shared" ref="CI10" si="35">BN10</f>
        <v>2029 г.</v>
      </c>
      <c r="CJ10" s="4509" t="str">
        <f t="shared" ref="CJ10" si="36">BO10</f>
        <v>2030 г.</v>
      </c>
      <c r="CK10" s="4509" t="str">
        <f t="shared" ref="CK10" si="37">BP10</f>
        <v>2031 г.</v>
      </c>
    </row>
    <row r="11" spans="1:89" s="39" customFormat="1" ht="17.25" customHeight="1" thickBot="1">
      <c r="A11" s="2709" t="s">
        <v>205</v>
      </c>
      <c r="B11" s="2710"/>
      <c r="C11" s="2710"/>
      <c r="D11" s="2710" t="s">
        <v>334</v>
      </c>
      <c r="E11" s="2711">
        <f t="shared" ref="E11:AT11" si="38">E12+E15+E18+E30+E45+E50+SUM(E54:E59)</f>
        <v>1743.8591017289059</v>
      </c>
      <c r="F11" s="2712">
        <f t="shared" si="38"/>
        <v>812.25</v>
      </c>
      <c r="G11" s="2713">
        <f t="shared" si="38"/>
        <v>613</v>
      </c>
      <c r="H11" s="2713">
        <f t="shared" si="38"/>
        <v>618</v>
      </c>
      <c r="I11" s="2713">
        <f t="shared" si="38"/>
        <v>649</v>
      </c>
      <c r="J11" s="2713">
        <f t="shared" si="38"/>
        <v>660</v>
      </c>
      <c r="K11" s="2714">
        <f t="shared" si="38"/>
        <v>648</v>
      </c>
      <c r="L11" s="2711">
        <f t="shared" si="38"/>
        <v>49.085934869357153</v>
      </c>
      <c r="M11" s="2712">
        <f t="shared" si="38"/>
        <v>20</v>
      </c>
      <c r="N11" s="2713">
        <f t="shared" si="38"/>
        <v>8</v>
      </c>
      <c r="O11" s="2713">
        <f t="shared" si="38"/>
        <v>8</v>
      </c>
      <c r="P11" s="2713">
        <f t="shared" si="38"/>
        <v>8</v>
      </c>
      <c r="Q11" s="2713">
        <f t="shared" si="38"/>
        <v>8</v>
      </c>
      <c r="R11" s="2714">
        <f t="shared" si="38"/>
        <v>8</v>
      </c>
      <c r="S11" s="2715">
        <f t="shared" si="38"/>
        <v>93.411887249240309</v>
      </c>
      <c r="T11" s="2716">
        <f t="shared" si="38"/>
        <v>12</v>
      </c>
      <c r="U11" s="2713">
        <f t="shared" si="38"/>
        <v>32</v>
      </c>
      <c r="V11" s="2713">
        <f t="shared" si="38"/>
        <v>32</v>
      </c>
      <c r="W11" s="2713">
        <f t="shared" si="38"/>
        <v>32</v>
      </c>
      <c r="X11" s="2713">
        <f t="shared" si="38"/>
        <v>32</v>
      </c>
      <c r="Y11" s="2714">
        <f t="shared" si="38"/>
        <v>32</v>
      </c>
      <c r="Z11" s="2715">
        <f t="shared" ref="Z11:AM11" si="39">Z12+Z15+Z18+Z30+Z45+Z50+SUM(Z54:Z59)</f>
        <v>0</v>
      </c>
      <c r="AA11" s="2716">
        <f t="shared" si="39"/>
        <v>0</v>
      </c>
      <c r="AB11" s="2713">
        <f t="shared" si="39"/>
        <v>0</v>
      </c>
      <c r="AC11" s="2713">
        <f t="shared" si="39"/>
        <v>0</v>
      </c>
      <c r="AD11" s="2713">
        <f t="shared" si="39"/>
        <v>0</v>
      </c>
      <c r="AE11" s="2713">
        <f t="shared" si="39"/>
        <v>0</v>
      </c>
      <c r="AF11" s="2714">
        <f t="shared" si="39"/>
        <v>0</v>
      </c>
      <c r="AG11" s="2715">
        <f t="shared" si="39"/>
        <v>235.22343258682028</v>
      </c>
      <c r="AH11" s="2716">
        <f t="shared" si="39"/>
        <v>30</v>
      </c>
      <c r="AI11" s="2713">
        <f t="shared" si="39"/>
        <v>296</v>
      </c>
      <c r="AJ11" s="2713">
        <f t="shared" si="39"/>
        <v>141</v>
      </c>
      <c r="AK11" s="2713">
        <f t="shared" si="39"/>
        <v>136</v>
      </c>
      <c r="AL11" s="2713">
        <f t="shared" si="39"/>
        <v>161</v>
      </c>
      <c r="AM11" s="2714">
        <f t="shared" si="39"/>
        <v>161</v>
      </c>
      <c r="AN11" s="2715">
        <f t="shared" si="38"/>
        <v>0</v>
      </c>
      <c r="AO11" s="2716">
        <f t="shared" si="38"/>
        <v>125</v>
      </c>
      <c r="AP11" s="2713">
        <f t="shared" si="38"/>
        <v>157</v>
      </c>
      <c r="AQ11" s="2713">
        <f t="shared" si="38"/>
        <v>151</v>
      </c>
      <c r="AR11" s="2713">
        <f t="shared" si="38"/>
        <v>170</v>
      </c>
      <c r="AS11" s="2713">
        <f t="shared" si="38"/>
        <v>164</v>
      </c>
      <c r="AT11" s="2714">
        <f t="shared" si="38"/>
        <v>151</v>
      </c>
      <c r="AU11" s="4488"/>
      <c r="AV11" s="4504">
        <f>IFERROR(E11/$D$1,0)</f>
        <v>891.62100066412006</v>
      </c>
      <c r="AW11" s="4504">
        <f t="shared" ref="AW11:CJ11" si="40">IFERROR(F11/$D$1,0)</f>
        <v>415.29683050162845</v>
      </c>
      <c r="AX11" s="4504">
        <f t="shared" si="40"/>
        <v>313.42192317328193</v>
      </c>
      <c r="AY11" s="4504">
        <f t="shared" si="40"/>
        <v>315.97838257926304</v>
      </c>
      <c r="AZ11" s="4504">
        <f t="shared" si="40"/>
        <v>331.82843089634582</v>
      </c>
      <c r="BA11" s="4504">
        <f t="shared" si="40"/>
        <v>337.4526415895042</v>
      </c>
      <c r="BB11" s="4504">
        <f t="shared" si="40"/>
        <v>331.31713901514956</v>
      </c>
      <c r="BC11" s="4504">
        <f t="shared" si="40"/>
        <v>25.097239979628675</v>
      </c>
      <c r="BD11" s="4504">
        <f t="shared" si="40"/>
        <v>10.22583762392437</v>
      </c>
      <c r="BE11" s="4504">
        <f t="shared" si="40"/>
        <v>4.0903350495697479</v>
      </c>
      <c r="BF11" s="4504">
        <f t="shared" si="40"/>
        <v>4.0903350495697479</v>
      </c>
      <c r="BG11" s="4504">
        <f t="shared" si="40"/>
        <v>4.0903350495697479</v>
      </c>
      <c r="BH11" s="4504">
        <f t="shared" si="40"/>
        <v>4.0903350495697479</v>
      </c>
      <c r="BI11" s="4504">
        <f t="shared" si="40"/>
        <v>4.0903350495697479</v>
      </c>
      <c r="BJ11" s="4504">
        <f t="shared" si="40"/>
        <v>47.760739557753134</v>
      </c>
      <c r="BK11" s="4504">
        <f t="shared" si="40"/>
        <v>6.1355025743546223</v>
      </c>
      <c r="BL11" s="4504">
        <f t="shared" si="40"/>
        <v>16.361340198278992</v>
      </c>
      <c r="BM11" s="4504">
        <f t="shared" si="40"/>
        <v>16.361340198278992</v>
      </c>
      <c r="BN11" s="4504">
        <f t="shared" si="40"/>
        <v>16.361340198278992</v>
      </c>
      <c r="BO11" s="4504">
        <f t="shared" si="40"/>
        <v>16.361340198278992</v>
      </c>
      <c r="BP11" s="4504">
        <f t="shared" si="40"/>
        <v>16.361340198278992</v>
      </c>
      <c r="BQ11" s="4504">
        <f t="shared" si="40"/>
        <v>0</v>
      </c>
      <c r="BR11" s="4504">
        <f t="shared" si="40"/>
        <v>0</v>
      </c>
      <c r="BS11" s="4504">
        <f t="shared" si="40"/>
        <v>0</v>
      </c>
      <c r="BT11" s="4504">
        <f t="shared" si="40"/>
        <v>0</v>
      </c>
      <c r="BU11" s="4504">
        <f t="shared" si="40"/>
        <v>0</v>
      </c>
      <c r="BV11" s="4504">
        <f t="shared" si="40"/>
        <v>0</v>
      </c>
      <c r="BW11" s="4504">
        <f t="shared" si="40"/>
        <v>0</v>
      </c>
      <c r="BX11" s="4504">
        <f t="shared" si="40"/>
        <v>120.26783134874722</v>
      </c>
      <c r="BY11" s="4504">
        <f t="shared" si="40"/>
        <v>15.338756435886555</v>
      </c>
      <c r="BZ11" s="4504">
        <f t="shared" si="40"/>
        <v>151.34239683408069</v>
      </c>
      <c r="CA11" s="4504">
        <f t="shared" si="40"/>
        <v>72.092155248666813</v>
      </c>
      <c r="CB11" s="4504">
        <f t="shared" si="40"/>
        <v>69.535695842685712</v>
      </c>
      <c r="CC11" s="4504">
        <f t="shared" si="40"/>
        <v>82.317992872591176</v>
      </c>
      <c r="CD11" s="4504">
        <f t="shared" si="40"/>
        <v>82.317992872591176</v>
      </c>
      <c r="CE11" s="4504">
        <f t="shared" si="40"/>
        <v>0</v>
      </c>
      <c r="CF11" s="4504">
        <f t="shared" si="40"/>
        <v>63.911485149527309</v>
      </c>
      <c r="CG11" s="4504">
        <f t="shared" si="40"/>
        <v>80.272825347806304</v>
      </c>
      <c r="CH11" s="4504">
        <f t="shared" si="40"/>
        <v>77.205074060628988</v>
      </c>
      <c r="CI11" s="4504">
        <f t="shared" si="40"/>
        <v>86.919619803357151</v>
      </c>
      <c r="CJ11" s="4504">
        <f t="shared" si="40"/>
        <v>83.851868516179835</v>
      </c>
      <c r="CK11" s="4504">
        <f>IFERROR(AT11/$D$1,0)</f>
        <v>77.205074060628988</v>
      </c>
    </row>
    <row r="12" spans="1:89" s="30" customFormat="1">
      <c r="A12" s="2717">
        <v>1</v>
      </c>
      <c r="B12" s="3613">
        <v>201</v>
      </c>
      <c r="C12" s="3596">
        <v>0</v>
      </c>
      <c r="D12" s="2718" t="s">
        <v>217</v>
      </c>
      <c r="E12" s="2719">
        <f>SUM(E13:E14)</f>
        <v>0</v>
      </c>
      <c r="F12" s="2720">
        <f>SUM(F13:F14)</f>
        <v>0</v>
      </c>
      <c r="G12" s="2721">
        <f>SUM(G13:G14)</f>
        <v>0</v>
      </c>
      <c r="H12" s="2721">
        <f>SUM(H13:H14)</f>
        <v>0</v>
      </c>
      <c r="I12" s="2721">
        <f t="shared" ref="I12:K12" si="41">SUM(I13:I14)</f>
        <v>0</v>
      </c>
      <c r="J12" s="2721">
        <f t="shared" si="41"/>
        <v>0</v>
      </c>
      <c r="K12" s="2722">
        <f t="shared" si="41"/>
        <v>0</v>
      </c>
      <c r="L12" s="2719">
        <f>SUM(L13:L14)</f>
        <v>0</v>
      </c>
      <c r="M12" s="2720">
        <f>SUM(M13:M14)</f>
        <v>0</v>
      </c>
      <c r="N12" s="2721">
        <f>SUM(N13:N14)</f>
        <v>0</v>
      </c>
      <c r="O12" s="2721">
        <f>SUM(O13:O14)</f>
        <v>0</v>
      </c>
      <c r="P12" s="2721">
        <f t="shared" ref="P12:R12" si="42">SUM(P13:P14)</f>
        <v>0</v>
      </c>
      <c r="Q12" s="2721">
        <f t="shared" si="42"/>
        <v>0</v>
      </c>
      <c r="R12" s="2722">
        <f t="shared" si="42"/>
        <v>0</v>
      </c>
      <c r="S12" s="2723">
        <f>SUM(S13:S14)</f>
        <v>0</v>
      </c>
      <c r="T12" s="2724">
        <f>SUM(T13:T14)</f>
        <v>0</v>
      </c>
      <c r="U12" s="2721">
        <f>SUM(U13:U14)</f>
        <v>0</v>
      </c>
      <c r="V12" s="2721">
        <f>SUM(V13:V14)</f>
        <v>0</v>
      </c>
      <c r="W12" s="2721">
        <f t="shared" ref="W12:Y12" si="43">SUM(W13:W14)</f>
        <v>0</v>
      </c>
      <c r="X12" s="2721">
        <f t="shared" si="43"/>
        <v>0</v>
      </c>
      <c r="Y12" s="2722">
        <f t="shared" si="43"/>
        <v>0</v>
      </c>
      <c r="Z12" s="2723">
        <f>SUM(Z13:Z14)</f>
        <v>0</v>
      </c>
      <c r="AA12" s="2724">
        <f>SUM(AA13:AA14)</f>
        <v>0</v>
      </c>
      <c r="AB12" s="2721">
        <f>SUM(AB13:AB14)</f>
        <v>0</v>
      </c>
      <c r="AC12" s="2721">
        <f>SUM(AC13:AC14)</f>
        <v>0</v>
      </c>
      <c r="AD12" s="2721">
        <f t="shared" ref="AD12:AF12" si="44">SUM(AD13:AD14)</f>
        <v>0</v>
      </c>
      <c r="AE12" s="2721">
        <f t="shared" si="44"/>
        <v>0</v>
      </c>
      <c r="AF12" s="2722">
        <f t="shared" si="44"/>
        <v>0</v>
      </c>
      <c r="AG12" s="2723">
        <f>SUM(AG13:AG14)</f>
        <v>0</v>
      </c>
      <c r="AH12" s="2724">
        <f>SUM(AH13:AH14)</f>
        <v>0</v>
      </c>
      <c r="AI12" s="2721">
        <f>SUM(AI13:AI14)</f>
        <v>0</v>
      </c>
      <c r="AJ12" s="2721">
        <f>SUM(AJ13:AJ14)</f>
        <v>0</v>
      </c>
      <c r="AK12" s="2721">
        <f t="shared" ref="AK12:AM12" si="45">SUM(AK13:AK14)</f>
        <v>0</v>
      </c>
      <c r="AL12" s="2721">
        <f t="shared" si="45"/>
        <v>0</v>
      </c>
      <c r="AM12" s="2722">
        <f t="shared" si="45"/>
        <v>0</v>
      </c>
      <c r="AN12" s="2723">
        <f>SUM(AN13:AN14)</f>
        <v>0</v>
      </c>
      <c r="AO12" s="2720">
        <f>SUM(AO13:AO14)</f>
        <v>0</v>
      </c>
      <c r="AP12" s="2721">
        <f>SUM(AP13:AP14)</f>
        <v>0</v>
      </c>
      <c r="AQ12" s="2721">
        <f>SUM(AQ13:AQ14)</f>
        <v>0</v>
      </c>
      <c r="AR12" s="2721">
        <f t="shared" ref="AR12:AT12" si="46">SUM(AR13:AR14)</f>
        <v>0</v>
      </c>
      <c r="AS12" s="2721">
        <f t="shared" si="46"/>
        <v>0</v>
      </c>
      <c r="AT12" s="2722">
        <f t="shared" si="46"/>
        <v>0</v>
      </c>
      <c r="AU12" s="4488"/>
      <c r="AV12" s="4504">
        <f t="shared" ref="AV12:AV75" si="47">IFERROR(E12/$D$1,0)</f>
        <v>0</v>
      </c>
      <c r="AW12" s="4504">
        <f t="shared" ref="AW12:AW75" si="48">IFERROR(F12/$D$1,0)</f>
        <v>0</v>
      </c>
      <c r="AX12" s="4504">
        <f t="shared" ref="AX12:AX75" si="49">IFERROR(G12/$D$1,0)</f>
        <v>0</v>
      </c>
      <c r="AY12" s="4504">
        <f t="shared" ref="AY12:AY75" si="50">IFERROR(H12/$D$1,0)</f>
        <v>0</v>
      </c>
      <c r="AZ12" s="4504">
        <f t="shared" ref="AZ12:AZ75" si="51">IFERROR(I12/$D$1,0)</f>
        <v>0</v>
      </c>
      <c r="BA12" s="4504">
        <f t="shared" ref="BA12:BA75" si="52">IFERROR(J12/$D$1,0)</f>
        <v>0</v>
      </c>
      <c r="BB12" s="4504">
        <f t="shared" ref="BB12:BB75" si="53">IFERROR(K12/$D$1,0)</f>
        <v>0</v>
      </c>
      <c r="BC12" s="4504">
        <f t="shared" ref="BC12:BC75" si="54">IFERROR(L12/$D$1,0)</f>
        <v>0</v>
      </c>
      <c r="BD12" s="4504">
        <f t="shared" ref="BD12:BD75" si="55">IFERROR(M12/$D$1,0)</f>
        <v>0</v>
      </c>
      <c r="BE12" s="4504">
        <f t="shared" ref="BE12:BE75" si="56">IFERROR(N12/$D$1,0)</f>
        <v>0</v>
      </c>
      <c r="BF12" s="4504">
        <f t="shared" ref="BF12:BF75" si="57">IFERROR(O12/$D$1,0)</f>
        <v>0</v>
      </c>
      <c r="BG12" s="4504">
        <f t="shared" ref="BG12:BG75" si="58">IFERROR(P12/$D$1,0)</f>
        <v>0</v>
      </c>
      <c r="BH12" s="4504">
        <f t="shared" ref="BH12:BH75" si="59">IFERROR(Q12/$D$1,0)</f>
        <v>0</v>
      </c>
      <c r="BI12" s="4504">
        <f t="shared" ref="BI12:BI75" si="60">IFERROR(R12/$D$1,0)</f>
        <v>0</v>
      </c>
      <c r="BJ12" s="4504">
        <f t="shared" ref="BJ12:BJ75" si="61">IFERROR(S12/$D$1,0)</f>
        <v>0</v>
      </c>
      <c r="BK12" s="4504">
        <f t="shared" ref="BK12:BK75" si="62">IFERROR(T12/$D$1,0)</f>
        <v>0</v>
      </c>
      <c r="BL12" s="4504">
        <f t="shared" ref="BL12:BL75" si="63">IFERROR(U12/$D$1,0)</f>
        <v>0</v>
      </c>
      <c r="BM12" s="4504">
        <f t="shared" ref="BM12:BM75" si="64">IFERROR(V12/$D$1,0)</f>
        <v>0</v>
      </c>
      <c r="BN12" s="4504">
        <f t="shared" ref="BN12:BN75" si="65">IFERROR(W12/$D$1,0)</f>
        <v>0</v>
      </c>
      <c r="BO12" s="4504">
        <f t="shared" ref="BO12:BO75" si="66">IFERROR(X12/$D$1,0)</f>
        <v>0</v>
      </c>
      <c r="BP12" s="4504">
        <f t="shared" ref="BP12:BP75" si="67">IFERROR(Y12/$D$1,0)</f>
        <v>0</v>
      </c>
      <c r="BQ12" s="4504">
        <f t="shared" ref="BQ12:BQ75" si="68">IFERROR(Z12/$D$1,0)</f>
        <v>0</v>
      </c>
      <c r="BR12" s="4504">
        <f t="shared" ref="BR12:BR75" si="69">IFERROR(AA12/$D$1,0)</f>
        <v>0</v>
      </c>
      <c r="BS12" s="4504">
        <f t="shared" ref="BS12:BS75" si="70">IFERROR(AB12/$D$1,0)</f>
        <v>0</v>
      </c>
      <c r="BT12" s="4504">
        <f t="shared" ref="BT12:BT75" si="71">IFERROR(AC12/$D$1,0)</f>
        <v>0</v>
      </c>
      <c r="BU12" s="4504">
        <f t="shared" ref="BU12:BU75" si="72">IFERROR(AD12/$D$1,0)</f>
        <v>0</v>
      </c>
      <c r="BV12" s="4504">
        <f t="shared" ref="BV12:BV75" si="73">IFERROR(AE12/$D$1,0)</f>
        <v>0</v>
      </c>
      <c r="BW12" s="4504">
        <f t="shared" ref="BW12:BW75" si="74">IFERROR(AF12/$D$1,0)</f>
        <v>0</v>
      </c>
      <c r="BX12" s="4504">
        <f t="shared" ref="BX12:BX75" si="75">IFERROR(AG12/$D$1,0)</f>
        <v>0</v>
      </c>
      <c r="BY12" s="4504">
        <f t="shared" ref="BY12:BY75" si="76">IFERROR(AH12/$D$1,0)</f>
        <v>0</v>
      </c>
      <c r="BZ12" s="4504">
        <f t="shared" ref="BZ12:BZ75" si="77">IFERROR(AI12/$D$1,0)</f>
        <v>0</v>
      </c>
      <c r="CA12" s="4504">
        <f t="shared" ref="CA12:CA75" si="78">IFERROR(AJ12/$D$1,0)</f>
        <v>0</v>
      </c>
      <c r="CB12" s="4504">
        <f t="shared" ref="CB12:CB75" si="79">IFERROR(AK12/$D$1,0)</f>
        <v>0</v>
      </c>
      <c r="CC12" s="4504">
        <f t="shared" ref="CC12:CC75" si="80">IFERROR(AL12/$D$1,0)</f>
        <v>0</v>
      </c>
      <c r="CD12" s="4504">
        <f t="shared" ref="CD12:CD75" si="81">IFERROR(AM12/$D$1,0)</f>
        <v>0</v>
      </c>
      <c r="CE12" s="4504">
        <f t="shared" ref="CE12:CE75" si="82">IFERROR(AN12/$D$1,0)</f>
        <v>0</v>
      </c>
      <c r="CF12" s="4504">
        <f t="shared" ref="CF12:CF75" si="83">IFERROR(AO12/$D$1,0)</f>
        <v>0</v>
      </c>
      <c r="CG12" s="4504">
        <f t="shared" ref="CG12:CG75" si="84">IFERROR(AP12/$D$1,0)</f>
        <v>0</v>
      </c>
      <c r="CH12" s="4504">
        <f t="shared" ref="CH12:CH75" si="85">IFERROR(AQ12/$D$1,0)</f>
        <v>0</v>
      </c>
      <c r="CI12" s="4504">
        <f t="shared" ref="CI12:CI75" si="86">IFERROR(AR12/$D$1,0)</f>
        <v>0</v>
      </c>
      <c r="CJ12" s="4504">
        <f t="shared" ref="CJ12:CJ75" si="87">IFERROR(AS12/$D$1,0)</f>
        <v>0</v>
      </c>
      <c r="CK12" s="4504">
        <f t="shared" ref="CK12:CK75" si="88">IFERROR(AT12/$D$1,0)</f>
        <v>0</v>
      </c>
    </row>
    <row r="13" spans="1:89" s="38" customFormat="1">
      <c r="A13" s="2725"/>
      <c r="B13" s="3614">
        <v>20101</v>
      </c>
      <c r="C13" s="3597">
        <v>0</v>
      </c>
      <c r="D13" s="2726" t="s">
        <v>556</v>
      </c>
      <c r="E13" s="2727">
        <f>'11.2. ДА за периода'!E13</f>
        <v>0</v>
      </c>
      <c r="F13" s="2655">
        <f>SUMIF('9.Инвестиционна програма'!$B$12:$B$35,$B13,'9.Инвестиционна програма'!H$12:H$35)*$E$6</f>
        <v>0</v>
      </c>
      <c r="G13" s="1224">
        <f>SUMIF('9.Инвестиционна програма'!$B$12:$B$35,$B13,'9.Инвестиционна програма'!I$12:I$35)*$E$6</f>
        <v>0</v>
      </c>
      <c r="H13" s="1224">
        <f>SUMIF('9.Инвестиционна програма'!$B$12:$B$35,$B13,'9.Инвестиционна програма'!J$12:J$35)*$E$6</f>
        <v>0</v>
      </c>
      <c r="I13" s="1224">
        <f>SUMIF('9.Инвестиционна програма'!$B$12:$B$35,$B13,'9.Инвестиционна програма'!K$12:K$35)*$E$6</f>
        <v>0</v>
      </c>
      <c r="J13" s="1224">
        <f>SUMIF('9.Инвестиционна програма'!$B$12:$B$35,$B13,'9.Инвестиционна програма'!L$12:L$35)*$E$6</f>
        <v>0</v>
      </c>
      <c r="K13" s="1229">
        <f>SUMIF('9.Инвестиционна програма'!$B$12:$B$35,$B13,'9.Инвестиционна програма'!M$12:M$35)*$E$6</f>
        <v>0</v>
      </c>
      <c r="L13" s="2727">
        <f>'11.2. ДА за периода'!L13</f>
        <v>0</v>
      </c>
      <c r="M13" s="1228">
        <f>SUMIF('9.Инвестиционна програма'!$B$37:$B$47,$B13,'9.Инвестиционна програма'!H$37:H$47)*$E$6</f>
        <v>0</v>
      </c>
      <c r="N13" s="1224">
        <f>SUMIF('9.Инвестиционна програма'!$B$37:$B$47,$B13,'9.Инвестиционна програма'!I$37:I$47)*$E$6</f>
        <v>0</v>
      </c>
      <c r="O13" s="1224">
        <f>SUMIF('9.Инвестиционна програма'!$B$37:$B$47,$B13,'9.Инвестиционна програма'!J$37:J$47)*$E$6</f>
        <v>0</v>
      </c>
      <c r="P13" s="1224">
        <f>SUMIF('9.Инвестиционна програма'!$B$37:$B$47,$B13,'9.Инвестиционна програма'!K$37:K$47)*$E$6</f>
        <v>0</v>
      </c>
      <c r="Q13" s="1224">
        <f>SUMIF('9.Инвестиционна програма'!$B$37:$B$47,$B13,'9.Инвестиционна програма'!L$37:L$47)*$E$6</f>
        <v>0</v>
      </c>
      <c r="R13" s="1229">
        <f>SUMIF('9.Инвестиционна програма'!$B$37:$B$47,$B13,'9.Инвестиционна програма'!M$37:M$47)*$E$6</f>
        <v>0</v>
      </c>
      <c r="S13" s="1113">
        <f>'11.2. ДА за периода'!S13</f>
        <v>0</v>
      </c>
      <c r="T13" s="906">
        <f>SUMIF('9.Инвестиционна програма'!$B$49:$B$56,$B13,'9.Инвестиционна програма'!H$49:H$56)*$E$6</f>
        <v>0</v>
      </c>
      <c r="U13" s="906">
        <f>SUMIF('9.Инвестиционна програма'!$B$49:$B$56,$B13,'9.Инвестиционна програма'!I$49:I$56)*$E$6</f>
        <v>0</v>
      </c>
      <c r="V13" s="906">
        <f>SUMIF('9.Инвестиционна програма'!$B$49:$B$56,$B13,'9.Инвестиционна програма'!J$49:J$56)*$E$6</f>
        <v>0</v>
      </c>
      <c r="W13" s="906">
        <f>SUMIF('9.Инвестиционна програма'!$B$49:$B$56,$B13,'9.Инвестиционна програма'!K$49:K$56)*$E$6</f>
        <v>0</v>
      </c>
      <c r="X13" s="906">
        <f>SUMIF('9.Инвестиционна програма'!$B$49:$B$56,$B13,'9.Инвестиционна програма'!L$49:L$56)*$E$6</f>
        <v>0</v>
      </c>
      <c r="Y13" s="2728">
        <f>SUMIF('9.Инвестиционна програма'!$B$49:$B$56,$B13,'9.Инвестиционна програма'!M$49:M$56)*$E$6</f>
        <v>0</v>
      </c>
      <c r="Z13" s="1113">
        <f>'11.2. ДА за периода'!Z13</f>
        <v>0</v>
      </c>
      <c r="AA13" s="2729">
        <f>SUMIF('9.Инвестиционна програма'!$B$74:$B$97,$B13,'9.Инвестиционна програма'!H$74:H$97)*$E$6</f>
        <v>0</v>
      </c>
      <c r="AB13" s="906">
        <f>SUMIF('9.Инвестиционна програма'!$B$74:$B$97,$B13,'9.Инвестиционна програма'!I$74:I$97)*$E$6</f>
        <v>0</v>
      </c>
      <c r="AC13" s="906">
        <f>SUMIF('9.Инвестиционна програма'!$B$74:$B$97,$B13,'9.Инвестиционна програма'!J$74:J$97)*$E$6</f>
        <v>0</v>
      </c>
      <c r="AD13" s="906">
        <f>SUMIF('9.Инвестиционна програма'!$B$74:$B$97,$B13,'9.Инвестиционна програма'!K$74:K$97)*$E$6</f>
        <v>0</v>
      </c>
      <c r="AE13" s="906">
        <f>SUMIF('9.Инвестиционна програма'!$B$74:$B$97,$B13,'9.Инвестиционна програма'!L$74:L$97)*$E$6</f>
        <v>0</v>
      </c>
      <c r="AF13" s="906">
        <f>SUMIF('9.Инвестиционна програма'!$B$74:$B$97,$B13,'9.Инвестиционна програма'!M$74:M$97)*$E$6</f>
        <v>0</v>
      </c>
      <c r="AG13" s="1113">
        <f>'11.2. ДА за периода'!AG13</f>
        <v>0</v>
      </c>
      <c r="AH13" s="906">
        <f>SUMIF('9.Инвестиционна програма'!$B$100:$B$123,$B13,'9.Инвестиционна програма'!H$100:H$123)*$E$6</f>
        <v>0</v>
      </c>
      <c r="AI13" s="906">
        <f>SUMIF('9.Инвестиционна програма'!$B$100:$B$123,$B13,'9.Инвестиционна програма'!I$100:I$123)*$E$6</f>
        <v>0</v>
      </c>
      <c r="AJ13" s="906">
        <f>SUMIF('9.Инвестиционна програма'!$B$100:$B$123,$B13,'9.Инвестиционна програма'!J$100:J$123)*$E$6</f>
        <v>0</v>
      </c>
      <c r="AK13" s="906">
        <f>SUMIF('9.Инвестиционна програма'!$B$100:$B$123,$B13,'9.Инвестиционна програма'!K$100:K$123)*$E$6</f>
        <v>0</v>
      </c>
      <c r="AL13" s="906">
        <f>SUMIF('9.Инвестиционна програма'!$B$100:$B$123,$B13,'9.Инвестиционна програма'!L$100:L$123)*$E$6</f>
        <v>0</v>
      </c>
      <c r="AM13" s="906">
        <f>SUMIF('9.Инвестиционна програма'!$B$100:$B$123,$B13,'9.Инвестиционна програма'!M$100:M$123)*$E$6</f>
        <v>0</v>
      </c>
      <c r="AN13" s="1113">
        <f>'11.2. ДА за периода'!AN13</f>
        <v>0</v>
      </c>
      <c r="AO13" s="1228">
        <f>(SUMIF('9.Инвестиционна програма'!$B$58:$B$59,$B13,'9.Инвестиционна програма'!H$58:H$59)+SUMIF('9.Инвестиционна програма'!$B$61:$B$71,$B13,'9.Инвестиционна програма'!H$61:H$71))*$E$6</f>
        <v>0</v>
      </c>
      <c r="AP13" s="908">
        <f>(SUMIF('9.Инвестиционна програма'!$B$58:$B$59,$B13,'9.Инвестиционна програма'!I$58:I$59)+SUMIF('9.Инвестиционна програма'!$B$61:$B$71,$B13,'9.Инвестиционна програма'!I$61:I$71))*$E$6</f>
        <v>0</v>
      </c>
      <c r="AQ13" s="908">
        <f>(SUMIF('9.Инвестиционна програма'!$B$58:$B$59,$B13,'9.Инвестиционна програма'!J$58:J$59)+SUMIF('9.Инвестиционна програма'!$B$61:$B$71,$B13,'9.Инвестиционна програма'!J$61:J$71))*$E$6</f>
        <v>0</v>
      </c>
      <c r="AR13" s="908">
        <f>(SUMIF('9.Инвестиционна програма'!$B$58:$B$59,$B13,'9.Инвестиционна програма'!K$58:K$59)+SUMIF('9.Инвестиционна програма'!$B$61:$B$71,$B13,'9.Инвестиционна програма'!K$61:K$71))*$E$6</f>
        <v>0</v>
      </c>
      <c r="AS13" s="908">
        <f>(SUMIF('9.Инвестиционна програма'!$B$58:$B$59,$B13,'9.Инвестиционна програма'!L$58:L$59)+SUMIF('9.Инвестиционна програма'!$B$61:$B$71,$B13,'9.Инвестиционна програма'!L$61:L$71))*$E$6</f>
        <v>0</v>
      </c>
      <c r="AT13" s="2730">
        <f>(SUMIF('9.Инвестиционна програма'!$B$58:$B$59,$B13,'9.Инвестиционна програма'!M$58:M$59)+SUMIF('9.Инвестиционна програма'!$B$61:$B$71,$B13,'9.Инвестиционна програма'!M$61:M$71))*$E$6</f>
        <v>0</v>
      </c>
      <c r="AU13" s="4488"/>
      <c r="AV13" s="4504">
        <f t="shared" si="47"/>
        <v>0</v>
      </c>
      <c r="AW13" s="4504">
        <f t="shared" si="48"/>
        <v>0</v>
      </c>
      <c r="AX13" s="4504">
        <f t="shared" si="49"/>
        <v>0</v>
      </c>
      <c r="AY13" s="4504">
        <f t="shared" si="50"/>
        <v>0</v>
      </c>
      <c r="AZ13" s="4504">
        <f t="shared" si="51"/>
        <v>0</v>
      </c>
      <c r="BA13" s="4504">
        <f t="shared" si="52"/>
        <v>0</v>
      </c>
      <c r="BB13" s="4504">
        <f t="shared" si="53"/>
        <v>0</v>
      </c>
      <c r="BC13" s="4504">
        <f t="shared" si="54"/>
        <v>0</v>
      </c>
      <c r="BD13" s="4504">
        <f t="shared" si="55"/>
        <v>0</v>
      </c>
      <c r="BE13" s="4504">
        <f t="shared" si="56"/>
        <v>0</v>
      </c>
      <c r="BF13" s="4504">
        <f t="shared" si="57"/>
        <v>0</v>
      </c>
      <c r="BG13" s="4504">
        <f t="shared" si="58"/>
        <v>0</v>
      </c>
      <c r="BH13" s="4504">
        <f t="shared" si="59"/>
        <v>0</v>
      </c>
      <c r="BI13" s="4504">
        <f t="shared" si="60"/>
        <v>0</v>
      </c>
      <c r="BJ13" s="4504">
        <f t="shared" si="61"/>
        <v>0</v>
      </c>
      <c r="BK13" s="4504">
        <f t="shared" si="62"/>
        <v>0</v>
      </c>
      <c r="BL13" s="4504">
        <f t="shared" si="63"/>
        <v>0</v>
      </c>
      <c r="BM13" s="4504">
        <f t="shared" si="64"/>
        <v>0</v>
      </c>
      <c r="BN13" s="4504">
        <f t="shared" si="65"/>
        <v>0</v>
      </c>
      <c r="BO13" s="4504">
        <f t="shared" si="66"/>
        <v>0</v>
      </c>
      <c r="BP13" s="4504">
        <f t="shared" si="67"/>
        <v>0</v>
      </c>
      <c r="BQ13" s="4504">
        <f t="shared" si="68"/>
        <v>0</v>
      </c>
      <c r="BR13" s="4504">
        <f t="shared" si="69"/>
        <v>0</v>
      </c>
      <c r="BS13" s="4504">
        <f t="shared" si="70"/>
        <v>0</v>
      </c>
      <c r="BT13" s="4504">
        <f t="shared" si="71"/>
        <v>0</v>
      </c>
      <c r="BU13" s="4504">
        <f t="shared" si="72"/>
        <v>0</v>
      </c>
      <c r="BV13" s="4504">
        <f t="shared" si="73"/>
        <v>0</v>
      </c>
      <c r="BW13" s="4504">
        <f t="shared" si="74"/>
        <v>0</v>
      </c>
      <c r="BX13" s="4504">
        <f t="shared" si="75"/>
        <v>0</v>
      </c>
      <c r="BY13" s="4504">
        <f t="shared" si="76"/>
        <v>0</v>
      </c>
      <c r="BZ13" s="4504">
        <f t="shared" si="77"/>
        <v>0</v>
      </c>
      <c r="CA13" s="4504">
        <f t="shared" si="78"/>
        <v>0</v>
      </c>
      <c r="CB13" s="4504">
        <f t="shared" si="79"/>
        <v>0</v>
      </c>
      <c r="CC13" s="4504">
        <f t="shared" si="80"/>
        <v>0</v>
      </c>
      <c r="CD13" s="4504">
        <f t="shared" si="81"/>
        <v>0</v>
      </c>
      <c r="CE13" s="4504">
        <f t="shared" si="82"/>
        <v>0</v>
      </c>
      <c r="CF13" s="4504">
        <f t="shared" si="83"/>
        <v>0</v>
      </c>
      <c r="CG13" s="4504">
        <f t="shared" si="84"/>
        <v>0</v>
      </c>
      <c r="CH13" s="4504">
        <f t="shared" si="85"/>
        <v>0</v>
      </c>
      <c r="CI13" s="4504">
        <f t="shared" si="86"/>
        <v>0</v>
      </c>
      <c r="CJ13" s="4504">
        <f t="shared" si="87"/>
        <v>0</v>
      </c>
      <c r="CK13" s="4504">
        <f t="shared" si="88"/>
        <v>0</v>
      </c>
    </row>
    <row r="14" spans="1:89" s="38" customFormat="1">
      <c r="A14" s="2725"/>
      <c r="B14" s="3615">
        <v>20102</v>
      </c>
      <c r="C14" s="3598">
        <v>0</v>
      </c>
      <c r="D14" s="2731" t="s">
        <v>558</v>
      </c>
      <c r="E14" s="2727">
        <f>'11.2. ДА за периода'!E14</f>
        <v>0</v>
      </c>
      <c r="F14" s="1228">
        <f>SUMIF('9.Инвестиционна програма'!$B$12:$B$35,$B14,'9.Инвестиционна програма'!H$12:H$35)*$E$6</f>
        <v>0</v>
      </c>
      <c r="G14" s="1224">
        <f>SUMIF('9.Инвестиционна програма'!$B$12:$B$35,$B14,'9.Инвестиционна програма'!I$12:I$35)*$E$6</f>
        <v>0</v>
      </c>
      <c r="H14" s="1224">
        <f>SUMIF('9.Инвестиционна програма'!$B$12:$B$35,$B14,'9.Инвестиционна програма'!J$12:J$35)*$E$6</f>
        <v>0</v>
      </c>
      <c r="I14" s="1224">
        <f>SUMIF('9.Инвестиционна програма'!$B$12:$B$35,$B14,'9.Инвестиционна програма'!K$12:K$35)*$E$6</f>
        <v>0</v>
      </c>
      <c r="J14" s="1224">
        <f>SUMIF('9.Инвестиционна програма'!$B$12:$B$35,$B14,'9.Инвестиционна програма'!L$12:L$35)*$E$6</f>
        <v>0</v>
      </c>
      <c r="K14" s="1229">
        <f>SUMIF('9.Инвестиционна програма'!$B$12:$B$35,$B14,'9.Инвестиционна програма'!M$12:M$35)*$E$6</f>
        <v>0</v>
      </c>
      <c r="L14" s="2727">
        <f>'11.2. ДА за периода'!L14</f>
        <v>0</v>
      </c>
      <c r="M14" s="1232">
        <f>SUMIF('9.Инвестиционна програма'!$B$37:$B$47,$B14,'9.Инвестиционна програма'!H$37:H$47)*$E$6</f>
        <v>0</v>
      </c>
      <c r="N14" s="1226">
        <f>SUMIF('9.Инвестиционна програма'!$B$37:$B$47,$B14,'9.Инвестиционна програма'!I$37:I$47)*$E$6</f>
        <v>0</v>
      </c>
      <c r="O14" s="1226">
        <f>SUMIF('9.Инвестиционна програма'!$B$37:$B$47,$B14,'9.Инвестиционна програма'!J$37:J$47)*$E$6</f>
        <v>0</v>
      </c>
      <c r="P14" s="1226">
        <f>SUMIF('9.Инвестиционна програма'!$B$37:$B$47,$B14,'9.Инвестиционна програма'!K$37:K$47)*$E$6</f>
        <v>0</v>
      </c>
      <c r="Q14" s="1226">
        <f>SUMIF('9.Инвестиционна програма'!$B$37:$B$47,$B14,'9.Инвестиционна програма'!L$37:L$47)*$E$6</f>
        <v>0</v>
      </c>
      <c r="R14" s="1227">
        <f>SUMIF('9.Инвестиционна програма'!$B$37:$B$47,$B14,'9.Инвестиционна програма'!M$37:M$47)*$E$6</f>
        <v>0</v>
      </c>
      <c r="S14" s="1113">
        <f>'11.2. ДА за периода'!S14</f>
        <v>0</v>
      </c>
      <c r="T14" s="906">
        <f>SUMIF('9.Инвестиционна програма'!$B$49:$B$56,$B14,'9.Инвестиционна програма'!H$49:H$56)*$E$6</f>
        <v>0</v>
      </c>
      <c r="U14" s="906">
        <f>SUMIF('9.Инвестиционна програма'!$B$49:$B$56,$B14,'9.Инвестиционна програма'!I$49:I$56)*$E$6</f>
        <v>0</v>
      </c>
      <c r="V14" s="906">
        <f>SUMIF('9.Инвестиционна програма'!$B$49:$B$56,$B14,'9.Инвестиционна програма'!J$49:J$56)*$E$6</f>
        <v>0</v>
      </c>
      <c r="W14" s="906">
        <f>SUMIF('9.Инвестиционна програма'!$B$49:$B$56,$B14,'9.Инвестиционна програма'!K$49:K$56)*$E$6</f>
        <v>0</v>
      </c>
      <c r="X14" s="906">
        <f>SUMIF('9.Инвестиционна програма'!$B$49:$B$56,$B14,'9.Инвестиционна програма'!L$49:L$56)*$E$6</f>
        <v>0</v>
      </c>
      <c r="Y14" s="2728">
        <f>SUMIF('9.Инвестиционна програма'!$B$49:$B$56,$B14,'9.Инвестиционна програма'!M$49:M$56)*$E$6</f>
        <v>0</v>
      </c>
      <c r="Z14" s="1113">
        <f>'11.2. ДА за периода'!Z14</f>
        <v>0</v>
      </c>
      <c r="AA14" s="906">
        <f>SUMIF('9.Инвестиционна програма'!$B$74:$B$97,$B14,'9.Инвестиционна програма'!H$74:H$97)*$E$6</f>
        <v>0</v>
      </c>
      <c r="AB14" s="906">
        <f>SUMIF('9.Инвестиционна програма'!$B$74:$B$97,$B14,'9.Инвестиционна програма'!I$74:I$97)*$E$6</f>
        <v>0</v>
      </c>
      <c r="AC14" s="906">
        <f>SUMIF('9.Инвестиционна програма'!$B$74:$B$97,$B14,'9.Инвестиционна програма'!J$74:J$97)*$E$6</f>
        <v>0</v>
      </c>
      <c r="AD14" s="906">
        <f>SUMIF('9.Инвестиционна програма'!$B$74:$B$97,$B14,'9.Инвестиционна програма'!K$74:K$97)*$E$6</f>
        <v>0</v>
      </c>
      <c r="AE14" s="906">
        <f>SUMIF('9.Инвестиционна програма'!$B$74:$B$97,$B14,'9.Инвестиционна програма'!L$74:L$97)*$E$6</f>
        <v>0</v>
      </c>
      <c r="AF14" s="906">
        <f>SUMIF('9.Инвестиционна програма'!$B$74:$B$97,$B14,'9.Инвестиционна програма'!M$74:M$97)*$E$6</f>
        <v>0</v>
      </c>
      <c r="AG14" s="1113">
        <f>'11.2. ДА за периода'!AG14</f>
        <v>0</v>
      </c>
      <c r="AH14" s="906">
        <f>SUMIF('9.Инвестиционна програма'!$B$100:$B$123,$B14,'9.Инвестиционна програма'!H$100:H$123)*$E$6</f>
        <v>0</v>
      </c>
      <c r="AI14" s="906">
        <f>SUMIF('9.Инвестиционна програма'!$B$100:$B$123,$B14,'9.Инвестиционна програма'!I$100:I$123)*$E$6</f>
        <v>0</v>
      </c>
      <c r="AJ14" s="906">
        <f>SUMIF('9.Инвестиционна програма'!$B$100:$B$123,$B14,'9.Инвестиционна програма'!J$100:J$123)*$E$6</f>
        <v>0</v>
      </c>
      <c r="AK14" s="906">
        <f>SUMIF('9.Инвестиционна програма'!$B$100:$B$123,$B14,'9.Инвестиционна програма'!K$100:K$123)*$E$6</f>
        <v>0</v>
      </c>
      <c r="AL14" s="906">
        <f>SUMIF('9.Инвестиционна програма'!$B$100:$B$123,$B14,'9.Инвестиционна програма'!L$100:L$123)*$E$6</f>
        <v>0</v>
      </c>
      <c r="AM14" s="906">
        <f>SUMIF('9.Инвестиционна програма'!$B$100:$B$123,$B14,'9.Инвестиционна програма'!M$100:M$123)*$E$6</f>
        <v>0</v>
      </c>
      <c r="AN14" s="1113">
        <f>'11.2. ДА за периода'!AN14</f>
        <v>0</v>
      </c>
      <c r="AO14" s="1232">
        <f>(SUMIF('9.Инвестиционна програма'!$B$58:$B$59,$B14,'9.Инвестиционна програма'!H$58:H$59)+SUMIF('9.Инвестиционна програма'!$B$61:$B$71,$B14,'9.Инвестиционна програма'!H$61:H$71))*$E$6</f>
        <v>0</v>
      </c>
      <c r="AP14" s="906">
        <f>(SUMIF('9.Инвестиционна програма'!$B$58:$B$59,$B14,'9.Инвестиционна програма'!I$58:I$59)+SUMIF('9.Инвестиционна програма'!$B$61:$B$71,$B14,'9.Инвестиционна програма'!I$61:I$71))*$E$6</f>
        <v>0</v>
      </c>
      <c r="AQ14" s="906">
        <f>(SUMIF('9.Инвестиционна програма'!$B$58:$B$59,$B14,'9.Инвестиционна програма'!J$58:J$59)+SUMIF('9.Инвестиционна програма'!$B$61:$B$71,$B14,'9.Инвестиционна програма'!J$61:J$71))*$E$6</f>
        <v>0</v>
      </c>
      <c r="AR14" s="906">
        <f>(SUMIF('9.Инвестиционна програма'!$B$58:$B$59,$B14,'9.Инвестиционна програма'!K$58:K$59)+SUMIF('9.Инвестиционна програма'!$B$61:$B$71,$B14,'9.Инвестиционна програма'!K$61:K$71))*$E$6</f>
        <v>0</v>
      </c>
      <c r="AS14" s="906">
        <f>(SUMIF('9.Инвестиционна програма'!$B$58:$B$59,$B14,'9.Инвестиционна програма'!L$58:L$59)+SUMIF('9.Инвестиционна програма'!$B$61:$B$71,$B14,'9.Инвестиционна програма'!L$61:L$71))*$E$6</f>
        <v>0</v>
      </c>
      <c r="AT14" s="2728">
        <f>(SUMIF('9.Инвестиционна програма'!$B$58:$B$59,$B14,'9.Инвестиционна програма'!M$58:M$59)+SUMIF('9.Инвестиционна програма'!$B$61:$B$71,$B14,'9.Инвестиционна програма'!M$61:M$71))*$E$6</f>
        <v>0</v>
      </c>
      <c r="AU14" s="4488"/>
      <c r="AV14" s="4504">
        <f t="shared" si="47"/>
        <v>0</v>
      </c>
      <c r="AW14" s="4504">
        <f t="shared" si="48"/>
        <v>0</v>
      </c>
      <c r="AX14" s="4504">
        <f t="shared" si="49"/>
        <v>0</v>
      </c>
      <c r="AY14" s="4504">
        <f t="shared" si="50"/>
        <v>0</v>
      </c>
      <c r="AZ14" s="4504">
        <f t="shared" si="51"/>
        <v>0</v>
      </c>
      <c r="BA14" s="4504">
        <f t="shared" si="52"/>
        <v>0</v>
      </c>
      <c r="BB14" s="4504">
        <f t="shared" si="53"/>
        <v>0</v>
      </c>
      <c r="BC14" s="4504">
        <f t="shared" si="54"/>
        <v>0</v>
      </c>
      <c r="BD14" s="4504">
        <f t="shared" si="55"/>
        <v>0</v>
      </c>
      <c r="BE14" s="4504">
        <f t="shared" si="56"/>
        <v>0</v>
      </c>
      <c r="BF14" s="4504">
        <f t="shared" si="57"/>
        <v>0</v>
      </c>
      <c r="BG14" s="4504">
        <f t="shared" si="58"/>
        <v>0</v>
      </c>
      <c r="BH14" s="4504">
        <f t="shared" si="59"/>
        <v>0</v>
      </c>
      <c r="BI14" s="4504">
        <f t="shared" si="60"/>
        <v>0</v>
      </c>
      <c r="BJ14" s="4504">
        <f t="shared" si="61"/>
        <v>0</v>
      </c>
      <c r="BK14" s="4504">
        <f t="shared" si="62"/>
        <v>0</v>
      </c>
      <c r="BL14" s="4504">
        <f t="shared" si="63"/>
        <v>0</v>
      </c>
      <c r="BM14" s="4504">
        <f t="shared" si="64"/>
        <v>0</v>
      </c>
      <c r="BN14" s="4504">
        <f t="shared" si="65"/>
        <v>0</v>
      </c>
      <c r="BO14" s="4504">
        <f t="shared" si="66"/>
        <v>0</v>
      </c>
      <c r="BP14" s="4504">
        <f t="shared" si="67"/>
        <v>0</v>
      </c>
      <c r="BQ14" s="4504">
        <f t="shared" si="68"/>
        <v>0</v>
      </c>
      <c r="BR14" s="4504">
        <f t="shared" si="69"/>
        <v>0</v>
      </c>
      <c r="BS14" s="4504">
        <f t="shared" si="70"/>
        <v>0</v>
      </c>
      <c r="BT14" s="4504">
        <f t="shared" si="71"/>
        <v>0</v>
      </c>
      <c r="BU14" s="4504">
        <f t="shared" si="72"/>
        <v>0</v>
      </c>
      <c r="BV14" s="4504">
        <f t="shared" si="73"/>
        <v>0</v>
      </c>
      <c r="BW14" s="4504">
        <f t="shared" si="74"/>
        <v>0</v>
      </c>
      <c r="BX14" s="4504">
        <f t="shared" si="75"/>
        <v>0</v>
      </c>
      <c r="BY14" s="4504">
        <f t="shared" si="76"/>
        <v>0</v>
      </c>
      <c r="BZ14" s="4504">
        <f t="shared" si="77"/>
        <v>0</v>
      </c>
      <c r="CA14" s="4504">
        <f t="shared" si="78"/>
        <v>0</v>
      </c>
      <c r="CB14" s="4504">
        <f t="shared" si="79"/>
        <v>0</v>
      </c>
      <c r="CC14" s="4504">
        <f t="shared" si="80"/>
        <v>0</v>
      </c>
      <c r="CD14" s="4504">
        <f t="shared" si="81"/>
        <v>0</v>
      </c>
      <c r="CE14" s="4504">
        <f t="shared" si="82"/>
        <v>0</v>
      </c>
      <c r="CF14" s="4504">
        <f t="shared" si="83"/>
        <v>0</v>
      </c>
      <c r="CG14" s="4504">
        <f t="shared" si="84"/>
        <v>0</v>
      </c>
      <c r="CH14" s="4504">
        <f t="shared" si="85"/>
        <v>0</v>
      </c>
      <c r="CI14" s="4504">
        <f t="shared" si="86"/>
        <v>0</v>
      </c>
      <c r="CJ14" s="4504">
        <f t="shared" si="87"/>
        <v>0</v>
      </c>
      <c r="CK14" s="4504">
        <f t="shared" si="88"/>
        <v>0</v>
      </c>
    </row>
    <row r="15" spans="1:89" s="30" customFormat="1">
      <c r="A15" s="2732">
        <v>2</v>
      </c>
      <c r="B15" s="3616">
        <v>202</v>
      </c>
      <c r="C15" s="3599">
        <v>0.03</v>
      </c>
      <c r="D15" s="2733" t="s">
        <v>404</v>
      </c>
      <c r="E15" s="2734">
        <f>SUM(E16:E17)</f>
        <v>3.0158939022002076</v>
      </c>
      <c r="F15" s="2735">
        <f>SUM(F16:F17)</f>
        <v>20</v>
      </c>
      <c r="G15" s="2736">
        <f t="shared" ref="G15:AT15" si="89">SUM(G16:G17)</f>
        <v>8</v>
      </c>
      <c r="H15" s="2736">
        <f t="shared" si="89"/>
        <v>8</v>
      </c>
      <c r="I15" s="2736">
        <f t="shared" si="89"/>
        <v>8</v>
      </c>
      <c r="J15" s="2736">
        <f t="shared" si="89"/>
        <v>8</v>
      </c>
      <c r="K15" s="2737">
        <f t="shared" si="89"/>
        <v>8</v>
      </c>
      <c r="L15" s="2734">
        <f t="shared" si="89"/>
        <v>0.65949357017516086</v>
      </c>
      <c r="M15" s="2735">
        <f t="shared" si="89"/>
        <v>0</v>
      </c>
      <c r="N15" s="2736">
        <f t="shared" si="89"/>
        <v>0</v>
      </c>
      <c r="O15" s="2736">
        <f t="shared" si="89"/>
        <v>0</v>
      </c>
      <c r="P15" s="2736">
        <f t="shared" si="89"/>
        <v>0</v>
      </c>
      <c r="Q15" s="2736">
        <f t="shared" si="89"/>
        <v>0</v>
      </c>
      <c r="R15" s="2737">
        <f t="shared" si="89"/>
        <v>0</v>
      </c>
      <c r="S15" s="2732">
        <f t="shared" si="89"/>
        <v>4.1985225276246316</v>
      </c>
      <c r="T15" s="2738">
        <f t="shared" si="89"/>
        <v>0</v>
      </c>
      <c r="U15" s="2736">
        <f t="shared" si="89"/>
        <v>0</v>
      </c>
      <c r="V15" s="2736">
        <f t="shared" si="89"/>
        <v>0</v>
      </c>
      <c r="W15" s="2736">
        <f t="shared" si="89"/>
        <v>0</v>
      </c>
      <c r="X15" s="2736">
        <f t="shared" si="89"/>
        <v>0</v>
      </c>
      <c r="Y15" s="2737">
        <f t="shared" si="89"/>
        <v>0</v>
      </c>
      <c r="Z15" s="2732">
        <f t="shared" si="89"/>
        <v>0</v>
      </c>
      <c r="AA15" s="2738">
        <f t="shared" si="89"/>
        <v>0</v>
      </c>
      <c r="AB15" s="2736">
        <f t="shared" si="89"/>
        <v>0</v>
      </c>
      <c r="AC15" s="2736">
        <f t="shared" si="89"/>
        <v>0</v>
      </c>
      <c r="AD15" s="2736">
        <f t="shared" si="89"/>
        <v>0</v>
      </c>
      <c r="AE15" s="2736">
        <f t="shared" si="89"/>
        <v>0</v>
      </c>
      <c r="AF15" s="2737">
        <f t="shared" si="89"/>
        <v>0</v>
      </c>
      <c r="AG15" s="2732">
        <f t="shared" si="89"/>
        <v>0</v>
      </c>
      <c r="AH15" s="2738">
        <f t="shared" si="89"/>
        <v>0</v>
      </c>
      <c r="AI15" s="2736">
        <f t="shared" si="89"/>
        <v>0</v>
      </c>
      <c r="AJ15" s="2736">
        <f t="shared" si="89"/>
        <v>0</v>
      </c>
      <c r="AK15" s="2736">
        <f t="shared" si="89"/>
        <v>0</v>
      </c>
      <c r="AL15" s="2736">
        <f t="shared" si="89"/>
        <v>0</v>
      </c>
      <c r="AM15" s="2737">
        <f t="shared" si="89"/>
        <v>0</v>
      </c>
      <c r="AN15" s="2732">
        <f t="shared" si="89"/>
        <v>0</v>
      </c>
      <c r="AO15" s="2738">
        <f t="shared" si="89"/>
        <v>5</v>
      </c>
      <c r="AP15" s="2736">
        <f t="shared" si="89"/>
        <v>4</v>
      </c>
      <c r="AQ15" s="2736">
        <f t="shared" si="89"/>
        <v>4</v>
      </c>
      <c r="AR15" s="2736">
        <f t="shared" si="89"/>
        <v>4</v>
      </c>
      <c r="AS15" s="2736">
        <f t="shared" si="89"/>
        <v>4</v>
      </c>
      <c r="AT15" s="2737">
        <f t="shared" si="89"/>
        <v>4</v>
      </c>
      <c r="AU15" s="4488"/>
      <c r="AV15" s="4504">
        <f t="shared" si="47"/>
        <v>1.5420020667441483</v>
      </c>
      <c r="AW15" s="4504">
        <f t="shared" si="48"/>
        <v>10.22583762392437</v>
      </c>
      <c r="AX15" s="4504">
        <f t="shared" si="49"/>
        <v>4.0903350495697479</v>
      </c>
      <c r="AY15" s="4504">
        <f t="shared" si="50"/>
        <v>4.0903350495697479</v>
      </c>
      <c r="AZ15" s="4504">
        <f t="shared" si="51"/>
        <v>4.0903350495697479</v>
      </c>
      <c r="BA15" s="4504">
        <f t="shared" si="52"/>
        <v>4.0903350495697479</v>
      </c>
      <c r="BB15" s="4504">
        <f t="shared" si="53"/>
        <v>4.0903350495697479</v>
      </c>
      <c r="BC15" s="4504">
        <f t="shared" si="54"/>
        <v>0.33719370813166832</v>
      </c>
      <c r="BD15" s="4504">
        <f t="shared" si="55"/>
        <v>0</v>
      </c>
      <c r="BE15" s="4504">
        <f t="shared" si="56"/>
        <v>0</v>
      </c>
      <c r="BF15" s="4504">
        <f t="shared" si="57"/>
        <v>0</v>
      </c>
      <c r="BG15" s="4504">
        <f t="shared" si="58"/>
        <v>0</v>
      </c>
      <c r="BH15" s="4504">
        <f t="shared" si="59"/>
        <v>0</v>
      </c>
      <c r="BI15" s="4504">
        <f t="shared" si="60"/>
        <v>0</v>
      </c>
      <c r="BJ15" s="4504">
        <f t="shared" si="61"/>
        <v>2.1466704813939002</v>
      </c>
      <c r="BK15" s="4504">
        <f t="shared" si="62"/>
        <v>0</v>
      </c>
      <c r="BL15" s="4504">
        <f t="shared" si="63"/>
        <v>0</v>
      </c>
      <c r="BM15" s="4504">
        <f t="shared" si="64"/>
        <v>0</v>
      </c>
      <c r="BN15" s="4504">
        <f t="shared" si="65"/>
        <v>0</v>
      </c>
      <c r="BO15" s="4504">
        <f t="shared" si="66"/>
        <v>0</v>
      </c>
      <c r="BP15" s="4504">
        <f t="shared" si="67"/>
        <v>0</v>
      </c>
      <c r="BQ15" s="4504">
        <f t="shared" si="68"/>
        <v>0</v>
      </c>
      <c r="BR15" s="4504">
        <f t="shared" si="69"/>
        <v>0</v>
      </c>
      <c r="BS15" s="4504">
        <f t="shared" si="70"/>
        <v>0</v>
      </c>
      <c r="BT15" s="4504">
        <f t="shared" si="71"/>
        <v>0</v>
      </c>
      <c r="BU15" s="4504">
        <f t="shared" si="72"/>
        <v>0</v>
      </c>
      <c r="BV15" s="4504">
        <f t="shared" si="73"/>
        <v>0</v>
      </c>
      <c r="BW15" s="4504">
        <f t="shared" si="74"/>
        <v>0</v>
      </c>
      <c r="BX15" s="4504">
        <f t="shared" si="75"/>
        <v>0</v>
      </c>
      <c r="BY15" s="4504">
        <f t="shared" si="76"/>
        <v>0</v>
      </c>
      <c r="BZ15" s="4504">
        <f t="shared" si="77"/>
        <v>0</v>
      </c>
      <c r="CA15" s="4504">
        <f t="shared" si="78"/>
        <v>0</v>
      </c>
      <c r="CB15" s="4504">
        <f t="shared" si="79"/>
        <v>0</v>
      </c>
      <c r="CC15" s="4504">
        <f t="shared" si="80"/>
        <v>0</v>
      </c>
      <c r="CD15" s="4504">
        <f t="shared" si="81"/>
        <v>0</v>
      </c>
      <c r="CE15" s="4504">
        <f t="shared" si="82"/>
        <v>0</v>
      </c>
      <c r="CF15" s="4504">
        <f t="shared" si="83"/>
        <v>2.5564594059810926</v>
      </c>
      <c r="CG15" s="4504">
        <f t="shared" si="84"/>
        <v>2.045167524784874</v>
      </c>
      <c r="CH15" s="4504">
        <f t="shared" si="85"/>
        <v>2.045167524784874</v>
      </c>
      <c r="CI15" s="4504">
        <f t="shared" si="86"/>
        <v>2.045167524784874</v>
      </c>
      <c r="CJ15" s="4504">
        <f t="shared" si="87"/>
        <v>2.045167524784874</v>
      </c>
      <c r="CK15" s="4504">
        <f t="shared" si="88"/>
        <v>2.045167524784874</v>
      </c>
    </row>
    <row r="16" spans="1:89">
      <c r="A16" s="2739"/>
      <c r="B16" s="3617">
        <v>20201</v>
      </c>
      <c r="C16" s="3600">
        <v>0.03</v>
      </c>
      <c r="D16" s="2740" t="s">
        <v>425</v>
      </c>
      <c r="E16" s="2727">
        <f>'11.2. ДА за периода'!E16</f>
        <v>3.0158939022002076</v>
      </c>
      <c r="F16" s="1228">
        <f>SUMIF('9.Инвестиционна програма'!$B$12:$B$35,$B16,'9.Инвестиционна програма'!H$12:H$35)*$E$6</f>
        <v>0</v>
      </c>
      <c r="G16" s="1224">
        <f>SUMIF('9.Инвестиционна програма'!$B$12:$B$35,$B16,'9.Инвестиционна програма'!I$12:I$35)*$E$6</f>
        <v>0</v>
      </c>
      <c r="H16" s="1224">
        <f>SUMIF('9.Инвестиционна програма'!$B$12:$B$35,$B16,'9.Инвестиционна програма'!J$12:J$35)*$E$6</f>
        <v>0</v>
      </c>
      <c r="I16" s="1224">
        <f>SUMIF('9.Инвестиционна програма'!$B$12:$B$35,$B16,'9.Инвестиционна програма'!K$12:K$35)*$E$6</f>
        <v>0</v>
      </c>
      <c r="J16" s="1224">
        <f>SUMIF('9.Инвестиционна програма'!$B$12:$B$35,$B16,'9.Инвестиционна програма'!L$12:L$35)*$E$6</f>
        <v>0</v>
      </c>
      <c r="K16" s="1229">
        <f>SUMIF('9.Инвестиционна програма'!$B$12:$B$35,$B16,'9.Инвестиционна програма'!M$12:M$35)*$E$6</f>
        <v>0</v>
      </c>
      <c r="L16" s="2727">
        <f>'11.2. ДА за периода'!L16</f>
        <v>0.65949357017516086</v>
      </c>
      <c r="M16" s="1232">
        <f>SUMIF('9.Инвестиционна програма'!$B$37:$B$47,$B16,'9.Инвестиционна програма'!H$37:H$47)*$E$6</f>
        <v>0</v>
      </c>
      <c r="N16" s="1226">
        <f>SUMIF('9.Инвестиционна програма'!$B$37:$B$47,$B16,'9.Инвестиционна програма'!I$37:I$47)*$E$6</f>
        <v>0</v>
      </c>
      <c r="O16" s="1226">
        <f>SUMIF('9.Инвестиционна програма'!$B$37:$B$47,$B16,'9.Инвестиционна програма'!J$37:J$47)*$E$6</f>
        <v>0</v>
      </c>
      <c r="P16" s="1226">
        <f>SUMIF('9.Инвестиционна програма'!$B$37:$B$47,$B16,'9.Инвестиционна програма'!K$37:K$47)*$E$6</f>
        <v>0</v>
      </c>
      <c r="Q16" s="1226">
        <f>SUMIF('9.Инвестиционна програма'!$B$37:$B$47,$B16,'9.Инвестиционна програма'!L$37:L$47)*$E$6</f>
        <v>0</v>
      </c>
      <c r="R16" s="1227">
        <f>SUMIF('9.Инвестиционна програма'!$B$37:$B$47,$B16,'9.Инвестиционна програма'!M$37:M$47)*$E$6</f>
        <v>0</v>
      </c>
      <c r="S16" s="1113">
        <f>'11.2. ДА за периода'!S16</f>
        <v>0.80470252762463157</v>
      </c>
      <c r="T16" s="906">
        <f>SUMIF('9.Инвестиционна програма'!$B$49:$B$56,$B16,'9.Инвестиционна програма'!H$49:H$56)*$E$6</f>
        <v>0</v>
      </c>
      <c r="U16" s="906">
        <f>SUMIF('9.Инвестиционна програма'!$B$49:$B$56,$B16,'9.Инвестиционна програма'!I$49:I$56)*$E$6</f>
        <v>0</v>
      </c>
      <c r="V16" s="906">
        <f>SUMIF('9.Инвестиционна програма'!$B$49:$B$56,$B16,'9.Инвестиционна програма'!J$49:J$56)*$E$6</f>
        <v>0</v>
      </c>
      <c r="W16" s="906">
        <f>SUMIF('9.Инвестиционна програма'!$B$49:$B$56,$B16,'9.Инвестиционна програма'!K$49:K$56)*$E$6</f>
        <v>0</v>
      </c>
      <c r="X16" s="906">
        <f>SUMIF('9.Инвестиционна програма'!$B$49:$B$56,$B16,'9.Инвестиционна програма'!L$49:L$56)*$E$6</f>
        <v>0</v>
      </c>
      <c r="Y16" s="2728">
        <f>SUMIF('9.Инвестиционна програма'!$B$49:$B$56,$B16,'9.Инвестиционна програма'!M$49:M$56)*$E$6</f>
        <v>0</v>
      </c>
      <c r="Z16" s="1113">
        <f>'11.2. ДА за периода'!Z16</f>
        <v>0</v>
      </c>
      <c r="AA16" s="906">
        <f>SUMIF('9.Инвестиционна програма'!$B$74:$B$97,$B16,'9.Инвестиционна програма'!H$74:H$97)*$E$6</f>
        <v>0</v>
      </c>
      <c r="AB16" s="906">
        <f>SUMIF('9.Инвестиционна програма'!$B$74:$B$97,$B16,'9.Инвестиционна програма'!I$74:I$97)*$E$6</f>
        <v>0</v>
      </c>
      <c r="AC16" s="906">
        <f>SUMIF('9.Инвестиционна програма'!$B$74:$B$97,$B16,'9.Инвестиционна програма'!J$74:J$97)*$E$6</f>
        <v>0</v>
      </c>
      <c r="AD16" s="906">
        <f>SUMIF('9.Инвестиционна програма'!$B$74:$B$97,$B16,'9.Инвестиционна програма'!K$74:K$97)*$E$6</f>
        <v>0</v>
      </c>
      <c r="AE16" s="906">
        <f>SUMIF('9.Инвестиционна програма'!$B$74:$B$97,$B16,'9.Инвестиционна програма'!L$74:L$97)*$E$6</f>
        <v>0</v>
      </c>
      <c r="AF16" s="906">
        <f>SUMIF('9.Инвестиционна програма'!$B$74:$B$97,$B16,'9.Инвестиционна програма'!M$74:M$97)*$E$6</f>
        <v>0</v>
      </c>
      <c r="AG16" s="1113">
        <f>'11.2. ДА за периода'!AG16</f>
        <v>0</v>
      </c>
      <c r="AH16" s="906">
        <f>SUMIF('9.Инвестиционна програма'!$B$100:$B$123,$B16,'9.Инвестиционна програма'!H$100:H$123)*$E$6</f>
        <v>0</v>
      </c>
      <c r="AI16" s="906">
        <f>SUMIF('9.Инвестиционна програма'!$B$100:$B$123,$B16,'9.Инвестиционна програма'!I$100:I$123)*$E$6</f>
        <v>0</v>
      </c>
      <c r="AJ16" s="906">
        <f>SUMIF('9.Инвестиционна програма'!$B$100:$B$123,$B16,'9.Инвестиционна програма'!J$100:J$123)*$E$6</f>
        <v>0</v>
      </c>
      <c r="AK16" s="906">
        <f>SUMIF('9.Инвестиционна програма'!$B$100:$B$123,$B16,'9.Инвестиционна програма'!K$100:K$123)*$E$6</f>
        <v>0</v>
      </c>
      <c r="AL16" s="906">
        <f>SUMIF('9.Инвестиционна програма'!$B$100:$B$123,$B16,'9.Инвестиционна програма'!L$100:L$123)*$E$6</f>
        <v>0</v>
      </c>
      <c r="AM16" s="906">
        <f>SUMIF('9.Инвестиционна програма'!$B$100:$B$123,$B16,'9.Инвестиционна програма'!M$100:M$123)*$E$6</f>
        <v>0</v>
      </c>
      <c r="AN16" s="1113">
        <f>'11.2. ДА за периода'!AN16</f>
        <v>0</v>
      </c>
      <c r="AO16" s="1232">
        <f>(SUMIF('9.Инвестиционна програма'!$B$58:$B$59,$B16,'9.Инвестиционна програма'!H$58:H$59)+SUMIF('9.Инвестиционна програма'!$B$61:$B$71,$B16,'9.Инвестиционна програма'!H$61:H$71))*$E$6</f>
        <v>5</v>
      </c>
      <c r="AP16" s="906">
        <f>(SUMIF('9.Инвестиционна програма'!$B$58:$B$59,$B16,'9.Инвестиционна програма'!I$58:I$59)+SUMIF('9.Инвестиционна програма'!$B$61:$B$71,$B16,'9.Инвестиционна програма'!I$61:I$71))*$E$6</f>
        <v>4</v>
      </c>
      <c r="AQ16" s="906">
        <f>(SUMIF('9.Инвестиционна програма'!$B$58:$B$59,$B16,'9.Инвестиционна програма'!J$58:J$59)+SUMIF('9.Инвестиционна програма'!$B$61:$B$71,$B16,'9.Инвестиционна програма'!J$61:J$71))*$E$6</f>
        <v>4</v>
      </c>
      <c r="AR16" s="906">
        <f>(SUMIF('9.Инвестиционна програма'!$B$58:$B$59,$B16,'9.Инвестиционна програма'!K$58:K$59)+SUMIF('9.Инвестиционна програма'!$B$61:$B$71,$B16,'9.Инвестиционна програма'!K$61:K$71))*$E$6</f>
        <v>4</v>
      </c>
      <c r="AS16" s="906">
        <f>(SUMIF('9.Инвестиционна програма'!$B$58:$B$59,$B16,'9.Инвестиционна програма'!L$58:L$59)+SUMIF('9.Инвестиционна програма'!$B$61:$B$71,$B16,'9.Инвестиционна програма'!L$61:L$71))*$E$6</f>
        <v>4</v>
      </c>
      <c r="AT16" s="2728">
        <f>(SUMIF('9.Инвестиционна програма'!$B$58:$B$59,$B16,'9.Инвестиционна програма'!M$58:M$59)+SUMIF('9.Инвестиционна програма'!$B$61:$B$71,$B16,'9.Инвестиционна програма'!M$61:M$71))*$E$6</f>
        <v>4</v>
      </c>
      <c r="AU16" s="4488"/>
      <c r="AV16" s="4504">
        <f t="shared" si="47"/>
        <v>1.5420020667441483</v>
      </c>
      <c r="AW16" s="4504">
        <f t="shared" si="48"/>
        <v>0</v>
      </c>
      <c r="AX16" s="4504">
        <f t="shared" si="49"/>
        <v>0</v>
      </c>
      <c r="AY16" s="4504">
        <f t="shared" si="50"/>
        <v>0</v>
      </c>
      <c r="AZ16" s="4504">
        <f t="shared" si="51"/>
        <v>0</v>
      </c>
      <c r="BA16" s="4504">
        <f t="shared" si="52"/>
        <v>0</v>
      </c>
      <c r="BB16" s="4504">
        <f t="shared" si="53"/>
        <v>0</v>
      </c>
      <c r="BC16" s="4504">
        <f t="shared" si="54"/>
        <v>0.33719370813166832</v>
      </c>
      <c r="BD16" s="4504">
        <f t="shared" si="55"/>
        <v>0</v>
      </c>
      <c r="BE16" s="4504">
        <f t="shared" si="56"/>
        <v>0</v>
      </c>
      <c r="BF16" s="4504">
        <f t="shared" si="57"/>
        <v>0</v>
      </c>
      <c r="BG16" s="4504">
        <f t="shared" si="58"/>
        <v>0</v>
      </c>
      <c r="BH16" s="4504">
        <f t="shared" si="59"/>
        <v>0</v>
      </c>
      <c r="BI16" s="4504">
        <f t="shared" si="60"/>
        <v>0</v>
      </c>
      <c r="BJ16" s="4504">
        <f t="shared" si="61"/>
        <v>0.41143786915254987</v>
      </c>
      <c r="BK16" s="4504">
        <f t="shared" si="62"/>
        <v>0</v>
      </c>
      <c r="BL16" s="4504">
        <f t="shared" si="63"/>
        <v>0</v>
      </c>
      <c r="BM16" s="4504">
        <f t="shared" si="64"/>
        <v>0</v>
      </c>
      <c r="BN16" s="4504">
        <f t="shared" si="65"/>
        <v>0</v>
      </c>
      <c r="BO16" s="4504">
        <f t="shared" si="66"/>
        <v>0</v>
      </c>
      <c r="BP16" s="4504">
        <f t="shared" si="67"/>
        <v>0</v>
      </c>
      <c r="BQ16" s="4504">
        <f t="shared" si="68"/>
        <v>0</v>
      </c>
      <c r="BR16" s="4504">
        <f t="shared" si="69"/>
        <v>0</v>
      </c>
      <c r="BS16" s="4504">
        <f t="shared" si="70"/>
        <v>0</v>
      </c>
      <c r="BT16" s="4504">
        <f t="shared" si="71"/>
        <v>0</v>
      </c>
      <c r="BU16" s="4504">
        <f t="shared" si="72"/>
        <v>0</v>
      </c>
      <c r="BV16" s="4504">
        <f t="shared" si="73"/>
        <v>0</v>
      </c>
      <c r="BW16" s="4504">
        <f t="shared" si="74"/>
        <v>0</v>
      </c>
      <c r="BX16" s="4504">
        <f t="shared" si="75"/>
        <v>0</v>
      </c>
      <c r="BY16" s="4504">
        <f t="shared" si="76"/>
        <v>0</v>
      </c>
      <c r="BZ16" s="4504">
        <f t="shared" si="77"/>
        <v>0</v>
      </c>
      <c r="CA16" s="4504">
        <f t="shared" si="78"/>
        <v>0</v>
      </c>
      <c r="CB16" s="4504">
        <f t="shared" si="79"/>
        <v>0</v>
      </c>
      <c r="CC16" s="4504">
        <f t="shared" si="80"/>
        <v>0</v>
      </c>
      <c r="CD16" s="4504">
        <f t="shared" si="81"/>
        <v>0</v>
      </c>
      <c r="CE16" s="4504">
        <f t="shared" si="82"/>
        <v>0</v>
      </c>
      <c r="CF16" s="4504">
        <f t="shared" si="83"/>
        <v>2.5564594059810926</v>
      </c>
      <c r="CG16" s="4504">
        <f t="shared" si="84"/>
        <v>2.045167524784874</v>
      </c>
      <c r="CH16" s="4504">
        <f t="shared" si="85"/>
        <v>2.045167524784874</v>
      </c>
      <c r="CI16" s="4504">
        <f t="shared" si="86"/>
        <v>2.045167524784874</v>
      </c>
      <c r="CJ16" s="4504">
        <f t="shared" si="87"/>
        <v>2.045167524784874</v>
      </c>
      <c r="CK16" s="4504">
        <f t="shared" si="88"/>
        <v>2.045167524784874</v>
      </c>
    </row>
    <row r="17" spans="1:89">
      <c r="A17" s="2739"/>
      <c r="B17" s="3617">
        <v>20202</v>
      </c>
      <c r="C17" s="3600">
        <v>0.03</v>
      </c>
      <c r="D17" s="2740" t="s">
        <v>426</v>
      </c>
      <c r="E17" s="2727">
        <f>'11.2. ДА за периода'!E17</f>
        <v>0</v>
      </c>
      <c r="F17" s="1228">
        <f>SUMIF('9.Инвестиционна програма'!$B$12:$B$35,$B17,'9.Инвестиционна програма'!H$12:H$35)*$E$6</f>
        <v>20</v>
      </c>
      <c r="G17" s="1224">
        <f>SUMIF('9.Инвестиционна програма'!$B$12:$B$35,$B17,'9.Инвестиционна програма'!I$12:I$35)*$E$6</f>
        <v>8</v>
      </c>
      <c r="H17" s="1224">
        <f>SUMIF('9.Инвестиционна програма'!$B$12:$B$35,$B17,'9.Инвестиционна програма'!J$12:J$35)*$E$6</f>
        <v>8</v>
      </c>
      <c r="I17" s="1224">
        <f>SUMIF('9.Инвестиционна програма'!$B$12:$B$35,$B17,'9.Инвестиционна програма'!K$12:K$35)*$E$6</f>
        <v>8</v>
      </c>
      <c r="J17" s="1224">
        <f>SUMIF('9.Инвестиционна програма'!$B$12:$B$35,$B17,'9.Инвестиционна програма'!L$12:L$35)*$E$6</f>
        <v>8</v>
      </c>
      <c r="K17" s="1229">
        <f>SUMIF('9.Инвестиционна програма'!$B$12:$B$35,$B17,'9.Инвестиционна програма'!M$12:M$35)*$E$6</f>
        <v>8</v>
      </c>
      <c r="L17" s="2727">
        <f>'11.2. ДА за периода'!L17</f>
        <v>0</v>
      </c>
      <c r="M17" s="1232">
        <f>SUMIF('9.Инвестиционна програма'!$B$37:$B$47,$B17,'9.Инвестиционна програма'!H$37:H$47)*$E$6</f>
        <v>0</v>
      </c>
      <c r="N17" s="1226">
        <f>SUMIF('9.Инвестиционна програма'!$B$37:$B$47,$B17,'9.Инвестиционна програма'!I$37:I$47)*$E$6</f>
        <v>0</v>
      </c>
      <c r="O17" s="1226">
        <f>SUMIF('9.Инвестиционна програма'!$B$37:$B$47,$B17,'9.Инвестиционна програма'!J$37:J$47)*$E$6</f>
        <v>0</v>
      </c>
      <c r="P17" s="1226">
        <f>SUMIF('9.Инвестиционна програма'!$B$37:$B$47,$B17,'9.Инвестиционна програма'!K$37:K$47)*$E$6</f>
        <v>0</v>
      </c>
      <c r="Q17" s="1226">
        <f>SUMIF('9.Инвестиционна програма'!$B$37:$B$47,$B17,'9.Инвестиционна програма'!L$37:L$47)*$E$6</f>
        <v>0</v>
      </c>
      <c r="R17" s="1227">
        <f>SUMIF('9.Инвестиционна програма'!$B$37:$B$47,$B17,'9.Инвестиционна програма'!M$37:M$47)*$E$6</f>
        <v>0</v>
      </c>
      <c r="S17" s="1113">
        <f>'11.2. ДА за периода'!S17</f>
        <v>3.3938200000000003</v>
      </c>
      <c r="T17" s="906">
        <f>SUMIF('9.Инвестиционна програма'!$B$49:$B$56,$B17,'9.Инвестиционна програма'!H$49:H$56)*$E$6</f>
        <v>0</v>
      </c>
      <c r="U17" s="906">
        <f>SUMIF('9.Инвестиционна програма'!$B$49:$B$56,$B17,'9.Инвестиционна програма'!I$49:I$56)*$E$6</f>
        <v>0</v>
      </c>
      <c r="V17" s="906">
        <f>SUMIF('9.Инвестиционна програма'!$B$49:$B$56,$B17,'9.Инвестиционна програма'!J$49:J$56)*$E$6</f>
        <v>0</v>
      </c>
      <c r="W17" s="906">
        <f>SUMIF('9.Инвестиционна програма'!$B$49:$B$56,$B17,'9.Инвестиционна програма'!K$49:K$56)*$E$6</f>
        <v>0</v>
      </c>
      <c r="X17" s="906">
        <f>SUMIF('9.Инвестиционна програма'!$B$49:$B$56,$B17,'9.Инвестиционна програма'!L$49:L$56)*$E$6</f>
        <v>0</v>
      </c>
      <c r="Y17" s="2728">
        <f>SUMIF('9.Инвестиционна програма'!$B$49:$B$56,$B17,'9.Инвестиционна програма'!M$49:M$56)*$E$6</f>
        <v>0</v>
      </c>
      <c r="Z17" s="1113">
        <f>'11.2. ДА за периода'!Z17</f>
        <v>0</v>
      </c>
      <c r="AA17" s="906">
        <f>SUMIF('9.Инвестиционна програма'!$B$74:$B$97,$B17,'9.Инвестиционна програма'!H$74:H$97)*$E$6</f>
        <v>0</v>
      </c>
      <c r="AB17" s="906">
        <f>SUMIF('9.Инвестиционна програма'!$B$74:$B$97,$B17,'9.Инвестиционна програма'!I$74:I$97)*$E$6</f>
        <v>0</v>
      </c>
      <c r="AC17" s="906">
        <f>SUMIF('9.Инвестиционна програма'!$B$74:$B$97,$B17,'9.Инвестиционна програма'!J$74:J$97)*$E$6</f>
        <v>0</v>
      </c>
      <c r="AD17" s="906">
        <f>SUMIF('9.Инвестиционна програма'!$B$74:$B$97,$B17,'9.Инвестиционна програма'!K$74:K$97)*$E$6</f>
        <v>0</v>
      </c>
      <c r="AE17" s="906">
        <f>SUMIF('9.Инвестиционна програма'!$B$74:$B$97,$B17,'9.Инвестиционна програма'!L$74:L$97)*$E$6</f>
        <v>0</v>
      </c>
      <c r="AF17" s="906">
        <f>SUMIF('9.Инвестиционна програма'!$B$74:$B$97,$B17,'9.Инвестиционна програма'!M$74:M$97)*$E$6</f>
        <v>0</v>
      </c>
      <c r="AG17" s="1113">
        <f>'11.2. ДА за периода'!AG17</f>
        <v>0</v>
      </c>
      <c r="AH17" s="906">
        <f>SUMIF('9.Инвестиционна програма'!$B$100:$B$123,$B17,'9.Инвестиционна програма'!H$100:H$123)*$E$6</f>
        <v>0</v>
      </c>
      <c r="AI17" s="906">
        <f>SUMIF('9.Инвестиционна програма'!$B$100:$B$123,$B17,'9.Инвестиционна програма'!I$100:I$123)*$E$6</f>
        <v>0</v>
      </c>
      <c r="AJ17" s="906">
        <f>SUMIF('9.Инвестиционна програма'!$B$100:$B$123,$B17,'9.Инвестиционна програма'!J$100:J$123)*$E$6</f>
        <v>0</v>
      </c>
      <c r="AK17" s="906">
        <f>SUMIF('9.Инвестиционна програма'!$B$100:$B$123,$B17,'9.Инвестиционна програма'!K$100:K$123)*$E$6</f>
        <v>0</v>
      </c>
      <c r="AL17" s="906">
        <f>SUMIF('9.Инвестиционна програма'!$B$100:$B$123,$B17,'9.Инвестиционна програма'!L$100:L$123)*$E$6</f>
        <v>0</v>
      </c>
      <c r="AM17" s="906">
        <f>SUMIF('9.Инвестиционна програма'!$B$100:$B$123,$B17,'9.Инвестиционна програма'!M$100:M$123)*$E$6</f>
        <v>0</v>
      </c>
      <c r="AN17" s="1113">
        <f>'11.2. ДА за периода'!AN17</f>
        <v>0</v>
      </c>
      <c r="AO17" s="1232">
        <f>(SUMIF('9.Инвестиционна програма'!$B$58:$B$59,$B17,'9.Инвестиционна програма'!H$58:H$59)+SUMIF('9.Инвестиционна програма'!$B$61:$B$71,$B17,'9.Инвестиционна програма'!H$61:H$71))*$E$6</f>
        <v>0</v>
      </c>
      <c r="AP17" s="906">
        <f>(SUMIF('9.Инвестиционна програма'!$B$58:$B$59,$B17,'9.Инвестиционна програма'!I$58:I$59)+SUMIF('9.Инвестиционна програма'!$B$61:$B$71,$B17,'9.Инвестиционна програма'!I$61:I$71))*$E$6</f>
        <v>0</v>
      </c>
      <c r="AQ17" s="906">
        <f>(SUMIF('9.Инвестиционна програма'!$B$58:$B$59,$B17,'9.Инвестиционна програма'!J$58:J$59)+SUMIF('9.Инвестиционна програма'!$B$61:$B$71,$B17,'9.Инвестиционна програма'!J$61:J$71))*$E$6</f>
        <v>0</v>
      </c>
      <c r="AR17" s="906">
        <f>(SUMIF('9.Инвестиционна програма'!$B$58:$B$59,$B17,'9.Инвестиционна програма'!K$58:K$59)+SUMIF('9.Инвестиционна програма'!$B$61:$B$71,$B17,'9.Инвестиционна програма'!K$61:K$71))*$E$6</f>
        <v>0</v>
      </c>
      <c r="AS17" s="906">
        <f>(SUMIF('9.Инвестиционна програма'!$B$58:$B$59,$B17,'9.Инвестиционна програма'!L$58:L$59)+SUMIF('9.Инвестиционна програма'!$B$61:$B$71,$B17,'9.Инвестиционна програма'!L$61:L$71))*$E$6</f>
        <v>0</v>
      </c>
      <c r="AT17" s="2728">
        <f>(SUMIF('9.Инвестиционна програма'!$B$58:$B$59,$B17,'9.Инвестиционна програма'!M$58:M$59)+SUMIF('9.Инвестиционна програма'!$B$61:$B$71,$B17,'9.Инвестиционна програма'!M$61:M$71))*$E$6</f>
        <v>0</v>
      </c>
      <c r="AU17" s="4488"/>
      <c r="AV17" s="4504">
        <f t="shared" si="47"/>
        <v>0</v>
      </c>
      <c r="AW17" s="4504">
        <f t="shared" si="48"/>
        <v>10.22583762392437</v>
      </c>
      <c r="AX17" s="4504">
        <f t="shared" si="49"/>
        <v>4.0903350495697479</v>
      </c>
      <c r="AY17" s="4504">
        <f t="shared" si="50"/>
        <v>4.0903350495697479</v>
      </c>
      <c r="AZ17" s="4504">
        <f t="shared" si="51"/>
        <v>4.0903350495697479</v>
      </c>
      <c r="BA17" s="4504">
        <f t="shared" si="52"/>
        <v>4.0903350495697479</v>
      </c>
      <c r="BB17" s="4504">
        <f t="shared" si="53"/>
        <v>4.0903350495697479</v>
      </c>
      <c r="BC17" s="4504">
        <f t="shared" si="54"/>
        <v>0</v>
      </c>
      <c r="BD17" s="4504">
        <f t="shared" si="55"/>
        <v>0</v>
      </c>
      <c r="BE17" s="4504">
        <f t="shared" si="56"/>
        <v>0</v>
      </c>
      <c r="BF17" s="4504">
        <f t="shared" si="57"/>
        <v>0</v>
      </c>
      <c r="BG17" s="4504">
        <f t="shared" si="58"/>
        <v>0</v>
      </c>
      <c r="BH17" s="4504">
        <f t="shared" si="59"/>
        <v>0</v>
      </c>
      <c r="BI17" s="4504">
        <f t="shared" si="60"/>
        <v>0</v>
      </c>
      <c r="BJ17" s="4504">
        <f t="shared" si="61"/>
        <v>1.7352326122413504</v>
      </c>
      <c r="BK17" s="4504">
        <f t="shared" si="62"/>
        <v>0</v>
      </c>
      <c r="BL17" s="4504">
        <f t="shared" si="63"/>
        <v>0</v>
      </c>
      <c r="BM17" s="4504">
        <f t="shared" si="64"/>
        <v>0</v>
      </c>
      <c r="BN17" s="4504">
        <f t="shared" si="65"/>
        <v>0</v>
      </c>
      <c r="BO17" s="4504">
        <f t="shared" si="66"/>
        <v>0</v>
      </c>
      <c r="BP17" s="4504">
        <f t="shared" si="67"/>
        <v>0</v>
      </c>
      <c r="BQ17" s="4504">
        <f t="shared" si="68"/>
        <v>0</v>
      </c>
      <c r="BR17" s="4504">
        <f t="shared" si="69"/>
        <v>0</v>
      </c>
      <c r="BS17" s="4504">
        <f t="shared" si="70"/>
        <v>0</v>
      </c>
      <c r="BT17" s="4504">
        <f t="shared" si="71"/>
        <v>0</v>
      </c>
      <c r="BU17" s="4504">
        <f t="shared" si="72"/>
        <v>0</v>
      </c>
      <c r="BV17" s="4504">
        <f t="shared" si="73"/>
        <v>0</v>
      </c>
      <c r="BW17" s="4504">
        <f t="shared" si="74"/>
        <v>0</v>
      </c>
      <c r="BX17" s="4504">
        <f t="shared" si="75"/>
        <v>0</v>
      </c>
      <c r="BY17" s="4504">
        <f t="shared" si="76"/>
        <v>0</v>
      </c>
      <c r="BZ17" s="4504">
        <f t="shared" si="77"/>
        <v>0</v>
      </c>
      <c r="CA17" s="4504">
        <f t="shared" si="78"/>
        <v>0</v>
      </c>
      <c r="CB17" s="4504">
        <f t="shared" si="79"/>
        <v>0</v>
      </c>
      <c r="CC17" s="4504">
        <f t="shared" si="80"/>
        <v>0</v>
      </c>
      <c r="CD17" s="4504">
        <f t="shared" si="81"/>
        <v>0</v>
      </c>
      <c r="CE17" s="4504">
        <f t="shared" si="82"/>
        <v>0</v>
      </c>
      <c r="CF17" s="4504">
        <f t="shared" si="83"/>
        <v>0</v>
      </c>
      <c r="CG17" s="4504">
        <f t="shared" si="84"/>
        <v>0</v>
      </c>
      <c r="CH17" s="4504">
        <f t="shared" si="85"/>
        <v>0</v>
      </c>
      <c r="CI17" s="4504">
        <f t="shared" si="86"/>
        <v>0</v>
      </c>
      <c r="CJ17" s="4504">
        <f t="shared" si="87"/>
        <v>0</v>
      </c>
      <c r="CK17" s="4504">
        <f t="shared" si="88"/>
        <v>0</v>
      </c>
    </row>
    <row r="18" spans="1:89" s="40" customFormat="1" ht="12.75" customHeight="1">
      <c r="A18" s="2741">
        <v>3</v>
      </c>
      <c r="B18" s="3616">
        <v>203</v>
      </c>
      <c r="C18" s="3599"/>
      <c r="D18" s="2733" t="s">
        <v>405</v>
      </c>
      <c r="E18" s="2734">
        <f t="shared" ref="E18:AT18" si="90">SUM(E19:E29)-E22-E25</f>
        <v>894.7028460425679</v>
      </c>
      <c r="F18" s="2735">
        <f t="shared" si="90"/>
        <v>268</v>
      </c>
      <c r="G18" s="2736">
        <f t="shared" si="90"/>
        <v>74</v>
      </c>
      <c r="H18" s="2736">
        <f t="shared" si="90"/>
        <v>71</v>
      </c>
      <c r="I18" s="2736">
        <f t="shared" si="90"/>
        <v>91</v>
      </c>
      <c r="J18" s="2736">
        <f t="shared" si="90"/>
        <v>100</v>
      </c>
      <c r="K18" s="2737">
        <f t="shared" si="90"/>
        <v>86</v>
      </c>
      <c r="L18" s="2734">
        <f t="shared" si="90"/>
        <v>7.3475019822989811</v>
      </c>
      <c r="M18" s="2735">
        <f t="shared" si="90"/>
        <v>0</v>
      </c>
      <c r="N18" s="2736">
        <f t="shared" si="90"/>
        <v>0</v>
      </c>
      <c r="O18" s="2736">
        <f t="shared" si="90"/>
        <v>0</v>
      </c>
      <c r="P18" s="2736">
        <f t="shared" si="90"/>
        <v>0</v>
      </c>
      <c r="Q18" s="2736">
        <f t="shared" si="90"/>
        <v>0</v>
      </c>
      <c r="R18" s="2737">
        <f t="shared" si="90"/>
        <v>0</v>
      </c>
      <c r="S18" s="2732">
        <f t="shared" si="90"/>
        <v>50.289701730673571</v>
      </c>
      <c r="T18" s="2738">
        <f t="shared" si="90"/>
        <v>0</v>
      </c>
      <c r="U18" s="2736">
        <f t="shared" si="90"/>
        <v>0</v>
      </c>
      <c r="V18" s="2736">
        <f t="shared" si="90"/>
        <v>0</v>
      </c>
      <c r="W18" s="2736">
        <f t="shared" si="90"/>
        <v>0</v>
      </c>
      <c r="X18" s="2736">
        <f t="shared" si="90"/>
        <v>0</v>
      </c>
      <c r="Y18" s="2737">
        <f t="shared" si="90"/>
        <v>0</v>
      </c>
      <c r="Z18" s="2732">
        <f t="shared" ref="Z18:AM18" si="91">SUM(Z19:Z29)-Z22-Z25</f>
        <v>0</v>
      </c>
      <c r="AA18" s="2738">
        <f t="shared" si="91"/>
        <v>0</v>
      </c>
      <c r="AB18" s="2736">
        <f t="shared" si="91"/>
        <v>0</v>
      </c>
      <c r="AC18" s="2736">
        <f t="shared" si="91"/>
        <v>0</v>
      </c>
      <c r="AD18" s="2736">
        <f t="shared" si="91"/>
        <v>0</v>
      </c>
      <c r="AE18" s="2736">
        <f t="shared" si="91"/>
        <v>0</v>
      </c>
      <c r="AF18" s="2737">
        <f t="shared" si="91"/>
        <v>0</v>
      </c>
      <c r="AG18" s="2732">
        <f t="shared" si="91"/>
        <v>203.37356450117525</v>
      </c>
      <c r="AH18" s="2738">
        <f t="shared" si="91"/>
        <v>24</v>
      </c>
      <c r="AI18" s="2736">
        <f t="shared" si="91"/>
        <v>74</v>
      </c>
      <c r="AJ18" s="2736">
        <f t="shared" si="91"/>
        <v>44</v>
      </c>
      <c r="AK18" s="2736">
        <f t="shared" si="91"/>
        <v>44</v>
      </c>
      <c r="AL18" s="2736">
        <f t="shared" si="91"/>
        <v>44</v>
      </c>
      <c r="AM18" s="2737">
        <f t="shared" si="91"/>
        <v>44</v>
      </c>
      <c r="AN18" s="2732">
        <f t="shared" si="90"/>
        <v>0</v>
      </c>
      <c r="AO18" s="2738">
        <f t="shared" si="90"/>
        <v>105</v>
      </c>
      <c r="AP18" s="2736">
        <f t="shared" si="90"/>
        <v>130</v>
      </c>
      <c r="AQ18" s="2736">
        <f t="shared" si="90"/>
        <v>130</v>
      </c>
      <c r="AR18" s="2736">
        <f t="shared" si="90"/>
        <v>130</v>
      </c>
      <c r="AS18" s="2736">
        <f t="shared" si="90"/>
        <v>130</v>
      </c>
      <c r="AT18" s="2737">
        <f t="shared" si="90"/>
        <v>130</v>
      </c>
      <c r="AU18" s="4488"/>
      <c r="AV18" s="4504">
        <f t="shared" si="47"/>
        <v>457.45430126471518</v>
      </c>
      <c r="AW18" s="4504">
        <f t="shared" si="48"/>
        <v>137.02622416058657</v>
      </c>
      <c r="AX18" s="4504">
        <f t="shared" si="49"/>
        <v>37.835599208520172</v>
      </c>
      <c r="AY18" s="4504">
        <f t="shared" si="50"/>
        <v>36.301723564931514</v>
      </c>
      <c r="AZ18" s="4504">
        <f t="shared" si="51"/>
        <v>46.527561188855884</v>
      </c>
      <c r="BA18" s="4504">
        <f t="shared" si="52"/>
        <v>51.129188119621851</v>
      </c>
      <c r="BB18" s="4504">
        <f t="shared" si="53"/>
        <v>43.97110178287479</v>
      </c>
      <c r="BC18" s="4504">
        <f t="shared" si="54"/>
        <v>3.7567181106225904</v>
      </c>
      <c r="BD18" s="4504">
        <f t="shared" si="55"/>
        <v>0</v>
      </c>
      <c r="BE18" s="4504">
        <f t="shared" si="56"/>
        <v>0</v>
      </c>
      <c r="BF18" s="4504">
        <f t="shared" si="57"/>
        <v>0</v>
      </c>
      <c r="BG18" s="4504">
        <f t="shared" si="58"/>
        <v>0</v>
      </c>
      <c r="BH18" s="4504">
        <f t="shared" si="59"/>
        <v>0</v>
      </c>
      <c r="BI18" s="4504">
        <f t="shared" si="60"/>
        <v>0</v>
      </c>
      <c r="BJ18" s="4504">
        <f t="shared" si="61"/>
        <v>25.712716202672816</v>
      </c>
      <c r="BK18" s="4504">
        <f t="shared" si="62"/>
        <v>0</v>
      </c>
      <c r="BL18" s="4504">
        <f t="shared" si="63"/>
        <v>0</v>
      </c>
      <c r="BM18" s="4504">
        <f t="shared" si="64"/>
        <v>0</v>
      </c>
      <c r="BN18" s="4504">
        <f t="shared" si="65"/>
        <v>0</v>
      </c>
      <c r="BO18" s="4504">
        <f t="shared" si="66"/>
        <v>0</v>
      </c>
      <c r="BP18" s="4504">
        <f t="shared" si="67"/>
        <v>0</v>
      </c>
      <c r="BQ18" s="4504">
        <f t="shared" si="68"/>
        <v>0</v>
      </c>
      <c r="BR18" s="4504">
        <f t="shared" si="69"/>
        <v>0</v>
      </c>
      <c r="BS18" s="4504">
        <f t="shared" si="70"/>
        <v>0</v>
      </c>
      <c r="BT18" s="4504">
        <f t="shared" si="71"/>
        <v>0</v>
      </c>
      <c r="BU18" s="4504">
        <f t="shared" si="72"/>
        <v>0</v>
      </c>
      <c r="BV18" s="4504">
        <f t="shared" si="73"/>
        <v>0</v>
      </c>
      <c r="BW18" s="4504">
        <f t="shared" si="74"/>
        <v>0</v>
      </c>
      <c r="BX18" s="4504">
        <f t="shared" si="75"/>
        <v>103.98325237938637</v>
      </c>
      <c r="BY18" s="4504">
        <f t="shared" si="76"/>
        <v>12.271005148709245</v>
      </c>
      <c r="BZ18" s="4504">
        <f t="shared" si="77"/>
        <v>37.835599208520172</v>
      </c>
      <c r="CA18" s="4504">
        <f t="shared" si="78"/>
        <v>22.496842772633613</v>
      </c>
      <c r="CB18" s="4504">
        <f t="shared" si="79"/>
        <v>22.496842772633613</v>
      </c>
      <c r="CC18" s="4504">
        <f t="shared" si="80"/>
        <v>22.496842772633613</v>
      </c>
      <c r="CD18" s="4504">
        <f t="shared" si="81"/>
        <v>22.496842772633613</v>
      </c>
      <c r="CE18" s="4504">
        <f t="shared" si="82"/>
        <v>0</v>
      </c>
      <c r="CF18" s="4504">
        <f t="shared" si="83"/>
        <v>53.685647525602946</v>
      </c>
      <c r="CG18" s="4504">
        <f t="shared" si="84"/>
        <v>66.46794455550841</v>
      </c>
      <c r="CH18" s="4504">
        <f t="shared" si="85"/>
        <v>66.46794455550841</v>
      </c>
      <c r="CI18" s="4504">
        <f t="shared" si="86"/>
        <v>66.46794455550841</v>
      </c>
      <c r="CJ18" s="4504">
        <f t="shared" si="87"/>
        <v>66.46794455550841</v>
      </c>
      <c r="CK18" s="4504">
        <f t="shared" si="88"/>
        <v>66.46794455550841</v>
      </c>
    </row>
    <row r="19" spans="1:89">
      <c r="A19" s="2739"/>
      <c r="B19" s="3617">
        <v>20301</v>
      </c>
      <c r="C19" s="3600">
        <v>0.1</v>
      </c>
      <c r="D19" s="2742" t="s">
        <v>427</v>
      </c>
      <c r="E19" s="2727">
        <f>'11.2. ДА за периода'!E19</f>
        <v>26.809830000000002</v>
      </c>
      <c r="F19" s="1228">
        <f>SUMIF('9.Инвестиционна програма'!$B$12:$B$35,$B19,'9.Инвестиционна програма'!H$12:H$35)*$E$6</f>
        <v>0</v>
      </c>
      <c r="G19" s="1224">
        <f>SUMIF('9.Инвестиционна програма'!$B$12:$B$35,$B19,'9.Инвестиционна програма'!I$12:I$35)*$E$6</f>
        <v>0</v>
      </c>
      <c r="H19" s="1224">
        <f>SUMIF('9.Инвестиционна програма'!$B$12:$B$35,$B19,'9.Инвестиционна програма'!J$12:J$35)*$E$6</f>
        <v>0</v>
      </c>
      <c r="I19" s="1224">
        <f>SUMIF('9.Инвестиционна програма'!$B$12:$B$35,$B19,'9.Инвестиционна програма'!K$12:K$35)*$E$6</f>
        <v>0</v>
      </c>
      <c r="J19" s="1224">
        <f>SUMIF('9.Инвестиционна програма'!$B$12:$B$35,$B19,'9.Инвестиционна програма'!L$12:L$35)*$E$6</f>
        <v>0</v>
      </c>
      <c r="K19" s="1229">
        <f>SUMIF('9.Инвестиционна програма'!$B$12:$B$35,$B19,'9.Инвестиционна програма'!M$12:M$35)*$E$6</f>
        <v>0</v>
      </c>
      <c r="L19" s="2727">
        <f>'11.2. ДА за периода'!L19</f>
        <v>0</v>
      </c>
      <c r="M19" s="1232">
        <f>SUMIF('9.Инвестиционна програма'!$B$37:$B$47,$B19,'9.Инвестиционна програма'!H$37:H$47)*$E$6</f>
        <v>0</v>
      </c>
      <c r="N19" s="1226">
        <f>SUMIF('9.Инвестиционна програма'!$B$37:$B$47,$B19,'9.Инвестиционна програма'!I$37:I$47)*$E$6</f>
        <v>0</v>
      </c>
      <c r="O19" s="1226">
        <f>SUMIF('9.Инвестиционна програма'!$B$37:$B$47,$B19,'9.Инвестиционна програма'!J$37:J$47)*$E$6</f>
        <v>0</v>
      </c>
      <c r="P19" s="1226">
        <f>SUMIF('9.Инвестиционна програма'!$B$37:$B$47,$B19,'9.Инвестиционна програма'!K$37:K$47)*$E$6</f>
        <v>0</v>
      </c>
      <c r="Q19" s="1226">
        <f>SUMIF('9.Инвестиционна програма'!$B$37:$B$47,$B19,'9.Инвестиционна програма'!L$37:L$47)*$E$6</f>
        <v>0</v>
      </c>
      <c r="R19" s="1227">
        <f>SUMIF('9.Инвестиционна програма'!$B$37:$B$47,$B19,'9.Инвестиционна програма'!M$37:M$47)*$E$6</f>
        <v>0</v>
      </c>
      <c r="S19" s="1113">
        <f>'11.2. ДА за периода'!S19</f>
        <v>0</v>
      </c>
      <c r="T19" s="906">
        <f>SUMIF('9.Инвестиционна програма'!$B$49:$B$56,$B19,'9.Инвестиционна програма'!H$49:H$56)*$E$6</f>
        <v>0</v>
      </c>
      <c r="U19" s="906">
        <f>SUMIF('9.Инвестиционна програма'!$B$49:$B$56,$B19,'9.Инвестиционна програма'!I$49:I$56)*$E$6</f>
        <v>0</v>
      </c>
      <c r="V19" s="906">
        <f>SUMIF('9.Инвестиционна програма'!$B$49:$B$56,$B19,'9.Инвестиционна програма'!J$49:J$56)*$E$6</f>
        <v>0</v>
      </c>
      <c r="W19" s="906">
        <f>SUMIF('9.Инвестиционна програма'!$B$49:$B$56,$B19,'9.Инвестиционна програма'!K$49:K$56)*$E$6</f>
        <v>0</v>
      </c>
      <c r="X19" s="906">
        <f>SUMIF('9.Инвестиционна програма'!$B$49:$B$56,$B19,'9.Инвестиционна програма'!L$49:L$56)*$E$6</f>
        <v>0</v>
      </c>
      <c r="Y19" s="2728">
        <f>SUMIF('9.Инвестиционна програма'!$B$49:$B$56,$B19,'9.Инвестиционна програма'!M$49:M$56)*$E$6</f>
        <v>0</v>
      </c>
      <c r="Z19" s="1113">
        <f>'11.2. ДА за периода'!Z19</f>
        <v>0</v>
      </c>
      <c r="AA19" s="906">
        <f>SUMIF('9.Инвестиционна програма'!$B$74:$B$97,$B19,'9.Инвестиционна програма'!H$74:H$97)*$E$6</f>
        <v>0</v>
      </c>
      <c r="AB19" s="906">
        <f>SUMIF('9.Инвестиционна програма'!$B$74:$B$97,$B19,'9.Инвестиционна програма'!I$74:I$97)*$E$6</f>
        <v>0</v>
      </c>
      <c r="AC19" s="906">
        <f>SUMIF('9.Инвестиционна програма'!$B$74:$B$97,$B19,'9.Инвестиционна програма'!J$74:J$97)*$E$6</f>
        <v>0</v>
      </c>
      <c r="AD19" s="906">
        <f>SUMIF('9.Инвестиционна програма'!$B$74:$B$97,$B19,'9.Инвестиционна програма'!K$74:K$97)*$E$6</f>
        <v>0</v>
      </c>
      <c r="AE19" s="906">
        <f>SUMIF('9.Инвестиционна програма'!$B$74:$B$97,$B19,'9.Инвестиционна програма'!L$74:L$97)*$E$6</f>
        <v>0</v>
      </c>
      <c r="AF19" s="906">
        <f>SUMIF('9.Инвестиционна програма'!$B$74:$B$97,$B19,'9.Инвестиционна програма'!M$74:M$97)*$E$6</f>
        <v>0</v>
      </c>
      <c r="AG19" s="1113">
        <f>'11.2. ДА за периода'!AG19</f>
        <v>0</v>
      </c>
      <c r="AH19" s="906">
        <f>SUMIF('9.Инвестиционна програма'!$B$100:$B$123,$B19,'9.Инвестиционна програма'!H$100:H$123)*$E$6</f>
        <v>0</v>
      </c>
      <c r="AI19" s="906">
        <f>SUMIF('9.Инвестиционна програма'!$B$100:$B$123,$B19,'9.Инвестиционна програма'!I$100:I$123)*$E$6</f>
        <v>0</v>
      </c>
      <c r="AJ19" s="906">
        <f>SUMIF('9.Инвестиционна програма'!$B$100:$B$123,$B19,'9.Инвестиционна програма'!J$100:J$123)*$E$6</f>
        <v>0</v>
      </c>
      <c r="AK19" s="906">
        <f>SUMIF('9.Инвестиционна програма'!$B$100:$B$123,$B19,'9.Инвестиционна програма'!K$100:K$123)*$E$6</f>
        <v>0</v>
      </c>
      <c r="AL19" s="906">
        <f>SUMIF('9.Инвестиционна програма'!$B$100:$B$123,$B19,'9.Инвестиционна програма'!L$100:L$123)*$E$6</f>
        <v>0</v>
      </c>
      <c r="AM19" s="906">
        <f>SUMIF('9.Инвестиционна програма'!$B$100:$B$123,$B19,'9.Инвестиционна програма'!M$100:M$123)*$E$6</f>
        <v>0</v>
      </c>
      <c r="AN19" s="1113">
        <f>'11.2. ДА за периода'!AN19</f>
        <v>0</v>
      </c>
      <c r="AO19" s="1232">
        <f>(SUMIF('9.Инвестиционна програма'!$B$58:$B$59,$B19,'9.Инвестиционна програма'!H$58:H$59)+SUMIF('9.Инвестиционна програма'!$B$61:$B$71,$B19,'9.Инвестиционна програма'!H$61:H$71))*$E$6</f>
        <v>0</v>
      </c>
      <c r="AP19" s="906">
        <f>(SUMIF('9.Инвестиционна програма'!$B$58:$B$59,$B19,'9.Инвестиционна програма'!I$58:I$59)+SUMIF('9.Инвестиционна програма'!$B$61:$B$71,$B19,'9.Инвестиционна програма'!I$61:I$71))*$E$6</f>
        <v>0</v>
      </c>
      <c r="AQ19" s="906">
        <f>(SUMIF('9.Инвестиционна програма'!$B$58:$B$59,$B19,'9.Инвестиционна програма'!J$58:J$59)+SUMIF('9.Инвестиционна програма'!$B$61:$B$71,$B19,'9.Инвестиционна програма'!J$61:J$71))*$E$6</f>
        <v>0</v>
      </c>
      <c r="AR19" s="906">
        <f>(SUMIF('9.Инвестиционна програма'!$B$58:$B$59,$B19,'9.Инвестиционна програма'!K$58:K$59)+SUMIF('9.Инвестиционна програма'!$B$61:$B$71,$B19,'9.Инвестиционна програма'!K$61:K$71))*$E$6</f>
        <v>0</v>
      </c>
      <c r="AS19" s="906">
        <f>(SUMIF('9.Инвестиционна програма'!$B$58:$B$59,$B19,'9.Инвестиционна програма'!L$58:L$59)+SUMIF('9.Инвестиционна програма'!$B$61:$B$71,$B19,'9.Инвестиционна програма'!L$61:L$71))*$E$6</f>
        <v>0</v>
      </c>
      <c r="AT19" s="2728">
        <f>(SUMIF('9.Инвестиционна програма'!$B$58:$B$59,$B19,'9.Инвестиционна програма'!M$58:M$59)+SUMIF('9.Инвестиционна програма'!$B$61:$B$71,$B19,'9.Инвестиционна програма'!M$61:M$71))*$E$6</f>
        <v>0</v>
      </c>
      <c r="AU19" s="4488"/>
      <c r="AV19" s="4504">
        <f t="shared" si="47"/>
        <v>13.707648415250816</v>
      </c>
      <c r="AW19" s="4504">
        <f t="shared" si="48"/>
        <v>0</v>
      </c>
      <c r="AX19" s="4504">
        <f t="shared" si="49"/>
        <v>0</v>
      </c>
      <c r="AY19" s="4504">
        <f t="shared" si="50"/>
        <v>0</v>
      </c>
      <c r="AZ19" s="4504">
        <f t="shared" si="51"/>
        <v>0</v>
      </c>
      <c r="BA19" s="4504">
        <f t="shared" si="52"/>
        <v>0</v>
      </c>
      <c r="BB19" s="4504">
        <f t="shared" si="53"/>
        <v>0</v>
      </c>
      <c r="BC19" s="4504">
        <f t="shared" si="54"/>
        <v>0</v>
      </c>
      <c r="BD19" s="4504">
        <f t="shared" si="55"/>
        <v>0</v>
      </c>
      <c r="BE19" s="4504">
        <f t="shared" si="56"/>
        <v>0</v>
      </c>
      <c r="BF19" s="4504">
        <f t="shared" si="57"/>
        <v>0</v>
      </c>
      <c r="BG19" s="4504">
        <f t="shared" si="58"/>
        <v>0</v>
      </c>
      <c r="BH19" s="4504">
        <f t="shared" si="59"/>
        <v>0</v>
      </c>
      <c r="BI19" s="4504">
        <f t="shared" si="60"/>
        <v>0</v>
      </c>
      <c r="BJ19" s="4504">
        <f t="shared" si="61"/>
        <v>0</v>
      </c>
      <c r="BK19" s="4504">
        <f t="shared" si="62"/>
        <v>0</v>
      </c>
      <c r="BL19" s="4504">
        <f t="shared" si="63"/>
        <v>0</v>
      </c>
      <c r="BM19" s="4504">
        <f t="shared" si="64"/>
        <v>0</v>
      </c>
      <c r="BN19" s="4504">
        <f t="shared" si="65"/>
        <v>0</v>
      </c>
      <c r="BO19" s="4504">
        <f t="shared" si="66"/>
        <v>0</v>
      </c>
      <c r="BP19" s="4504">
        <f t="shared" si="67"/>
        <v>0</v>
      </c>
      <c r="BQ19" s="4504">
        <f t="shared" si="68"/>
        <v>0</v>
      </c>
      <c r="BR19" s="4504">
        <f t="shared" si="69"/>
        <v>0</v>
      </c>
      <c r="BS19" s="4504">
        <f t="shared" si="70"/>
        <v>0</v>
      </c>
      <c r="BT19" s="4504">
        <f t="shared" si="71"/>
        <v>0</v>
      </c>
      <c r="BU19" s="4504">
        <f t="shared" si="72"/>
        <v>0</v>
      </c>
      <c r="BV19" s="4504">
        <f t="shared" si="73"/>
        <v>0</v>
      </c>
      <c r="BW19" s="4504">
        <f t="shared" si="74"/>
        <v>0</v>
      </c>
      <c r="BX19" s="4504">
        <f t="shared" si="75"/>
        <v>0</v>
      </c>
      <c r="BY19" s="4504">
        <f t="shared" si="76"/>
        <v>0</v>
      </c>
      <c r="BZ19" s="4504">
        <f t="shared" si="77"/>
        <v>0</v>
      </c>
      <c r="CA19" s="4504">
        <f t="shared" si="78"/>
        <v>0</v>
      </c>
      <c r="CB19" s="4504">
        <f t="shared" si="79"/>
        <v>0</v>
      </c>
      <c r="CC19" s="4504">
        <f t="shared" si="80"/>
        <v>0</v>
      </c>
      <c r="CD19" s="4504">
        <f t="shared" si="81"/>
        <v>0</v>
      </c>
      <c r="CE19" s="4504">
        <f t="shared" si="82"/>
        <v>0</v>
      </c>
      <c r="CF19" s="4504">
        <f t="shared" si="83"/>
        <v>0</v>
      </c>
      <c r="CG19" s="4504">
        <f t="shared" si="84"/>
        <v>0</v>
      </c>
      <c r="CH19" s="4504">
        <f t="shared" si="85"/>
        <v>0</v>
      </c>
      <c r="CI19" s="4504">
        <f t="shared" si="86"/>
        <v>0</v>
      </c>
      <c r="CJ19" s="4504">
        <f t="shared" si="87"/>
        <v>0</v>
      </c>
      <c r="CK19" s="4504">
        <f t="shared" si="88"/>
        <v>0</v>
      </c>
    </row>
    <row r="20" spans="1:89">
      <c r="A20" s="2739"/>
      <c r="B20" s="3617">
        <v>20302</v>
      </c>
      <c r="C20" s="3600">
        <v>0.1</v>
      </c>
      <c r="D20" s="2742" t="s">
        <v>428</v>
      </c>
      <c r="E20" s="2727">
        <f>'11.2. ДА за периода'!E20</f>
        <v>6.439461680620246</v>
      </c>
      <c r="F20" s="1228">
        <f>SUMIF('9.Инвестиционна програма'!$B$12:$B$35,$B20,'9.Инвестиционна програма'!H$12:H$35)*$E$6</f>
        <v>0</v>
      </c>
      <c r="G20" s="1224">
        <f>SUMIF('9.Инвестиционна програма'!$B$12:$B$35,$B20,'9.Инвестиционна програма'!I$12:I$35)*$E$6</f>
        <v>0</v>
      </c>
      <c r="H20" s="1224">
        <f>SUMIF('9.Инвестиционна програма'!$B$12:$B$35,$B20,'9.Инвестиционна програма'!J$12:J$35)*$E$6</f>
        <v>0</v>
      </c>
      <c r="I20" s="1224">
        <f>SUMIF('9.Инвестиционна програма'!$B$12:$B$35,$B20,'9.Инвестиционна програма'!K$12:K$35)*$E$6</f>
        <v>0</v>
      </c>
      <c r="J20" s="1224">
        <f>SUMIF('9.Инвестиционна програма'!$B$12:$B$35,$B20,'9.Инвестиционна програма'!L$12:L$35)*$E$6</f>
        <v>0</v>
      </c>
      <c r="K20" s="1229">
        <f>SUMIF('9.Инвестиционна програма'!$B$12:$B$35,$B20,'9.Инвестиционна програма'!M$12:M$35)*$E$6</f>
        <v>0</v>
      </c>
      <c r="L20" s="2727">
        <f>'11.2. ДА за периода'!L20</f>
        <v>1.1268001060749886</v>
      </c>
      <c r="M20" s="1232">
        <f>SUMIF('9.Инвестиционна програма'!$B$37:$B$47,$B20,'9.Инвестиционна програма'!H$37:H$47)*$E$6</f>
        <v>0</v>
      </c>
      <c r="N20" s="1226">
        <f>SUMIF('9.Инвестиционна програма'!$B$37:$B$47,$B20,'9.Инвестиционна програма'!I$37:I$47)*$E$6</f>
        <v>0</v>
      </c>
      <c r="O20" s="1226">
        <f>SUMIF('9.Инвестиционна програма'!$B$37:$B$47,$B20,'9.Инвестиционна програма'!J$37:J$47)*$E$6</f>
        <v>0</v>
      </c>
      <c r="P20" s="1226">
        <f>SUMIF('9.Инвестиционна програма'!$B$37:$B$47,$B20,'9.Инвестиционна програма'!K$37:K$47)*$E$6</f>
        <v>0</v>
      </c>
      <c r="Q20" s="1226">
        <f>SUMIF('9.Инвестиционна програма'!$B$37:$B$47,$B20,'9.Инвестиционна програма'!L$37:L$47)*$E$6</f>
        <v>0</v>
      </c>
      <c r="R20" s="1227">
        <f>SUMIF('9.Инвестиционна програма'!$B$37:$B$47,$B20,'9.Инвестиционна програма'!M$37:M$47)*$E$6</f>
        <v>0</v>
      </c>
      <c r="S20" s="1113">
        <f>'11.2. ДА за периода'!S20</f>
        <v>1.3749017950931914</v>
      </c>
      <c r="T20" s="906">
        <f>SUMIF('9.Инвестиционна програма'!$B$49:$B$56,$B20,'9.Инвестиционна програма'!H$49:H$56)*$E$6</f>
        <v>0</v>
      </c>
      <c r="U20" s="906">
        <f>SUMIF('9.Инвестиционна програма'!$B$49:$B$56,$B20,'9.Инвестиционна програма'!I$49:I$56)*$E$6</f>
        <v>0</v>
      </c>
      <c r="V20" s="906">
        <f>SUMIF('9.Инвестиционна програма'!$B$49:$B$56,$B20,'9.Инвестиционна програма'!J$49:J$56)*$E$6</f>
        <v>0</v>
      </c>
      <c r="W20" s="906">
        <f>SUMIF('9.Инвестиционна програма'!$B$49:$B$56,$B20,'9.Инвестиционна програма'!K$49:K$56)*$E$6</f>
        <v>0</v>
      </c>
      <c r="X20" s="906">
        <f>SUMIF('9.Инвестиционна програма'!$B$49:$B$56,$B20,'9.Инвестиционна програма'!L$49:L$56)*$E$6</f>
        <v>0</v>
      </c>
      <c r="Y20" s="2728">
        <f>SUMIF('9.Инвестиционна програма'!$B$49:$B$56,$B20,'9.Инвестиционна програма'!M$49:M$56)*$E$6</f>
        <v>0</v>
      </c>
      <c r="Z20" s="1113">
        <f>'11.2. ДА за периода'!Z20</f>
        <v>0</v>
      </c>
      <c r="AA20" s="906">
        <f>SUMIF('9.Инвестиционна програма'!$B$74:$B$97,$B20,'9.Инвестиционна програма'!H$74:H$97)*$E$6</f>
        <v>0</v>
      </c>
      <c r="AB20" s="906">
        <f>SUMIF('9.Инвестиционна програма'!$B$74:$B$97,$B20,'9.Инвестиционна програма'!I$74:I$97)*$E$6</f>
        <v>0</v>
      </c>
      <c r="AC20" s="906">
        <f>SUMIF('9.Инвестиционна програма'!$B$74:$B$97,$B20,'9.Инвестиционна програма'!J$74:J$97)*$E$6</f>
        <v>0</v>
      </c>
      <c r="AD20" s="906">
        <f>SUMIF('9.Инвестиционна програма'!$B$74:$B$97,$B20,'9.Инвестиционна програма'!K$74:K$97)*$E$6</f>
        <v>0</v>
      </c>
      <c r="AE20" s="906">
        <f>SUMIF('9.Инвестиционна програма'!$B$74:$B$97,$B20,'9.Инвестиционна програма'!L$74:L$97)*$E$6</f>
        <v>0</v>
      </c>
      <c r="AF20" s="906">
        <f>SUMIF('9.Инвестиционна програма'!$B$74:$B$97,$B20,'9.Инвестиционна програма'!M$74:M$97)*$E$6</f>
        <v>0</v>
      </c>
      <c r="AG20" s="1113">
        <f>'11.2. ДА за периода'!AG20</f>
        <v>3.4257364182115744</v>
      </c>
      <c r="AH20" s="906">
        <f>SUMIF('9.Инвестиционна програма'!$B$100:$B$123,$B20,'9.Инвестиционна програма'!H$100:H$123)*$E$6</f>
        <v>0</v>
      </c>
      <c r="AI20" s="906">
        <f>SUMIF('9.Инвестиционна програма'!$B$100:$B$123,$B20,'9.Инвестиционна програма'!I$100:I$123)*$E$6</f>
        <v>0</v>
      </c>
      <c r="AJ20" s="906">
        <f>SUMIF('9.Инвестиционна програма'!$B$100:$B$123,$B20,'9.Инвестиционна програма'!J$100:J$123)*$E$6</f>
        <v>0</v>
      </c>
      <c r="AK20" s="906">
        <f>SUMIF('9.Инвестиционна програма'!$B$100:$B$123,$B20,'9.Инвестиционна програма'!K$100:K$123)*$E$6</f>
        <v>0</v>
      </c>
      <c r="AL20" s="906">
        <f>SUMIF('9.Инвестиционна програма'!$B$100:$B$123,$B20,'9.Инвестиционна програма'!L$100:L$123)*$E$6</f>
        <v>0</v>
      </c>
      <c r="AM20" s="906">
        <f>SUMIF('9.Инвестиционна програма'!$B$100:$B$123,$B20,'9.Инвестиционна програма'!M$100:M$123)*$E$6</f>
        <v>0</v>
      </c>
      <c r="AN20" s="1113">
        <f>'11.2. ДА за периода'!AN20</f>
        <v>0</v>
      </c>
      <c r="AO20" s="1232">
        <f>(SUMIF('9.Инвестиционна програма'!$B$58:$B$59,$B20,'9.Инвестиционна програма'!H$58:H$59)+SUMIF('9.Инвестиционна програма'!$B$61:$B$71,$B20,'9.Инвестиционна програма'!H$61:H$71))*$E$6</f>
        <v>0</v>
      </c>
      <c r="AP20" s="906">
        <f>(SUMIF('9.Инвестиционна програма'!$B$58:$B$59,$B20,'9.Инвестиционна програма'!I$58:I$59)+SUMIF('9.Инвестиционна програма'!$B$61:$B$71,$B20,'9.Инвестиционна програма'!I$61:I$71))*$E$6</f>
        <v>0</v>
      </c>
      <c r="AQ20" s="906">
        <f>(SUMIF('9.Инвестиционна програма'!$B$58:$B$59,$B20,'9.Инвестиционна програма'!J$58:J$59)+SUMIF('9.Инвестиционна програма'!$B$61:$B$71,$B20,'9.Инвестиционна програма'!J$61:J$71))*$E$6</f>
        <v>0</v>
      </c>
      <c r="AR20" s="906">
        <f>(SUMIF('9.Инвестиционна програма'!$B$58:$B$59,$B20,'9.Инвестиционна програма'!K$58:K$59)+SUMIF('9.Инвестиционна програма'!$B$61:$B$71,$B20,'9.Инвестиционна програма'!K$61:K$71))*$E$6</f>
        <v>0</v>
      </c>
      <c r="AS20" s="906">
        <f>(SUMIF('9.Инвестиционна програма'!$B$58:$B$59,$B20,'9.Инвестиционна програма'!L$58:L$59)+SUMIF('9.Инвестиционна програма'!$B$61:$B$71,$B20,'9.Инвестиционна програма'!L$61:L$71))*$E$6</f>
        <v>0</v>
      </c>
      <c r="AT20" s="2728">
        <f>(SUMIF('9.Инвестиционна програма'!$B$58:$B$59,$B20,'9.Инвестиционна програма'!M$58:M$59)+SUMIF('9.Инвестиционна програма'!$B$61:$B$71,$B20,'9.Инвестиционна програма'!M$61:M$71))*$E$6</f>
        <v>0</v>
      </c>
      <c r="AU20" s="4488"/>
      <c r="AV20" s="4504">
        <f t="shared" si="47"/>
        <v>3.2924444765752883</v>
      </c>
      <c r="AW20" s="4504">
        <f t="shared" si="48"/>
        <v>0</v>
      </c>
      <c r="AX20" s="4504">
        <f t="shared" si="49"/>
        <v>0</v>
      </c>
      <c r="AY20" s="4504">
        <f t="shared" si="50"/>
        <v>0</v>
      </c>
      <c r="AZ20" s="4504">
        <f t="shared" si="51"/>
        <v>0</v>
      </c>
      <c r="BA20" s="4504">
        <f t="shared" si="52"/>
        <v>0</v>
      </c>
      <c r="BB20" s="4504">
        <f t="shared" si="53"/>
        <v>0</v>
      </c>
      <c r="BC20" s="4504">
        <f t="shared" si="54"/>
        <v>0.57612374596717941</v>
      </c>
      <c r="BD20" s="4504">
        <f t="shared" si="55"/>
        <v>0</v>
      </c>
      <c r="BE20" s="4504">
        <f t="shared" si="56"/>
        <v>0</v>
      </c>
      <c r="BF20" s="4504">
        <f t="shared" si="57"/>
        <v>0</v>
      </c>
      <c r="BG20" s="4504">
        <f t="shared" si="58"/>
        <v>0</v>
      </c>
      <c r="BH20" s="4504">
        <f t="shared" si="59"/>
        <v>0</v>
      </c>
      <c r="BI20" s="4504">
        <f t="shared" si="60"/>
        <v>0</v>
      </c>
      <c r="BJ20" s="4504">
        <f t="shared" si="61"/>
        <v>0.70297612527325559</v>
      </c>
      <c r="BK20" s="4504">
        <f t="shared" si="62"/>
        <v>0</v>
      </c>
      <c r="BL20" s="4504">
        <f t="shared" si="63"/>
        <v>0</v>
      </c>
      <c r="BM20" s="4504">
        <f t="shared" si="64"/>
        <v>0</v>
      </c>
      <c r="BN20" s="4504">
        <f t="shared" si="65"/>
        <v>0</v>
      </c>
      <c r="BO20" s="4504">
        <f t="shared" si="66"/>
        <v>0</v>
      </c>
      <c r="BP20" s="4504">
        <f t="shared" si="67"/>
        <v>0</v>
      </c>
      <c r="BQ20" s="4504">
        <f t="shared" si="68"/>
        <v>0</v>
      </c>
      <c r="BR20" s="4504">
        <f t="shared" si="69"/>
        <v>0</v>
      </c>
      <c r="BS20" s="4504">
        <f t="shared" si="70"/>
        <v>0</v>
      </c>
      <c r="BT20" s="4504">
        <f t="shared" si="71"/>
        <v>0</v>
      </c>
      <c r="BU20" s="4504">
        <f t="shared" si="72"/>
        <v>0</v>
      </c>
      <c r="BV20" s="4504">
        <f t="shared" si="73"/>
        <v>0</v>
      </c>
      <c r="BW20" s="4504">
        <f t="shared" si="74"/>
        <v>0</v>
      </c>
      <c r="BX20" s="4504">
        <f t="shared" si="75"/>
        <v>1.7515512177497914</v>
      </c>
      <c r="BY20" s="4504">
        <f t="shared" si="76"/>
        <v>0</v>
      </c>
      <c r="BZ20" s="4504">
        <f t="shared" si="77"/>
        <v>0</v>
      </c>
      <c r="CA20" s="4504">
        <f t="shared" si="78"/>
        <v>0</v>
      </c>
      <c r="CB20" s="4504">
        <f t="shared" si="79"/>
        <v>0</v>
      </c>
      <c r="CC20" s="4504">
        <f t="shared" si="80"/>
        <v>0</v>
      </c>
      <c r="CD20" s="4504">
        <f t="shared" si="81"/>
        <v>0</v>
      </c>
      <c r="CE20" s="4504">
        <f t="shared" si="82"/>
        <v>0</v>
      </c>
      <c r="CF20" s="4504">
        <f t="shared" si="83"/>
        <v>0</v>
      </c>
      <c r="CG20" s="4504">
        <f t="shared" si="84"/>
        <v>0</v>
      </c>
      <c r="CH20" s="4504">
        <f t="shared" si="85"/>
        <v>0</v>
      </c>
      <c r="CI20" s="4504">
        <f t="shared" si="86"/>
        <v>0</v>
      </c>
      <c r="CJ20" s="4504">
        <f t="shared" si="87"/>
        <v>0</v>
      </c>
      <c r="CK20" s="4504">
        <f t="shared" si="88"/>
        <v>0</v>
      </c>
    </row>
    <row r="21" spans="1:89">
      <c r="A21" s="2739"/>
      <c r="B21" s="3617">
        <v>20303</v>
      </c>
      <c r="C21" s="3600">
        <v>0.1</v>
      </c>
      <c r="D21" s="2742" t="s">
        <v>406</v>
      </c>
      <c r="E21" s="2727">
        <f>'11.2. ДА за периода'!E21</f>
        <v>654.48662344989896</v>
      </c>
      <c r="F21" s="1228">
        <f>SUMIF('9.Инвестиционна програма'!$B$12:$B$35,$B21,'9.Инвестиционна програма'!H$12:H$35)*$E$6</f>
        <v>2</v>
      </c>
      <c r="G21" s="1224">
        <f>SUMIF('9.Инвестиционна програма'!$B$12:$B$35,$B21,'9.Инвестиционна програма'!I$12:I$35)*$E$6</f>
        <v>2</v>
      </c>
      <c r="H21" s="1224">
        <f>SUMIF('9.Инвестиционна програма'!$B$12:$B$35,$B21,'9.Инвестиционна програма'!J$12:J$35)*$E$6</f>
        <v>2</v>
      </c>
      <c r="I21" s="1224">
        <f>SUMIF('9.Инвестиционна програма'!$B$12:$B$35,$B21,'9.Инвестиционна програма'!K$12:K$35)*$E$6</f>
        <v>2</v>
      </c>
      <c r="J21" s="1224">
        <f>SUMIF('9.Инвестиционна програма'!$B$12:$B$35,$B21,'9.Инвестиционна програма'!L$12:L$35)*$E$6</f>
        <v>2</v>
      </c>
      <c r="K21" s="1229">
        <f>SUMIF('9.Инвестиционна програма'!$B$12:$B$35,$B21,'9.Инвестиционна програма'!M$12:M$35)*$E$6</f>
        <v>2</v>
      </c>
      <c r="L21" s="2727">
        <f>'11.2. ДА за периода'!L21</f>
        <v>5.7777599999999998</v>
      </c>
      <c r="M21" s="1232">
        <f>SUMIF('9.Инвестиционна програма'!$B$37:$B$47,$B21,'9.Инвестиционна програма'!H$37:H$47)*$E$6</f>
        <v>0</v>
      </c>
      <c r="N21" s="1226">
        <f>SUMIF('9.Инвестиционна програма'!$B$37:$B$47,$B21,'9.Инвестиционна програма'!I$37:I$47)*$E$6</f>
        <v>0</v>
      </c>
      <c r="O21" s="1226">
        <f>SUMIF('9.Инвестиционна програма'!$B$37:$B$47,$B21,'9.Инвестиционна програма'!J$37:J$47)*$E$6</f>
        <v>0</v>
      </c>
      <c r="P21" s="1226">
        <f>SUMIF('9.Инвестиционна програма'!$B$37:$B$47,$B21,'9.Инвестиционна програма'!K$37:K$47)*$E$6</f>
        <v>0</v>
      </c>
      <c r="Q21" s="1226">
        <f>SUMIF('9.Инвестиционна програма'!$B$37:$B$47,$B21,'9.Инвестиционна програма'!L$37:L$47)*$E$6</f>
        <v>0</v>
      </c>
      <c r="R21" s="1227">
        <f>SUMIF('9.Инвестиционна програма'!$B$37:$B$47,$B21,'9.Инвестиционна програма'!M$37:M$47)*$E$6</f>
        <v>0</v>
      </c>
      <c r="S21" s="1113">
        <f>'11.2. ДА за периода'!S21</f>
        <v>4.4299499999999998</v>
      </c>
      <c r="T21" s="906">
        <f>SUMIF('9.Инвестиционна програма'!$B$49:$B$56,$B21,'9.Инвестиционна програма'!H$49:H$56)*$E$6</f>
        <v>0</v>
      </c>
      <c r="U21" s="906">
        <f>SUMIF('9.Инвестиционна програма'!$B$49:$B$56,$B21,'9.Инвестиционна програма'!I$49:I$56)*$E$6</f>
        <v>0</v>
      </c>
      <c r="V21" s="906">
        <f>SUMIF('9.Инвестиционна програма'!$B$49:$B$56,$B21,'9.Инвестиционна програма'!J$49:J$56)*$E$6</f>
        <v>0</v>
      </c>
      <c r="W21" s="906">
        <f>SUMIF('9.Инвестиционна програма'!$B$49:$B$56,$B21,'9.Инвестиционна програма'!K$49:K$56)*$E$6</f>
        <v>0</v>
      </c>
      <c r="X21" s="906">
        <f>SUMIF('9.Инвестиционна програма'!$B$49:$B$56,$B21,'9.Инвестиционна програма'!L$49:L$56)*$E$6</f>
        <v>0</v>
      </c>
      <c r="Y21" s="2728">
        <f>SUMIF('9.Инвестиционна програма'!$B$49:$B$56,$B21,'9.Инвестиционна програма'!M$49:M$56)*$E$6</f>
        <v>0</v>
      </c>
      <c r="Z21" s="1113">
        <f>'11.2. ДА за периода'!Z21</f>
        <v>0</v>
      </c>
      <c r="AA21" s="906">
        <f>SUMIF('9.Инвестиционна програма'!$B$74:$B$97,$B21,'9.Инвестиционна програма'!H$74:H$97)*$E$6</f>
        <v>0</v>
      </c>
      <c r="AB21" s="906">
        <f>SUMIF('9.Инвестиционна програма'!$B$74:$B$97,$B21,'9.Инвестиционна програма'!I$74:I$97)*$E$6</f>
        <v>0</v>
      </c>
      <c r="AC21" s="906">
        <f>SUMIF('9.Инвестиционна програма'!$B$74:$B$97,$B21,'9.Инвестиционна програма'!J$74:J$97)*$E$6</f>
        <v>0</v>
      </c>
      <c r="AD21" s="906">
        <f>SUMIF('9.Инвестиционна програма'!$B$74:$B$97,$B21,'9.Инвестиционна програма'!K$74:K$97)*$E$6</f>
        <v>0</v>
      </c>
      <c r="AE21" s="906">
        <f>SUMIF('9.Инвестиционна програма'!$B$74:$B$97,$B21,'9.Инвестиционна програма'!L$74:L$97)*$E$6</f>
        <v>0</v>
      </c>
      <c r="AF21" s="906">
        <f>SUMIF('9.Инвестиционна програма'!$B$74:$B$97,$B21,'9.Инвестиционна програма'!M$74:M$97)*$E$6</f>
        <v>0</v>
      </c>
      <c r="AG21" s="1113">
        <f>'11.2. ДА за периода'!AG21</f>
        <v>179.59037655010107</v>
      </c>
      <c r="AH21" s="906">
        <f>SUMIF('9.Инвестиционна програма'!$B$100:$B$123,$B21,'9.Инвестиционна програма'!H$100:H$123)*$E$6</f>
        <v>5</v>
      </c>
      <c r="AI21" s="906">
        <f>SUMIF('9.Инвестиционна програма'!$B$100:$B$123,$B21,'9.Инвестиционна програма'!I$100:I$123)*$E$6</f>
        <v>4</v>
      </c>
      <c r="AJ21" s="906">
        <f>SUMIF('9.Инвестиционна програма'!$B$100:$B$123,$B21,'9.Инвестиционна програма'!J$100:J$123)*$E$6</f>
        <v>4</v>
      </c>
      <c r="AK21" s="906">
        <f>SUMIF('9.Инвестиционна програма'!$B$100:$B$123,$B21,'9.Инвестиционна програма'!K$100:K$123)*$E$6</f>
        <v>4</v>
      </c>
      <c r="AL21" s="906">
        <f>SUMIF('9.Инвестиционна програма'!$B$100:$B$123,$B21,'9.Инвестиционна програма'!L$100:L$123)*$E$6</f>
        <v>4</v>
      </c>
      <c r="AM21" s="906">
        <f>SUMIF('9.Инвестиционна програма'!$B$100:$B$123,$B21,'9.Инвестиционна програма'!M$100:M$123)*$E$6</f>
        <v>4</v>
      </c>
      <c r="AN21" s="1113">
        <f>'11.2. ДА за периода'!AN21</f>
        <v>0</v>
      </c>
      <c r="AO21" s="1232">
        <f>(SUMIF('9.Инвестиционна програма'!$B$58:$B$59,$B21,'9.Инвестиционна програма'!H$58:H$59)+SUMIF('9.Инвестиционна програма'!$B$61:$B$71,$B21,'9.Инвестиционна програма'!H$61:H$71))*$E$6</f>
        <v>4</v>
      </c>
      <c r="AP21" s="906">
        <f>(SUMIF('9.Инвестиционна програма'!$B$58:$B$59,$B21,'9.Инвестиционна програма'!I$58:I$59)+SUMIF('9.Инвестиционна програма'!$B$61:$B$71,$B21,'9.Инвестиционна програма'!I$61:I$71))*$E$6</f>
        <v>0</v>
      </c>
      <c r="AQ21" s="906">
        <f>(SUMIF('9.Инвестиционна програма'!$B$58:$B$59,$B21,'9.Инвестиционна програма'!J$58:J$59)+SUMIF('9.Инвестиционна програма'!$B$61:$B$71,$B21,'9.Инвестиционна програма'!J$61:J$71))*$E$6</f>
        <v>0</v>
      </c>
      <c r="AR21" s="906">
        <f>(SUMIF('9.Инвестиционна програма'!$B$58:$B$59,$B21,'9.Инвестиционна програма'!K$58:K$59)+SUMIF('9.Инвестиционна програма'!$B$61:$B$71,$B21,'9.Инвестиционна програма'!K$61:K$71))*$E$6</f>
        <v>0</v>
      </c>
      <c r="AS21" s="906">
        <f>(SUMIF('9.Инвестиционна програма'!$B$58:$B$59,$B21,'9.Инвестиционна програма'!L$58:L$59)+SUMIF('9.Инвестиционна програма'!$B$61:$B$71,$B21,'9.Инвестиционна програма'!L$61:L$71))*$E$6</f>
        <v>0</v>
      </c>
      <c r="AT21" s="2728">
        <f>(SUMIF('9.Инвестиционна програма'!$B$58:$B$59,$B21,'9.Инвестиционна програма'!M$58:M$59)+SUMIF('9.Инвестиционна програма'!$B$61:$B$71,$B21,'9.Инвестиционна програма'!M$61:M$71))*$E$6</f>
        <v>0</v>
      </c>
      <c r="AU21" s="4488"/>
      <c r="AV21" s="4504">
        <f t="shared" si="47"/>
        <v>334.63369692145994</v>
      </c>
      <c r="AW21" s="4504">
        <f t="shared" si="48"/>
        <v>1.022583762392437</v>
      </c>
      <c r="AX21" s="4504">
        <f t="shared" si="49"/>
        <v>1.022583762392437</v>
      </c>
      <c r="AY21" s="4504">
        <f t="shared" si="50"/>
        <v>1.022583762392437</v>
      </c>
      <c r="AZ21" s="4504">
        <f t="shared" si="51"/>
        <v>1.022583762392437</v>
      </c>
      <c r="BA21" s="4504">
        <f t="shared" si="52"/>
        <v>1.022583762392437</v>
      </c>
      <c r="BB21" s="4504">
        <f t="shared" si="53"/>
        <v>1.022583762392437</v>
      </c>
      <c r="BC21" s="4504">
        <f t="shared" si="54"/>
        <v>2.9541217795002632</v>
      </c>
      <c r="BD21" s="4504">
        <f t="shared" si="55"/>
        <v>0</v>
      </c>
      <c r="BE21" s="4504">
        <f t="shared" si="56"/>
        <v>0</v>
      </c>
      <c r="BF21" s="4504">
        <f t="shared" si="57"/>
        <v>0</v>
      </c>
      <c r="BG21" s="4504">
        <f t="shared" si="58"/>
        <v>0</v>
      </c>
      <c r="BH21" s="4504">
        <f t="shared" si="59"/>
        <v>0</v>
      </c>
      <c r="BI21" s="4504">
        <f t="shared" si="60"/>
        <v>0</v>
      </c>
      <c r="BJ21" s="4504">
        <f t="shared" si="61"/>
        <v>2.2649974691051882</v>
      </c>
      <c r="BK21" s="4504">
        <f t="shared" si="62"/>
        <v>0</v>
      </c>
      <c r="BL21" s="4504">
        <f t="shared" si="63"/>
        <v>0</v>
      </c>
      <c r="BM21" s="4504">
        <f t="shared" si="64"/>
        <v>0</v>
      </c>
      <c r="BN21" s="4504">
        <f t="shared" si="65"/>
        <v>0</v>
      </c>
      <c r="BO21" s="4504">
        <f t="shared" si="66"/>
        <v>0</v>
      </c>
      <c r="BP21" s="4504">
        <f t="shared" si="67"/>
        <v>0</v>
      </c>
      <c r="BQ21" s="4504">
        <f t="shared" si="68"/>
        <v>0</v>
      </c>
      <c r="BR21" s="4504">
        <f t="shared" si="69"/>
        <v>0</v>
      </c>
      <c r="BS21" s="4504">
        <f t="shared" si="70"/>
        <v>0</v>
      </c>
      <c r="BT21" s="4504">
        <f t="shared" si="71"/>
        <v>0</v>
      </c>
      <c r="BU21" s="4504">
        <f t="shared" si="72"/>
        <v>0</v>
      </c>
      <c r="BV21" s="4504">
        <f t="shared" si="73"/>
        <v>0</v>
      </c>
      <c r="BW21" s="4504">
        <f t="shared" si="74"/>
        <v>0</v>
      </c>
      <c r="BX21" s="4504">
        <f t="shared" si="75"/>
        <v>91.823101471038427</v>
      </c>
      <c r="BY21" s="4504">
        <f t="shared" si="76"/>
        <v>2.5564594059810926</v>
      </c>
      <c r="BZ21" s="4504">
        <f t="shared" si="77"/>
        <v>2.045167524784874</v>
      </c>
      <c r="CA21" s="4504">
        <f t="shared" si="78"/>
        <v>2.045167524784874</v>
      </c>
      <c r="CB21" s="4504">
        <f t="shared" si="79"/>
        <v>2.045167524784874</v>
      </c>
      <c r="CC21" s="4504">
        <f t="shared" si="80"/>
        <v>2.045167524784874</v>
      </c>
      <c r="CD21" s="4504">
        <f t="shared" si="81"/>
        <v>2.045167524784874</v>
      </c>
      <c r="CE21" s="4504">
        <f t="shared" si="82"/>
        <v>0</v>
      </c>
      <c r="CF21" s="4504">
        <f t="shared" si="83"/>
        <v>2.045167524784874</v>
      </c>
      <c r="CG21" s="4504">
        <f t="shared" si="84"/>
        <v>0</v>
      </c>
      <c r="CH21" s="4504">
        <f t="shared" si="85"/>
        <v>0</v>
      </c>
      <c r="CI21" s="4504">
        <f t="shared" si="86"/>
        <v>0</v>
      </c>
      <c r="CJ21" s="4504">
        <f t="shared" si="87"/>
        <v>0</v>
      </c>
      <c r="CK21" s="4504">
        <f t="shared" si="88"/>
        <v>0</v>
      </c>
    </row>
    <row r="22" spans="1:89">
      <c r="A22" s="2739"/>
      <c r="B22" s="3617">
        <v>20304</v>
      </c>
      <c r="C22" s="3600">
        <v>0.1</v>
      </c>
      <c r="D22" s="2742" t="s">
        <v>407</v>
      </c>
      <c r="E22" s="2743">
        <f t="shared" ref="E22:AT22" si="92">SUM(E23:E24)</f>
        <v>46.671996220669641</v>
      </c>
      <c r="F22" s="2744">
        <f t="shared" si="92"/>
        <v>200</v>
      </c>
      <c r="G22" s="2745">
        <f t="shared" si="92"/>
        <v>36</v>
      </c>
      <c r="H22" s="2745">
        <f t="shared" si="92"/>
        <v>36</v>
      </c>
      <c r="I22" s="2745">
        <f t="shared" si="92"/>
        <v>36</v>
      </c>
      <c r="J22" s="2745">
        <f t="shared" si="92"/>
        <v>36</v>
      </c>
      <c r="K22" s="2746">
        <f t="shared" si="92"/>
        <v>36</v>
      </c>
      <c r="L22" s="2743">
        <f t="shared" si="92"/>
        <v>0</v>
      </c>
      <c r="M22" s="2744">
        <f t="shared" si="92"/>
        <v>0</v>
      </c>
      <c r="N22" s="2745">
        <f t="shared" si="92"/>
        <v>0</v>
      </c>
      <c r="O22" s="2745">
        <f t="shared" si="92"/>
        <v>0</v>
      </c>
      <c r="P22" s="2745">
        <f t="shared" si="92"/>
        <v>0</v>
      </c>
      <c r="Q22" s="2745">
        <f t="shared" si="92"/>
        <v>0</v>
      </c>
      <c r="R22" s="2746">
        <f t="shared" si="92"/>
        <v>0</v>
      </c>
      <c r="S22" s="2747">
        <f t="shared" si="92"/>
        <v>11.503390000000001</v>
      </c>
      <c r="T22" s="2748">
        <f t="shared" si="92"/>
        <v>0</v>
      </c>
      <c r="U22" s="2745">
        <f t="shared" si="92"/>
        <v>0</v>
      </c>
      <c r="V22" s="2745">
        <f t="shared" si="92"/>
        <v>0</v>
      </c>
      <c r="W22" s="2745">
        <f t="shared" si="92"/>
        <v>0</v>
      </c>
      <c r="X22" s="2745">
        <f t="shared" si="92"/>
        <v>0</v>
      </c>
      <c r="Y22" s="2746">
        <f t="shared" si="92"/>
        <v>0</v>
      </c>
      <c r="Z22" s="2747">
        <f t="shared" ref="Z22:AM22" si="93">SUM(Z23:Z24)</f>
        <v>0</v>
      </c>
      <c r="AA22" s="2748">
        <f t="shared" si="93"/>
        <v>0</v>
      </c>
      <c r="AB22" s="2745">
        <f t="shared" si="93"/>
        <v>0</v>
      </c>
      <c r="AC22" s="2745">
        <f t="shared" si="93"/>
        <v>0</v>
      </c>
      <c r="AD22" s="2745">
        <f t="shared" si="93"/>
        <v>0</v>
      </c>
      <c r="AE22" s="2745">
        <f t="shared" si="93"/>
        <v>0</v>
      </c>
      <c r="AF22" s="2746">
        <f t="shared" si="93"/>
        <v>0</v>
      </c>
      <c r="AG22" s="2747">
        <f t="shared" si="93"/>
        <v>8.3161937793303675</v>
      </c>
      <c r="AH22" s="2748">
        <f t="shared" si="93"/>
        <v>15</v>
      </c>
      <c r="AI22" s="2745">
        <f t="shared" si="93"/>
        <v>60</v>
      </c>
      <c r="AJ22" s="2745">
        <f t="shared" si="93"/>
        <v>30</v>
      </c>
      <c r="AK22" s="2745">
        <f t="shared" si="93"/>
        <v>30</v>
      </c>
      <c r="AL22" s="2745">
        <f t="shared" si="93"/>
        <v>30</v>
      </c>
      <c r="AM22" s="2746">
        <f t="shared" si="93"/>
        <v>30</v>
      </c>
      <c r="AN22" s="2747">
        <f t="shared" si="92"/>
        <v>0</v>
      </c>
      <c r="AO22" s="2748">
        <f t="shared" si="92"/>
        <v>0</v>
      </c>
      <c r="AP22" s="2745">
        <f t="shared" si="92"/>
        <v>0</v>
      </c>
      <c r="AQ22" s="2745">
        <f t="shared" si="92"/>
        <v>0</v>
      </c>
      <c r="AR22" s="2745">
        <f t="shared" si="92"/>
        <v>0</v>
      </c>
      <c r="AS22" s="2745">
        <f t="shared" si="92"/>
        <v>0</v>
      </c>
      <c r="AT22" s="2746">
        <f t="shared" si="92"/>
        <v>0</v>
      </c>
      <c r="AU22" s="4488"/>
      <c r="AV22" s="4504">
        <f t="shared" si="47"/>
        <v>23.86301274684898</v>
      </c>
      <c r="AW22" s="4504">
        <f t="shared" si="48"/>
        <v>102.2583762392437</v>
      </c>
      <c r="AX22" s="4504">
        <f t="shared" si="49"/>
        <v>18.406507723063864</v>
      </c>
      <c r="AY22" s="4504">
        <f t="shared" si="50"/>
        <v>18.406507723063864</v>
      </c>
      <c r="AZ22" s="4504">
        <f t="shared" si="51"/>
        <v>18.406507723063864</v>
      </c>
      <c r="BA22" s="4504">
        <f t="shared" si="52"/>
        <v>18.406507723063864</v>
      </c>
      <c r="BB22" s="4504">
        <f t="shared" si="53"/>
        <v>18.406507723063864</v>
      </c>
      <c r="BC22" s="4504">
        <f t="shared" si="54"/>
        <v>0</v>
      </c>
      <c r="BD22" s="4504">
        <f t="shared" si="55"/>
        <v>0</v>
      </c>
      <c r="BE22" s="4504">
        <f t="shared" si="56"/>
        <v>0</v>
      </c>
      <c r="BF22" s="4504">
        <f t="shared" si="57"/>
        <v>0</v>
      </c>
      <c r="BG22" s="4504">
        <f t="shared" si="58"/>
        <v>0</v>
      </c>
      <c r="BH22" s="4504">
        <f t="shared" si="59"/>
        <v>0</v>
      </c>
      <c r="BI22" s="4504">
        <f t="shared" si="60"/>
        <v>0</v>
      </c>
      <c r="BJ22" s="4504">
        <f t="shared" si="61"/>
        <v>5.8815899132337686</v>
      </c>
      <c r="BK22" s="4504">
        <f t="shared" si="62"/>
        <v>0</v>
      </c>
      <c r="BL22" s="4504">
        <f t="shared" si="63"/>
        <v>0</v>
      </c>
      <c r="BM22" s="4504">
        <f t="shared" si="64"/>
        <v>0</v>
      </c>
      <c r="BN22" s="4504">
        <f t="shared" si="65"/>
        <v>0</v>
      </c>
      <c r="BO22" s="4504">
        <f t="shared" si="66"/>
        <v>0</v>
      </c>
      <c r="BP22" s="4504">
        <f t="shared" si="67"/>
        <v>0</v>
      </c>
      <c r="BQ22" s="4504">
        <f t="shared" si="68"/>
        <v>0</v>
      </c>
      <c r="BR22" s="4504">
        <f t="shared" si="69"/>
        <v>0</v>
      </c>
      <c r="BS22" s="4504">
        <f t="shared" si="70"/>
        <v>0</v>
      </c>
      <c r="BT22" s="4504">
        <f t="shared" si="71"/>
        <v>0</v>
      </c>
      <c r="BU22" s="4504">
        <f t="shared" si="72"/>
        <v>0</v>
      </c>
      <c r="BV22" s="4504">
        <f t="shared" si="73"/>
        <v>0</v>
      </c>
      <c r="BW22" s="4504">
        <f t="shared" si="74"/>
        <v>0</v>
      </c>
      <c r="BX22" s="4504">
        <f t="shared" si="75"/>
        <v>4.2520023618261131</v>
      </c>
      <c r="BY22" s="4504">
        <f t="shared" si="76"/>
        <v>7.6693782179432777</v>
      </c>
      <c r="BZ22" s="4504">
        <f t="shared" si="77"/>
        <v>30.677512871773111</v>
      </c>
      <c r="CA22" s="4504">
        <f t="shared" si="78"/>
        <v>15.338756435886555</v>
      </c>
      <c r="CB22" s="4504">
        <f t="shared" si="79"/>
        <v>15.338756435886555</v>
      </c>
      <c r="CC22" s="4504">
        <f t="shared" si="80"/>
        <v>15.338756435886555</v>
      </c>
      <c r="CD22" s="4504">
        <f t="shared" si="81"/>
        <v>15.338756435886555</v>
      </c>
      <c r="CE22" s="4504">
        <f t="shared" si="82"/>
        <v>0</v>
      </c>
      <c r="CF22" s="4504">
        <f t="shared" si="83"/>
        <v>0</v>
      </c>
      <c r="CG22" s="4504">
        <f t="shared" si="84"/>
        <v>0</v>
      </c>
      <c r="CH22" s="4504">
        <f t="shared" si="85"/>
        <v>0</v>
      </c>
      <c r="CI22" s="4504">
        <f t="shared" si="86"/>
        <v>0</v>
      </c>
      <c r="CJ22" s="4504">
        <f t="shared" si="87"/>
        <v>0</v>
      </c>
      <c r="CK22" s="4504">
        <f t="shared" si="88"/>
        <v>0</v>
      </c>
    </row>
    <row r="23" spans="1:89">
      <c r="A23" s="2739"/>
      <c r="B23" s="3618">
        <v>2030401</v>
      </c>
      <c r="C23" s="3601">
        <v>0.1</v>
      </c>
      <c r="D23" s="2749" t="s">
        <v>991</v>
      </c>
      <c r="E23" s="2727">
        <f>'11.2. ДА за периода'!E23</f>
        <v>46.671996220669641</v>
      </c>
      <c r="F23" s="1228">
        <f>SUMIF('9.Инвестиционна програма'!$B$12:$B$35,$B23,'9.Инвестиционна програма'!H$12:H$35)*$E$6</f>
        <v>200</v>
      </c>
      <c r="G23" s="1224">
        <f>SUMIF('9.Инвестиционна програма'!$B$12:$B$35,$B23,'9.Инвестиционна програма'!I$12:I$35)*$E$6</f>
        <v>36</v>
      </c>
      <c r="H23" s="1224">
        <f>SUMIF('9.Инвестиционна програма'!$B$12:$B$35,$B23,'9.Инвестиционна програма'!J$12:J$35)*$E$6</f>
        <v>36</v>
      </c>
      <c r="I23" s="1224">
        <f>SUMIF('9.Инвестиционна програма'!$B$12:$B$35,$B23,'9.Инвестиционна програма'!K$12:K$35)*$E$6</f>
        <v>36</v>
      </c>
      <c r="J23" s="1224">
        <f>SUMIF('9.Инвестиционна програма'!$B$12:$B$35,$B23,'9.Инвестиционна програма'!L$12:L$35)*$E$6</f>
        <v>36</v>
      </c>
      <c r="K23" s="1229">
        <f>SUMIF('9.Инвестиционна програма'!$B$12:$B$35,$B23,'9.Инвестиционна програма'!M$12:M$35)*$E$6</f>
        <v>36</v>
      </c>
      <c r="L23" s="2727">
        <f>'11.2. ДА за периода'!L23</f>
        <v>0</v>
      </c>
      <c r="M23" s="1232">
        <f>SUMIF('9.Инвестиционна програма'!$B$37:$B$47,$B23,'9.Инвестиционна програма'!H$37:H$47)*$E$6</f>
        <v>0</v>
      </c>
      <c r="N23" s="1226">
        <f>SUMIF('9.Инвестиционна програма'!$B$37:$B$47,$B23,'9.Инвестиционна програма'!I$37:I$47)*$E$6</f>
        <v>0</v>
      </c>
      <c r="O23" s="1226">
        <f>SUMIF('9.Инвестиционна програма'!$B$37:$B$47,$B23,'9.Инвестиционна програма'!J$37:J$47)*$E$6</f>
        <v>0</v>
      </c>
      <c r="P23" s="1226">
        <f>SUMIF('9.Инвестиционна програма'!$B$37:$B$47,$B23,'9.Инвестиционна програма'!K$37:K$47)*$E$6</f>
        <v>0</v>
      </c>
      <c r="Q23" s="1226">
        <f>SUMIF('9.Инвестиционна програма'!$B$37:$B$47,$B23,'9.Инвестиционна програма'!L$37:L$47)*$E$6</f>
        <v>0</v>
      </c>
      <c r="R23" s="1227">
        <f>SUMIF('9.Инвестиционна програма'!$B$37:$B$47,$B23,'9.Инвестиционна програма'!M$37:M$47)*$E$6</f>
        <v>0</v>
      </c>
      <c r="S23" s="1113">
        <f>'11.2. ДА за периода'!S23</f>
        <v>11.503390000000001</v>
      </c>
      <c r="T23" s="906">
        <f>SUMIF('9.Инвестиционна програма'!$B$49:$B$56,$B23,'9.Инвестиционна програма'!H$49:H$56)*$E$6</f>
        <v>0</v>
      </c>
      <c r="U23" s="906">
        <f>SUMIF('9.Инвестиционна програма'!$B$49:$B$56,$B23,'9.Инвестиционна програма'!I$49:I$56)*$E$6</f>
        <v>0</v>
      </c>
      <c r="V23" s="906">
        <f>SUMIF('9.Инвестиционна програма'!$B$49:$B$56,$B23,'9.Инвестиционна програма'!J$49:J$56)*$E$6</f>
        <v>0</v>
      </c>
      <c r="W23" s="906">
        <f>SUMIF('9.Инвестиционна програма'!$B$49:$B$56,$B23,'9.Инвестиционна програма'!K$49:K$56)*$E$6</f>
        <v>0</v>
      </c>
      <c r="X23" s="906">
        <f>SUMIF('9.Инвестиционна програма'!$B$49:$B$56,$B23,'9.Инвестиционна програма'!L$49:L$56)*$E$6</f>
        <v>0</v>
      </c>
      <c r="Y23" s="2728">
        <f>SUMIF('9.Инвестиционна програма'!$B$49:$B$56,$B23,'9.Инвестиционна програма'!M$49:M$56)*$E$6</f>
        <v>0</v>
      </c>
      <c r="Z23" s="1113">
        <f>'11.2. ДА за периода'!Z23</f>
        <v>0</v>
      </c>
      <c r="AA23" s="906">
        <f>SUMIF('9.Инвестиционна програма'!$B$74:$B$97,$B23,'9.Инвестиционна програма'!H$74:H$97)*$E$6</f>
        <v>0</v>
      </c>
      <c r="AB23" s="906">
        <f>SUMIF('9.Инвестиционна програма'!$B$74:$B$97,$B23,'9.Инвестиционна програма'!I$74:I$97)*$E$6</f>
        <v>0</v>
      </c>
      <c r="AC23" s="906">
        <f>SUMIF('9.Инвестиционна програма'!$B$74:$B$97,$B23,'9.Инвестиционна програма'!J$74:J$97)*$E$6</f>
        <v>0</v>
      </c>
      <c r="AD23" s="906">
        <f>SUMIF('9.Инвестиционна програма'!$B$74:$B$97,$B23,'9.Инвестиционна програма'!K$74:K$97)*$E$6</f>
        <v>0</v>
      </c>
      <c r="AE23" s="906">
        <f>SUMIF('9.Инвестиционна програма'!$B$74:$B$97,$B23,'9.Инвестиционна програма'!L$74:L$97)*$E$6</f>
        <v>0</v>
      </c>
      <c r="AF23" s="906">
        <f>SUMIF('9.Инвестиционна програма'!$B$74:$B$97,$B23,'9.Инвестиционна програма'!M$74:M$97)*$E$6</f>
        <v>0</v>
      </c>
      <c r="AG23" s="1113">
        <f>'11.2. ДА за периода'!AG23</f>
        <v>8.3161937793303675</v>
      </c>
      <c r="AH23" s="906">
        <f>SUMIF('9.Инвестиционна програма'!$B$100:$B$123,$B23,'9.Инвестиционна програма'!H$100:H$123)*$E$6</f>
        <v>15</v>
      </c>
      <c r="AI23" s="906">
        <f>SUMIF('9.Инвестиционна програма'!$B$100:$B$123,$B23,'9.Инвестиционна програма'!I$100:I$123)*$E$6</f>
        <v>60</v>
      </c>
      <c r="AJ23" s="906">
        <f>SUMIF('9.Инвестиционна програма'!$B$100:$B$123,$B23,'9.Инвестиционна програма'!J$100:J$123)*$E$6</f>
        <v>30</v>
      </c>
      <c r="AK23" s="906">
        <f>SUMIF('9.Инвестиционна програма'!$B$100:$B$123,$B23,'9.Инвестиционна програма'!K$100:K$123)*$E$6</f>
        <v>30</v>
      </c>
      <c r="AL23" s="906">
        <f>SUMIF('9.Инвестиционна програма'!$B$100:$B$123,$B23,'9.Инвестиционна програма'!L$100:L$123)*$E$6</f>
        <v>30</v>
      </c>
      <c r="AM23" s="906">
        <f>SUMIF('9.Инвестиционна програма'!$B$100:$B$123,$B23,'9.Инвестиционна програма'!M$100:M$123)*$E$6</f>
        <v>30</v>
      </c>
      <c r="AN23" s="1113">
        <f>'11.2. ДА за периода'!AN23</f>
        <v>0</v>
      </c>
      <c r="AO23" s="1232">
        <f>(SUMIF('9.Инвестиционна програма'!$B$58:$B$59,$B23,'9.Инвестиционна програма'!H$58:H$59)+SUMIF('9.Инвестиционна програма'!$B$61:$B$71,$B23,'9.Инвестиционна програма'!H$61:H$71))*$E$6</f>
        <v>0</v>
      </c>
      <c r="AP23" s="906">
        <f>(SUMIF('9.Инвестиционна програма'!$B$58:$B$59,$B23,'9.Инвестиционна програма'!I$58:I$59)+SUMIF('9.Инвестиционна програма'!$B$61:$B$71,$B23,'9.Инвестиционна програма'!I$61:I$71))*$E$6</f>
        <v>0</v>
      </c>
      <c r="AQ23" s="906">
        <f>(SUMIF('9.Инвестиционна програма'!$B$58:$B$59,$B23,'9.Инвестиционна програма'!J$58:J$59)+SUMIF('9.Инвестиционна програма'!$B$61:$B$71,$B23,'9.Инвестиционна програма'!J$61:J$71))*$E$6</f>
        <v>0</v>
      </c>
      <c r="AR23" s="906">
        <f>(SUMIF('9.Инвестиционна програма'!$B$58:$B$59,$B23,'9.Инвестиционна програма'!K$58:K$59)+SUMIF('9.Инвестиционна програма'!$B$61:$B$71,$B23,'9.Инвестиционна програма'!K$61:K$71))*$E$6</f>
        <v>0</v>
      </c>
      <c r="AS23" s="906">
        <f>(SUMIF('9.Инвестиционна програма'!$B$58:$B$59,$B23,'9.Инвестиционна програма'!L$58:L$59)+SUMIF('9.Инвестиционна програма'!$B$61:$B$71,$B23,'9.Инвестиционна програма'!L$61:L$71))*$E$6</f>
        <v>0</v>
      </c>
      <c r="AT23" s="2728">
        <f>(SUMIF('9.Инвестиционна програма'!$B$58:$B$59,$B23,'9.Инвестиционна програма'!M$58:M$59)+SUMIF('9.Инвестиционна програма'!$B$61:$B$71,$B23,'9.Инвестиционна програма'!M$61:M$71))*$E$6</f>
        <v>0</v>
      </c>
      <c r="AU23" s="4488"/>
      <c r="AV23" s="4504">
        <f t="shared" si="47"/>
        <v>23.86301274684898</v>
      </c>
      <c r="AW23" s="4504">
        <f t="shared" si="48"/>
        <v>102.2583762392437</v>
      </c>
      <c r="AX23" s="4504">
        <f t="shared" si="49"/>
        <v>18.406507723063864</v>
      </c>
      <c r="AY23" s="4504">
        <f t="shared" si="50"/>
        <v>18.406507723063864</v>
      </c>
      <c r="AZ23" s="4504">
        <f t="shared" si="51"/>
        <v>18.406507723063864</v>
      </c>
      <c r="BA23" s="4504">
        <f t="shared" si="52"/>
        <v>18.406507723063864</v>
      </c>
      <c r="BB23" s="4504">
        <f t="shared" si="53"/>
        <v>18.406507723063864</v>
      </c>
      <c r="BC23" s="4504">
        <f t="shared" si="54"/>
        <v>0</v>
      </c>
      <c r="BD23" s="4504">
        <f t="shared" si="55"/>
        <v>0</v>
      </c>
      <c r="BE23" s="4504">
        <f t="shared" si="56"/>
        <v>0</v>
      </c>
      <c r="BF23" s="4504">
        <f t="shared" si="57"/>
        <v>0</v>
      </c>
      <c r="BG23" s="4504">
        <f t="shared" si="58"/>
        <v>0</v>
      </c>
      <c r="BH23" s="4504">
        <f t="shared" si="59"/>
        <v>0</v>
      </c>
      <c r="BI23" s="4504">
        <f t="shared" si="60"/>
        <v>0</v>
      </c>
      <c r="BJ23" s="4504">
        <f t="shared" si="61"/>
        <v>5.8815899132337686</v>
      </c>
      <c r="BK23" s="4504">
        <f t="shared" si="62"/>
        <v>0</v>
      </c>
      <c r="BL23" s="4504">
        <f t="shared" si="63"/>
        <v>0</v>
      </c>
      <c r="BM23" s="4504">
        <f t="shared" si="64"/>
        <v>0</v>
      </c>
      <c r="BN23" s="4504">
        <f t="shared" si="65"/>
        <v>0</v>
      </c>
      <c r="BO23" s="4504">
        <f t="shared" si="66"/>
        <v>0</v>
      </c>
      <c r="BP23" s="4504">
        <f t="shared" si="67"/>
        <v>0</v>
      </c>
      <c r="BQ23" s="4504">
        <f t="shared" si="68"/>
        <v>0</v>
      </c>
      <c r="BR23" s="4504">
        <f t="shared" si="69"/>
        <v>0</v>
      </c>
      <c r="BS23" s="4504">
        <f t="shared" si="70"/>
        <v>0</v>
      </c>
      <c r="BT23" s="4504">
        <f t="shared" si="71"/>
        <v>0</v>
      </c>
      <c r="BU23" s="4504">
        <f t="shared" si="72"/>
        <v>0</v>
      </c>
      <c r="BV23" s="4504">
        <f t="shared" si="73"/>
        <v>0</v>
      </c>
      <c r="BW23" s="4504">
        <f t="shared" si="74"/>
        <v>0</v>
      </c>
      <c r="BX23" s="4504">
        <f t="shared" si="75"/>
        <v>4.2520023618261131</v>
      </c>
      <c r="BY23" s="4504">
        <f t="shared" si="76"/>
        <v>7.6693782179432777</v>
      </c>
      <c r="BZ23" s="4504">
        <f t="shared" si="77"/>
        <v>30.677512871773111</v>
      </c>
      <c r="CA23" s="4504">
        <f t="shared" si="78"/>
        <v>15.338756435886555</v>
      </c>
      <c r="CB23" s="4504">
        <f t="shared" si="79"/>
        <v>15.338756435886555</v>
      </c>
      <c r="CC23" s="4504">
        <f t="shared" si="80"/>
        <v>15.338756435886555</v>
      </c>
      <c r="CD23" s="4504">
        <f t="shared" si="81"/>
        <v>15.338756435886555</v>
      </c>
      <c r="CE23" s="4504">
        <f t="shared" si="82"/>
        <v>0</v>
      </c>
      <c r="CF23" s="4504">
        <f t="shared" si="83"/>
        <v>0</v>
      </c>
      <c r="CG23" s="4504">
        <f t="shared" si="84"/>
        <v>0</v>
      </c>
      <c r="CH23" s="4504">
        <f t="shared" si="85"/>
        <v>0</v>
      </c>
      <c r="CI23" s="4504">
        <f t="shared" si="86"/>
        <v>0</v>
      </c>
      <c r="CJ23" s="4504">
        <f t="shared" si="87"/>
        <v>0</v>
      </c>
      <c r="CK23" s="4504">
        <f t="shared" si="88"/>
        <v>0</v>
      </c>
    </row>
    <row r="24" spans="1:89">
      <c r="A24" s="2739"/>
      <c r="B24" s="3618">
        <v>2030402</v>
      </c>
      <c r="C24" s="3601">
        <v>0.1</v>
      </c>
      <c r="D24" s="2749" t="s">
        <v>429</v>
      </c>
      <c r="E24" s="2727">
        <f>'11.2. ДА за периода'!E24</f>
        <v>0</v>
      </c>
      <c r="F24" s="1228">
        <f>SUMIF('9.Инвестиционна програма'!$B$12:$B$35,$B24,'9.Инвестиционна програма'!H$12:H$35)*$E$6</f>
        <v>0</v>
      </c>
      <c r="G24" s="1224">
        <f>SUMIF('9.Инвестиционна програма'!$B$12:$B$35,$B24,'9.Инвестиционна програма'!I$12:I$35)*$E$6</f>
        <v>0</v>
      </c>
      <c r="H24" s="1224">
        <f>SUMIF('9.Инвестиционна програма'!$B$12:$B$35,$B24,'9.Инвестиционна програма'!J$12:J$35)*$E$6</f>
        <v>0</v>
      </c>
      <c r="I24" s="1224">
        <f>SUMIF('9.Инвестиционна програма'!$B$12:$B$35,$B24,'9.Инвестиционна програма'!K$12:K$35)*$E$6</f>
        <v>0</v>
      </c>
      <c r="J24" s="1224">
        <f>SUMIF('9.Инвестиционна програма'!$B$12:$B$35,$B24,'9.Инвестиционна програма'!L$12:L$35)*$E$6</f>
        <v>0</v>
      </c>
      <c r="K24" s="1229">
        <f>SUMIF('9.Инвестиционна програма'!$B$12:$B$35,$B24,'9.Инвестиционна програма'!M$12:M$35)*$E$6</f>
        <v>0</v>
      </c>
      <c r="L24" s="2727">
        <f>'11.2. ДА за периода'!L24</f>
        <v>0</v>
      </c>
      <c r="M24" s="1232">
        <f>SUMIF('9.Инвестиционна програма'!$B$37:$B$47,$B24,'9.Инвестиционна програма'!H$37:H$47)*$E$6</f>
        <v>0</v>
      </c>
      <c r="N24" s="1226">
        <f>SUMIF('9.Инвестиционна програма'!$B$37:$B$47,$B24,'9.Инвестиционна програма'!I$37:I$47)*$E$6</f>
        <v>0</v>
      </c>
      <c r="O24" s="1226">
        <f>SUMIF('9.Инвестиционна програма'!$B$37:$B$47,$B24,'9.Инвестиционна програма'!J$37:J$47)*$E$6</f>
        <v>0</v>
      </c>
      <c r="P24" s="1226">
        <f>SUMIF('9.Инвестиционна програма'!$B$37:$B$47,$B24,'9.Инвестиционна програма'!K$37:K$47)*$E$6</f>
        <v>0</v>
      </c>
      <c r="Q24" s="1226">
        <f>SUMIF('9.Инвестиционна програма'!$B$37:$B$47,$B24,'9.Инвестиционна програма'!L$37:L$47)*$E$6</f>
        <v>0</v>
      </c>
      <c r="R24" s="1227">
        <f>SUMIF('9.Инвестиционна програма'!$B$37:$B$47,$B24,'9.Инвестиционна програма'!M$37:M$47)*$E$6</f>
        <v>0</v>
      </c>
      <c r="S24" s="1113">
        <f>'11.2. ДА за периода'!S24</f>
        <v>0</v>
      </c>
      <c r="T24" s="906">
        <f>SUMIF('9.Инвестиционна програма'!$B$49:$B$56,$B24,'9.Инвестиционна програма'!H$49:H$56)*$E$6</f>
        <v>0</v>
      </c>
      <c r="U24" s="906">
        <f>SUMIF('9.Инвестиционна програма'!$B$49:$B$56,$B24,'9.Инвестиционна програма'!I$49:I$56)*$E$6</f>
        <v>0</v>
      </c>
      <c r="V24" s="906">
        <f>SUMIF('9.Инвестиционна програма'!$B$49:$B$56,$B24,'9.Инвестиционна програма'!J$49:J$56)*$E$6</f>
        <v>0</v>
      </c>
      <c r="W24" s="906">
        <f>SUMIF('9.Инвестиционна програма'!$B$49:$B$56,$B24,'9.Инвестиционна програма'!K$49:K$56)*$E$6</f>
        <v>0</v>
      </c>
      <c r="X24" s="906">
        <f>SUMIF('9.Инвестиционна програма'!$B$49:$B$56,$B24,'9.Инвестиционна програма'!L$49:L$56)*$E$6</f>
        <v>0</v>
      </c>
      <c r="Y24" s="2728">
        <f>SUMIF('9.Инвестиционна програма'!$B$49:$B$56,$B24,'9.Инвестиционна програма'!M$49:M$56)*$E$6</f>
        <v>0</v>
      </c>
      <c r="Z24" s="1113">
        <f>'11.2. ДА за периода'!Z24</f>
        <v>0</v>
      </c>
      <c r="AA24" s="906">
        <f>SUMIF('9.Инвестиционна програма'!$B$74:$B$97,$B24,'9.Инвестиционна програма'!H$74:H$97)*$E$6</f>
        <v>0</v>
      </c>
      <c r="AB24" s="906">
        <f>SUMIF('9.Инвестиционна програма'!$B$74:$B$97,$B24,'9.Инвестиционна програма'!I$74:I$97)*$E$6</f>
        <v>0</v>
      </c>
      <c r="AC24" s="906">
        <f>SUMIF('9.Инвестиционна програма'!$B$74:$B$97,$B24,'9.Инвестиционна програма'!J$74:J$97)*$E$6</f>
        <v>0</v>
      </c>
      <c r="AD24" s="906">
        <f>SUMIF('9.Инвестиционна програма'!$B$74:$B$97,$B24,'9.Инвестиционна програма'!K$74:K$97)*$E$6</f>
        <v>0</v>
      </c>
      <c r="AE24" s="906">
        <f>SUMIF('9.Инвестиционна програма'!$B$74:$B$97,$B24,'9.Инвестиционна програма'!L$74:L$97)*$E$6</f>
        <v>0</v>
      </c>
      <c r="AF24" s="906">
        <f>SUMIF('9.Инвестиционна програма'!$B$74:$B$97,$B24,'9.Инвестиционна програма'!M$74:M$97)*$E$6</f>
        <v>0</v>
      </c>
      <c r="AG24" s="1113">
        <f>'11.2. ДА за периода'!AG24</f>
        <v>0</v>
      </c>
      <c r="AH24" s="906">
        <f>SUMIF('9.Инвестиционна програма'!$B$100:$B$123,$B24,'9.Инвестиционна програма'!H$100:H$123)*$E$6</f>
        <v>0</v>
      </c>
      <c r="AI24" s="906">
        <f>SUMIF('9.Инвестиционна програма'!$B$100:$B$123,$B24,'9.Инвестиционна програма'!I$100:I$123)*$E$6</f>
        <v>0</v>
      </c>
      <c r="AJ24" s="906">
        <f>SUMIF('9.Инвестиционна програма'!$B$100:$B$123,$B24,'9.Инвестиционна програма'!J$100:J$123)*$E$6</f>
        <v>0</v>
      </c>
      <c r="AK24" s="906">
        <f>SUMIF('9.Инвестиционна програма'!$B$100:$B$123,$B24,'9.Инвестиционна програма'!K$100:K$123)*$E$6</f>
        <v>0</v>
      </c>
      <c r="AL24" s="906">
        <f>SUMIF('9.Инвестиционна програма'!$B$100:$B$123,$B24,'9.Инвестиционна програма'!L$100:L$123)*$E$6</f>
        <v>0</v>
      </c>
      <c r="AM24" s="906">
        <f>SUMIF('9.Инвестиционна програма'!$B$100:$B$123,$B24,'9.Инвестиционна програма'!M$100:M$123)*$E$6</f>
        <v>0</v>
      </c>
      <c r="AN24" s="1113">
        <f>'11.2. ДА за периода'!AN24</f>
        <v>0</v>
      </c>
      <c r="AO24" s="1232">
        <f>(SUMIF('9.Инвестиционна програма'!$B$58:$B$59,$B24,'9.Инвестиционна програма'!H$58:H$59)+SUMIF('9.Инвестиционна програма'!$B$61:$B$71,$B24,'9.Инвестиционна програма'!H$61:H$71))*$E$6</f>
        <v>0</v>
      </c>
      <c r="AP24" s="906">
        <f>(SUMIF('9.Инвестиционна програма'!$B$58:$B$59,$B24,'9.Инвестиционна програма'!I$58:I$59)+SUMIF('9.Инвестиционна програма'!$B$61:$B$71,$B24,'9.Инвестиционна програма'!I$61:I$71))*$E$6</f>
        <v>0</v>
      </c>
      <c r="AQ24" s="906">
        <f>(SUMIF('9.Инвестиционна програма'!$B$58:$B$59,$B24,'9.Инвестиционна програма'!J$58:J$59)+SUMIF('9.Инвестиционна програма'!$B$61:$B$71,$B24,'9.Инвестиционна програма'!J$61:J$71))*$E$6</f>
        <v>0</v>
      </c>
      <c r="AR24" s="906">
        <f>(SUMIF('9.Инвестиционна програма'!$B$58:$B$59,$B24,'9.Инвестиционна програма'!K$58:K$59)+SUMIF('9.Инвестиционна програма'!$B$61:$B$71,$B24,'9.Инвестиционна програма'!K$61:K$71))*$E$6</f>
        <v>0</v>
      </c>
      <c r="AS24" s="906">
        <f>(SUMIF('9.Инвестиционна програма'!$B$58:$B$59,$B24,'9.Инвестиционна програма'!L$58:L$59)+SUMIF('9.Инвестиционна програма'!$B$61:$B$71,$B24,'9.Инвестиционна програма'!L$61:L$71))*$E$6</f>
        <v>0</v>
      </c>
      <c r="AT24" s="2728">
        <f>(SUMIF('9.Инвестиционна програма'!$B$58:$B$59,$B24,'9.Инвестиционна програма'!M$58:M$59)+SUMIF('9.Инвестиционна програма'!$B$61:$B$71,$B24,'9.Инвестиционна програма'!M$61:M$71))*$E$6</f>
        <v>0</v>
      </c>
      <c r="AU24" s="4488"/>
      <c r="AV24" s="4504">
        <f t="shared" si="47"/>
        <v>0</v>
      </c>
      <c r="AW24" s="4504">
        <f t="shared" si="48"/>
        <v>0</v>
      </c>
      <c r="AX24" s="4504">
        <f t="shared" si="49"/>
        <v>0</v>
      </c>
      <c r="AY24" s="4504">
        <f t="shared" si="50"/>
        <v>0</v>
      </c>
      <c r="AZ24" s="4504">
        <f t="shared" si="51"/>
        <v>0</v>
      </c>
      <c r="BA24" s="4504">
        <f t="shared" si="52"/>
        <v>0</v>
      </c>
      <c r="BB24" s="4504">
        <f t="shared" si="53"/>
        <v>0</v>
      </c>
      <c r="BC24" s="4504">
        <f t="shared" si="54"/>
        <v>0</v>
      </c>
      <c r="BD24" s="4504">
        <f t="shared" si="55"/>
        <v>0</v>
      </c>
      <c r="BE24" s="4504">
        <f t="shared" si="56"/>
        <v>0</v>
      </c>
      <c r="BF24" s="4504">
        <f t="shared" si="57"/>
        <v>0</v>
      </c>
      <c r="BG24" s="4504">
        <f t="shared" si="58"/>
        <v>0</v>
      </c>
      <c r="BH24" s="4504">
        <f t="shared" si="59"/>
        <v>0</v>
      </c>
      <c r="BI24" s="4504">
        <f t="shared" si="60"/>
        <v>0</v>
      </c>
      <c r="BJ24" s="4504">
        <f t="shared" si="61"/>
        <v>0</v>
      </c>
      <c r="BK24" s="4504">
        <f t="shared" si="62"/>
        <v>0</v>
      </c>
      <c r="BL24" s="4504">
        <f t="shared" si="63"/>
        <v>0</v>
      </c>
      <c r="BM24" s="4504">
        <f t="shared" si="64"/>
        <v>0</v>
      </c>
      <c r="BN24" s="4504">
        <f t="shared" si="65"/>
        <v>0</v>
      </c>
      <c r="BO24" s="4504">
        <f t="shared" si="66"/>
        <v>0</v>
      </c>
      <c r="BP24" s="4504">
        <f t="shared" si="67"/>
        <v>0</v>
      </c>
      <c r="BQ24" s="4504">
        <f t="shared" si="68"/>
        <v>0</v>
      </c>
      <c r="BR24" s="4504">
        <f t="shared" si="69"/>
        <v>0</v>
      </c>
      <c r="BS24" s="4504">
        <f t="shared" si="70"/>
        <v>0</v>
      </c>
      <c r="BT24" s="4504">
        <f t="shared" si="71"/>
        <v>0</v>
      </c>
      <c r="BU24" s="4504">
        <f t="shared" si="72"/>
        <v>0</v>
      </c>
      <c r="BV24" s="4504">
        <f t="shared" si="73"/>
        <v>0</v>
      </c>
      <c r="BW24" s="4504">
        <f t="shared" si="74"/>
        <v>0</v>
      </c>
      <c r="BX24" s="4504">
        <f t="shared" si="75"/>
        <v>0</v>
      </c>
      <c r="BY24" s="4504">
        <f t="shared" si="76"/>
        <v>0</v>
      </c>
      <c r="BZ24" s="4504">
        <f t="shared" si="77"/>
        <v>0</v>
      </c>
      <c r="CA24" s="4504">
        <f t="shared" si="78"/>
        <v>0</v>
      </c>
      <c r="CB24" s="4504">
        <f t="shared" si="79"/>
        <v>0</v>
      </c>
      <c r="CC24" s="4504">
        <f t="shared" si="80"/>
        <v>0</v>
      </c>
      <c r="CD24" s="4504">
        <f t="shared" si="81"/>
        <v>0</v>
      </c>
      <c r="CE24" s="4504">
        <f t="shared" si="82"/>
        <v>0</v>
      </c>
      <c r="CF24" s="4504">
        <f t="shared" si="83"/>
        <v>0</v>
      </c>
      <c r="CG24" s="4504">
        <f t="shared" si="84"/>
        <v>0</v>
      </c>
      <c r="CH24" s="4504">
        <f t="shared" si="85"/>
        <v>0</v>
      </c>
      <c r="CI24" s="4504">
        <f t="shared" si="86"/>
        <v>0</v>
      </c>
      <c r="CJ24" s="4504">
        <f t="shared" si="87"/>
        <v>0</v>
      </c>
      <c r="CK24" s="4504">
        <f t="shared" si="88"/>
        <v>0</v>
      </c>
    </row>
    <row r="25" spans="1:89">
      <c r="A25" s="2739"/>
      <c r="B25" s="3617">
        <v>20305</v>
      </c>
      <c r="C25" s="3600"/>
      <c r="D25" s="2742" t="s">
        <v>430</v>
      </c>
      <c r="E25" s="2743">
        <f>SUM(E26:E28)</f>
        <v>159.68320289055896</v>
      </c>
      <c r="F25" s="2744">
        <f t="shared" ref="F25:AT25" si="94">SUM(F26:F28)</f>
        <v>66</v>
      </c>
      <c r="G25" s="2745">
        <f t="shared" si="94"/>
        <v>36</v>
      </c>
      <c r="H25" s="2745">
        <f t="shared" si="94"/>
        <v>33</v>
      </c>
      <c r="I25" s="2745">
        <f t="shared" si="94"/>
        <v>53</v>
      </c>
      <c r="J25" s="2745">
        <f t="shared" si="94"/>
        <v>62</v>
      </c>
      <c r="K25" s="2746">
        <f t="shared" si="94"/>
        <v>48</v>
      </c>
      <c r="L25" s="2743">
        <f t="shared" si="94"/>
        <v>0</v>
      </c>
      <c r="M25" s="2744">
        <f t="shared" si="94"/>
        <v>0</v>
      </c>
      <c r="N25" s="2745">
        <f t="shared" si="94"/>
        <v>0</v>
      </c>
      <c r="O25" s="2745">
        <f t="shared" si="94"/>
        <v>0</v>
      </c>
      <c r="P25" s="2745">
        <f t="shared" si="94"/>
        <v>0</v>
      </c>
      <c r="Q25" s="2745">
        <f t="shared" si="94"/>
        <v>0</v>
      </c>
      <c r="R25" s="2746">
        <f t="shared" si="94"/>
        <v>0</v>
      </c>
      <c r="S25" s="2747">
        <f t="shared" si="94"/>
        <v>32.440989999999999</v>
      </c>
      <c r="T25" s="2748">
        <f t="shared" si="94"/>
        <v>0</v>
      </c>
      <c r="U25" s="2745">
        <f t="shared" si="94"/>
        <v>0</v>
      </c>
      <c r="V25" s="2745">
        <f t="shared" si="94"/>
        <v>0</v>
      </c>
      <c r="W25" s="2745">
        <f t="shared" si="94"/>
        <v>0</v>
      </c>
      <c r="X25" s="2745">
        <f t="shared" si="94"/>
        <v>0</v>
      </c>
      <c r="Y25" s="2746">
        <f t="shared" si="94"/>
        <v>0</v>
      </c>
      <c r="Z25" s="2747">
        <f t="shared" si="94"/>
        <v>0</v>
      </c>
      <c r="AA25" s="2748">
        <f t="shared" si="94"/>
        <v>0</v>
      </c>
      <c r="AB25" s="2745">
        <f t="shared" si="94"/>
        <v>0</v>
      </c>
      <c r="AC25" s="2745">
        <f t="shared" si="94"/>
        <v>0</v>
      </c>
      <c r="AD25" s="2745">
        <f t="shared" si="94"/>
        <v>0</v>
      </c>
      <c r="AE25" s="2745">
        <f t="shared" si="94"/>
        <v>0</v>
      </c>
      <c r="AF25" s="2746">
        <f t="shared" si="94"/>
        <v>0</v>
      </c>
      <c r="AG25" s="2747">
        <f t="shared" si="94"/>
        <v>12.015937109441065</v>
      </c>
      <c r="AH25" s="2748">
        <f t="shared" si="94"/>
        <v>2</v>
      </c>
      <c r="AI25" s="2745">
        <f t="shared" si="94"/>
        <v>10</v>
      </c>
      <c r="AJ25" s="2745">
        <f t="shared" si="94"/>
        <v>10</v>
      </c>
      <c r="AK25" s="2745">
        <f t="shared" si="94"/>
        <v>10</v>
      </c>
      <c r="AL25" s="2745">
        <f t="shared" si="94"/>
        <v>10</v>
      </c>
      <c r="AM25" s="2746">
        <f t="shared" si="94"/>
        <v>10</v>
      </c>
      <c r="AN25" s="2747">
        <f t="shared" si="94"/>
        <v>0</v>
      </c>
      <c r="AO25" s="2748">
        <f t="shared" si="94"/>
        <v>28</v>
      </c>
      <c r="AP25" s="2745">
        <f t="shared" si="94"/>
        <v>130</v>
      </c>
      <c r="AQ25" s="2745">
        <f t="shared" si="94"/>
        <v>130</v>
      </c>
      <c r="AR25" s="2745">
        <f t="shared" si="94"/>
        <v>130</v>
      </c>
      <c r="AS25" s="2745">
        <f t="shared" si="94"/>
        <v>130</v>
      </c>
      <c r="AT25" s="2746">
        <f t="shared" si="94"/>
        <v>130</v>
      </c>
      <c r="AU25" s="4488"/>
      <c r="AV25" s="4504">
        <f t="shared" si="47"/>
        <v>81.644725201351321</v>
      </c>
      <c r="AW25" s="4504">
        <f t="shared" si="48"/>
        <v>33.74526415895042</v>
      </c>
      <c r="AX25" s="4504">
        <f t="shared" si="49"/>
        <v>18.406507723063864</v>
      </c>
      <c r="AY25" s="4504">
        <f t="shared" si="50"/>
        <v>16.87263207947521</v>
      </c>
      <c r="AZ25" s="4504">
        <f t="shared" si="51"/>
        <v>27.09846970339958</v>
      </c>
      <c r="BA25" s="4504">
        <f t="shared" si="52"/>
        <v>31.700096634165547</v>
      </c>
      <c r="BB25" s="4504">
        <f t="shared" si="53"/>
        <v>24.542010297418489</v>
      </c>
      <c r="BC25" s="4504">
        <f t="shared" si="54"/>
        <v>0</v>
      </c>
      <c r="BD25" s="4504">
        <f t="shared" si="55"/>
        <v>0</v>
      </c>
      <c r="BE25" s="4504">
        <f t="shared" si="56"/>
        <v>0</v>
      </c>
      <c r="BF25" s="4504">
        <f t="shared" si="57"/>
        <v>0</v>
      </c>
      <c r="BG25" s="4504">
        <f t="shared" si="58"/>
        <v>0</v>
      </c>
      <c r="BH25" s="4504">
        <f t="shared" si="59"/>
        <v>0</v>
      </c>
      <c r="BI25" s="4504">
        <f t="shared" si="60"/>
        <v>0</v>
      </c>
      <c r="BJ25" s="4504">
        <f t="shared" si="61"/>
        <v>16.586814804967712</v>
      </c>
      <c r="BK25" s="4504">
        <f t="shared" si="62"/>
        <v>0</v>
      </c>
      <c r="BL25" s="4504">
        <f t="shared" si="63"/>
        <v>0</v>
      </c>
      <c r="BM25" s="4504">
        <f t="shared" si="64"/>
        <v>0</v>
      </c>
      <c r="BN25" s="4504">
        <f t="shared" si="65"/>
        <v>0</v>
      </c>
      <c r="BO25" s="4504">
        <f t="shared" si="66"/>
        <v>0</v>
      </c>
      <c r="BP25" s="4504">
        <f t="shared" si="67"/>
        <v>0</v>
      </c>
      <c r="BQ25" s="4504">
        <f t="shared" si="68"/>
        <v>0</v>
      </c>
      <c r="BR25" s="4504">
        <f t="shared" si="69"/>
        <v>0</v>
      </c>
      <c r="BS25" s="4504">
        <f t="shared" si="70"/>
        <v>0</v>
      </c>
      <c r="BT25" s="4504">
        <f t="shared" si="71"/>
        <v>0</v>
      </c>
      <c r="BU25" s="4504">
        <f t="shared" si="72"/>
        <v>0</v>
      </c>
      <c r="BV25" s="4504">
        <f t="shared" si="73"/>
        <v>0</v>
      </c>
      <c r="BW25" s="4504">
        <f t="shared" si="74"/>
        <v>0</v>
      </c>
      <c r="BX25" s="4504">
        <f t="shared" si="75"/>
        <v>6.1436510890215743</v>
      </c>
      <c r="BY25" s="4504">
        <f t="shared" si="76"/>
        <v>1.022583762392437</v>
      </c>
      <c r="BZ25" s="4504">
        <f t="shared" si="77"/>
        <v>5.1129188119621851</v>
      </c>
      <c r="CA25" s="4504">
        <f t="shared" si="78"/>
        <v>5.1129188119621851</v>
      </c>
      <c r="CB25" s="4504">
        <f t="shared" si="79"/>
        <v>5.1129188119621851</v>
      </c>
      <c r="CC25" s="4504">
        <f t="shared" si="80"/>
        <v>5.1129188119621851</v>
      </c>
      <c r="CD25" s="4504">
        <f t="shared" si="81"/>
        <v>5.1129188119621851</v>
      </c>
      <c r="CE25" s="4504">
        <f t="shared" si="82"/>
        <v>0</v>
      </c>
      <c r="CF25" s="4504">
        <f t="shared" si="83"/>
        <v>14.316172673494117</v>
      </c>
      <c r="CG25" s="4504">
        <f t="shared" si="84"/>
        <v>66.46794455550841</v>
      </c>
      <c r="CH25" s="4504">
        <f t="shared" si="85"/>
        <v>66.46794455550841</v>
      </c>
      <c r="CI25" s="4504">
        <f t="shared" si="86"/>
        <v>66.46794455550841</v>
      </c>
      <c r="CJ25" s="4504">
        <f t="shared" si="87"/>
        <v>66.46794455550841</v>
      </c>
      <c r="CK25" s="4504">
        <f t="shared" si="88"/>
        <v>66.46794455550841</v>
      </c>
    </row>
    <row r="26" spans="1:89">
      <c r="A26" s="2739"/>
      <c r="B26" s="3617">
        <v>2030501</v>
      </c>
      <c r="C26" s="3601">
        <v>0.1</v>
      </c>
      <c r="D26" s="2749" t="s">
        <v>1001</v>
      </c>
      <c r="E26" s="2727">
        <f>'11.2. ДА за периода'!E26</f>
        <v>135.88055606978642</v>
      </c>
      <c r="F26" s="1228">
        <f>SUMIF('9.Инвестиционна програма'!$B$12:$B$35,$B26,'9.Инвестиционна програма'!H$12:H$35)*$E$6</f>
        <v>36</v>
      </c>
      <c r="G26" s="1224">
        <f>SUMIF('9.Инвестиционна програма'!$B$12:$B$35,$B26,'9.Инвестиционна програма'!I$12:I$35)*$E$6</f>
        <v>17</v>
      </c>
      <c r="H26" s="1224">
        <f>SUMIF('9.Инвестиционна програма'!$B$12:$B$35,$B26,'9.Инвестиционна програма'!J$12:J$35)*$E$6</f>
        <v>14</v>
      </c>
      <c r="I26" s="1224">
        <f>SUMIF('9.Инвестиционна програма'!$B$12:$B$35,$B26,'9.Инвестиционна програма'!K$12:K$35)*$E$6</f>
        <v>27</v>
      </c>
      <c r="J26" s="1224">
        <f>SUMIF('9.Инвестиционна програма'!$B$12:$B$35,$B26,'9.Инвестиционна програма'!L$12:L$35)*$E$6</f>
        <v>33</v>
      </c>
      <c r="K26" s="1229">
        <f>SUMIF('9.Инвестиционна програма'!$B$12:$B$35,$B26,'9.Инвестиционна програма'!M$12:M$35)*$E$6</f>
        <v>32</v>
      </c>
      <c r="L26" s="2727">
        <f>'11.2. ДА за периода'!L26</f>
        <v>0</v>
      </c>
      <c r="M26" s="1232">
        <f>SUMIF('9.Инвестиционна програма'!$B$37:$B$47,$B26,'9.Инвестиционна програма'!H$37:H$47)*$E$6</f>
        <v>0</v>
      </c>
      <c r="N26" s="1226">
        <f>SUMIF('9.Инвестиционна програма'!$B$37:$B$47,$B26,'9.Инвестиционна програма'!I$37:I$47)*$E$6</f>
        <v>0</v>
      </c>
      <c r="O26" s="1226">
        <f>SUMIF('9.Инвестиционна програма'!$B$37:$B$47,$B26,'9.Инвестиционна програма'!J$37:J$47)*$E$6</f>
        <v>0</v>
      </c>
      <c r="P26" s="1226">
        <f>SUMIF('9.Инвестиционна програма'!$B$37:$B$47,$B26,'9.Инвестиционна програма'!K$37:K$47)*$E$6</f>
        <v>0</v>
      </c>
      <c r="Q26" s="1226">
        <f>SUMIF('9.Инвестиционна програма'!$B$37:$B$47,$B26,'9.Инвестиционна програма'!L$37:L$47)*$E$6</f>
        <v>0</v>
      </c>
      <c r="R26" s="1227">
        <f>SUMIF('9.Инвестиционна програма'!$B$37:$B$47,$B26,'9.Инвестиционна програма'!M$37:M$47)*$E$6</f>
        <v>0</v>
      </c>
      <c r="S26" s="1113">
        <f>'11.2. ДА за периода'!S26</f>
        <v>3.9252200000000004</v>
      </c>
      <c r="T26" s="906">
        <f>SUMIF('9.Инвестиционна програма'!$B$49:$B$56,$B26,'9.Инвестиционна програма'!H$49:H$56)*$E$6</f>
        <v>0</v>
      </c>
      <c r="U26" s="906">
        <f>SUMIF('9.Инвестиционна програма'!$B$49:$B$56,$B26,'9.Инвестиционна програма'!I$49:I$56)*$E$6</f>
        <v>0</v>
      </c>
      <c r="V26" s="906">
        <f>SUMIF('9.Инвестиционна програма'!$B$49:$B$56,$B26,'9.Инвестиционна програма'!J$49:J$56)*$E$6</f>
        <v>0</v>
      </c>
      <c r="W26" s="906">
        <f>SUMIF('9.Инвестиционна програма'!$B$49:$B$56,$B26,'9.Инвестиционна програма'!K$49:K$56)*$E$6</f>
        <v>0</v>
      </c>
      <c r="X26" s="906">
        <f>SUMIF('9.Инвестиционна програма'!$B$49:$B$56,$B26,'9.Инвестиционна програма'!L$49:L$56)*$E$6</f>
        <v>0</v>
      </c>
      <c r="Y26" s="2728">
        <f>SUMIF('9.Инвестиционна програма'!$B$49:$B$56,$B26,'9.Инвестиционна програма'!M$49:M$56)*$E$6</f>
        <v>0</v>
      </c>
      <c r="Z26" s="1113">
        <f>'11.2. ДА за периода'!Z26</f>
        <v>0</v>
      </c>
      <c r="AA26" s="906">
        <f>SUMIF('9.Инвестиционна програма'!$B$74:$B$97,$B26,'9.Инвестиционна програма'!H$74:H$97)*$E$6</f>
        <v>0</v>
      </c>
      <c r="AB26" s="906">
        <f>SUMIF('9.Инвестиционна програма'!$B$74:$B$97,$B26,'9.Инвестиционна програма'!I$74:I$97)*$E$6</f>
        <v>0</v>
      </c>
      <c r="AC26" s="906">
        <f>SUMIF('9.Инвестиционна програма'!$B$74:$B$97,$B26,'9.Инвестиционна програма'!J$74:J$97)*$E$6</f>
        <v>0</v>
      </c>
      <c r="AD26" s="906">
        <f>SUMIF('9.Инвестиционна програма'!$B$74:$B$97,$B26,'9.Инвестиционна програма'!K$74:K$97)*$E$6</f>
        <v>0</v>
      </c>
      <c r="AE26" s="906">
        <f>SUMIF('9.Инвестиционна програма'!$B$74:$B$97,$B26,'9.Инвестиционна програма'!L$74:L$97)*$E$6</f>
        <v>0</v>
      </c>
      <c r="AF26" s="906">
        <f>SUMIF('9.Инвестиционна програма'!$B$74:$B$97,$B26,'9.Инвестиционна програма'!M$74:M$97)*$E$6</f>
        <v>0</v>
      </c>
      <c r="AG26" s="1113">
        <f>'11.2. ДА за периода'!AG26</f>
        <v>6.6330339302136023</v>
      </c>
      <c r="AH26" s="906">
        <f>SUMIF('9.Инвестиционна програма'!$B$100:$B$123,$B26,'9.Инвестиционна програма'!H$100:H$123)*$E$6</f>
        <v>0</v>
      </c>
      <c r="AI26" s="906">
        <f>SUMIF('9.Инвестиционна програма'!$B$100:$B$123,$B26,'9.Инвестиционна програма'!I$100:I$123)*$E$6</f>
        <v>7</v>
      </c>
      <c r="AJ26" s="906">
        <f>SUMIF('9.Инвестиционна програма'!$B$100:$B$123,$B26,'9.Инвестиционна програма'!J$100:J$123)*$E$6</f>
        <v>7</v>
      </c>
      <c r="AK26" s="906">
        <f>SUMIF('9.Инвестиционна програма'!$B$100:$B$123,$B26,'9.Инвестиционна програма'!K$100:K$123)*$E$6</f>
        <v>7</v>
      </c>
      <c r="AL26" s="906">
        <f>SUMIF('9.Инвестиционна програма'!$B$100:$B$123,$B26,'9.Инвестиционна програма'!L$100:L$123)*$E$6</f>
        <v>7</v>
      </c>
      <c r="AM26" s="906">
        <f>SUMIF('9.Инвестиционна програма'!$B$100:$B$123,$B26,'9.Инвестиционна програма'!M$100:M$123)*$E$6</f>
        <v>7</v>
      </c>
      <c r="AN26" s="1113">
        <f>'11.2. ДА за периода'!AN26</f>
        <v>0</v>
      </c>
      <c r="AO26" s="1232">
        <f>(SUMIF('9.Инвестиционна програма'!$B$58:$B$59,$B26,'9.Инвестиционна програма'!H$58:H$59)+SUMIF('9.Инвестиционна програма'!$B$61:$B$71,$B26,'9.Инвестиционна програма'!H$61:H$71))*$E$6</f>
        <v>28</v>
      </c>
      <c r="AP26" s="906">
        <f>(SUMIF('9.Инвестиционна програма'!$B$58:$B$59,$B26,'9.Инвестиционна програма'!I$58:I$59)+SUMIF('9.Инвестиционна програма'!$B$61:$B$71,$B26,'9.Инвестиционна програма'!I$61:I$71))*$E$6</f>
        <v>130</v>
      </c>
      <c r="AQ26" s="906">
        <f>(SUMIF('9.Инвестиционна програма'!$B$58:$B$59,$B26,'9.Инвестиционна програма'!J$58:J$59)+SUMIF('9.Инвестиционна програма'!$B$61:$B$71,$B26,'9.Инвестиционна програма'!J$61:J$71))*$E$6</f>
        <v>130</v>
      </c>
      <c r="AR26" s="906">
        <f>(SUMIF('9.Инвестиционна програма'!$B$58:$B$59,$B26,'9.Инвестиционна програма'!K$58:K$59)+SUMIF('9.Инвестиционна програма'!$B$61:$B$71,$B26,'9.Инвестиционна програма'!K$61:K$71))*$E$6</f>
        <v>130</v>
      </c>
      <c r="AS26" s="906">
        <f>(SUMIF('9.Инвестиционна програма'!$B$58:$B$59,$B26,'9.Инвестиционна програма'!L$58:L$59)+SUMIF('9.Инвестиционна програма'!$B$61:$B$71,$B26,'9.Инвестиционна програма'!L$61:L$71))*$E$6</f>
        <v>130</v>
      </c>
      <c r="AT26" s="2728">
        <f>(SUMIF('9.Инвестиционна програма'!$B$58:$B$59,$B26,'9.Инвестиционна програма'!M$58:M$59)+SUMIF('9.Инвестиционна програма'!$B$61:$B$71,$B26,'9.Инвестиционна програма'!M$61:M$71))*$E$6</f>
        <v>130</v>
      </c>
      <c r="AU26" s="4488"/>
      <c r="AV26" s="4504">
        <f t="shared" si="47"/>
        <v>69.474625130909345</v>
      </c>
      <c r="AW26" s="4504">
        <f t="shared" si="48"/>
        <v>18.406507723063864</v>
      </c>
      <c r="AX26" s="4504">
        <f t="shared" si="49"/>
        <v>8.691961980335714</v>
      </c>
      <c r="AY26" s="4504">
        <f t="shared" si="50"/>
        <v>7.1580863367470586</v>
      </c>
      <c r="AZ26" s="4504">
        <f t="shared" si="51"/>
        <v>13.804880792297899</v>
      </c>
      <c r="BA26" s="4504">
        <f t="shared" si="52"/>
        <v>16.87263207947521</v>
      </c>
      <c r="BB26" s="4504">
        <f t="shared" si="53"/>
        <v>16.361340198278992</v>
      </c>
      <c r="BC26" s="4504">
        <f t="shared" si="54"/>
        <v>0</v>
      </c>
      <c r="BD26" s="4504">
        <f t="shared" si="55"/>
        <v>0</v>
      </c>
      <c r="BE26" s="4504">
        <f t="shared" si="56"/>
        <v>0</v>
      </c>
      <c r="BF26" s="4504">
        <f t="shared" si="57"/>
        <v>0</v>
      </c>
      <c r="BG26" s="4504">
        <f t="shared" si="58"/>
        <v>0</v>
      </c>
      <c r="BH26" s="4504">
        <f t="shared" si="59"/>
        <v>0</v>
      </c>
      <c r="BI26" s="4504">
        <f t="shared" si="60"/>
        <v>0</v>
      </c>
      <c r="BJ26" s="4504">
        <f t="shared" si="61"/>
        <v>2.0069331179090208</v>
      </c>
      <c r="BK26" s="4504">
        <f t="shared" si="62"/>
        <v>0</v>
      </c>
      <c r="BL26" s="4504">
        <f t="shared" si="63"/>
        <v>0</v>
      </c>
      <c r="BM26" s="4504">
        <f t="shared" si="64"/>
        <v>0</v>
      </c>
      <c r="BN26" s="4504">
        <f t="shared" si="65"/>
        <v>0</v>
      </c>
      <c r="BO26" s="4504">
        <f t="shared" si="66"/>
        <v>0</v>
      </c>
      <c r="BP26" s="4504">
        <f t="shared" si="67"/>
        <v>0</v>
      </c>
      <c r="BQ26" s="4504">
        <f t="shared" si="68"/>
        <v>0</v>
      </c>
      <c r="BR26" s="4504">
        <f t="shared" si="69"/>
        <v>0</v>
      </c>
      <c r="BS26" s="4504">
        <f t="shared" si="70"/>
        <v>0</v>
      </c>
      <c r="BT26" s="4504">
        <f t="shared" si="71"/>
        <v>0</v>
      </c>
      <c r="BU26" s="4504">
        <f t="shared" si="72"/>
        <v>0</v>
      </c>
      <c r="BV26" s="4504">
        <f t="shared" si="73"/>
        <v>0</v>
      </c>
      <c r="BW26" s="4504">
        <f t="shared" si="74"/>
        <v>0</v>
      </c>
      <c r="BX26" s="4504">
        <f t="shared" si="75"/>
        <v>3.3914163962172594</v>
      </c>
      <c r="BY26" s="4504">
        <f t="shared" si="76"/>
        <v>0</v>
      </c>
      <c r="BZ26" s="4504">
        <f t="shared" si="77"/>
        <v>3.5790431683735293</v>
      </c>
      <c r="CA26" s="4504">
        <f t="shared" si="78"/>
        <v>3.5790431683735293</v>
      </c>
      <c r="CB26" s="4504">
        <f t="shared" si="79"/>
        <v>3.5790431683735293</v>
      </c>
      <c r="CC26" s="4504">
        <f t="shared" si="80"/>
        <v>3.5790431683735293</v>
      </c>
      <c r="CD26" s="4504">
        <f t="shared" si="81"/>
        <v>3.5790431683735293</v>
      </c>
      <c r="CE26" s="4504">
        <f t="shared" si="82"/>
        <v>0</v>
      </c>
      <c r="CF26" s="4504">
        <f t="shared" si="83"/>
        <v>14.316172673494117</v>
      </c>
      <c r="CG26" s="4504">
        <f t="shared" si="84"/>
        <v>66.46794455550841</v>
      </c>
      <c r="CH26" s="4504">
        <f t="shared" si="85"/>
        <v>66.46794455550841</v>
      </c>
      <c r="CI26" s="4504">
        <f t="shared" si="86"/>
        <v>66.46794455550841</v>
      </c>
      <c r="CJ26" s="4504">
        <f t="shared" si="87"/>
        <v>66.46794455550841</v>
      </c>
      <c r="CK26" s="4504">
        <f t="shared" si="88"/>
        <v>66.46794455550841</v>
      </c>
    </row>
    <row r="27" spans="1:89" ht="24">
      <c r="A27" s="2739"/>
      <c r="B27" s="3617">
        <v>2030502</v>
      </c>
      <c r="C27" s="3601">
        <v>0.1</v>
      </c>
      <c r="D27" s="2749" t="s">
        <v>695</v>
      </c>
      <c r="E27" s="2727">
        <f>'11.2. ДА за периода'!E27</f>
        <v>23.802646820772537</v>
      </c>
      <c r="F27" s="1228">
        <f>SUMIF('9.Инвестиционна програма'!$B$12:$B$35,$B27,'9.Инвестиционна програма'!H$12:H$35)*$E$6</f>
        <v>30</v>
      </c>
      <c r="G27" s="1224">
        <f>SUMIF('9.Инвестиционна програма'!$B$12:$B$35,$B27,'9.Инвестиционна програма'!I$12:I$35)*$E$6</f>
        <v>13</v>
      </c>
      <c r="H27" s="1224">
        <f>SUMIF('9.Инвестиционна програма'!$B$12:$B$35,$B27,'9.Инвестиционна програма'!J$12:J$35)*$E$6</f>
        <v>13</v>
      </c>
      <c r="I27" s="1224">
        <f>SUMIF('9.Инвестиционна програма'!$B$12:$B$35,$B27,'9.Инвестиционна програма'!K$12:K$35)*$E$6</f>
        <v>20</v>
      </c>
      <c r="J27" s="1224">
        <f>SUMIF('9.Инвестиционна програма'!$B$12:$B$35,$B27,'9.Инвестиционна програма'!L$12:L$35)*$E$6</f>
        <v>23</v>
      </c>
      <c r="K27" s="1229">
        <f>SUMIF('9.Инвестиционна програма'!$B$12:$B$35,$B27,'9.Инвестиционна програма'!M$12:M$35)*$E$6</f>
        <v>10</v>
      </c>
      <c r="L27" s="2727">
        <f>'11.2. ДА за периода'!L27</f>
        <v>0</v>
      </c>
      <c r="M27" s="1232">
        <f>SUMIF('9.Инвестиционна програма'!$B$37:$B$47,$B27,'9.Инвестиционна програма'!H$37:H$47)*$E$6</f>
        <v>0</v>
      </c>
      <c r="N27" s="1226">
        <f>SUMIF('9.Инвестиционна програма'!$B$37:$B$47,$B27,'9.Инвестиционна програма'!I$37:I$47)*$E$6</f>
        <v>0</v>
      </c>
      <c r="O27" s="1226">
        <f>SUMIF('9.Инвестиционна програма'!$B$37:$B$47,$B27,'9.Инвестиционна програма'!J$37:J$47)*$E$6</f>
        <v>0</v>
      </c>
      <c r="P27" s="1226">
        <f>SUMIF('9.Инвестиционна програма'!$B$37:$B$47,$B27,'9.Инвестиционна програма'!K$37:K$47)*$E$6</f>
        <v>0</v>
      </c>
      <c r="Q27" s="1226">
        <f>SUMIF('9.Инвестиционна програма'!$B$37:$B$47,$B27,'9.Инвестиционна програма'!L$37:L$47)*$E$6</f>
        <v>0</v>
      </c>
      <c r="R27" s="1227">
        <f>SUMIF('9.Инвестиционна програма'!$B$37:$B$47,$B27,'9.Инвестиционна програма'!M$37:M$47)*$E$6</f>
        <v>0</v>
      </c>
      <c r="S27" s="1113">
        <f>'11.2. ДА за периода'!S27</f>
        <v>28.51577</v>
      </c>
      <c r="T27" s="906">
        <f>SUMIF('9.Инвестиционна програма'!$B$49:$B$56,$B27,'9.Инвестиционна програма'!H$49:H$56)*$E$6</f>
        <v>0</v>
      </c>
      <c r="U27" s="906">
        <f>SUMIF('9.Инвестиционна програма'!$B$49:$B$56,$B27,'9.Инвестиционна програма'!I$49:I$56)*$E$6</f>
        <v>0</v>
      </c>
      <c r="V27" s="906">
        <f>SUMIF('9.Инвестиционна програма'!$B$49:$B$56,$B27,'9.Инвестиционна програма'!J$49:J$56)*$E$6</f>
        <v>0</v>
      </c>
      <c r="W27" s="906">
        <f>SUMIF('9.Инвестиционна програма'!$B$49:$B$56,$B27,'9.Инвестиционна програма'!K$49:K$56)*$E$6</f>
        <v>0</v>
      </c>
      <c r="X27" s="906">
        <f>SUMIF('9.Инвестиционна програма'!$B$49:$B$56,$B27,'9.Инвестиционна програма'!L$49:L$56)*$E$6</f>
        <v>0</v>
      </c>
      <c r="Y27" s="2728">
        <f>SUMIF('9.Инвестиционна програма'!$B$49:$B$56,$B27,'9.Инвестиционна програма'!M$49:M$56)*$E$6</f>
        <v>0</v>
      </c>
      <c r="Z27" s="1113">
        <f>'11.2. ДА за периода'!Z27</f>
        <v>0</v>
      </c>
      <c r="AA27" s="906">
        <f>SUMIF('9.Инвестиционна програма'!$B$74:$B$97,$B27,'9.Инвестиционна програма'!H$74:H$97)*$E$6</f>
        <v>0</v>
      </c>
      <c r="AB27" s="906">
        <f>SUMIF('9.Инвестиционна програма'!$B$74:$B$97,$B27,'9.Инвестиционна програма'!I$74:I$97)*$E$6</f>
        <v>0</v>
      </c>
      <c r="AC27" s="906">
        <f>SUMIF('9.Инвестиционна програма'!$B$74:$B$97,$B27,'9.Инвестиционна програма'!J$74:J$97)*$E$6</f>
        <v>0</v>
      </c>
      <c r="AD27" s="906">
        <f>SUMIF('9.Инвестиционна програма'!$B$74:$B$97,$B27,'9.Инвестиционна програма'!K$74:K$97)*$E$6</f>
        <v>0</v>
      </c>
      <c r="AE27" s="906">
        <f>SUMIF('9.Инвестиционна програма'!$B$74:$B$97,$B27,'9.Инвестиционна програма'!L$74:L$97)*$E$6</f>
        <v>0</v>
      </c>
      <c r="AF27" s="906">
        <f>SUMIF('9.Инвестиционна програма'!$B$74:$B$97,$B27,'9.Инвестиционна програма'!M$74:M$97)*$E$6</f>
        <v>0</v>
      </c>
      <c r="AG27" s="1113">
        <f>'11.2. ДА за периода'!AG27</f>
        <v>5.382903179227462</v>
      </c>
      <c r="AH27" s="906">
        <f>SUMIF('9.Инвестиционна програма'!$B$100:$B$123,$B27,'9.Инвестиционна програма'!H$100:H$123)*$E$6</f>
        <v>2</v>
      </c>
      <c r="AI27" s="906">
        <f>SUMIF('9.Инвестиционна програма'!$B$100:$B$123,$B27,'9.Инвестиционна програма'!I$100:I$123)*$E$6</f>
        <v>3</v>
      </c>
      <c r="AJ27" s="906">
        <f>SUMIF('9.Инвестиционна програма'!$B$100:$B$123,$B27,'9.Инвестиционна програма'!J$100:J$123)*$E$6</f>
        <v>3</v>
      </c>
      <c r="AK27" s="906">
        <f>SUMIF('9.Инвестиционна програма'!$B$100:$B$123,$B27,'9.Инвестиционна програма'!K$100:K$123)*$E$6</f>
        <v>3</v>
      </c>
      <c r="AL27" s="906">
        <f>SUMIF('9.Инвестиционна програма'!$B$100:$B$123,$B27,'9.Инвестиционна програма'!L$100:L$123)*$E$6</f>
        <v>3</v>
      </c>
      <c r="AM27" s="906">
        <f>SUMIF('9.Инвестиционна програма'!$B$100:$B$123,$B27,'9.Инвестиционна програма'!M$100:M$123)*$E$6</f>
        <v>3</v>
      </c>
      <c r="AN27" s="1113">
        <f>'11.2. ДА за периода'!AN27</f>
        <v>0</v>
      </c>
      <c r="AO27" s="1232">
        <f>(SUMIF('9.Инвестиционна програма'!$B$58:$B$59,$B27,'9.Инвестиционна програма'!H$58:H$59)+SUMIF('9.Инвестиционна програма'!$B$61:$B$71,$B27,'9.Инвестиционна програма'!H$61:H$71))*$E$6</f>
        <v>0</v>
      </c>
      <c r="AP27" s="906">
        <f>(SUMIF('9.Инвестиционна програма'!$B$58:$B$59,$B27,'9.Инвестиционна програма'!I$58:I$59)+SUMIF('9.Инвестиционна програма'!$B$61:$B$71,$B27,'9.Инвестиционна програма'!I$61:I$71))*$E$6</f>
        <v>0</v>
      </c>
      <c r="AQ27" s="906">
        <f>(SUMIF('9.Инвестиционна програма'!$B$58:$B$59,$B27,'9.Инвестиционна програма'!J$58:J$59)+SUMIF('9.Инвестиционна програма'!$B$61:$B$71,$B27,'9.Инвестиционна програма'!J$61:J$71))*$E$6</f>
        <v>0</v>
      </c>
      <c r="AR27" s="906">
        <f>(SUMIF('9.Инвестиционна програма'!$B$58:$B$59,$B27,'9.Инвестиционна програма'!K$58:K$59)+SUMIF('9.Инвестиционна програма'!$B$61:$B$71,$B27,'9.Инвестиционна програма'!K$61:K$71))*$E$6</f>
        <v>0</v>
      </c>
      <c r="AS27" s="906">
        <f>(SUMIF('9.Инвестиционна програма'!$B$58:$B$59,$B27,'9.Инвестиционна програма'!L$58:L$59)+SUMIF('9.Инвестиционна програма'!$B$61:$B$71,$B27,'9.Инвестиционна програма'!L$61:L$71))*$E$6</f>
        <v>0</v>
      </c>
      <c r="AT27" s="2728">
        <f>(SUMIF('9.Инвестиционна програма'!$B$58:$B$59,$B27,'9.Инвестиционна програма'!M$58:M$59)+SUMIF('9.Инвестиционна програма'!$B$61:$B$71,$B27,'9.Инвестиционна програма'!M$61:M$71))*$E$6</f>
        <v>0</v>
      </c>
      <c r="AU27" s="4488"/>
      <c r="AV27" s="4504">
        <f t="shared" si="47"/>
        <v>12.170100070441981</v>
      </c>
      <c r="AW27" s="4504">
        <f t="shared" si="48"/>
        <v>15.338756435886555</v>
      </c>
      <c r="AX27" s="4504">
        <f t="shared" si="49"/>
        <v>6.6467944555508405</v>
      </c>
      <c r="AY27" s="4504">
        <f t="shared" si="50"/>
        <v>6.6467944555508405</v>
      </c>
      <c r="AZ27" s="4504">
        <f t="shared" si="51"/>
        <v>10.22583762392437</v>
      </c>
      <c r="BA27" s="4504">
        <f t="shared" si="52"/>
        <v>11.759713267513025</v>
      </c>
      <c r="BB27" s="4504">
        <f t="shared" si="53"/>
        <v>5.1129188119621851</v>
      </c>
      <c r="BC27" s="4504">
        <f t="shared" si="54"/>
        <v>0</v>
      </c>
      <c r="BD27" s="4504">
        <f t="shared" si="55"/>
        <v>0</v>
      </c>
      <c r="BE27" s="4504">
        <f t="shared" si="56"/>
        <v>0</v>
      </c>
      <c r="BF27" s="4504">
        <f t="shared" si="57"/>
        <v>0</v>
      </c>
      <c r="BG27" s="4504">
        <f t="shared" si="58"/>
        <v>0</v>
      </c>
      <c r="BH27" s="4504">
        <f t="shared" si="59"/>
        <v>0</v>
      </c>
      <c r="BI27" s="4504">
        <f t="shared" si="60"/>
        <v>0</v>
      </c>
      <c r="BJ27" s="4504">
        <f t="shared" si="61"/>
        <v>14.579881687058691</v>
      </c>
      <c r="BK27" s="4504">
        <f t="shared" si="62"/>
        <v>0</v>
      </c>
      <c r="BL27" s="4504">
        <f t="shared" si="63"/>
        <v>0</v>
      </c>
      <c r="BM27" s="4504">
        <f t="shared" si="64"/>
        <v>0</v>
      </c>
      <c r="BN27" s="4504">
        <f t="shared" si="65"/>
        <v>0</v>
      </c>
      <c r="BO27" s="4504">
        <f t="shared" si="66"/>
        <v>0</v>
      </c>
      <c r="BP27" s="4504">
        <f t="shared" si="67"/>
        <v>0</v>
      </c>
      <c r="BQ27" s="4504">
        <f t="shared" si="68"/>
        <v>0</v>
      </c>
      <c r="BR27" s="4504">
        <f t="shared" si="69"/>
        <v>0</v>
      </c>
      <c r="BS27" s="4504">
        <f t="shared" si="70"/>
        <v>0</v>
      </c>
      <c r="BT27" s="4504">
        <f t="shared" si="71"/>
        <v>0</v>
      </c>
      <c r="BU27" s="4504">
        <f t="shared" si="72"/>
        <v>0</v>
      </c>
      <c r="BV27" s="4504">
        <f t="shared" si="73"/>
        <v>0</v>
      </c>
      <c r="BW27" s="4504">
        <f t="shared" si="74"/>
        <v>0</v>
      </c>
      <c r="BX27" s="4504">
        <f t="shared" si="75"/>
        <v>2.7522346928043144</v>
      </c>
      <c r="BY27" s="4504">
        <f t="shared" si="76"/>
        <v>1.022583762392437</v>
      </c>
      <c r="BZ27" s="4504">
        <f t="shared" si="77"/>
        <v>1.5338756435886556</v>
      </c>
      <c r="CA27" s="4504">
        <f t="shared" si="78"/>
        <v>1.5338756435886556</v>
      </c>
      <c r="CB27" s="4504">
        <f t="shared" si="79"/>
        <v>1.5338756435886556</v>
      </c>
      <c r="CC27" s="4504">
        <f t="shared" si="80"/>
        <v>1.5338756435886556</v>
      </c>
      <c r="CD27" s="4504">
        <f t="shared" si="81"/>
        <v>1.5338756435886556</v>
      </c>
      <c r="CE27" s="4504">
        <f t="shared" si="82"/>
        <v>0</v>
      </c>
      <c r="CF27" s="4504">
        <f t="shared" si="83"/>
        <v>0</v>
      </c>
      <c r="CG27" s="4504">
        <f t="shared" si="84"/>
        <v>0</v>
      </c>
      <c r="CH27" s="4504">
        <f t="shared" si="85"/>
        <v>0</v>
      </c>
      <c r="CI27" s="4504">
        <f t="shared" si="86"/>
        <v>0</v>
      </c>
      <c r="CJ27" s="4504">
        <f t="shared" si="87"/>
        <v>0</v>
      </c>
      <c r="CK27" s="4504">
        <f t="shared" si="88"/>
        <v>0</v>
      </c>
    </row>
    <row r="28" spans="1:89">
      <c r="A28" s="2739"/>
      <c r="B28" s="3617">
        <v>2030503</v>
      </c>
      <c r="C28" s="3601">
        <v>0.1</v>
      </c>
      <c r="D28" s="2749" t="s">
        <v>713</v>
      </c>
      <c r="E28" s="2727">
        <f>'11.2. ДА за периода'!E28</f>
        <v>0</v>
      </c>
      <c r="F28" s="1228">
        <f>SUMIF('9.Инвестиционна програма'!$B$12:$B$35,$B28,'9.Инвестиционна програма'!H$12:H$35)*$E$6</f>
        <v>0</v>
      </c>
      <c r="G28" s="1224">
        <f>SUMIF('9.Инвестиционна програма'!$B$12:$B$35,$B28,'9.Инвестиционна програма'!I$12:I$35)*$E$6</f>
        <v>6</v>
      </c>
      <c r="H28" s="1224">
        <f>SUMIF('9.Инвестиционна програма'!$B$12:$B$35,$B28,'9.Инвестиционна програма'!J$12:J$35)*$E$6</f>
        <v>6</v>
      </c>
      <c r="I28" s="1224">
        <f>SUMIF('9.Инвестиционна програма'!$B$12:$B$35,$B28,'9.Инвестиционна програма'!K$12:K$35)*$E$6</f>
        <v>6</v>
      </c>
      <c r="J28" s="1224">
        <f>SUMIF('9.Инвестиционна програма'!$B$12:$B$35,$B28,'9.Инвестиционна програма'!L$12:L$35)*$E$6</f>
        <v>6</v>
      </c>
      <c r="K28" s="1229">
        <f>SUMIF('9.Инвестиционна програма'!$B$12:$B$35,$B28,'9.Инвестиционна програма'!M$12:M$35)*$E$6</f>
        <v>6</v>
      </c>
      <c r="L28" s="2727">
        <f>'11.2. ДА за периода'!L28</f>
        <v>0</v>
      </c>
      <c r="M28" s="1232">
        <f>SUMIF('9.Инвестиционна програма'!$B$37:$B$47,$B28,'9.Инвестиционна програма'!H$37:H$47)*$E$6</f>
        <v>0</v>
      </c>
      <c r="N28" s="1226">
        <f>SUMIF('9.Инвестиционна програма'!$B$37:$B$47,$B28,'9.Инвестиционна програма'!I$37:I$47)*$E$6</f>
        <v>0</v>
      </c>
      <c r="O28" s="1226">
        <f>SUMIF('9.Инвестиционна програма'!$B$37:$B$47,$B28,'9.Инвестиционна програма'!J$37:J$47)*$E$6</f>
        <v>0</v>
      </c>
      <c r="P28" s="1226">
        <f>SUMIF('9.Инвестиционна програма'!$B$37:$B$47,$B28,'9.Инвестиционна програма'!K$37:K$47)*$E$6</f>
        <v>0</v>
      </c>
      <c r="Q28" s="1226">
        <f>SUMIF('9.Инвестиционна програма'!$B$37:$B$47,$B28,'9.Инвестиционна програма'!L$37:L$47)*$E$6</f>
        <v>0</v>
      </c>
      <c r="R28" s="1227">
        <f>SUMIF('9.Инвестиционна програма'!$B$37:$B$47,$B28,'9.Инвестиционна програма'!M$37:M$47)*$E$6</f>
        <v>0</v>
      </c>
      <c r="S28" s="1113">
        <f>'11.2. ДА за периода'!S28</f>
        <v>0</v>
      </c>
      <c r="T28" s="906">
        <f>SUMIF('9.Инвестиционна програма'!$B$49:$B$56,$B28,'9.Инвестиционна програма'!H$49:H$56)*$E$6</f>
        <v>0</v>
      </c>
      <c r="U28" s="906">
        <f>SUMIF('9.Инвестиционна програма'!$B$49:$B$56,$B28,'9.Инвестиционна програма'!I$49:I$56)*$E$6</f>
        <v>0</v>
      </c>
      <c r="V28" s="906">
        <f>SUMIF('9.Инвестиционна програма'!$B$49:$B$56,$B28,'9.Инвестиционна програма'!J$49:J$56)*$E$6</f>
        <v>0</v>
      </c>
      <c r="W28" s="906">
        <f>SUMIF('9.Инвестиционна програма'!$B$49:$B$56,$B28,'9.Инвестиционна програма'!K$49:K$56)*$E$6</f>
        <v>0</v>
      </c>
      <c r="X28" s="906">
        <f>SUMIF('9.Инвестиционна програма'!$B$49:$B$56,$B28,'9.Инвестиционна програма'!L$49:L$56)*$E$6</f>
        <v>0</v>
      </c>
      <c r="Y28" s="2728">
        <f>SUMIF('9.Инвестиционна програма'!$B$49:$B$56,$B28,'9.Инвестиционна програма'!M$49:M$56)*$E$6</f>
        <v>0</v>
      </c>
      <c r="Z28" s="1113">
        <f>'11.2. ДА за периода'!Z28</f>
        <v>0</v>
      </c>
      <c r="AA28" s="906">
        <f>SUMIF('9.Инвестиционна програма'!$B$74:$B$97,$B28,'9.Инвестиционна програма'!H$74:H$97)*$E$6</f>
        <v>0</v>
      </c>
      <c r="AB28" s="906">
        <f>SUMIF('9.Инвестиционна програма'!$B$74:$B$97,$B28,'9.Инвестиционна програма'!I$74:I$97)*$E$6</f>
        <v>0</v>
      </c>
      <c r="AC28" s="906">
        <f>SUMIF('9.Инвестиционна програма'!$B$74:$B$97,$B28,'9.Инвестиционна програма'!J$74:J$97)*$E$6</f>
        <v>0</v>
      </c>
      <c r="AD28" s="906">
        <f>SUMIF('9.Инвестиционна програма'!$B$74:$B$97,$B28,'9.Инвестиционна програма'!K$74:K$97)*$E$6</f>
        <v>0</v>
      </c>
      <c r="AE28" s="906">
        <f>SUMIF('9.Инвестиционна програма'!$B$74:$B$97,$B28,'9.Инвестиционна програма'!L$74:L$97)*$E$6</f>
        <v>0</v>
      </c>
      <c r="AF28" s="906">
        <f>SUMIF('9.Инвестиционна програма'!$B$74:$B$97,$B28,'9.Инвестиционна програма'!M$74:M$97)*$E$6</f>
        <v>0</v>
      </c>
      <c r="AG28" s="1113">
        <f>'11.2. ДА за периода'!AG28</f>
        <v>0</v>
      </c>
      <c r="AH28" s="906">
        <f>SUMIF('9.Инвестиционна програма'!$B$100:$B$123,$B28,'9.Инвестиционна програма'!H$100:H$123)*$E$6</f>
        <v>0</v>
      </c>
      <c r="AI28" s="906">
        <f>SUMIF('9.Инвестиционна програма'!$B$100:$B$123,$B28,'9.Инвестиционна програма'!I$100:I$123)*$E$6</f>
        <v>0</v>
      </c>
      <c r="AJ28" s="906">
        <f>SUMIF('9.Инвестиционна програма'!$B$100:$B$123,$B28,'9.Инвестиционна програма'!J$100:J$123)*$E$6</f>
        <v>0</v>
      </c>
      <c r="AK28" s="906">
        <f>SUMIF('9.Инвестиционна програма'!$B$100:$B$123,$B28,'9.Инвестиционна програма'!K$100:K$123)*$E$6</f>
        <v>0</v>
      </c>
      <c r="AL28" s="906">
        <f>SUMIF('9.Инвестиционна програма'!$B$100:$B$123,$B28,'9.Инвестиционна програма'!L$100:L$123)*$E$6</f>
        <v>0</v>
      </c>
      <c r="AM28" s="906">
        <f>SUMIF('9.Инвестиционна програма'!$B$100:$B$123,$B28,'9.Инвестиционна програма'!M$100:M$123)*$E$6</f>
        <v>0</v>
      </c>
      <c r="AN28" s="1113">
        <f>'11.2. ДА за периода'!AN28</f>
        <v>0</v>
      </c>
      <c r="AO28" s="1232">
        <f>(SUMIF('9.Инвестиционна програма'!$B$58:$B$59,$B28,'9.Инвестиционна програма'!H$58:H$59)+SUMIF('9.Инвестиционна програма'!$B$61:$B$71,$B28,'9.Инвестиционна програма'!H$61:H$71))*$E$6</f>
        <v>0</v>
      </c>
      <c r="AP28" s="906">
        <f>(SUMIF('9.Инвестиционна програма'!$B$58:$B$59,$B28,'9.Инвестиционна програма'!I$58:I$59)+SUMIF('9.Инвестиционна програма'!$B$61:$B$71,$B28,'9.Инвестиционна програма'!I$61:I$71))*$E$6</f>
        <v>0</v>
      </c>
      <c r="AQ28" s="906">
        <f>(SUMIF('9.Инвестиционна програма'!$B$58:$B$59,$B28,'9.Инвестиционна програма'!J$58:J$59)+SUMIF('9.Инвестиционна програма'!$B$61:$B$71,$B28,'9.Инвестиционна програма'!J$61:J$71))*$E$6</f>
        <v>0</v>
      </c>
      <c r="AR28" s="906">
        <f>(SUMIF('9.Инвестиционна програма'!$B$58:$B$59,$B28,'9.Инвестиционна програма'!K$58:K$59)+SUMIF('9.Инвестиционна програма'!$B$61:$B$71,$B28,'9.Инвестиционна програма'!K$61:K$71))*$E$6</f>
        <v>0</v>
      </c>
      <c r="AS28" s="906">
        <f>(SUMIF('9.Инвестиционна програма'!$B$58:$B$59,$B28,'9.Инвестиционна програма'!L$58:L$59)+SUMIF('9.Инвестиционна програма'!$B$61:$B$71,$B28,'9.Инвестиционна програма'!L$61:L$71))*$E$6</f>
        <v>0</v>
      </c>
      <c r="AT28" s="2728">
        <f>(SUMIF('9.Инвестиционна програма'!$B$58:$B$59,$B28,'9.Инвестиционна програма'!M$58:M$59)+SUMIF('9.Инвестиционна програма'!$B$61:$B$71,$B28,'9.Инвестиционна програма'!M$61:M$71))*$E$6</f>
        <v>0</v>
      </c>
      <c r="AU28" s="4488"/>
      <c r="AV28" s="4504">
        <f t="shared" si="47"/>
        <v>0</v>
      </c>
      <c r="AW28" s="4504">
        <f t="shared" si="48"/>
        <v>0</v>
      </c>
      <c r="AX28" s="4504">
        <f t="shared" si="49"/>
        <v>3.0677512871773112</v>
      </c>
      <c r="AY28" s="4504">
        <f t="shared" si="50"/>
        <v>3.0677512871773112</v>
      </c>
      <c r="AZ28" s="4504">
        <f t="shared" si="51"/>
        <v>3.0677512871773112</v>
      </c>
      <c r="BA28" s="4504">
        <f t="shared" si="52"/>
        <v>3.0677512871773112</v>
      </c>
      <c r="BB28" s="4504">
        <f t="shared" si="53"/>
        <v>3.0677512871773112</v>
      </c>
      <c r="BC28" s="4504">
        <f t="shared" si="54"/>
        <v>0</v>
      </c>
      <c r="BD28" s="4504">
        <f t="shared" si="55"/>
        <v>0</v>
      </c>
      <c r="BE28" s="4504">
        <f t="shared" si="56"/>
        <v>0</v>
      </c>
      <c r="BF28" s="4504">
        <f t="shared" si="57"/>
        <v>0</v>
      </c>
      <c r="BG28" s="4504">
        <f t="shared" si="58"/>
        <v>0</v>
      </c>
      <c r="BH28" s="4504">
        <f t="shared" si="59"/>
        <v>0</v>
      </c>
      <c r="BI28" s="4504">
        <f t="shared" si="60"/>
        <v>0</v>
      </c>
      <c r="BJ28" s="4504">
        <f t="shared" si="61"/>
        <v>0</v>
      </c>
      <c r="BK28" s="4504">
        <f t="shared" si="62"/>
        <v>0</v>
      </c>
      <c r="BL28" s="4504">
        <f t="shared" si="63"/>
        <v>0</v>
      </c>
      <c r="BM28" s="4504">
        <f t="shared" si="64"/>
        <v>0</v>
      </c>
      <c r="BN28" s="4504">
        <f t="shared" si="65"/>
        <v>0</v>
      </c>
      <c r="BO28" s="4504">
        <f t="shared" si="66"/>
        <v>0</v>
      </c>
      <c r="BP28" s="4504">
        <f t="shared" si="67"/>
        <v>0</v>
      </c>
      <c r="BQ28" s="4504">
        <f t="shared" si="68"/>
        <v>0</v>
      </c>
      <c r="BR28" s="4504">
        <f t="shared" si="69"/>
        <v>0</v>
      </c>
      <c r="BS28" s="4504">
        <f t="shared" si="70"/>
        <v>0</v>
      </c>
      <c r="BT28" s="4504">
        <f t="shared" si="71"/>
        <v>0</v>
      </c>
      <c r="BU28" s="4504">
        <f t="shared" si="72"/>
        <v>0</v>
      </c>
      <c r="BV28" s="4504">
        <f t="shared" si="73"/>
        <v>0</v>
      </c>
      <c r="BW28" s="4504">
        <f t="shared" si="74"/>
        <v>0</v>
      </c>
      <c r="BX28" s="4504">
        <f t="shared" si="75"/>
        <v>0</v>
      </c>
      <c r="BY28" s="4504">
        <f t="shared" si="76"/>
        <v>0</v>
      </c>
      <c r="BZ28" s="4504">
        <f t="shared" si="77"/>
        <v>0</v>
      </c>
      <c r="CA28" s="4504">
        <f t="shared" si="78"/>
        <v>0</v>
      </c>
      <c r="CB28" s="4504">
        <f t="shared" si="79"/>
        <v>0</v>
      </c>
      <c r="CC28" s="4504">
        <f t="shared" si="80"/>
        <v>0</v>
      </c>
      <c r="CD28" s="4504">
        <f t="shared" si="81"/>
        <v>0</v>
      </c>
      <c r="CE28" s="4504">
        <f t="shared" si="82"/>
        <v>0</v>
      </c>
      <c r="CF28" s="4504">
        <f t="shared" si="83"/>
        <v>0</v>
      </c>
      <c r="CG28" s="4504">
        <f t="shared" si="84"/>
        <v>0</v>
      </c>
      <c r="CH28" s="4504">
        <f t="shared" si="85"/>
        <v>0</v>
      </c>
      <c r="CI28" s="4504">
        <f t="shared" si="86"/>
        <v>0</v>
      </c>
      <c r="CJ28" s="4504">
        <f t="shared" si="87"/>
        <v>0</v>
      </c>
      <c r="CK28" s="4504">
        <f t="shared" si="88"/>
        <v>0</v>
      </c>
    </row>
    <row r="29" spans="1:89">
      <c r="A29" s="2739"/>
      <c r="B29" s="3617">
        <v>20306</v>
      </c>
      <c r="C29" s="3600">
        <v>0.1</v>
      </c>
      <c r="D29" s="2742" t="s">
        <v>409</v>
      </c>
      <c r="E29" s="2727">
        <f>'11.2. ДА за периода'!E29</f>
        <v>0.61173180082035017</v>
      </c>
      <c r="F29" s="1228">
        <f>SUMIF('9.Инвестиционна програма'!$B$12:$B$35,$B29,'9.Инвестиционна програма'!H$12:H$35)*$E$6</f>
        <v>0</v>
      </c>
      <c r="G29" s="1224">
        <f>SUMIF('9.Инвестиционна програма'!$B$12:$B$35,$B29,'9.Инвестиционна програма'!I$12:I$35)*$E$6</f>
        <v>0</v>
      </c>
      <c r="H29" s="1224">
        <f>SUMIF('9.Инвестиционна програма'!$B$12:$B$35,$B29,'9.Инвестиционна програма'!J$12:J$35)*$E$6</f>
        <v>0</v>
      </c>
      <c r="I29" s="1224">
        <f>SUMIF('9.Инвестиционна програма'!$B$12:$B$35,$B29,'9.Инвестиционна програма'!K$12:K$35)*$E$6</f>
        <v>0</v>
      </c>
      <c r="J29" s="1224">
        <f>SUMIF('9.Инвестиционна програма'!$B$12:$B$35,$B29,'9.Инвестиционна програма'!L$12:L$35)*$E$6</f>
        <v>0</v>
      </c>
      <c r="K29" s="1229">
        <f>SUMIF('9.Инвестиционна програма'!$B$12:$B$35,$B29,'9.Инвестиционна програма'!M$12:M$35)*$E$6</f>
        <v>0</v>
      </c>
      <c r="L29" s="2727">
        <f>'11.2. ДА за периода'!L29</f>
        <v>0.44294187622399184</v>
      </c>
      <c r="M29" s="1232">
        <f>SUMIF('9.Инвестиционна програма'!$B$37:$B$47,$B29,'9.Инвестиционна програма'!H$37:H$47)*$E$6</f>
        <v>0</v>
      </c>
      <c r="N29" s="1226">
        <f>SUMIF('9.Инвестиционна програма'!$B$37:$B$47,$B29,'9.Инвестиционна програма'!I$37:I$47)*$E$6</f>
        <v>0</v>
      </c>
      <c r="O29" s="1226">
        <f>SUMIF('9.Инвестиционна програма'!$B$37:$B$47,$B29,'9.Инвестиционна програма'!J$37:J$47)*$E$6</f>
        <v>0</v>
      </c>
      <c r="P29" s="1226">
        <f>SUMIF('9.Инвестиционна програма'!$B$37:$B$47,$B29,'9.Инвестиционна програма'!K$37:K$47)*$E$6</f>
        <v>0</v>
      </c>
      <c r="Q29" s="1226">
        <f>SUMIF('9.Инвестиционна програма'!$B$37:$B$47,$B29,'9.Инвестиционна програма'!L$37:L$47)*$E$6</f>
        <v>0</v>
      </c>
      <c r="R29" s="1227">
        <f>SUMIF('9.Инвестиционна програма'!$B$37:$B$47,$B29,'9.Инвестиционна програма'!M$37:M$47)*$E$6</f>
        <v>0</v>
      </c>
      <c r="S29" s="1113">
        <f>'11.2. ДА за периода'!S29</f>
        <v>0.54046993558037837</v>
      </c>
      <c r="T29" s="906">
        <f>SUMIF('9.Инвестиционна програма'!$B$49:$B$56,$B29,'9.Инвестиционна програма'!H$49:H$56)*$E$6</f>
        <v>0</v>
      </c>
      <c r="U29" s="906">
        <f>SUMIF('9.Инвестиционна програма'!$B$49:$B$56,$B29,'9.Инвестиционна програма'!I$49:I$56)*$E$6</f>
        <v>0</v>
      </c>
      <c r="V29" s="906">
        <f>SUMIF('9.Инвестиционна програма'!$B$49:$B$56,$B29,'9.Инвестиционна програма'!J$49:J$56)*$E$6</f>
        <v>0</v>
      </c>
      <c r="W29" s="906">
        <f>SUMIF('9.Инвестиционна програма'!$B$49:$B$56,$B29,'9.Инвестиционна програма'!K$49:K$56)*$E$6</f>
        <v>0</v>
      </c>
      <c r="X29" s="906">
        <f>SUMIF('9.Инвестиционна програма'!$B$49:$B$56,$B29,'9.Инвестиционна програма'!L$49:L$56)*$E$6</f>
        <v>0</v>
      </c>
      <c r="Y29" s="2728">
        <f>SUMIF('9.Инвестиционна програма'!$B$49:$B$56,$B29,'9.Инвестиционна програма'!M$49:M$56)*$E$6</f>
        <v>0</v>
      </c>
      <c r="Z29" s="1113">
        <f>'11.2. ДА за периода'!Z29</f>
        <v>0</v>
      </c>
      <c r="AA29" s="906">
        <f>SUMIF('9.Инвестиционна програма'!$B$74:$B$97,$B29,'9.Инвестиционна програма'!H$74:H$97)*$E$6</f>
        <v>0</v>
      </c>
      <c r="AB29" s="906">
        <f>SUMIF('9.Инвестиционна програма'!$B$74:$B$97,$B29,'9.Инвестиционна програма'!I$74:I$97)*$E$6</f>
        <v>0</v>
      </c>
      <c r="AC29" s="906">
        <f>SUMIF('9.Инвестиционна програма'!$B$74:$B$97,$B29,'9.Инвестиционна програма'!J$74:J$97)*$E$6</f>
        <v>0</v>
      </c>
      <c r="AD29" s="906">
        <f>SUMIF('9.Инвестиционна програма'!$B$74:$B$97,$B29,'9.Инвестиционна програма'!K$74:K$97)*$E$6</f>
        <v>0</v>
      </c>
      <c r="AE29" s="906">
        <f>SUMIF('9.Инвестиционна програма'!$B$74:$B$97,$B29,'9.Инвестиционна програма'!L$74:L$97)*$E$6</f>
        <v>0</v>
      </c>
      <c r="AF29" s="906">
        <f>SUMIF('9.Инвестиционна програма'!$B$74:$B$97,$B29,'9.Инвестиционна програма'!M$74:M$97)*$E$6</f>
        <v>0</v>
      </c>
      <c r="AG29" s="1113">
        <f>'11.2. ДА за периода'!AG29</f>
        <v>2.5320644091142347E-2</v>
      </c>
      <c r="AH29" s="906">
        <f>SUMIF('9.Инвестиционна програма'!$B$100:$B$123,$B29,'9.Инвестиционна програма'!H$100:H$123)*$E$6</f>
        <v>2</v>
      </c>
      <c r="AI29" s="906">
        <f>SUMIF('9.Инвестиционна програма'!$B$100:$B$123,$B29,'9.Инвестиционна програма'!I$100:I$123)*$E$6</f>
        <v>0</v>
      </c>
      <c r="AJ29" s="906">
        <f>SUMIF('9.Инвестиционна програма'!$B$100:$B$123,$B29,'9.Инвестиционна програма'!J$100:J$123)*$E$6</f>
        <v>0</v>
      </c>
      <c r="AK29" s="906">
        <f>SUMIF('9.Инвестиционна програма'!$B$100:$B$123,$B29,'9.Инвестиционна програма'!K$100:K$123)*$E$6</f>
        <v>0</v>
      </c>
      <c r="AL29" s="906">
        <f>SUMIF('9.Инвестиционна програма'!$B$100:$B$123,$B29,'9.Инвестиционна програма'!L$100:L$123)*$E$6</f>
        <v>0</v>
      </c>
      <c r="AM29" s="906">
        <f>SUMIF('9.Инвестиционна програма'!$B$100:$B$123,$B29,'9.Инвестиционна програма'!M$100:M$123)*$E$6</f>
        <v>0</v>
      </c>
      <c r="AN29" s="1113">
        <f>'11.2. ДА за периода'!AN29</f>
        <v>0</v>
      </c>
      <c r="AO29" s="1232">
        <f>(SUMIF('9.Инвестиционна програма'!$B$58:$B$59,$B29,'9.Инвестиционна програма'!H$58:H$59)+SUMIF('9.Инвестиционна програма'!$B$61:$B$71,$B29,'9.Инвестиционна програма'!H$61:H$71))*$E$6</f>
        <v>73</v>
      </c>
      <c r="AP29" s="906">
        <f>(SUMIF('9.Инвестиционна програма'!$B$58:$B$59,$B29,'9.Инвестиционна програма'!I$58:I$59)+SUMIF('9.Инвестиционна програма'!$B$61:$B$71,$B29,'9.Инвестиционна програма'!I$61:I$71))*$E$6</f>
        <v>0</v>
      </c>
      <c r="AQ29" s="906">
        <f>(SUMIF('9.Инвестиционна програма'!$B$58:$B$59,$B29,'9.Инвестиционна програма'!J$58:J$59)+SUMIF('9.Инвестиционна програма'!$B$61:$B$71,$B29,'9.Инвестиционна програма'!J$61:J$71))*$E$6</f>
        <v>0</v>
      </c>
      <c r="AR29" s="906">
        <f>(SUMIF('9.Инвестиционна програма'!$B$58:$B$59,$B29,'9.Инвестиционна програма'!K$58:K$59)+SUMIF('9.Инвестиционна програма'!$B$61:$B$71,$B29,'9.Инвестиционна програма'!K$61:K$71))*$E$6</f>
        <v>0</v>
      </c>
      <c r="AS29" s="906">
        <f>(SUMIF('9.Инвестиционна програма'!$B$58:$B$59,$B29,'9.Инвестиционна програма'!L$58:L$59)+SUMIF('9.Инвестиционна програма'!$B$61:$B$71,$B29,'9.Инвестиционна програма'!L$61:L$71))*$E$6</f>
        <v>0</v>
      </c>
      <c r="AT29" s="2728">
        <f>(SUMIF('9.Инвестиционна програма'!$B$58:$B$59,$B29,'9.Инвестиционна програма'!M$58:M$59)+SUMIF('9.Инвестиционна програма'!$B$61:$B$71,$B29,'9.Инвестиционна програма'!M$61:M$71))*$E$6</f>
        <v>0</v>
      </c>
      <c r="AU29" s="4488"/>
      <c r="AV29" s="4504">
        <f t="shared" si="47"/>
        <v>0.31277350322898728</v>
      </c>
      <c r="AW29" s="4504">
        <f t="shared" si="48"/>
        <v>0</v>
      </c>
      <c r="AX29" s="4504">
        <f t="shared" si="49"/>
        <v>0</v>
      </c>
      <c r="AY29" s="4504">
        <f t="shared" si="50"/>
        <v>0</v>
      </c>
      <c r="AZ29" s="4504">
        <f t="shared" si="51"/>
        <v>0</v>
      </c>
      <c r="BA29" s="4504">
        <f t="shared" si="52"/>
        <v>0</v>
      </c>
      <c r="BB29" s="4504">
        <f t="shared" si="53"/>
        <v>0</v>
      </c>
      <c r="BC29" s="4504">
        <f t="shared" si="54"/>
        <v>0.22647258515514734</v>
      </c>
      <c r="BD29" s="4504">
        <f t="shared" si="55"/>
        <v>0</v>
      </c>
      <c r="BE29" s="4504">
        <f t="shared" si="56"/>
        <v>0</v>
      </c>
      <c r="BF29" s="4504">
        <f t="shared" si="57"/>
        <v>0</v>
      </c>
      <c r="BG29" s="4504">
        <f t="shared" si="58"/>
        <v>0</v>
      </c>
      <c r="BH29" s="4504">
        <f t="shared" si="59"/>
        <v>0</v>
      </c>
      <c r="BI29" s="4504">
        <f t="shared" si="60"/>
        <v>0</v>
      </c>
      <c r="BJ29" s="4504">
        <f t="shared" si="61"/>
        <v>0.27633789009289067</v>
      </c>
      <c r="BK29" s="4504">
        <f t="shared" si="62"/>
        <v>0</v>
      </c>
      <c r="BL29" s="4504">
        <f t="shared" si="63"/>
        <v>0</v>
      </c>
      <c r="BM29" s="4504">
        <f t="shared" si="64"/>
        <v>0</v>
      </c>
      <c r="BN29" s="4504">
        <f t="shared" si="65"/>
        <v>0</v>
      </c>
      <c r="BO29" s="4504">
        <f t="shared" si="66"/>
        <v>0</v>
      </c>
      <c r="BP29" s="4504">
        <f t="shared" si="67"/>
        <v>0</v>
      </c>
      <c r="BQ29" s="4504">
        <f t="shared" si="68"/>
        <v>0</v>
      </c>
      <c r="BR29" s="4504">
        <f t="shared" si="69"/>
        <v>0</v>
      </c>
      <c r="BS29" s="4504">
        <f t="shared" si="70"/>
        <v>0</v>
      </c>
      <c r="BT29" s="4504">
        <f t="shared" si="71"/>
        <v>0</v>
      </c>
      <c r="BU29" s="4504">
        <f t="shared" si="72"/>
        <v>0</v>
      </c>
      <c r="BV29" s="4504">
        <f t="shared" si="73"/>
        <v>0</v>
      </c>
      <c r="BW29" s="4504">
        <f t="shared" si="74"/>
        <v>0</v>
      </c>
      <c r="BX29" s="4504">
        <f t="shared" si="75"/>
        <v>1.2946239750460085E-2</v>
      </c>
      <c r="BY29" s="4504">
        <f t="shared" si="76"/>
        <v>1.022583762392437</v>
      </c>
      <c r="BZ29" s="4504">
        <f t="shared" si="77"/>
        <v>0</v>
      </c>
      <c r="CA29" s="4504">
        <f t="shared" si="78"/>
        <v>0</v>
      </c>
      <c r="CB29" s="4504">
        <f t="shared" si="79"/>
        <v>0</v>
      </c>
      <c r="CC29" s="4504">
        <f t="shared" si="80"/>
        <v>0</v>
      </c>
      <c r="CD29" s="4504">
        <f t="shared" si="81"/>
        <v>0</v>
      </c>
      <c r="CE29" s="4504">
        <f t="shared" si="82"/>
        <v>0</v>
      </c>
      <c r="CF29" s="4504">
        <f t="shared" si="83"/>
        <v>37.32430732732395</v>
      </c>
      <c r="CG29" s="4504">
        <f t="shared" si="84"/>
        <v>0</v>
      </c>
      <c r="CH29" s="4504">
        <f t="shared" si="85"/>
        <v>0</v>
      </c>
      <c r="CI29" s="4504">
        <f t="shared" si="86"/>
        <v>0</v>
      </c>
      <c r="CJ29" s="4504">
        <f t="shared" si="87"/>
        <v>0</v>
      </c>
      <c r="CK29" s="4504">
        <f t="shared" si="88"/>
        <v>0</v>
      </c>
    </row>
    <row r="30" spans="1:89" ht="14.25" customHeight="1">
      <c r="A30" s="2732">
        <v>4</v>
      </c>
      <c r="B30" s="3616">
        <v>204</v>
      </c>
      <c r="C30" s="3599"/>
      <c r="D30" s="2750" t="s">
        <v>211</v>
      </c>
      <c r="E30" s="2734">
        <f>E31+E34+E43+E44</f>
        <v>580.32797581283057</v>
      </c>
      <c r="F30" s="2735">
        <f t="shared" ref="F30:AT30" si="95">F31+F34+F43+F44</f>
        <v>424.25</v>
      </c>
      <c r="G30" s="2736">
        <f t="shared" si="95"/>
        <v>531</v>
      </c>
      <c r="H30" s="2736">
        <f t="shared" si="95"/>
        <v>539</v>
      </c>
      <c r="I30" s="2736">
        <f t="shared" si="95"/>
        <v>550</v>
      </c>
      <c r="J30" s="2736">
        <f t="shared" si="95"/>
        <v>552</v>
      </c>
      <c r="K30" s="2737">
        <f t="shared" si="95"/>
        <v>554</v>
      </c>
      <c r="L30" s="2734">
        <f t="shared" si="95"/>
        <v>9.1790699999999994</v>
      </c>
      <c r="M30" s="2735">
        <f t="shared" si="95"/>
        <v>20</v>
      </c>
      <c r="N30" s="2736">
        <f t="shared" si="95"/>
        <v>5</v>
      </c>
      <c r="O30" s="2736">
        <f t="shared" si="95"/>
        <v>5</v>
      </c>
      <c r="P30" s="2736">
        <f t="shared" si="95"/>
        <v>5</v>
      </c>
      <c r="Q30" s="2736">
        <f t="shared" si="95"/>
        <v>5</v>
      </c>
      <c r="R30" s="2737">
        <f t="shared" si="95"/>
        <v>5</v>
      </c>
      <c r="S30" s="2732">
        <f t="shared" si="95"/>
        <v>0</v>
      </c>
      <c r="T30" s="2738">
        <f t="shared" si="95"/>
        <v>12</v>
      </c>
      <c r="U30" s="2736">
        <f t="shared" si="95"/>
        <v>30</v>
      </c>
      <c r="V30" s="2736">
        <f t="shared" si="95"/>
        <v>30</v>
      </c>
      <c r="W30" s="2736">
        <f t="shared" si="95"/>
        <v>30</v>
      </c>
      <c r="X30" s="2736">
        <f t="shared" si="95"/>
        <v>30</v>
      </c>
      <c r="Y30" s="2737">
        <f t="shared" si="95"/>
        <v>30</v>
      </c>
      <c r="Z30" s="2732">
        <f t="shared" si="95"/>
        <v>0</v>
      </c>
      <c r="AA30" s="2738">
        <f t="shared" si="95"/>
        <v>0</v>
      </c>
      <c r="AB30" s="2736">
        <f t="shared" si="95"/>
        <v>0</v>
      </c>
      <c r="AC30" s="2736">
        <f t="shared" si="95"/>
        <v>0</v>
      </c>
      <c r="AD30" s="2736">
        <f t="shared" si="95"/>
        <v>0</v>
      </c>
      <c r="AE30" s="2736">
        <f t="shared" si="95"/>
        <v>0</v>
      </c>
      <c r="AF30" s="2737">
        <f t="shared" si="95"/>
        <v>0</v>
      </c>
      <c r="AG30" s="2732">
        <f t="shared" si="95"/>
        <v>29.204694187169277</v>
      </c>
      <c r="AH30" s="2738">
        <f t="shared" si="95"/>
        <v>3</v>
      </c>
      <c r="AI30" s="2736">
        <f t="shared" si="95"/>
        <v>220</v>
      </c>
      <c r="AJ30" s="2736">
        <f t="shared" si="95"/>
        <v>95</v>
      </c>
      <c r="AK30" s="2736">
        <f t="shared" si="95"/>
        <v>90</v>
      </c>
      <c r="AL30" s="2736">
        <f t="shared" si="95"/>
        <v>115</v>
      </c>
      <c r="AM30" s="2737">
        <f t="shared" si="95"/>
        <v>115</v>
      </c>
      <c r="AN30" s="2732">
        <f t="shared" si="95"/>
        <v>0</v>
      </c>
      <c r="AO30" s="2738">
        <f t="shared" si="95"/>
        <v>0</v>
      </c>
      <c r="AP30" s="2736">
        <f t="shared" si="95"/>
        <v>0</v>
      </c>
      <c r="AQ30" s="2736">
        <f t="shared" si="95"/>
        <v>0</v>
      </c>
      <c r="AR30" s="2736">
        <f t="shared" si="95"/>
        <v>0</v>
      </c>
      <c r="AS30" s="2736">
        <f t="shared" si="95"/>
        <v>0</v>
      </c>
      <c r="AT30" s="2737">
        <f t="shared" si="95"/>
        <v>0</v>
      </c>
      <c r="AU30" s="4488"/>
      <c r="AV30" s="4504">
        <f t="shared" si="47"/>
        <v>296.71698246413575</v>
      </c>
      <c r="AW30" s="4504">
        <f t="shared" si="48"/>
        <v>216.9155805974957</v>
      </c>
      <c r="AX30" s="4504">
        <f t="shared" si="49"/>
        <v>271.49598891519202</v>
      </c>
      <c r="AY30" s="4504">
        <f t="shared" si="50"/>
        <v>275.58632396476179</v>
      </c>
      <c r="AZ30" s="4504">
        <f t="shared" si="51"/>
        <v>281.21053465792016</v>
      </c>
      <c r="BA30" s="4504">
        <f t="shared" si="52"/>
        <v>282.23311842031262</v>
      </c>
      <c r="BB30" s="4504">
        <f t="shared" si="53"/>
        <v>283.25570218270502</v>
      </c>
      <c r="BC30" s="4504">
        <f t="shared" si="54"/>
        <v>4.6931839679317733</v>
      </c>
      <c r="BD30" s="4504">
        <f t="shared" si="55"/>
        <v>10.22583762392437</v>
      </c>
      <c r="BE30" s="4504">
        <f t="shared" si="56"/>
        <v>2.5564594059810926</v>
      </c>
      <c r="BF30" s="4504">
        <f t="shared" si="57"/>
        <v>2.5564594059810926</v>
      </c>
      <c r="BG30" s="4504">
        <f t="shared" si="58"/>
        <v>2.5564594059810926</v>
      </c>
      <c r="BH30" s="4504">
        <f t="shared" si="59"/>
        <v>2.5564594059810926</v>
      </c>
      <c r="BI30" s="4504">
        <f t="shared" si="60"/>
        <v>2.5564594059810926</v>
      </c>
      <c r="BJ30" s="4504">
        <f t="shared" si="61"/>
        <v>0</v>
      </c>
      <c r="BK30" s="4504">
        <f t="shared" si="62"/>
        <v>6.1355025743546223</v>
      </c>
      <c r="BL30" s="4504">
        <f t="shared" si="63"/>
        <v>15.338756435886555</v>
      </c>
      <c r="BM30" s="4504">
        <f t="shared" si="64"/>
        <v>15.338756435886555</v>
      </c>
      <c r="BN30" s="4504">
        <f t="shared" si="65"/>
        <v>15.338756435886555</v>
      </c>
      <c r="BO30" s="4504">
        <f t="shared" si="66"/>
        <v>15.338756435886555</v>
      </c>
      <c r="BP30" s="4504">
        <f t="shared" si="67"/>
        <v>15.338756435886555</v>
      </c>
      <c r="BQ30" s="4504">
        <f t="shared" si="68"/>
        <v>0</v>
      </c>
      <c r="BR30" s="4504">
        <f t="shared" si="69"/>
        <v>0</v>
      </c>
      <c r="BS30" s="4504">
        <f t="shared" si="70"/>
        <v>0</v>
      </c>
      <c r="BT30" s="4504">
        <f t="shared" si="71"/>
        <v>0</v>
      </c>
      <c r="BU30" s="4504">
        <f t="shared" si="72"/>
        <v>0</v>
      </c>
      <c r="BV30" s="4504">
        <f t="shared" si="73"/>
        <v>0</v>
      </c>
      <c r="BW30" s="4504">
        <f t="shared" si="74"/>
        <v>0</v>
      </c>
      <c r="BX30" s="4504">
        <f t="shared" si="75"/>
        <v>14.932123030718047</v>
      </c>
      <c r="BY30" s="4504">
        <f t="shared" si="76"/>
        <v>1.5338756435886556</v>
      </c>
      <c r="BZ30" s="4504">
        <f t="shared" si="77"/>
        <v>112.48421386316807</v>
      </c>
      <c r="CA30" s="4504">
        <f t="shared" si="78"/>
        <v>48.572728713640757</v>
      </c>
      <c r="CB30" s="4504">
        <f t="shared" si="79"/>
        <v>46.016269307659663</v>
      </c>
      <c r="CC30" s="4504">
        <f t="shared" si="80"/>
        <v>58.798566337565127</v>
      </c>
      <c r="CD30" s="4504">
        <f t="shared" si="81"/>
        <v>58.798566337565127</v>
      </c>
      <c r="CE30" s="4504">
        <f t="shared" si="82"/>
        <v>0</v>
      </c>
      <c r="CF30" s="4504">
        <f t="shared" si="83"/>
        <v>0</v>
      </c>
      <c r="CG30" s="4504">
        <f t="shared" si="84"/>
        <v>0</v>
      </c>
      <c r="CH30" s="4504">
        <f t="shared" si="85"/>
        <v>0</v>
      </c>
      <c r="CI30" s="4504">
        <f t="shared" si="86"/>
        <v>0</v>
      </c>
      <c r="CJ30" s="4504">
        <f t="shared" si="87"/>
        <v>0</v>
      </c>
      <c r="CK30" s="4504">
        <f t="shared" si="88"/>
        <v>0</v>
      </c>
    </row>
    <row r="31" spans="1:89">
      <c r="A31" s="2739"/>
      <c r="B31" s="3617">
        <v>20401</v>
      </c>
      <c r="C31" s="3600"/>
      <c r="D31" s="2731" t="s">
        <v>417</v>
      </c>
      <c r="E31" s="2743">
        <f t="shared" ref="E31:AT31" si="96">SUM(E32:E33)</f>
        <v>0</v>
      </c>
      <c r="F31" s="2744">
        <f t="shared" si="96"/>
        <v>0</v>
      </c>
      <c r="G31" s="2745">
        <f t="shared" si="96"/>
        <v>0</v>
      </c>
      <c r="H31" s="2745">
        <f t="shared" si="96"/>
        <v>0</v>
      </c>
      <c r="I31" s="2745">
        <f t="shared" si="96"/>
        <v>0</v>
      </c>
      <c r="J31" s="2745">
        <f t="shared" si="96"/>
        <v>0</v>
      </c>
      <c r="K31" s="2746">
        <f t="shared" si="96"/>
        <v>0</v>
      </c>
      <c r="L31" s="2743">
        <f t="shared" si="96"/>
        <v>0</v>
      </c>
      <c r="M31" s="2744">
        <f t="shared" si="96"/>
        <v>0</v>
      </c>
      <c r="N31" s="2745">
        <f t="shared" si="96"/>
        <v>0</v>
      </c>
      <c r="O31" s="2745">
        <f t="shared" si="96"/>
        <v>0</v>
      </c>
      <c r="P31" s="2745">
        <f t="shared" si="96"/>
        <v>0</v>
      </c>
      <c r="Q31" s="2745">
        <f t="shared" si="96"/>
        <v>0</v>
      </c>
      <c r="R31" s="2746">
        <f t="shared" si="96"/>
        <v>0</v>
      </c>
      <c r="S31" s="2747">
        <f t="shared" si="96"/>
        <v>0</v>
      </c>
      <c r="T31" s="2748">
        <f t="shared" si="96"/>
        <v>0</v>
      </c>
      <c r="U31" s="2745">
        <f t="shared" si="96"/>
        <v>0</v>
      </c>
      <c r="V31" s="2745">
        <f t="shared" si="96"/>
        <v>0</v>
      </c>
      <c r="W31" s="2745">
        <f t="shared" si="96"/>
        <v>0</v>
      </c>
      <c r="X31" s="2745">
        <f t="shared" si="96"/>
        <v>0</v>
      </c>
      <c r="Y31" s="2746">
        <f t="shared" si="96"/>
        <v>0</v>
      </c>
      <c r="Z31" s="2747">
        <f t="shared" ref="Z31:AM31" si="97">SUM(Z32:Z33)</f>
        <v>0</v>
      </c>
      <c r="AA31" s="2748">
        <f t="shared" si="97"/>
        <v>0</v>
      </c>
      <c r="AB31" s="2745">
        <f t="shared" si="97"/>
        <v>0</v>
      </c>
      <c r="AC31" s="2745">
        <f t="shared" si="97"/>
        <v>0</v>
      </c>
      <c r="AD31" s="2745">
        <f t="shared" si="97"/>
        <v>0</v>
      </c>
      <c r="AE31" s="2745">
        <f t="shared" si="97"/>
        <v>0</v>
      </c>
      <c r="AF31" s="2746">
        <f t="shared" si="97"/>
        <v>0</v>
      </c>
      <c r="AG31" s="2747">
        <f t="shared" si="97"/>
        <v>0</v>
      </c>
      <c r="AH31" s="2748">
        <f t="shared" si="97"/>
        <v>0</v>
      </c>
      <c r="AI31" s="2745">
        <f t="shared" si="97"/>
        <v>0</v>
      </c>
      <c r="AJ31" s="2745">
        <f t="shared" si="97"/>
        <v>0</v>
      </c>
      <c r="AK31" s="2745">
        <f t="shared" si="97"/>
        <v>0</v>
      </c>
      <c r="AL31" s="2745">
        <f t="shared" si="97"/>
        <v>0</v>
      </c>
      <c r="AM31" s="2746">
        <f t="shared" si="97"/>
        <v>0</v>
      </c>
      <c r="AN31" s="2747">
        <f t="shared" si="96"/>
        <v>0</v>
      </c>
      <c r="AO31" s="2748">
        <f t="shared" si="96"/>
        <v>0</v>
      </c>
      <c r="AP31" s="2745">
        <f t="shared" si="96"/>
        <v>0</v>
      </c>
      <c r="AQ31" s="2745">
        <f t="shared" si="96"/>
        <v>0</v>
      </c>
      <c r="AR31" s="2745">
        <f t="shared" si="96"/>
        <v>0</v>
      </c>
      <c r="AS31" s="2745">
        <f t="shared" si="96"/>
        <v>0</v>
      </c>
      <c r="AT31" s="2746">
        <f t="shared" si="96"/>
        <v>0</v>
      </c>
      <c r="AU31" s="4488"/>
      <c r="AV31" s="4504">
        <f t="shared" si="47"/>
        <v>0</v>
      </c>
      <c r="AW31" s="4504">
        <f t="shared" si="48"/>
        <v>0</v>
      </c>
      <c r="AX31" s="4504">
        <f t="shared" si="49"/>
        <v>0</v>
      </c>
      <c r="AY31" s="4504">
        <f t="shared" si="50"/>
        <v>0</v>
      </c>
      <c r="AZ31" s="4504">
        <f t="shared" si="51"/>
        <v>0</v>
      </c>
      <c r="BA31" s="4504">
        <f t="shared" si="52"/>
        <v>0</v>
      </c>
      <c r="BB31" s="4504">
        <f t="shared" si="53"/>
        <v>0</v>
      </c>
      <c r="BC31" s="4504">
        <f t="shared" si="54"/>
        <v>0</v>
      </c>
      <c r="BD31" s="4504">
        <f t="shared" si="55"/>
        <v>0</v>
      </c>
      <c r="BE31" s="4504">
        <f t="shared" si="56"/>
        <v>0</v>
      </c>
      <c r="BF31" s="4504">
        <f t="shared" si="57"/>
        <v>0</v>
      </c>
      <c r="BG31" s="4504">
        <f t="shared" si="58"/>
        <v>0</v>
      </c>
      <c r="BH31" s="4504">
        <f t="shared" si="59"/>
        <v>0</v>
      </c>
      <c r="BI31" s="4504">
        <f t="shared" si="60"/>
        <v>0</v>
      </c>
      <c r="BJ31" s="4504">
        <f t="shared" si="61"/>
        <v>0</v>
      </c>
      <c r="BK31" s="4504">
        <f t="shared" si="62"/>
        <v>0</v>
      </c>
      <c r="BL31" s="4504">
        <f t="shared" si="63"/>
        <v>0</v>
      </c>
      <c r="BM31" s="4504">
        <f t="shared" si="64"/>
        <v>0</v>
      </c>
      <c r="BN31" s="4504">
        <f t="shared" si="65"/>
        <v>0</v>
      </c>
      <c r="BO31" s="4504">
        <f t="shared" si="66"/>
        <v>0</v>
      </c>
      <c r="BP31" s="4504">
        <f t="shared" si="67"/>
        <v>0</v>
      </c>
      <c r="BQ31" s="4504">
        <f t="shared" si="68"/>
        <v>0</v>
      </c>
      <c r="BR31" s="4504">
        <f t="shared" si="69"/>
        <v>0</v>
      </c>
      <c r="BS31" s="4504">
        <f t="shared" si="70"/>
        <v>0</v>
      </c>
      <c r="BT31" s="4504">
        <f t="shared" si="71"/>
        <v>0</v>
      </c>
      <c r="BU31" s="4504">
        <f t="shared" si="72"/>
        <v>0</v>
      </c>
      <c r="BV31" s="4504">
        <f t="shared" si="73"/>
        <v>0</v>
      </c>
      <c r="BW31" s="4504">
        <f t="shared" si="74"/>
        <v>0</v>
      </c>
      <c r="BX31" s="4504">
        <f t="shared" si="75"/>
        <v>0</v>
      </c>
      <c r="BY31" s="4504">
        <f t="shared" si="76"/>
        <v>0</v>
      </c>
      <c r="BZ31" s="4504">
        <f t="shared" si="77"/>
        <v>0</v>
      </c>
      <c r="CA31" s="4504">
        <f t="shared" si="78"/>
        <v>0</v>
      </c>
      <c r="CB31" s="4504">
        <f t="shared" si="79"/>
        <v>0</v>
      </c>
      <c r="CC31" s="4504">
        <f t="shared" si="80"/>
        <v>0</v>
      </c>
      <c r="CD31" s="4504">
        <f t="shared" si="81"/>
        <v>0</v>
      </c>
      <c r="CE31" s="4504">
        <f t="shared" si="82"/>
        <v>0</v>
      </c>
      <c r="CF31" s="4504">
        <f t="shared" si="83"/>
        <v>0</v>
      </c>
      <c r="CG31" s="4504">
        <f t="shared" si="84"/>
        <v>0</v>
      </c>
      <c r="CH31" s="4504">
        <f t="shared" si="85"/>
        <v>0</v>
      </c>
      <c r="CI31" s="4504">
        <f t="shared" si="86"/>
        <v>0</v>
      </c>
      <c r="CJ31" s="4504">
        <f t="shared" si="87"/>
        <v>0</v>
      </c>
      <c r="CK31" s="4504">
        <f t="shared" si="88"/>
        <v>0</v>
      </c>
    </row>
    <row r="32" spans="1:89">
      <c r="A32" s="2739"/>
      <c r="B32" s="3618">
        <v>2040101</v>
      </c>
      <c r="C32" s="3601">
        <v>0.1</v>
      </c>
      <c r="D32" s="2751" t="s">
        <v>431</v>
      </c>
      <c r="E32" s="2727">
        <f>'11.2. ДА за периода'!E32</f>
        <v>0</v>
      </c>
      <c r="F32" s="1228">
        <f>SUMIF('9.Инвестиционна програма'!$B$12:$B$35,$B32,'9.Инвестиционна програма'!H$12:H$35)*$E$6</f>
        <v>0</v>
      </c>
      <c r="G32" s="1224">
        <f>SUMIF('9.Инвестиционна програма'!$B$12:$B$35,$B32,'9.Инвестиционна програма'!I$12:I$35)*$E$6</f>
        <v>0</v>
      </c>
      <c r="H32" s="1224">
        <f>SUMIF('9.Инвестиционна програма'!$B$12:$B$35,$B32,'9.Инвестиционна програма'!J$12:J$35)*$E$6</f>
        <v>0</v>
      </c>
      <c r="I32" s="1224">
        <f>SUMIF('9.Инвестиционна програма'!$B$12:$B$35,$B32,'9.Инвестиционна програма'!K$12:K$35)*$E$6</f>
        <v>0</v>
      </c>
      <c r="J32" s="1224">
        <f>SUMIF('9.Инвестиционна програма'!$B$12:$B$35,$B32,'9.Инвестиционна програма'!L$12:L$35)*$E$6</f>
        <v>0</v>
      </c>
      <c r="K32" s="1229">
        <f>SUMIF('9.Инвестиционна програма'!$B$12:$B$35,$B32,'9.Инвестиционна програма'!M$12:M$35)*$E$6</f>
        <v>0</v>
      </c>
      <c r="L32" s="2727">
        <f>'11.2. ДА за периода'!L32</f>
        <v>0</v>
      </c>
      <c r="M32" s="1232">
        <f>SUMIF('9.Инвестиционна програма'!$B$37:$B$47,$B32,'9.Инвестиционна програма'!H$37:H$47)*$E$6</f>
        <v>0</v>
      </c>
      <c r="N32" s="1226">
        <f>SUMIF('9.Инвестиционна програма'!$B$37:$B$47,$B32,'9.Инвестиционна програма'!I$37:I$47)*$E$6</f>
        <v>0</v>
      </c>
      <c r="O32" s="1226">
        <f>SUMIF('9.Инвестиционна програма'!$B$37:$B$47,$B32,'9.Инвестиционна програма'!J$37:J$47)*$E$6</f>
        <v>0</v>
      </c>
      <c r="P32" s="1226">
        <f>SUMIF('9.Инвестиционна програма'!$B$37:$B$47,$B32,'9.Инвестиционна програма'!K$37:K$47)*$E$6</f>
        <v>0</v>
      </c>
      <c r="Q32" s="1226">
        <f>SUMIF('9.Инвестиционна програма'!$B$37:$B$47,$B32,'9.Инвестиционна програма'!L$37:L$47)*$E$6</f>
        <v>0</v>
      </c>
      <c r="R32" s="1227">
        <f>SUMIF('9.Инвестиционна програма'!$B$37:$B$47,$B32,'9.Инвестиционна програма'!M$37:M$47)*$E$6</f>
        <v>0</v>
      </c>
      <c r="S32" s="1113">
        <f>'11.2. ДА за периода'!S32</f>
        <v>0</v>
      </c>
      <c r="T32" s="906">
        <f>SUMIF('9.Инвестиционна програма'!$B$49:$B$56,$B32,'9.Инвестиционна програма'!H$49:H$56)*$E$6</f>
        <v>0</v>
      </c>
      <c r="U32" s="906">
        <f>SUMIF('9.Инвестиционна програма'!$B$49:$B$56,$B32,'9.Инвестиционна програма'!I$49:I$56)*$E$6</f>
        <v>0</v>
      </c>
      <c r="V32" s="906">
        <f>SUMIF('9.Инвестиционна програма'!$B$49:$B$56,$B32,'9.Инвестиционна програма'!J$49:J$56)*$E$6</f>
        <v>0</v>
      </c>
      <c r="W32" s="906">
        <f>SUMIF('9.Инвестиционна програма'!$B$49:$B$56,$B32,'9.Инвестиционна програма'!K$49:K$56)*$E$6</f>
        <v>0</v>
      </c>
      <c r="X32" s="906">
        <f>SUMIF('9.Инвестиционна програма'!$B$49:$B$56,$B32,'9.Инвестиционна програма'!L$49:L$56)*$E$6</f>
        <v>0</v>
      </c>
      <c r="Y32" s="2728">
        <f>SUMIF('9.Инвестиционна програма'!$B$49:$B$56,$B32,'9.Инвестиционна програма'!M$49:M$56)*$E$6</f>
        <v>0</v>
      </c>
      <c r="Z32" s="1113">
        <f>'11.2. ДА за периода'!Z32</f>
        <v>0</v>
      </c>
      <c r="AA32" s="906">
        <f>SUMIF('9.Инвестиционна програма'!$B$74:$B$97,$B32,'9.Инвестиционна програма'!H$74:H$97)*$E$6</f>
        <v>0</v>
      </c>
      <c r="AB32" s="906">
        <f>SUMIF('9.Инвестиционна програма'!$B$74:$B$97,$B32,'9.Инвестиционна програма'!I$74:I$97)*$E$6</f>
        <v>0</v>
      </c>
      <c r="AC32" s="906">
        <f>SUMIF('9.Инвестиционна програма'!$B$74:$B$97,$B32,'9.Инвестиционна програма'!J$74:J$97)*$E$6</f>
        <v>0</v>
      </c>
      <c r="AD32" s="906">
        <f>SUMIF('9.Инвестиционна програма'!$B$74:$B$97,$B32,'9.Инвестиционна програма'!K$74:K$97)*$E$6</f>
        <v>0</v>
      </c>
      <c r="AE32" s="906">
        <f>SUMIF('9.Инвестиционна програма'!$B$74:$B$97,$B32,'9.Инвестиционна програма'!L$74:L$97)*$E$6</f>
        <v>0</v>
      </c>
      <c r="AF32" s="906">
        <f>SUMIF('9.Инвестиционна програма'!$B$74:$B$97,$B32,'9.Инвестиционна програма'!M$74:M$97)*$E$6</f>
        <v>0</v>
      </c>
      <c r="AG32" s="1113">
        <f>'11.2. ДА за периода'!AG32</f>
        <v>0</v>
      </c>
      <c r="AH32" s="906">
        <f>SUMIF('9.Инвестиционна програма'!$B$100:$B$123,$B32,'9.Инвестиционна програма'!H$100:H$123)*$E$6</f>
        <v>0</v>
      </c>
      <c r="AI32" s="906">
        <f>SUMIF('9.Инвестиционна програма'!$B$100:$B$123,$B32,'9.Инвестиционна програма'!I$100:I$123)*$E$6</f>
        <v>0</v>
      </c>
      <c r="AJ32" s="906">
        <f>SUMIF('9.Инвестиционна програма'!$B$100:$B$123,$B32,'9.Инвестиционна програма'!J$100:J$123)*$E$6</f>
        <v>0</v>
      </c>
      <c r="AK32" s="906">
        <f>SUMIF('9.Инвестиционна програма'!$B$100:$B$123,$B32,'9.Инвестиционна програма'!K$100:K$123)*$E$6</f>
        <v>0</v>
      </c>
      <c r="AL32" s="906">
        <f>SUMIF('9.Инвестиционна програма'!$B$100:$B$123,$B32,'9.Инвестиционна програма'!L$100:L$123)*$E$6</f>
        <v>0</v>
      </c>
      <c r="AM32" s="906">
        <f>SUMIF('9.Инвестиционна програма'!$B$100:$B$123,$B32,'9.Инвестиционна програма'!M$100:M$123)*$E$6</f>
        <v>0</v>
      </c>
      <c r="AN32" s="1113">
        <f>'11.2. ДА за периода'!AN32</f>
        <v>0</v>
      </c>
      <c r="AO32" s="1232">
        <f>(SUMIF('9.Инвестиционна програма'!$B$58:$B$59,$B32,'9.Инвестиционна програма'!H$58:H$59)+SUMIF('9.Инвестиционна програма'!$B$61:$B$71,$B32,'9.Инвестиционна програма'!H$61:H$71))*$E$6</f>
        <v>0</v>
      </c>
      <c r="AP32" s="906">
        <f>(SUMIF('9.Инвестиционна програма'!$B$58:$B$59,$B32,'9.Инвестиционна програма'!I$58:I$59)+SUMIF('9.Инвестиционна програма'!$B$61:$B$71,$B32,'9.Инвестиционна програма'!I$61:I$71))*$E$6</f>
        <v>0</v>
      </c>
      <c r="AQ32" s="906">
        <f>(SUMIF('9.Инвестиционна програма'!$B$58:$B$59,$B32,'9.Инвестиционна програма'!J$58:J$59)+SUMIF('9.Инвестиционна програма'!$B$61:$B$71,$B32,'9.Инвестиционна програма'!J$61:J$71))*$E$6</f>
        <v>0</v>
      </c>
      <c r="AR32" s="906">
        <f>(SUMIF('9.Инвестиционна програма'!$B$58:$B$59,$B32,'9.Инвестиционна програма'!K$58:K$59)+SUMIF('9.Инвестиционна програма'!$B$61:$B$71,$B32,'9.Инвестиционна програма'!K$61:K$71))*$E$6</f>
        <v>0</v>
      </c>
      <c r="AS32" s="906">
        <f>(SUMIF('9.Инвестиционна програма'!$B$58:$B$59,$B32,'9.Инвестиционна програма'!L$58:L$59)+SUMIF('9.Инвестиционна програма'!$B$61:$B$71,$B32,'9.Инвестиционна програма'!L$61:L$71))*$E$6</f>
        <v>0</v>
      </c>
      <c r="AT32" s="2728">
        <f>(SUMIF('9.Инвестиционна програма'!$B$58:$B$59,$B32,'9.Инвестиционна програма'!M$58:M$59)+SUMIF('9.Инвестиционна програма'!$B$61:$B$71,$B32,'9.Инвестиционна програма'!M$61:M$71))*$E$6</f>
        <v>0</v>
      </c>
      <c r="AU32" s="4488"/>
      <c r="AV32" s="4504">
        <f t="shared" si="47"/>
        <v>0</v>
      </c>
      <c r="AW32" s="4504">
        <f t="shared" si="48"/>
        <v>0</v>
      </c>
      <c r="AX32" s="4504">
        <f t="shared" si="49"/>
        <v>0</v>
      </c>
      <c r="AY32" s="4504">
        <f t="shared" si="50"/>
        <v>0</v>
      </c>
      <c r="AZ32" s="4504">
        <f t="shared" si="51"/>
        <v>0</v>
      </c>
      <c r="BA32" s="4504">
        <f t="shared" si="52"/>
        <v>0</v>
      </c>
      <c r="BB32" s="4504">
        <f t="shared" si="53"/>
        <v>0</v>
      </c>
      <c r="BC32" s="4504">
        <f t="shared" si="54"/>
        <v>0</v>
      </c>
      <c r="BD32" s="4504">
        <f t="shared" si="55"/>
        <v>0</v>
      </c>
      <c r="BE32" s="4504">
        <f t="shared" si="56"/>
        <v>0</v>
      </c>
      <c r="BF32" s="4504">
        <f t="shared" si="57"/>
        <v>0</v>
      </c>
      <c r="BG32" s="4504">
        <f t="shared" si="58"/>
        <v>0</v>
      </c>
      <c r="BH32" s="4504">
        <f t="shared" si="59"/>
        <v>0</v>
      </c>
      <c r="BI32" s="4504">
        <f t="shared" si="60"/>
        <v>0</v>
      </c>
      <c r="BJ32" s="4504">
        <f t="shared" si="61"/>
        <v>0</v>
      </c>
      <c r="BK32" s="4504">
        <f t="shared" si="62"/>
        <v>0</v>
      </c>
      <c r="BL32" s="4504">
        <f t="shared" si="63"/>
        <v>0</v>
      </c>
      <c r="BM32" s="4504">
        <f t="shared" si="64"/>
        <v>0</v>
      </c>
      <c r="BN32" s="4504">
        <f t="shared" si="65"/>
        <v>0</v>
      </c>
      <c r="BO32" s="4504">
        <f t="shared" si="66"/>
        <v>0</v>
      </c>
      <c r="BP32" s="4504">
        <f t="shared" si="67"/>
        <v>0</v>
      </c>
      <c r="BQ32" s="4504">
        <f t="shared" si="68"/>
        <v>0</v>
      </c>
      <c r="BR32" s="4504">
        <f t="shared" si="69"/>
        <v>0</v>
      </c>
      <c r="BS32" s="4504">
        <f t="shared" si="70"/>
        <v>0</v>
      </c>
      <c r="BT32" s="4504">
        <f t="shared" si="71"/>
        <v>0</v>
      </c>
      <c r="BU32" s="4504">
        <f t="shared" si="72"/>
        <v>0</v>
      </c>
      <c r="BV32" s="4504">
        <f t="shared" si="73"/>
        <v>0</v>
      </c>
      <c r="BW32" s="4504">
        <f t="shared" si="74"/>
        <v>0</v>
      </c>
      <c r="BX32" s="4504">
        <f t="shared" si="75"/>
        <v>0</v>
      </c>
      <c r="BY32" s="4504">
        <f t="shared" si="76"/>
        <v>0</v>
      </c>
      <c r="BZ32" s="4504">
        <f t="shared" si="77"/>
        <v>0</v>
      </c>
      <c r="CA32" s="4504">
        <f t="shared" si="78"/>
        <v>0</v>
      </c>
      <c r="CB32" s="4504">
        <f t="shared" si="79"/>
        <v>0</v>
      </c>
      <c r="CC32" s="4504">
        <f t="shared" si="80"/>
        <v>0</v>
      </c>
      <c r="CD32" s="4504">
        <f t="shared" si="81"/>
        <v>0</v>
      </c>
      <c r="CE32" s="4504">
        <f t="shared" si="82"/>
        <v>0</v>
      </c>
      <c r="CF32" s="4504">
        <f t="shared" si="83"/>
        <v>0</v>
      </c>
      <c r="CG32" s="4504">
        <f t="shared" si="84"/>
        <v>0</v>
      </c>
      <c r="CH32" s="4504">
        <f t="shared" si="85"/>
        <v>0</v>
      </c>
      <c r="CI32" s="4504">
        <f t="shared" si="86"/>
        <v>0</v>
      </c>
      <c r="CJ32" s="4504">
        <f t="shared" si="87"/>
        <v>0</v>
      </c>
      <c r="CK32" s="4504">
        <f t="shared" si="88"/>
        <v>0</v>
      </c>
    </row>
    <row r="33" spans="1:89">
      <c r="A33" s="2739"/>
      <c r="B33" s="3618">
        <v>2040102</v>
      </c>
      <c r="C33" s="3601">
        <v>0.04</v>
      </c>
      <c r="D33" s="2751" t="s">
        <v>432</v>
      </c>
      <c r="E33" s="2727">
        <f>'11.2. ДА за периода'!E33</f>
        <v>0</v>
      </c>
      <c r="F33" s="1228">
        <f>SUMIF('9.Инвестиционна програма'!$B$12:$B$35,$B33,'9.Инвестиционна програма'!H$12:H$35)*$E$6</f>
        <v>0</v>
      </c>
      <c r="G33" s="1224">
        <f>SUMIF('9.Инвестиционна програма'!$B$12:$B$35,$B33,'9.Инвестиционна програма'!I$12:I$35)*$E$6</f>
        <v>0</v>
      </c>
      <c r="H33" s="1224">
        <f>SUMIF('9.Инвестиционна програма'!$B$12:$B$35,$B33,'9.Инвестиционна програма'!J$12:J$35)*$E$6</f>
        <v>0</v>
      </c>
      <c r="I33" s="1224">
        <f>SUMIF('9.Инвестиционна програма'!$B$12:$B$35,$B33,'9.Инвестиционна програма'!K$12:K$35)*$E$6</f>
        <v>0</v>
      </c>
      <c r="J33" s="1224">
        <f>SUMIF('9.Инвестиционна програма'!$B$12:$B$35,$B33,'9.Инвестиционна програма'!L$12:L$35)*$E$6</f>
        <v>0</v>
      </c>
      <c r="K33" s="1229">
        <f>SUMIF('9.Инвестиционна програма'!$B$12:$B$35,$B33,'9.Инвестиционна програма'!M$12:M$35)*$E$6</f>
        <v>0</v>
      </c>
      <c r="L33" s="2727">
        <f>'11.2. ДА за периода'!L33</f>
        <v>0</v>
      </c>
      <c r="M33" s="1232">
        <f>SUMIF('9.Инвестиционна програма'!$B$37:$B$47,$B33,'9.Инвестиционна програма'!H$37:H$47)*$E$6</f>
        <v>0</v>
      </c>
      <c r="N33" s="1226">
        <f>SUMIF('9.Инвестиционна програма'!$B$37:$B$47,$B33,'9.Инвестиционна програма'!I$37:I$47)*$E$6</f>
        <v>0</v>
      </c>
      <c r="O33" s="1226">
        <f>SUMIF('9.Инвестиционна програма'!$B$37:$B$47,$B33,'9.Инвестиционна програма'!J$37:J$47)*$E$6</f>
        <v>0</v>
      </c>
      <c r="P33" s="1226">
        <f>SUMIF('9.Инвестиционна програма'!$B$37:$B$47,$B33,'9.Инвестиционна програма'!K$37:K$47)*$E$6</f>
        <v>0</v>
      </c>
      <c r="Q33" s="1226">
        <f>SUMIF('9.Инвестиционна програма'!$B$37:$B$47,$B33,'9.Инвестиционна програма'!L$37:L$47)*$E$6</f>
        <v>0</v>
      </c>
      <c r="R33" s="1227">
        <f>SUMIF('9.Инвестиционна програма'!$B$37:$B$47,$B33,'9.Инвестиционна програма'!M$37:M$47)*$E$6</f>
        <v>0</v>
      </c>
      <c r="S33" s="1113">
        <f>'11.2. ДА за периода'!S33</f>
        <v>0</v>
      </c>
      <c r="T33" s="906">
        <f>SUMIF('9.Инвестиционна програма'!$B$49:$B$56,$B33,'9.Инвестиционна програма'!H$49:H$56)*$E$6</f>
        <v>0</v>
      </c>
      <c r="U33" s="906">
        <f>SUMIF('9.Инвестиционна програма'!$B$49:$B$56,$B33,'9.Инвестиционна програма'!I$49:I$56)*$E$6</f>
        <v>0</v>
      </c>
      <c r="V33" s="906">
        <f>SUMIF('9.Инвестиционна програма'!$B$49:$B$56,$B33,'9.Инвестиционна програма'!J$49:J$56)*$E$6</f>
        <v>0</v>
      </c>
      <c r="W33" s="906">
        <f>SUMIF('9.Инвестиционна програма'!$B$49:$B$56,$B33,'9.Инвестиционна програма'!K$49:K$56)*$E$6</f>
        <v>0</v>
      </c>
      <c r="X33" s="906">
        <f>SUMIF('9.Инвестиционна програма'!$B$49:$B$56,$B33,'9.Инвестиционна програма'!L$49:L$56)*$E$6</f>
        <v>0</v>
      </c>
      <c r="Y33" s="2728">
        <f>SUMIF('9.Инвестиционна програма'!$B$49:$B$56,$B33,'9.Инвестиционна програма'!M$49:M$56)*$E$6</f>
        <v>0</v>
      </c>
      <c r="Z33" s="1113">
        <f>'11.2. ДА за периода'!Z33</f>
        <v>0</v>
      </c>
      <c r="AA33" s="906">
        <f>SUMIF('9.Инвестиционна програма'!$B$74:$B$97,$B33,'9.Инвестиционна програма'!H$74:H$97)*$E$6</f>
        <v>0</v>
      </c>
      <c r="AB33" s="906">
        <f>SUMIF('9.Инвестиционна програма'!$B$74:$B$97,$B33,'9.Инвестиционна програма'!I$74:I$97)*$E$6</f>
        <v>0</v>
      </c>
      <c r="AC33" s="906">
        <f>SUMIF('9.Инвестиционна програма'!$B$74:$B$97,$B33,'9.Инвестиционна програма'!J$74:J$97)*$E$6</f>
        <v>0</v>
      </c>
      <c r="AD33" s="906">
        <f>SUMIF('9.Инвестиционна програма'!$B$74:$B$97,$B33,'9.Инвестиционна програма'!K$74:K$97)*$E$6</f>
        <v>0</v>
      </c>
      <c r="AE33" s="906">
        <f>SUMIF('9.Инвестиционна програма'!$B$74:$B$97,$B33,'9.Инвестиционна програма'!L$74:L$97)*$E$6</f>
        <v>0</v>
      </c>
      <c r="AF33" s="906">
        <f>SUMIF('9.Инвестиционна програма'!$B$74:$B$97,$B33,'9.Инвестиционна програма'!M$74:M$97)*$E$6</f>
        <v>0</v>
      </c>
      <c r="AG33" s="1113">
        <f>'11.2. ДА за периода'!AG33</f>
        <v>0</v>
      </c>
      <c r="AH33" s="906">
        <f>SUMIF('9.Инвестиционна програма'!$B$100:$B$123,$B33,'9.Инвестиционна програма'!H$100:H$123)*$E$6</f>
        <v>0</v>
      </c>
      <c r="AI33" s="906">
        <f>SUMIF('9.Инвестиционна програма'!$B$100:$B$123,$B33,'9.Инвестиционна програма'!I$100:I$123)*$E$6</f>
        <v>0</v>
      </c>
      <c r="AJ33" s="906">
        <f>SUMIF('9.Инвестиционна програма'!$B$100:$B$123,$B33,'9.Инвестиционна програма'!J$100:J$123)*$E$6</f>
        <v>0</v>
      </c>
      <c r="AK33" s="906">
        <f>SUMIF('9.Инвестиционна програма'!$B$100:$B$123,$B33,'9.Инвестиционна програма'!K$100:K$123)*$E$6</f>
        <v>0</v>
      </c>
      <c r="AL33" s="906">
        <f>SUMIF('9.Инвестиционна програма'!$B$100:$B$123,$B33,'9.Инвестиционна програма'!L$100:L$123)*$E$6</f>
        <v>0</v>
      </c>
      <c r="AM33" s="906">
        <f>SUMIF('9.Инвестиционна програма'!$B$100:$B$123,$B33,'9.Инвестиционна програма'!M$100:M$123)*$E$6</f>
        <v>0</v>
      </c>
      <c r="AN33" s="1113">
        <f>'11.2. ДА за периода'!AN33</f>
        <v>0</v>
      </c>
      <c r="AO33" s="1232">
        <f>(SUMIF('9.Инвестиционна програма'!$B$58:$B$59,$B33,'9.Инвестиционна програма'!H$58:H$59)+SUMIF('9.Инвестиционна програма'!$B$61:$B$71,$B33,'9.Инвестиционна програма'!H$61:H$71))*$E$6</f>
        <v>0</v>
      </c>
      <c r="AP33" s="906">
        <f>(SUMIF('9.Инвестиционна програма'!$B$58:$B$59,$B33,'9.Инвестиционна програма'!I$58:I$59)+SUMIF('9.Инвестиционна програма'!$B$61:$B$71,$B33,'9.Инвестиционна програма'!I$61:I$71))*$E$6</f>
        <v>0</v>
      </c>
      <c r="AQ33" s="906">
        <f>(SUMIF('9.Инвестиционна програма'!$B$58:$B$59,$B33,'9.Инвестиционна програма'!J$58:J$59)+SUMIF('9.Инвестиционна програма'!$B$61:$B$71,$B33,'9.Инвестиционна програма'!J$61:J$71))*$E$6</f>
        <v>0</v>
      </c>
      <c r="AR33" s="906">
        <f>(SUMIF('9.Инвестиционна програма'!$B$58:$B$59,$B33,'9.Инвестиционна програма'!K$58:K$59)+SUMIF('9.Инвестиционна програма'!$B$61:$B$71,$B33,'9.Инвестиционна програма'!K$61:K$71))*$E$6</f>
        <v>0</v>
      </c>
      <c r="AS33" s="906">
        <f>(SUMIF('9.Инвестиционна програма'!$B$58:$B$59,$B33,'9.Инвестиционна програма'!L$58:L$59)+SUMIF('9.Инвестиционна програма'!$B$61:$B$71,$B33,'9.Инвестиционна програма'!L$61:L$71))*$E$6</f>
        <v>0</v>
      </c>
      <c r="AT33" s="2728">
        <f>(SUMIF('9.Инвестиционна програма'!$B$58:$B$59,$B33,'9.Инвестиционна програма'!M$58:M$59)+SUMIF('9.Инвестиционна програма'!$B$61:$B$71,$B33,'9.Инвестиционна програма'!M$61:M$71))*$E$6</f>
        <v>0</v>
      </c>
      <c r="AU33" s="4488"/>
      <c r="AV33" s="4504">
        <f t="shared" si="47"/>
        <v>0</v>
      </c>
      <c r="AW33" s="4504">
        <f t="shared" si="48"/>
        <v>0</v>
      </c>
      <c r="AX33" s="4504">
        <f t="shared" si="49"/>
        <v>0</v>
      </c>
      <c r="AY33" s="4504">
        <f t="shared" si="50"/>
        <v>0</v>
      </c>
      <c r="AZ33" s="4504">
        <f t="shared" si="51"/>
        <v>0</v>
      </c>
      <c r="BA33" s="4504">
        <f t="shared" si="52"/>
        <v>0</v>
      </c>
      <c r="BB33" s="4504">
        <f t="shared" si="53"/>
        <v>0</v>
      </c>
      <c r="BC33" s="4504">
        <f t="shared" si="54"/>
        <v>0</v>
      </c>
      <c r="BD33" s="4504">
        <f t="shared" si="55"/>
        <v>0</v>
      </c>
      <c r="BE33" s="4504">
        <f t="shared" si="56"/>
        <v>0</v>
      </c>
      <c r="BF33" s="4504">
        <f t="shared" si="57"/>
        <v>0</v>
      </c>
      <c r="BG33" s="4504">
        <f t="shared" si="58"/>
        <v>0</v>
      </c>
      <c r="BH33" s="4504">
        <f t="shared" si="59"/>
        <v>0</v>
      </c>
      <c r="BI33" s="4504">
        <f t="shared" si="60"/>
        <v>0</v>
      </c>
      <c r="BJ33" s="4504">
        <f t="shared" si="61"/>
        <v>0</v>
      </c>
      <c r="BK33" s="4504">
        <f t="shared" si="62"/>
        <v>0</v>
      </c>
      <c r="BL33" s="4504">
        <f t="shared" si="63"/>
        <v>0</v>
      </c>
      <c r="BM33" s="4504">
        <f t="shared" si="64"/>
        <v>0</v>
      </c>
      <c r="BN33" s="4504">
        <f t="shared" si="65"/>
        <v>0</v>
      </c>
      <c r="BO33" s="4504">
        <f t="shared" si="66"/>
        <v>0</v>
      </c>
      <c r="BP33" s="4504">
        <f t="shared" si="67"/>
        <v>0</v>
      </c>
      <c r="BQ33" s="4504">
        <f t="shared" si="68"/>
        <v>0</v>
      </c>
      <c r="BR33" s="4504">
        <f t="shared" si="69"/>
        <v>0</v>
      </c>
      <c r="BS33" s="4504">
        <f t="shared" si="70"/>
        <v>0</v>
      </c>
      <c r="BT33" s="4504">
        <f t="shared" si="71"/>
        <v>0</v>
      </c>
      <c r="BU33" s="4504">
        <f t="shared" si="72"/>
        <v>0</v>
      </c>
      <c r="BV33" s="4504">
        <f t="shared" si="73"/>
        <v>0</v>
      </c>
      <c r="BW33" s="4504">
        <f t="shared" si="74"/>
        <v>0</v>
      </c>
      <c r="BX33" s="4504">
        <f t="shared" si="75"/>
        <v>0</v>
      </c>
      <c r="BY33" s="4504">
        <f t="shared" si="76"/>
        <v>0</v>
      </c>
      <c r="BZ33" s="4504">
        <f t="shared" si="77"/>
        <v>0</v>
      </c>
      <c r="CA33" s="4504">
        <f t="shared" si="78"/>
        <v>0</v>
      </c>
      <c r="CB33" s="4504">
        <f t="shared" si="79"/>
        <v>0</v>
      </c>
      <c r="CC33" s="4504">
        <f t="shared" si="80"/>
        <v>0</v>
      </c>
      <c r="CD33" s="4504">
        <f t="shared" si="81"/>
        <v>0</v>
      </c>
      <c r="CE33" s="4504">
        <f t="shared" si="82"/>
        <v>0</v>
      </c>
      <c r="CF33" s="4504">
        <f t="shared" si="83"/>
        <v>0</v>
      </c>
      <c r="CG33" s="4504">
        <f t="shared" si="84"/>
        <v>0</v>
      </c>
      <c r="CH33" s="4504">
        <f t="shared" si="85"/>
        <v>0</v>
      </c>
      <c r="CI33" s="4504">
        <f t="shared" si="86"/>
        <v>0</v>
      </c>
      <c r="CJ33" s="4504">
        <f t="shared" si="87"/>
        <v>0</v>
      </c>
      <c r="CK33" s="4504">
        <f t="shared" si="88"/>
        <v>0</v>
      </c>
    </row>
    <row r="34" spans="1:89">
      <c r="A34" s="2739"/>
      <c r="B34" s="3617">
        <v>20402</v>
      </c>
      <c r="C34" s="3600"/>
      <c r="D34" s="2731" t="s">
        <v>433</v>
      </c>
      <c r="E34" s="2743">
        <f>SUM(E35:E42)</f>
        <v>580.32797581283057</v>
      </c>
      <c r="F34" s="2744">
        <f t="shared" ref="F34:AT34" si="98">SUM(F35:F42)</f>
        <v>424.25</v>
      </c>
      <c r="G34" s="2745">
        <f t="shared" si="98"/>
        <v>531</v>
      </c>
      <c r="H34" s="2745">
        <f t="shared" si="98"/>
        <v>539</v>
      </c>
      <c r="I34" s="2745">
        <f t="shared" si="98"/>
        <v>550</v>
      </c>
      <c r="J34" s="2745">
        <f t="shared" si="98"/>
        <v>552</v>
      </c>
      <c r="K34" s="2746">
        <f t="shared" si="98"/>
        <v>554</v>
      </c>
      <c r="L34" s="2743">
        <f t="shared" si="98"/>
        <v>9.1790699999999994</v>
      </c>
      <c r="M34" s="2744">
        <f t="shared" si="98"/>
        <v>20</v>
      </c>
      <c r="N34" s="2745">
        <f t="shared" si="98"/>
        <v>5</v>
      </c>
      <c r="O34" s="2745">
        <f t="shared" si="98"/>
        <v>5</v>
      </c>
      <c r="P34" s="2745">
        <f t="shared" si="98"/>
        <v>5</v>
      </c>
      <c r="Q34" s="2745">
        <f t="shared" si="98"/>
        <v>5</v>
      </c>
      <c r="R34" s="2746">
        <f t="shared" si="98"/>
        <v>5</v>
      </c>
      <c r="S34" s="2747">
        <f t="shared" si="98"/>
        <v>0</v>
      </c>
      <c r="T34" s="2748">
        <f t="shared" si="98"/>
        <v>12</v>
      </c>
      <c r="U34" s="2745">
        <f t="shared" si="98"/>
        <v>30</v>
      </c>
      <c r="V34" s="2745">
        <f t="shared" si="98"/>
        <v>30</v>
      </c>
      <c r="W34" s="2745">
        <f t="shared" si="98"/>
        <v>30</v>
      </c>
      <c r="X34" s="2745">
        <f t="shared" si="98"/>
        <v>30</v>
      </c>
      <c r="Y34" s="2746">
        <f t="shared" si="98"/>
        <v>30</v>
      </c>
      <c r="Z34" s="2747">
        <f t="shared" si="98"/>
        <v>0</v>
      </c>
      <c r="AA34" s="2748">
        <f t="shared" si="98"/>
        <v>0</v>
      </c>
      <c r="AB34" s="2745">
        <f t="shared" si="98"/>
        <v>0</v>
      </c>
      <c r="AC34" s="2745">
        <f t="shared" si="98"/>
        <v>0</v>
      </c>
      <c r="AD34" s="2745">
        <f t="shared" si="98"/>
        <v>0</v>
      </c>
      <c r="AE34" s="2745">
        <f t="shared" si="98"/>
        <v>0</v>
      </c>
      <c r="AF34" s="2746">
        <f t="shared" si="98"/>
        <v>0</v>
      </c>
      <c r="AG34" s="2747">
        <f t="shared" si="98"/>
        <v>29.204694187169277</v>
      </c>
      <c r="AH34" s="2748">
        <f t="shared" si="98"/>
        <v>3</v>
      </c>
      <c r="AI34" s="2745">
        <f t="shared" si="98"/>
        <v>220</v>
      </c>
      <c r="AJ34" s="2745">
        <f t="shared" si="98"/>
        <v>95</v>
      </c>
      <c r="AK34" s="2745">
        <f t="shared" si="98"/>
        <v>90</v>
      </c>
      <c r="AL34" s="2745">
        <f t="shared" si="98"/>
        <v>115</v>
      </c>
      <c r="AM34" s="2746">
        <f t="shared" si="98"/>
        <v>115</v>
      </c>
      <c r="AN34" s="2747">
        <f t="shared" si="98"/>
        <v>0</v>
      </c>
      <c r="AO34" s="2748">
        <f t="shared" si="98"/>
        <v>0</v>
      </c>
      <c r="AP34" s="2745">
        <f t="shared" si="98"/>
        <v>0</v>
      </c>
      <c r="AQ34" s="2745">
        <f t="shared" si="98"/>
        <v>0</v>
      </c>
      <c r="AR34" s="2745">
        <f t="shared" si="98"/>
        <v>0</v>
      </c>
      <c r="AS34" s="2745">
        <f t="shared" si="98"/>
        <v>0</v>
      </c>
      <c r="AT34" s="2746">
        <f t="shared" si="98"/>
        <v>0</v>
      </c>
      <c r="AU34" s="4488"/>
      <c r="AV34" s="4504">
        <f t="shared" si="47"/>
        <v>296.71698246413575</v>
      </c>
      <c r="AW34" s="4504">
        <f t="shared" si="48"/>
        <v>216.9155805974957</v>
      </c>
      <c r="AX34" s="4504">
        <f t="shared" si="49"/>
        <v>271.49598891519202</v>
      </c>
      <c r="AY34" s="4504">
        <f t="shared" si="50"/>
        <v>275.58632396476179</v>
      </c>
      <c r="AZ34" s="4504">
        <f t="shared" si="51"/>
        <v>281.21053465792016</v>
      </c>
      <c r="BA34" s="4504">
        <f t="shared" si="52"/>
        <v>282.23311842031262</v>
      </c>
      <c r="BB34" s="4504">
        <f t="shared" si="53"/>
        <v>283.25570218270502</v>
      </c>
      <c r="BC34" s="4504">
        <f t="shared" si="54"/>
        <v>4.6931839679317733</v>
      </c>
      <c r="BD34" s="4504">
        <f t="shared" si="55"/>
        <v>10.22583762392437</v>
      </c>
      <c r="BE34" s="4504">
        <f t="shared" si="56"/>
        <v>2.5564594059810926</v>
      </c>
      <c r="BF34" s="4504">
        <f t="shared" si="57"/>
        <v>2.5564594059810926</v>
      </c>
      <c r="BG34" s="4504">
        <f t="shared" si="58"/>
        <v>2.5564594059810926</v>
      </c>
      <c r="BH34" s="4504">
        <f t="shared" si="59"/>
        <v>2.5564594059810926</v>
      </c>
      <c r="BI34" s="4504">
        <f t="shared" si="60"/>
        <v>2.5564594059810926</v>
      </c>
      <c r="BJ34" s="4504">
        <f t="shared" si="61"/>
        <v>0</v>
      </c>
      <c r="BK34" s="4504">
        <f t="shared" si="62"/>
        <v>6.1355025743546223</v>
      </c>
      <c r="BL34" s="4504">
        <f t="shared" si="63"/>
        <v>15.338756435886555</v>
      </c>
      <c r="BM34" s="4504">
        <f t="shared" si="64"/>
        <v>15.338756435886555</v>
      </c>
      <c r="BN34" s="4504">
        <f t="shared" si="65"/>
        <v>15.338756435886555</v>
      </c>
      <c r="BO34" s="4504">
        <f t="shared" si="66"/>
        <v>15.338756435886555</v>
      </c>
      <c r="BP34" s="4504">
        <f t="shared" si="67"/>
        <v>15.338756435886555</v>
      </c>
      <c r="BQ34" s="4504">
        <f t="shared" si="68"/>
        <v>0</v>
      </c>
      <c r="BR34" s="4504">
        <f t="shared" si="69"/>
        <v>0</v>
      </c>
      <c r="BS34" s="4504">
        <f t="shared" si="70"/>
        <v>0</v>
      </c>
      <c r="BT34" s="4504">
        <f t="shared" si="71"/>
        <v>0</v>
      </c>
      <c r="BU34" s="4504">
        <f t="shared" si="72"/>
        <v>0</v>
      </c>
      <c r="BV34" s="4504">
        <f t="shared" si="73"/>
        <v>0</v>
      </c>
      <c r="BW34" s="4504">
        <f t="shared" si="74"/>
        <v>0</v>
      </c>
      <c r="BX34" s="4504">
        <f t="shared" si="75"/>
        <v>14.932123030718047</v>
      </c>
      <c r="BY34" s="4504">
        <f t="shared" si="76"/>
        <v>1.5338756435886556</v>
      </c>
      <c r="BZ34" s="4504">
        <f t="shared" si="77"/>
        <v>112.48421386316807</v>
      </c>
      <c r="CA34" s="4504">
        <f t="shared" si="78"/>
        <v>48.572728713640757</v>
      </c>
      <c r="CB34" s="4504">
        <f t="shared" si="79"/>
        <v>46.016269307659663</v>
      </c>
      <c r="CC34" s="4504">
        <f t="shared" si="80"/>
        <v>58.798566337565127</v>
      </c>
      <c r="CD34" s="4504">
        <f t="shared" si="81"/>
        <v>58.798566337565127</v>
      </c>
      <c r="CE34" s="4504">
        <f t="shared" si="82"/>
        <v>0</v>
      </c>
      <c r="CF34" s="4504">
        <f t="shared" si="83"/>
        <v>0</v>
      </c>
      <c r="CG34" s="4504">
        <f t="shared" si="84"/>
        <v>0</v>
      </c>
      <c r="CH34" s="4504">
        <f t="shared" si="85"/>
        <v>0</v>
      </c>
      <c r="CI34" s="4504">
        <f t="shared" si="86"/>
        <v>0</v>
      </c>
      <c r="CJ34" s="4504">
        <f t="shared" si="87"/>
        <v>0</v>
      </c>
      <c r="CK34" s="4504">
        <f t="shared" si="88"/>
        <v>0</v>
      </c>
    </row>
    <row r="35" spans="1:89">
      <c r="A35" s="2739"/>
      <c r="B35" s="3617">
        <v>2040201</v>
      </c>
      <c r="C35" s="3600">
        <v>0.02</v>
      </c>
      <c r="D35" s="2749" t="s">
        <v>738</v>
      </c>
      <c r="E35" s="2727">
        <f>'11.2. ДА за периода'!E35</f>
        <v>0</v>
      </c>
      <c r="F35" s="1228">
        <f>SUMIF('9.Инвестиционна програма'!$B$12:$B$35,$B35,'9.Инвестиционна програма'!H$12:H$35)*$E$6</f>
        <v>0</v>
      </c>
      <c r="G35" s="1224">
        <f>SUMIF('9.Инвестиционна програма'!$B$12:$B$35,$B35,'9.Инвестиционна програма'!I$12:I$35)*$E$6</f>
        <v>0</v>
      </c>
      <c r="H35" s="1224">
        <f>SUMIF('9.Инвестиционна програма'!$B$12:$B$35,$B35,'9.Инвестиционна програма'!J$12:J$35)*$E$6</f>
        <v>0</v>
      </c>
      <c r="I35" s="1224">
        <f>SUMIF('9.Инвестиционна програма'!$B$12:$B$35,$B35,'9.Инвестиционна програма'!K$12:K$35)*$E$6</f>
        <v>0</v>
      </c>
      <c r="J35" s="1224">
        <f>SUMIF('9.Инвестиционна програма'!$B$12:$B$35,$B35,'9.Инвестиционна програма'!L$12:L$35)*$E$6</f>
        <v>0</v>
      </c>
      <c r="K35" s="1229">
        <f>SUMIF('9.Инвестиционна програма'!$B$12:$B$35,$B35,'9.Инвестиционна програма'!M$12:M$35)*$E$6</f>
        <v>0</v>
      </c>
      <c r="L35" s="2727">
        <f>'11.2. ДА за периода'!L35</f>
        <v>0</v>
      </c>
      <c r="M35" s="1232">
        <f>SUMIF('9.Инвестиционна програма'!$B$37:$B$47,$B35,'9.Инвестиционна програма'!H$37:H$47)*$E$6</f>
        <v>0</v>
      </c>
      <c r="N35" s="1226">
        <f>SUMIF('9.Инвестиционна програма'!$B$37:$B$47,$B35,'9.Инвестиционна програма'!I$37:I$47)*$E$6</f>
        <v>0</v>
      </c>
      <c r="O35" s="1226">
        <f>SUMIF('9.Инвестиционна програма'!$B$37:$B$47,$B35,'9.Инвестиционна програма'!J$37:J$47)*$E$6</f>
        <v>0</v>
      </c>
      <c r="P35" s="1226">
        <f>SUMIF('9.Инвестиционна програма'!$B$37:$B$47,$B35,'9.Инвестиционна програма'!K$37:K$47)*$E$6</f>
        <v>0</v>
      </c>
      <c r="Q35" s="1226">
        <f>SUMIF('9.Инвестиционна програма'!$B$37:$B$47,$B35,'9.Инвестиционна програма'!L$37:L$47)*$E$6</f>
        <v>0</v>
      </c>
      <c r="R35" s="1227">
        <f>SUMIF('9.Инвестиционна програма'!$B$37:$B$47,$B35,'9.Инвестиционна програма'!M$37:M$47)*$E$6</f>
        <v>0</v>
      </c>
      <c r="S35" s="1113">
        <f>'11.2. ДА за периода'!S35</f>
        <v>0</v>
      </c>
      <c r="T35" s="906">
        <f>SUMIF('9.Инвестиционна програма'!$B$49:$B$56,$B35,'9.Инвестиционна програма'!H$49:H$56)*$E$6</f>
        <v>0</v>
      </c>
      <c r="U35" s="906">
        <f>SUMIF('9.Инвестиционна програма'!$B$49:$B$56,$B35,'9.Инвестиционна програма'!I$49:I$56)*$E$6</f>
        <v>0</v>
      </c>
      <c r="V35" s="906">
        <f>SUMIF('9.Инвестиционна програма'!$B$49:$B$56,$B35,'9.Инвестиционна програма'!J$49:J$56)*$E$6</f>
        <v>0</v>
      </c>
      <c r="W35" s="906">
        <f>SUMIF('9.Инвестиционна програма'!$B$49:$B$56,$B35,'9.Инвестиционна програма'!K$49:K$56)*$E$6</f>
        <v>0</v>
      </c>
      <c r="X35" s="906">
        <f>SUMIF('9.Инвестиционна програма'!$B$49:$B$56,$B35,'9.Инвестиционна програма'!L$49:L$56)*$E$6</f>
        <v>0</v>
      </c>
      <c r="Y35" s="2728">
        <f>SUMIF('9.Инвестиционна програма'!$B$49:$B$56,$B35,'9.Инвестиционна програма'!M$49:M$56)*$E$6</f>
        <v>0</v>
      </c>
      <c r="Z35" s="1113">
        <f>'11.2. ДА за периода'!Z35</f>
        <v>0</v>
      </c>
      <c r="AA35" s="906">
        <f>SUMIF('9.Инвестиционна програма'!$B$74:$B$97,$B35,'9.Инвестиционна програма'!H$74:H$97)*$E$6</f>
        <v>0</v>
      </c>
      <c r="AB35" s="906">
        <f>SUMIF('9.Инвестиционна програма'!$B$74:$B$97,$B35,'9.Инвестиционна програма'!I$74:I$97)*$E$6</f>
        <v>0</v>
      </c>
      <c r="AC35" s="906">
        <f>SUMIF('9.Инвестиционна програма'!$B$74:$B$97,$B35,'9.Инвестиционна програма'!J$74:J$97)*$E$6</f>
        <v>0</v>
      </c>
      <c r="AD35" s="906">
        <f>SUMIF('9.Инвестиционна програма'!$B$74:$B$97,$B35,'9.Инвестиционна програма'!K$74:K$97)*$E$6</f>
        <v>0</v>
      </c>
      <c r="AE35" s="906">
        <f>SUMIF('9.Инвестиционна програма'!$B$74:$B$97,$B35,'9.Инвестиционна програма'!L$74:L$97)*$E$6</f>
        <v>0</v>
      </c>
      <c r="AF35" s="906">
        <f>SUMIF('9.Инвестиционна програма'!$B$74:$B$97,$B35,'9.Инвестиционна програма'!M$74:M$97)*$E$6</f>
        <v>0</v>
      </c>
      <c r="AG35" s="1113">
        <f>'11.2. ДА за периода'!AG35</f>
        <v>0</v>
      </c>
      <c r="AH35" s="906">
        <f>SUMIF('9.Инвестиционна програма'!$B$100:$B$123,$B35,'9.Инвестиционна програма'!H$100:H$123)*$E$6</f>
        <v>0</v>
      </c>
      <c r="AI35" s="906">
        <f>SUMIF('9.Инвестиционна програма'!$B$100:$B$123,$B35,'9.Инвестиционна програма'!I$100:I$123)*$E$6</f>
        <v>0</v>
      </c>
      <c r="AJ35" s="906">
        <f>SUMIF('9.Инвестиционна програма'!$B$100:$B$123,$B35,'9.Инвестиционна програма'!J$100:J$123)*$E$6</f>
        <v>0</v>
      </c>
      <c r="AK35" s="906">
        <f>SUMIF('9.Инвестиционна програма'!$B$100:$B$123,$B35,'9.Инвестиционна програма'!K$100:K$123)*$E$6</f>
        <v>0</v>
      </c>
      <c r="AL35" s="906">
        <f>SUMIF('9.Инвестиционна програма'!$B$100:$B$123,$B35,'9.Инвестиционна програма'!L$100:L$123)*$E$6</f>
        <v>0</v>
      </c>
      <c r="AM35" s="906">
        <f>SUMIF('9.Инвестиционна програма'!$B$100:$B$123,$B35,'9.Инвестиционна програма'!M$100:M$123)*$E$6</f>
        <v>0</v>
      </c>
      <c r="AN35" s="1113">
        <f>'11.2. ДА за периода'!AN35</f>
        <v>0</v>
      </c>
      <c r="AO35" s="1232">
        <f>(SUMIF('9.Инвестиционна програма'!$B$58:$B$59,$B35,'9.Инвестиционна програма'!H$58:H$59)+SUMIF('9.Инвестиционна програма'!$B$61:$B$71,$B35,'9.Инвестиционна програма'!H$61:H$71))*$E$6</f>
        <v>0</v>
      </c>
      <c r="AP35" s="906">
        <f>(SUMIF('9.Инвестиционна програма'!$B$58:$B$59,$B35,'9.Инвестиционна програма'!I$58:I$59)+SUMIF('9.Инвестиционна програма'!$B$61:$B$71,$B35,'9.Инвестиционна програма'!I$61:I$71))*$E$6</f>
        <v>0</v>
      </c>
      <c r="AQ35" s="906">
        <f>(SUMIF('9.Инвестиционна програма'!$B$58:$B$59,$B35,'9.Инвестиционна програма'!J$58:J$59)+SUMIF('9.Инвестиционна програма'!$B$61:$B$71,$B35,'9.Инвестиционна програма'!J$61:J$71))*$E$6</f>
        <v>0</v>
      </c>
      <c r="AR35" s="906">
        <f>(SUMIF('9.Инвестиционна програма'!$B$58:$B$59,$B35,'9.Инвестиционна програма'!K$58:K$59)+SUMIF('9.Инвестиционна програма'!$B$61:$B$71,$B35,'9.Инвестиционна програма'!K$61:K$71))*$E$6</f>
        <v>0</v>
      </c>
      <c r="AS35" s="906">
        <f>(SUMIF('9.Инвестиционна програма'!$B$58:$B$59,$B35,'9.Инвестиционна програма'!L$58:L$59)+SUMIF('9.Инвестиционна програма'!$B$61:$B$71,$B35,'9.Инвестиционна програма'!L$61:L$71))*$E$6</f>
        <v>0</v>
      </c>
      <c r="AT35" s="2728">
        <f>(SUMIF('9.Инвестиционна програма'!$B$58:$B$59,$B35,'9.Инвестиционна програма'!M$58:M$59)+SUMIF('9.Инвестиционна програма'!$B$61:$B$71,$B35,'9.Инвестиционна програма'!M$61:M$71))*$E$6</f>
        <v>0</v>
      </c>
      <c r="AU35" s="4488"/>
      <c r="AV35" s="4504">
        <f t="shared" si="47"/>
        <v>0</v>
      </c>
      <c r="AW35" s="4504">
        <f t="shared" si="48"/>
        <v>0</v>
      </c>
      <c r="AX35" s="4504">
        <f t="shared" si="49"/>
        <v>0</v>
      </c>
      <c r="AY35" s="4504">
        <f t="shared" si="50"/>
        <v>0</v>
      </c>
      <c r="AZ35" s="4504">
        <f t="shared" si="51"/>
        <v>0</v>
      </c>
      <c r="BA35" s="4504">
        <f t="shared" si="52"/>
        <v>0</v>
      </c>
      <c r="BB35" s="4504">
        <f t="shared" si="53"/>
        <v>0</v>
      </c>
      <c r="BC35" s="4504">
        <f t="shared" si="54"/>
        <v>0</v>
      </c>
      <c r="BD35" s="4504">
        <f t="shared" si="55"/>
        <v>0</v>
      </c>
      <c r="BE35" s="4504">
        <f t="shared" si="56"/>
        <v>0</v>
      </c>
      <c r="BF35" s="4504">
        <f t="shared" si="57"/>
        <v>0</v>
      </c>
      <c r="BG35" s="4504">
        <f t="shared" si="58"/>
        <v>0</v>
      </c>
      <c r="BH35" s="4504">
        <f t="shared" si="59"/>
        <v>0</v>
      </c>
      <c r="BI35" s="4504">
        <f t="shared" si="60"/>
        <v>0</v>
      </c>
      <c r="BJ35" s="4504">
        <f t="shared" si="61"/>
        <v>0</v>
      </c>
      <c r="BK35" s="4504">
        <f t="shared" si="62"/>
        <v>0</v>
      </c>
      <c r="BL35" s="4504">
        <f t="shared" si="63"/>
        <v>0</v>
      </c>
      <c r="BM35" s="4504">
        <f t="shared" si="64"/>
        <v>0</v>
      </c>
      <c r="BN35" s="4504">
        <f t="shared" si="65"/>
        <v>0</v>
      </c>
      <c r="BO35" s="4504">
        <f t="shared" si="66"/>
        <v>0</v>
      </c>
      <c r="BP35" s="4504">
        <f t="shared" si="67"/>
        <v>0</v>
      </c>
      <c r="BQ35" s="4504">
        <f t="shared" si="68"/>
        <v>0</v>
      </c>
      <c r="BR35" s="4504">
        <f t="shared" si="69"/>
        <v>0</v>
      </c>
      <c r="BS35" s="4504">
        <f t="shared" si="70"/>
        <v>0</v>
      </c>
      <c r="BT35" s="4504">
        <f t="shared" si="71"/>
        <v>0</v>
      </c>
      <c r="BU35" s="4504">
        <f t="shared" si="72"/>
        <v>0</v>
      </c>
      <c r="BV35" s="4504">
        <f t="shared" si="73"/>
        <v>0</v>
      </c>
      <c r="BW35" s="4504">
        <f t="shared" si="74"/>
        <v>0</v>
      </c>
      <c r="BX35" s="4504">
        <f t="shared" si="75"/>
        <v>0</v>
      </c>
      <c r="BY35" s="4504">
        <f t="shared" si="76"/>
        <v>0</v>
      </c>
      <c r="BZ35" s="4504">
        <f t="shared" si="77"/>
        <v>0</v>
      </c>
      <c r="CA35" s="4504">
        <f t="shared" si="78"/>
        <v>0</v>
      </c>
      <c r="CB35" s="4504">
        <f t="shared" si="79"/>
        <v>0</v>
      </c>
      <c r="CC35" s="4504">
        <f t="shared" si="80"/>
        <v>0</v>
      </c>
      <c r="CD35" s="4504">
        <f t="shared" si="81"/>
        <v>0</v>
      </c>
      <c r="CE35" s="4504">
        <f t="shared" si="82"/>
        <v>0</v>
      </c>
      <c r="CF35" s="4504">
        <f t="shared" si="83"/>
        <v>0</v>
      </c>
      <c r="CG35" s="4504">
        <f t="shared" si="84"/>
        <v>0</v>
      </c>
      <c r="CH35" s="4504">
        <f t="shared" si="85"/>
        <v>0</v>
      </c>
      <c r="CI35" s="4504">
        <f t="shared" si="86"/>
        <v>0</v>
      </c>
      <c r="CJ35" s="4504">
        <f t="shared" si="87"/>
        <v>0</v>
      </c>
      <c r="CK35" s="4504">
        <f t="shared" si="88"/>
        <v>0</v>
      </c>
    </row>
    <row r="36" spans="1:89">
      <c r="A36" s="2739"/>
      <c r="B36" s="3617">
        <v>2040202</v>
      </c>
      <c r="C36" s="3600">
        <v>0.02</v>
      </c>
      <c r="D36" s="2749" t="s">
        <v>739</v>
      </c>
      <c r="E36" s="2727">
        <f>'11.2. ДА за периода'!E36</f>
        <v>0</v>
      </c>
      <c r="F36" s="1228">
        <f>SUMIF('9.Инвестиционна програма'!$B$12:$B$35,$B36,'9.Инвестиционна програма'!H$12:H$35)*$E$6</f>
        <v>2</v>
      </c>
      <c r="G36" s="1224">
        <f>SUMIF('9.Инвестиционна програма'!$B$12:$B$35,$B36,'9.Инвестиционна програма'!I$12:I$35)*$E$6</f>
        <v>3</v>
      </c>
      <c r="H36" s="1224">
        <f>SUMIF('9.Инвестиционна програма'!$B$12:$B$35,$B36,'9.Инвестиционна програма'!J$12:J$35)*$E$6</f>
        <v>3</v>
      </c>
      <c r="I36" s="1224">
        <f>SUMIF('9.Инвестиционна програма'!$B$12:$B$35,$B36,'9.Инвестиционна програма'!K$12:K$35)*$E$6</f>
        <v>3</v>
      </c>
      <c r="J36" s="1224">
        <f>SUMIF('9.Инвестиционна програма'!$B$12:$B$35,$B36,'9.Инвестиционна програма'!L$12:L$35)*$E$6</f>
        <v>3</v>
      </c>
      <c r="K36" s="1229">
        <f>SUMIF('9.Инвестиционна програма'!$B$12:$B$35,$B36,'9.Инвестиционна програма'!M$12:M$35)*$E$6</f>
        <v>3</v>
      </c>
      <c r="L36" s="2727">
        <f>'11.2. ДА за периода'!L36</f>
        <v>0</v>
      </c>
      <c r="M36" s="1232">
        <f>SUMIF('9.Инвестиционна програма'!$B$37:$B$47,$B36,'9.Инвестиционна програма'!H$37:H$47)*$E$6</f>
        <v>0</v>
      </c>
      <c r="N36" s="1226">
        <f>SUMIF('9.Инвестиционна програма'!$B$37:$B$47,$B36,'9.Инвестиционна програма'!I$37:I$47)*$E$6</f>
        <v>0</v>
      </c>
      <c r="O36" s="1226">
        <f>SUMIF('9.Инвестиционна програма'!$B$37:$B$47,$B36,'9.Инвестиционна програма'!J$37:J$47)*$E$6</f>
        <v>0</v>
      </c>
      <c r="P36" s="1226">
        <f>SUMIF('9.Инвестиционна програма'!$B$37:$B$47,$B36,'9.Инвестиционна програма'!K$37:K$47)*$E$6</f>
        <v>0</v>
      </c>
      <c r="Q36" s="1226">
        <f>SUMIF('9.Инвестиционна програма'!$B$37:$B$47,$B36,'9.Инвестиционна програма'!L$37:L$47)*$E$6</f>
        <v>0</v>
      </c>
      <c r="R36" s="1227">
        <f>SUMIF('9.Инвестиционна програма'!$B$37:$B$47,$B36,'9.Инвестиционна програма'!M$37:M$47)*$E$6</f>
        <v>0</v>
      </c>
      <c r="S36" s="1113">
        <f>'11.2. ДА за периода'!S36</f>
        <v>0</v>
      </c>
      <c r="T36" s="906">
        <f>SUMIF('9.Инвестиционна програма'!$B$49:$B$56,$B36,'9.Инвестиционна програма'!H$49:H$56)*$E$6</f>
        <v>0</v>
      </c>
      <c r="U36" s="906">
        <f>SUMIF('9.Инвестиционна програма'!$B$49:$B$56,$B36,'9.Инвестиционна програма'!I$49:I$56)*$E$6</f>
        <v>0</v>
      </c>
      <c r="V36" s="906">
        <f>SUMIF('9.Инвестиционна програма'!$B$49:$B$56,$B36,'9.Инвестиционна програма'!J$49:J$56)*$E$6</f>
        <v>0</v>
      </c>
      <c r="W36" s="906">
        <f>SUMIF('9.Инвестиционна програма'!$B$49:$B$56,$B36,'9.Инвестиционна програма'!K$49:K$56)*$E$6</f>
        <v>0</v>
      </c>
      <c r="X36" s="906">
        <f>SUMIF('9.Инвестиционна програма'!$B$49:$B$56,$B36,'9.Инвестиционна програма'!L$49:L$56)*$E$6</f>
        <v>0</v>
      </c>
      <c r="Y36" s="2728">
        <f>SUMIF('9.Инвестиционна програма'!$B$49:$B$56,$B36,'9.Инвестиционна програма'!M$49:M$56)*$E$6</f>
        <v>0</v>
      </c>
      <c r="Z36" s="1113">
        <f>'11.2. ДА за периода'!Z36</f>
        <v>0</v>
      </c>
      <c r="AA36" s="906">
        <f>SUMIF('9.Инвестиционна програма'!$B$74:$B$97,$B36,'9.Инвестиционна програма'!H$74:H$97)*$E$6</f>
        <v>0</v>
      </c>
      <c r="AB36" s="906">
        <f>SUMIF('9.Инвестиционна програма'!$B$74:$B$97,$B36,'9.Инвестиционна програма'!I$74:I$97)*$E$6</f>
        <v>0</v>
      </c>
      <c r="AC36" s="906">
        <f>SUMIF('9.Инвестиционна програма'!$B$74:$B$97,$B36,'9.Инвестиционна програма'!J$74:J$97)*$E$6</f>
        <v>0</v>
      </c>
      <c r="AD36" s="906">
        <f>SUMIF('9.Инвестиционна програма'!$B$74:$B$97,$B36,'9.Инвестиционна програма'!K$74:K$97)*$E$6</f>
        <v>0</v>
      </c>
      <c r="AE36" s="906">
        <f>SUMIF('9.Инвестиционна програма'!$B$74:$B$97,$B36,'9.Инвестиционна програма'!L$74:L$97)*$E$6</f>
        <v>0</v>
      </c>
      <c r="AF36" s="906">
        <f>SUMIF('9.Инвестиционна програма'!$B$74:$B$97,$B36,'9.Инвестиционна програма'!M$74:M$97)*$E$6</f>
        <v>0</v>
      </c>
      <c r="AG36" s="1113">
        <f>'11.2. ДА за периода'!AG36</f>
        <v>0</v>
      </c>
      <c r="AH36" s="906">
        <f>SUMIF('9.Инвестиционна програма'!$B$100:$B$123,$B36,'9.Инвестиционна програма'!H$100:H$123)*$E$6</f>
        <v>0</v>
      </c>
      <c r="AI36" s="906">
        <f>SUMIF('9.Инвестиционна програма'!$B$100:$B$123,$B36,'9.Инвестиционна програма'!I$100:I$123)*$E$6</f>
        <v>75</v>
      </c>
      <c r="AJ36" s="906">
        <f>SUMIF('9.Инвестиционна програма'!$B$100:$B$123,$B36,'9.Инвестиционна програма'!J$100:J$123)*$E$6</f>
        <v>20</v>
      </c>
      <c r="AK36" s="906">
        <f>SUMIF('9.Инвестиционна програма'!$B$100:$B$123,$B36,'9.Инвестиционна програма'!K$100:K$123)*$E$6</f>
        <v>15</v>
      </c>
      <c r="AL36" s="906">
        <f>SUMIF('9.Инвестиционна програма'!$B$100:$B$123,$B36,'9.Инвестиционна програма'!L$100:L$123)*$E$6</f>
        <v>0</v>
      </c>
      <c r="AM36" s="906">
        <f>SUMIF('9.Инвестиционна програма'!$B$100:$B$123,$B36,'9.Инвестиционна програма'!M$100:M$123)*$E$6</f>
        <v>0</v>
      </c>
      <c r="AN36" s="1113">
        <f>'11.2. ДА за периода'!AN36</f>
        <v>0</v>
      </c>
      <c r="AO36" s="1232">
        <f>(SUMIF('9.Инвестиционна програма'!$B$58:$B$59,$B36,'9.Инвестиционна програма'!H$58:H$59)+SUMIF('9.Инвестиционна програма'!$B$61:$B$71,$B36,'9.Инвестиционна програма'!H$61:H$71))*$E$6</f>
        <v>0</v>
      </c>
      <c r="AP36" s="906">
        <f>(SUMIF('9.Инвестиционна програма'!$B$58:$B$59,$B36,'9.Инвестиционна програма'!I$58:I$59)+SUMIF('9.Инвестиционна програма'!$B$61:$B$71,$B36,'9.Инвестиционна програма'!I$61:I$71))*$E$6</f>
        <v>0</v>
      </c>
      <c r="AQ36" s="906">
        <f>(SUMIF('9.Инвестиционна програма'!$B$58:$B$59,$B36,'9.Инвестиционна програма'!J$58:J$59)+SUMIF('9.Инвестиционна програма'!$B$61:$B$71,$B36,'9.Инвестиционна програма'!J$61:J$71))*$E$6</f>
        <v>0</v>
      </c>
      <c r="AR36" s="906">
        <f>(SUMIF('9.Инвестиционна програма'!$B$58:$B$59,$B36,'9.Инвестиционна програма'!K$58:K$59)+SUMIF('9.Инвестиционна програма'!$B$61:$B$71,$B36,'9.Инвестиционна програма'!K$61:K$71))*$E$6</f>
        <v>0</v>
      </c>
      <c r="AS36" s="906">
        <f>(SUMIF('9.Инвестиционна програма'!$B$58:$B$59,$B36,'9.Инвестиционна програма'!L$58:L$59)+SUMIF('9.Инвестиционна програма'!$B$61:$B$71,$B36,'9.Инвестиционна програма'!L$61:L$71))*$E$6</f>
        <v>0</v>
      </c>
      <c r="AT36" s="2728">
        <f>(SUMIF('9.Инвестиционна програма'!$B$58:$B$59,$B36,'9.Инвестиционна програма'!M$58:M$59)+SUMIF('9.Инвестиционна програма'!$B$61:$B$71,$B36,'9.Инвестиционна програма'!M$61:M$71))*$E$6</f>
        <v>0</v>
      </c>
      <c r="AU36" s="4488"/>
      <c r="AV36" s="4504">
        <f t="shared" si="47"/>
        <v>0</v>
      </c>
      <c r="AW36" s="4504">
        <f t="shared" si="48"/>
        <v>1.022583762392437</v>
      </c>
      <c r="AX36" s="4504">
        <f t="shared" si="49"/>
        <v>1.5338756435886556</v>
      </c>
      <c r="AY36" s="4504">
        <f t="shared" si="50"/>
        <v>1.5338756435886556</v>
      </c>
      <c r="AZ36" s="4504">
        <f t="shared" si="51"/>
        <v>1.5338756435886556</v>
      </c>
      <c r="BA36" s="4504">
        <f t="shared" si="52"/>
        <v>1.5338756435886556</v>
      </c>
      <c r="BB36" s="4504">
        <f t="shared" si="53"/>
        <v>1.5338756435886556</v>
      </c>
      <c r="BC36" s="4504">
        <f t="shared" si="54"/>
        <v>0</v>
      </c>
      <c r="BD36" s="4504">
        <f t="shared" si="55"/>
        <v>0</v>
      </c>
      <c r="BE36" s="4504">
        <f t="shared" si="56"/>
        <v>0</v>
      </c>
      <c r="BF36" s="4504">
        <f t="shared" si="57"/>
        <v>0</v>
      </c>
      <c r="BG36" s="4504">
        <f t="shared" si="58"/>
        <v>0</v>
      </c>
      <c r="BH36" s="4504">
        <f t="shared" si="59"/>
        <v>0</v>
      </c>
      <c r="BI36" s="4504">
        <f t="shared" si="60"/>
        <v>0</v>
      </c>
      <c r="BJ36" s="4504">
        <f t="shared" si="61"/>
        <v>0</v>
      </c>
      <c r="BK36" s="4504">
        <f t="shared" si="62"/>
        <v>0</v>
      </c>
      <c r="BL36" s="4504">
        <f t="shared" si="63"/>
        <v>0</v>
      </c>
      <c r="BM36" s="4504">
        <f t="shared" si="64"/>
        <v>0</v>
      </c>
      <c r="BN36" s="4504">
        <f t="shared" si="65"/>
        <v>0</v>
      </c>
      <c r="BO36" s="4504">
        <f t="shared" si="66"/>
        <v>0</v>
      </c>
      <c r="BP36" s="4504">
        <f t="shared" si="67"/>
        <v>0</v>
      </c>
      <c r="BQ36" s="4504">
        <f t="shared" si="68"/>
        <v>0</v>
      </c>
      <c r="BR36" s="4504">
        <f t="shared" si="69"/>
        <v>0</v>
      </c>
      <c r="BS36" s="4504">
        <f t="shared" si="70"/>
        <v>0</v>
      </c>
      <c r="BT36" s="4504">
        <f t="shared" si="71"/>
        <v>0</v>
      </c>
      <c r="BU36" s="4504">
        <f t="shared" si="72"/>
        <v>0</v>
      </c>
      <c r="BV36" s="4504">
        <f t="shared" si="73"/>
        <v>0</v>
      </c>
      <c r="BW36" s="4504">
        <f t="shared" si="74"/>
        <v>0</v>
      </c>
      <c r="BX36" s="4504">
        <f t="shared" si="75"/>
        <v>0</v>
      </c>
      <c r="BY36" s="4504">
        <f t="shared" si="76"/>
        <v>0</v>
      </c>
      <c r="BZ36" s="4504">
        <f t="shared" si="77"/>
        <v>38.346891089716387</v>
      </c>
      <c r="CA36" s="4504">
        <f t="shared" si="78"/>
        <v>10.22583762392437</v>
      </c>
      <c r="CB36" s="4504">
        <f t="shared" si="79"/>
        <v>7.6693782179432777</v>
      </c>
      <c r="CC36" s="4504">
        <f t="shared" si="80"/>
        <v>0</v>
      </c>
      <c r="CD36" s="4504">
        <f t="shared" si="81"/>
        <v>0</v>
      </c>
      <c r="CE36" s="4504">
        <f t="shared" si="82"/>
        <v>0</v>
      </c>
      <c r="CF36" s="4504">
        <f t="shared" si="83"/>
        <v>0</v>
      </c>
      <c r="CG36" s="4504">
        <f t="shared" si="84"/>
        <v>0</v>
      </c>
      <c r="CH36" s="4504">
        <f t="shared" si="85"/>
        <v>0</v>
      </c>
      <c r="CI36" s="4504">
        <f t="shared" si="86"/>
        <v>0</v>
      </c>
      <c r="CJ36" s="4504">
        <f t="shared" si="87"/>
        <v>0</v>
      </c>
      <c r="CK36" s="4504">
        <f t="shared" si="88"/>
        <v>0</v>
      </c>
    </row>
    <row r="37" spans="1:89">
      <c r="A37" s="2739"/>
      <c r="B37" s="3617">
        <v>2040203</v>
      </c>
      <c r="C37" s="3600">
        <v>0.02</v>
      </c>
      <c r="D37" s="2749" t="s">
        <v>418</v>
      </c>
      <c r="E37" s="2727">
        <f>'11.2. ДА за периода'!E37</f>
        <v>0</v>
      </c>
      <c r="F37" s="1228">
        <f>SUMIF('9.Инвестиционна програма'!$B$12:$B$35,$B37,'9.Инвестиционна програма'!H$12:H$35)*$E$6</f>
        <v>0</v>
      </c>
      <c r="G37" s="1224">
        <f>SUMIF('9.Инвестиционна програма'!$B$12:$B$35,$B37,'9.Инвестиционна програма'!I$12:I$35)*$E$6</f>
        <v>0</v>
      </c>
      <c r="H37" s="1224">
        <f>SUMIF('9.Инвестиционна програма'!$B$12:$B$35,$B37,'9.Инвестиционна програма'!J$12:J$35)*$E$6</f>
        <v>0</v>
      </c>
      <c r="I37" s="1224">
        <f>SUMIF('9.Инвестиционна програма'!$B$12:$B$35,$B37,'9.Инвестиционна програма'!K$12:K$35)*$E$6</f>
        <v>0</v>
      </c>
      <c r="J37" s="1224">
        <f>SUMIF('9.Инвестиционна програма'!$B$12:$B$35,$B37,'9.Инвестиционна програма'!L$12:L$35)*$E$6</f>
        <v>0</v>
      </c>
      <c r="K37" s="1229">
        <f>SUMIF('9.Инвестиционна програма'!$B$12:$B$35,$B37,'9.Инвестиционна програма'!M$12:M$35)*$E$6</f>
        <v>0</v>
      </c>
      <c r="L37" s="2727">
        <f>'11.2. ДА за периода'!L37</f>
        <v>0</v>
      </c>
      <c r="M37" s="1232">
        <f>SUMIF('9.Инвестиционна програма'!$B$37:$B$47,$B37,'9.Инвестиционна програма'!H$37:H$47)*$E$6</f>
        <v>0</v>
      </c>
      <c r="N37" s="1226">
        <f>SUMIF('9.Инвестиционна програма'!$B$37:$B$47,$B37,'9.Инвестиционна програма'!I$37:I$47)*$E$6</f>
        <v>0</v>
      </c>
      <c r="O37" s="1226">
        <f>SUMIF('9.Инвестиционна програма'!$B$37:$B$47,$B37,'9.Инвестиционна програма'!J$37:J$47)*$E$6</f>
        <v>0</v>
      </c>
      <c r="P37" s="1226">
        <f>SUMIF('9.Инвестиционна програма'!$B$37:$B$47,$B37,'9.Инвестиционна програма'!K$37:K$47)*$E$6</f>
        <v>0</v>
      </c>
      <c r="Q37" s="1226">
        <f>SUMIF('9.Инвестиционна програма'!$B$37:$B$47,$B37,'9.Инвестиционна програма'!L$37:L$47)*$E$6</f>
        <v>0</v>
      </c>
      <c r="R37" s="1227">
        <f>SUMIF('9.Инвестиционна програма'!$B$37:$B$47,$B37,'9.Инвестиционна програма'!M$37:M$47)*$E$6</f>
        <v>0</v>
      </c>
      <c r="S37" s="1113">
        <f>'11.2. ДА за периода'!S37</f>
        <v>0</v>
      </c>
      <c r="T37" s="906">
        <f>SUMIF('9.Инвестиционна програма'!$B$49:$B$56,$B37,'9.Инвестиционна програма'!H$49:H$56)*$E$6</f>
        <v>0</v>
      </c>
      <c r="U37" s="906">
        <f>SUMIF('9.Инвестиционна програма'!$B$49:$B$56,$B37,'9.Инвестиционна програма'!I$49:I$56)*$E$6</f>
        <v>0</v>
      </c>
      <c r="V37" s="906">
        <f>SUMIF('9.Инвестиционна програма'!$B$49:$B$56,$B37,'9.Инвестиционна програма'!J$49:J$56)*$E$6</f>
        <v>0</v>
      </c>
      <c r="W37" s="906">
        <f>SUMIF('9.Инвестиционна програма'!$B$49:$B$56,$B37,'9.Инвестиционна програма'!K$49:K$56)*$E$6</f>
        <v>0</v>
      </c>
      <c r="X37" s="906">
        <f>SUMIF('9.Инвестиционна програма'!$B$49:$B$56,$B37,'9.Инвестиционна програма'!L$49:L$56)*$E$6</f>
        <v>0</v>
      </c>
      <c r="Y37" s="2728">
        <f>SUMIF('9.Инвестиционна програма'!$B$49:$B$56,$B37,'9.Инвестиционна програма'!M$49:M$56)*$E$6</f>
        <v>0</v>
      </c>
      <c r="Z37" s="1113">
        <f>'11.2. ДА за периода'!Z37</f>
        <v>0</v>
      </c>
      <c r="AA37" s="906">
        <f>SUMIF('9.Инвестиционна програма'!$B$74:$B$97,$B37,'9.Инвестиционна програма'!H$74:H$97)*$E$6</f>
        <v>0</v>
      </c>
      <c r="AB37" s="906">
        <f>SUMIF('9.Инвестиционна програма'!$B$74:$B$97,$B37,'9.Инвестиционна програма'!I$74:I$97)*$E$6</f>
        <v>0</v>
      </c>
      <c r="AC37" s="906">
        <f>SUMIF('9.Инвестиционна програма'!$B$74:$B$97,$B37,'9.Инвестиционна програма'!J$74:J$97)*$E$6</f>
        <v>0</v>
      </c>
      <c r="AD37" s="906">
        <f>SUMIF('9.Инвестиционна програма'!$B$74:$B$97,$B37,'9.Инвестиционна програма'!K$74:K$97)*$E$6</f>
        <v>0</v>
      </c>
      <c r="AE37" s="906">
        <f>SUMIF('9.Инвестиционна програма'!$B$74:$B$97,$B37,'9.Инвестиционна програма'!L$74:L$97)*$E$6</f>
        <v>0</v>
      </c>
      <c r="AF37" s="906">
        <f>SUMIF('9.Инвестиционна програма'!$B$74:$B$97,$B37,'9.Инвестиционна програма'!M$74:M$97)*$E$6</f>
        <v>0</v>
      </c>
      <c r="AG37" s="1113">
        <f>'11.2. ДА за периода'!AG37</f>
        <v>0</v>
      </c>
      <c r="AH37" s="906">
        <f>SUMIF('9.Инвестиционна програма'!$B$100:$B$123,$B37,'9.Инвестиционна програма'!H$100:H$123)*$E$6</f>
        <v>0</v>
      </c>
      <c r="AI37" s="906">
        <f>SUMIF('9.Инвестиционна програма'!$B$100:$B$123,$B37,'9.Инвестиционна програма'!I$100:I$123)*$E$6</f>
        <v>0</v>
      </c>
      <c r="AJ37" s="906">
        <f>SUMIF('9.Инвестиционна програма'!$B$100:$B$123,$B37,'9.Инвестиционна програма'!J$100:J$123)*$E$6</f>
        <v>0</v>
      </c>
      <c r="AK37" s="906">
        <f>SUMIF('9.Инвестиционна програма'!$B$100:$B$123,$B37,'9.Инвестиционна програма'!K$100:K$123)*$E$6</f>
        <v>0</v>
      </c>
      <c r="AL37" s="906">
        <f>SUMIF('9.Инвестиционна програма'!$B$100:$B$123,$B37,'9.Инвестиционна програма'!L$100:L$123)*$E$6</f>
        <v>0</v>
      </c>
      <c r="AM37" s="906">
        <f>SUMIF('9.Инвестиционна програма'!$B$100:$B$123,$B37,'9.Инвестиционна програма'!M$100:M$123)*$E$6</f>
        <v>0</v>
      </c>
      <c r="AN37" s="1113">
        <f>'11.2. ДА за периода'!AN37</f>
        <v>0</v>
      </c>
      <c r="AO37" s="1232">
        <f>(SUMIF('9.Инвестиционна програма'!$B$58:$B$59,$B37,'9.Инвестиционна програма'!H$58:H$59)+SUMIF('9.Инвестиционна програма'!$B$61:$B$71,$B37,'9.Инвестиционна програма'!H$61:H$71))*$E$6</f>
        <v>0</v>
      </c>
      <c r="AP37" s="906">
        <f>(SUMIF('9.Инвестиционна програма'!$B$58:$B$59,$B37,'9.Инвестиционна програма'!I$58:I$59)+SUMIF('9.Инвестиционна програма'!$B$61:$B$71,$B37,'9.Инвестиционна програма'!I$61:I$71))*$E$6</f>
        <v>0</v>
      </c>
      <c r="AQ37" s="906">
        <f>(SUMIF('9.Инвестиционна програма'!$B$58:$B$59,$B37,'9.Инвестиционна програма'!J$58:J$59)+SUMIF('9.Инвестиционна програма'!$B$61:$B$71,$B37,'9.Инвестиционна програма'!J$61:J$71))*$E$6</f>
        <v>0</v>
      </c>
      <c r="AR37" s="906">
        <f>(SUMIF('9.Инвестиционна програма'!$B$58:$B$59,$B37,'9.Инвестиционна програма'!K$58:K$59)+SUMIF('9.Инвестиционна програма'!$B$61:$B$71,$B37,'9.Инвестиционна програма'!K$61:K$71))*$E$6</f>
        <v>0</v>
      </c>
      <c r="AS37" s="906">
        <f>(SUMIF('9.Инвестиционна програма'!$B$58:$B$59,$B37,'9.Инвестиционна програма'!L$58:L$59)+SUMIF('9.Инвестиционна програма'!$B$61:$B$71,$B37,'9.Инвестиционна програма'!L$61:L$71))*$E$6</f>
        <v>0</v>
      </c>
      <c r="AT37" s="2728">
        <f>(SUMIF('9.Инвестиционна програма'!$B$58:$B$59,$B37,'9.Инвестиционна програма'!M$58:M$59)+SUMIF('9.Инвестиционна програма'!$B$61:$B$71,$B37,'9.Инвестиционна програма'!M$61:M$71))*$E$6</f>
        <v>0</v>
      </c>
      <c r="AU37" s="4488"/>
      <c r="AV37" s="4504">
        <f t="shared" si="47"/>
        <v>0</v>
      </c>
      <c r="AW37" s="4504">
        <f t="shared" si="48"/>
        <v>0</v>
      </c>
      <c r="AX37" s="4504">
        <f t="shared" si="49"/>
        <v>0</v>
      </c>
      <c r="AY37" s="4504">
        <f t="shared" si="50"/>
        <v>0</v>
      </c>
      <c r="AZ37" s="4504">
        <f t="shared" si="51"/>
        <v>0</v>
      </c>
      <c r="BA37" s="4504">
        <f t="shared" si="52"/>
        <v>0</v>
      </c>
      <c r="BB37" s="4504">
        <f t="shared" si="53"/>
        <v>0</v>
      </c>
      <c r="BC37" s="4504">
        <f t="shared" si="54"/>
        <v>0</v>
      </c>
      <c r="BD37" s="4504">
        <f t="shared" si="55"/>
        <v>0</v>
      </c>
      <c r="BE37" s="4504">
        <f t="shared" si="56"/>
        <v>0</v>
      </c>
      <c r="BF37" s="4504">
        <f t="shared" si="57"/>
        <v>0</v>
      </c>
      <c r="BG37" s="4504">
        <f t="shared" si="58"/>
        <v>0</v>
      </c>
      <c r="BH37" s="4504">
        <f t="shared" si="59"/>
        <v>0</v>
      </c>
      <c r="BI37" s="4504">
        <f t="shared" si="60"/>
        <v>0</v>
      </c>
      <c r="BJ37" s="4504">
        <f t="shared" si="61"/>
        <v>0</v>
      </c>
      <c r="BK37" s="4504">
        <f t="shared" si="62"/>
        <v>0</v>
      </c>
      <c r="BL37" s="4504">
        <f t="shared" si="63"/>
        <v>0</v>
      </c>
      <c r="BM37" s="4504">
        <f t="shared" si="64"/>
        <v>0</v>
      </c>
      <c r="BN37" s="4504">
        <f t="shared" si="65"/>
        <v>0</v>
      </c>
      <c r="BO37" s="4504">
        <f t="shared" si="66"/>
        <v>0</v>
      </c>
      <c r="BP37" s="4504">
        <f t="shared" si="67"/>
        <v>0</v>
      </c>
      <c r="BQ37" s="4504">
        <f t="shared" si="68"/>
        <v>0</v>
      </c>
      <c r="BR37" s="4504">
        <f t="shared" si="69"/>
        <v>0</v>
      </c>
      <c r="BS37" s="4504">
        <f t="shared" si="70"/>
        <v>0</v>
      </c>
      <c r="BT37" s="4504">
        <f t="shared" si="71"/>
        <v>0</v>
      </c>
      <c r="BU37" s="4504">
        <f t="shared" si="72"/>
        <v>0</v>
      </c>
      <c r="BV37" s="4504">
        <f t="shared" si="73"/>
        <v>0</v>
      </c>
      <c r="BW37" s="4504">
        <f t="shared" si="74"/>
        <v>0</v>
      </c>
      <c r="BX37" s="4504">
        <f t="shared" si="75"/>
        <v>0</v>
      </c>
      <c r="BY37" s="4504">
        <f t="shared" si="76"/>
        <v>0</v>
      </c>
      <c r="BZ37" s="4504">
        <f t="shared" si="77"/>
        <v>0</v>
      </c>
      <c r="CA37" s="4504">
        <f t="shared" si="78"/>
        <v>0</v>
      </c>
      <c r="CB37" s="4504">
        <f t="shared" si="79"/>
        <v>0</v>
      </c>
      <c r="CC37" s="4504">
        <f t="shared" si="80"/>
        <v>0</v>
      </c>
      <c r="CD37" s="4504">
        <f t="shared" si="81"/>
        <v>0</v>
      </c>
      <c r="CE37" s="4504">
        <f t="shared" si="82"/>
        <v>0</v>
      </c>
      <c r="CF37" s="4504">
        <f t="shared" si="83"/>
        <v>0</v>
      </c>
      <c r="CG37" s="4504">
        <f t="shared" si="84"/>
        <v>0</v>
      </c>
      <c r="CH37" s="4504">
        <f t="shared" si="85"/>
        <v>0</v>
      </c>
      <c r="CI37" s="4504">
        <f t="shared" si="86"/>
        <v>0</v>
      </c>
      <c r="CJ37" s="4504">
        <f t="shared" si="87"/>
        <v>0</v>
      </c>
      <c r="CK37" s="4504">
        <f t="shared" si="88"/>
        <v>0</v>
      </c>
    </row>
    <row r="38" spans="1:89">
      <c r="A38" s="2739"/>
      <c r="B38" s="3617">
        <v>2040204</v>
      </c>
      <c r="C38" s="3600">
        <v>0.02</v>
      </c>
      <c r="D38" s="2751" t="s">
        <v>419</v>
      </c>
      <c r="E38" s="2727">
        <f>'11.2. ДА за периода'!E38</f>
        <v>0</v>
      </c>
      <c r="F38" s="1228">
        <f>SUMIF('9.Инвестиционна програма'!$B$12:$B$35,$B38,'9.Инвестиционна програма'!H$12:H$35)*$E$6</f>
        <v>2</v>
      </c>
      <c r="G38" s="1224">
        <f>SUMIF('9.Инвестиционна програма'!$B$12:$B$35,$B38,'9.Инвестиционна програма'!I$12:I$35)*$E$6</f>
        <v>2</v>
      </c>
      <c r="H38" s="1224">
        <f>SUMIF('9.Инвестиционна програма'!$B$12:$B$35,$B38,'9.Инвестиционна програма'!J$12:J$35)*$E$6</f>
        <v>2</v>
      </c>
      <c r="I38" s="1224">
        <f>SUMIF('9.Инвестиционна програма'!$B$12:$B$35,$B38,'9.Инвестиционна програма'!K$12:K$35)*$E$6</f>
        <v>2</v>
      </c>
      <c r="J38" s="1224">
        <f>SUMIF('9.Инвестиционна програма'!$B$12:$B$35,$B38,'9.Инвестиционна програма'!L$12:L$35)*$E$6</f>
        <v>2</v>
      </c>
      <c r="K38" s="1229">
        <f>SUMIF('9.Инвестиционна програма'!$B$12:$B$35,$B38,'9.Инвестиционна програма'!M$12:M$35)*$E$6</f>
        <v>2</v>
      </c>
      <c r="L38" s="2727">
        <f>'11.2. ДА за периода'!L38</f>
        <v>0</v>
      </c>
      <c r="M38" s="1232">
        <f>SUMIF('9.Инвестиционна програма'!$B$37:$B$47,$B38,'9.Инвестиционна програма'!H$37:H$47)*$E$6</f>
        <v>0</v>
      </c>
      <c r="N38" s="1226">
        <f>SUMIF('9.Инвестиционна програма'!$B$37:$B$47,$B38,'9.Инвестиционна програма'!I$37:I$47)*$E$6</f>
        <v>0</v>
      </c>
      <c r="O38" s="1226">
        <f>SUMIF('9.Инвестиционна програма'!$B$37:$B$47,$B38,'9.Инвестиционна програма'!J$37:J$47)*$E$6</f>
        <v>0</v>
      </c>
      <c r="P38" s="1226">
        <f>SUMIF('9.Инвестиционна програма'!$B$37:$B$47,$B38,'9.Инвестиционна програма'!K$37:K$47)*$E$6</f>
        <v>0</v>
      </c>
      <c r="Q38" s="1226">
        <f>SUMIF('9.Инвестиционна програма'!$B$37:$B$47,$B38,'9.Инвестиционна програма'!L$37:L$47)*$E$6</f>
        <v>0</v>
      </c>
      <c r="R38" s="1227">
        <f>SUMIF('9.Инвестиционна програма'!$B$37:$B$47,$B38,'9.Инвестиционна програма'!M$37:M$47)*$E$6</f>
        <v>0</v>
      </c>
      <c r="S38" s="1113">
        <f>'11.2. ДА за периода'!S38</f>
        <v>0</v>
      </c>
      <c r="T38" s="906">
        <f>SUMIF('9.Инвестиционна програма'!$B$49:$B$56,$B38,'9.Инвестиционна програма'!H$49:H$56)*$E$6</f>
        <v>0</v>
      </c>
      <c r="U38" s="906">
        <f>SUMIF('9.Инвестиционна програма'!$B$49:$B$56,$B38,'9.Инвестиционна програма'!I$49:I$56)*$E$6</f>
        <v>0</v>
      </c>
      <c r="V38" s="906">
        <f>SUMIF('9.Инвестиционна програма'!$B$49:$B$56,$B38,'9.Инвестиционна програма'!J$49:J$56)*$E$6</f>
        <v>0</v>
      </c>
      <c r="W38" s="906">
        <f>SUMIF('9.Инвестиционна програма'!$B$49:$B$56,$B38,'9.Инвестиционна програма'!K$49:K$56)*$E$6</f>
        <v>0</v>
      </c>
      <c r="X38" s="906">
        <f>SUMIF('9.Инвестиционна програма'!$B$49:$B$56,$B38,'9.Инвестиционна програма'!L$49:L$56)*$E$6</f>
        <v>0</v>
      </c>
      <c r="Y38" s="2728">
        <f>SUMIF('9.Инвестиционна програма'!$B$49:$B$56,$B38,'9.Инвестиционна програма'!M$49:M$56)*$E$6</f>
        <v>0</v>
      </c>
      <c r="Z38" s="1113">
        <f>'11.2. ДА за периода'!Z38</f>
        <v>0</v>
      </c>
      <c r="AA38" s="906">
        <f>SUMIF('9.Инвестиционна програма'!$B$74:$B$97,$B38,'9.Инвестиционна програма'!H$74:H$97)*$E$6</f>
        <v>0</v>
      </c>
      <c r="AB38" s="906">
        <f>SUMIF('9.Инвестиционна програма'!$B$74:$B$97,$B38,'9.Инвестиционна програма'!I$74:I$97)*$E$6</f>
        <v>0</v>
      </c>
      <c r="AC38" s="906">
        <f>SUMIF('9.Инвестиционна програма'!$B$74:$B$97,$B38,'9.Инвестиционна програма'!J$74:J$97)*$E$6</f>
        <v>0</v>
      </c>
      <c r="AD38" s="906">
        <f>SUMIF('9.Инвестиционна програма'!$B$74:$B$97,$B38,'9.Инвестиционна програма'!K$74:K$97)*$E$6</f>
        <v>0</v>
      </c>
      <c r="AE38" s="906">
        <f>SUMIF('9.Инвестиционна програма'!$B$74:$B$97,$B38,'9.Инвестиционна програма'!L$74:L$97)*$E$6</f>
        <v>0</v>
      </c>
      <c r="AF38" s="906">
        <f>SUMIF('9.Инвестиционна програма'!$B$74:$B$97,$B38,'9.Инвестиционна програма'!M$74:M$97)*$E$6</f>
        <v>0</v>
      </c>
      <c r="AG38" s="1113">
        <f>'11.2. ДА за периода'!AG38</f>
        <v>0</v>
      </c>
      <c r="AH38" s="906">
        <f>SUMIF('9.Инвестиционна програма'!$B$100:$B$123,$B38,'9.Инвестиционна програма'!H$100:H$123)*$E$6</f>
        <v>0</v>
      </c>
      <c r="AI38" s="906">
        <f>SUMIF('9.Инвестиционна програма'!$B$100:$B$123,$B38,'9.Инвестиционна програма'!I$100:I$123)*$E$6</f>
        <v>35</v>
      </c>
      <c r="AJ38" s="906">
        <f>SUMIF('9.Инвестиционна програма'!$B$100:$B$123,$B38,'9.Инвестиционна програма'!J$100:J$123)*$E$6</f>
        <v>0</v>
      </c>
      <c r="AK38" s="906">
        <f>SUMIF('9.Инвестиционна програма'!$B$100:$B$123,$B38,'9.Инвестиционна програма'!K$100:K$123)*$E$6</f>
        <v>0</v>
      </c>
      <c r="AL38" s="906">
        <f>SUMIF('9.Инвестиционна програма'!$B$100:$B$123,$B38,'9.Инвестиционна програма'!L$100:L$123)*$E$6</f>
        <v>40</v>
      </c>
      <c r="AM38" s="906">
        <f>SUMIF('9.Инвестиционна програма'!$B$100:$B$123,$B38,'9.Инвестиционна програма'!M$100:M$123)*$E$6</f>
        <v>40</v>
      </c>
      <c r="AN38" s="1113">
        <f>'11.2. ДА за периода'!AN38</f>
        <v>0</v>
      </c>
      <c r="AO38" s="1232">
        <f>(SUMIF('9.Инвестиционна програма'!$B$58:$B$59,$B38,'9.Инвестиционна програма'!H$58:H$59)+SUMIF('9.Инвестиционна програма'!$B$61:$B$71,$B38,'9.Инвестиционна програма'!H$61:H$71))*$E$6</f>
        <v>0</v>
      </c>
      <c r="AP38" s="906">
        <f>(SUMIF('9.Инвестиционна програма'!$B$58:$B$59,$B38,'9.Инвестиционна програма'!I$58:I$59)+SUMIF('9.Инвестиционна програма'!$B$61:$B$71,$B38,'9.Инвестиционна програма'!I$61:I$71))*$E$6</f>
        <v>0</v>
      </c>
      <c r="AQ38" s="906">
        <f>(SUMIF('9.Инвестиционна програма'!$B$58:$B$59,$B38,'9.Инвестиционна програма'!J$58:J$59)+SUMIF('9.Инвестиционна програма'!$B$61:$B$71,$B38,'9.Инвестиционна програма'!J$61:J$71))*$E$6</f>
        <v>0</v>
      </c>
      <c r="AR38" s="906">
        <f>(SUMIF('9.Инвестиционна програма'!$B$58:$B$59,$B38,'9.Инвестиционна програма'!K$58:K$59)+SUMIF('9.Инвестиционна програма'!$B$61:$B$71,$B38,'9.Инвестиционна програма'!K$61:K$71))*$E$6</f>
        <v>0</v>
      </c>
      <c r="AS38" s="906">
        <f>(SUMIF('9.Инвестиционна програма'!$B$58:$B$59,$B38,'9.Инвестиционна програма'!L$58:L$59)+SUMIF('9.Инвестиционна програма'!$B$61:$B$71,$B38,'9.Инвестиционна програма'!L$61:L$71))*$E$6</f>
        <v>0</v>
      </c>
      <c r="AT38" s="2728">
        <f>(SUMIF('9.Инвестиционна програма'!$B$58:$B$59,$B38,'9.Инвестиционна програма'!M$58:M$59)+SUMIF('9.Инвестиционна програма'!$B$61:$B$71,$B38,'9.Инвестиционна програма'!M$61:M$71))*$E$6</f>
        <v>0</v>
      </c>
      <c r="AU38" s="4488"/>
      <c r="AV38" s="4504">
        <f t="shared" si="47"/>
        <v>0</v>
      </c>
      <c r="AW38" s="4504">
        <f t="shared" si="48"/>
        <v>1.022583762392437</v>
      </c>
      <c r="AX38" s="4504">
        <f t="shared" si="49"/>
        <v>1.022583762392437</v>
      </c>
      <c r="AY38" s="4504">
        <f t="shared" si="50"/>
        <v>1.022583762392437</v>
      </c>
      <c r="AZ38" s="4504">
        <f t="shared" si="51"/>
        <v>1.022583762392437</v>
      </c>
      <c r="BA38" s="4504">
        <f t="shared" si="52"/>
        <v>1.022583762392437</v>
      </c>
      <c r="BB38" s="4504">
        <f t="shared" si="53"/>
        <v>1.022583762392437</v>
      </c>
      <c r="BC38" s="4504">
        <f t="shared" si="54"/>
        <v>0</v>
      </c>
      <c r="BD38" s="4504">
        <f t="shared" si="55"/>
        <v>0</v>
      </c>
      <c r="BE38" s="4504">
        <f t="shared" si="56"/>
        <v>0</v>
      </c>
      <c r="BF38" s="4504">
        <f t="shared" si="57"/>
        <v>0</v>
      </c>
      <c r="BG38" s="4504">
        <f t="shared" si="58"/>
        <v>0</v>
      </c>
      <c r="BH38" s="4504">
        <f t="shared" si="59"/>
        <v>0</v>
      </c>
      <c r="BI38" s="4504">
        <f t="shared" si="60"/>
        <v>0</v>
      </c>
      <c r="BJ38" s="4504">
        <f t="shared" si="61"/>
        <v>0</v>
      </c>
      <c r="BK38" s="4504">
        <f t="shared" si="62"/>
        <v>0</v>
      </c>
      <c r="BL38" s="4504">
        <f t="shared" si="63"/>
        <v>0</v>
      </c>
      <c r="BM38" s="4504">
        <f t="shared" si="64"/>
        <v>0</v>
      </c>
      <c r="BN38" s="4504">
        <f t="shared" si="65"/>
        <v>0</v>
      </c>
      <c r="BO38" s="4504">
        <f t="shared" si="66"/>
        <v>0</v>
      </c>
      <c r="BP38" s="4504">
        <f t="shared" si="67"/>
        <v>0</v>
      </c>
      <c r="BQ38" s="4504">
        <f t="shared" si="68"/>
        <v>0</v>
      </c>
      <c r="BR38" s="4504">
        <f t="shared" si="69"/>
        <v>0</v>
      </c>
      <c r="BS38" s="4504">
        <f t="shared" si="70"/>
        <v>0</v>
      </c>
      <c r="BT38" s="4504">
        <f t="shared" si="71"/>
        <v>0</v>
      </c>
      <c r="BU38" s="4504">
        <f t="shared" si="72"/>
        <v>0</v>
      </c>
      <c r="BV38" s="4504">
        <f t="shared" si="73"/>
        <v>0</v>
      </c>
      <c r="BW38" s="4504">
        <f t="shared" si="74"/>
        <v>0</v>
      </c>
      <c r="BX38" s="4504">
        <f t="shared" si="75"/>
        <v>0</v>
      </c>
      <c r="BY38" s="4504">
        <f t="shared" si="76"/>
        <v>0</v>
      </c>
      <c r="BZ38" s="4504">
        <f t="shared" si="77"/>
        <v>17.895215841867646</v>
      </c>
      <c r="CA38" s="4504">
        <f t="shared" si="78"/>
        <v>0</v>
      </c>
      <c r="CB38" s="4504">
        <f t="shared" si="79"/>
        <v>0</v>
      </c>
      <c r="CC38" s="4504">
        <f t="shared" si="80"/>
        <v>20.45167524784874</v>
      </c>
      <c r="CD38" s="4504">
        <f t="shared" si="81"/>
        <v>20.45167524784874</v>
      </c>
      <c r="CE38" s="4504">
        <f t="shared" si="82"/>
        <v>0</v>
      </c>
      <c r="CF38" s="4504">
        <f t="shared" si="83"/>
        <v>0</v>
      </c>
      <c r="CG38" s="4504">
        <f t="shared" si="84"/>
        <v>0</v>
      </c>
      <c r="CH38" s="4504">
        <f t="shared" si="85"/>
        <v>0</v>
      </c>
      <c r="CI38" s="4504">
        <f t="shared" si="86"/>
        <v>0</v>
      </c>
      <c r="CJ38" s="4504">
        <f t="shared" si="87"/>
        <v>0</v>
      </c>
      <c r="CK38" s="4504">
        <f t="shared" si="88"/>
        <v>0</v>
      </c>
    </row>
    <row r="39" spans="1:89">
      <c r="A39" s="2739"/>
      <c r="B39" s="3617">
        <v>2040205</v>
      </c>
      <c r="C39" s="3600">
        <v>0.02</v>
      </c>
      <c r="D39" s="2749" t="s">
        <v>420</v>
      </c>
      <c r="E39" s="2727">
        <f>'11.2. ДА за периода'!E39</f>
        <v>580.32797581283057</v>
      </c>
      <c r="F39" s="1228">
        <f>SUMIF('9.Инвестиционна програма'!$B$12:$B$35,$B39,'9.Инвестиционна програма'!H$12:H$35)*$E$6</f>
        <v>414.75</v>
      </c>
      <c r="G39" s="1224">
        <f>SUMIF('9.Инвестиционна програма'!$B$12:$B$35,$B39,'9.Инвестиционна програма'!I$12:I$35)*$E$6</f>
        <v>516</v>
      </c>
      <c r="H39" s="1224">
        <f>SUMIF('9.Инвестиционна програма'!$B$12:$B$35,$B39,'9.Инвестиционна програма'!J$12:J$35)*$E$6</f>
        <v>524</v>
      </c>
      <c r="I39" s="1224">
        <f>SUMIF('9.Инвестиционна програма'!$B$12:$B$35,$B39,'9.Инвестиционна програма'!K$12:K$35)*$E$6</f>
        <v>535</v>
      </c>
      <c r="J39" s="1224">
        <f>SUMIF('9.Инвестиционна програма'!$B$12:$B$35,$B39,'9.Инвестиционна програма'!L$12:L$35)*$E$6</f>
        <v>537</v>
      </c>
      <c r="K39" s="1229">
        <f>SUMIF('9.Инвестиционна програма'!$B$12:$B$35,$B39,'9.Инвестиционна програма'!M$12:M$35)*$E$6</f>
        <v>539</v>
      </c>
      <c r="L39" s="2727">
        <f>'11.2. ДА за периода'!L39</f>
        <v>0</v>
      </c>
      <c r="M39" s="1232">
        <f>SUMIF('9.Инвестиционна програма'!$B$37:$B$47,$B39,'9.Инвестиционна програма'!H$37:H$47)*$E$6</f>
        <v>0</v>
      </c>
      <c r="N39" s="1226">
        <f>SUMIF('9.Инвестиционна програма'!$B$37:$B$47,$B39,'9.Инвестиционна програма'!I$37:I$47)*$E$6</f>
        <v>0</v>
      </c>
      <c r="O39" s="1226">
        <f>SUMIF('9.Инвестиционна програма'!$B$37:$B$47,$B39,'9.Инвестиционна програма'!J$37:J$47)*$E$6</f>
        <v>0</v>
      </c>
      <c r="P39" s="1226">
        <f>SUMIF('9.Инвестиционна програма'!$B$37:$B$47,$B39,'9.Инвестиционна програма'!K$37:K$47)*$E$6</f>
        <v>0</v>
      </c>
      <c r="Q39" s="1226">
        <f>SUMIF('9.Инвестиционна програма'!$B$37:$B$47,$B39,'9.Инвестиционна програма'!L$37:L$47)*$E$6</f>
        <v>0</v>
      </c>
      <c r="R39" s="1227">
        <f>SUMIF('9.Инвестиционна програма'!$B$37:$B$47,$B39,'9.Инвестиционна програма'!M$37:M$47)*$E$6</f>
        <v>0</v>
      </c>
      <c r="S39" s="1113">
        <f>'11.2. ДА за периода'!S39</f>
        <v>0</v>
      </c>
      <c r="T39" s="906">
        <f>SUMIF('9.Инвестиционна програма'!$B$49:$B$56,$B39,'9.Инвестиционна програма'!H$49:H$56)*$E$6</f>
        <v>0</v>
      </c>
      <c r="U39" s="906">
        <f>SUMIF('9.Инвестиционна програма'!$B$49:$B$56,$B39,'9.Инвестиционна програма'!I$49:I$56)*$E$6</f>
        <v>0</v>
      </c>
      <c r="V39" s="906">
        <f>SUMIF('9.Инвестиционна програма'!$B$49:$B$56,$B39,'9.Инвестиционна програма'!J$49:J$56)*$E$6</f>
        <v>0</v>
      </c>
      <c r="W39" s="906">
        <f>SUMIF('9.Инвестиционна програма'!$B$49:$B$56,$B39,'9.Инвестиционна програма'!K$49:K$56)*$E$6</f>
        <v>0</v>
      </c>
      <c r="X39" s="906">
        <f>SUMIF('9.Инвестиционна програма'!$B$49:$B$56,$B39,'9.Инвестиционна програма'!L$49:L$56)*$E$6</f>
        <v>0</v>
      </c>
      <c r="Y39" s="2728">
        <f>SUMIF('9.Инвестиционна програма'!$B$49:$B$56,$B39,'9.Инвестиционна програма'!M$49:M$56)*$E$6</f>
        <v>0</v>
      </c>
      <c r="Z39" s="1113">
        <f>'11.2. ДА за периода'!Z39</f>
        <v>0</v>
      </c>
      <c r="AA39" s="906">
        <f>SUMIF('9.Инвестиционна програма'!$B$74:$B$97,$B39,'9.Инвестиционна програма'!H$74:H$97)*$E$6</f>
        <v>0</v>
      </c>
      <c r="AB39" s="906">
        <f>SUMIF('9.Инвестиционна програма'!$B$74:$B$97,$B39,'9.Инвестиционна програма'!I$74:I$97)*$E$6</f>
        <v>0</v>
      </c>
      <c r="AC39" s="906">
        <f>SUMIF('9.Инвестиционна програма'!$B$74:$B$97,$B39,'9.Инвестиционна програма'!J$74:J$97)*$E$6</f>
        <v>0</v>
      </c>
      <c r="AD39" s="906">
        <f>SUMIF('9.Инвестиционна програма'!$B$74:$B$97,$B39,'9.Инвестиционна програма'!K$74:K$97)*$E$6</f>
        <v>0</v>
      </c>
      <c r="AE39" s="906">
        <f>SUMIF('9.Инвестиционна програма'!$B$74:$B$97,$B39,'9.Инвестиционна програма'!L$74:L$97)*$E$6</f>
        <v>0</v>
      </c>
      <c r="AF39" s="906">
        <f>SUMIF('9.Инвестиционна програма'!$B$74:$B$97,$B39,'9.Инвестиционна програма'!M$74:M$97)*$E$6</f>
        <v>0</v>
      </c>
      <c r="AG39" s="1113">
        <f>'11.2. ДА за периода'!AG39</f>
        <v>29.204694187169277</v>
      </c>
      <c r="AH39" s="906">
        <f>SUMIF('9.Инвестиционна програма'!$B$100:$B$123,$B39,'9.Инвестиционна програма'!H$100:H$123)*$E$6</f>
        <v>0</v>
      </c>
      <c r="AI39" s="906">
        <f>SUMIF('9.Инвестиционна програма'!$B$100:$B$123,$B39,'9.Инвестиционна програма'!I$100:I$123)*$E$6</f>
        <v>80</v>
      </c>
      <c r="AJ39" s="906">
        <f>SUMIF('9.Инвестиционна програма'!$B$100:$B$123,$B39,'9.Инвестиционна програма'!J$100:J$123)*$E$6</f>
        <v>75</v>
      </c>
      <c r="AK39" s="906">
        <f>SUMIF('9.Инвестиционна програма'!$B$100:$B$123,$B39,'9.Инвестиционна програма'!K$100:K$123)*$E$6</f>
        <v>75</v>
      </c>
      <c r="AL39" s="906">
        <f>SUMIF('9.Инвестиционна програма'!$B$100:$B$123,$B39,'9.Инвестиционна програма'!L$100:L$123)*$E$6</f>
        <v>75</v>
      </c>
      <c r="AM39" s="906">
        <f>SUMIF('9.Инвестиционна програма'!$B$100:$B$123,$B39,'9.Инвестиционна програма'!M$100:M$123)*$E$6</f>
        <v>75</v>
      </c>
      <c r="AN39" s="1113">
        <f>'11.2. ДА за периода'!AN39</f>
        <v>0</v>
      </c>
      <c r="AO39" s="1232">
        <f>(SUMIF('9.Инвестиционна програма'!$B$58:$B$59,$B39,'9.Инвестиционна програма'!H$58:H$59)+SUMIF('9.Инвестиционна програма'!$B$61:$B$71,$B39,'9.Инвестиционна програма'!H$61:H$71))*$E$6</f>
        <v>0</v>
      </c>
      <c r="AP39" s="906">
        <f>(SUMIF('9.Инвестиционна програма'!$B$58:$B$59,$B39,'9.Инвестиционна програма'!I$58:I$59)+SUMIF('9.Инвестиционна програма'!$B$61:$B$71,$B39,'9.Инвестиционна програма'!I$61:I$71))*$E$6</f>
        <v>0</v>
      </c>
      <c r="AQ39" s="906">
        <f>(SUMIF('9.Инвестиционна програма'!$B$58:$B$59,$B39,'9.Инвестиционна програма'!J$58:J$59)+SUMIF('9.Инвестиционна програма'!$B$61:$B$71,$B39,'9.Инвестиционна програма'!J$61:J$71))*$E$6</f>
        <v>0</v>
      </c>
      <c r="AR39" s="906">
        <f>(SUMIF('9.Инвестиционна програма'!$B$58:$B$59,$B39,'9.Инвестиционна програма'!K$58:K$59)+SUMIF('9.Инвестиционна програма'!$B$61:$B$71,$B39,'9.Инвестиционна програма'!K$61:K$71))*$E$6</f>
        <v>0</v>
      </c>
      <c r="AS39" s="906">
        <f>(SUMIF('9.Инвестиционна програма'!$B$58:$B$59,$B39,'9.Инвестиционна програма'!L$58:L$59)+SUMIF('9.Инвестиционна програма'!$B$61:$B$71,$B39,'9.Инвестиционна програма'!L$61:L$71))*$E$6</f>
        <v>0</v>
      </c>
      <c r="AT39" s="2728">
        <f>(SUMIF('9.Инвестиционна програма'!$B$58:$B$59,$B39,'9.Инвестиционна програма'!M$58:M$59)+SUMIF('9.Инвестиционна програма'!$B$61:$B$71,$B39,'9.Инвестиционна програма'!M$61:M$71))*$E$6</f>
        <v>0</v>
      </c>
      <c r="AU39" s="4488"/>
      <c r="AV39" s="4504">
        <f t="shared" si="47"/>
        <v>296.71698246413575</v>
      </c>
      <c r="AW39" s="4504">
        <f t="shared" si="48"/>
        <v>212.05830772613163</v>
      </c>
      <c r="AX39" s="4504">
        <f t="shared" si="49"/>
        <v>263.82661069724873</v>
      </c>
      <c r="AY39" s="4504">
        <f t="shared" si="50"/>
        <v>267.9169457468185</v>
      </c>
      <c r="AZ39" s="4504">
        <f t="shared" si="51"/>
        <v>273.54115643997687</v>
      </c>
      <c r="BA39" s="4504">
        <f t="shared" si="52"/>
        <v>274.56374020236933</v>
      </c>
      <c r="BB39" s="4504">
        <f t="shared" si="53"/>
        <v>275.58632396476179</v>
      </c>
      <c r="BC39" s="4504">
        <f t="shared" si="54"/>
        <v>0</v>
      </c>
      <c r="BD39" s="4504">
        <f t="shared" si="55"/>
        <v>0</v>
      </c>
      <c r="BE39" s="4504">
        <f t="shared" si="56"/>
        <v>0</v>
      </c>
      <c r="BF39" s="4504">
        <f t="shared" si="57"/>
        <v>0</v>
      </c>
      <c r="BG39" s="4504">
        <f t="shared" si="58"/>
        <v>0</v>
      </c>
      <c r="BH39" s="4504">
        <f t="shared" si="59"/>
        <v>0</v>
      </c>
      <c r="BI39" s="4504">
        <f t="shared" si="60"/>
        <v>0</v>
      </c>
      <c r="BJ39" s="4504">
        <f t="shared" si="61"/>
        <v>0</v>
      </c>
      <c r="BK39" s="4504">
        <f t="shared" si="62"/>
        <v>0</v>
      </c>
      <c r="BL39" s="4504">
        <f t="shared" si="63"/>
        <v>0</v>
      </c>
      <c r="BM39" s="4504">
        <f t="shared" si="64"/>
        <v>0</v>
      </c>
      <c r="BN39" s="4504">
        <f t="shared" si="65"/>
        <v>0</v>
      </c>
      <c r="BO39" s="4504">
        <f t="shared" si="66"/>
        <v>0</v>
      </c>
      <c r="BP39" s="4504">
        <f t="shared" si="67"/>
        <v>0</v>
      </c>
      <c r="BQ39" s="4504">
        <f t="shared" si="68"/>
        <v>0</v>
      </c>
      <c r="BR39" s="4504">
        <f t="shared" si="69"/>
        <v>0</v>
      </c>
      <c r="BS39" s="4504">
        <f t="shared" si="70"/>
        <v>0</v>
      </c>
      <c r="BT39" s="4504">
        <f t="shared" si="71"/>
        <v>0</v>
      </c>
      <c r="BU39" s="4504">
        <f t="shared" si="72"/>
        <v>0</v>
      </c>
      <c r="BV39" s="4504">
        <f t="shared" si="73"/>
        <v>0</v>
      </c>
      <c r="BW39" s="4504">
        <f t="shared" si="74"/>
        <v>0</v>
      </c>
      <c r="BX39" s="4504">
        <f t="shared" si="75"/>
        <v>14.932123030718047</v>
      </c>
      <c r="BY39" s="4504">
        <f t="shared" si="76"/>
        <v>0</v>
      </c>
      <c r="BZ39" s="4504">
        <f t="shared" si="77"/>
        <v>40.903350495697481</v>
      </c>
      <c r="CA39" s="4504">
        <f t="shared" si="78"/>
        <v>38.346891089716387</v>
      </c>
      <c r="CB39" s="4504">
        <f t="shared" si="79"/>
        <v>38.346891089716387</v>
      </c>
      <c r="CC39" s="4504">
        <f t="shared" si="80"/>
        <v>38.346891089716387</v>
      </c>
      <c r="CD39" s="4504">
        <f t="shared" si="81"/>
        <v>38.346891089716387</v>
      </c>
      <c r="CE39" s="4504">
        <f t="shared" si="82"/>
        <v>0</v>
      </c>
      <c r="CF39" s="4504">
        <f t="shared" si="83"/>
        <v>0</v>
      </c>
      <c r="CG39" s="4504">
        <f t="shared" si="84"/>
        <v>0</v>
      </c>
      <c r="CH39" s="4504">
        <f t="shared" si="85"/>
        <v>0</v>
      </c>
      <c r="CI39" s="4504">
        <f t="shared" si="86"/>
        <v>0</v>
      </c>
      <c r="CJ39" s="4504">
        <f t="shared" si="87"/>
        <v>0</v>
      </c>
      <c r="CK39" s="4504">
        <f t="shared" si="88"/>
        <v>0</v>
      </c>
    </row>
    <row r="40" spans="1:89">
      <c r="A40" s="2739"/>
      <c r="B40" s="3617">
        <v>2040206</v>
      </c>
      <c r="C40" s="3600">
        <v>0.02</v>
      </c>
      <c r="D40" s="2749" t="s">
        <v>421</v>
      </c>
      <c r="E40" s="2727">
        <f>'11.2. ДА за периода'!E40</f>
        <v>0</v>
      </c>
      <c r="F40" s="1228">
        <f>SUMIF('9.Инвестиционна програма'!$B$12:$B$35,$B40,'9.Инвестиционна програма'!H$12:H$35)*$E$6</f>
        <v>0</v>
      </c>
      <c r="G40" s="1224">
        <f>SUMIF('9.Инвестиционна програма'!$B$12:$B$35,$B40,'9.Инвестиционна програма'!I$12:I$35)*$E$6</f>
        <v>0</v>
      </c>
      <c r="H40" s="1224">
        <f>SUMIF('9.Инвестиционна програма'!$B$12:$B$35,$B40,'9.Инвестиционна програма'!J$12:J$35)*$E$6</f>
        <v>0</v>
      </c>
      <c r="I40" s="1224">
        <f>SUMIF('9.Инвестиционна програма'!$B$12:$B$35,$B40,'9.Инвестиционна програма'!K$12:K$35)*$E$6</f>
        <v>0</v>
      </c>
      <c r="J40" s="1224">
        <f>SUMIF('9.Инвестиционна програма'!$B$12:$B$35,$B40,'9.Инвестиционна програма'!L$12:L$35)*$E$6</f>
        <v>0</v>
      </c>
      <c r="K40" s="1229">
        <f>SUMIF('9.Инвестиционна програма'!$B$12:$B$35,$B40,'9.Инвестиционна програма'!M$12:M$35)*$E$6</f>
        <v>0</v>
      </c>
      <c r="L40" s="2727">
        <f>'11.2. ДА за периода'!L40</f>
        <v>9.1790699999999994</v>
      </c>
      <c r="M40" s="1232">
        <f>SUMIF('9.Инвестиционна програма'!$B$37:$B$47,$B40,'9.Инвестиционна програма'!H$37:H$47)*$E$6</f>
        <v>20</v>
      </c>
      <c r="N40" s="1226">
        <f>SUMIF('9.Инвестиционна програма'!$B$37:$B$47,$B40,'9.Инвестиционна програма'!I$37:I$47)*$E$6</f>
        <v>5</v>
      </c>
      <c r="O40" s="1226">
        <f>SUMIF('9.Инвестиционна програма'!$B$37:$B$47,$B40,'9.Инвестиционна програма'!J$37:J$47)*$E$6</f>
        <v>5</v>
      </c>
      <c r="P40" s="1226">
        <f>SUMIF('9.Инвестиционна програма'!$B$37:$B$47,$B40,'9.Инвестиционна програма'!K$37:K$47)*$E$6</f>
        <v>5</v>
      </c>
      <c r="Q40" s="1226">
        <f>SUMIF('9.Инвестиционна програма'!$B$37:$B$47,$B40,'9.Инвестиционна програма'!L$37:L$47)*$E$6</f>
        <v>5</v>
      </c>
      <c r="R40" s="1227">
        <f>SUMIF('9.Инвестиционна програма'!$B$37:$B$47,$B40,'9.Инвестиционна програма'!M$37:M$47)*$E$6</f>
        <v>5</v>
      </c>
      <c r="S40" s="1113">
        <f>'11.2. ДА за периода'!S40</f>
        <v>0</v>
      </c>
      <c r="T40" s="906">
        <f>SUMIF('9.Инвестиционна програма'!$B$49:$B$56,$B40,'9.Инвестиционна програма'!H$49:H$56)*$E$6</f>
        <v>0</v>
      </c>
      <c r="U40" s="906">
        <f>SUMIF('9.Инвестиционна програма'!$B$49:$B$56,$B40,'9.Инвестиционна програма'!I$49:I$56)*$E$6</f>
        <v>0</v>
      </c>
      <c r="V40" s="906">
        <f>SUMIF('9.Инвестиционна програма'!$B$49:$B$56,$B40,'9.Инвестиционна програма'!J$49:J$56)*$E$6</f>
        <v>0</v>
      </c>
      <c r="W40" s="906">
        <f>SUMIF('9.Инвестиционна програма'!$B$49:$B$56,$B40,'9.Инвестиционна програма'!K$49:K$56)*$E$6</f>
        <v>0</v>
      </c>
      <c r="X40" s="906">
        <f>SUMIF('9.Инвестиционна програма'!$B$49:$B$56,$B40,'9.Инвестиционна програма'!L$49:L$56)*$E$6</f>
        <v>0</v>
      </c>
      <c r="Y40" s="2728">
        <f>SUMIF('9.Инвестиционна програма'!$B$49:$B$56,$B40,'9.Инвестиционна програма'!M$49:M$56)*$E$6</f>
        <v>0</v>
      </c>
      <c r="Z40" s="1113">
        <f>'11.2. ДА за периода'!Z40</f>
        <v>0</v>
      </c>
      <c r="AA40" s="906">
        <f>SUMIF('9.Инвестиционна програма'!$B$74:$B$97,$B40,'9.Инвестиционна програма'!H$74:H$97)*$E$6</f>
        <v>0</v>
      </c>
      <c r="AB40" s="906">
        <f>SUMIF('9.Инвестиционна програма'!$B$74:$B$97,$B40,'9.Инвестиционна програма'!I$74:I$97)*$E$6</f>
        <v>0</v>
      </c>
      <c r="AC40" s="906">
        <f>SUMIF('9.Инвестиционна програма'!$B$74:$B$97,$B40,'9.Инвестиционна програма'!J$74:J$97)*$E$6</f>
        <v>0</v>
      </c>
      <c r="AD40" s="906">
        <f>SUMIF('9.Инвестиционна програма'!$B$74:$B$97,$B40,'9.Инвестиционна програма'!K$74:K$97)*$E$6</f>
        <v>0</v>
      </c>
      <c r="AE40" s="906">
        <f>SUMIF('9.Инвестиционна програма'!$B$74:$B$97,$B40,'9.Инвестиционна програма'!L$74:L$97)*$E$6</f>
        <v>0</v>
      </c>
      <c r="AF40" s="906">
        <f>SUMIF('9.Инвестиционна програма'!$B$74:$B$97,$B40,'9.Инвестиционна програма'!M$74:M$97)*$E$6</f>
        <v>0</v>
      </c>
      <c r="AG40" s="1113">
        <f>'11.2. ДА за периода'!AG40</f>
        <v>0</v>
      </c>
      <c r="AH40" s="906">
        <f>SUMIF('9.Инвестиционна програма'!$B$100:$B$123,$B40,'9.Инвестиционна програма'!H$100:H$123)*$E$6</f>
        <v>0</v>
      </c>
      <c r="AI40" s="906">
        <f>SUMIF('9.Инвестиционна програма'!$B$100:$B$123,$B40,'9.Инвестиционна програма'!I$100:I$123)*$E$6</f>
        <v>0</v>
      </c>
      <c r="AJ40" s="906">
        <f>SUMIF('9.Инвестиционна програма'!$B$100:$B$123,$B40,'9.Инвестиционна програма'!J$100:J$123)*$E$6</f>
        <v>0</v>
      </c>
      <c r="AK40" s="906">
        <f>SUMIF('9.Инвестиционна програма'!$B$100:$B$123,$B40,'9.Инвестиционна програма'!K$100:K$123)*$E$6</f>
        <v>0</v>
      </c>
      <c r="AL40" s="906">
        <f>SUMIF('9.Инвестиционна програма'!$B$100:$B$123,$B40,'9.Инвестиционна програма'!L$100:L$123)*$E$6</f>
        <v>0</v>
      </c>
      <c r="AM40" s="906">
        <f>SUMIF('9.Инвестиционна програма'!$B$100:$B$123,$B40,'9.Инвестиционна програма'!M$100:M$123)*$E$6</f>
        <v>0</v>
      </c>
      <c r="AN40" s="1113">
        <f>'11.2. ДА за периода'!AN40</f>
        <v>0</v>
      </c>
      <c r="AO40" s="1232">
        <f>(SUMIF('9.Инвестиционна програма'!$B$58:$B$59,$B40,'9.Инвестиционна програма'!H$58:H$59)+SUMIF('9.Инвестиционна програма'!$B$61:$B$71,$B40,'9.Инвестиционна програма'!H$61:H$71))*$E$6</f>
        <v>0</v>
      </c>
      <c r="AP40" s="906">
        <f>(SUMIF('9.Инвестиционна програма'!$B$58:$B$59,$B40,'9.Инвестиционна програма'!I$58:I$59)+SUMIF('9.Инвестиционна програма'!$B$61:$B$71,$B40,'9.Инвестиционна програма'!I$61:I$71))*$E$6</f>
        <v>0</v>
      </c>
      <c r="AQ40" s="906">
        <f>(SUMIF('9.Инвестиционна програма'!$B$58:$B$59,$B40,'9.Инвестиционна програма'!J$58:J$59)+SUMIF('9.Инвестиционна програма'!$B$61:$B$71,$B40,'9.Инвестиционна програма'!J$61:J$71))*$E$6</f>
        <v>0</v>
      </c>
      <c r="AR40" s="906">
        <f>(SUMIF('9.Инвестиционна програма'!$B$58:$B$59,$B40,'9.Инвестиционна програма'!K$58:K$59)+SUMIF('9.Инвестиционна програма'!$B$61:$B$71,$B40,'9.Инвестиционна програма'!K$61:K$71))*$E$6</f>
        <v>0</v>
      </c>
      <c r="AS40" s="906">
        <f>(SUMIF('9.Инвестиционна програма'!$B$58:$B$59,$B40,'9.Инвестиционна програма'!L$58:L$59)+SUMIF('9.Инвестиционна програма'!$B$61:$B$71,$B40,'9.Инвестиционна програма'!L$61:L$71))*$E$6</f>
        <v>0</v>
      </c>
      <c r="AT40" s="2728">
        <f>(SUMIF('9.Инвестиционна програма'!$B$58:$B$59,$B40,'9.Инвестиционна програма'!M$58:M$59)+SUMIF('9.Инвестиционна програма'!$B$61:$B$71,$B40,'9.Инвестиционна програма'!M$61:M$71))*$E$6</f>
        <v>0</v>
      </c>
      <c r="AU40" s="4488"/>
      <c r="AV40" s="4504">
        <f t="shared" si="47"/>
        <v>0</v>
      </c>
      <c r="AW40" s="4504">
        <f t="shared" si="48"/>
        <v>0</v>
      </c>
      <c r="AX40" s="4504">
        <f t="shared" si="49"/>
        <v>0</v>
      </c>
      <c r="AY40" s="4504">
        <f t="shared" si="50"/>
        <v>0</v>
      </c>
      <c r="AZ40" s="4504">
        <f t="shared" si="51"/>
        <v>0</v>
      </c>
      <c r="BA40" s="4504">
        <f t="shared" si="52"/>
        <v>0</v>
      </c>
      <c r="BB40" s="4504">
        <f t="shared" si="53"/>
        <v>0</v>
      </c>
      <c r="BC40" s="4504">
        <f t="shared" si="54"/>
        <v>4.6931839679317733</v>
      </c>
      <c r="BD40" s="4504">
        <f t="shared" si="55"/>
        <v>10.22583762392437</v>
      </c>
      <c r="BE40" s="4504">
        <f t="shared" si="56"/>
        <v>2.5564594059810926</v>
      </c>
      <c r="BF40" s="4504">
        <f t="shared" si="57"/>
        <v>2.5564594059810926</v>
      </c>
      <c r="BG40" s="4504">
        <f t="shared" si="58"/>
        <v>2.5564594059810926</v>
      </c>
      <c r="BH40" s="4504">
        <f t="shared" si="59"/>
        <v>2.5564594059810926</v>
      </c>
      <c r="BI40" s="4504">
        <f t="shared" si="60"/>
        <v>2.5564594059810926</v>
      </c>
      <c r="BJ40" s="4504">
        <f t="shared" si="61"/>
        <v>0</v>
      </c>
      <c r="BK40" s="4504">
        <f t="shared" si="62"/>
        <v>0</v>
      </c>
      <c r="BL40" s="4504">
        <f t="shared" si="63"/>
        <v>0</v>
      </c>
      <c r="BM40" s="4504">
        <f t="shared" si="64"/>
        <v>0</v>
      </c>
      <c r="BN40" s="4504">
        <f t="shared" si="65"/>
        <v>0</v>
      </c>
      <c r="BO40" s="4504">
        <f t="shared" si="66"/>
        <v>0</v>
      </c>
      <c r="BP40" s="4504">
        <f t="shared" si="67"/>
        <v>0</v>
      </c>
      <c r="BQ40" s="4504">
        <f t="shared" si="68"/>
        <v>0</v>
      </c>
      <c r="BR40" s="4504">
        <f t="shared" si="69"/>
        <v>0</v>
      </c>
      <c r="BS40" s="4504">
        <f t="shared" si="70"/>
        <v>0</v>
      </c>
      <c r="BT40" s="4504">
        <f t="shared" si="71"/>
        <v>0</v>
      </c>
      <c r="BU40" s="4504">
        <f t="shared" si="72"/>
        <v>0</v>
      </c>
      <c r="BV40" s="4504">
        <f t="shared" si="73"/>
        <v>0</v>
      </c>
      <c r="BW40" s="4504">
        <f t="shared" si="74"/>
        <v>0</v>
      </c>
      <c r="BX40" s="4504">
        <f t="shared" si="75"/>
        <v>0</v>
      </c>
      <c r="BY40" s="4504">
        <f t="shared" si="76"/>
        <v>0</v>
      </c>
      <c r="BZ40" s="4504">
        <f t="shared" si="77"/>
        <v>0</v>
      </c>
      <c r="CA40" s="4504">
        <f t="shared" si="78"/>
        <v>0</v>
      </c>
      <c r="CB40" s="4504">
        <f t="shared" si="79"/>
        <v>0</v>
      </c>
      <c r="CC40" s="4504">
        <f t="shared" si="80"/>
        <v>0</v>
      </c>
      <c r="CD40" s="4504">
        <f t="shared" si="81"/>
        <v>0</v>
      </c>
      <c r="CE40" s="4504">
        <f t="shared" si="82"/>
        <v>0</v>
      </c>
      <c r="CF40" s="4504">
        <f t="shared" si="83"/>
        <v>0</v>
      </c>
      <c r="CG40" s="4504">
        <f t="shared" si="84"/>
        <v>0</v>
      </c>
      <c r="CH40" s="4504">
        <f t="shared" si="85"/>
        <v>0</v>
      </c>
      <c r="CI40" s="4504">
        <f t="shared" si="86"/>
        <v>0</v>
      </c>
      <c r="CJ40" s="4504">
        <f t="shared" si="87"/>
        <v>0</v>
      </c>
      <c r="CK40" s="4504">
        <f t="shared" si="88"/>
        <v>0</v>
      </c>
    </row>
    <row r="41" spans="1:89" ht="24">
      <c r="A41" s="2739"/>
      <c r="B41" s="3617">
        <v>2040207</v>
      </c>
      <c r="C41" s="3600">
        <v>0.04</v>
      </c>
      <c r="D41" s="2749" t="s">
        <v>422</v>
      </c>
      <c r="E41" s="2727">
        <f>'11.2. ДА за периода'!E41</f>
        <v>0</v>
      </c>
      <c r="F41" s="1228">
        <f>SUMIF('9.Инвестиционна програма'!$B$12:$B$35,$B41,'9.Инвестиционна програма'!H$12:H$35)*$E$6</f>
        <v>5.5</v>
      </c>
      <c r="G41" s="1224">
        <f>SUMIF('9.Инвестиционна програма'!$B$12:$B$35,$B41,'9.Инвестиционна програма'!I$12:I$35)*$E$6</f>
        <v>10</v>
      </c>
      <c r="H41" s="1224">
        <f>SUMIF('9.Инвестиционна програма'!$B$12:$B$35,$B41,'9.Инвестиционна програма'!J$12:J$35)*$E$6</f>
        <v>10</v>
      </c>
      <c r="I41" s="1224">
        <f>SUMIF('9.Инвестиционна програма'!$B$12:$B$35,$B41,'9.Инвестиционна програма'!K$12:K$35)*$E$6</f>
        <v>10</v>
      </c>
      <c r="J41" s="1224">
        <f>SUMIF('9.Инвестиционна програма'!$B$12:$B$35,$B41,'9.Инвестиционна програма'!L$12:L$35)*$E$6</f>
        <v>10</v>
      </c>
      <c r="K41" s="1229">
        <f>SUMIF('9.Инвестиционна програма'!$B$12:$B$35,$B41,'9.Инвестиционна програма'!M$12:M$35)*$E$6</f>
        <v>10</v>
      </c>
      <c r="L41" s="2727">
        <f>'11.2. ДА за периода'!L41</f>
        <v>0</v>
      </c>
      <c r="M41" s="1232">
        <f>SUMIF('9.Инвестиционна програма'!$B$37:$B$47,$B41,'9.Инвестиционна програма'!H$37:H$47)*$E$6</f>
        <v>0</v>
      </c>
      <c r="N41" s="1226">
        <f>SUMIF('9.Инвестиционна програма'!$B$37:$B$47,$B41,'9.Инвестиционна програма'!I$37:I$47)*$E$6</f>
        <v>0</v>
      </c>
      <c r="O41" s="1226">
        <f>SUMIF('9.Инвестиционна програма'!$B$37:$B$47,$B41,'9.Инвестиционна програма'!J$37:J$47)*$E$6</f>
        <v>0</v>
      </c>
      <c r="P41" s="1226">
        <f>SUMIF('9.Инвестиционна програма'!$B$37:$B$47,$B41,'9.Инвестиционна програма'!K$37:K$47)*$E$6</f>
        <v>0</v>
      </c>
      <c r="Q41" s="1226">
        <f>SUMIF('9.Инвестиционна програма'!$B$37:$B$47,$B41,'9.Инвестиционна програма'!L$37:L$47)*$E$6</f>
        <v>0</v>
      </c>
      <c r="R41" s="1227">
        <f>SUMIF('9.Инвестиционна програма'!$B$37:$B$47,$B41,'9.Инвестиционна програма'!M$37:M$47)*$E$6</f>
        <v>0</v>
      </c>
      <c r="S41" s="1113">
        <f>'11.2. ДА за периода'!S41</f>
        <v>0</v>
      </c>
      <c r="T41" s="906">
        <f>SUMIF('9.Инвестиционна програма'!$B$49:$B$56,$B41,'9.Инвестиционна програма'!H$49:H$56)*$E$6</f>
        <v>12</v>
      </c>
      <c r="U41" s="906">
        <f>SUMIF('9.Инвестиционна програма'!$B$49:$B$56,$B41,'9.Инвестиционна програма'!I$49:I$56)*$E$6</f>
        <v>30</v>
      </c>
      <c r="V41" s="906">
        <f>SUMIF('9.Инвестиционна програма'!$B$49:$B$56,$B41,'9.Инвестиционна програма'!J$49:J$56)*$E$6</f>
        <v>30</v>
      </c>
      <c r="W41" s="906">
        <f>SUMIF('9.Инвестиционна програма'!$B$49:$B$56,$B41,'9.Инвестиционна програма'!K$49:K$56)*$E$6</f>
        <v>30</v>
      </c>
      <c r="X41" s="906">
        <f>SUMIF('9.Инвестиционна програма'!$B$49:$B$56,$B41,'9.Инвестиционна програма'!L$49:L$56)*$E$6</f>
        <v>30</v>
      </c>
      <c r="Y41" s="2728">
        <f>SUMIF('9.Инвестиционна програма'!$B$49:$B$56,$B41,'9.Инвестиционна програма'!M$49:M$56)*$E$6</f>
        <v>30</v>
      </c>
      <c r="Z41" s="1113">
        <f>'11.2. ДА за периода'!Z41</f>
        <v>0</v>
      </c>
      <c r="AA41" s="906">
        <f>SUMIF('9.Инвестиционна програма'!$B$74:$B$97,$B41,'9.Инвестиционна програма'!H$74:H$97)*$E$6</f>
        <v>0</v>
      </c>
      <c r="AB41" s="906">
        <f>SUMIF('9.Инвестиционна програма'!$B$74:$B$97,$B41,'9.Инвестиционна програма'!I$74:I$97)*$E$6</f>
        <v>0</v>
      </c>
      <c r="AC41" s="906">
        <f>SUMIF('9.Инвестиционна програма'!$B$74:$B$97,$B41,'9.Инвестиционна програма'!J$74:J$97)*$E$6</f>
        <v>0</v>
      </c>
      <c r="AD41" s="906">
        <f>SUMIF('9.Инвестиционна програма'!$B$74:$B$97,$B41,'9.Инвестиционна програма'!K$74:K$97)*$E$6</f>
        <v>0</v>
      </c>
      <c r="AE41" s="906">
        <f>SUMIF('9.Инвестиционна програма'!$B$74:$B$97,$B41,'9.Инвестиционна програма'!L$74:L$97)*$E$6</f>
        <v>0</v>
      </c>
      <c r="AF41" s="906">
        <f>SUMIF('9.Инвестиционна програма'!$B$74:$B$97,$B41,'9.Инвестиционна програма'!M$74:M$97)*$E$6</f>
        <v>0</v>
      </c>
      <c r="AG41" s="1113">
        <f>'11.2. ДА за периода'!AG41</f>
        <v>0</v>
      </c>
      <c r="AH41" s="906">
        <f>SUMIF('9.Инвестиционна програма'!$B$100:$B$123,$B41,'9.Инвестиционна програма'!H$100:H$123)*$E$6</f>
        <v>3</v>
      </c>
      <c r="AI41" s="906">
        <f>SUMIF('9.Инвестиционна програма'!$B$100:$B$123,$B41,'9.Инвестиционна програма'!I$100:I$123)*$E$6</f>
        <v>30</v>
      </c>
      <c r="AJ41" s="906">
        <f>SUMIF('9.Инвестиционна програма'!$B$100:$B$123,$B41,'9.Инвестиционна програма'!J$100:J$123)*$E$6</f>
        <v>0</v>
      </c>
      <c r="AK41" s="906">
        <f>SUMIF('9.Инвестиционна програма'!$B$100:$B$123,$B41,'9.Инвестиционна програма'!K$100:K$123)*$E$6</f>
        <v>0</v>
      </c>
      <c r="AL41" s="906">
        <f>SUMIF('9.Инвестиционна програма'!$B$100:$B$123,$B41,'9.Инвестиционна програма'!L$100:L$123)*$E$6</f>
        <v>0</v>
      </c>
      <c r="AM41" s="906">
        <f>SUMIF('9.Инвестиционна програма'!$B$100:$B$123,$B41,'9.Инвестиционна програма'!M$100:M$123)*$E$6</f>
        <v>0</v>
      </c>
      <c r="AN41" s="1113">
        <f>'11.2. ДА за периода'!AN41</f>
        <v>0</v>
      </c>
      <c r="AO41" s="1232">
        <f>(SUMIF('9.Инвестиционна програма'!$B$58:$B$59,$B41,'9.Инвестиционна програма'!H$58:H$59)+SUMIF('9.Инвестиционна програма'!$B$61:$B$71,$B41,'9.Инвестиционна програма'!H$61:H$71))*$E$6</f>
        <v>0</v>
      </c>
      <c r="AP41" s="906">
        <f>(SUMIF('9.Инвестиционна програма'!$B$58:$B$59,$B41,'9.Инвестиционна програма'!I$58:I$59)+SUMIF('9.Инвестиционна програма'!$B$61:$B$71,$B41,'9.Инвестиционна програма'!I$61:I$71))*$E$6</f>
        <v>0</v>
      </c>
      <c r="AQ41" s="906">
        <f>(SUMIF('9.Инвестиционна програма'!$B$58:$B$59,$B41,'9.Инвестиционна програма'!J$58:J$59)+SUMIF('9.Инвестиционна програма'!$B$61:$B$71,$B41,'9.Инвестиционна програма'!J$61:J$71))*$E$6</f>
        <v>0</v>
      </c>
      <c r="AR41" s="906">
        <f>(SUMIF('9.Инвестиционна програма'!$B$58:$B$59,$B41,'9.Инвестиционна програма'!K$58:K$59)+SUMIF('9.Инвестиционна програма'!$B$61:$B$71,$B41,'9.Инвестиционна програма'!K$61:K$71))*$E$6</f>
        <v>0</v>
      </c>
      <c r="AS41" s="906">
        <f>(SUMIF('9.Инвестиционна програма'!$B$58:$B$59,$B41,'9.Инвестиционна програма'!L$58:L$59)+SUMIF('9.Инвестиционна програма'!$B$61:$B$71,$B41,'9.Инвестиционна програма'!L$61:L$71))*$E$6</f>
        <v>0</v>
      </c>
      <c r="AT41" s="2728">
        <f>(SUMIF('9.Инвестиционна програма'!$B$58:$B$59,$B41,'9.Инвестиционна програма'!M$58:M$59)+SUMIF('9.Инвестиционна програма'!$B$61:$B$71,$B41,'9.Инвестиционна програма'!M$61:M$71))*$E$6</f>
        <v>0</v>
      </c>
      <c r="AU41" s="4488"/>
      <c r="AV41" s="4504">
        <f t="shared" si="47"/>
        <v>0</v>
      </c>
      <c r="AW41" s="4504">
        <f t="shared" si="48"/>
        <v>2.8121053465792016</v>
      </c>
      <c r="AX41" s="4504">
        <f t="shared" si="49"/>
        <v>5.1129188119621851</v>
      </c>
      <c r="AY41" s="4504">
        <f t="shared" si="50"/>
        <v>5.1129188119621851</v>
      </c>
      <c r="AZ41" s="4504">
        <f t="shared" si="51"/>
        <v>5.1129188119621851</v>
      </c>
      <c r="BA41" s="4504">
        <f t="shared" si="52"/>
        <v>5.1129188119621851</v>
      </c>
      <c r="BB41" s="4504">
        <f t="shared" si="53"/>
        <v>5.1129188119621851</v>
      </c>
      <c r="BC41" s="4504">
        <f t="shared" si="54"/>
        <v>0</v>
      </c>
      <c r="BD41" s="4504">
        <f t="shared" si="55"/>
        <v>0</v>
      </c>
      <c r="BE41" s="4504">
        <f t="shared" si="56"/>
        <v>0</v>
      </c>
      <c r="BF41" s="4504">
        <f t="shared" si="57"/>
        <v>0</v>
      </c>
      <c r="BG41" s="4504">
        <f t="shared" si="58"/>
        <v>0</v>
      </c>
      <c r="BH41" s="4504">
        <f t="shared" si="59"/>
        <v>0</v>
      </c>
      <c r="BI41" s="4504">
        <f t="shared" si="60"/>
        <v>0</v>
      </c>
      <c r="BJ41" s="4504">
        <f t="shared" si="61"/>
        <v>0</v>
      </c>
      <c r="BK41" s="4504">
        <f t="shared" si="62"/>
        <v>6.1355025743546223</v>
      </c>
      <c r="BL41" s="4504">
        <f t="shared" si="63"/>
        <v>15.338756435886555</v>
      </c>
      <c r="BM41" s="4504">
        <f t="shared" si="64"/>
        <v>15.338756435886555</v>
      </c>
      <c r="BN41" s="4504">
        <f t="shared" si="65"/>
        <v>15.338756435886555</v>
      </c>
      <c r="BO41" s="4504">
        <f t="shared" si="66"/>
        <v>15.338756435886555</v>
      </c>
      <c r="BP41" s="4504">
        <f t="shared" si="67"/>
        <v>15.338756435886555</v>
      </c>
      <c r="BQ41" s="4504">
        <f t="shared" si="68"/>
        <v>0</v>
      </c>
      <c r="BR41" s="4504">
        <f t="shared" si="69"/>
        <v>0</v>
      </c>
      <c r="BS41" s="4504">
        <f t="shared" si="70"/>
        <v>0</v>
      </c>
      <c r="BT41" s="4504">
        <f t="shared" si="71"/>
        <v>0</v>
      </c>
      <c r="BU41" s="4504">
        <f t="shared" si="72"/>
        <v>0</v>
      </c>
      <c r="BV41" s="4504">
        <f t="shared" si="73"/>
        <v>0</v>
      </c>
      <c r="BW41" s="4504">
        <f t="shared" si="74"/>
        <v>0</v>
      </c>
      <c r="BX41" s="4504">
        <f t="shared" si="75"/>
        <v>0</v>
      </c>
      <c r="BY41" s="4504">
        <f t="shared" si="76"/>
        <v>1.5338756435886556</v>
      </c>
      <c r="BZ41" s="4504">
        <f t="shared" si="77"/>
        <v>15.338756435886555</v>
      </c>
      <c r="CA41" s="4504">
        <f t="shared" si="78"/>
        <v>0</v>
      </c>
      <c r="CB41" s="4504">
        <f t="shared" si="79"/>
        <v>0</v>
      </c>
      <c r="CC41" s="4504">
        <f t="shared" si="80"/>
        <v>0</v>
      </c>
      <c r="CD41" s="4504">
        <f t="shared" si="81"/>
        <v>0</v>
      </c>
      <c r="CE41" s="4504">
        <f t="shared" si="82"/>
        <v>0</v>
      </c>
      <c r="CF41" s="4504">
        <f t="shared" si="83"/>
        <v>0</v>
      </c>
      <c r="CG41" s="4504">
        <f t="shared" si="84"/>
        <v>0</v>
      </c>
      <c r="CH41" s="4504">
        <f t="shared" si="85"/>
        <v>0</v>
      </c>
      <c r="CI41" s="4504">
        <f t="shared" si="86"/>
        <v>0</v>
      </c>
      <c r="CJ41" s="4504">
        <f t="shared" si="87"/>
        <v>0</v>
      </c>
      <c r="CK41" s="4504">
        <f t="shared" si="88"/>
        <v>0</v>
      </c>
    </row>
    <row r="42" spans="1:89">
      <c r="A42" s="2739"/>
      <c r="B42" s="3617">
        <v>2040208</v>
      </c>
      <c r="C42" s="3600">
        <v>0.04</v>
      </c>
      <c r="D42" s="2749" t="s">
        <v>423</v>
      </c>
      <c r="E42" s="2727">
        <f>'11.2. ДА за периода'!E42</f>
        <v>0</v>
      </c>
      <c r="F42" s="1228">
        <f>SUMIF('9.Инвестиционна програма'!$B$12:$B$35,$B42,'9.Инвестиционна програма'!H$12:H$35)*$E$6</f>
        <v>0</v>
      </c>
      <c r="G42" s="1224">
        <f>SUMIF('9.Инвестиционна програма'!$B$12:$B$35,$B42,'9.Инвестиционна програма'!I$12:I$35)*$E$6</f>
        <v>0</v>
      </c>
      <c r="H42" s="1224">
        <f>SUMIF('9.Инвестиционна програма'!$B$12:$B$35,$B42,'9.Инвестиционна програма'!J$12:J$35)*$E$6</f>
        <v>0</v>
      </c>
      <c r="I42" s="1224">
        <f>SUMIF('9.Инвестиционна програма'!$B$12:$B$35,$B42,'9.Инвестиционна програма'!K$12:K$35)*$E$6</f>
        <v>0</v>
      </c>
      <c r="J42" s="1224">
        <f>SUMIF('9.Инвестиционна програма'!$B$12:$B$35,$B42,'9.Инвестиционна програма'!L$12:L$35)*$E$6</f>
        <v>0</v>
      </c>
      <c r="K42" s="1229">
        <f>SUMIF('9.Инвестиционна програма'!$B$12:$B$35,$B42,'9.Инвестиционна програма'!M$12:M$35)*$E$6</f>
        <v>0</v>
      </c>
      <c r="L42" s="2727">
        <f>'11.2. ДА за периода'!L42</f>
        <v>0</v>
      </c>
      <c r="M42" s="1232">
        <f>SUMIF('9.Инвестиционна програма'!$B$37:$B$47,$B42,'9.Инвестиционна програма'!H$37:H$47)*$E$6</f>
        <v>0</v>
      </c>
      <c r="N42" s="1226">
        <f>SUMIF('9.Инвестиционна програма'!$B$37:$B$47,$B42,'9.Инвестиционна програма'!I$37:I$47)*$E$6</f>
        <v>0</v>
      </c>
      <c r="O42" s="1226">
        <f>SUMIF('9.Инвестиционна програма'!$B$37:$B$47,$B42,'9.Инвестиционна програма'!J$37:J$47)*$E$6</f>
        <v>0</v>
      </c>
      <c r="P42" s="1226">
        <f>SUMIF('9.Инвестиционна програма'!$B$37:$B$47,$B42,'9.Инвестиционна програма'!K$37:K$47)*$E$6</f>
        <v>0</v>
      </c>
      <c r="Q42" s="1226">
        <f>SUMIF('9.Инвестиционна програма'!$B$37:$B$47,$B42,'9.Инвестиционна програма'!L$37:L$47)*$E$6</f>
        <v>0</v>
      </c>
      <c r="R42" s="1227">
        <f>SUMIF('9.Инвестиционна програма'!$B$37:$B$47,$B42,'9.Инвестиционна програма'!M$37:M$47)*$E$6</f>
        <v>0</v>
      </c>
      <c r="S42" s="1113">
        <f>'11.2. ДА за периода'!S42</f>
        <v>0</v>
      </c>
      <c r="T42" s="906">
        <f>SUMIF('9.Инвестиционна програма'!$B$49:$B$56,$B42,'9.Инвестиционна програма'!H$49:H$56)*$E$6</f>
        <v>0</v>
      </c>
      <c r="U42" s="906">
        <f>SUMIF('9.Инвестиционна програма'!$B$49:$B$56,$B42,'9.Инвестиционна програма'!I$49:I$56)*$E$6</f>
        <v>0</v>
      </c>
      <c r="V42" s="906">
        <f>SUMIF('9.Инвестиционна програма'!$B$49:$B$56,$B42,'9.Инвестиционна програма'!J$49:J$56)*$E$6</f>
        <v>0</v>
      </c>
      <c r="W42" s="906">
        <f>SUMIF('9.Инвестиционна програма'!$B$49:$B$56,$B42,'9.Инвестиционна програма'!K$49:K$56)*$E$6</f>
        <v>0</v>
      </c>
      <c r="X42" s="906">
        <f>SUMIF('9.Инвестиционна програма'!$B$49:$B$56,$B42,'9.Инвестиционна програма'!L$49:L$56)*$E$6</f>
        <v>0</v>
      </c>
      <c r="Y42" s="2728">
        <f>SUMIF('9.Инвестиционна програма'!$B$49:$B$56,$B42,'9.Инвестиционна програма'!M$49:M$56)*$E$6</f>
        <v>0</v>
      </c>
      <c r="Z42" s="1113">
        <f>'11.2. ДА за периода'!Z42</f>
        <v>0</v>
      </c>
      <c r="AA42" s="906">
        <f>SUMIF('9.Инвестиционна програма'!$B$74:$B$97,$B42,'9.Инвестиционна програма'!H$74:H$97)*$E$6</f>
        <v>0</v>
      </c>
      <c r="AB42" s="906">
        <f>SUMIF('9.Инвестиционна програма'!$B$74:$B$97,$B42,'9.Инвестиционна програма'!I$74:I$97)*$E$6</f>
        <v>0</v>
      </c>
      <c r="AC42" s="906">
        <f>SUMIF('9.Инвестиционна програма'!$B$74:$B$97,$B42,'9.Инвестиционна програма'!J$74:J$97)*$E$6</f>
        <v>0</v>
      </c>
      <c r="AD42" s="906">
        <f>SUMIF('9.Инвестиционна програма'!$B$74:$B$97,$B42,'9.Инвестиционна програма'!K$74:K$97)*$E$6</f>
        <v>0</v>
      </c>
      <c r="AE42" s="906">
        <f>SUMIF('9.Инвестиционна програма'!$B$74:$B$97,$B42,'9.Инвестиционна програма'!L$74:L$97)*$E$6</f>
        <v>0</v>
      </c>
      <c r="AF42" s="906">
        <f>SUMIF('9.Инвестиционна програма'!$B$74:$B$97,$B42,'9.Инвестиционна програма'!M$74:M$97)*$E$6</f>
        <v>0</v>
      </c>
      <c r="AG42" s="1113">
        <f>'11.2. ДА за периода'!AG42</f>
        <v>0</v>
      </c>
      <c r="AH42" s="906">
        <f>SUMIF('9.Инвестиционна програма'!$B$100:$B$123,$B42,'9.Инвестиционна програма'!H$100:H$123)*$E$6</f>
        <v>0</v>
      </c>
      <c r="AI42" s="906">
        <f>SUMIF('9.Инвестиционна програма'!$B$100:$B$123,$B42,'9.Инвестиционна програма'!I$100:I$123)*$E$6</f>
        <v>0</v>
      </c>
      <c r="AJ42" s="906">
        <f>SUMIF('9.Инвестиционна програма'!$B$100:$B$123,$B42,'9.Инвестиционна програма'!J$100:J$123)*$E$6</f>
        <v>0</v>
      </c>
      <c r="AK42" s="906">
        <f>SUMIF('9.Инвестиционна програма'!$B$100:$B$123,$B42,'9.Инвестиционна програма'!K$100:K$123)*$E$6</f>
        <v>0</v>
      </c>
      <c r="AL42" s="906">
        <f>SUMIF('9.Инвестиционна програма'!$B$100:$B$123,$B42,'9.Инвестиционна програма'!L$100:L$123)*$E$6</f>
        <v>0</v>
      </c>
      <c r="AM42" s="906">
        <f>SUMIF('9.Инвестиционна програма'!$B$100:$B$123,$B42,'9.Инвестиционна програма'!M$100:M$123)*$E$6</f>
        <v>0</v>
      </c>
      <c r="AN42" s="1113">
        <f>'11.2. ДА за периода'!AN42</f>
        <v>0</v>
      </c>
      <c r="AO42" s="1232">
        <f>(SUMIF('9.Инвестиционна програма'!$B$58:$B$59,$B42,'9.Инвестиционна програма'!H$58:H$59)+SUMIF('9.Инвестиционна програма'!$B$61:$B$71,$B42,'9.Инвестиционна програма'!H$61:H$71))*$E$6</f>
        <v>0</v>
      </c>
      <c r="AP42" s="906">
        <f>(SUMIF('9.Инвестиционна програма'!$B$58:$B$59,$B42,'9.Инвестиционна програма'!I$58:I$59)+SUMIF('9.Инвестиционна програма'!$B$61:$B$71,$B42,'9.Инвестиционна програма'!I$61:I$71))*$E$6</f>
        <v>0</v>
      </c>
      <c r="AQ42" s="906">
        <f>(SUMIF('9.Инвестиционна програма'!$B$58:$B$59,$B42,'9.Инвестиционна програма'!J$58:J$59)+SUMIF('9.Инвестиционна програма'!$B$61:$B$71,$B42,'9.Инвестиционна програма'!J$61:J$71))*$E$6</f>
        <v>0</v>
      </c>
      <c r="AR42" s="906">
        <f>(SUMIF('9.Инвестиционна програма'!$B$58:$B$59,$B42,'9.Инвестиционна програма'!K$58:K$59)+SUMIF('9.Инвестиционна програма'!$B$61:$B$71,$B42,'9.Инвестиционна програма'!K$61:K$71))*$E$6</f>
        <v>0</v>
      </c>
      <c r="AS42" s="906">
        <f>(SUMIF('9.Инвестиционна програма'!$B$58:$B$59,$B42,'9.Инвестиционна програма'!L$58:L$59)+SUMIF('9.Инвестиционна програма'!$B$61:$B$71,$B42,'9.Инвестиционна програма'!L$61:L$71))*$E$6</f>
        <v>0</v>
      </c>
      <c r="AT42" s="2728">
        <f>(SUMIF('9.Инвестиционна програма'!$B$58:$B$59,$B42,'9.Инвестиционна програма'!M$58:M$59)+SUMIF('9.Инвестиционна програма'!$B$61:$B$71,$B42,'9.Инвестиционна програма'!M$61:M$71))*$E$6</f>
        <v>0</v>
      </c>
      <c r="AU42" s="4488"/>
      <c r="AV42" s="4504">
        <f t="shared" si="47"/>
        <v>0</v>
      </c>
      <c r="AW42" s="4504">
        <f t="shared" si="48"/>
        <v>0</v>
      </c>
      <c r="AX42" s="4504">
        <f t="shared" si="49"/>
        <v>0</v>
      </c>
      <c r="AY42" s="4504">
        <f t="shared" si="50"/>
        <v>0</v>
      </c>
      <c r="AZ42" s="4504">
        <f t="shared" si="51"/>
        <v>0</v>
      </c>
      <c r="BA42" s="4504">
        <f t="shared" si="52"/>
        <v>0</v>
      </c>
      <c r="BB42" s="4504">
        <f t="shared" si="53"/>
        <v>0</v>
      </c>
      <c r="BC42" s="4504">
        <f t="shared" si="54"/>
        <v>0</v>
      </c>
      <c r="BD42" s="4504">
        <f t="shared" si="55"/>
        <v>0</v>
      </c>
      <c r="BE42" s="4504">
        <f t="shared" si="56"/>
        <v>0</v>
      </c>
      <c r="BF42" s="4504">
        <f t="shared" si="57"/>
        <v>0</v>
      </c>
      <c r="BG42" s="4504">
        <f t="shared" si="58"/>
        <v>0</v>
      </c>
      <c r="BH42" s="4504">
        <f t="shared" si="59"/>
        <v>0</v>
      </c>
      <c r="BI42" s="4504">
        <f t="shared" si="60"/>
        <v>0</v>
      </c>
      <c r="BJ42" s="4504">
        <f t="shared" si="61"/>
        <v>0</v>
      </c>
      <c r="BK42" s="4504">
        <f t="shared" si="62"/>
        <v>0</v>
      </c>
      <c r="BL42" s="4504">
        <f t="shared" si="63"/>
        <v>0</v>
      </c>
      <c r="BM42" s="4504">
        <f t="shared" si="64"/>
        <v>0</v>
      </c>
      <c r="BN42" s="4504">
        <f t="shared" si="65"/>
        <v>0</v>
      </c>
      <c r="BO42" s="4504">
        <f t="shared" si="66"/>
        <v>0</v>
      </c>
      <c r="BP42" s="4504">
        <f t="shared" si="67"/>
        <v>0</v>
      </c>
      <c r="BQ42" s="4504">
        <f t="shared" si="68"/>
        <v>0</v>
      </c>
      <c r="BR42" s="4504">
        <f t="shared" si="69"/>
        <v>0</v>
      </c>
      <c r="BS42" s="4504">
        <f t="shared" si="70"/>
        <v>0</v>
      </c>
      <c r="BT42" s="4504">
        <f t="shared" si="71"/>
        <v>0</v>
      </c>
      <c r="BU42" s="4504">
        <f t="shared" si="72"/>
        <v>0</v>
      </c>
      <c r="BV42" s="4504">
        <f t="shared" si="73"/>
        <v>0</v>
      </c>
      <c r="BW42" s="4504">
        <f t="shared" si="74"/>
        <v>0</v>
      </c>
      <c r="BX42" s="4504">
        <f t="shared" si="75"/>
        <v>0</v>
      </c>
      <c r="BY42" s="4504">
        <f t="shared" si="76"/>
        <v>0</v>
      </c>
      <c r="BZ42" s="4504">
        <f t="shared" si="77"/>
        <v>0</v>
      </c>
      <c r="CA42" s="4504">
        <f t="shared" si="78"/>
        <v>0</v>
      </c>
      <c r="CB42" s="4504">
        <f t="shared" si="79"/>
        <v>0</v>
      </c>
      <c r="CC42" s="4504">
        <f t="shared" si="80"/>
        <v>0</v>
      </c>
      <c r="CD42" s="4504">
        <f t="shared" si="81"/>
        <v>0</v>
      </c>
      <c r="CE42" s="4504">
        <f t="shared" si="82"/>
        <v>0</v>
      </c>
      <c r="CF42" s="4504">
        <f t="shared" si="83"/>
        <v>0</v>
      </c>
      <c r="CG42" s="4504">
        <f t="shared" si="84"/>
        <v>0</v>
      </c>
      <c r="CH42" s="4504">
        <f t="shared" si="85"/>
        <v>0</v>
      </c>
      <c r="CI42" s="4504">
        <f t="shared" si="86"/>
        <v>0</v>
      </c>
      <c r="CJ42" s="4504">
        <f t="shared" si="87"/>
        <v>0</v>
      </c>
      <c r="CK42" s="4504">
        <f t="shared" si="88"/>
        <v>0</v>
      </c>
    </row>
    <row r="43" spans="1:89">
      <c r="A43" s="2739"/>
      <c r="B43" s="3619">
        <v>20403</v>
      </c>
      <c r="C43" s="3602">
        <v>0.04</v>
      </c>
      <c r="D43" s="2752" t="s">
        <v>1050</v>
      </c>
      <c r="E43" s="2727">
        <f>'11.2. ДА за периода'!E43</f>
        <v>0</v>
      </c>
      <c r="F43" s="1228">
        <f>SUMIF('9.Инвестиционна програма'!$B$12:$B$35,$B43,'9.Инвестиционна програма'!H$12:H$35)*$E$6</f>
        <v>0</v>
      </c>
      <c r="G43" s="1224">
        <f>SUMIF('9.Инвестиционна програма'!$B$12:$B$35,$B43,'9.Инвестиционна програма'!I$12:I$35)*$E$6</f>
        <v>0</v>
      </c>
      <c r="H43" s="1224">
        <f>SUMIF('9.Инвестиционна програма'!$B$12:$B$35,$B43,'9.Инвестиционна програма'!J$12:J$35)*$E$6</f>
        <v>0</v>
      </c>
      <c r="I43" s="1224">
        <f>SUMIF('9.Инвестиционна програма'!$B$12:$B$35,$B43,'9.Инвестиционна програма'!K$12:K$35)*$E$6</f>
        <v>0</v>
      </c>
      <c r="J43" s="1224">
        <f>SUMIF('9.Инвестиционна програма'!$B$12:$B$35,$B43,'9.Инвестиционна програма'!L$12:L$35)*$E$6</f>
        <v>0</v>
      </c>
      <c r="K43" s="1229">
        <f>SUMIF('9.Инвестиционна програма'!$B$12:$B$35,$B43,'9.Инвестиционна програма'!M$12:M$35)*$E$6</f>
        <v>0</v>
      </c>
      <c r="L43" s="2727">
        <f>'11.2. ДА за периода'!L43</f>
        <v>0</v>
      </c>
      <c r="M43" s="1232">
        <f>SUMIF('9.Инвестиционна програма'!$B$37:$B$47,$B43,'9.Инвестиционна програма'!H$37:H$47)*$E$6</f>
        <v>0</v>
      </c>
      <c r="N43" s="1226">
        <f>SUMIF('9.Инвестиционна програма'!$B$37:$B$47,$B43,'9.Инвестиционна програма'!I$37:I$47)*$E$6</f>
        <v>0</v>
      </c>
      <c r="O43" s="1226">
        <f>SUMIF('9.Инвестиционна програма'!$B$37:$B$47,$B43,'9.Инвестиционна програма'!J$37:J$47)*$E$6</f>
        <v>0</v>
      </c>
      <c r="P43" s="1226">
        <f>SUMIF('9.Инвестиционна програма'!$B$37:$B$47,$B43,'9.Инвестиционна програма'!K$37:K$47)*$E$6</f>
        <v>0</v>
      </c>
      <c r="Q43" s="1226">
        <f>SUMIF('9.Инвестиционна програма'!$B$37:$B$47,$B43,'9.Инвестиционна програма'!L$37:L$47)*$E$6</f>
        <v>0</v>
      </c>
      <c r="R43" s="1227">
        <f>SUMIF('9.Инвестиционна програма'!$B$37:$B$47,$B43,'9.Инвестиционна програма'!M$37:M$47)*$E$6</f>
        <v>0</v>
      </c>
      <c r="S43" s="1113">
        <f>'11.2. ДА за периода'!S43</f>
        <v>0</v>
      </c>
      <c r="T43" s="906">
        <f>SUMIF('9.Инвестиционна програма'!$B$49:$B$56,$B43,'9.Инвестиционна програма'!H$49:H$56)*$E$6</f>
        <v>0</v>
      </c>
      <c r="U43" s="906">
        <f>SUMIF('9.Инвестиционна програма'!$B$49:$B$56,$B43,'9.Инвестиционна програма'!I$49:I$56)*$E$6</f>
        <v>0</v>
      </c>
      <c r="V43" s="906">
        <f>SUMIF('9.Инвестиционна програма'!$B$49:$B$56,$B43,'9.Инвестиционна програма'!J$49:J$56)*$E$6</f>
        <v>0</v>
      </c>
      <c r="W43" s="906">
        <f>SUMIF('9.Инвестиционна програма'!$B$49:$B$56,$B43,'9.Инвестиционна програма'!K$49:K$56)*$E$6</f>
        <v>0</v>
      </c>
      <c r="X43" s="906">
        <f>SUMIF('9.Инвестиционна програма'!$B$49:$B$56,$B43,'9.Инвестиционна програма'!L$49:L$56)*$E$6</f>
        <v>0</v>
      </c>
      <c r="Y43" s="2728">
        <f>SUMIF('9.Инвестиционна програма'!$B$49:$B$56,$B43,'9.Инвестиционна програма'!M$49:M$56)*$E$6</f>
        <v>0</v>
      </c>
      <c r="Z43" s="1113">
        <f>'11.2. ДА за периода'!Z43</f>
        <v>0</v>
      </c>
      <c r="AA43" s="906">
        <f>SUMIF('9.Инвестиционна програма'!$B$74:$B$97,$B43,'9.Инвестиционна програма'!H$74:H$97)*$E$6</f>
        <v>0</v>
      </c>
      <c r="AB43" s="906">
        <f>SUMIF('9.Инвестиционна програма'!$B$74:$B$97,$B43,'9.Инвестиционна програма'!I$74:I$97)*$E$6</f>
        <v>0</v>
      </c>
      <c r="AC43" s="906">
        <f>SUMIF('9.Инвестиционна програма'!$B$74:$B$97,$B43,'9.Инвестиционна програма'!J$74:J$97)*$E$6</f>
        <v>0</v>
      </c>
      <c r="AD43" s="906">
        <f>SUMIF('9.Инвестиционна програма'!$B$74:$B$97,$B43,'9.Инвестиционна програма'!K$74:K$97)*$E$6</f>
        <v>0</v>
      </c>
      <c r="AE43" s="906">
        <f>SUMIF('9.Инвестиционна програма'!$B$74:$B$97,$B43,'9.Инвестиционна програма'!L$74:L$97)*$E$6</f>
        <v>0</v>
      </c>
      <c r="AF43" s="906">
        <f>SUMIF('9.Инвестиционна програма'!$B$74:$B$97,$B43,'9.Инвестиционна програма'!M$74:M$97)*$E$6</f>
        <v>0</v>
      </c>
      <c r="AG43" s="1113">
        <f>'11.2. ДА за периода'!AG43</f>
        <v>0</v>
      </c>
      <c r="AH43" s="906">
        <f>SUMIF('9.Инвестиционна програма'!$B$100:$B$123,$B43,'9.Инвестиционна програма'!H$100:H$123)*$E$6</f>
        <v>0</v>
      </c>
      <c r="AI43" s="906">
        <f>SUMIF('9.Инвестиционна програма'!$B$100:$B$123,$B43,'9.Инвестиционна програма'!I$100:I$123)*$E$6</f>
        <v>0</v>
      </c>
      <c r="AJ43" s="906">
        <f>SUMIF('9.Инвестиционна програма'!$B$100:$B$123,$B43,'9.Инвестиционна програма'!J$100:J$123)*$E$6</f>
        <v>0</v>
      </c>
      <c r="AK43" s="906">
        <f>SUMIF('9.Инвестиционна програма'!$B$100:$B$123,$B43,'9.Инвестиционна програма'!K$100:K$123)*$E$6</f>
        <v>0</v>
      </c>
      <c r="AL43" s="906">
        <f>SUMIF('9.Инвестиционна програма'!$B$100:$B$123,$B43,'9.Инвестиционна програма'!L$100:L$123)*$E$6</f>
        <v>0</v>
      </c>
      <c r="AM43" s="906">
        <f>SUMIF('9.Инвестиционна програма'!$B$100:$B$123,$B43,'9.Инвестиционна програма'!M$100:M$123)*$E$6</f>
        <v>0</v>
      </c>
      <c r="AN43" s="1113">
        <f>'11.2. ДА за периода'!AN43</f>
        <v>0</v>
      </c>
      <c r="AO43" s="1232">
        <f>(SUMIF('9.Инвестиционна програма'!$B$58:$B$59,$B43,'9.Инвестиционна програма'!H$58:H$59)+SUMIF('9.Инвестиционна програма'!$B$61:$B$71,$B43,'9.Инвестиционна програма'!H$61:H$71))*$E$6</f>
        <v>0</v>
      </c>
      <c r="AP43" s="906">
        <f>(SUMIF('9.Инвестиционна програма'!$B$58:$B$59,$B43,'9.Инвестиционна програма'!I$58:I$59)+SUMIF('9.Инвестиционна програма'!$B$61:$B$71,$B43,'9.Инвестиционна програма'!I$61:I$71))*$E$6</f>
        <v>0</v>
      </c>
      <c r="AQ43" s="906">
        <f>(SUMIF('9.Инвестиционна програма'!$B$58:$B$59,$B43,'9.Инвестиционна програма'!J$58:J$59)+SUMIF('9.Инвестиционна програма'!$B$61:$B$71,$B43,'9.Инвестиционна програма'!J$61:J$71))*$E$6</f>
        <v>0</v>
      </c>
      <c r="AR43" s="906">
        <f>(SUMIF('9.Инвестиционна програма'!$B$58:$B$59,$B43,'9.Инвестиционна програма'!K$58:K$59)+SUMIF('9.Инвестиционна програма'!$B$61:$B$71,$B43,'9.Инвестиционна програма'!K$61:K$71))*$E$6</f>
        <v>0</v>
      </c>
      <c r="AS43" s="906">
        <f>(SUMIF('9.Инвестиционна програма'!$B$58:$B$59,$B43,'9.Инвестиционна програма'!L$58:L$59)+SUMIF('9.Инвестиционна програма'!$B$61:$B$71,$B43,'9.Инвестиционна програма'!L$61:L$71))*$E$6</f>
        <v>0</v>
      </c>
      <c r="AT43" s="2728">
        <f>(SUMIF('9.Инвестиционна програма'!$B$58:$B$59,$B43,'9.Инвестиционна програма'!M$58:M$59)+SUMIF('9.Инвестиционна програма'!$B$61:$B$71,$B43,'9.Инвестиционна програма'!M$61:M$71))*$E$6</f>
        <v>0</v>
      </c>
      <c r="AU43" s="4488"/>
      <c r="AV43" s="4504">
        <f t="shared" si="47"/>
        <v>0</v>
      </c>
      <c r="AW43" s="4504">
        <f t="shared" si="48"/>
        <v>0</v>
      </c>
      <c r="AX43" s="4504">
        <f t="shared" si="49"/>
        <v>0</v>
      </c>
      <c r="AY43" s="4504">
        <f t="shared" si="50"/>
        <v>0</v>
      </c>
      <c r="AZ43" s="4504">
        <f t="shared" si="51"/>
        <v>0</v>
      </c>
      <c r="BA43" s="4504">
        <f t="shared" si="52"/>
        <v>0</v>
      </c>
      <c r="BB43" s="4504">
        <f t="shared" si="53"/>
        <v>0</v>
      </c>
      <c r="BC43" s="4504">
        <f t="shared" si="54"/>
        <v>0</v>
      </c>
      <c r="BD43" s="4504">
        <f t="shared" si="55"/>
        <v>0</v>
      </c>
      <c r="BE43" s="4504">
        <f t="shared" si="56"/>
        <v>0</v>
      </c>
      <c r="BF43" s="4504">
        <f t="shared" si="57"/>
        <v>0</v>
      </c>
      <c r="BG43" s="4504">
        <f t="shared" si="58"/>
        <v>0</v>
      </c>
      <c r="BH43" s="4504">
        <f t="shared" si="59"/>
        <v>0</v>
      </c>
      <c r="BI43" s="4504">
        <f t="shared" si="60"/>
        <v>0</v>
      </c>
      <c r="BJ43" s="4504">
        <f t="shared" si="61"/>
        <v>0</v>
      </c>
      <c r="BK43" s="4504">
        <f t="shared" si="62"/>
        <v>0</v>
      </c>
      <c r="BL43" s="4504">
        <f t="shared" si="63"/>
        <v>0</v>
      </c>
      <c r="BM43" s="4504">
        <f t="shared" si="64"/>
        <v>0</v>
      </c>
      <c r="BN43" s="4504">
        <f t="shared" si="65"/>
        <v>0</v>
      </c>
      <c r="BO43" s="4504">
        <f t="shared" si="66"/>
        <v>0</v>
      </c>
      <c r="BP43" s="4504">
        <f t="shared" si="67"/>
        <v>0</v>
      </c>
      <c r="BQ43" s="4504">
        <f t="shared" si="68"/>
        <v>0</v>
      </c>
      <c r="BR43" s="4504">
        <f t="shared" si="69"/>
        <v>0</v>
      </c>
      <c r="BS43" s="4504">
        <f t="shared" si="70"/>
        <v>0</v>
      </c>
      <c r="BT43" s="4504">
        <f t="shared" si="71"/>
        <v>0</v>
      </c>
      <c r="BU43" s="4504">
        <f t="shared" si="72"/>
        <v>0</v>
      </c>
      <c r="BV43" s="4504">
        <f t="shared" si="73"/>
        <v>0</v>
      </c>
      <c r="BW43" s="4504">
        <f t="shared" si="74"/>
        <v>0</v>
      </c>
      <c r="BX43" s="4504">
        <f t="shared" si="75"/>
        <v>0</v>
      </c>
      <c r="BY43" s="4504">
        <f t="shared" si="76"/>
        <v>0</v>
      </c>
      <c r="BZ43" s="4504">
        <f t="shared" si="77"/>
        <v>0</v>
      </c>
      <c r="CA43" s="4504">
        <f t="shared" si="78"/>
        <v>0</v>
      </c>
      <c r="CB43" s="4504">
        <f t="shared" si="79"/>
        <v>0</v>
      </c>
      <c r="CC43" s="4504">
        <f t="shared" si="80"/>
        <v>0</v>
      </c>
      <c r="CD43" s="4504">
        <f t="shared" si="81"/>
        <v>0</v>
      </c>
      <c r="CE43" s="4504">
        <f t="shared" si="82"/>
        <v>0</v>
      </c>
      <c r="CF43" s="4504">
        <f t="shared" si="83"/>
        <v>0</v>
      </c>
      <c r="CG43" s="4504">
        <f t="shared" si="84"/>
        <v>0</v>
      </c>
      <c r="CH43" s="4504">
        <f t="shared" si="85"/>
        <v>0</v>
      </c>
      <c r="CI43" s="4504">
        <f t="shared" si="86"/>
        <v>0</v>
      </c>
      <c r="CJ43" s="4504">
        <f t="shared" si="87"/>
        <v>0</v>
      </c>
      <c r="CK43" s="4504">
        <f t="shared" si="88"/>
        <v>0</v>
      </c>
    </row>
    <row r="44" spans="1:89" ht="26.4">
      <c r="A44" s="2739"/>
      <c r="B44" s="3619" t="s">
        <v>1051</v>
      </c>
      <c r="C44" s="3602">
        <v>0.04</v>
      </c>
      <c r="D44" s="2752" t="s">
        <v>1052</v>
      </c>
      <c r="E44" s="2727">
        <f>'11.2. ДА за периода'!E44</f>
        <v>0</v>
      </c>
      <c r="F44" s="1228">
        <f>SUMIF('9.Инвестиционна програма'!$B$12:$B$35,$B44,'9.Инвестиционна програма'!H$12:H$35)*$E$6</f>
        <v>0</v>
      </c>
      <c r="G44" s="1224">
        <f>SUMIF('9.Инвестиционна програма'!$B$12:$B$35,$B44,'9.Инвестиционна програма'!I$12:I$35)*$E$6</f>
        <v>0</v>
      </c>
      <c r="H44" s="1224">
        <f>SUMIF('9.Инвестиционна програма'!$B$12:$B$35,$B44,'9.Инвестиционна програма'!J$12:J$35)*$E$6</f>
        <v>0</v>
      </c>
      <c r="I44" s="1224">
        <f>SUMIF('9.Инвестиционна програма'!$B$12:$B$35,$B44,'9.Инвестиционна програма'!K$12:K$35)*$E$6</f>
        <v>0</v>
      </c>
      <c r="J44" s="1224">
        <f>SUMIF('9.Инвестиционна програма'!$B$12:$B$35,$B44,'9.Инвестиционна програма'!L$12:L$35)*$E$6</f>
        <v>0</v>
      </c>
      <c r="K44" s="1229">
        <f>SUMIF('9.Инвестиционна програма'!$B$12:$B$35,$B44,'9.Инвестиционна програма'!M$12:M$35)*$E$6</f>
        <v>0</v>
      </c>
      <c r="L44" s="2727">
        <f>'11.2. ДА за периода'!L44</f>
        <v>0</v>
      </c>
      <c r="M44" s="1232">
        <f>SUMIF('9.Инвестиционна програма'!$B$37:$B$47,$B44,'9.Инвестиционна програма'!H$37:H$47)*$E$6</f>
        <v>0</v>
      </c>
      <c r="N44" s="1226">
        <f>SUMIF('9.Инвестиционна програма'!$B$37:$B$47,$B44,'9.Инвестиционна програма'!I$37:I$47)*$E$6</f>
        <v>0</v>
      </c>
      <c r="O44" s="1226">
        <f>SUMIF('9.Инвестиционна програма'!$B$37:$B$47,$B44,'9.Инвестиционна програма'!J$37:J$47)*$E$6</f>
        <v>0</v>
      </c>
      <c r="P44" s="1226">
        <f>SUMIF('9.Инвестиционна програма'!$B$37:$B$47,$B44,'9.Инвестиционна програма'!K$37:K$47)*$E$6</f>
        <v>0</v>
      </c>
      <c r="Q44" s="1226">
        <f>SUMIF('9.Инвестиционна програма'!$B$37:$B$47,$B44,'9.Инвестиционна програма'!L$37:L$47)*$E$6</f>
        <v>0</v>
      </c>
      <c r="R44" s="1227">
        <f>SUMIF('9.Инвестиционна програма'!$B$37:$B$47,$B44,'9.Инвестиционна програма'!M$37:M$47)*$E$6</f>
        <v>0</v>
      </c>
      <c r="S44" s="1113">
        <f>'11.2. ДА за периода'!S44</f>
        <v>0</v>
      </c>
      <c r="T44" s="906">
        <f>SUMIF('9.Инвестиционна програма'!$B$49:$B$56,$B44,'9.Инвестиционна програма'!H$49:H$56)*$E$6</f>
        <v>0</v>
      </c>
      <c r="U44" s="906">
        <f>SUMIF('9.Инвестиционна програма'!$B$49:$B$56,$B44,'9.Инвестиционна програма'!I$49:I$56)*$E$6</f>
        <v>0</v>
      </c>
      <c r="V44" s="906">
        <f>SUMIF('9.Инвестиционна програма'!$B$49:$B$56,$B44,'9.Инвестиционна програма'!J$49:J$56)*$E$6</f>
        <v>0</v>
      </c>
      <c r="W44" s="906">
        <f>SUMIF('9.Инвестиционна програма'!$B$49:$B$56,$B44,'9.Инвестиционна програма'!K$49:K$56)*$E$6</f>
        <v>0</v>
      </c>
      <c r="X44" s="906">
        <f>SUMIF('9.Инвестиционна програма'!$B$49:$B$56,$B44,'9.Инвестиционна програма'!L$49:L$56)*$E$6</f>
        <v>0</v>
      </c>
      <c r="Y44" s="2728">
        <f>SUMIF('9.Инвестиционна програма'!$B$49:$B$56,$B44,'9.Инвестиционна програма'!M$49:M$56)*$E$6</f>
        <v>0</v>
      </c>
      <c r="Z44" s="1113">
        <f>'11.2. ДА за периода'!Z44</f>
        <v>0</v>
      </c>
      <c r="AA44" s="906">
        <f>SUMIF('9.Инвестиционна програма'!$B$74:$B$97,$B44,'9.Инвестиционна програма'!H$74:H$97)*$E$6</f>
        <v>0</v>
      </c>
      <c r="AB44" s="906">
        <f>SUMIF('9.Инвестиционна програма'!$B$74:$B$97,$B44,'9.Инвестиционна програма'!I$74:I$97)*$E$6</f>
        <v>0</v>
      </c>
      <c r="AC44" s="906">
        <f>SUMIF('9.Инвестиционна програма'!$B$74:$B$97,$B44,'9.Инвестиционна програма'!J$74:J$97)*$E$6</f>
        <v>0</v>
      </c>
      <c r="AD44" s="906">
        <f>SUMIF('9.Инвестиционна програма'!$B$74:$B$97,$B44,'9.Инвестиционна програма'!K$74:K$97)*$E$6</f>
        <v>0</v>
      </c>
      <c r="AE44" s="906">
        <f>SUMIF('9.Инвестиционна програма'!$B$74:$B$97,$B44,'9.Инвестиционна програма'!L$74:L$97)*$E$6</f>
        <v>0</v>
      </c>
      <c r="AF44" s="906">
        <f>SUMIF('9.Инвестиционна програма'!$B$74:$B$97,$B44,'9.Инвестиционна програма'!M$74:M$97)*$E$6</f>
        <v>0</v>
      </c>
      <c r="AG44" s="1113">
        <f>'11.2. ДА за периода'!AG44</f>
        <v>0</v>
      </c>
      <c r="AH44" s="906">
        <f>SUMIF('9.Инвестиционна програма'!$B$100:$B$123,$B44,'9.Инвестиционна програма'!H$100:H$123)*$E$6</f>
        <v>0</v>
      </c>
      <c r="AI44" s="906">
        <f>SUMIF('9.Инвестиционна програма'!$B$100:$B$123,$B44,'9.Инвестиционна програма'!I$100:I$123)*$E$6</f>
        <v>0</v>
      </c>
      <c r="AJ44" s="906">
        <f>SUMIF('9.Инвестиционна програма'!$B$100:$B$123,$B44,'9.Инвестиционна програма'!J$100:J$123)*$E$6</f>
        <v>0</v>
      </c>
      <c r="AK44" s="906">
        <f>SUMIF('9.Инвестиционна програма'!$B$100:$B$123,$B44,'9.Инвестиционна програма'!K$100:K$123)*$E$6</f>
        <v>0</v>
      </c>
      <c r="AL44" s="906">
        <f>SUMIF('9.Инвестиционна програма'!$B$100:$B$123,$B44,'9.Инвестиционна програма'!L$100:L$123)*$E$6</f>
        <v>0</v>
      </c>
      <c r="AM44" s="906">
        <f>SUMIF('9.Инвестиционна програма'!$B$100:$B$123,$B44,'9.Инвестиционна програма'!M$100:M$123)*$E$6</f>
        <v>0</v>
      </c>
      <c r="AN44" s="1113">
        <f>'11.2. ДА за периода'!AN44</f>
        <v>0</v>
      </c>
      <c r="AO44" s="1232">
        <f>(SUMIF('9.Инвестиционна програма'!$B$58:$B$59,$B44,'9.Инвестиционна програма'!H$58:H$59)+SUMIF('9.Инвестиционна програма'!$B$61:$B$71,$B44,'9.Инвестиционна програма'!H$61:H$71))*$E$6</f>
        <v>0</v>
      </c>
      <c r="AP44" s="906">
        <f>(SUMIF('9.Инвестиционна програма'!$B$58:$B$59,$B44,'9.Инвестиционна програма'!I$58:I$59)+SUMIF('9.Инвестиционна програма'!$B$61:$B$71,$B44,'9.Инвестиционна програма'!I$61:I$71))*$E$6</f>
        <v>0</v>
      </c>
      <c r="AQ44" s="906">
        <f>(SUMIF('9.Инвестиционна програма'!$B$58:$B$59,$B44,'9.Инвестиционна програма'!J$58:J$59)+SUMIF('9.Инвестиционна програма'!$B$61:$B$71,$B44,'9.Инвестиционна програма'!J$61:J$71))*$E$6</f>
        <v>0</v>
      </c>
      <c r="AR44" s="906">
        <f>(SUMIF('9.Инвестиционна програма'!$B$58:$B$59,$B44,'9.Инвестиционна програма'!K$58:K$59)+SUMIF('9.Инвестиционна програма'!$B$61:$B$71,$B44,'9.Инвестиционна програма'!K$61:K$71))*$E$6</f>
        <v>0</v>
      </c>
      <c r="AS44" s="906">
        <f>(SUMIF('9.Инвестиционна програма'!$B$58:$B$59,$B44,'9.Инвестиционна програма'!L$58:L$59)+SUMIF('9.Инвестиционна програма'!$B$61:$B$71,$B44,'9.Инвестиционна програма'!L$61:L$71))*$E$6</f>
        <v>0</v>
      </c>
      <c r="AT44" s="2728">
        <f>(SUMIF('9.Инвестиционна програма'!$B$58:$B$59,$B44,'9.Инвестиционна програма'!M$58:M$59)+SUMIF('9.Инвестиционна програма'!$B$61:$B$71,$B44,'9.Инвестиционна програма'!M$61:M$71))*$E$6</f>
        <v>0</v>
      </c>
      <c r="AU44" s="4488"/>
      <c r="AV44" s="4504">
        <f t="shared" si="47"/>
        <v>0</v>
      </c>
      <c r="AW44" s="4504">
        <f t="shared" si="48"/>
        <v>0</v>
      </c>
      <c r="AX44" s="4504">
        <f t="shared" si="49"/>
        <v>0</v>
      </c>
      <c r="AY44" s="4504">
        <f t="shared" si="50"/>
        <v>0</v>
      </c>
      <c r="AZ44" s="4504">
        <f t="shared" si="51"/>
        <v>0</v>
      </c>
      <c r="BA44" s="4504">
        <f t="shared" si="52"/>
        <v>0</v>
      </c>
      <c r="BB44" s="4504">
        <f t="shared" si="53"/>
        <v>0</v>
      </c>
      <c r="BC44" s="4504">
        <f t="shared" si="54"/>
        <v>0</v>
      </c>
      <c r="BD44" s="4504">
        <f t="shared" si="55"/>
        <v>0</v>
      </c>
      <c r="BE44" s="4504">
        <f t="shared" si="56"/>
        <v>0</v>
      </c>
      <c r="BF44" s="4504">
        <f t="shared" si="57"/>
        <v>0</v>
      </c>
      <c r="BG44" s="4504">
        <f t="shared" si="58"/>
        <v>0</v>
      </c>
      <c r="BH44" s="4504">
        <f t="shared" si="59"/>
        <v>0</v>
      </c>
      <c r="BI44" s="4504">
        <f t="shared" si="60"/>
        <v>0</v>
      </c>
      <c r="BJ44" s="4504">
        <f t="shared" si="61"/>
        <v>0</v>
      </c>
      <c r="BK44" s="4504">
        <f t="shared" si="62"/>
        <v>0</v>
      </c>
      <c r="BL44" s="4504">
        <f t="shared" si="63"/>
        <v>0</v>
      </c>
      <c r="BM44" s="4504">
        <f t="shared" si="64"/>
        <v>0</v>
      </c>
      <c r="BN44" s="4504">
        <f t="shared" si="65"/>
        <v>0</v>
      </c>
      <c r="BO44" s="4504">
        <f t="shared" si="66"/>
        <v>0</v>
      </c>
      <c r="BP44" s="4504">
        <f t="shared" si="67"/>
        <v>0</v>
      </c>
      <c r="BQ44" s="4504">
        <f t="shared" si="68"/>
        <v>0</v>
      </c>
      <c r="BR44" s="4504">
        <f t="shared" si="69"/>
        <v>0</v>
      </c>
      <c r="BS44" s="4504">
        <f t="shared" si="70"/>
        <v>0</v>
      </c>
      <c r="BT44" s="4504">
        <f t="shared" si="71"/>
        <v>0</v>
      </c>
      <c r="BU44" s="4504">
        <f t="shared" si="72"/>
        <v>0</v>
      </c>
      <c r="BV44" s="4504">
        <f t="shared" si="73"/>
        <v>0</v>
      </c>
      <c r="BW44" s="4504">
        <f t="shared" si="74"/>
        <v>0</v>
      </c>
      <c r="BX44" s="4504">
        <f t="shared" si="75"/>
        <v>0</v>
      </c>
      <c r="BY44" s="4504">
        <f t="shared" si="76"/>
        <v>0</v>
      </c>
      <c r="BZ44" s="4504">
        <f t="shared" si="77"/>
        <v>0</v>
      </c>
      <c r="CA44" s="4504">
        <f t="shared" si="78"/>
        <v>0</v>
      </c>
      <c r="CB44" s="4504">
        <f t="shared" si="79"/>
        <v>0</v>
      </c>
      <c r="CC44" s="4504">
        <f t="shared" si="80"/>
        <v>0</v>
      </c>
      <c r="CD44" s="4504">
        <f t="shared" si="81"/>
        <v>0</v>
      </c>
      <c r="CE44" s="4504">
        <f t="shared" si="82"/>
        <v>0</v>
      </c>
      <c r="CF44" s="4504">
        <f t="shared" si="83"/>
        <v>0</v>
      </c>
      <c r="CG44" s="4504">
        <f t="shared" si="84"/>
        <v>0</v>
      </c>
      <c r="CH44" s="4504">
        <f t="shared" si="85"/>
        <v>0</v>
      </c>
      <c r="CI44" s="4504">
        <f t="shared" si="86"/>
        <v>0</v>
      </c>
      <c r="CJ44" s="4504">
        <f t="shared" si="87"/>
        <v>0</v>
      </c>
      <c r="CK44" s="4504">
        <f t="shared" si="88"/>
        <v>0</v>
      </c>
    </row>
    <row r="45" spans="1:89">
      <c r="A45" s="2732">
        <v>5</v>
      </c>
      <c r="B45" s="3616">
        <v>205</v>
      </c>
      <c r="C45" s="3599"/>
      <c r="D45" s="2733" t="s">
        <v>212</v>
      </c>
      <c r="E45" s="2753">
        <f>SUM(E46:E49)</f>
        <v>200.12713509787073</v>
      </c>
      <c r="F45" s="2754">
        <f>SUM(F46:F49)</f>
        <v>0</v>
      </c>
      <c r="G45" s="2755">
        <f>SUM(G46:G49)</f>
        <v>0</v>
      </c>
      <c r="H45" s="2755">
        <f t="shared" ref="H45:K45" si="99">SUM(H46:H49)</f>
        <v>0</v>
      </c>
      <c r="I45" s="2755">
        <f t="shared" si="99"/>
        <v>0</v>
      </c>
      <c r="J45" s="2755">
        <f t="shared" si="99"/>
        <v>0</v>
      </c>
      <c r="K45" s="2756">
        <f t="shared" si="99"/>
        <v>0</v>
      </c>
      <c r="L45" s="2753">
        <f>SUM(L46:L49)</f>
        <v>31.651113593385851</v>
      </c>
      <c r="M45" s="2735">
        <f>SUM(M46:M49)</f>
        <v>0</v>
      </c>
      <c r="N45" s="2736">
        <f>SUM(N46:N49)</f>
        <v>3</v>
      </c>
      <c r="O45" s="2736">
        <f t="shared" ref="O45:R45" si="100">SUM(O46:O49)</f>
        <v>3</v>
      </c>
      <c r="P45" s="2736">
        <f t="shared" si="100"/>
        <v>3</v>
      </c>
      <c r="Q45" s="2736">
        <f t="shared" si="100"/>
        <v>3</v>
      </c>
      <c r="R45" s="2737">
        <f t="shared" si="100"/>
        <v>3</v>
      </c>
      <c r="S45" s="2757">
        <f>SUM(S46:S49)</f>
        <v>38.620135604911496</v>
      </c>
      <c r="T45" s="2758">
        <f>SUM(T46:T49)</f>
        <v>0</v>
      </c>
      <c r="U45" s="2755">
        <f>SUM(U46:U49)</f>
        <v>2</v>
      </c>
      <c r="V45" s="2755">
        <f t="shared" ref="V45:Y45" si="101">SUM(V46:V49)</f>
        <v>2</v>
      </c>
      <c r="W45" s="2755">
        <f t="shared" si="101"/>
        <v>2</v>
      </c>
      <c r="X45" s="2755">
        <f t="shared" si="101"/>
        <v>2</v>
      </c>
      <c r="Y45" s="2756">
        <f t="shared" si="101"/>
        <v>2</v>
      </c>
      <c r="Z45" s="2757">
        <f>SUM(Z46:Z49)</f>
        <v>0</v>
      </c>
      <c r="AA45" s="2758">
        <f>SUM(AA46:AA49)</f>
        <v>0</v>
      </c>
      <c r="AB45" s="2755">
        <f>SUM(AB46:AB49)</f>
        <v>0</v>
      </c>
      <c r="AC45" s="2755">
        <f t="shared" ref="AC45:AF45" si="102">SUM(AC46:AC49)</f>
        <v>0</v>
      </c>
      <c r="AD45" s="2755">
        <f t="shared" si="102"/>
        <v>0</v>
      </c>
      <c r="AE45" s="2755">
        <f t="shared" si="102"/>
        <v>0</v>
      </c>
      <c r="AF45" s="2756">
        <f t="shared" si="102"/>
        <v>0</v>
      </c>
      <c r="AG45" s="2757">
        <f>SUM(AG46:AG49)</f>
        <v>1.8093267433155638</v>
      </c>
      <c r="AH45" s="2758">
        <f>SUM(AH46:AH49)</f>
        <v>3</v>
      </c>
      <c r="AI45" s="2755">
        <f>SUM(AI46:AI49)</f>
        <v>2</v>
      </c>
      <c r="AJ45" s="2755">
        <f t="shared" ref="AJ45:AM45" si="103">SUM(AJ46:AJ49)</f>
        <v>2</v>
      </c>
      <c r="AK45" s="2755">
        <f t="shared" si="103"/>
        <v>2</v>
      </c>
      <c r="AL45" s="2755">
        <f t="shared" si="103"/>
        <v>2</v>
      </c>
      <c r="AM45" s="2756">
        <f t="shared" si="103"/>
        <v>2</v>
      </c>
      <c r="AN45" s="2757">
        <f>SUM(AN46:AN49)</f>
        <v>0</v>
      </c>
      <c r="AO45" s="2738">
        <f>SUM(AO46:AO49)</f>
        <v>4</v>
      </c>
      <c r="AP45" s="2736">
        <f>SUM(AP46:AP49)</f>
        <v>0</v>
      </c>
      <c r="AQ45" s="2736">
        <f t="shared" ref="AQ45:AT45" si="104">SUM(AQ46:AQ49)</f>
        <v>0</v>
      </c>
      <c r="AR45" s="2736">
        <f t="shared" si="104"/>
        <v>0</v>
      </c>
      <c r="AS45" s="2736">
        <f t="shared" si="104"/>
        <v>0</v>
      </c>
      <c r="AT45" s="2737">
        <f t="shared" si="104"/>
        <v>0</v>
      </c>
      <c r="AU45" s="4488"/>
      <c r="AV45" s="4504">
        <f t="shared" si="47"/>
        <v>102.32337938260009</v>
      </c>
      <c r="AW45" s="4504">
        <f t="shared" si="48"/>
        <v>0</v>
      </c>
      <c r="AX45" s="4504">
        <f t="shared" si="49"/>
        <v>0</v>
      </c>
      <c r="AY45" s="4504">
        <f t="shared" si="50"/>
        <v>0</v>
      </c>
      <c r="AZ45" s="4504">
        <f t="shared" si="51"/>
        <v>0</v>
      </c>
      <c r="BA45" s="4504">
        <f t="shared" si="52"/>
        <v>0</v>
      </c>
      <c r="BB45" s="4504">
        <f t="shared" si="53"/>
        <v>0</v>
      </c>
      <c r="BC45" s="4504">
        <f t="shared" si="54"/>
        <v>16.182957411117457</v>
      </c>
      <c r="BD45" s="4504">
        <f t="shared" si="55"/>
        <v>0</v>
      </c>
      <c r="BE45" s="4504">
        <f t="shared" si="56"/>
        <v>1.5338756435886556</v>
      </c>
      <c r="BF45" s="4504">
        <f t="shared" si="57"/>
        <v>1.5338756435886556</v>
      </c>
      <c r="BG45" s="4504">
        <f t="shared" si="58"/>
        <v>1.5338756435886556</v>
      </c>
      <c r="BH45" s="4504">
        <f t="shared" si="59"/>
        <v>1.5338756435886556</v>
      </c>
      <c r="BI45" s="4504">
        <f t="shared" si="60"/>
        <v>1.5338756435886556</v>
      </c>
      <c r="BJ45" s="4504">
        <f t="shared" si="61"/>
        <v>19.746161785488258</v>
      </c>
      <c r="BK45" s="4504">
        <f t="shared" si="62"/>
        <v>0</v>
      </c>
      <c r="BL45" s="4504">
        <f t="shared" si="63"/>
        <v>1.022583762392437</v>
      </c>
      <c r="BM45" s="4504">
        <f t="shared" si="64"/>
        <v>1.022583762392437</v>
      </c>
      <c r="BN45" s="4504">
        <f t="shared" si="65"/>
        <v>1.022583762392437</v>
      </c>
      <c r="BO45" s="4504">
        <f t="shared" si="66"/>
        <v>1.022583762392437</v>
      </c>
      <c r="BP45" s="4504">
        <f t="shared" si="67"/>
        <v>1.022583762392437</v>
      </c>
      <c r="BQ45" s="4504">
        <f t="shared" si="68"/>
        <v>0</v>
      </c>
      <c r="BR45" s="4504">
        <f t="shared" si="69"/>
        <v>0</v>
      </c>
      <c r="BS45" s="4504">
        <f t="shared" si="70"/>
        <v>0</v>
      </c>
      <c r="BT45" s="4504">
        <f t="shared" si="71"/>
        <v>0</v>
      </c>
      <c r="BU45" s="4504">
        <f t="shared" si="72"/>
        <v>0</v>
      </c>
      <c r="BV45" s="4504">
        <f t="shared" si="73"/>
        <v>0</v>
      </c>
      <c r="BW45" s="4504">
        <f t="shared" si="74"/>
        <v>0</v>
      </c>
      <c r="BX45" s="4504">
        <f t="shared" si="75"/>
        <v>0.92509407428844215</v>
      </c>
      <c r="BY45" s="4504">
        <f t="shared" si="76"/>
        <v>1.5338756435886556</v>
      </c>
      <c r="BZ45" s="4504">
        <f t="shared" si="77"/>
        <v>1.022583762392437</v>
      </c>
      <c r="CA45" s="4504">
        <f t="shared" si="78"/>
        <v>1.022583762392437</v>
      </c>
      <c r="CB45" s="4504">
        <f t="shared" si="79"/>
        <v>1.022583762392437</v>
      </c>
      <c r="CC45" s="4504">
        <f t="shared" si="80"/>
        <v>1.022583762392437</v>
      </c>
      <c r="CD45" s="4504">
        <f t="shared" si="81"/>
        <v>1.022583762392437</v>
      </c>
      <c r="CE45" s="4504">
        <f t="shared" si="82"/>
        <v>0</v>
      </c>
      <c r="CF45" s="4504">
        <f t="shared" si="83"/>
        <v>2.045167524784874</v>
      </c>
      <c r="CG45" s="4504">
        <f t="shared" si="84"/>
        <v>0</v>
      </c>
      <c r="CH45" s="4504">
        <f t="shared" si="85"/>
        <v>0</v>
      </c>
      <c r="CI45" s="4504">
        <f t="shared" si="86"/>
        <v>0</v>
      </c>
      <c r="CJ45" s="4504">
        <f t="shared" si="87"/>
        <v>0</v>
      </c>
      <c r="CK45" s="4504">
        <f t="shared" si="88"/>
        <v>0</v>
      </c>
    </row>
    <row r="46" spans="1:89">
      <c r="A46" s="2759"/>
      <c r="B46" s="3620">
        <v>20501</v>
      </c>
      <c r="C46" s="3603">
        <v>0.08</v>
      </c>
      <c r="D46" s="2760" t="s">
        <v>563</v>
      </c>
      <c r="E46" s="2727">
        <f>'11.2. ДА за периода'!E46</f>
        <v>0</v>
      </c>
      <c r="F46" s="1228">
        <f>SUMIF('9.Инвестиционна програма'!$B$12:$B$35,$B46,'9.Инвестиционна програма'!H$12:H$35)*$E$6</f>
        <v>0</v>
      </c>
      <c r="G46" s="1224">
        <f>SUMIF('9.Инвестиционна програма'!$B$12:$B$35,$B46,'9.Инвестиционна програма'!I$12:I$35)*$E$6</f>
        <v>0</v>
      </c>
      <c r="H46" s="1224">
        <f>SUMIF('9.Инвестиционна програма'!$B$12:$B$35,$B46,'9.Инвестиционна програма'!J$12:J$35)*$E$6</f>
        <v>0</v>
      </c>
      <c r="I46" s="1224">
        <f>SUMIF('9.Инвестиционна програма'!$B$12:$B$35,$B46,'9.Инвестиционна програма'!K$12:K$35)*$E$6</f>
        <v>0</v>
      </c>
      <c r="J46" s="1224">
        <f>SUMIF('9.Инвестиционна програма'!$B$12:$B$35,$B46,'9.Инвестиционна програма'!L$12:L$35)*$E$6</f>
        <v>0</v>
      </c>
      <c r="K46" s="1229">
        <f>SUMIF('9.Инвестиционна програма'!$B$12:$B$35,$B46,'9.Инвестиционна програма'!M$12:M$35)*$E$6</f>
        <v>0</v>
      </c>
      <c r="L46" s="2727">
        <f>'11.2. ДА за периода'!L46</f>
        <v>0</v>
      </c>
      <c r="M46" s="1232">
        <f>SUMIF('9.Инвестиционна програма'!$B$37:$B$47,$B46,'9.Инвестиционна програма'!H$37:H$47)*$E$6</f>
        <v>0</v>
      </c>
      <c r="N46" s="1226">
        <f>SUMIF('9.Инвестиционна програма'!$B$37:$B$47,$B46,'9.Инвестиционна програма'!I$37:I$47)*$E$6</f>
        <v>0</v>
      </c>
      <c r="O46" s="1226">
        <f>SUMIF('9.Инвестиционна програма'!$B$37:$B$47,$B46,'9.Инвестиционна програма'!J$37:J$47)*$E$6</f>
        <v>0</v>
      </c>
      <c r="P46" s="1226">
        <f>SUMIF('9.Инвестиционна програма'!$B$37:$B$47,$B46,'9.Инвестиционна програма'!K$37:K$47)*$E$6</f>
        <v>0</v>
      </c>
      <c r="Q46" s="1226">
        <f>SUMIF('9.Инвестиционна програма'!$B$37:$B$47,$B46,'9.Инвестиционна програма'!L$37:L$47)*$E$6</f>
        <v>0</v>
      </c>
      <c r="R46" s="1227">
        <f>SUMIF('9.Инвестиционна програма'!$B$37:$B$47,$B46,'9.Инвестиционна програма'!M$37:M$47)*$E$6</f>
        <v>0</v>
      </c>
      <c r="S46" s="1113">
        <f>'11.2. ДА за периода'!S46</f>
        <v>0</v>
      </c>
      <c r="T46" s="906">
        <f>SUMIF('9.Инвестиционна програма'!$B$49:$B$56,$B46,'9.Инвестиционна програма'!H$49:H$56)*$E$6</f>
        <v>0</v>
      </c>
      <c r="U46" s="906">
        <f>SUMIF('9.Инвестиционна програма'!$B$49:$B$56,$B46,'9.Инвестиционна програма'!I$49:I$56)*$E$6</f>
        <v>0</v>
      </c>
      <c r="V46" s="906">
        <f>SUMIF('9.Инвестиционна програма'!$B$49:$B$56,$B46,'9.Инвестиционна програма'!J$49:J$56)*$E$6</f>
        <v>0</v>
      </c>
      <c r="W46" s="906">
        <f>SUMIF('9.Инвестиционна програма'!$B$49:$B$56,$B46,'9.Инвестиционна програма'!K$49:K$56)*$E$6</f>
        <v>0</v>
      </c>
      <c r="X46" s="906">
        <f>SUMIF('9.Инвестиционна програма'!$B$49:$B$56,$B46,'9.Инвестиционна програма'!L$49:L$56)*$E$6</f>
        <v>0</v>
      </c>
      <c r="Y46" s="2728">
        <f>SUMIF('9.Инвестиционна програма'!$B$49:$B$56,$B46,'9.Инвестиционна програма'!M$49:M$56)*$E$6</f>
        <v>0</v>
      </c>
      <c r="Z46" s="1113">
        <f>'11.2. ДА за периода'!Z46</f>
        <v>0</v>
      </c>
      <c r="AA46" s="906">
        <f>SUMIF('9.Инвестиционна програма'!$B$74:$B$97,$B46,'9.Инвестиционна програма'!H$74:H$97)*$E$6</f>
        <v>0</v>
      </c>
      <c r="AB46" s="906">
        <f>SUMIF('9.Инвестиционна програма'!$B$74:$B$97,$B46,'9.Инвестиционна програма'!I$74:I$97)*$E$6</f>
        <v>0</v>
      </c>
      <c r="AC46" s="906">
        <f>SUMIF('9.Инвестиционна програма'!$B$74:$B$97,$B46,'9.Инвестиционна програма'!J$74:J$97)*$E$6</f>
        <v>0</v>
      </c>
      <c r="AD46" s="906">
        <f>SUMIF('9.Инвестиционна програма'!$B$74:$B$97,$B46,'9.Инвестиционна програма'!K$74:K$97)*$E$6</f>
        <v>0</v>
      </c>
      <c r="AE46" s="906">
        <f>SUMIF('9.Инвестиционна програма'!$B$74:$B$97,$B46,'9.Инвестиционна програма'!L$74:L$97)*$E$6</f>
        <v>0</v>
      </c>
      <c r="AF46" s="906">
        <f>SUMIF('9.Инвестиционна програма'!$B$74:$B$97,$B46,'9.Инвестиционна програма'!M$74:M$97)*$E$6</f>
        <v>0</v>
      </c>
      <c r="AG46" s="1113">
        <f>'11.2. ДА за периода'!AG46</f>
        <v>0</v>
      </c>
      <c r="AH46" s="906">
        <f>SUMIF('9.Инвестиционна програма'!$B$100:$B$123,$B46,'9.Инвестиционна програма'!H$100:H$123)*$E$6</f>
        <v>2</v>
      </c>
      <c r="AI46" s="906">
        <f>SUMIF('9.Инвестиционна програма'!$B$100:$B$123,$B46,'9.Инвестиционна програма'!I$100:I$123)*$E$6</f>
        <v>0</v>
      </c>
      <c r="AJ46" s="906">
        <f>SUMIF('9.Инвестиционна програма'!$B$100:$B$123,$B46,'9.Инвестиционна програма'!J$100:J$123)*$E$6</f>
        <v>0</v>
      </c>
      <c r="AK46" s="906">
        <f>SUMIF('9.Инвестиционна програма'!$B$100:$B$123,$B46,'9.Инвестиционна програма'!K$100:K$123)*$E$6</f>
        <v>0</v>
      </c>
      <c r="AL46" s="906">
        <f>SUMIF('9.Инвестиционна програма'!$B$100:$B$123,$B46,'9.Инвестиционна програма'!L$100:L$123)*$E$6</f>
        <v>0</v>
      </c>
      <c r="AM46" s="906">
        <f>SUMIF('9.Инвестиционна програма'!$B$100:$B$123,$B46,'9.Инвестиционна програма'!M$100:M$123)*$E$6</f>
        <v>0</v>
      </c>
      <c r="AN46" s="1113">
        <f>'11.2. ДА за периода'!AN46</f>
        <v>0</v>
      </c>
      <c r="AO46" s="1232">
        <f>(SUMIF('9.Инвестиционна програма'!$B$58:$B$59,$B46,'9.Инвестиционна програма'!H$58:H$59)+SUMIF('9.Инвестиционна програма'!$B$61:$B$71,$B46,'9.Инвестиционна програма'!H$61:H$71))*$E$6</f>
        <v>0</v>
      </c>
      <c r="AP46" s="906">
        <f>(SUMIF('9.Инвестиционна програма'!$B$58:$B$59,$B46,'9.Инвестиционна програма'!I$58:I$59)+SUMIF('9.Инвестиционна програма'!$B$61:$B$71,$B46,'9.Инвестиционна програма'!I$61:I$71))*$E$6</f>
        <v>0</v>
      </c>
      <c r="AQ46" s="906">
        <f>(SUMIF('9.Инвестиционна програма'!$B$58:$B$59,$B46,'9.Инвестиционна програма'!J$58:J$59)+SUMIF('9.Инвестиционна програма'!$B$61:$B$71,$B46,'9.Инвестиционна програма'!J$61:J$71))*$E$6</f>
        <v>0</v>
      </c>
      <c r="AR46" s="906">
        <f>(SUMIF('9.Инвестиционна програма'!$B$58:$B$59,$B46,'9.Инвестиционна програма'!K$58:K$59)+SUMIF('9.Инвестиционна програма'!$B$61:$B$71,$B46,'9.Инвестиционна програма'!K$61:K$71))*$E$6</f>
        <v>0</v>
      </c>
      <c r="AS46" s="906">
        <f>(SUMIF('9.Инвестиционна програма'!$B$58:$B$59,$B46,'9.Инвестиционна програма'!L$58:L$59)+SUMIF('9.Инвестиционна програма'!$B$61:$B$71,$B46,'9.Инвестиционна програма'!L$61:L$71))*$E$6</f>
        <v>0</v>
      </c>
      <c r="AT46" s="2728">
        <f>(SUMIF('9.Инвестиционна програма'!$B$58:$B$59,$B46,'9.Инвестиционна програма'!M$58:M$59)+SUMIF('9.Инвестиционна програма'!$B$61:$B$71,$B46,'9.Инвестиционна програма'!M$61:M$71))*$E$6</f>
        <v>0</v>
      </c>
      <c r="AU46" s="4488"/>
      <c r="AV46" s="4504">
        <f t="shared" si="47"/>
        <v>0</v>
      </c>
      <c r="AW46" s="4504">
        <f t="shared" si="48"/>
        <v>0</v>
      </c>
      <c r="AX46" s="4504">
        <f t="shared" si="49"/>
        <v>0</v>
      </c>
      <c r="AY46" s="4504">
        <f t="shared" si="50"/>
        <v>0</v>
      </c>
      <c r="AZ46" s="4504">
        <f t="shared" si="51"/>
        <v>0</v>
      </c>
      <c r="BA46" s="4504">
        <f t="shared" si="52"/>
        <v>0</v>
      </c>
      <c r="BB46" s="4504">
        <f t="shared" si="53"/>
        <v>0</v>
      </c>
      <c r="BC46" s="4504">
        <f t="shared" si="54"/>
        <v>0</v>
      </c>
      <c r="BD46" s="4504">
        <f t="shared" si="55"/>
        <v>0</v>
      </c>
      <c r="BE46" s="4504">
        <f t="shared" si="56"/>
        <v>0</v>
      </c>
      <c r="BF46" s="4504">
        <f t="shared" si="57"/>
        <v>0</v>
      </c>
      <c r="BG46" s="4504">
        <f t="shared" si="58"/>
        <v>0</v>
      </c>
      <c r="BH46" s="4504">
        <f t="shared" si="59"/>
        <v>0</v>
      </c>
      <c r="BI46" s="4504">
        <f t="shared" si="60"/>
        <v>0</v>
      </c>
      <c r="BJ46" s="4504">
        <f t="shared" si="61"/>
        <v>0</v>
      </c>
      <c r="BK46" s="4504">
        <f t="shared" si="62"/>
        <v>0</v>
      </c>
      <c r="BL46" s="4504">
        <f t="shared" si="63"/>
        <v>0</v>
      </c>
      <c r="BM46" s="4504">
        <f t="shared" si="64"/>
        <v>0</v>
      </c>
      <c r="BN46" s="4504">
        <f t="shared" si="65"/>
        <v>0</v>
      </c>
      <c r="BO46" s="4504">
        <f t="shared" si="66"/>
        <v>0</v>
      </c>
      <c r="BP46" s="4504">
        <f t="shared" si="67"/>
        <v>0</v>
      </c>
      <c r="BQ46" s="4504">
        <f t="shared" si="68"/>
        <v>0</v>
      </c>
      <c r="BR46" s="4504">
        <f t="shared" si="69"/>
        <v>0</v>
      </c>
      <c r="BS46" s="4504">
        <f t="shared" si="70"/>
        <v>0</v>
      </c>
      <c r="BT46" s="4504">
        <f t="shared" si="71"/>
        <v>0</v>
      </c>
      <c r="BU46" s="4504">
        <f t="shared" si="72"/>
        <v>0</v>
      </c>
      <c r="BV46" s="4504">
        <f t="shared" si="73"/>
        <v>0</v>
      </c>
      <c r="BW46" s="4504">
        <f t="shared" si="74"/>
        <v>0</v>
      </c>
      <c r="BX46" s="4504">
        <f t="shared" si="75"/>
        <v>0</v>
      </c>
      <c r="BY46" s="4504">
        <f t="shared" si="76"/>
        <v>1.022583762392437</v>
      </c>
      <c r="BZ46" s="4504">
        <f t="shared" si="77"/>
        <v>0</v>
      </c>
      <c r="CA46" s="4504">
        <f t="shared" si="78"/>
        <v>0</v>
      </c>
      <c r="CB46" s="4504">
        <f t="shared" si="79"/>
        <v>0</v>
      </c>
      <c r="CC46" s="4504">
        <f t="shared" si="80"/>
        <v>0</v>
      </c>
      <c r="CD46" s="4504">
        <f t="shared" si="81"/>
        <v>0</v>
      </c>
      <c r="CE46" s="4504">
        <f t="shared" si="82"/>
        <v>0</v>
      </c>
      <c r="CF46" s="4504">
        <f t="shared" si="83"/>
        <v>0</v>
      </c>
      <c r="CG46" s="4504">
        <f t="shared" si="84"/>
        <v>0</v>
      </c>
      <c r="CH46" s="4504">
        <f t="shared" si="85"/>
        <v>0</v>
      </c>
      <c r="CI46" s="4504">
        <f t="shared" si="86"/>
        <v>0</v>
      </c>
      <c r="CJ46" s="4504">
        <f t="shared" si="87"/>
        <v>0</v>
      </c>
      <c r="CK46" s="4504">
        <f t="shared" si="88"/>
        <v>0</v>
      </c>
    </row>
    <row r="47" spans="1:89">
      <c r="A47" s="2759"/>
      <c r="B47" s="3620">
        <v>20502</v>
      </c>
      <c r="C47" s="3603">
        <v>0.1</v>
      </c>
      <c r="D47" s="2760" t="s">
        <v>411</v>
      </c>
      <c r="E47" s="2727">
        <f>'11.2. ДА за периода'!E47</f>
        <v>192.02713509787074</v>
      </c>
      <c r="F47" s="1228">
        <f>SUMIF('9.Инвестиционна програма'!$B$12:$B$35,$B47,'9.Инвестиционна програма'!H$12:H$35)*$E$6</f>
        <v>0</v>
      </c>
      <c r="G47" s="1224">
        <f>SUMIF('9.Инвестиционна програма'!$B$12:$B$35,$B47,'9.Инвестиционна програма'!I$12:I$35)*$E$6</f>
        <v>0</v>
      </c>
      <c r="H47" s="1224">
        <f>SUMIF('9.Инвестиционна програма'!$B$12:$B$35,$B47,'9.Инвестиционна програма'!J$12:J$35)*$E$6</f>
        <v>0</v>
      </c>
      <c r="I47" s="1224">
        <f>SUMIF('9.Инвестиционна програма'!$B$12:$B$35,$B47,'9.Инвестиционна програма'!K$12:K$35)*$E$6</f>
        <v>0</v>
      </c>
      <c r="J47" s="1224">
        <f>SUMIF('9.Инвестиционна програма'!$B$12:$B$35,$B47,'9.Инвестиционна програма'!L$12:L$35)*$E$6</f>
        <v>0</v>
      </c>
      <c r="K47" s="1229">
        <f>SUMIF('9.Инвестиционна програма'!$B$12:$B$35,$B47,'9.Инвестиционна програма'!M$12:M$35)*$E$6</f>
        <v>0</v>
      </c>
      <c r="L47" s="2727">
        <f>'11.2. ДА за периода'!L47</f>
        <v>31.651113593385851</v>
      </c>
      <c r="M47" s="1232">
        <f>SUMIF('9.Инвестиционна програма'!$B$37:$B$47,$B47,'9.Инвестиционна програма'!H$37:H$47)*$E$6</f>
        <v>0</v>
      </c>
      <c r="N47" s="1226">
        <f>SUMIF('9.Инвестиционна програма'!$B$37:$B$47,$B47,'9.Инвестиционна програма'!I$37:I$47)*$E$6</f>
        <v>0</v>
      </c>
      <c r="O47" s="1226">
        <f>SUMIF('9.Инвестиционна програма'!$B$37:$B$47,$B47,'9.Инвестиционна програма'!J$37:J$47)*$E$6</f>
        <v>0</v>
      </c>
      <c r="P47" s="1226">
        <f>SUMIF('9.Инвестиционна програма'!$B$37:$B$47,$B47,'9.Инвестиционна програма'!K$37:K$47)*$E$6</f>
        <v>0</v>
      </c>
      <c r="Q47" s="1226">
        <f>SUMIF('9.Инвестиционна програма'!$B$37:$B$47,$B47,'9.Инвестиционна програма'!L$37:L$47)*$E$6</f>
        <v>0</v>
      </c>
      <c r="R47" s="1227">
        <f>SUMIF('9.Инвестиционна програма'!$B$37:$B$47,$B47,'9.Инвестиционна програма'!M$37:M$47)*$E$6</f>
        <v>0</v>
      </c>
      <c r="S47" s="1113">
        <f>'11.2. ДА за периода'!S47</f>
        <v>38.620135604911496</v>
      </c>
      <c r="T47" s="906">
        <f>SUMIF('9.Инвестиционна програма'!$B$49:$B$56,$B47,'9.Инвестиционна програма'!H$49:H$56)*$E$6</f>
        <v>0</v>
      </c>
      <c r="U47" s="906">
        <f>SUMIF('9.Инвестиционна програма'!$B$49:$B$56,$B47,'9.Инвестиционна програма'!I$49:I$56)*$E$6</f>
        <v>0</v>
      </c>
      <c r="V47" s="906">
        <f>SUMIF('9.Инвестиционна програма'!$B$49:$B$56,$B47,'9.Инвестиционна програма'!J$49:J$56)*$E$6</f>
        <v>0</v>
      </c>
      <c r="W47" s="906">
        <f>SUMIF('9.Инвестиционна програма'!$B$49:$B$56,$B47,'9.Инвестиционна програма'!K$49:K$56)*$E$6</f>
        <v>0</v>
      </c>
      <c r="X47" s="906">
        <f>SUMIF('9.Инвестиционна програма'!$B$49:$B$56,$B47,'9.Инвестиционна програма'!L$49:L$56)*$E$6</f>
        <v>0</v>
      </c>
      <c r="Y47" s="2728">
        <f>SUMIF('9.Инвестиционна програма'!$B$49:$B$56,$B47,'9.Инвестиционна програма'!M$49:M$56)*$E$6</f>
        <v>0</v>
      </c>
      <c r="Z47" s="1113">
        <f>'11.2. ДА за периода'!Z47</f>
        <v>0</v>
      </c>
      <c r="AA47" s="906">
        <f>SUMIF('9.Инвестиционна програма'!$B$74:$B$97,$B47,'9.Инвестиционна програма'!H$74:H$97)*$E$6</f>
        <v>0</v>
      </c>
      <c r="AB47" s="906">
        <f>SUMIF('9.Инвестиционна програма'!$B$74:$B$97,$B47,'9.Инвестиционна програма'!I$74:I$97)*$E$6</f>
        <v>0</v>
      </c>
      <c r="AC47" s="906">
        <f>SUMIF('9.Инвестиционна програма'!$B$74:$B$97,$B47,'9.Инвестиционна програма'!J$74:J$97)*$E$6</f>
        <v>0</v>
      </c>
      <c r="AD47" s="906">
        <f>SUMIF('9.Инвестиционна програма'!$B$74:$B$97,$B47,'9.Инвестиционна програма'!K$74:K$97)*$E$6</f>
        <v>0</v>
      </c>
      <c r="AE47" s="906">
        <f>SUMIF('9.Инвестиционна програма'!$B$74:$B$97,$B47,'9.Инвестиционна програма'!L$74:L$97)*$E$6</f>
        <v>0</v>
      </c>
      <c r="AF47" s="906">
        <f>SUMIF('9.Инвестиционна програма'!$B$74:$B$97,$B47,'9.Инвестиционна програма'!M$74:M$97)*$E$6</f>
        <v>0</v>
      </c>
      <c r="AG47" s="1113">
        <f>'11.2. ДА за периода'!AG47</f>
        <v>1.8093267433155638</v>
      </c>
      <c r="AH47" s="906">
        <f>SUMIF('9.Инвестиционна програма'!$B$100:$B$123,$B47,'9.Инвестиционна програма'!H$100:H$123)*$E$6</f>
        <v>1</v>
      </c>
      <c r="AI47" s="906">
        <f>SUMIF('9.Инвестиционна програма'!$B$100:$B$123,$B47,'9.Инвестиционна програма'!I$100:I$123)*$E$6</f>
        <v>0</v>
      </c>
      <c r="AJ47" s="906">
        <f>SUMIF('9.Инвестиционна програма'!$B$100:$B$123,$B47,'9.Инвестиционна програма'!J$100:J$123)*$E$6</f>
        <v>0</v>
      </c>
      <c r="AK47" s="906">
        <f>SUMIF('9.Инвестиционна програма'!$B$100:$B$123,$B47,'9.Инвестиционна програма'!K$100:K$123)*$E$6</f>
        <v>0</v>
      </c>
      <c r="AL47" s="906">
        <f>SUMIF('9.Инвестиционна програма'!$B$100:$B$123,$B47,'9.Инвестиционна програма'!L$100:L$123)*$E$6</f>
        <v>0</v>
      </c>
      <c r="AM47" s="906">
        <f>SUMIF('9.Инвестиционна програма'!$B$100:$B$123,$B47,'9.Инвестиционна програма'!M$100:M$123)*$E$6</f>
        <v>0</v>
      </c>
      <c r="AN47" s="1113">
        <f>'11.2. ДА за периода'!AN47</f>
        <v>0</v>
      </c>
      <c r="AO47" s="1232">
        <f>(SUMIF('9.Инвестиционна програма'!$B$58:$B$59,$B47,'9.Инвестиционна програма'!H$58:H$59)+SUMIF('9.Инвестиционна програма'!$B$61:$B$71,$B47,'9.Инвестиционна програма'!H$61:H$71))*$E$6</f>
        <v>2</v>
      </c>
      <c r="AP47" s="906">
        <f>(SUMIF('9.Инвестиционна програма'!$B$58:$B$59,$B47,'9.Инвестиционна програма'!I$58:I$59)+SUMIF('9.Инвестиционна програма'!$B$61:$B$71,$B47,'9.Инвестиционна програма'!I$61:I$71))*$E$6</f>
        <v>0</v>
      </c>
      <c r="AQ47" s="906">
        <f>(SUMIF('9.Инвестиционна програма'!$B$58:$B$59,$B47,'9.Инвестиционна програма'!J$58:J$59)+SUMIF('9.Инвестиционна програма'!$B$61:$B$71,$B47,'9.Инвестиционна програма'!J$61:J$71))*$E$6</f>
        <v>0</v>
      </c>
      <c r="AR47" s="906">
        <f>(SUMIF('9.Инвестиционна програма'!$B$58:$B$59,$B47,'9.Инвестиционна програма'!K$58:K$59)+SUMIF('9.Инвестиционна програма'!$B$61:$B$71,$B47,'9.Инвестиционна програма'!K$61:K$71))*$E$6</f>
        <v>0</v>
      </c>
      <c r="AS47" s="906">
        <f>(SUMIF('9.Инвестиционна програма'!$B$58:$B$59,$B47,'9.Инвестиционна програма'!L$58:L$59)+SUMIF('9.Инвестиционна програма'!$B$61:$B$71,$B47,'9.Инвестиционна програма'!L$61:L$71))*$E$6</f>
        <v>0</v>
      </c>
      <c r="AT47" s="2728">
        <f>(SUMIF('9.Инвестиционна програма'!$B$58:$B$59,$B47,'9.Инвестиционна програма'!M$58:M$59)+SUMIF('9.Инвестиционна програма'!$B$61:$B$71,$B47,'9.Инвестиционна програма'!M$61:M$71))*$E$6</f>
        <v>0</v>
      </c>
      <c r="AU47" s="4488"/>
      <c r="AV47" s="4504">
        <f t="shared" si="47"/>
        <v>98.181915144910732</v>
      </c>
      <c r="AW47" s="4504">
        <f t="shared" si="48"/>
        <v>0</v>
      </c>
      <c r="AX47" s="4504">
        <f t="shared" si="49"/>
        <v>0</v>
      </c>
      <c r="AY47" s="4504">
        <f t="shared" si="50"/>
        <v>0</v>
      </c>
      <c r="AZ47" s="4504">
        <f t="shared" si="51"/>
        <v>0</v>
      </c>
      <c r="BA47" s="4504">
        <f t="shared" si="52"/>
        <v>0</v>
      </c>
      <c r="BB47" s="4504">
        <f t="shared" si="53"/>
        <v>0</v>
      </c>
      <c r="BC47" s="4504">
        <f t="shared" si="54"/>
        <v>16.182957411117457</v>
      </c>
      <c r="BD47" s="4504">
        <f t="shared" si="55"/>
        <v>0</v>
      </c>
      <c r="BE47" s="4504">
        <f t="shared" si="56"/>
        <v>0</v>
      </c>
      <c r="BF47" s="4504">
        <f t="shared" si="57"/>
        <v>0</v>
      </c>
      <c r="BG47" s="4504">
        <f t="shared" si="58"/>
        <v>0</v>
      </c>
      <c r="BH47" s="4504">
        <f t="shared" si="59"/>
        <v>0</v>
      </c>
      <c r="BI47" s="4504">
        <f t="shared" si="60"/>
        <v>0</v>
      </c>
      <c r="BJ47" s="4504">
        <f t="shared" si="61"/>
        <v>19.746161785488258</v>
      </c>
      <c r="BK47" s="4504">
        <f t="shared" si="62"/>
        <v>0</v>
      </c>
      <c r="BL47" s="4504">
        <f t="shared" si="63"/>
        <v>0</v>
      </c>
      <c r="BM47" s="4504">
        <f t="shared" si="64"/>
        <v>0</v>
      </c>
      <c r="BN47" s="4504">
        <f t="shared" si="65"/>
        <v>0</v>
      </c>
      <c r="BO47" s="4504">
        <f t="shared" si="66"/>
        <v>0</v>
      </c>
      <c r="BP47" s="4504">
        <f t="shared" si="67"/>
        <v>0</v>
      </c>
      <c r="BQ47" s="4504">
        <f t="shared" si="68"/>
        <v>0</v>
      </c>
      <c r="BR47" s="4504">
        <f t="shared" si="69"/>
        <v>0</v>
      </c>
      <c r="BS47" s="4504">
        <f t="shared" si="70"/>
        <v>0</v>
      </c>
      <c r="BT47" s="4504">
        <f t="shared" si="71"/>
        <v>0</v>
      </c>
      <c r="BU47" s="4504">
        <f t="shared" si="72"/>
        <v>0</v>
      </c>
      <c r="BV47" s="4504">
        <f t="shared" si="73"/>
        <v>0</v>
      </c>
      <c r="BW47" s="4504">
        <f t="shared" si="74"/>
        <v>0</v>
      </c>
      <c r="BX47" s="4504">
        <f t="shared" si="75"/>
        <v>0.92509407428844215</v>
      </c>
      <c r="BY47" s="4504">
        <f t="shared" si="76"/>
        <v>0.51129188119621849</v>
      </c>
      <c r="BZ47" s="4504">
        <f t="shared" si="77"/>
        <v>0</v>
      </c>
      <c r="CA47" s="4504">
        <f t="shared" si="78"/>
        <v>0</v>
      </c>
      <c r="CB47" s="4504">
        <f t="shared" si="79"/>
        <v>0</v>
      </c>
      <c r="CC47" s="4504">
        <f t="shared" si="80"/>
        <v>0</v>
      </c>
      <c r="CD47" s="4504">
        <f t="shared" si="81"/>
        <v>0</v>
      </c>
      <c r="CE47" s="4504">
        <f t="shared" si="82"/>
        <v>0</v>
      </c>
      <c r="CF47" s="4504">
        <f t="shared" si="83"/>
        <v>1.022583762392437</v>
      </c>
      <c r="CG47" s="4504">
        <f t="shared" si="84"/>
        <v>0</v>
      </c>
      <c r="CH47" s="4504">
        <f t="shared" si="85"/>
        <v>0</v>
      </c>
      <c r="CI47" s="4504">
        <f t="shared" si="86"/>
        <v>0</v>
      </c>
      <c r="CJ47" s="4504">
        <f t="shared" si="87"/>
        <v>0</v>
      </c>
      <c r="CK47" s="4504">
        <f t="shared" si="88"/>
        <v>0</v>
      </c>
    </row>
    <row r="48" spans="1:89">
      <c r="A48" s="2759"/>
      <c r="B48" s="3620">
        <v>20503</v>
      </c>
      <c r="C48" s="3603">
        <v>0.1</v>
      </c>
      <c r="D48" s="2742" t="s">
        <v>412</v>
      </c>
      <c r="E48" s="2727">
        <f>'11.2. ДА за периода'!E48</f>
        <v>8.1</v>
      </c>
      <c r="F48" s="1228">
        <f>SUMIF('9.Инвестиционна програма'!$B$12:$B$35,$B48,'9.Инвестиционна програма'!H$12:H$35)*$E$6</f>
        <v>0</v>
      </c>
      <c r="G48" s="1224">
        <f>SUMIF('9.Инвестиционна програма'!$B$12:$B$35,$B48,'9.Инвестиционна програма'!I$12:I$35)*$E$6</f>
        <v>0</v>
      </c>
      <c r="H48" s="1224">
        <f>SUMIF('9.Инвестиционна програма'!$B$12:$B$35,$B48,'9.Инвестиционна програма'!J$12:J$35)*$E$6</f>
        <v>0</v>
      </c>
      <c r="I48" s="1224">
        <f>SUMIF('9.Инвестиционна програма'!$B$12:$B$35,$B48,'9.Инвестиционна програма'!K$12:K$35)*$E$6</f>
        <v>0</v>
      </c>
      <c r="J48" s="1224">
        <f>SUMIF('9.Инвестиционна програма'!$B$12:$B$35,$B48,'9.Инвестиционна програма'!L$12:L$35)*$E$6</f>
        <v>0</v>
      </c>
      <c r="K48" s="1229">
        <f>SUMIF('9.Инвестиционна програма'!$B$12:$B$35,$B48,'9.Инвестиционна програма'!M$12:M$35)*$E$6</f>
        <v>0</v>
      </c>
      <c r="L48" s="2727">
        <f>'11.2. ДА за периода'!L48</f>
        <v>0</v>
      </c>
      <c r="M48" s="1232">
        <f>SUMIF('9.Инвестиционна програма'!$B$37:$B$47,$B48,'9.Инвестиционна програма'!H$37:H$47)*$E$6</f>
        <v>0</v>
      </c>
      <c r="N48" s="1226">
        <f>SUMIF('9.Инвестиционна програма'!$B$37:$B$47,$B48,'9.Инвестиционна програма'!I$37:I$47)*$E$6</f>
        <v>3</v>
      </c>
      <c r="O48" s="1226">
        <f>SUMIF('9.Инвестиционна програма'!$B$37:$B$47,$B48,'9.Инвестиционна програма'!J$37:J$47)*$E$6</f>
        <v>3</v>
      </c>
      <c r="P48" s="1226">
        <f>SUMIF('9.Инвестиционна програма'!$B$37:$B$47,$B48,'9.Инвестиционна програма'!K$37:K$47)*$E$6</f>
        <v>3</v>
      </c>
      <c r="Q48" s="1226">
        <f>SUMIF('9.Инвестиционна програма'!$B$37:$B$47,$B48,'9.Инвестиционна програма'!L$37:L$47)*$E$6</f>
        <v>3</v>
      </c>
      <c r="R48" s="1227">
        <f>SUMIF('9.Инвестиционна програма'!$B$37:$B$47,$B48,'9.Инвестиционна програма'!M$37:M$47)*$E$6</f>
        <v>3</v>
      </c>
      <c r="S48" s="1113">
        <f>'11.2. ДА за периода'!S48</f>
        <v>0</v>
      </c>
      <c r="T48" s="906">
        <f>SUMIF('9.Инвестиционна програма'!$B$49:$B$56,$B48,'9.Инвестиционна програма'!H$49:H$56)*$E$6</f>
        <v>0</v>
      </c>
      <c r="U48" s="906">
        <f>SUMIF('9.Инвестиционна програма'!$B$49:$B$56,$B48,'9.Инвестиционна програма'!I$49:I$56)*$E$6</f>
        <v>2</v>
      </c>
      <c r="V48" s="906">
        <f>SUMIF('9.Инвестиционна програма'!$B$49:$B$56,$B48,'9.Инвестиционна програма'!J$49:J$56)*$E$6</f>
        <v>2</v>
      </c>
      <c r="W48" s="906">
        <f>SUMIF('9.Инвестиционна програма'!$B$49:$B$56,$B48,'9.Инвестиционна програма'!K$49:K$56)*$E$6</f>
        <v>2</v>
      </c>
      <c r="X48" s="906">
        <f>SUMIF('9.Инвестиционна програма'!$B$49:$B$56,$B48,'9.Инвестиционна програма'!L$49:L$56)*$E$6</f>
        <v>2</v>
      </c>
      <c r="Y48" s="2728">
        <f>SUMIF('9.Инвестиционна програма'!$B$49:$B$56,$B48,'9.Инвестиционна програма'!M$49:M$56)*$E$6</f>
        <v>2</v>
      </c>
      <c r="Z48" s="1113">
        <f>'11.2. ДА за периода'!Z48</f>
        <v>0</v>
      </c>
      <c r="AA48" s="906">
        <f>SUMIF('9.Инвестиционна програма'!$B$74:$B$97,$B48,'9.Инвестиционна програма'!H$74:H$97)*$E$6</f>
        <v>0</v>
      </c>
      <c r="AB48" s="906">
        <f>SUMIF('9.Инвестиционна програма'!$B$74:$B$97,$B48,'9.Инвестиционна програма'!I$74:I$97)*$E$6</f>
        <v>0</v>
      </c>
      <c r="AC48" s="906">
        <f>SUMIF('9.Инвестиционна програма'!$B$74:$B$97,$B48,'9.Инвестиционна програма'!J$74:J$97)*$E$6</f>
        <v>0</v>
      </c>
      <c r="AD48" s="906">
        <f>SUMIF('9.Инвестиционна програма'!$B$74:$B$97,$B48,'9.Инвестиционна програма'!K$74:K$97)*$E$6</f>
        <v>0</v>
      </c>
      <c r="AE48" s="906">
        <f>SUMIF('9.Инвестиционна програма'!$B$74:$B$97,$B48,'9.Инвестиционна програма'!L$74:L$97)*$E$6</f>
        <v>0</v>
      </c>
      <c r="AF48" s="906">
        <f>SUMIF('9.Инвестиционна програма'!$B$74:$B$97,$B48,'9.Инвестиционна програма'!M$74:M$97)*$E$6</f>
        <v>0</v>
      </c>
      <c r="AG48" s="1113">
        <f>'11.2. ДА за периода'!AG48</f>
        <v>0</v>
      </c>
      <c r="AH48" s="906">
        <f>SUMIF('9.Инвестиционна програма'!$B$100:$B$123,$B48,'9.Инвестиционна програма'!H$100:H$123)*$E$6</f>
        <v>0</v>
      </c>
      <c r="AI48" s="906">
        <f>SUMIF('9.Инвестиционна програма'!$B$100:$B$123,$B48,'9.Инвестиционна програма'!I$100:I$123)*$E$6</f>
        <v>2</v>
      </c>
      <c r="AJ48" s="906">
        <f>SUMIF('9.Инвестиционна програма'!$B$100:$B$123,$B48,'9.Инвестиционна програма'!J$100:J$123)*$E$6</f>
        <v>2</v>
      </c>
      <c r="AK48" s="906">
        <f>SUMIF('9.Инвестиционна програма'!$B$100:$B$123,$B48,'9.Инвестиционна програма'!K$100:K$123)*$E$6</f>
        <v>2</v>
      </c>
      <c r="AL48" s="906">
        <f>SUMIF('9.Инвестиционна програма'!$B$100:$B$123,$B48,'9.Инвестиционна програма'!L$100:L$123)*$E$6</f>
        <v>2</v>
      </c>
      <c r="AM48" s="906">
        <f>SUMIF('9.Инвестиционна програма'!$B$100:$B$123,$B48,'9.Инвестиционна програма'!M$100:M$123)*$E$6</f>
        <v>2</v>
      </c>
      <c r="AN48" s="1113">
        <f>'11.2. ДА за периода'!AN48</f>
        <v>0</v>
      </c>
      <c r="AO48" s="1232">
        <f>(SUMIF('9.Инвестиционна програма'!$B$58:$B$59,$B48,'9.Инвестиционна програма'!H$58:H$59)+SUMIF('9.Инвестиционна програма'!$B$61:$B$71,$B48,'9.Инвестиционна програма'!H$61:H$71))*$E$6</f>
        <v>2</v>
      </c>
      <c r="AP48" s="906">
        <f>(SUMIF('9.Инвестиционна програма'!$B$58:$B$59,$B48,'9.Инвестиционна програма'!I$58:I$59)+SUMIF('9.Инвестиционна програма'!$B$61:$B$71,$B48,'9.Инвестиционна програма'!I$61:I$71))*$E$6</f>
        <v>0</v>
      </c>
      <c r="AQ48" s="906">
        <f>(SUMIF('9.Инвестиционна програма'!$B$58:$B$59,$B48,'9.Инвестиционна програма'!J$58:J$59)+SUMIF('9.Инвестиционна програма'!$B$61:$B$71,$B48,'9.Инвестиционна програма'!J$61:J$71))*$E$6</f>
        <v>0</v>
      </c>
      <c r="AR48" s="906">
        <f>(SUMIF('9.Инвестиционна програма'!$B$58:$B$59,$B48,'9.Инвестиционна програма'!K$58:K$59)+SUMIF('9.Инвестиционна програма'!$B$61:$B$71,$B48,'9.Инвестиционна програма'!K$61:K$71))*$E$6</f>
        <v>0</v>
      </c>
      <c r="AS48" s="906">
        <f>(SUMIF('9.Инвестиционна програма'!$B$58:$B$59,$B48,'9.Инвестиционна програма'!L$58:L$59)+SUMIF('9.Инвестиционна програма'!$B$61:$B$71,$B48,'9.Инвестиционна програма'!L$61:L$71))*$E$6</f>
        <v>0</v>
      </c>
      <c r="AT48" s="2728">
        <f>(SUMIF('9.Инвестиционна програма'!$B$58:$B$59,$B48,'9.Инвестиционна програма'!M$58:M$59)+SUMIF('9.Инвестиционна програма'!$B$61:$B$71,$B48,'9.Инвестиционна програма'!M$61:M$71))*$E$6</f>
        <v>0</v>
      </c>
      <c r="AU48" s="4488"/>
      <c r="AV48" s="4504">
        <f t="shared" si="47"/>
        <v>4.1414642376893696</v>
      </c>
      <c r="AW48" s="4504">
        <f t="shared" si="48"/>
        <v>0</v>
      </c>
      <c r="AX48" s="4504">
        <f t="shared" si="49"/>
        <v>0</v>
      </c>
      <c r="AY48" s="4504">
        <f t="shared" si="50"/>
        <v>0</v>
      </c>
      <c r="AZ48" s="4504">
        <f t="shared" si="51"/>
        <v>0</v>
      </c>
      <c r="BA48" s="4504">
        <f t="shared" si="52"/>
        <v>0</v>
      </c>
      <c r="BB48" s="4504">
        <f t="shared" si="53"/>
        <v>0</v>
      </c>
      <c r="BC48" s="4504">
        <f t="shared" si="54"/>
        <v>0</v>
      </c>
      <c r="BD48" s="4504">
        <f t="shared" si="55"/>
        <v>0</v>
      </c>
      <c r="BE48" s="4504">
        <f t="shared" si="56"/>
        <v>1.5338756435886556</v>
      </c>
      <c r="BF48" s="4504">
        <f t="shared" si="57"/>
        <v>1.5338756435886556</v>
      </c>
      <c r="BG48" s="4504">
        <f t="shared" si="58"/>
        <v>1.5338756435886556</v>
      </c>
      <c r="BH48" s="4504">
        <f t="shared" si="59"/>
        <v>1.5338756435886556</v>
      </c>
      <c r="BI48" s="4504">
        <f t="shared" si="60"/>
        <v>1.5338756435886556</v>
      </c>
      <c r="BJ48" s="4504">
        <f t="shared" si="61"/>
        <v>0</v>
      </c>
      <c r="BK48" s="4504">
        <f t="shared" si="62"/>
        <v>0</v>
      </c>
      <c r="BL48" s="4504">
        <f t="shared" si="63"/>
        <v>1.022583762392437</v>
      </c>
      <c r="BM48" s="4504">
        <f t="shared" si="64"/>
        <v>1.022583762392437</v>
      </c>
      <c r="BN48" s="4504">
        <f t="shared" si="65"/>
        <v>1.022583762392437</v>
      </c>
      <c r="BO48" s="4504">
        <f t="shared" si="66"/>
        <v>1.022583762392437</v>
      </c>
      <c r="BP48" s="4504">
        <f t="shared" si="67"/>
        <v>1.022583762392437</v>
      </c>
      <c r="BQ48" s="4504">
        <f t="shared" si="68"/>
        <v>0</v>
      </c>
      <c r="BR48" s="4504">
        <f t="shared" si="69"/>
        <v>0</v>
      </c>
      <c r="BS48" s="4504">
        <f t="shared" si="70"/>
        <v>0</v>
      </c>
      <c r="BT48" s="4504">
        <f t="shared" si="71"/>
        <v>0</v>
      </c>
      <c r="BU48" s="4504">
        <f t="shared" si="72"/>
        <v>0</v>
      </c>
      <c r="BV48" s="4504">
        <f t="shared" si="73"/>
        <v>0</v>
      </c>
      <c r="BW48" s="4504">
        <f t="shared" si="74"/>
        <v>0</v>
      </c>
      <c r="BX48" s="4504">
        <f t="shared" si="75"/>
        <v>0</v>
      </c>
      <c r="BY48" s="4504">
        <f t="shared" si="76"/>
        <v>0</v>
      </c>
      <c r="BZ48" s="4504">
        <f t="shared" si="77"/>
        <v>1.022583762392437</v>
      </c>
      <c r="CA48" s="4504">
        <f t="shared" si="78"/>
        <v>1.022583762392437</v>
      </c>
      <c r="CB48" s="4504">
        <f t="shared" si="79"/>
        <v>1.022583762392437</v>
      </c>
      <c r="CC48" s="4504">
        <f t="shared" si="80"/>
        <v>1.022583762392437</v>
      </c>
      <c r="CD48" s="4504">
        <f t="shared" si="81"/>
        <v>1.022583762392437</v>
      </c>
      <c r="CE48" s="4504">
        <f t="shared" si="82"/>
        <v>0</v>
      </c>
      <c r="CF48" s="4504">
        <f t="shared" si="83"/>
        <v>1.022583762392437</v>
      </c>
      <c r="CG48" s="4504">
        <f t="shared" si="84"/>
        <v>0</v>
      </c>
      <c r="CH48" s="4504">
        <f t="shared" si="85"/>
        <v>0</v>
      </c>
      <c r="CI48" s="4504">
        <f t="shared" si="86"/>
        <v>0</v>
      </c>
      <c r="CJ48" s="4504">
        <f t="shared" si="87"/>
        <v>0</v>
      </c>
      <c r="CK48" s="4504">
        <f t="shared" si="88"/>
        <v>0</v>
      </c>
    </row>
    <row r="49" spans="1:89">
      <c r="A49" s="2759"/>
      <c r="B49" s="3620">
        <v>20504</v>
      </c>
      <c r="C49" s="3603">
        <v>0.1</v>
      </c>
      <c r="D49" s="2742" t="s">
        <v>557</v>
      </c>
      <c r="E49" s="2727">
        <f>'11.2. ДА за периода'!E49</f>
        <v>0</v>
      </c>
      <c r="F49" s="1228">
        <f>SUMIF('9.Инвестиционна програма'!$B$12:$B$35,$B49,'9.Инвестиционна програма'!H$12:H$35)*$E$6</f>
        <v>0</v>
      </c>
      <c r="G49" s="1224">
        <f>SUMIF('9.Инвестиционна програма'!$B$12:$B$35,$B49,'9.Инвестиционна програма'!I$12:I$35)*$E$6</f>
        <v>0</v>
      </c>
      <c r="H49" s="1224">
        <f>SUMIF('9.Инвестиционна програма'!$B$12:$B$35,$B49,'9.Инвестиционна програма'!J$12:J$35)*$E$6</f>
        <v>0</v>
      </c>
      <c r="I49" s="1224">
        <f>SUMIF('9.Инвестиционна програма'!$B$12:$B$35,$B49,'9.Инвестиционна програма'!K$12:K$35)*$E$6</f>
        <v>0</v>
      </c>
      <c r="J49" s="1224">
        <f>SUMIF('9.Инвестиционна програма'!$B$12:$B$35,$B49,'9.Инвестиционна програма'!L$12:L$35)*$E$6</f>
        <v>0</v>
      </c>
      <c r="K49" s="1229">
        <f>SUMIF('9.Инвестиционна програма'!$B$12:$B$35,$B49,'9.Инвестиционна програма'!M$12:M$35)*$E$6</f>
        <v>0</v>
      </c>
      <c r="L49" s="2727">
        <f>'11.2. ДА за периода'!L49</f>
        <v>0</v>
      </c>
      <c r="M49" s="1232">
        <f>SUMIF('9.Инвестиционна програма'!$B$37:$B$47,$B49,'9.Инвестиционна програма'!H$37:H$47)*$E$6</f>
        <v>0</v>
      </c>
      <c r="N49" s="1226">
        <f>SUMIF('9.Инвестиционна програма'!$B$37:$B$47,$B49,'9.Инвестиционна програма'!I$37:I$47)*$E$6</f>
        <v>0</v>
      </c>
      <c r="O49" s="1226">
        <f>SUMIF('9.Инвестиционна програма'!$B$37:$B$47,$B49,'9.Инвестиционна програма'!J$37:J$47)*$E$6</f>
        <v>0</v>
      </c>
      <c r="P49" s="1226">
        <f>SUMIF('9.Инвестиционна програма'!$B$37:$B$47,$B49,'9.Инвестиционна програма'!K$37:K$47)*$E$6</f>
        <v>0</v>
      </c>
      <c r="Q49" s="1226">
        <f>SUMIF('9.Инвестиционна програма'!$B$37:$B$47,$B49,'9.Инвестиционна програма'!L$37:L$47)*$E$6</f>
        <v>0</v>
      </c>
      <c r="R49" s="1227">
        <f>SUMIF('9.Инвестиционна програма'!$B$37:$B$47,$B49,'9.Инвестиционна програма'!M$37:M$47)*$E$6</f>
        <v>0</v>
      </c>
      <c r="S49" s="1113">
        <f>'11.2. ДА за периода'!S49</f>
        <v>0</v>
      </c>
      <c r="T49" s="906">
        <f>SUMIF('9.Инвестиционна програма'!$B$49:$B$56,$B49,'9.Инвестиционна програма'!H$49:H$56)*$E$6</f>
        <v>0</v>
      </c>
      <c r="U49" s="906">
        <f>SUMIF('9.Инвестиционна програма'!$B$49:$B$56,$B49,'9.Инвестиционна програма'!I$49:I$56)*$E$6</f>
        <v>0</v>
      </c>
      <c r="V49" s="906">
        <f>SUMIF('9.Инвестиционна програма'!$B$49:$B$56,$B49,'9.Инвестиционна програма'!J$49:J$56)*$E$6</f>
        <v>0</v>
      </c>
      <c r="W49" s="906">
        <f>SUMIF('9.Инвестиционна програма'!$B$49:$B$56,$B49,'9.Инвестиционна програма'!K$49:K$56)*$E$6</f>
        <v>0</v>
      </c>
      <c r="X49" s="906">
        <f>SUMIF('9.Инвестиционна програма'!$B$49:$B$56,$B49,'9.Инвестиционна програма'!L$49:L$56)*$E$6</f>
        <v>0</v>
      </c>
      <c r="Y49" s="2728">
        <f>SUMIF('9.Инвестиционна програма'!$B$49:$B$56,$B49,'9.Инвестиционна програма'!M$49:M$56)*$E$6</f>
        <v>0</v>
      </c>
      <c r="Z49" s="1113">
        <f>'11.2. ДА за периода'!Z49</f>
        <v>0</v>
      </c>
      <c r="AA49" s="906">
        <f>SUMIF('9.Инвестиционна програма'!$B$74:$B$97,$B49,'9.Инвестиционна програма'!H$74:H$97)*$E$6</f>
        <v>0</v>
      </c>
      <c r="AB49" s="906">
        <f>SUMIF('9.Инвестиционна програма'!$B$74:$B$97,$B49,'9.Инвестиционна програма'!I$74:I$97)*$E$6</f>
        <v>0</v>
      </c>
      <c r="AC49" s="906">
        <f>SUMIF('9.Инвестиционна програма'!$B$74:$B$97,$B49,'9.Инвестиционна програма'!J$74:J$97)*$E$6</f>
        <v>0</v>
      </c>
      <c r="AD49" s="906">
        <f>SUMIF('9.Инвестиционна програма'!$B$74:$B$97,$B49,'9.Инвестиционна програма'!K$74:K$97)*$E$6</f>
        <v>0</v>
      </c>
      <c r="AE49" s="906">
        <f>SUMIF('9.Инвестиционна програма'!$B$74:$B$97,$B49,'9.Инвестиционна програма'!L$74:L$97)*$E$6</f>
        <v>0</v>
      </c>
      <c r="AF49" s="906">
        <f>SUMIF('9.Инвестиционна програма'!$B$74:$B$97,$B49,'9.Инвестиционна програма'!M$74:M$97)*$E$6</f>
        <v>0</v>
      </c>
      <c r="AG49" s="1113">
        <f>'11.2. ДА за периода'!AG49</f>
        <v>0</v>
      </c>
      <c r="AH49" s="906">
        <f>SUMIF('9.Инвестиционна програма'!$B$100:$B$123,$B49,'9.Инвестиционна програма'!H$100:H$123)*$E$6</f>
        <v>0</v>
      </c>
      <c r="AI49" s="906">
        <f>SUMIF('9.Инвестиционна програма'!$B$100:$B$123,$B49,'9.Инвестиционна програма'!I$100:I$123)*$E$6</f>
        <v>0</v>
      </c>
      <c r="AJ49" s="906">
        <f>SUMIF('9.Инвестиционна програма'!$B$100:$B$123,$B49,'9.Инвестиционна програма'!J$100:J$123)*$E$6</f>
        <v>0</v>
      </c>
      <c r="AK49" s="906">
        <f>SUMIF('9.Инвестиционна програма'!$B$100:$B$123,$B49,'9.Инвестиционна програма'!K$100:K$123)*$E$6</f>
        <v>0</v>
      </c>
      <c r="AL49" s="906">
        <f>SUMIF('9.Инвестиционна програма'!$B$100:$B$123,$B49,'9.Инвестиционна програма'!L$100:L$123)*$E$6</f>
        <v>0</v>
      </c>
      <c r="AM49" s="906">
        <f>SUMIF('9.Инвестиционна програма'!$B$100:$B$123,$B49,'9.Инвестиционна програма'!M$100:M$123)*$E$6</f>
        <v>0</v>
      </c>
      <c r="AN49" s="1113">
        <f>'11.2. ДА за периода'!AN49</f>
        <v>0</v>
      </c>
      <c r="AO49" s="1232">
        <f>(SUMIF('9.Инвестиционна програма'!$B$58:$B$59,$B49,'9.Инвестиционна програма'!H$58:H$59)+SUMIF('9.Инвестиционна програма'!$B$61:$B$71,$B49,'9.Инвестиционна програма'!H$61:H$71))*$E$6</f>
        <v>0</v>
      </c>
      <c r="AP49" s="906">
        <f>(SUMIF('9.Инвестиционна програма'!$B$58:$B$59,$B49,'9.Инвестиционна програма'!I$58:I$59)+SUMIF('9.Инвестиционна програма'!$B$61:$B$71,$B49,'9.Инвестиционна програма'!I$61:I$71))*$E$6</f>
        <v>0</v>
      </c>
      <c r="AQ49" s="906">
        <f>(SUMIF('9.Инвестиционна програма'!$B$58:$B$59,$B49,'9.Инвестиционна програма'!J$58:J$59)+SUMIF('9.Инвестиционна програма'!$B$61:$B$71,$B49,'9.Инвестиционна програма'!J$61:J$71))*$E$6</f>
        <v>0</v>
      </c>
      <c r="AR49" s="906">
        <f>(SUMIF('9.Инвестиционна програма'!$B$58:$B$59,$B49,'9.Инвестиционна програма'!K$58:K$59)+SUMIF('9.Инвестиционна програма'!$B$61:$B$71,$B49,'9.Инвестиционна програма'!K$61:K$71))*$E$6</f>
        <v>0</v>
      </c>
      <c r="AS49" s="906">
        <f>(SUMIF('9.Инвестиционна програма'!$B$58:$B$59,$B49,'9.Инвестиционна програма'!L$58:L$59)+SUMIF('9.Инвестиционна програма'!$B$61:$B$71,$B49,'9.Инвестиционна програма'!L$61:L$71))*$E$6</f>
        <v>0</v>
      </c>
      <c r="AT49" s="2728">
        <f>(SUMIF('9.Инвестиционна програма'!$B$58:$B$59,$B49,'9.Инвестиционна програма'!M$58:M$59)+SUMIF('9.Инвестиционна програма'!$B$61:$B$71,$B49,'9.Инвестиционна програма'!M$61:M$71))*$E$6</f>
        <v>0</v>
      </c>
      <c r="AU49" s="4488"/>
      <c r="AV49" s="4504">
        <f t="shared" si="47"/>
        <v>0</v>
      </c>
      <c r="AW49" s="4504">
        <f t="shared" si="48"/>
        <v>0</v>
      </c>
      <c r="AX49" s="4504">
        <f t="shared" si="49"/>
        <v>0</v>
      </c>
      <c r="AY49" s="4504">
        <f t="shared" si="50"/>
        <v>0</v>
      </c>
      <c r="AZ49" s="4504">
        <f t="shared" si="51"/>
        <v>0</v>
      </c>
      <c r="BA49" s="4504">
        <f t="shared" si="52"/>
        <v>0</v>
      </c>
      <c r="BB49" s="4504">
        <f t="shared" si="53"/>
        <v>0</v>
      </c>
      <c r="BC49" s="4504">
        <f t="shared" si="54"/>
        <v>0</v>
      </c>
      <c r="BD49" s="4504">
        <f t="shared" si="55"/>
        <v>0</v>
      </c>
      <c r="BE49" s="4504">
        <f t="shared" si="56"/>
        <v>0</v>
      </c>
      <c r="BF49" s="4504">
        <f t="shared" si="57"/>
        <v>0</v>
      </c>
      <c r="BG49" s="4504">
        <f t="shared" si="58"/>
        <v>0</v>
      </c>
      <c r="BH49" s="4504">
        <f t="shared" si="59"/>
        <v>0</v>
      </c>
      <c r="BI49" s="4504">
        <f t="shared" si="60"/>
        <v>0</v>
      </c>
      <c r="BJ49" s="4504">
        <f t="shared" si="61"/>
        <v>0</v>
      </c>
      <c r="BK49" s="4504">
        <f t="shared" si="62"/>
        <v>0</v>
      </c>
      <c r="BL49" s="4504">
        <f t="shared" si="63"/>
        <v>0</v>
      </c>
      <c r="BM49" s="4504">
        <f t="shared" si="64"/>
        <v>0</v>
      </c>
      <c r="BN49" s="4504">
        <f t="shared" si="65"/>
        <v>0</v>
      </c>
      <c r="BO49" s="4504">
        <f t="shared" si="66"/>
        <v>0</v>
      </c>
      <c r="BP49" s="4504">
        <f t="shared" si="67"/>
        <v>0</v>
      </c>
      <c r="BQ49" s="4504">
        <f t="shared" si="68"/>
        <v>0</v>
      </c>
      <c r="BR49" s="4504">
        <f t="shared" si="69"/>
        <v>0</v>
      </c>
      <c r="BS49" s="4504">
        <f t="shared" si="70"/>
        <v>0</v>
      </c>
      <c r="BT49" s="4504">
        <f t="shared" si="71"/>
        <v>0</v>
      </c>
      <c r="BU49" s="4504">
        <f t="shared" si="72"/>
        <v>0</v>
      </c>
      <c r="BV49" s="4504">
        <f t="shared" si="73"/>
        <v>0</v>
      </c>
      <c r="BW49" s="4504">
        <f t="shared" si="74"/>
        <v>0</v>
      </c>
      <c r="BX49" s="4504">
        <f t="shared" si="75"/>
        <v>0</v>
      </c>
      <c r="BY49" s="4504">
        <f t="shared" si="76"/>
        <v>0</v>
      </c>
      <c r="BZ49" s="4504">
        <f t="shared" si="77"/>
        <v>0</v>
      </c>
      <c r="CA49" s="4504">
        <f t="shared" si="78"/>
        <v>0</v>
      </c>
      <c r="CB49" s="4504">
        <f t="shared" si="79"/>
        <v>0</v>
      </c>
      <c r="CC49" s="4504">
        <f t="shared" si="80"/>
        <v>0</v>
      </c>
      <c r="CD49" s="4504">
        <f t="shared" si="81"/>
        <v>0</v>
      </c>
      <c r="CE49" s="4504">
        <f t="shared" si="82"/>
        <v>0</v>
      </c>
      <c r="CF49" s="4504">
        <f t="shared" si="83"/>
        <v>0</v>
      </c>
      <c r="CG49" s="4504">
        <f t="shared" si="84"/>
        <v>0</v>
      </c>
      <c r="CH49" s="4504">
        <f t="shared" si="85"/>
        <v>0</v>
      </c>
      <c r="CI49" s="4504">
        <f t="shared" si="86"/>
        <v>0</v>
      </c>
      <c r="CJ49" s="4504">
        <f t="shared" si="87"/>
        <v>0</v>
      </c>
      <c r="CK49" s="4504">
        <f t="shared" si="88"/>
        <v>0</v>
      </c>
    </row>
    <row r="50" spans="1:89">
      <c r="A50" s="2734">
        <v>6</v>
      </c>
      <c r="B50" s="3621">
        <v>206</v>
      </c>
      <c r="C50" s="3604">
        <v>0.1</v>
      </c>
      <c r="D50" s="2750" t="s">
        <v>394</v>
      </c>
      <c r="E50" s="2753">
        <f>SUM(E51:E53)</f>
        <v>1.4268779796955062</v>
      </c>
      <c r="F50" s="2754">
        <f>SUM(F51:F53)</f>
        <v>0</v>
      </c>
      <c r="G50" s="2755">
        <f>SUM(G51:G53)</f>
        <v>0</v>
      </c>
      <c r="H50" s="2755">
        <f t="shared" ref="H50:AT50" si="105">SUM(H51:H53)</f>
        <v>0</v>
      </c>
      <c r="I50" s="2755">
        <f t="shared" si="105"/>
        <v>0</v>
      </c>
      <c r="J50" s="2755">
        <f t="shared" si="105"/>
        <v>0</v>
      </c>
      <c r="K50" s="2756">
        <f t="shared" si="105"/>
        <v>0</v>
      </c>
      <c r="L50" s="2753">
        <f>SUM(L51:L53)</f>
        <v>0.2487557234971644</v>
      </c>
      <c r="M50" s="2735">
        <f t="shared" si="105"/>
        <v>0</v>
      </c>
      <c r="N50" s="2736">
        <f t="shared" si="105"/>
        <v>0</v>
      </c>
      <c r="O50" s="2736">
        <f t="shared" si="105"/>
        <v>0</v>
      </c>
      <c r="P50" s="2736">
        <f t="shared" si="105"/>
        <v>0</v>
      </c>
      <c r="Q50" s="2736">
        <f t="shared" si="105"/>
        <v>0</v>
      </c>
      <c r="R50" s="2737">
        <f t="shared" si="105"/>
        <v>0</v>
      </c>
      <c r="S50" s="2757">
        <f t="shared" si="105"/>
        <v>0.30352738603061136</v>
      </c>
      <c r="T50" s="2738">
        <f t="shared" si="105"/>
        <v>0</v>
      </c>
      <c r="U50" s="2736">
        <f t="shared" si="105"/>
        <v>0</v>
      </c>
      <c r="V50" s="2736">
        <f t="shared" si="105"/>
        <v>0</v>
      </c>
      <c r="W50" s="2736">
        <f t="shared" si="105"/>
        <v>0</v>
      </c>
      <c r="X50" s="2736">
        <f t="shared" si="105"/>
        <v>0</v>
      </c>
      <c r="Y50" s="2737">
        <f t="shared" si="105"/>
        <v>0</v>
      </c>
      <c r="Z50" s="2757">
        <f t="shared" si="105"/>
        <v>0</v>
      </c>
      <c r="AA50" s="2738">
        <f t="shared" si="105"/>
        <v>0</v>
      </c>
      <c r="AB50" s="2736">
        <f t="shared" si="105"/>
        <v>0</v>
      </c>
      <c r="AC50" s="2736">
        <f t="shared" si="105"/>
        <v>0</v>
      </c>
      <c r="AD50" s="2736">
        <f t="shared" si="105"/>
        <v>0</v>
      </c>
      <c r="AE50" s="2736">
        <f t="shared" si="105"/>
        <v>0</v>
      </c>
      <c r="AF50" s="2737">
        <f t="shared" si="105"/>
        <v>0</v>
      </c>
      <c r="AG50" s="2757">
        <f t="shared" si="105"/>
        <v>1.4220048901226806E-2</v>
      </c>
      <c r="AH50" s="2738">
        <f t="shared" si="105"/>
        <v>0</v>
      </c>
      <c r="AI50" s="2736">
        <f t="shared" si="105"/>
        <v>0</v>
      </c>
      <c r="AJ50" s="2736">
        <f t="shared" si="105"/>
        <v>0</v>
      </c>
      <c r="AK50" s="2736">
        <f t="shared" si="105"/>
        <v>0</v>
      </c>
      <c r="AL50" s="2736">
        <f t="shared" si="105"/>
        <v>0</v>
      </c>
      <c r="AM50" s="2737">
        <f t="shared" si="105"/>
        <v>0</v>
      </c>
      <c r="AN50" s="2757">
        <f t="shared" si="105"/>
        <v>0</v>
      </c>
      <c r="AO50" s="2758">
        <f t="shared" si="105"/>
        <v>4</v>
      </c>
      <c r="AP50" s="2755">
        <f t="shared" si="105"/>
        <v>2</v>
      </c>
      <c r="AQ50" s="2755">
        <f t="shared" si="105"/>
        <v>2</v>
      </c>
      <c r="AR50" s="2755">
        <f t="shared" si="105"/>
        <v>2</v>
      </c>
      <c r="AS50" s="2755">
        <f t="shared" si="105"/>
        <v>2</v>
      </c>
      <c r="AT50" s="2756">
        <f t="shared" si="105"/>
        <v>2</v>
      </c>
      <c r="AU50" s="4488"/>
      <c r="AV50" s="4504">
        <f t="shared" si="47"/>
        <v>0.72955112647597509</v>
      </c>
      <c r="AW50" s="4504">
        <f t="shared" si="48"/>
        <v>0</v>
      </c>
      <c r="AX50" s="4504">
        <f t="shared" si="49"/>
        <v>0</v>
      </c>
      <c r="AY50" s="4504">
        <f t="shared" si="50"/>
        <v>0</v>
      </c>
      <c r="AZ50" s="4504">
        <f t="shared" si="51"/>
        <v>0</v>
      </c>
      <c r="BA50" s="4504">
        <f t="shared" si="52"/>
        <v>0</v>
      </c>
      <c r="BB50" s="4504">
        <f t="shared" si="53"/>
        <v>0</v>
      </c>
      <c r="BC50" s="4504">
        <f t="shared" si="54"/>
        <v>0.12718678182519155</v>
      </c>
      <c r="BD50" s="4504">
        <f t="shared" si="55"/>
        <v>0</v>
      </c>
      <c r="BE50" s="4504">
        <f t="shared" si="56"/>
        <v>0</v>
      </c>
      <c r="BF50" s="4504">
        <f t="shared" si="57"/>
        <v>0</v>
      </c>
      <c r="BG50" s="4504">
        <f t="shared" si="58"/>
        <v>0</v>
      </c>
      <c r="BH50" s="4504">
        <f t="shared" si="59"/>
        <v>0</v>
      </c>
      <c r="BI50" s="4504">
        <f t="shared" si="60"/>
        <v>0</v>
      </c>
      <c r="BJ50" s="4504">
        <f t="shared" si="61"/>
        <v>0.1551910881981621</v>
      </c>
      <c r="BK50" s="4504">
        <f t="shared" si="62"/>
        <v>0</v>
      </c>
      <c r="BL50" s="4504">
        <f t="shared" si="63"/>
        <v>0</v>
      </c>
      <c r="BM50" s="4504">
        <f t="shared" si="64"/>
        <v>0</v>
      </c>
      <c r="BN50" s="4504">
        <f t="shared" si="65"/>
        <v>0</v>
      </c>
      <c r="BO50" s="4504">
        <f t="shared" si="66"/>
        <v>0</v>
      </c>
      <c r="BP50" s="4504">
        <f t="shared" si="67"/>
        <v>0</v>
      </c>
      <c r="BQ50" s="4504">
        <f t="shared" si="68"/>
        <v>0</v>
      </c>
      <c r="BR50" s="4504">
        <f t="shared" si="69"/>
        <v>0</v>
      </c>
      <c r="BS50" s="4504">
        <f t="shared" si="70"/>
        <v>0</v>
      </c>
      <c r="BT50" s="4504">
        <f t="shared" si="71"/>
        <v>0</v>
      </c>
      <c r="BU50" s="4504">
        <f t="shared" si="72"/>
        <v>0</v>
      </c>
      <c r="BV50" s="4504">
        <f t="shared" si="73"/>
        <v>0</v>
      </c>
      <c r="BW50" s="4504">
        <f t="shared" si="74"/>
        <v>0</v>
      </c>
      <c r="BX50" s="4504">
        <f t="shared" si="75"/>
        <v>7.2705955534104732E-3</v>
      </c>
      <c r="BY50" s="4504">
        <f t="shared" si="76"/>
        <v>0</v>
      </c>
      <c r="BZ50" s="4504">
        <f t="shared" si="77"/>
        <v>0</v>
      </c>
      <c r="CA50" s="4504">
        <f t="shared" si="78"/>
        <v>0</v>
      </c>
      <c r="CB50" s="4504">
        <f t="shared" si="79"/>
        <v>0</v>
      </c>
      <c r="CC50" s="4504">
        <f t="shared" si="80"/>
        <v>0</v>
      </c>
      <c r="CD50" s="4504">
        <f t="shared" si="81"/>
        <v>0</v>
      </c>
      <c r="CE50" s="4504">
        <f t="shared" si="82"/>
        <v>0</v>
      </c>
      <c r="CF50" s="4504">
        <f t="shared" si="83"/>
        <v>2.045167524784874</v>
      </c>
      <c r="CG50" s="4504">
        <f t="shared" si="84"/>
        <v>1.022583762392437</v>
      </c>
      <c r="CH50" s="4504">
        <f t="shared" si="85"/>
        <v>1.022583762392437</v>
      </c>
      <c r="CI50" s="4504">
        <f t="shared" si="86"/>
        <v>1.022583762392437</v>
      </c>
      <c r="CJ50" s="4504">
        <f t="shared" si="87"/>
        <v>1.022583762392437</v>
      </c>
      <c r="CK50" s="4504">
        <f t="shared" si="88"/>
        <v>1.022583762392437</v>
      </c>
    </row>
    <row r="51" spans="1:89">
      <c r="A51" s="2734"/>
      <c r="B51" s="3620">
        <v>20601</v>
      </c>
      <c r="C51" s="3603">
        <v>0.1</v>
      </c>
      <c r="D51" s="2742" t="s">
        <v>564</v>
      </c>
      <c r="E51" s="2727">
        <f>'11.2. ДА за периода'!E51</f>
        <v>1.4268779796955062</v>
      </c>
      <c r="F51" s="1228">
        <f>SUMIF('9.Инвестиционна програма'!$B$12:$B$35,$B51,'9.Инвестиционна програма'!H$12:H$35)*$E$6</f>
        <v>0</v>
      </c>
      <c r="G51" s="1224">
        <f>SUMIF('9.Инвестиционна програма'!$B$12:$B$35,$B51,'9.Инвестиционна програма'!I$12:I$35)*$E$6</f>
        <v>0</v>
      </c>
      <c r="H51" s="1224">
        <f>SUMIF('9.Инвестиционна програма'!$B$12:$B$35,$B51,'9.Инвестиционна програма'!J$12:J$35)*$E$6</f>
        <v>0</v>
      </c>
      <c r="I51" s="1224">
        <f>SUMIF('9.Инвестиционна програма'!$B$12:$B$35,$B51,'9.Инвестиционна програма'!K$12:K$35)*$E$6</f>
        <v>0</v>
      </c>
      <c r="J51" s="1224">
        <f>SUMIF('9.Инвестиционна програма'!$B$12:$B$35,$B51,'9.Инвестиционна програма'!L$12:L$35)*$E$6</f>
        <v>0</v>
      </c>
      <c r="K51" s="1229">
        <f>SUMIF('9.Инвестиционна програма'!$B$12:$B$35,$B51,'9.Инвестиционна програма'!M$12:M$35)*$E$6</f>
        <v>0</v>
      </c>
      <c r="L51" s="2727">
        <f>'11.2. ДА за периода'!L51</f>
        <v>0.2487557234971644</v>
      </c>
      <c r="M51" s="1232">
        <f>SUMIF('9.Инвестиционна програма'!$B$37:$B$47,$B51,'9.Инвестиционна програма'!H$37:H$47)*$E$6</f>
        <v>0</v>
      </c>
      <c r="N51" s="1226">
        <f>SUMIF('9.Инвестиционна програма'!$B$37:$B$47,$B51,'9.Инвестиционна програма'!I$37:I$47)*$E$6</f>
        <v>0</v>
      </c>
      <c r="O51" s="1226">
        <f>SUMIF('9.Инвестиционна програма'!$B$37:$B$47,$B51,'9.Инвестиционна програма'!J$37:J$47)*$E$6</f>
        <v>0</v>
      </c>
      <c r="P51" s="1226">
        <f>SUMIF('9.Инвестиционна програма'!$B$37:$B$47,$B51,'9.Инвестиционна програма'!K$37:K$47)*$E$6</f>
        <v>0</v>
      </c>
      <c r="Q51" s="1226">
        <f>SUMIF('9.Инвестиционна програма'!$B$37:$B$47,$B51,'9.Инвестиционна програма'!L$37:L$47)*$E$6</f>
        <v>0</v>
      </c>
      <c r="R51" s="1227">
        <f>SUMIF('9.Инвестиционна програма'!$B$37:$B$47,$B51,'9.Инвестиционна програма'!M$37:M$47)*$E$6</f>
        <v>0</v>
      </c>
      <c r="S51" s="1113">
        <f>'11.2. ДА за периода'!S51</f>
        <v>0.30352738603061136</v>
      </c>
      <c r="T51" s="906">
        <f>SUMIF('9.Инвестиционна програма'!$B$49:$B$56,$B51,'9.Инвестиционна програма'!H$49:H$56)*$E$6</f>
        <v>0</v>
      </c>
      <c r="U51" s="906">
        <f>SUMIF('9.Инвестиционна програма'!$B$49:$B$56,$B51,'9.Инвестиционна програма'!I$49:I$56)*$E$6</f>
        <v>0</v>
      </c>
      <c r="V51" s="906">
        <f>SUMIF('9.Инвестиционна програма'!$B$49:$B$56,$B51,'9.Инвестиционна програма'!J$49:J$56)*$E$6</f>
        <v>0</v>
      </c>
      <c r="W51" s="906">
        <f>SUMIF('9.Инвестиционна програма'!$B$49:$B$56,$B51,'9.Инвестиционна програма'!K$49:K$56)*$E$6</f>
        <v>0</v>
      </c>
      <c r="X51" s="906">
        <f>SUMIF('9.Инвестиционна програма'!$B$49:$B$56,$B51,'9.Инвестиционна програма'!L$49:L$56)*$E$6</f>
        <v>0</v>
      </c>
      <c r="Y51" s="2728">
        <f>SUMIF('9.Инвестиционна програма'!$B$49:$B$56,$B51,'9.Инвестиционна програма'!M$49:M$56)*$E$6</f>
        <v>0</v>
      </c>
      <c r="Z51" s="1113">
        <f>'11.2. ДА за периода'!Z51</f>
        <v>0</v>
      </c>
      <c r="AA51" s="906">
        <f>SUMIF('9.Инвестиционна програма'!$B$74:$B$97,$B51,'9.Инвестиционна програма'!H$74:H$97)*$E$6</f>
        <v>0</v>
      </c>
      <c r="AB51" s="906">
        <f>SUMIF('9.Инвестиционна програма'!$B$74:$B$97,$B51,'9.Инвестиционна програма'!I$74:I$97)*$E$6</f>
        <v>0</v>
      </c>
      <c r="AC51" s="906">
        <f>SUMIF('9.Инвестиционна програма'!$B$74:$B$97,$B51,'9.Инвестиционна програма'!J$74:J$97)*$E$6</f>
        <v>0</v>
      </c>
      <c r="AD51" s="906">
        <f>SUMIF('9.Инвестиционна програма'!$B$74:$B$97,$B51,'9.Инвестиционна програма'!K$74:K$97)*$E$6</f>
        <v>0</v>
      </c>
      <c r="AE51" s="906">
        <f>SUMIF('9.Инвестиционна програма'!$B$74:$B$97,$B51,'9.Инвестиционна програма'!L$74:L$97)*$E$6</f>
        <v>0</v>
      </c>
      <c r="AF51" s="906">
        <f>SUMIF('9.Инвестиционна програма'!$B$74:$B$97,$B51,'9.Инвестиционна програма'!M$74:M$97)*$E$6</f>
        <v>0</v>
      </c>
      <c r="AG51" s="1113">
        <f>'11.2. ДА за периода'!AG51</f>
        <v>1.4220048901226806E-2</v>
      </c>
      <c r="AH51" s="906">
        <f>SUMIF('9.Инвестиционна програма'!$B$100:$B$123,$B51,'9.Инвестиционна програма'!H$100:H$123)*$E$6</f>
        <v>0</v>
      </c>
      <c r="AI51" s="906">
        <f>SUMIF('9.Инвестиционна програма'!$B$100:$B$123,$B51,'9.Инвестиционна програма'!I$100:I$123)*$E$6</f>
        <v>0</v>
      </c>
      <c r="AJ51" s="906">
        <f>SUMIF('9.Инвестиционна програма'!$B$100:$B$123,$B51,'9.Инвестиционна програма'!J$100:J$123)*$E$6</f>
        <v>0</v>
      </c>
      <c r="AK51" s="906">
        <f>SUMIF('9.Инвестиционна програма'!$B$100:$B$123,$B51,'9.Инвестиционна програма'!K$100:K$123)*$E$6</f>
        <v>0</v>
      </c>
      <c r="AL51" s="906">
        <f>SUMIF('9.Инвестиционна програма'!$B$100:$B$123,$B51,'9.Инвестиционна програма'!L$100:L$123)*$E$6</f>
        <v>0</v>
      </c>
      <c r="AM51" s="906">
        <f>SUMIF('9.Инвестиционна програма'!$B$100:$B$123,$B51,'9.Инвестиционна програма'!M$100:M$123)*$E$6</f>
        <v>0</v>
      </c>
      <c r="AN51" s="1113">
        <f>'11.2. ДА за периода'!AN51</f>
        <v>0</v>
      </c>
      <c r="AO51" s="1232">
        <f>(SUMIF('9.Инвестиционна програма'!$B$58:$B$59,$B51,'9.Инвестиционна програма'!H$58:H$59)+SUMIF('9.Инвестиционна програма'!$B$61:$B$71,$B51,'9.Инвестиционна програма'!H$61:H$71))*$E$6</f>
        <v>4</v>
      </c>
      <c r="AP51" s="906">
        <f>(SUMIF('9.Инвестиционна програма'!$B$58:$B$59,$B51,'9.Инвестиционна програма'!I$58:I$59)+SUMIF('9.Инвестиционна програма'!$B$61:$B$71,$B51,'9.Инвестиционна програма'!I$61:I$71))*$E$6</f>
        <v>2</v>
      </c>
      <c r="AQ51" s="906">
        <f>(SUMIF('9.Инвестиционна програма'!$B$58:$B$59,$B51,'9.Инвестиционна програма'!J$58:J$59)+SUMIF('9.Инвестиционна програма'!$B$61:$B$71,$B51,'9.Инвестиционна програма'!J$61:J$71))*$E$6</f>
        <v>2</v>
      </c>
      <c r="AR51" s="906">
        <f>(SUMIF('9.Инвестиционна програма'!$B$58:$B$59,$B51,'9.Инвестиционна програма'!K$58:K$59)+SUMIF('9.Инвестиционна програма'!$B$61:$B$71,$B51,'9.Инвестиционна програма'!K$61:K$71))*$E$6</f>
        <v>2</v>
      </c>
      <c r="AS51" s="906">
        <f>(SUMIF('9.Инвестиционна програма'!$B$58:$B$59,$B51,'9.Инвестиционна програма'!L$58:L$59)+SUMIF('9.Инвестиционна програма'!$B$61:$B$71,$B51,'9.Инвестиционна програма'!L$61:L$71))*$E$6</f>
        <v>2</v>
      </c>
      <c r="AT51" s="2728">
        <f>(SUMIF('9.Инвестиционна програма'!$B$58:$B$59,$B51,'9.Инвестиционна програма'!M$58:M$59)+SUMIF('9.Инвестиционна програма'!$B$61:$B$71,$B51,'9.Инвестиционна програма'!M$61:M$71))*$E$6</f>
        <v>2</v>
      </c>
      <c r="AU51" s="4488"/>
      <c r="AV51" s="4504">
        <f t="shared" si="47"/>
        <v>0.72955112647597509</v>
      </c>
      <c r="AW51" s="4504">
        <f t="shared" si="48"/>
        <v>0</v>
      </c>
      <c r="AX51" s="4504">
        <f t="shared" si="49"/>
        <v>0</v>
      </c>
      <c r="AY51" s="4504">
        <f t="shared" si="50"/>
        <v>0</v>
      </c>
      <c r="AZ51" s="4504">
        <f t="shared" si="51"/>
        <v>0</v>
      </c>
      <c r="BA51" s="4504">
        <f t="shared" si="52"/>
        <v>0</v>
      </c>
      <c r="BB51" s="4504">
        <f t="shared" si="53"/>
        <v>0</v>
      </c>
      <c r="BC51" s="4504">
        <f t="shared" si="54"/>
        <v>0.12718678182519155</v>
      </c>
      <c r="BD51" s="4504">
        <f t="shared" si="55"/>
        <v>0</v>
      </c>
      <c r="BE51" s="4504">
        <f t="shared" si="56"/>
        <v>0</v>
      </c>
      <c r="BF51" s="4504">
        <f t="shared" si="57"/>
        <v>0</v>
      </c>
      <c r="BG51" s="4504">
        <f t="shared" si="58"/>
        <v>0</v>
      </c>
      <c r="BH51" s="4504">
        <f t="shared" si="59"/>
        <v>0</v>
      </c>
      <c r="BI51" s="4504">
        <f t="shared" si="60"/>
        <v>0</v>
      </c>
      <c r="BJ51" s="4504">
        <f t="shared" si="61"/>
        <v>0.1551910881981621</v>
      </c>
      <c r="BK51" s="4504">
        <f t="shared" si="62"/>
        <v>0</v>
      </c>
      <c r="BL51" s="4504">
        <f t="shared" si="63"/>
        <v>0</v>
      </c>
      <c r="BM51" s="4504">
        <f t="shared" si="64"/>
        <v>0</v>
      </c>
      <c r="BN51" s="4504">
        <f t="shared" si="65"/>
        <v>0</v>
      </c>
      <c r="BO51" s="4504">
        <f t="shared" si="66"/>
        <v>0</v>
      </c>
      <c r="BP51" s="4504">
        <f t="shared" si="67"/>
        <v>0</v>
      </c>
      <c r="BQ51" s="4504">
        <f t="shared" si="68"/>
        <v>0</v>
      </c>
      <c r="BR51" s="4504">
        <f t="shared" si="69"/>
        <v>0</v>
      </c>
      <c r="BS51" s="4504">
        <f t="shared" si="70"/>
        <v>0</v>
      </c>
      <c r="BT51" s="4504">
        <f t="shared" si="71"/>
        <v>0</v>
      </c>
      <c r="BU51" s="4504">
        <f t="shared" si="72"/>
        <v>0</v>
      </c>
      <c r="BV51" s="4504">
        <f t="shared" si="73"/>
        <v>0</v>
      </c>
      <c r="BW51" s="4504">
        <f t="shared" si="74"/>
        <v>0</v>
      </c>
      <c r="BX51" s="4504">
        <f t="shared" si="75"/>
        <v>7.2705955534104732E-3</v>
      </c>
      <c r="BY51" s="4504">
        <f t="shared" si="76"/>
        <v>0</v>
      </c>
      <c r="BZ51" s="4504">
        <f t="shared" si="77"/>
        <v>0</v>
      </c>
      <c r="CA51" s="4504">
        <f t="shared" si="78"/>
        <v>0</v>
      </c>
      <c r="CB51" s="4504">
        <f t="shared" si="79"/>
        <v>0</v>
      </c>
      <c r="CC51" s="4504">
        <f t="shared" si="80"/>
        <v>0</v>
      </c>
      <c r="CD51" s="4504">
        <f t="shared" si="81"/>
        <v>0</v>
      </c>
      <c r="CE51" s="4504">
        <f t="shared" si="82"/>
        <v>0</v>
      </c>
      <c r="CF51" s="4504">
        <f t="shared" si="83"/>
        <v>2.045167524784874</v>
      </c>
      <c r="CG51" s="4504">
        <f t="shared" si="84"/>
        <v>1.022583762392437</v>
      </c>
      <c r="CH51" s="4504">
        <f t="shared" si="85"/>
        <v>1.022583762392437</v>
      </c>
      <c r="CI51" s="4504">
        <f t="shared" si="86"/>
        <v>1.022583762392437</v>
      </c>
      <c r="CJ51" s="4504">
        <f t="shared" si="87"/>
        <v>1.022583762392437</v>
      </c>
      <c r="CK51" s="4504">
        <f t="shared" si="88"/>
        <v>1.022583762392437</v>
      </c>
    </row>
    <row r="52" spans="1:89">
      <c r="A52" s="2734"/>
      <c r="B52" s="3620">
        <v>20602</v>
      </c>
      <c r="C52" s="3603">
        <v>0.1</v>
      </c>
      <c r="D52" s="2742" t="s">
        <v>435</v>
      </c>
      <c r="E52" s="2727">
        <f>'11.2. ДА за периода'!E52</f>
        <v>0</v>
      </c>
      <c r="F52" s="1228">
        <f>SUMIF('9.Инвестиционна програма'!$B$12:$B$35,$B52,'9.Инвестиционна програма'!H$12:H$35)*$E$6</f>
        <v>0</v>
      </c>
      <c r="G52" s="1224">
        <f>SUMIF('9.Инвестиционна програма'!$B$12:$B$35,$B52,'9.Инвестиционна програма'!I$12:I$35)*$E$6</f>
        <v>0</v>
      </c>
      <c r="H52" s="1224">
        <f>SUMIF('9.Инвестиционна програма'!$B$12:$B$35,$B52,'9.Инвестиционна програма'!J$12:J$35)*$E$6</f>
        <v>0</v>
      </c>
      <c r="I52" s="1224">
        <f>SUMIF('9.Инвестиционна програма'!$B$12:$B$35,$B52,'9.Инвестиционна програма'!K$12:K$35)*$E$6</f>
        <v>0</v>
      </c>
      <c r="J52" s="1224">
        <f>SUMIF('9.Инвестиционна програма'!$B$12:$B$35,$B52,'9.Инвестиционна програма'!L$12:L$35)*$E$6</f>
        <v>0</v>
      </c>
      <c r="K52" s="1229">
        <f>SUMIF('9.Инвестиционна програма'!$B$12:$B$35,$B52,'9.Инвестиционна програма'!M$12:M$35)*$E$6</f>
        <v>0</v>
      </c>
      <c r="L52" s="2727">
        <f>'11.2. ДА за периода'!L52</f>
        <v>0</v>
      </c>
      <c r="M52" s="1232">
        <f>SUMIF('9.Инвестиционна програма'!$B$37:$B$47,$B52,'9.Инвестиционна програма'!H$37:H$47)*$E$6</f>
        <v>0</v>
      </c>
      <c r="N52" s="1226">
        <f>SUMIF('9.Инвестиционна програма'!$B$37:$B$47,$B52,'9.Инвестиционна програма'!I$37:I$47)*$E$6</f>
        <v>0</v>
      </c>
      <c r="O52" s="1226">
        <f>SUMIF('9.Инвестиционна програма'!$B$37:$B$47,$B52,'9.Инвестиционна програма'!J$37:J$47)*$E$6</f>
        <v>0</v>
      </c>
      <c r="P52" s="1226">
        <f>SUMIF('9.Инвестиционна програма'!$B$37:$B$47,$B52,'9.Инвестиционна програма'!K$37:K$47)*$E$6</f>
        <v>0</v>
      </c>
      <c r="Q52" s="1226">
        <f>SUMIF('9.Инвестиционна програма'!$B$37:$B$47,$B52,'9.Инвестиционна програма'!L$37:L$47)*$E$6</f>
        <v>0</v>
      </c>
      <c r="R52" s="1227">
        <f>SUMIF('9.Инвестиционна програма'!$B$37:$B$47,$B52,'9.Инвестиционна програма'!M$37:M$47)*$E$6</f>
        <v>0</v>
      </c>
      <c r="S52" s="1113">
        <f>'11.2. ДА за периода'!S52</f>
        <v>0</v>
      </c>
      <c r="T52" s="906">
        <f>SUMIF('9.Инвестиционна програма'!$B$49:$B$56,$B52,'9.Инвестиционна програма'!H$49:H$56)*$E$6</f>
        <v>0</v>
      </c>
      <c r="U52" s="906">
        <f>SUMIF('9.Инвестиционна програма'!$B$49:$B$56,$B52,'9.Инвестиционна програма'!I$49:I$56)*$E$6</f>
        <v>0</v>
      </c>
      <c r="V52" s="906">
        <f>SUMIF('9.Инвестиционна програма'!$B$49:$B$56,$B52,'9.Инвестиционна програма'!J$49:J$56)*$E$6</f>
        <v>0</v>
      </c>
      <c r="W52" s="906">
        <f>SUMIF('9.Инвестиционна програма'!$B$49:$B$56,$B52,'9.Инвестиционна програма'!K$49:K$56)*$E$6</f>
        <v>0</v>
      </c>
      <c r="X52" s="906">
        <f>SUMIF('9.Инвестиционна програма'!$B$49:$B$56,$B52,'9.Инвестиционна програма'!L$49:L$56)*$E$6</f>
        <v>0</v>
      </c>
      <c r="Y52" s="2728">
        <f>SUMIF('9.Инвестиционна програма'!$B$49:$B$56,$B52,'9.Инвестиционна програма'!M$49:M$56)*$E$6</f>
        <v>0</v>
      </c>
      <c r="Z52" s="1113">
        <f>'11.2. ДА за периода'!Z52</f>
        <v>0</v>
      </c>
      <c r="AA52" s="906">
        <f>SUMIF('9.Инвестиционна програма'!$B$74:$B$97,$B52,'9.Инвестиционна програма'!H$74:H$97)*$E$6</f>
        <v>0</v>
      </c>
      <c r="AB52" s="906">
        <f>SUMIF('9.Инвестиционна програма'!$B$74:$B$97,$B52,'9.Инвестиционна програма'!I$74:I$97)*$E$6</f>
        <v>0</v>
      </c>
      <c r="AC52" s="906">
        <f>SUMIF('9.Инвестиционна програма'!$B$74:$B$97,$B52,'9.Инвестиционна програма'!J$74:J$97)*$E$6</f>
        <v>0</v>
      </c>
      <c r="AD52" s="906">
        <f>SUMIF('9.Инвестиционна програма'!$B$74:$B$97,$B52,'9.Инвестиционна програма'!K$74:K$97)*$E$6</f>
        <v>0</v>
      </c>
      <c r="AE52" s="906">
        <f>SUMIF('9.Инвестиционна програма'!$B$74:$B$97,$B52,'9.Инвестиционна програма'!L$74:L$97)*$E$6</f>
        <v>0</v>
      </c>
      <c r="AF52" s="906">
        <f>SUMIF('9.Инвестиционна програма'!$B$74:$B$97,$B52,'9.Инвестиционна програма'!M$74:M$97)*$E$6</f>
        <v>0</v>
      </c>
      <c r="AG52" s="1113">
        <f>'11.2. ДА за периода'!AG52</f>
        <v>0</v>
      </c>
      <c r="AH52" s="906">
        <f>SUMIF('9.Инвестиционна програма'!$B$100:$B$123,$B52,'9.Инвестиционна програма'!H$100:H$123)*$E$6</f>
        <v>0</v>
      </c>
      <c r="AI52" s="906">
        <f>SUMIF('9.Инвестиционна програма'!$B$100:$B$123,$B52,'9.Инвестиционна програма'!I$100:I$123)*$E$6</f>
        <v>0</v>
      </c>
      <c r="AJ52" s="906">
        <f>SUMIF('9.Инвестиционна програма'!$B$100:$B$123,$B52,'9.Инвестиционна програма'!J$100:J$123)*$E$6</f>
        <v>0</v>
      </c>
      <c r="AK52" s="906">
        <f>SUMIF('9.Инвестиционна програма'!$B$100:$B$123,$B52,'9.Инвестиционна програма'!K$100:K$123)*$E$6</f>
        <v>0</v>
      </c>
      <c r="AL52" s="906">
        <f>SUMIF('9.Инвестиционна програма'!$B$100:$B$123,$B52,'9.Инвестиционна програма'!L$100:L$123)*$E$6</f>
        <v>0</v>
      </c>
      <c r="AM52" s="906">
        <f>SUMIF('9.Инвестиционна програма'!$B$100:$B$123,$B52,'9.Инвестиционна програма'!M$100:M$123)*$E$6</f>
        <v>0</v>
      </c>
      <c r="AN52" s="1113">
        <f>'11.2. ДА за периода'!AN52</f>
        <v>0</v>
      </c>
      <c r="AO52" s="1232">
        <f>(SUMIF('9.Инвестиционна програма'!$B$58:$B$59,$B52,'9.Инвестиционна програма'!H$58:H$59)+SUMIF('9.Инвестиционна програма'!$B$61:$B$71,$B52,'9.Инвестиционна програма'!H$61:H$71))*$E$6</f>
        <v>0</v>
      </c>
      <c r="AP52" s="906">
        <f>(SUMIF('9.Инвестиционна програма'!$B$58:$B$59,$B52,'9.Инвестиционна програма'!I$58:I$59)+SUMIF('9.Инвестиционна програма'!$B$61:$B$71,$B52,'9.Инвестиционна програма'!I$61:I$71))*$E$6</f>
        <v>0</v>
      </c>
      <c r="AQ52" s="906">
        <f>(SUMIF('9.Инвестиционна програма'!$B$58:$B$59,$B52,'9.Инвестиционна програма'!J$58:J$59)+SUMIF('9.Инвестиционна програма'!$B$61:$B$71,$B52,'9.Инвестиционна програма'!J$61:J$71))*$E$6</f>
        <v>0</v>
      </c>
      <c r="AR52" s="906">
        <f>(SUMIF('9.Инвестиционна програма'!$B$58:$B$59,$B52,'9.Инвестиционна програма'!K$58:K$59)+SUMIF('9.Инвестиционна програма'!$B$61:$B$71,$B52,'9.Инвестиционна програма'!K$61:K$71))*$E$6</f>
        <v>0</v>
      </c>
      <c r="AS52" s="906">
        <f>(SUMIF('9.Инвестиционна програма'!$B$58:$B$59,$B52,'9.Инвестиционна програма'!L$58:L$59)+SUMIF('9.Инвестиционна програма'!$B$61:$B$71,$B52,'9.Инвестиционна програма'!L$61:L$71))*$E$6</f>
        <v>0</v>
      </c>
      <c r="AT52" s="2728">
        <f>(SUMIF('9.Инвестиционна програма'!$B$58:$B$59,$B52,'9.Инвестиционна програма'!M$58:M$59)+SUMIF('9.Инвестиционна програма'!$B$61:$B$71,$B52,'9.Инвестиционна програма'!M$61:M$71))*$E$6</f>
        <v>0</v>
      </c>
      <c r="AU52" s="4488"/>
      <c r="AV52" s="4504">
        <f t="shared" si="47"/>
        <v>0</v>
      </c>
      <c r="AW52" s="4504">
        <f t="shared" si="48"/>
        <v>0</v>
      </c>
      <c r="AX52" s="4504">
        <f t="shared" si="49"/>
        <v>0</v>
      </c>
      <c r="AY52" s="4504">
        <f t="shared" si="50"/>
        <v>0</v>
      </c>
      <c r="AZ52" s="4504">
        <f t="shared" si="51"/>
        <v>0</v>
      </c>
      <c r="BA52" s="4504">
        <f t="shared" si="52"/>
        <v>0</v>
      </c>
      <c r="BB52" s="4504">
        <f t="shared" si="53"/>
        <v>0</v>
      </c>
      <c r="BC52" s="4504">
        <f t="shared" si="54"/>
        <v>0</v>
      </c>
      <c r="BD52" s="4504">
        <f t="shared" si="55"/>
        <v>0</v>
      </c>
      <c r="BE52" s="4504">
        <f t="shared" si="56"/>
        <v>0</v>
      </c>
      <c r="BF52" s="4504">
        <f t="shared" si="57"/>
        <v>0</v>
      </c>
      <c r="BG52" s="4504">
        <f t="shared" si="58"/>
        <v>0</v>
      </c>
      <c r="BH52" s="4504">
        <f t="shared" si="59"/>
        <v>0</v>
      </c>
      <c r="BI52" s="4504">
        <f t="shared" si="60"/>
        <v>0</v>
      </c>
      <c r="BJ52" s="4504">
        <f t="shared" si="61"/>
        <v>0</v>
      </c>
      <c r="BK52" s="4504">
        <f t="shared" si="62"/>
        <v>0</v>
      </c>
      <c r="BL52" s="4504">
        <f t="shared" si="63"/>
        <v>0</v>
      </c>
      <c r="BM52" s="4504">
        <f t="shared" si="64"/>
        <v>0</v>
      </c>
      <c r="BN52" s="4504">
        <f t="shared" si="65"/>
        <v>0</v>
      </c>
      <c r="BO52" s="4504">
        <f t="shared" si="66"/>
        <v>0</v>
      </c>
      <c r="BP52" s="4504">
        <f t="shared" si="67"/>
        <v>0</v>
      </c>
      <c r="BQ52" s="4504">
        <f t="shared" si="68"/>
        <v>0</v>
      </c>
      <c r="BR52" s="4504">
        <f t="shared" si="69"/>
        <v>0</v>
      </c>
      <c r="BS52" s="4504">
        <f t="shared" si="70"/>
        <v>0</v>
      </c>
      <c r="BT52" s="4504">
        <f t="shared" si="71"/>
        <v>0</v>
      </c>
      <c r="BU52" s="4504">
        <f t="shared" si="72"/>
        <v>0</v>
      </c>
      <c r="BV52" s="4504">
        <f t="shared" si="73"/>
        <v>0</v>
      </c>
      <c r="BW52" s="4504">
        <f t="shared" si="74"/>
        <v>0</v>
      </c>
      <c r="BX52" s="4504">
        <f t="shared" si="75"/>
        <v>0</v>
      </c>
      <c r="BY52" s="4504">
        <f t="shared" si="76"/>
        <v>0</v>
      </c>
      <c r="BZ52" s="4504">
        <f t="shared" si="77"/>
        <v>0</v>
      </c>
      <c r="CA52" s="4504">
        <f t="shared" si="78"/>
        <v>0</v>
      </c>
      <c r="CB52" s="4504">
        <f t="shared" si="79"/>
        <v>0</v>
      </c>
      <c r="CC52" s="4504">
        <f t="shared" si="80"/>
        <v>0</v>
      </c>
      <c r="CD52" s="4504">
        <f t="shared" si="81"/>
        <v>0</v>
      </c>
      <c r="CE52" s="4504">
        <f t="shared" si="82"/>
        <v>0</v>
      </c>
      <c r="CF52" s="4504">
        <f t="shared" si="83"/>
        <v>0</v>
      </c>
      <c r="CG52" s="4504">
        <f t="shared" si="84"/>
        <v>0</v>
      </c>
      <c r="CH52" s="4504">
        <f t="shared" si="85"/>
        <v>0</v>
      </c>
      <c r="CI52" s="4504">
        <f t="shared" si="86"/>
        <v>0</v>
      </c>
      <c r="CJ52" s="4504">
        <f t="shared" si="87"/>
        <v>0</v>
      </c>
      <c r="CK52" s="4504">
        <f t="shared" si="88"/>
        <v>0</v>
      </c>
    </row>
    <row r="53" spans="1:89">
      <c r="A53" s="2734"/>
      <c r="B53" s="3622">
        <v>20603</v>
      </c>
      <c r="C53" s="3605">
        <v>0.5</v>
      </c>
      <c r="D53" s="2752" t="s">
        <v>1015</v>
      </c>
      <c r="E53" s="2727">
        <f>'11.2. ДА за периода'!E53</f>
        <v>0</v>
      </c>
      <c r="F53" s="1228">
        <f>SUMIF('9.Инвестиционна програма'!$B$12:$B$35,$B53,'9.Инвестиционна програма'!H$12:H$35)*$E$6</f>
        <v>0</v>
      </c>
      <c r="G53" s="1224">
        <f>SUMIF('9.Инвестиционна програма'!$B$12:$B$35,$B53,'9.Инвестиционна програма'!I$12:I$35)*$E$6</f>
        <v>0</v>
      </c>
      <c r="H53" s="1224">
        <f>SUMIF('9.Инвестиционна програма'!$B$12:$B$35,$B53,'9.Инвестиционна програма'!J$12:J$35)*$E$6</f>
        <v>0</v>
      </c>
      <c r="I53" s="1224">
        <f>SUMIF('9.Инвестиционна програма'!$B$12:$B$35,$B53,'9.Инвестиционна програма'!K$12:K$35)*$E$6</f>
        <v>0</v>
      </c>
      <c r="J53" s="1224">
        <f>SUMIF('9.Инвестиционна програма'!$B$12:$B$35,$B53,'9.Инвестиционна програма'!L$12:L$35)*$E$6</f>
        <v>0</v>
      </c>
      <c r="K53" s="1229">
        <f>SUMIF('9.Инвестиционна програма'!$B$12:$B$35,$B53,'9.Инвестиционна програма'!M$12:M$35)*$E$6</f>
        <v>0</v>
      </c>
      <c r="L53" s="2727">
        <f>'11.2. ДА за периода'!L53</f>
        <v>0</v>
      </c>
      <c r="M53" s="1232">
        <f>SUMIF('9.Инвестиционна програма'!$B$37:$B$47,$B53,'9.Инвестиционна програма'!H$37:H$47)*$E$6</f>
        <v>0</v>
      </c>
      <c r="N53" s="1226">
        <f>SUMIF('9.Инвестиционна програма'!$B$37:$B$47,$B53,'9.Инвестиционна програма'!I$37:I$47)*$E$6</f>
        <v>0</v>
      </c>
      <c r="O53" s="1226">
        <f>SUMIF('9.Инвестиционна програма'!$B$37:$B$47,$B53,'9.Инвестиционна програма'!J$37:J$47)*$E$6</f>
        <v>0</v>
      </c>
      <c r="P53" s="1226">
        <f>SUMIF('9.Инвестиционна програма'!$B$37:$B$47,$B53,'9.Инвестиционна програма'!K$37:K$47)*$E$6</f>
        <v>0</v>
      </c>
      <c r="Q53" s="1226">
        <f>SUMIF('9.Инвестиционна програма'!$B$37:$B$47,$B53,'9.Инвестиционна програма'!L$37:L$47)*$E$6</f>
        <v>0</v>
      </c>
      <c r="R53" s="1227">
        <f>SUMIF('9.Инвестиционна програма'!$B$37:$B$47,$B53,'9.Инвестиционна програма'!M$37:M$47)*$E$6</f>
        <v>0</v>
      </c>
      <c r="S53" s="1113">
        <f>'11.2. ДА за периода'!S53</f>
        <v>0</v>
      </c>
      <c r="T53" s="906">
        <f>SUMIF('9.Инвестиционна програма'!$B$49:$B$56,$B53,'9.Инвестиционна програма'!H$49:H$56)*$E$6</f>
        <v>0</v>
      </c>
      <c r="U53" s="906">
        <f>SUMIF('9.Инвестиционна програма'!$B$49:$B$56,$B53,'9.Инвестиционна програма'!I$49:I$56)*$E$6</f>
        <v>0</v>
      </c>
      <c r="V53" s="906">
        <f>SUMIF('9.Инвестиционна програма'!$B$49:$B$56,$B53,'9.Инвестиционна програма'!J$49:J$56)*$E$6</f>
        <v>0</v>
      </c>
      <c r="W53" s="906">
        <f>SUMIF('9.Инвестиционна програма'!$B$49:$B$56,$B53,'9.Инвестиционна програма'!K$49:K$56)*$E$6</f>
        <v>0</v>
      </c>
      <c r="X53" s="906">
        <f>SUMIF('9.Инвестиционна програма'!$B$49:$B$56,$B53,'9.Инвестиционна програма'!L$49:L$56)*$E$6</f>
        <v>0</v>
      </c>
      <c r="Y53" s="2728">
        <f>SUMIF('9.Инвестиционна програма'!$B$49:$B$56,$B53,'9.Инвестиционна програма'!M$49:M$56)*$E$6</f>
        <v>0</v>
      </c>
      <c r="Z53" s="1113">
        <f>'11.2. ДА за периода'!Z53</f>
        <v>0</v>
      </c>
      <c r="AA53" s="906">
        <f>SUMIF('9.Инвестиционна програма'!$B$74:$B$97,$B53,'9.Инвестиционна програма'!H$74:H$97)*$E$6</f>
        <v>0</v>
      </c>
      <c r="AB53" s="906">
        <f>SUMIF('9.Инвестиционна програма'!$B$74:$B$97,$B53,'9.Инвестиционна програма'!I$74:I$97)*$E$6</f>
        <v>0</v>
      </c>
      <c r="AC53" s="906">
        <f>SUMIF('9.Инвестиционна програма'!$B$74:$B$97,$B53,'9.Инвестиционна програма'!J$74:J$97)*$E$6</f>
        <v>0</v>
      </c>
      <c r="AD53" s="906">
        <f>SUMIF('9.Инвестиционна програма'!$B$74:$B$97,$B53,'9.Инвестиционна програма'!K$74:K$97)*$E$6</f>
        <v>0</v>
      </c>
      <c r="AE53" s="906">
        <f>SUMIF('9.Инвестиционна програма'!$B$74:$B$97,$B53,'9.Инвестиционна програма'!L$74:L$97)*$E$6</f>
        <v>0</v>
      </c>
      <c r="AF53" s="906">
        <f>SUMIF('9.Инвестиционна програма'!$B$74:$B$97,$B53,'9.Инвестиционна програма'!M$74:M$97)*$E$6</f>
        <v>0</v>
      </c>
      <c r="AG53" s="1113">
        <f>'11.2. ДА за периода'!AG53</f>
        <v>0</v>
      </c>
      <c r="AH53" s="906">
        <f>SUMIF('9.Инвестиционна програма'!$B$100:$B$123,$B53,'9.Инвестиционна програма'!H$100:H$123)*$E$6</f>
        <v>0</v>
      </c>
      <c r="AI53" s="906">
        <f>SUMIF('9.Инвестиционна програма'!$B$100:$B$123,$B53,'9.Инвестиционна програма'!I$100:I$123)*$E$6</f>
        <v>0</v>
      </c>
      <c r="AJ53" s="906">
        <f>SUMIF('9.Инвестиционна програма'!$B$100:$B$123,$B53,'9.Инвестиционна програма'!J$100:J$123)*$E$6</f>
        <v>0</v>
      </c>
      <c r="AK53" s="906">
        <f>SUMIF('9.Инвестиционна програма'!$B$100:$B$123,$B53,'9.Инвестиционна програма'!K$100:K$123)*$E$6</f>
        <v>0</v>
      </c>
      <c r="AL53" s="906">
        <f>SUMIF('9.Инвестиционна програма'!$B$100:$B$123,$B53,'9.Инвестиционна програма'!L$100:L$123)*$E$6</f>
        <v>0</v>
      </c>
      <c r="AM53" s="906">
        <f>SUMIF('9.Инвестиционна програма'!$B$100:$B$123,$B53,'9.Инвестиционна програма'!M$100:M$123)*$E$6</f>
        <v>0</v>
      </c>
      <c r="AN53" s="1113">
        <f>'11.2. ДА за периода'!AN53</f>
        <v>0</v>
      </c>
      <c r="AO53" s="1232">
        <f>(SUMIF('9.Инвестиционна програма'!$B$58:$B$59,$B53,'9.Инвестиционна програма'!H$58:H$59)+SUMIF('9.Инвестиционна програма'!$B$61:$B$71,$B53,'9.Инвестиционна програма'!H$61:H$71))*$E$6</f>
        <v>0</v>
      </c>
      <c r="AP53" s="906">
        <f>(SUMIF('9.Инвестиционна програма'!$B$58:$B$59,$B53,'9.Инвестиционна програма'!I$58:I$59)+SUMIF('9.Инвестиционна програма'!$B$61:$B$71,$B53,'9.Инвестиционна програма'!I$61:I$71))*$E$6</f>
        <v>0</v>
      </c>
      <c r="AQ53" s="906">
        <f>(SUMIF('9.Инвестиционна програма'!$B$58:$B$59,$B53,'9.Инвестиционна програма'!J$58:J$59)+SUMIF('9.Инвестиционна програма'!$B$61:$B$71,$B53,'9.Инвестиционна програма'!J$61:J$71))*$E$6</f>
        <v>0</v>
      </c>
      <c r="AR53" s="906">
        <f>(SUMIF('9.Инвестиционна програма'!$B$58:$B$59,$B53,'9.Инвестиционна програма'!K$58:K$59)+SUMIF('9.Инвестиционна програма'!$B$61:$B$71,$B53,'9.Инвестиционна програма'!K$61:K$71))*$E$6</f>
        <v>0</v>
      </c>
      <c r="AS53" s="906">
        <f>(SUMIF('9.Инвестиционна програма'!$B$58:$B$59,$B53,'9.Инвестиционна програма'!L$58:L$59)+SUMIF('9.Инвестиционна програма'!$B$61:$B$71,$B53,'9.Инвестиционна програма'!L$61:L$71))*$E$6</f>
        <v>0</v>
      </c>
      <c r="AT53" s="2728">
        <f>(SUMIF('9.Инвестиционна програма'!$B$58:$B$59,$B53,'9.Инвестиционна програма'!M$58:M$59)+SUMIF('9.Инвестиционна програма'!$B$61:$B$71,$B53,'9.Инвестиционна програма'!M$61:M$71))*$E$6</f>
        <v>0</v>
      </c>
      <c r="AU53" s="4488"/>
      <c r="AV53" s="4504">
        <f t="shared" si="47"/>
        <v>0</v>
      </c>
      <c r="AW53" s="4504">
        <f t="shared" si="48"/>
        <v>0</v>
      </c>
      <c r="AX53" s="4504">
        <f t="shared" si="49"/>
        <v>0</v>
      </c>
      <c r="AY53" s="4504">
        <f t="shared" si="50"/>
        <v>0</v>
      </c>
      <c r="AZ53" s="4504">
        <f t="shared" si="51"/>
        <v>0</v>
      </c>
      <c r="BA53" s="4504">
        <f t="shared" si="52"/>
        <v>0</v>
      </c>
      <c r="BB53" s="4504">
        <f t="shared" si="53"/>
        <v>0</v>
      </c>
      <c r="BC53" s="4504">
        <f t="shared" si="54"/>
        <v>0</v>
      </c>
      <c r="BD53" s="4504">
        <f t="shared" si="55"/>
        <v>0</v>
      </c>
      <c r="BE53" s="4504">
        <f t="shared" si="56"/>
        <v>0</v>
      </c>
      <c r="BF53" s="4504">
        <f t="shared" si="57"/>
        <v>0</v>
      </c>
      <c r="BG53" s="4504">
        <f t="shared" si="58"/>
        <v>0</v>
      </c>
      <c r="BH53" s="4504">
        <f t="shared" si="59"/>
        <v>0</v>
      </c>
      <c r="BI53" s="4504">
        <f t="shared" si="60"/>
        <v>0</v>
      </c>
      <c r="BJ53" s="4504">
        <f t="shared" si="61"/>
        <v>0</v>
      </c>
      <c r="BK53" s="4504">
        <f t="shared" si="62"/>
        <v>0</v>
      </c>
      <c r="BL53" s="4504">
        <f t="shared" si="63"/>
        <v>0</v>
      </c>
      <c r="BM53" s="4504">
        <f t="shared" si="64"/>
        <v>0</v>
      </c>
      <c r="BN53" s="4504">
        <f t="shared" si="65"/>
        <v>0</v>
      </c>
      <c r="BO53" s="4504">
        <f t="shared" si="66"/>
        <v>0</v>
      </c>
      <c r="BP53" s="4504">
        <f t="shared" si="67"/>
        <v>0</v>
      </c>
      <c r="BQ53" s="4504">
        <f t="shared" si="68"/>
        <v>0</v>
      </c>
      <c r="BR53" s="4504">
        <f t="shared" si="69"/>
        <v>0</v>
      </c>
      <c r="BS53" s="4504">
        <f t="shared" si="70"/>
        <v>0</v>
      </c>
      <c r="BT53" s="4504">
        <f t="shared" si="71"/>
        <v>0</v>
      </c>
      <c r="BU53" s="4504">
        <f t="shared" si="72"/>
        <v>0</v>
      </c>
      <c r="BV53" s="4504">
        <f t="shared" si="73"/>
        <v>0</v>
      </c>
      <c r="BW53" s="4504">
        <f t="shared" si="74"/>
        <v>0</v>
      </c>
      <c r="BX53" s="4504">
        <f t="shared" si="75"/>
        <v>0</v>
      </c>
      <c r="BY53" s="4504">
        <f t="shared" si="76"/>
        <v>0</v>
      </c>
      <c r="BZ53" s="4504">
        <f t="shared" si="77"/>
        <v>0</v>
      </c>
      <c r="CA53" s="4504">
        <f t="shared" si="78"/>
        <v>0</v>
      </c>
      <c r="CB53" s="4504">
        <f t="shared" si="79"/>
        <v>0</v>
      </c>
      <c r="CC53" s="4504">
        <f t="shared" si="80"/>
        <v>0</v>
      </c>
      <c r="CD53" s="4504">
        <f t="shared" si="81"/>
        <v>0</v>
      </c>
      <c r="CE53" s="4504">
        <f t="shared" si="82"/>
        <v>0</v>
      </c>
      <c r="CF53" s="4504">
        <f t="shared" si="83"/>
        <v>0</v>
      </c>
      <c r="CG53" s="4504">
        <f t="shared" si="84"/>
        <v>0</v>
      </c>
      <c r="CH53" s="4504">
        <f t="shared" si="85"/>
        <v>0</v>
      </c>
      <c r="CI53" s="4504">
        <f t="shared" si="86"/>
        <v>0</v>
      </c>
      <c r="CJ53" s="4504">
        <f t="shared" si="87"/>
        <v>0</v>
      </c>
      <c r="CK53" s="4504">
        <f t="shared" si="88"/>
        <v>0</v>
      </c>
    </row>
    <row r="54" spans="1:89" s="30" customFormat="1">
      <c r="A54" s="2734">
        <v>7</v>
      </c>
      <c r="B54" s="3621">
        <v>208</v>
      </c>
      <c r="C54" s="3604">
        <v>0.2</v>
      </c>
      <c r="D54" s="2750" t="s">
        <v>413</v>
      </c>
      <c r="E54" s="2727">
        <f>'11.2. ДА за периода'!E54</f>
        <v>2.08</v>
      </c>
      <c r="F54" s="2658">
        <f>SUMIF('9.Инвестиционна програма'!$B$12:$B$35,$B54,'9.Инвестиционна програма'!H$12:H$35)*$E$6</f>
        <v>0</v>
      </c>
      <c r="G54" s="2646">
        <f>SUMIF('9.Инвестиционна програма'!$B$12:$B$35,$B54,'9.Инвестиционна програма'!I$12:I$35)*$E$6</f>
        <v>0</v>
      </c>
      <c r="H54" s="2646">
        <f>SUMIF('9.Инвестиционна програма'!$B$12:$B$35,$B54,'9.Инвестиционна програма'!J$12:J$35)*$E$6</f>
        <v>0</v>
      </c>
      <c r="I54" s="2646">
        <f>SUMIF('9.Инвестиционна програма'!$B$12:$B$35,$B54,'9.Инвестиционна програма'!K$12:K$35)*$E$6</f>
        <v>0</v>
      </c>
      <c r="J54" s="2646">
        <f>SUMIF('9.Инвестиционна програма'!$B$12:$B$35,$B54,'9.Инвестиционна програма'!L$12:L$35)*$E$6</f>
        <v>0</v>
      </c>
      <c r="K54" s="2665">
        <f>SUMIF('9.Инвестиционна програма'!$B$12:$B$35,$B54,'9.Инвестиционна програма'!M$12:M$35)*$E$6</f>
        <v>0</v>
      </c>
      <c r="L54" s="1112">
        <f>'11.2. ДА за периода'!L54</f>
        <v>0</v>
      </c>
      <c r="M54" s="2658">
        <f>SUMIF('9.Инвестиционна програма'!$B$37:$B$47,$B54,'9.Инвестиционна програма'!H$37:H$47)*$E$6</f>
        <v>0</v>
      </c>
      <c r="N54" s="2646">
        <f>SUMIF('9.Инвестиционна програма'!$B$37:$B$47,$B54,'9.Инвестиционна програма'!I$37:I$47)*$E$6</f>
        <v>0</v>
      </c>
      <c r="O54" s="2646">
        <f>SUMIF('9.Инвестиционна програма'!$B$37:$B$47,$B54,'9.Инвестиционна програма'!J$37:J$47)*$E$6</f>
        <v>0</v>
      </c>
      <c r="P54" s="2646">
        <f>SUMIF('9.Инвестиционна програма'!$B$37:$B$47,$B54,'9.Инвестиционна програма'!K$37:K$47)*$E$6</f>
        <v>0</v>
      </c>
      <c r="Q54" s="2646">
        <f>SUMIF('9.Инвестиционна програма'!$B$37:$B$47,$B54,'9.Инвестиционна програма'!L$37:L$47)*$E$6</f>
        <v>0</v>
      </c>
      <c r="R54" s="2647">
        <f>SUMIF('9.Инвестиционна програма'!$B$37:$B$47,$B54,'9.Инвестиционна програма'!M$37:M$47)*$E$6</f>
        <v>0</v>
      </c>
      <c r="S54" s="1113">
        <f>'11.2. ДА за периода'!S54</f>
        <v>0</v>
      </c>
      <c r="T54" s="2645">
        <f>SUMIF('9.Инвестиционна програма'!$B$49:$B$56,$B54,'9.Инвестиционна програма'!H$49:H$56)*$E$6</f>
        <v>0</v>
      </c>
      <c r="U54" s="2646">
        <f>SUMIF('9.Инвестиционна програма'!$B$49:$B$56,$B54,'9.Инвестиционна програма'!I$49:I$56)*$E$6</f>
        <v>0</v>
      </c>
      <c r="V54" s="2646">
        <f>SUMIF('9.Инвестиционна програма'!$B$49:$B$56,$B54,'9.Инвестиционна програма'!J$49:J$56)*$E$6</f>
        <v>0</v>
      </c>
      <c r="W54" s="2646">
        <f>SUMIF('9.Инвестиционна програма'!$B$49:$B$56,$B54,'9.Инвестиционна програма'!K$49:K$56)*$E$6</f>
        <v>0</v>
      </c>
      <c r="X54" s="2646">
        <f>SUMIF('9.Инвестиционна програма'!$B$49:$B$56,$B54,'9.Инвестиционна програма'!L$49:L$56)*$E$6</f>
        <v>0</v>
      </c>
      <c r="Y54" s="2647">
        <f>SUMIF('9.Инвестиционна програма'!$B$49:$B$56,$B54,'9.Инвестиционна програма'!M$49:M$56)*$E$6</f>
        <v>0</v>
      </c>
      <c r="Z54" s="1113">
        <f>'11.2. ДА за периода'!Z54</f>
        <v>0</v>
      </c>
      <c r="AA54" s="2645">
        <f>SUMIF('9.Инвестиционна програма'!$B$74:$B$97,$B54,'9.Инвестиционна програма'!H$74:H$97)*$E$6</f>
        <v>0</v>
      </c>
      <c r="AB54" s="2646">
        <f>SUMIF('9.Инвестиционна програма'!$B$74:$B$97,$B54,'9.Инвестиционна програма'!I$74:I$97)*$E$6</f>
        <v>0</v>
      </c>
      <c r="AC54" s="2646">
        <f>SUMIF('9.Инвестиционна програма'!$B$74:$B$97,$B54,'9.Инвестиционна програма'!J$74:J$97)*$E$6</f>
        <v>0</v>
      </c>
      <c r="AD54" s="2646">
        <f>SUMIF('9.Инвестиционна програма'!$B$74:$B$97,$B54,'9.Инвестиционна програма'!K$74:K$97)*$E$6</f>
        <v>0</v>
      </c>
      <c r="AE54" s="2646">
        <f>SUMIF('9.Инвестиционна програма'!$B$74:$B$97,$B54,'9.Инвестиционна програма'!L$74:L$97)*$E$6</f>
        <v>0</v>
      </c>
      <c r="AF54" s="2647">
        <f>SUMIF('9.Инвестиционна програма'!$B$74:$B$97,$B54,'9.Инвестиционна програма'!M$74:M$97)*$E$6</f>
        <v>0</v>
      </c>
      <c r="AG54" s="1113">
        <f>'11.2. ДА за периода'!AG54</f>
        <v>0</v>
      </c>
      <c r="AH54" s="2645">
        <f>SUMIF('9.Инвестиционна програма'!$B$100:$B$123,$B54,'9.Инвестиционна програма'!H$100:H$123)*$E$6</f>
        <v>0</v>
      </c>
      <c r="AI54" s="2646">
        <f>SUMIF('9.Инвестиционна програма'!$B$100:$B$123,$B54,'9.Инвестиционна програма'!I$100:I$123)*$E$6</f>
        <v>0</v>
      </c>
      <c r="AJ54" s="2646">
        <f>SUMIF('9.Инвестиционна програма'!$B$100:$B$123,$B54,'9.Инвестиционна програма'!J$100:J$123)*$E$6</f>
        <v>0</v>
      </c>
      <c r="AK54" s="2646">
        <f>SUMIF('9.Инвестиционна програма'!$B$100:$B$123,$B54,'9.Инвестиционна програма'!K$100:K$123)*$E$6</f>
        <v>0</v>
      </c>
      <c r="AL54" s="2646">
        <f>SUMIF('9.Инвестиционна програма'!$B$100:$B$123,$B54,'9.Инвестиционна програма'!L$100:L$123)*$E$6</f>
        <v>0</v>
      </c>
      <c r="AM54" s="2647">
        <f>SUMIF('9.Инвестиционна програма'!$B$100:$B$123,$B54,'9.Инвестиционна програма'!M$100:M$123)*$E$6</f>
        <v>0</v>
      </c>
      <c r="AN54" s="1113">
        <f>'11.2. ДА за периода'!AN54</f>
        <v>0</v>
      </c>
      <c r="AO54" s="2645">
        <f>(SUMIF('9.Инвестиционна програма'!$B$58:$B$59,$B54,'9.Инвестиционна програма'!H$58:H$59)+SUMIF('9.Инвестиционна програма'!$B$61:$B$71,$B54,'9.Инвестиционна програма'!H$61:H$71))*$E$6</f>
        <v>7</v>
      </c>
      <c r="AP54" s="2646">
        <f>(SUMIF('9.Инвестиционна програма'!$B$58:$B$59,$B54,'9.Инвестиционна програма'!I$58:I$59)+SUMIF('9.Инвестиционна програма'!$B$61:$B$71,$B54,'9.Инвестиционна програма'!I$61:I$71))*$E$6</f>
        <v>2</v>
      </c>
      <c r="AQ54" s="2646">
        <f>(SUMIF('9.Инвестиционна програма'!$B$58:$B$59,$B54,'9.Инвестиционна програма'!J$58:J$59)+SUMIF('9.Инвестиционна програма'!$B$61:$B$71,$B54,'9.Инвестиционна програма'!J$61:J$71))*$E$6</f>
        <v>2</v>
      </c>
      <c r="AR54" s="2646">
        <f>(SUMIF('9.Инвестиционна програма'!$B$58:$B$59,$B54,'9.Инвестиционна програма'!K$58:K$59)+SUMIF('9.Инвестиционна програма'!$B$61:$B$71,$B54,'9.Инвестиционна програма'!K$61:K$71))*$E$6</f>
        <v>2</v>
      </c>
      <c r="AS54" s="2646">
        <f>(SUMIF('9.Инвестиционна програма'!$B$58:$B$59,$B54,'9.Инвестиционна програма'!L$58:L$59)+SUMIF('9.Инвестиционна програма'!$B$61:$B$71,$B54,'9.Инвестиционна програма'!L$61:L$71))*$E$6</f>
        <v>2</v>
      </c>
      <c r="AT54" s="2647">
        <f>(SUMIF('9.Инвестиционна програма'!$B$58:$B$59,$B54,'9.Инвестиционна програма'!M$58:M$59)+SUMIF('9.Инвестиционна програма'!$B$61:$B$71,$B54,'9.Инвестиционна програма'!M$61:M$71))*$E$6</f>
        <v>2</v>
      </c>
      <c r="AU54" s="4488"/>
      <c r="AV54" s="4504">
        <f t="shared" si="47"/>
        <v>1.0634871128881345</v>
      </c>
      <c r="AW54" s="4504">
        <f t="shared" si="48"/>
        <v>0</v>
      </c>
      <c r="AX54" s="4504">
        <f t="shared" si="49"/>
        <v>0</v>
      </c>
      <c r="AY54" s="4504">
        <f t="shared" si="50"/>
        <v>0</v>
      </c>
      <c r="AZ54" s="4504">
        <f t="shared" si="51"/>
        <v>0</v>
      </c>
      <c r="BA54" s="4504">
        <f t="shared" si="52"/>
        <v>0</v>
      </c>
      <c r="BB54" s="4504">
        <f t="shared" si="53"/>
        <v>0</v>
      </c>
      <c r="BC54" s="4504">
        <f t="shared" si="54"/>
        <v>0</v>
      </c>
      <c r="BD54" s="4504">
        <f t="shared" si="55"/>
        <v>0</v>
      </c>
      <c r="BE54" s="4504">
        <f t="shared" si="56"/>
        <v>0</v>
      </c>
      <c r="BF54" s="4504">
        <f t="shared" si="57"/>
        <v>0</v>
      </c>
      <c r="BG54" s="4504">
        <f t="shared" si="58"/>
        <v>0</v>
      </c>
      <c r="BH54" s="4504">
        <f t="shared" si="59"/>
        <v>0</v>
      </c>
      <c r="BI54" s="4504">
        <f t="shared" si="60"/>
        <v>0</v>
      </c>
      <c r="BJ54" s="4504">
        <f t="shared" si="61"/>
        <v>0</v>
      </c>
      <c r="BK54" s="4504">
        <f t="shared" si="62"/>
        <v>0</v>
      </c>
      <c r="BL54" s="4504">
        <f t="shared" si="63"/>
        <v>0</v>
      </c>
      <c r="BM54" s="4504">
        <f t="shared" si="64"/>
        <v>0</v>
      </c>
      <c r="BN54" s="4504">
        <f t="shared" si="65"/>
        <v>0</v>
      </c>
      <c r="BO54" s="4504">
        <f t="shared" si="66"/>
        <v>0</v>
      </c>
      <c r="BP54" s="4504">
        <f t="shared" si="67"/>
        <v>0</v>
      </c>
      <c r="BQ54" s="4504">
        <f t="shared" si="68"/>
        <v>0</v>
      </c>
      <c r="BR54" s="4504">
        <f t="shared" si="69"/>
        <v>0</v>
      </c>
      <c r="BS54" s="4504">
        <f t="shared" si="70"/>
        <v>0</v>
      </c>
      <c r="BT54" s="4504">
        <f t="shared" si="71"/>
        <v>0</v>
      </c>
      <c r="BU54" s="4504">
        <f t="shared" si="72"/>
        <v>0</v>
      </c>
      <c r="BV54" s="4504">
        <f t="shared" si="73"/>
        <v>0</v>
      </c>
      <c r="BW54" s="4504">
        <f t="shared" si="74"/>
        <v>0</v>
      </c>
      <c r="BX54" s="4504">
        <f t="shared" si="75"/>
        <v>0</v>
      </c>
      <c r="BY54" s="4504">
        <f t="shared" si="76"/>
        <v>0</v>
      </c>
      <c r="BZ54" s="4504">
        <f t="shared" si="77"/>
        <v>0</v>
      </c>
      <c r="CA54" s="4504">
        <f t="shared" si="78"/>
        <v>0</v>
      </c>
      <c r="CB54" s="4504">
        <f t="shared" si="79"/>
        <v>0</v>
      </c>
      <c r="CC54" s="4504">
        <f t="shared" si="80"/>
        <v>0</v>
      </c>
      <c r="CD54" s="4504">
        <f t="shared" si="81"/>
        <v>0</v>
      </c>
      <c r="CE54" s="4504">
        <f t="shared" si="82"/>
        <v>0</v>
      </c>
      <c r="CF54" s="4504">
        <f t="shared" si="83"/>
        <v>3.5790431683735293</v>
      </c>
      <c r="CG54" s="4504">
        <f t="shared" si="84"/>
        <v>1.022583762392437</v>
      </c>
      <c r="CH54" s="4504">
        <f t="shared" si="85"/>
        <v>1.022583762392437</v>
      </c>
      <c r="CI54" s="4504">
        <f t="shared" si="86"/>
        <v>1.022583762392437</v>
      </c>
      <c r="CJ54" s="4504">
        <f t="shared" si="87"/>
        <v>1.022583762392437</v>
      </c>
      <c r="CK54" s="4504">
        <f t="shared" si="88"/>
        <v>1.022583762392437</v>
      </c>
    </row>
    <row r="55" spans="1:89" s="30" customFormat="1">
      <c r="A55" s="2734">
        <v>8</v>
      </c>
      <c r="B55" s="3621">
        <v>209</v>
      </c>
      <c r="C55" s="3604">
        <v>0.1</v>
      </c>
      <c r="D55" s="2750" t="s">
        <v>213</v>
      </c>
      <c r="E55" s="2727">
        <f>'11.2. ДА за периода'!E55</f>
        <v>0</v>
      </c>
      <c r="F55" s="2658">
        <f>SUMIF('9.Инвестиционна програма'!$B$12:$B$35,$B55,'9.Инвестиционна програма'!H$12:H$35)*$E$6</f>
        <v>0</v>
      </c>
      <c r="G55" s="2646">
        <f>SUMIF('9.Инвестиционна програма'!$B$12:$B$35,$B55,'9.Инвестиционна програма'!I$12:I$35)*$E$6</f>
        <v>0</v>
      </c>
      <c r="H55" s="2646">
        <f>SUMIF('9.Инвестиционна програма'!$B$12:$B$35,$B55,'9.Инвестиционна програма'!J$12:J$35)*$E$6</f>
        <v>0</v>
      </c>
      <c r="I55" s="2646">
        <f>SUMIF('9.Инвестиционна програма'!$B$12:$B$35,$B55,'9.Инвестиционна програма'!K$12:K$35)*$E$6</f>
        <v>0</v>
      </c>
      <c r="J55" s="2646">
        <f>SUMIF('9.Инвестиционна програма'!$B$12:$B$35,$B55,'9.Инвестиционна програма'!L$12:L$35)*$E$6</f>
        <v>0</v>
      </c>
      <c r="K55" s="2665">
        <f>SUMIF('9.Инвестиционна програма'!$B$12:$B$35,$B55,'9.Инвестиционна програма'!M$12:M$35)*$E$6</f>
        <v>0</v>
      </c>
      <c r="L55" s="1113">
        <f>'11.2. ДА за периода'!L55</f>
        <v>0</v>
      </c>
      <c r="M55" s="2658">
        <f>SUMIF('9.Инвестиционна програма'!$B$37:$B$47,$B55,'9.Инвестиционна програма'!H$37:H$47)*$E$6</f>
        <v>0</v>
      </c>
      <c r="N55" s="2646">
        <f>SUMIF('9.Инвестиционна програма'!$B$37:$B$47,$B55,'9.Инвестиционна програма'!I$37:I$47)*$E$6</f>
        <v>0</v>
      </c>
      <c r="O55" s="2646">
        <f>SUMIF('9.Инвестиционна програма'!$B$37:$B$47,$B55,'9.Инвестиционна програма'!J$37:J$47)*$E$6</f>
        <v>0</v>
      </c>
      <c r="P55" s="2646">
        <f>SUMIF('9.Инвестиционна програма'!$B$37:$B$47,$B55,'9.Инвестиционна програма'!K$37:K$47)*$E$6</f>
        <v>0</v>
      </c>
      <c r="Q55" s="2646">
        <f>SUMIF('9.Инвестиционна програма'!$B$37:$B$47,$B55,'9.Инвестиционна програма'!L$37:L$47)*$E$6</f>
        <v>0</v>
      </c>
      <c r="R55" s="2647">
        <f>SUMIF('9.Инвестиционна програма'!$B$37:$B$47,$B55,'9.Инвестиционна програма'!M$37:M$47)*$E$6</f>
        <v>0</v>
      </c>
      <c r="S55" s="1113">
        <f>'11.2. ДА за периода'!S55</f>
        <v>0</v>
      </c>
      <c r="T55" s="2645">
        <f>SUMIF('9.Инвестиционна програма'!$B$49:$B$56,$B55,'9.Инвестиционна програма'!H$49:H$56)*$E$6</f>
        <v>0</v>
      </c>
      <c r="U55" s="2646">
        <f>SUMIF('9.Инвестиционна програма'!$B$49:$B$56,$B55,'9.Инвестиционна програма'!I$49:I$56)*$E$6</f>
        <v>0</v>
      </c>
      <c r="V55" s="2646">
        <f>SUMIF('9.Инвестиционна програма'!$B$49:$B$56,$B55,'9.Инвестиционна програма'!J$49:J$56)*$E$6</f>
        <v>0</v>
      </c>
      <c r="W55" s="2646">
        <f>SUMIF('9.Инвестиционна програма'!$B$49:$B$56,$B55,'9.Инвестиционна програма'!K$49:K$56)*$E$6</f>
        <v>0</v>
      </c>
      <c r="X55" s="2646">
        <f>SUMIF('9.Инвестиционна програма'!$B$49:$B$56,$B55,'9.Инвестиционна програма'!L$49:L$56)*$E$6</f>
        <v>0</v>
      </c>
      <c r="Y55" s="2647">
        <f>SUMIF('9.Инвестиционна програма'!$B$49:$B$56,$B55,'9.Инвестиционна програма'!M$49:M$56)*$E$6</f>
        <v>0</v>
      </c>
      <c r="Z55" s="1113">
        <f>'11.2. ДА за периода'!Z55</f>
        <v>0</v>
      </c>
      <c r="AA55" s="2645">
        <f>SUMIF('9.Инвестиционна програма'!$B$74:$B$97,$B55,'9.Инвестиционна програма'!H$74:H$97)*$E$6</f>
        <v>0</v>
      </c>
      <c r="AB55" s="2646">
        <f>SUMIF('9.Инвестиционна програма'!$B$74:$B$97,$B55,'9.Инвестиционна програма'!I$74:I$97)*$E$6</f>
        <v>0</v>
      </c>
      <c r="AC55" s="2646">
        <f>SUMIF('9.Инвестиционна програма'!$B$74:$B$97,$B55,'9.Инвестиционна програма'!J$74:J$97)*$E$6</f>
        <v>0</v>
      </c>
      <c r="AD55" s="2646">
        <f>SUMIF('9.Инвестиционна програма'!$B$74:$B$97,$B55,'9.Инвестиционна програма'!K$74:K$97)*$E$6</f>
        <v>0</v>
      </c>
      <c r="AE55" s="2646">
        <f>SUMIF('9.Инвестиционна програма'!$B$74:$B$97,$B55,'9.Инвестиционна програма'!L$74:L$97)*$E$6</f>
        <v>0</v>
      </c>
      <c r="AF55" s="2647">
        <f>SUMIF('9.Инвестиционна програма'!$B$74:$B$97,$B55,'9.Инвестиционна програма'!M$74:M$97)*$E$6</f>
        <v>0</v>
      </c>
      <c r="AG55" s="1113">
        <f>'11.2. ДА за периода'!AG55</f>
        <v>0</v>
      </c>
      <c r="AH55" s="2645">
        <f>SUMIF('9.Инвестиционна програма'!$B$100:$B$123,$B55,'9.Инвестиционна програма'!H$100:H$123)*$E$6</f>
        <v>0</v>
      </c>
      <c r="AI55" s="2646">
        <f>SUMIF('9.Инвестиционна програма'!$B$100:$B$123,$B55,'9.Инвестиционна програма'!I$100:I$123)*$E$6</f>
        <v>0</v>
      </c>
      <c r="AJ55" s="2646">
        <f>SUMIF('9.Инвестиционна програма'!$B$100:$B$123,$B55,'9.Инвестиционна програма'!J$100:J$123)*$E$6</f>
        <v>0</v>
      </c>
      <c r="AK55" s="2646">
        <f>SUMIF('9.Инвестиционна програма'!$B$100:$B$123,$B55,'9.Инвестиционна програма'!K$100:K$123)*$E$6</f>
        <v>0</v>
      </c>
      <c r="AL55" s="2646">
        <f>SUMIF('9.Инвестиционна програма'!$B$100:$B$123,$B55,'9.Инвестиционна програма'!L$100:L$123)*$E$6</f>
        <v>0</v>
      </c>
      <c r="AM55" s="2647">
        <f>SUMIF('9.Инвестиционна програма'!$B$100:$B$123,$B55,'9.Инвестиционна програма'!M$100:M$123)*$E$6</f>
        <v>0</v>
      </c>
      <c r="AN55" s="1113">
        <f>'11.2. ДА за периода'!AN55</f>
        <v>0</v>
      </c>
      <c r="AO55" s="2645">
        <f>(SUMIF('9.Инвестиционна програма'!$B$58:$B$59,$B55,'9.Инвестиционна програма'!H$58:H$59)+SUMIF('9.Инвестиционна програма'!$B$61:$B$71,$B55,'9.Инвестиционна програма'!H$61:H$71))*$E$6</f>
        <v>0</v>
      </c>
      <c r="AP55" s="2646">
        <f>(SUMIF('9.Инвестиционна програма'!$B$58:$B$59,$B55,'9.Инвестиционна програма'!I$58:I$59)+SUMIF('9.Инвестиционна програма'!$B$61:$B$71,$B55,'9.Инвестиционна програма'!I$61:I$71))*$E$6</f>
        <v>0</v>
      </c>
      <c r="AQ55" s="2646">
        <f>(SUMIF('9.Инвестиционна програма'!$B$58:$B$59,$B55,'9.Инвестиционна програма'!J$58:J$59)+SUMIF('9.Инвестиционна програма'!$B$61:$B$71,$B55,'9.Инвестиционна програма'!J$61:J$71))*$E$6</f>
        <v>0</v>
      </c>
      <c r="AR55" s="2646">
        <f>(SUMIF('9.Инвестиционна програма'!$B$58:$B$59,$B55,'9.Инвестиционна програма'!K$58:K$59)+SUMIF('9.Инвестиционна програма'!$B$61:$B$71,$B55,'9.Инвестиционна програма'!K$61:K$71))*$E$6</f>
        <v>0</v>
      </c>
      <c r="AS55" s="2646">
        <f>(SUMIF('9.Инвестиционна програма'!$B$58:$B$59,$B55,'9.Инвестиционна програма'!L$58:L$59)+SUMIF('9.Инвестиционна програма'!$B$61:$B$71,$B55,'9.Инвестиционна програма'!L$61:L$71))*$E$6</f>
        <v>0</v>
      </c>
      <c r="AT55" s="2647">
        <f>(SUMIF('9.Инвестиционна програма'!$B$58:$B$59,$B55,'9.Инвестиционна програма'!M$58:M$59)+SUMIF('9.Инвестиционна програма'!$B$61:$B$71,$B55,'9.Инвестиционна програма'!M$61:M$71))*$E$6</f>
        <v>0</v>
      </c>
      <c r="AU55" s="4488"/>
      <c r="AV55" s="4504">
        <f t="shared" si="47"/>
        <v>0</v>
      </c>
      <c r="AW55" s="4504">
        <f t="shared" si="48"/>
        <v>0</v>
      </c>
      <c r="AX55" s="4504">
        <f t="shared" si="49"/>
        <v>0</v>
      </c>
      <c r="AY55" s="4504">
        <f t="shared" si="50"/>
        <v>0</v>
      </c>
      <c r="AZ55" s="4504">
        <f t="shared" si="51"/>
        <v>0</v>
      </c>
      <c r="BA55" s="4504">
        <f t="shared" si="52"/>
        <v>0</v>
      </c>
      <c r="BB55" s="4504">
        <f t="shared" si="53"/>
        <v>0</v>
      </c>
      <c r="BC55" s="4504">
        <f t="shared" si="54"/>
        <v>0</v>
      </c>
      <c r="BD55" s="4504">
        <f t="shared" si="55"/>
        <v>0</v>
      </c>
      <c r="BE55" s="4504">
        <f t="shared" si="56"/>
        <v>0</v>
      </c>
      <c r="BF55" s="4504">
        <f t="shared" si="57"/>
        <v>0</v>
      </c>
      <c r="BG55" s="4504">
        <f t="shared" si="58"/>
        <v>0</v>
      </c>
      <c r="BH55" s="4504">
        <f t="shared" si="59"/>
        <v>0</v>
      </c>
      <c r="BI55" s="4504">
        <f t="shared" si="60"/>
        <v>0</v>
      </c>
      <c r="BJ55" s="4504">
        <f t="shared" si="61"/>
        <v>0</v>
      </c>
      <c r="BK55" s="4504">
        <f t="shared" si="62"/>
        <v>0</v>
      </c>
      <c r="BL55" s="4504">
        <f t="shared" si="63"/>
        <v>0</v>
      </c>
      <c r="BM55" s="4504">
        <f t="shared" si="64"/>
        <v>0</v>
      </c>
      <c r="BN55" s="4504">
        <f t="shared" si="65"/>
        <v>0</v>
      </c>
      <c r="BO55" s="4504">
        <f t="shared" si="66"/>
        <v>0</v>
      </c>
      <c r="BP55" s="4504">
        <f t="shared" si="67"/>
        <v>0</v>
      </c>
      <c r="BQ55" s="4504">
        <f t="shared" si="68"/>
        <v>0</v>
      </c>
      <c r="BR55" s="4504">
        <f t="shared" si="69"/>
        <v>0</v>
      </c>
      <c r="BS55" s="4504">
        <f t="shared" si="70"/>
        <v>0</v>
      </c>
      <c r="BT55" s="4504">
        <f t="shared" si="71"/>
        <v>0</v>
      </c>
      <c r="BU55" s="4504">
        <f t="shared" si="72"/>
        <v>0</v>
      </c>
      <c r="BV55" s="4504">
        <f t="shared" si="73"/>
        <v>0</v>
      </c>
      <c r="BW55" s="4504">
        <f t="shared" si="74"/>
        <v>0</v>
      </c>
      <c r="BX55" s="4504">
        <f t="shared" si="75"/>
        <v>0</v>
      </c>
      <c r="BY55" s="4504">
        <f t="shared" si="76"/>
        <v>0</v>
      </c>
      <c r="BZ55" s="4504">
        <f t="shared" si="77"/>
        <v>0</v>
      </c>
      <c r="CA55" s="4504">
        <f t="shared" si="78"/>
        <v>0</v>
      </c>
      <c r="CB55" s="4504">
        <f t="shared" si="79"/>
        <v>0</v>
      </c>
      <c r="CC55" s="4504">
        <f t="shared" si="80"/>
        <v>0</v>
      </c>
      <c r="CD55" s="4504">
        <f t="shared" si="81"/>
        <v>0</v>
      </c>
      <c r="CE55" s="4504">
        <f t="shared" si="82"/>
        <v>0</v>
      </c>
      <c r="CF55" s="4504">
        <f t="shared" si="83"/>
        <v>0</v>
      </c>
      <c r="CG55" s="4504">
        <f t="shared" si="84"/>
        <v>0</v>
      </c>
      <c r="CH55" s="4504">
        <f t="shared" si="85"/>
        <v>0</v>
      </c>
      <c r="CI55" s="4504">
        <f t="shared" si="86"/>
        <v>0</v>
      </c>
      <c r="CJ55" s="4504">
        <f t="shared" si="87"/>
        <v>0</v>
      </c>
      <c r="CK55" s="4504">
        <f t="shared" si="88"/>
        <v>0</v>
      </c>
    </row>
    <row r="56" spans="1:89" s="30" customFormat="1" ht="17.25" customHeight="1">
      <c r="A56" s="2734">
        <v>9</v>
      </c>
      <c r="B56" s="3621">
        <v>212</v>
      </c>
      <c r="C56" s="3604">
        <v>0.2</v>
      </c>
      <c r="D56" s="2761" t="s">
        <v>214</v>
      </c>
      <c r="E56" s="2727">
        <f>'11.2. ДА за периода'!E56</f>
        <v>0</v>
      </c>
      <c r="F56" s="2658">
        <f>SUMIF('9.Инвестиционна програма'!$B$12:$B$35,$B56,'9.Инвестиционна програма'!H$12:H$35)*$E$6</f>
        <v>0</v>
      </c>
      <c r="G56" s="2646">
        <f>SUMIF('9.Инвестиционна програма'!$B$12:$B$35,$B56,'9.Инвестиционна програма'!I$12:I$35)*$E$6</f>
        <v>0</v>
      </c>
      <c r="H56" s="2646">
        <f>SUMIF('9.Инвестиционна програма'!$B$12:$B$35,$B56,'9.Инвестиционна програма'!J$12:J$35)*$E$6</f>
        <v>0</v>
      </c>
      <c r="I56" s="2646">
        <f>SUMIF('9.Инвестиционна програма'!$B$12:$B$35,$B56,'9.Инвестиционна програма'!K$12:K$35)*$E$6</f>
        <v>0</v>
      </c>
      <c r="J56" s="2646">
        <f>SUMIF('9.Инвестиционна програма'!$B$12:$B$35,$B56,'9.Инвестиционна програма'!L$12:L$35)*$E$6</f>
        <v>0</v>
      </c>
      <c r="K56" s="2665">
        <f>SUMIF('9.Инвестиционна програма'!$B$12:$B$35,$B56,'9.Инвестиционна програма'!M$12:M$35)*$E$6</f>
        <v>0</v>
      </c>
      <c r="L56" s="1113">
        <f>'11.2. ДА за периода'!L56</f>
        <v>0</v>
      </c>
      <c r="M56" s="2658">
        <f>SUMIF('9.Инвестиционна програма'!$B$37:$B$47,$B56,'9.Инвестиционна програма'!H$37:H$47)*$E$6</f>
        <v>0</v>
      </c>
      <c r="N56" s="2646">
        <f>SUMIF('9.Инвестиционна програма'!$B$37:$B$47,$B56,'9.Инвестиционна програма'!I$37:I$47)*$E$6</f>
        <v>0</v>
      </c>
      <c r="O56" s="2646">
        <f>SUMIF('9.Инвестиционна програма'!$B$37:$B$47,$B56,'9.Инвестиционна програма'!J$37:J$47)*$E$6</f>
        <v>0</v>
      </c>
      <c r="P56" s="2646">
        <f>SUMIF('9.Инвестиционна програма'!$B$37:$B$47,$B56,'9.Инвестиционна програма'!K$37:K$47)*$E$6</f>
        <v>0</v>
      </c>
      <c r="Q56" s="2646">
        <f>SUMIF('9.Инвестиционна програма'!$B$37:$B$47,$B56,'9.Инвестиционна програма'!L$37:L$47)*$E$6</f>
        <v>0</v>
      </c>
      <c r="R56" s="2647">
        <f>SUMIF('9.Инвестиционна програма'!$B$37:$B$47,$B56,'9.Инвестиционна програма'!M$37:M$47)*$E$6</f>
        <v>0</v>
      </c>
      <c r="S56" s="1113">
        <f>'11.2. ДА за периода'!S56</f>
        <v>0</v>
      </c>
      <c r="T56" s="2645">
        <f>SUMIF('9.Инвестиционна програма'!$B$49:$B$56,$B56,'9.Инвестиционна програма'!H$49:H$56)*$E$6</f>
        <v>0</v>
      </c>
      <c r="U56" s="2646">
        <f>SUMIF('9.Инвестиционна програма'!$B$49:$B$56,$B56,'9.Инвестиционна програма'!I$49:I$56)*$E$6</f>
        <v>0</v>
      </c>
      <c r="V56" s="2646">
        <f>SUMIF('9.Инвестиционна програма'!$B$49:$B$56,$B56,'9.Инвестиционна програма'!J$49:J$56)*$E$6</f>
        <v>0</v>
      </c>
      <c r="W56" s="2646">
        <f>SUMIF('9.Инвестиционна програма'!$B$49:$B$56,$B56,'9.Инвестиционна програма'!K$49:K$56)*$E$6</f>
        <v>0</v>
      </c>
      <c r="X56" s="2646">
        <f>SUMIF('9.Инвестиционна програма'!$B$49:$B$56,$B56,'9.Инвестиционна програма'!L$49:L$56)*$E$6</f>
        <v>0</v>
      </c>
      <c r="Y56" s="2647">
        <f>SUMIF('9.Инвестиционна програма'!$B$49:$B$56,$B56,'9.Инвестиционна програма'!M$49:M$56)*$E$6</f>
        <v>0</v>
      </c>
      <c r="Z56" s="1113">
        <f>'11.2. ДА за периода'!Z56</f>
        <v>0</v>
      </c>
      <c r="AA56" s="2645">
        <f>SUMIF('9.Инвестиционна програма'!$B$74:$B$97,$B56,'9.Инвестиционна програма'!H$74:H$97)*$E$6</f>
        <v>0</v>
      </c>
      <c r="AB56" s="2646">
        <f>SUMIF('9.Инвестиционна програма'!$B$74:$B$97,$B56,'9.Инвестиционна програма'!I$74:I$97)*$E$6</f>
        <v>0</v>
      </c>
      <c r="AC56" s="2646">
        <f>SUMIF('9.Инвестиционна програма'!$B$74:$B$97,$B56,'9.Инвестиционна програма'!J$74:J$97)*$E$6</f>
        <v>0</v>
      </c>
      <c r="AD56" s="2646">
        <f>SUMIF('9.Инвестиционна програма'!$B$74:$B$97,$B56,'9.Инвестиционна програма'!K$74:K$97)*$E$6</f>
        <v>0</v>
      </c>
      <c r="AE56" s="2646">
        <f>SUMIF('9.Инвестиционна програма'!$B$74:$B$97,$B56,'9.Инвестиционна програма'!L$74:L$97)*$E$6</f>
        <v>0</v>
      </c>
      <c r="AF56" s="2647">
        <f>SUMIF('9.Инвестиционна програма'!$B$74:$B$97,$B56,'9.Инвестиционна програма'!M$74:M$97)*$E$6</f>
        <v>0</v>
      </c>
      <c r="AG56" s="1113">
        <f>'11.2. ДА за периода'!AG56</f>
        <v>0</v>
      </c>
      <c r="AH56" s="2645">
        <f>SUMIF('9.Инвестиционна програма'!$B$100:$B$123,$B56,'9.Инвестиционна програма'!H$100:H$123)*$E$6</f>
        <v>0</v>
      </c>
      <c r="AI56" s="2646">
        <f>SUMIF('9.Инвестиционна програма'!$B$100:$B$123,$B56,'9.Инвестиционна програма'!I$100:I$123)*$E$6</f>
        <v>0</v>
      </c>
      <c r="AJ56" s="2646">
        <f>SUMIF('9.Инвестиционна програма'!$B$100:$B$123,$B56,'9.Инвестиционна програма'!J$100:J$123)*$E$6</f>
        <v>0</v>
      </c>
      <c r="AK56" s="2646">
        <f>SUMIF('9.Инвестиционна програма'!$B$100:$B$123,$B56,'9.Инвестиционна програма'!K$100:K$123)*$E$6</f>
        <v>0</v>
      </c>
      <c r="AL56" s="2646">
        <f>SUMIF('9.Инвестиционна програма'!$B$100:$B$123,$B56,'9.Инвестиционна програма'!L$100:L$123)*$E$6</f>
        <v>0</v>
      </c>
      <c r="AM56" s="2647">
        <f>SUMIF('9.Инвестиционна програма'!$B$100:$B$123,$B56,'9.Инвестиционна програма'!M$100:M$123)*$E$6</f>
        <v>0</v>
      </c>
      <c r="AN56" s="1113">
        <f>'11.2. ДА за периода'!AN56</f>
        <v>0</v>
      </c>
      <c r="AO56" s="2645">
        <f>(SUMIF('9.Инвестиционна програма'!$B$58:$B$59,$B56,'9.Инвестиционна програма'!H$58:H$59)+SUMIF('9.Инвестиционна програма'!$B$61:$B$71,$B56,'9.Инвестиционна програма'!H$61:H$71))*$E$6</f>
        <v>0</v>
      </c>
      <c r="AP56" s="2646">
        <f>(SUMIF('9.Инвестиционна програма'!$B$58:$B$59,$B56,'9.Инвестиционна програма'!I$58:I$59)+SUMIF('9.Инвестиционна програма'!$B$61:$B$71,$B56,'9.Инвестиционна програма'!I$61:I$71))*$E$6</f>
        <v>19</v>
      </c>
      <c r="AQ56" s="2646">
        <f>(SUMIF('9.Инвестиционна програма'!$B$58:$B$59,$B56,'9.Инвестиционна програма'!J$58:J$59)+SUMIF('9.Инвестиционна програма'!$B$61:$B$71,$B56,'9.Инвестиционна програма'!J$61:J$71))*$E$6</f>
        <v>13</v>
      </c>
      <c r="AR56" s="2646">
        <f>(SUMIF('9.Инвестиционна програма'!$B$58:$B$59,$B56,'9.Инвестиционна програма'!K$58:K$59)+SUMIF('9.Инвестиционна програма'!$B$61:$B$71,$B56,'9.Инвестиционна програма'!K$61:K$71))*$E$6</f>
        <v>32</v>
      </c>
      <c r="AS56" s="2646">
        <f>(SUMIF('9.Инвестиционна програма'!$B$58:$B$59,$B56,'9.Инвестиционна програма'!L$58:L$59)+SUMIF('9.Инвестиционна програма'!$B$61:$B$71,$B56,'9.Инвестиционна програма'!L$61:L$71))*$E$6</f>
        <v>26</v>
      </c>
      <c r="AT56" s="2647">
        <f>(SUMIF('9.Инвестиционна програма'!$B$58:$B$59,$B56,'9.Инвестиционна програма'!M$58:M$59)+SUMIF('9.Инвестиционна програма'!$B$61:$B$71,$B56,'9.Инвестиционна програма'!M$61:M$71))*$E$6</f>
        <v>13</v>
      </c>
      <c r="AU56" s="4488"/>
      <c r="AV56" s="4504">
        <f t="shared" si="47"/>
        <v>0</v>
      </c>
      <c r="AW56" s="4504">
        <f t="shared" si="48"/>
        <v>0</v>
      </c>
      <c r="AX56" s="4504">
        <f t="shared" si="49"/>
        <v>0</v>
      </c>
      <c r="AY56" s="4504">
        <f t="shared" si="50"/>
        <v>0</v>
      </c>
      <c r="AZ56" s="4504">
        <f t="shared" si="51"/>
        <v>0</v>
      </c>
      <c r="BA56" s="4504">
        <f t="shared" si="52"/>
        <v>0</v>
      </c>
      <c r="BB56" s="4504">
        <f t="shared" si="53"/>
        <v>0</v>
      </c>
      <c r="BC56" s="4504">
        <f t="shared" si="54"/>
        <v>0</v>
      </c>
      <c r="BD56" s="4504">
        <f t="shared" si="55"/>
        <v>0</v>
      </c>
      <c r="BE56" s="4504">
        <f t="shared" si="56"/>
        <v>0</v>
      </c>
      <c r="BF56" s="4504">
        <f t="shared" si="57"/>
        <v>0</v>
      </c>
      <c r="BG56" s="4504">
        <f t="shared" si="58"/>
        <v>0</v>
      </c>
      <c r="BH56" s="4504">
        <f t="shared" si="59"/>
        <v>0</v>
      </c>
      <c r="BI56" s="4504">
        <f t="shared" si="60"/>
        <v>0</v>
      </c>
      <c r="BJ56" s="4504">
        <f t="shared" si="61"/>
        <v>0</v>
      </c>
      <c r="BK56" s="4504">
        <f t="shared" si="62"/>
        <v>0</v>
      </c>
      <c r="BL56" s="4504">
        <f t="shared" si="63"/>
        <v>0</v>
      </c>
      <c r="BM56" s="4504">
        <f t="shared" si="64"/>
        <v>0</v>
      </c>
      <c r="BN56" s="4504">
        <f t="shared" si="65"/>
        <v>0</v>
      </c>
      <c r="BO56" s="4504">
        <f t="shared" si="66"/>
        <v>0</v>
      </c>
      <c r="BP56" s="4504">
        <f t="shared" si="67"/>
        <v>0</v>
      </c>
      <c r="BQ56" s="4504">
        <f t="shared" si="68"/>
        <v>0</v>
      </c>
      <c r="BR56" s="4504">
        <f t="shared" si="69"/>
        <v>0</v>
      </c>
      <c r="BS56" s="4504">
        <f t="shared" si="70"/>
        <v>0</v>
      </c>
      <c r="BT56" s="4504">
        <f t="shared" si="71"/>
        <v>0</v>
      </c>
      <c r="BU56" s="4504">
        <f t="shared" si="72"/>
        <v>0</v>
      </c>
      <c r="BV56" s="4504">
        <f t="shared" si="73"/>
        <v>0</v>
      </c>
      <c r="BW56" s="4504">
        <f t="shared" si="74"/>
        <v>0</v>
      </c>
      <c r="BX56" s="4504">
        <f t="shared" si="75"/>
        <v>0</v>
      </c>
      <c r="BY56" s="4504">
        <f t="shared" si="76"/>
        <v>0</v>
      </c>
      <c r="BZ56" s="4504">
        <f t="shared" si="77"/>
        <v>0</v>
      </c>
      <c r="CA56" s="4504">
        <f t="shared" si="78"/>
        <v>0</v>
      </c>
      <c r="CB56" s="4504">
        <f t="shared" si="79"/>
        <v>0</v>
      </c>
      <c r="CC56" s="4504">
        <f t="shared" si="80"/>
        <v>0</v>
      </c>
      <c r="CD56" s="4504">
        <f t="shared" si="81"/>
        <v>0</v>
      </c>
      <c r="CE56" s="4504">
        <f t="shared" si="82"/>
        <v>0</v>
      </c>
      <c r="CF56" s="4504">
        <f t="shared" si="83"/>
        <v>0</v>
      </c>
      <c r="CG56" s="4504">
        <f t="shared" si="84"/>
        <v>9.7145457427281521</v>
      </c>
      <c r="CH56" s="4504">
        <f t="shared" si="85"/>
        <v>6.6467944555508405</v>
      </c>
      <c r="CI56" s="4504">
        <f t="shared" si="86"/>
        <v>16.361340198278992</v>
      </c>
      <c r="CJ56" s="4504">
        <f t="shared" si="87"/>
        <v>13.293588911101681</v>
      </c>
      <c r="CK56" s="4504">
        <f t="shared" si="88"/>
        <v>6.6467944555508405</v>
      </c>
    </row>
    <row r="57" spans="1:89" s="30" customFormat="1">
      <c r="A57" s="2734">
        <v>10</v>
      </c>
      <c r="B57" s="3621">
        <v>213</v>
      </c>
      <c r="C57" s="3604">
        <v>0.2</v>
      </c>
      <c r="D57" s="2733" t="s">
        <v>215</v>
      </c>
      <c r="E57" s="2727">
        <f>'11.2. ДА за периода'!E57</f>
        <v>0</v>
      </c>
      <c r="F57" s="2658">
        <f>SUMIF('9.Инвестиционна програма'!$B$12:$B$35,$B57,'9.Инвестиционна програма'!H$12:H$35)*$E$6</f>
        <v>0</v>
      </c>
      <c r="G57" s="2646">
        <f>SUMIF('9.Инвестиционна програма'!$B$12:$B$35,$B57,'9.Инвестиционна програма'!I$12:I$35)*$E$6</f>
        <v>0</v>
      </c>
      <c r="H57" s="2646">
        <f>SUMIF('9.Инвестиционна програма'!$B$12:$B$35,$B57,'9.Инвестиционна програма'!J$12:J$35)*$E$6</f>
        <v>0</v>
      </c>
      <c r="I57" s="2646">
        <f>SUMIF('9.Инвестиционна програма'!$B$12:$B$35,$B57,'9.Инвестиционна програма'!K$12:K$35)*$E$6</f>
        <v>0</v>
      </c>
      <c r="J57" s="2646">
        <f>SUMIF('9.Инвестиционна програма'!$B$12:$B$35,$B57,'9.Инвестиционна програма'!L$12:L$35)*$E$6</f>
        <v>0</v>
      </c>
      <c r="K57" s="2665">
        <f>SUMIF('9.Инвестиционна програма'!$B$12:$B$35,$B57,'9.Инвестиционна програма'!M$12:M$35)*$E$6</f>
        <v>0</v>
      </c>
      <c r="L57" s="1113">
        <f>'11.2. ДА за периода'!L57</f>
        <v>0</v>
      </c>
      <c r="M57" s="2658">
        <f>SUMIF('9.Инвестиционна програма'!$B$37:$B$47,$B57,'9.Инвестиционна програма'!H$37:H$47)*$E$6</f>
        <v>0</v>
      </c>
      <c r="N57" s="2646">
        <f>SUMIF('9.Инвестиционна програма'!$B$37:$B$47,$B57,'9.Инвестиционна програма'!I$37:I$47)*$E$6</f>
        <v>0</v>
      </c>
      <c r="O57" s="2646">
        <f>SUMIF('9.Инвестиционна програма'!$B$37:$B$47,$B57,'9.Инвестиционна програма'!J$37:J$47)*$E$6</f>
        <v>0</v>
      </c>
      <c r="P57" s="2646">
        <f>SUMIF('9.Инвестиционна програма'!$B$37:$B$47,$B57,'9.Инвестиционна програма'!K$37:K$47)*$E$6</f>
        <v>0</v>
      </c>
      <c r="Q57" s="2646">
        <f>SUMIF('9.Инвестиционна програма'!$B$37:$B$47,$B57,'9.Инвестиционна програма'!L$37:L$47)*$E$6</f>
        <v>0</v>
      </c>
      <c r="R57" s="2647">
        <f>SUMIF('9.Инвестиционна програма'!$B$37:$B$47,$B57,'9.Инвестиционна програма'!M$37:M$47)*$E$6</f>
        <v>0</v>
      </c>
      <c r="S57" s="1113">
        <f>'11.2. ДА за периода'!S57</f>
        <v>0</v>
      </c>
      <c r="T57" s="2645">
        <f>SUMIF('9.Инвестиционна програма'!$B$49:$B$56,$B57,'9.Инвестиционна програма'!H$49:H$56)*$E$6</f>
        <v>0</v>
      </c>
      <c r="U57" s="2646">
        <f>SUMIF('9.Инвестиционна програма'!$B$49:$B$56,$B57,'9.Инвестиционна програма'!I$49:I$56)*$E$6</f>
        <v>0</v>
      </c>
      <c r="V57" s="2646">
        <f>SUMIF('9.Инвестиционна програма'!$B$49:$B$56,$B57,'9.Инвестиционна програма'!J$49:J$56)*$E$6</f>
        <v>0</v>
      </c>
      <c r="W57" s="2646">
        <f>SUMIF('9.Инвестиционна програма'!$B$49:$B$56,$B57,'9.Инвестиционна програма'!K$49:K$56)*$E$6</f>
        <v>0</v>
      </c>
      <c r="X57" s="2646">
        <f>SUMIF('9.Инвестиционна програма'!$B$49:$B$56,$B57,'9.Инвестиционна програма'!L$49:L$56)*$E$6</f>
        <v>0</v>
      </c>
      <c r="Y57" s="2647">
        <f>SUMIF('9.Инвестиционна програма'!$B$49:$B$56,$B57,'9.Инвестиционна програма'!M$49:M$56)*$E$6</f>
        <v>0</v>
      </c>
      <c r="Z57" s="1113">
        <f>'11.2. ДА за периода'!Z57</f>
        <v>0</v>
      </c>
      <c r="AA57" s="2645">
        <f>SUMIF('9.Инвестиционна програма'!$B$74:$B$97,$B57,'9.Инвестиционна програма'!H$74:H$97)*$E$6</f>
        <v>0</v>
      </c>
      <c r="AB57" s="2646">
        <f>SUMIF('9.Инвестиционна програма'!$B$74:$B$97,$B57,'9.Инвестиционна програма'!I$74:I$97)*$E$6</f>
        <v>0</v>
      </c>
      <c r="AC57" s="2646">
        <f>SUMIF('9.Инвестиционна програма'!$B$74:$B$97,$B57,'9.Инвестиционна програма'!J$74:J$97)*$E$6</f>
        <v>0</v>
      </c>
      <c r="AD57" s="2646">
        <f>SUMIF('9.Инвестиционна програма'!$B$74:$B$97,$B57,'9.Инвестиционна програма'!K$74:K$97)*$E$6</f>
        <v>0</v>
      </c>
      <c r="AE57" s="2646">
        <f>SUMIF('9.Инвестиционна програма'!$B$74:$B$97,$B57,'9.Инвестиционна програма'!L$74:L$97)*$E$6</f>
        <v>0</v>
      </c>
      <c r="AF57" s="2647">
        <f>SUMIF('9.Инвестиционна програма'!$B$74:$B$97,$B57,'9.Инвестиционна програма'!M$74:M$97)*$E$6</f>
        <v>0</v>
      </c>
      <c r="AG57" s="1113">
        <f>'11.2. ДА за периода'!AG57</f>
        <v>0</v>
      </c>
      <c r="AH57" s="2645">
        <f>SUMIF('9.Инвестиционна програма'!$B$100:$B$123,$B57,'9.Инвестиционна програма'!H$100:H$123)*$E$6</f>
        <v>0</v>
      </c>
      <c r="AI57" s="2646">
        <f>SUMIF('9.Инвестиционна програма'!$B$100:$B$123,$B57,'9.Инвестиционна програма'!I$100:I$123)*$E$6</f>
        <v>0</v>
      </c>
      <c r="AJ57" s="2646">
        <f>SUMIF('9.Инвестиционна програма'!$B$100:$B$123,$B57,'9.Инвестиционна програма'!J$100:J$123)*$E$6</f>
        <v>0</v>
      </c>
      <c r="AK57" s="2646">
        <f>SUMIF('9.Инвестиционна програма'!$B$100:$B$123,$B57,'9.Инвестиционна програма'!K$100:K$123)*$E$6</f>
        <v>0</v>
      </c>
      <c r="AL57" s="2646">
        <f>SUMIF('9.Инвестиционна програма'!$B$100:$B$123,$B57,'9.Инвестиционна програма'!L$100:L$123)*$E$6</f>
        <v>0</v>
      </c>
      <c r="AM57" s="2647">
        <f>SUMIF('9.Инвестиционна програма'!$B$100:$B$123,$B57,'9.Инвестиционна програма'!M$100:M$123)*$E$6</f>
        <v>0</v>
      </c>
      <c r="AN57" s="1113">
        <f>'11.2. ДА за периода'!AN57</f>
        <v>0</v>
      </c>
      <c r="AO57" s="2645">
        <f>(SUMIF('9.Инвестиционна програма'!$B$58:$B$59,$B57,'9.Инвестиционна програма'!H$58:H$59)+SUMIF('9.Инвестиционна програма'!$B$61:$B$71,$B57,'9.Инвестиционна програма'!H$61:H$71))*$E$6</f>
        <v>0</v>
      </c>
      <c r="AP57" s="2646">
        <f>(SUMIF('9.Инвестиционна програма'!$B$58:$B$59,$B57,'9.Инвестиционна програма'!I$58:I$59)+SUMIF('9.Инвестиционна програма'!$B$61:$B$71,$B57,'9.Инвестиционна програма'!I$61:I$71))*$E$6</f>
        <v>0</v>
      </c>
      <c r="AQ57" s="2646">
        <f>(SUMIF('9.Инвестиционна програма'!$B$58:$B$59,$B57,'9.Инвестиционна програма'!J$58:J$59)+SUMIF('9.Инвестиционна програма'!$B$61:$B$71,$B57,'9.Инвестиционна програма'!J$61:J$71))*$E$6</f>
        <v>0</v>
      </c>
      <c r="AR57" s="2646">
        <f>(SUMIF('9.Инвестиционна програма'!$B$58:$B$59,$B57,'9.Инвестиционна програма'!K$58:K$59)+SUMIF('9.Инвестиционна програма'!$B$61:$B$71,$B57,'9.Инвестиционна програма'!K$61:K$71))*$E$6</f>
        <v>0</v>
      </c>
      <c r="AS57" s="2646">
        <f>(SUMIF('9.Инвестиционна програма'!$B$58:$B$59,$B57,'9.Инвестиционна програма'!L$58:L$59)+SUMIF('9.Инвестиционна програма'!$B$61:$B$71,$B57,'9.Инвестиционна програма'!L$61:L$71))*$E$6</f>
        <v>0</v>
      </c>
      <c r="AT57" s="2647">
        <f>(SUMIF('9.Инвестиционна програма'!$B$58:$B$59,$B57,'9.Инвестиционна програма'!M$58:M$59)+SUMIF('9.Инвестиционна програма'!$B$61:$B$71,$B57,'9.Инвестиционна програма'!M$61:M$71))*$E$6</f>
        <v>0</v>
      </c>
      <c r="AU57" s="4488"/>
      <c r="AV57" s="4504">
        <f t="shared" si="47"/>
        <v>0</v>
      </c>
      <c r="AW57" s="4504">
        <f t="shared" si="48"/>
        <v>0</v>
      </c>
      <c r="AX57" s="4504">
        <f t="shared" si="49"/>
        <v>0</v>
      </c>
      <c r="AY57" s="4504">
        <f t="shared" si="50"/>
        <v>0</v>
      </c>
      <c r="AZ57" s="4504">
        <f t="shared" si="51"/>
        <v>0</v>
      </c>
      <c r="BA57" s="4504">
        <f t="shared" si="52"/>
        <v>0</v>
      </c>
      <c r="BB57" s="4504">
        <f t="shared" si="53"/>
        <v>0</v>
      </c>
      <c r="BC57" s="4504">
        <f t="shared" si="54"/>
        <v>0</v>
      </c>
      <c r="BD57" s="4504">
        <f t="shared" si="55"/>
        <v>0</v>
      </c>
      <c r="BE57" s="4504">
        <f t="shared" si="56"/>
        <v>0</v>
      </c>
      <c r="BF57" s="4504">
        <f t="shared" si="57"/>
        <v>0</v>
      </c>
      <c r="BG57" s="4504">
        <f t="shared" si="58"/>
        <v>0</v>
      </c>
      <c r="BH57" s="4504">
        <f t="shared" si="59"/>
        <v>0</v>
      </c>
      <c r="BI57" s="4504">
        <f t="shared" si="60"/>
        <v>0</v>
      </c>
      <c r="BJ57" s="4504">
        <f t="shared" si="61"/>
        <v>0</v>
      </c>
      <c r="BK57" s="4504">
        <f t="shared" si="62"/>
        <v>0</v>
      </c>
      <c r="BL57" s="4504">
        <f t="shared" si="63"/>
        <v>0</v>
      </c>
      <c r="BM57" s="4504">
        <f t="shared" si="64"/>
        <v>0</v>
      </c>
      <c r="BN57" s="4504">
        <f t="shared" si="65"/>
        <v>0</v>
      </c>
      <c r="BO57" s="4504">
        <f t="shared" si="66"/>
        <v>0</v>
      </c>
      <c r="BP57" s="4504">
        <f t="shared" si="67"/>
        <v>0</v>
      </c>
      <c r="BQ57" s="4504">
        <f t="shared" si="68"/>
        <v>0</v>
      </c>
      <c r="BR57" s="4504">
        <f t="shared" si="69"/>
        <v>0</v>
      </c>
      <c r="BS57" s="4504">
        <f t="shared" si="70"/>
        <v>0</v>
      </c>
      <c r="BT57" s="4504">
        <f t="shared" si="71"/>
        <v>0</v>
      </c>
      <c r="BU57" s="4504">
        <f t="shared" si="72"/>
        <v>0</v>
      </c>
      <c r="BV57" s="4504">
        <f t="shared" si="73"/>
        <v>0</v>
      </c>
      <c r="BW57" s="4504">
        <f t="shared" si="74"/>
        <v>0</v>
      </c>
      <c r="BX57" s="4504">
        <f t="shared" si="75"/>
        <v>0</v>
      </c>
      <c r="BY57" s="4504">
        <f t="shared" si="76"/>
        <v>0</v>
      </c>
      <c r="BZ57" s="4504">
        <f t="shared" si="77"/>
        <v>0</v>
      </c>
      <c r="CA57" s="4504">
        <f t="shared" si="78"/>
        <v>0</v>
      </c>
      <c r="CB57" s="4504">
        <f t="shared" si="79"/>
        <v>0</v>
      </c>
      <c r="CC57" s="4504">
        <f t="shared" si="80"/>
        <v>0</v>
      </c>
      <c r="CD57" s="4504">
        <f t="shared" si="81"/>
        <v>0</v>
      </c>
      <c r="CE57" s="4504">
        <f t="shared" si="82"/>
        <v>0</v>
      </c>
      <c r="CF57" s="4504">
        <f t="shared" si="83"/>
        <v>0</v>
      </c>
      <c r="CG57" s="4504">
        <f t="shared" si="84"/>
        <v>0</v>
      </c>
      <c r="CH57" s="4504">
        <f t="shared" si="85"/>
        <v>0</v>
      </c>
      <c r="CI57" s="4504">
        <f t="shared" si="86"/>
        <v>0</v>
      </c>
      <c r="CJ57" s="4504">
        <f t="shared" si="87"/>
        <v>0</v>
      </c>
      <c r="CK57" s="4504">
        <f t="shared" si="88"/>
        <v>0</v>
      </c>
    </row>
    <row r="58" spans="1:89" s="30" customFormat="1" ht="23.4">
      <c r="A58" s="2734">
        <v>11</v>
      </c>
      <c r="B58" s="3621">
        <v>215</v>
      </c>
      <c r="C58" s="3604">
        <v>0.2</v>
      </c>
      <c r="D58" s="2733" t="s">
        <v>679</v>
      </c>
      <c r="E58" s="2727">
        <f>'11.2. ДА за периода'!E58</f>
        <v>48</v>
      </c>
      <c r="F58" s="2658">
        <f>SUMIF('9.Инвестиционна програма'!$B$12:$B$35,$B58,'9.Инвестиционна програма'!H$12:H$35)*$E$6</f>
        <v>100</v>
      </c>
      <c r="G58" s="2646">
        <f>SUMIF('9.Инвестиционна програма'!$B$12:$B$35,$B58,'9.Инвестиционна програма'!I$12:I$35)*$E$6</f>
        <v>0</v>
      </c>
      <c r="H58" s="2646">
        <f>SUMIF('9.Инвестиционна програма'!$B$12:$B$35,$B58,'9.Инвестиционна програма'!J$12:J$35)*$E$6</f>
        <v>0</v>
      </c>
      <c r="I58" s="2646">
        <f>SUMIF('9.Инвестиционна програма'!$B$12:$B$35,$B58,'9.Инвестиционна програма'!K$12:K$35)*$E$6</f>
        <v>0</v>
      </c>
      <c r="J58" s="2646">
        <f>SUMIF('9.Инвестиционна програма'!$B$12:$B$35,$B58,'9.Инвестиционна програма'!L$12:L$35)*$E$6</f>
        <v>0</v>
      </c>
      <c r="K58" s="2665">
        <f>SUMIF('9.Инвестиционна програма'!$B$12:$B$35,$B58,'9.Инвестиционна програма'!M$12:M$35)*$E$6</f>
        <v>0</v>
      </c>
      <c r="L58" s="1113">
        <f>'11.2. ДА за периода'!L58</f>
        <v>0</v>
      </c>
      <c r="M58" s="2658">
        <f>SUMIF('9.Инвестиционна програма'!$B$37:$B$47,$B58,'9.Инвестиционна програма'!H$37:H$47)*$E$6</f>
        <v>0</v>
      </c>
      <c r="N58" s="2646">
        <f>SUMIF('9.Инвестиционна програма'!$B$37:$B$47,$B58,'9.Инвестиционна програма'!I$37:I$47)*$E$6</f>
        <v>0</v>
      </c>
      <c r="O58" s="2646">
        <f>SUMIF('9.Инвестиционна програма'!$B$37:$B$47,$B58,'9.Инвестиционна програма'!J$37:J$47)*$E$6</f>
        <v>0</v>
      </c>
      <c r="P58" s="2646">
        <f>SUMIF('9.Инвестиционна програма'!$B$37:$B$47,$B58,'9.Инвестиционна програма'!K$37:K$47)*$E$6</f>
        <v>0</v>
      </c>
      <c r="Q58" s="2646">
        <f>SUMIF('9.Инвестиционна програма'!$B$37:$B$47,$B58,'9.Инвестиционна програма'!L$37:L$47)*$E$6</f>
        <v>0</v>
      </c>
      <c r="R58" s="2647">
        <f>SUMIF('9.Инвестиционна програма'!$B$37:$B$47,$B58,'9.Инвестиционна програма'!M$37:M$47)*$E$6</f>
        <v>0</v>
      </c>
      <c r="S58" s="1113">
        <f>'11.2. ДА за периода'!S58</f>
        <v>0</v>
      </c>
      <c r="T58" s="2645">
        <f>SUMIF('9.Инвестиционна програма'!$B$49:$B$56,$B58,'9.Инвестиционна програма'!H$49:H$56)*$E$6</f>
        <v>0</v>
      </c>
      <c r="U58" s="2646">
        <f>SUMIF('9.Инвестиционна програма'!$B$49:$B$56,$B58,'9.Инвестиционна програма'!I$49:I$56)*$E$6</f>
        <v>0</v>
      </c>
      <c r="V58" s="2646">
        <f>SUMIF('9.Инвестиционна програма'!$B$49:$B$56,$B58,'9.Инвестиционна програма'!J$49:J$56)*$E$6</f>
        <v>0</v>
      </c>
      <c r="W58" s="2646">
        <f>SUMIF('9.Инвестиционна програма'!$B$49:$B$56,$B58,'9.Инвестиционна програма'!K$49:K$56)*$E$6</f>
        <v>0</v>
      </c>
      <c r="X58" s="2646">
        <f>SUMIF('9.Инвестиционна програма'!$B$49:$B$56,$B58,'9.Инвестиционна програма'!L$49:L$56)*$E$6</f>
        <v>0</v>
      </c>
      <c r="Y58" s="2647">
        <f>SUMIF('9.Инвестиционна програма'!$B$49:$B$56,$B58,'9.Инвестиционна програма'!M$49:M$56)*$E$6</f>
        <v>0</v>
      </c>
      <c r="Z58" s="1113">
        <f>'11.2. ДА за периода'!Z58</f>
        <v>0</v>
      </c>
      <c r="AA58" s="2645">
        <f>SUMIF('9.Инвестиционна програма'!$B$74:$B$97,$B58,'9.Инвестиционна програма'!H$74:H$97)*$E$6</f>
        <v>0</v>
      </c>
      <c r="AB58" s="2646">
        <f>SUMIF('9.Инвестиционна програма'!$B$74:$B$97,$B58,'9.Инвестиционна програма'!I$74:I$97)*$E$6</f>
        <v>0</v>
      </c>
      <c r="AC58" s="2646">
        <f>SUMIF('9.Инвестиционна програма'!$B$74:$B$97,$B58,'9.Инвестиционна програма'!J$74:J$97)*$E$6</f>
        <v>0</v>
      </c>
      <c r="AD58" s="2646">
        <f>SUMIF('9.Инвестиционна програма'!$B$74:$B$97,$B58,'9.Инвестиционна програма'!K$74:K$97)*$E$6</f>
        <v>0</v>
      </c>
      <c r="AE58" s="2646">
        <f>SUMIF('9.Инвестиционна програма'!$B$74:$B$97,$B58,'9.Инвестиционна програма'!L$74:L$97)*$E$6</f>
        <v>0</v>
      </c>
      <c r="AF58" s="2647">
        <f>SUMIF('9.Инвестиционна програма'!$B$74:$B$97,$B58,'9.Инвестиционна програма'!M$74:M$97)*$E$6</f>
        <v>0</v>
      </c>
      <c r="AG58" s="1113">
        <f>'11.2. ДА за периода'!AG58</f>
        <v>0</v>
      </c>
      <c r="AH58" s="2645">
        <f>SUMIF('9.Инвестиционна програма'!$B$100:$B$123,$B58,'9.Инвестиционна програма'!H$100:H$123)*$E$6</f>
        <v>0</v>
      </c>
      <c r="AI58" s="2646">
        <f>SUMIF('9.Инвестиционна програма'!$B$100:$B$123,$B58,'9.Инвестиционна програма'!I$100:I$123)*$E$6</f>
        <v>0</v>
      </c>
      <c r="AJ58" s="2646">
        <f>SUMIF('9.Инвестиционна програма'!$B$100:$B$123,$B58,'9.Инвестиционна програма'!J$100:J$123)*$E$6</f>
        <v>0</v>
      </c>
      <c r="AK58" s="2646">
        <f>SUMIF('9.Инвестиционна програма'!$B$100:$B$123,$B58,'9.Инвестиционна програма'!K$100:K$123)*$E$6</f>
        <v>0</v>
      </c>
      <c r="AL58" s="2646">
        <f>SUMIF('9.Инвестиционна програма'!$B$100:$B$123,$B58,'9.Инвестиционна програма'!L$100:L$123)*$E$6</f>
        <v>0</v>
      </c>
      <c r="AM58" s="2647">
        <f>SUMIF('9.Инвестиционна програма'!$B$100:$B$123,$B58,'9.Инвестиционна програма'!M$100:M$123)*$E$6</f>
        <v>0</v>
      </c>
      <c r="AN58" s="1113">
        <f>'11.2. ДА за периода'!AN58</f>
        <v>0</v>
      </c>
      <c r="AO58" s="2645">
        <f>(SUMIF('9.Инвестиционна програма'!$B$58:$B$59,$B58,'9.Инвестиционна програма'!H$58:H$59)+SUMIF('9.Инвестиционна програма'!$B$61:$B$71,$B58,'9.Инвестиционна програма'!H$61:H$71))*$E$6</f>
        <v>0</v>
      </c>
      <c r="AP58" s="2646">
        <f>(SUMIF('9.Инвестиционна програма'!$B$58:$B$59,$B58,'9.Инвестиционна програма'!I$58:I$59)+SUMIF('9.Инвестиционна програма'!$B$61:$B$71,$B58,'9.Инвестиционна програма'!I$61:I$71))*$E$6</f>
        <v>0</v>
      </c>
      <c r="AQ58" s="2646">
        <f>(SUMIF('9.Инвестиционна програма'!$B$58:$B$59,$B58,'9.Инвестиционна програма'!J$58:J$59)+SUMIF('9.Инвестиционна програма'!$B$61:$B$71,$B58,'9.Инвестиционна програма'!J$61:J$71))*$E$6</f>
        <v>0</v>
      </c>
      <c r="AR58" s="2646">
        <f>(SUMIF('9.Инвестиционна програма'!$B$58:$B$59,$B58,'9.Инвестиционна програма'!K$58:K$59)+SUMIF('9.Инвестиционна програма'!$B$61:$B$71,$B58,'9.Инвестиционна програма'!K$61:K$71))*$E$6</f>
        <v>0</v>
      </c>
      <c r="AS58" s="2646">
        <f>(SUMIF('9.Инвестиционна програма'!$B$58:$B$59,$B58,'9.Инвестиционна програма'!L$58:L$59)+SUMIF('9.Инвестиционна програма'!$B$61:$B$71,$B58,'9.Инвестиционна програма'!L$61:L$71))*$E$6</f>
        <v>0</v>
      </c>
      <c r="AT58" s="2647">
        <f>(SUMIF('9.Инвестиционна програма'!$B$58:$B$59,$B58,'9.Инвестиционна програма'!M$58:M$59)+SUMIF('9.Инвестиционна програма'!$B$61:$B$71,$B58,'9.Инвестиционна програма'!M$61:M$71))*$E$6</f>
        <v>0</v>
      </c>
      <c r="AU58" s="4488"/>
      <c r="AV58" s="4504">
        <f t="shared" si="47"/>
        <v>24.542010297418489</v>
      </c>
      <c r="AW58" s="4504">
        <f t="shared" si="48"/>
        <v>51.129188119621851</v>
      </c>
      <c r="AX58" s="4504">
        <f t="shared" si="49"/>
        <v>0</v>
      </c>
      <c r="AY58" s="4504">
        <f t="shared" si="50"/>
        <v>0</v>
      </c>
      <c r="AZ58" s="4504">
        <f t="shared" si="51"/>
        <v>0</v>
      </c>
      <c r="BA58" s="4504">
        <f t="shared" si="52"/>
        <v>0</v>
      </c>
      <c r="BB58" s="4504">
        <f t="shared" si="53"/>
        <v>0</v>
      </c>
      <c r="BC58" s="4504">
        <f t="shared" si="54"/>
        <v>0</v>
      </c>
      <c r="BD58" s="4504">
        <f t="shared" si="55"/>
        <v>0</v>
      </c>
      <c r="BE58" s="4504">
        <f t="shared" si="56"/>
        <v>0</v>
      </c>
      <c r="BF58" s="4504">
        <f t="shared" si="57"/>
        <v>0</v>
      </c>
      <c r="BG58" s="4504">
        <f t="shared" si="58"/>
        <v>0</v>
      </c>
      <c r="BH58" s="4504">
        <f t="shared" si="59"/>
        <v>0</v>
      </c>
      <c r="BI58" s="4504">
        <f t="shared" si="60"/>
        <v>0</v>
      </c>
      <c r="BJ58" s="4504">
        <f t="shared" si="61"/>
        <v>0</v>
      </c>
      <c r="BK58" s="4504">
        <f t="shared" si="62"/>
        <v>0</v>
      </c>
      <c r="BL58" s="4504">
        <f t="shared" si="63"/>
        <v>0</v>
      </c>
      <c r="BM58" s="4504">
        <f t="shared" si="64"/>
        <v>0</v>
      </c>
      <c r="BN58" s="4504">
        <f t="shared" si="65"/>
        <v>0</v>
      </c>
      <c r="BO58" s="4504">
        <f t="shared" si="66"/>
        <v>0</v>
      </c>
      <c r="BP58" s="4504">
        <f t="shared" si="67"/>
        <v>0</v>
      </c>
      <c r="BQ58" s="4504">
        <f t="shared" si="68"/>
        <v>0</v>
      </c>
      <c r="BR58" s="4504">
        <f t="shared" si="69"/>
        <v>0</v>
      </c>
      <c r="BS58" s="4504">
        <f t="shared" si="70"/>
        <v>0</v>
      </c>
      <c r="BT58" s="4504">
        <f t="shared" si="71"/>
        <v>0</v>
      </c>
      <c r="BU58" s="4504">
        <f t="shared" si="72"/>
        <v>0</v>
      </c>
      <c r="BV58" s="4504">
        <f t="shared" si="73"/>
        <v>0</v>
      </c>
      <c r="BW58" s="4504">
        <f t="shared" si="74"/>
        <v>0</v>
      </c>
      <c r="BX58" s="4504">
        <f t="shared" si="75"/>
        <v>0</v>
      </c>
      <c r="BY58" s="4504">
        <f t="shared" si="76"/>
        <v>0</v>
      </c>
      <c r="BZ58" s="4504">
        <f t="shared" si="77"/>
        <v>0</v>
      </c>
      <c r="CA58" s="4504">
        <f t="shared" si="78"/>
        <v>0</v>
      </c>
      <c r="CB58" s="4504">
        <f t="shared" si="79"/>
        <v>0</v>
      </c>
      <c r="CC58" s="4504">
        <f t="shared" si="80"/>
        <v>0</v>
      </c>
      <c r="CD58" s="4504">
        <f t="shared" si="81"/>
        <v>0</v>
      </c>
      <c r="CE58" s="4504">
        <f t="shared" si="82"/>
        <v>0</v>
      </c>
      <c r="CF58" s="4504">
        <f t="shared" si="83"/>
        <v>0</v>
      </c>
      <c r="CG58" s="4504">
        <f t="shared" si="84"/>
        <v>0</v>
      </c>
      <c r="CH58" s="4504">
        <f t="shared" si="85"/>
        <v>0</v>
      </c>
      <c r="CI58" s="4504">
        <f t="shared" si="86"/>
        <v>0</v>
      </c>
      <c r="CJ58" s="4504">
        <f t="shared" si="87"/>
        <v>0</v>
      </c>
      <c r="CK58" s="4504">
        <f t="shared" si="88"/>
        <v>0</v>
      </c>
    </row>
    <row r="59" spans="1:89" s="30" customFormat="1" ht="13.8" thickBot="1">
      <c r="A59" s="2762">
        <v>12</v>
      </c>
      <c r="B59" s="3623">
        <v>219</v>
      </c>
      <c r="C59" s="3606">
        <v>0.1</v>
      </c>
      <c r="D59" s="2763" t="s">
        <v>216</v>
      </c>
      <c r="E59" s="2764">
        <f>'11.2. ДА за периода'!E59</f>
        <v>14.178372893741042</v>
      </c>
      <c r="F59" s="2765">
        <f>SUMIF('9.Инвестиционна програма'!$B$12:$B$35,$B59,'9.Инвестиционна програма'!H$12:H$35)*$E$6</f>
        <v>0</v>
      </c>
      <c r="G59" s="2766">
        <f>SUMIF('9.Инвестиционна програма'!$B$12:$B$35,$B59,'9.Инвестиционна програма'!I$12:I$35)*$E$6</f>
        <v>0</v>
      </c>
      <c r="H59" s="2766">
        <f>SUMIF('9.Инвестиционна програма'!$B$12:$B$35,$B59,'9.Инвестиционна програма'!J$12:J$35)*$E$6</f>
        <v>0</v>
      </c>
      <c r="I59" s="2766">
        <f>SUMIF('9.Инвестиционна програма'!$B$12:$B$35,$B59,'9.Инвестиционна програма'!K$12:K$35)*$E$6</f>
        <v>0</v>
      </c>
      <c r="J59" s="2766">
        <f>SUMIF('9.Инвестиционна програма'!$B$12:$B$35,$B59,'9.Инвестиционна програма'!L$12:L$35)*$E$6</f>
        <v>0</v>
      </c>
      <c r="K59" s="2767">
        <f>SUMIF('9.Инвестиционна програма'!$B$12:$B$35,$B59,'9.Инвестиционна програма'!M$12:M$35)*$E$6</f>
        <v>0</v>
      </c>
      <c r="L59" s="2768">
        <f>'11.2. ДА за периода'!L59</f>
        <v>0</v>
      </c>
      <c r="M59" s="2765">
        <f>SUMIF('9.Инвестиционна програма'!$B$37:$B$47,$B59,'9.Инвестиционна програма'!H$37:H$47)*$E$6</f>
        <v>0</v>
      </c>
      <c r="N59" s="2766">
        <f>SUMIF('9.Инвестиционна програма'!$B$37:$B$47,$B59,'9.Инвестиционна програма'!I$37:I$47)*$E$6</f>
        <v>0</v>
      </c>
      <c r="O59" s="2766">
        <f>SUMIF('9.Инвестиционна програма'!$B$37:$B$47,$B59,'9.Инвестиционна програма'!J$37:J$47)*$E$6</f>
        <v>0</v>
      </c>
      <c r="P59" s="2766">
        <f>SUMIF('9.Инвестиционна програма'!$B$37:$B$47,$B59,'9.Инвестиционна програма'!K$37:K$47)*$E$6</f>
        <v>0</v>
      </c>
      <c r="Q59" s="2766">
        <f>SUMIF('9.Инвестиционна програма'!$B$37:$B$47,$B59,'9.Инвестиционна програма'!L$37:L$47)*$E$6</f>
        <v>0</v>
      </c>
      <c r="R59" s="2769">
        <f>SUMIF('9.Инвестиционна програма'!$B$37:$B$47,$B59,'9.Инвестиционна програма'!M$37:M$47)*$E$6</f>
        <v>0</v>
      </c>
      <c r="S59" s="2768">
        <f>'11.2. ДА за периода'!S59</f>
        <v>0</v>
      </c>
      <c r="T59" s="2770">
        <f>SUMIF('9.Инвестиционна програма'!$B$49:$B$56,$B59,'9.Инвестиционна програма'!H$49:H$56)*$E$6</f>
        <v>0</v>
      </c>
      <c r="U59" s="2766">
        <f>SUMIF('9.Инвестиционна програма'!$B$49:$B$56,$B59,'9.Инвестиционна програма'!I$49:I$56)*$E$6</f>
        <v>0</v>
      </c>
      <c r="V59" s="2766">
        <f>SUMIF('9.Инвестиционна програма'!$B$49:$B$56,$B59,'9.Инвестиционна програма'!J$49:J$56)*$E$6</f>
        <v>0</v>
      </c>
      <c r="W59" s="2766">
        <f>SUMIF('9.Инвестиционна програма'!$B$49:$B$56,$B59,'9.Инвестиционна програма'!K$49:K$56)*$E$6</f>
        <v>0</v>
      </c>
      <c r="X59" s="2766">
        <f>SUMIF('9.Инвестиционна програма'!$B$49:$B$56,$B59,'9.Инвестиционна програма'!L$49:L$56)*$E$6</f>
        <v>0</v>
      </c>
      <c r="Y59" s="2769">
        <f>SUMIF('9.Инвестиционна програма'!$B$49:$B$56,$B59,'9.Инвестиционна програма'!M$49:M$56)*$E$6</f>
        <v>0</v>
      </c>
      <c r="Z59" s="2768">
        <f>'11.2. ДА за периода'!Z59</f>
        <v>0</v>
      </c>
      <c r="AA59" s="2770">
        <f>SUMIF('9.Инвестиционна програма'!$B$74:$B$97,$B59,'9.Инвестиционна програма'!H$74:H$97)*$E$6</f>
        <v>0</v>
      </c>
      <c r="AB59" s="2766">
        <f>SUMIF('9.Инвестиционна програма'!$B$74:$B$97,$B59,'9.Инвестиционна програма'!I$74:I$97)*$E$6</f>
        <v>0</v>
      </c>
      <c r="AC59" s="2766">
        <f>SUMIF('9.Инвестиционна програма'!$B$74:$B$97,$B59,'9.Инвестиционна програма'!J$74:J$97)*$E$6</f>
        <v>0</v>
      </c>
      <c r="AD59" s="2766">
        <f>SUMIF('9.Инвестиционна програма'!$B$74:$B$97,$B59,'9.Инвестиционна програма'!K$74:K$97)*$E$6</f>
        <v>0</v>
      </c>
      <c r="AE59" s="2766">
        <f>SUMIF('9.Инвестиционна програма'!$B$74:$B$97,$B59,'9.Инвестиционна програма'!L$74:L$97)*$E$6</f>
        <v>0</v>
      </c>
      <c r="AF59" s="2769">
        <f>SUMIF('9.Инвестиционна програма'!$B$74:$B$97,$B59,'9.Инвестиционна програма'!M$74:M$97)*$E$6</f>
        <v>0</v>
      </c>
      <c r="AG59" s="2768">
        <f>'11.2. ДА за периода'!AG59</f>
        <v>0.82162710625895996</v>
      </c>
      <c r="AH59" s="2770">
        <f>SUMIF('9.Инвестиционна програма'!$B$100:$B$123,$B59,'9.Инвестиционна програма'!H$100:H$123)*$E$6</f>
        <v>0</v>
      </c>
      <c r="AI59" s="2766">
        <f>SUMIF('9.Инвестиционна програма'!$B$100:$B$123,$B59,'9.Инвестиционна програма'!I$100:I$123)*$E$6</f>
        <v>0</v>
      </c>
      <c r="AJ59" s="2766">
        <f>SUMIF('9.Инвестиционна програма'!$B$100:$B$123,$B59,'9.Инвестиционна програма'!J$100:J$123)*$E$6</f>
        <v>0</v>
      </c>
      <c r="AK59" s="2766">
        <f>SUMIF('9.Инвестиционна програма'!$B$100:$B$123,$B59,'9.Инвестиционна програма'!K$100:K$123)*$E$6</f>
        <v>0</v>
      </c>
      <c r="AL59" s="2766">
        <f>SUMIF('9.Инвестиционна програма'!$B$100:$B$123,$B59,'9.Инвестиционна програма'!L$100:L$123)*$E$6</f>
        <v>0</v>
      </c>
      <c r="AM59" s="2769">
        <f>SUMIF('9.Инвестиционна програма'!$B$100:$B$123,$B59,'9.Инвестиционна програма'!M$100:M$123)*$E$6</f>
        <v>0</v>
      </c>
      <c r="AN59" s="2768">
        <f>'11.2. ДА за периода'!AN59</f>
        <v>0</v>
      </c>
      <c r="AO59" s="2770">
        <f>(SUMIF('9.Инвестиционна програма'!$B$58:$B$59,$B59,'9.Инвестиционна програма'!H$58:H$59)+SUMIF('9.Инвестиционна програма'!$B$61:$B$71,$B59,'9.Инвестиционна програма'!H$61:H$71))*$E$6</f>
        <v>0</v>
      </c>
      <c r="AP59" s="2766">
        <f>(SUMIF('9.Инвестиционна програма'!$B$58:$B$59,$B59,'9.Инвестиционна програма'!I$58:I$59)+SUMIF('9.Инвестиционна програма'!$B$61:$B$71,$B59,'9.Инвестиционна програма'!I$61:I$71))*$E$6</f>
        <v>0</v>
      </c>
      <c r="AQ59" s="2766">
        <f>(SUMIF('9.Инвестиционна програма'!$B$58:$B$59,$B59,'9.Инвестиционна програма'!J$58:J$59)+SUMIF('9.Инвестиционна програма'!$B$61:$B$71,$B59,'9.Инвестиционна програма'!J$61:J$71))*$E$6</f>
        <v>0</v>
      </c>
      <c r="AR59" s="2766">
        <f>(SUMIF('9.Инвестиционна програма'!$B$58:$B$59,$B59,'9.Инвестиционна програма'!K$58:K$59)+SUMIF('9.Инвестиционна програма'!$B$61:$B$71,$B59,'9.Инвестиционна програма'!K$61:K$71))*$E$6</f>
        <v>0</v>
      </c>
      <c r="AS59" s="2766">
        <f>(SUMIF('9.Инвестиционна програма'!$B$58:$B$59,$B59,'9.Инвестиционна програма'!L$58:L$59)+SUMIF('9.Инвестиционна програма'!$B$61:$B$71,$B59,'9.Инвестиционна програма'!L$61:L$71))*$E$6</f>
        <v>0</v>
      </c>
      <c r="AT59" s="2769">
        <f>(SUMIF('9.Инвестиционна програма'!$B$58:$B$59,$B59,'9.Инвестиционна програма'!M$58:M$59)+SUMIF('9.Инвестиционна програма'!$B$61:$B$71,$B59,'9.Инвестиционна програма'!M$61:M$71))*$E$6</f>
        <v>0</v>
      </c>
      <c r="AU59" s="4488"/>
      <c r="AV59" s="4504">
        <f t="shared" si="47"/>
        <v>7.2492869491423289</v>
      </c>
      <c r="AW59" s="4504">
        <f t="shared" si="48"/>
        <v>0</v>
      </c>
      <c r="AX59" s="4504">
        <f t="shared" si="49"/>
        <v>0</v>
      </c>
      <c r="AY59" s="4504">
        <f t="shared" si="50"/>
        <v>0</v>
      </c>
      <c r="AZ59" s="4504">
        <f t="shared" si="51"/>
        <v>0</v>
      </c>
      <c r="BA59" s="4504">
        <f t="shared" si="52"/>
        <v>0</v>
      </c>
      <c r="BB59" s="4504">
        <f t="shared" si="53"/>
        <v>0</v>
      </c>
      <c r="BC59" s="4504">
        <f t="shared" si="54"/>
        <v>0</v>
      </c>
      <c r="BD59" s="4504">
        <f t="shared" si="55"/>
        <v>0</v>
      </c>
      <c r="BE59" s="4504">
        <f t="shared" si="56"/>
        <v>0</v>
      </c>
      <c r="BF59" s="4504">
        <f t="shared" si="57"/>
        <v>0</v>
      </c>
      <c r="BG59" s="4504">
        <f t="shared" si="58"/>
        <v>0</v>
      </c>
      <c r="BH59" s="4504">
        <f t="shared" si="59"/>
        <v>0</v>
      </c>
      <c r="BI59" s="4504">
        <f t="shared" si="60"/>
        <v>0</v>
      </c>
      <c r="BJ59" s="4504">
        <f t="shared" si="61"/>
        <v>0</v>
      </c>
      <c r="BK59" s="4504">
        <f t="shared" si="62"/>
        <v>0</v>
      </c>
      <c r="BL59" s="4504">
        <f t="shared" si="63"/>
        <v>0</v>
      </c>
      <c r="BM59" s="4504">
        <f t="shared" si="64"/>
        <v>0</v>
      </c>
      <c r="BN59" s="4504">
        <f t="shared" si="65"/>
        <v>0</v>
      </c>
      <c r="BO59" s="4504">
        <f t="shared" si="66"/>
        <v>0</v>
      </c>
      <c r="BP59" s="4504">
        <f t="shared" si="67"/>
        <v>0</v>
      </c>
      <c r="BQ59" s="4504">
        <f t="shared" si="68"/>
        <v>0</v>
      </c>
      <c r="BR59" s="4504">
        <f t="shared" si="69"/>
        <v>0</v>
      </c>
      <c r="BS59" s="4504">
        <f t="shared" si="70"/>
        <v>0</v>
      </c>
      <c r="BT59" s="4504">
        <f t="shared" si="71"/>
        <v>0</v>
      </c>
      <c r="BU59" s="4504">
        <f t="shared" si="72"/>
        <v>0</v>
      </c>
      <c r="BV59" s="4504">
        <f t="shared" si="73"/>
        <v>0</v>
      </c>
      <c r="BW59" s="4504">
        <f t="shared" si="74"/>
        <v>0</v>
      </c>
      <c r="BX59" s="4504">
        <f t="shared" si="75"/>
        <v>0.42009126880094894</v>
      </c>
      <c r="BY59" s="4504">
        <f t="shared" si="76"/>
        <v>0</v>
      </c>
      <c r="BZ59" s="4504">
        <f t="shared" si="77"/>
        <v>0</v>
      </c>
      <c r="CA59" s="4504">
        <f t="shared" si="78"/>
        <v>0</v>
      </c>
      <c r="CB59" s="4504">
        <f t="shared" si="79"/>
        <v>0</v>
      </c>
      <c r="CC59" s="4504">
        <f t="shared" si="80"/>
        <v>0</v>
      </c>
      <c r="CD59" s="4504">
        <f t="shared" si="81"/>
        <v>0</v>
      </c>
      <c r="CE59" s="4504">
        <f t="shared" si="82"/>
        <v>0</v>
      </c>
      <c r="CF59" s="4504">
        <f t="shared" si="83"/>
        <v>0</v>
      </c>
      <c r="CG59" s="4504">
        <f t="shared" si="84"/>
        <v>0</v>
      </c>
      <c r="CH59" s="4504">
        <f t="shared" si="85"/>
        <v>0</v>
      </c>
      <c r="CI59" s="4504">
        <f t="shared" si="86"/>
        <v>0</v>
      </c>
      <c r="CJ59" s="4504">
        <f t="shared" si="87"/>
        <v>0</v>
      </c>
      <c r="CK59" s="4504">
        <f t="shared" si="88"/>
        <v>0</v>
      </c>
    </row>
    <row r="60" spans="1:89" s="39" customFormat="1" ht="14.4" thickBot="1">
      <c r="A60" s="2709" t="s">
        <v>206</v>
      </c>
      <c r="B60" s="3624"/>
      <c r="C60" s="3607"/>
      <c r="D60" s="2710" t="s">
        <v>218</v>
      </c>
      <c r="E60" s="2711">
        <f t="shared" ref="E60:AT60" si="106">E61+E64+E67+E79+E94+E99+SUM(E103:E108)</f>
        <v>66.378279767355082</v>
      </c>
      <c r="F60" s="2712">
        <f t="shared" si="106"/>
        <v>27.997500000000002</v>
      </c>
      <c r="G60" s="2713">
        <f t="shared" si="106"/>
        <v>65.225000000000009</v>
      </c>
      <c r="H60" s="2713">
        <f t="shared" si="106"/>
        <v>83.615000000000009</v>
      </c>
      <c r="I60" s="2713">
        <f t="shared" si="106"/>
        <v>103.04499999999999</v>
      </c>
      <c r="J60" s="2713">
        <f t="shared" si="106"/>
        <v>124.05499999999998</v>
      </c>
      <c r="K60" s="2771">
        <f t="shared" si="106"/>
        <v>144.85500000000002</v>
      </c>
      <c r="L60" s="2715">
        <f t="shared" si="106"/>
        <v>2.0640516685117274</v>
      </c>
      <c r="M60" s="2712">
        <f t="shared" si="106"/>
        <v>0.2</v>
      </c>
      <c r="N60" s="2713">
        <f t="shared" si="106"/>
        <v>0.60000000000000009</v>
      </c>
      <c r="O60" s="2713">
        <f t="shared" si="106"/>
        <v>1</v>
      </c>
      <c r="P60" s="2713">
        <f t="shared" si="106"/>
        <v>1.4000000000000001</v>
      </c>
      <c r="Q60" s="2713">
        <f t="shared" si="106"/>
        <v>1.8000000000000003</v>
      </c>
      <c r="R60" s="2714">
        <f t="shared" si="106"/>
        <v>2.2000000000000002</v>
      </c>
      <c r="S60" s="2715">
        <f t="shared" si="106"/>
        <v>4.5236460739951534</v>
      </c>
      <c r="T60" s="2716">
        <f t="shared" si="106"/>
        <v>0.24</v>
      </c>
      <c r="U60" s="2713">
        <f t="shared" si="106"/>
        <v>1.1800000000000002</v>
      </c>
      <c r="V60" s="2713">
        <f t="shared" si="106"/>
        <v>2.58</v>
      </c>
      <c r="W60" s="2713">
        <f t="shared" si="106"/>
        <v>3.98</v>
      </c>
      <c r="X60" s="2713">
        <f t="shared" si="106"/>
        <v>5.38</v>
      </c>
      <c r="Y60" s="2714">
        <f t="shared" si="106"/>
        <v>6.78</v>
      </c>
      <c r="Z60" s="2715">
        <f t="shared" ref="Z60:AM60" si="107">Z61+Z64+Z67+Z79+Z94+Z99+SUM(Z103:Z108)</f>
        <v>0</v>
      </c>
      <c r="AA60" s="2716">
        <f t="shared" si="107"/>
        <v>0</v>
      </c>
      <c r="AB60" s="2713">
        <f t="shared" si="107"/>
        <v>0</v>
      </c>
      <c r="AC60" s="2713">
        <f t="shared" si="107"/>
        <v>0</v>
      </c>
      <c r="AD60" s="2713">
        <f t="shared" si="107"/>
        <v>0</v>
      </c>
      <c r="AE60" s="2713">
        <f t="shared" si="107"/>
        <v>0</v>
      </c>
      <c r="AF60" s="2714">
        <f t="shared" si="107"/>
        <v>0</v>
      </c>
      <c r="AG60" s="2715">
        <f t="shared" si="107"/>
        <v>10.592983861854242</v>
      </c>
      <c r="AH60" s="2716">
        <f t="shared" si="107"/>
        <v>1.3900000000000001</v>
      </c>
      <c r="AI60" s="2713">
        <f t="shared" si="107"/>
        <v>9.0799999999999965</v>
      </c>
      <c r="AJ60" s="2713">
        <f t="shared" si="107"/>
        <v>18.63</v>
      </c>
      <c r="AK60" s="2713">
        <f t="shared" si="107"/>
        <v>25.080000000000002</v>
      </c>
      <c r="AL60" s="2713">
        <f t="shared" si="107"/>
        <v>31.730000000000008</v>
      </c>
      <c r="AM60" s="2714">
        <f t="shared" si="107"/>
        <v>38.629999999999995</v>
      </c>
      <c r="AN60" s="2715">
        <f t="shared" si="106"/>
        <v>0</v>
      </c>
      <c r="AO60" s="2716">
        <f t="shared" si="106"/>
        <v>6.4250000000000007</v>
      </c>
      <c r="AP60" s="2713">
        <f t="shared" si="106"/>
        <v>21.61</v>
      </c>
      <c r="AQ60" s="2713">
        <f t="shared" si="106"/>
        <v>38.529999999999994</v>
      </c>
      <c r="AR60" s="2713">
        <f t="shared" si="106"/>
        <v>56.75</v>
      </c>
      <c r="AS60" s="2713">
        <f t="shared" si="106"/>
        <v>76.27</v>
      </c>
      <c r="AT60" s="2714">
        <f t="shared" si="106"/>
        <v>93.890000000000015</v>
      </c>
      <c r="AU60" s="4488"/>
      <c r="AV60" s="4504">
        <f t="shared" si="47"/>
        <v>33.938675532819872</v>
      </c>
      <c r="AW60" s="4504">
        <f t="shared" si="48"/>
        <v>14.314894443791129</v>
      </c>
      <c r="AX60" s="4504">
        <f t="shared" si="49"/>
        <v>33.349012951023354</v>
      </c>
      <c r="AY60" s="4504">
        <f t="shared" si="50"/>
        <v>42.751670646221811</v>
      </c>
      <c r="AZ60" s="4504">
        <f t="shared" si="51"/>
        <v>52.686071897864331</v>
      </c>
      <c r="BA60" s="4504">
        <f t="shared" si="52"/>
        <v>63.428314321796876</v>
      </c>
      <c r="BB60" s="4504">
        <f t="shared" si="53"/>
        <v>74.063185450678233</v>
      </c>
      <c r="BC60" s="4504">
        <f t="shared" si="54"/>
        <v>1.0553328604795547</v>
      </c>
      <c r="BD60" s="4504">
        <f t="shared" si="55"/>
        <v>0.10225837623924371</v>
      </c>
      <c r="BE60" s="4504">
        <f t="shared" si="56"/>
        <v>0.30677512871773116</v>
      </c>
      <c r="BF60" s="4504">
        <f t="shared" si="57"/>
        <v>0.51129188119621849</v>
      </c>
      <c r="BG60" s="4504">
        <f t="shared" si="58"/>
        <v>0.71580863367470593</v>
      </c>
      <c r="BH60" s="4504">
        <f t="shared" si="59"/>
        <v>0.92032538615319348</v>
      </c>
      <c r="BI60" s="4504">
        <f t="shared" si="60"/>
        <v>1.1248421386316807</v>
      </c>
      <c r="BJ60" s="4504">
        <f t="shared" si="61"/>
        <v>2.3129035110388703</v>
      </c>
      <c r="BK60" s="4504">
        <f t="shared" si="62"/>
        <v>0.12271005148709244</v>
      </c>
      <c r="BL60" s="4504">
        <f t="shared" si="63"/>
        <v>0.60332441981153795</v>
      </c>
      <c r="BM60" s="4504">
        <f t="shared" si="64"/>
        <v>1.3191330534862438</v>
      </c>
      <c r="BN60" s="4504">
        <f t="shared" si="65"/>
        <v>2.0349416871609498</v>
      </c>
      <c r="BO60" s="4504">
        <f t="shared" si="66"/>
        <v>2.7507503208356554</v>
      </c>
      <c r="BP60" s="4504">
        <f t="shared" si="67"/>
        <v>3.4665589545103614</v>
      </c>
      <c r="BQ60" s="4504">
        <f t="shared" si="68"/>
        <v>0</v>
      </c>
      <c r="BR60" s="4504">
        <f t="shared" si="69"/>
        <v>0</v>
      </c>
      <c r="BS60" s="4504">
        <f t="shared" si="70"/>
        <v>0</v>
      </c>
      <c r="BT60" s="4504">
        <f t="shared" si="71"/>
        <v>0</v>
      </c>
      <c r="BU60" s="4504">
        <f t="shared" si="72"/>
        <v>0</v>
      </c>
      <c r="BV60" s="4504">
        <f t="shared" si="73"/>
        <v>0</v>
      </c>
      <c r="BW60" s="4504">
        <f t="shared" si="74"/>
        <v>0</v>
      </c>
      <c r="BX60" s="4504">
        <f t="shared" si="75"/>
        <v>5.4161066462086387</v>
      </c>
      <c r="BY60" s="4504">
        <f t="shared" si="76"/>
        <v>0.71069571486274374</v>
      </c>
      <c r="BZ60" s="4504">
        <f t="shared" si="77"/>
        <v>4.6425302812616618</v>
      </c>
      <c r="CA60" s="4504">
        <f t="shared" si="78"/>
        <v>9.52536774668555</v>
      </c>
      <c r="CB60" s="4504">
        <f t="shared" si="79"/>
        <v>12.823200380401161</v>
      </c>
      <c r="CC60" s="4504">
        <f t="shared" si="80"/>
        <v>16.223291390356017</v>
      </c>
      <c r="CD60" s="4504">
        <f t="shared" si="81"/>
        <v>19.751205370609917</v>
      </c>
      <c r="CE60" s="4504">
        <f t="shared" si="82"/>
        <v>0</v>
      </c>
      <c r="CF60" s="4504">
        <f t="shared" si="83"/>
        <v>3.2850503366857042</v>
      </c>
      <c r="CG60" s="4504">
        <f t="shared" si="84"/>
        <v>11.049017552650282</v>
      </c>
      <c r="CH60" s="4504">
        <f t="shared" si="85"/>
        <v>19.700076182490296</v>
      </c>
      <c r="CI60" s="4504">
        <f t="shared" si="86"/>
        <v>29.015814257885399</v>
      </c>
      <c r="CJ60" s="4504">
        <f t="shared" si="87"/>
        <v>38.996231778835586</v>
      </c>
      <c r="CK60" s="4504">
        <f t="shared" si="88"/>
        <v>48.005194725512965</v>
      </c>
    </row>
    <row r="61" spans="1:89" s="30" customFormat="1">
      <c r="A61" s="2772">
        <v>1</v>
      </c>
      <c r="B61" s="3625">
        <v>201</v>
      </c>
      <c r="C61" s="3608">
        <v>0</v>
      </c>
      <c r="D61" s="2773" t="s">
        <v>217</v>
      </c>
      <c r="E61" s="2774">
        <f>SUM(E62:E63)</f>
        <v>0</v>
      </c>
      <c r="F61" s="2775">
        <f>SUM(F62:F63)</f>
        <v>0</v>
      </c>
      <c r="G61" s="2776">
        <f t="shared" ref="G61:J61" si="108">SUM(G62:G63)</f>
        <v>0</v>
      </c>
      <c r="H61" s="2776">
        <f t="shared" si="108"/>
        <v>0</v>
      </c>
      <c r="I61" s="2776">
        <f t="shared" si="108"/>
        <v>0</v>
      </c>
      <c r="J61" s="2776">
        <f t="shared" si="108"/>
        <v>0</v>
      </c>
      <c r="K61" s="2777">
        <f>SUM(K62:K63)</f>
        <v>0</v>
      </c>
      <c r="L61" s="2723">
        <f>SUM(L62:L63)</f>
        <v>0</v>
      </c>
      <c r="M61" s="2775">
        <f>SUM(M62:M63)</f>
        <v>0</v>
      </c>
      <c r="N61" s="2776">
        <f t="shared" ref="N61:Q61" si="109">SUM(N62:N63)</f>
        <v>0</v>
      </c>
      <c r="O61" s="2776">
        <f t="shared" si="109"/>
        <v>0</v>
      </c>
      <c r="P61" s="2776">
        <f t="shared" si="109"/>
        <v>0</v>
      </c>
      <c r="Q61" s="2776">
        <f t="shared" si="109"/>
        <v>0</v>
      </c>
      <c r="R61" s="2778">
        <f>SUM(R62:R63)</f>
        <v>0</v>
      </c>
      <c r="S61" s="2723">
        <f>SUM(S62:S63)</f>
        <v>0</v>
      </c>
      <c r="T61" s="2779">
        <f>SUM(T62:T63)</f>
        <v>0</v>
      </c>
      <c r="U61" s="2776">
        <f t="shared" ref="U61:X61" si="110">SUM(U62:U63)</f>
        <v>0</v>
      </c>
      <c r="V61" s="2776">
        <f t="shared" si="110"/>
        <v>0</v>
      </c>
      <c r="W61" s="2776">
        <f t="shared" si="110"/>
        <v>0</v>
      </c>
      <c r="X61" s="2776">
        <f t="shared" si="110"/>
        <v>0</v>
      </c>
      <c r="Y61" s="2778">
        <f>SUM(Y62:Y63)</f>
        <v>0</v>
      </c>
      <c r="Z61" s="2723">
        <f>SUM(Z62:Z63)</f>
        <v>0</v>
      </c>
      <c r="AA61" s="2779">
        <f>SUM(AA62:AA63)</f>
        <v>0</v>
      </c>
      <c r="AB61" s="2776">
        <f t="shared" ref="AB61:AE61" si="111">SUM(AB62:AB63)</f>
        <v>0</v>
      </c>
      <c r="AC61" s="2776">
        <f t="shared" si="111"/>
        <v>0</v>
      </c>
      <c r="AD61" s="2776">
        <f t="shared" si="111"/>
        <v>0</v>
      </c>
      <c r="AE61" s="2776">
        <f t="shared" si="111"/>
        <v>0</v>
      </c>
      <c r="AF61" s="2778">
        <f>SUM(AF62:AF63)</f>
        <v>0</v>
      </c>
      <c r="AG61" s="2723">
        <f>SUM(AG62:AG63)</f>
        <v>0</v>
      </c>
      <c r="AH61" s="2779">
        <f>SUM(AH62:AH63)</f>
        <v>0</v>
      </c>
      <c r="AI61" s="2776">
        <f t="shared" ref="AI61:AL61" si="112">SUM(AI62:AI63)</f>
        <v>0</v>
      </c>
      <c r="AJ61" s="2776">
        <f t="shared" si="112"/>
        <v>0</v>
      </c>
      <c r="AK61" s="2776">
        <f t="shared" si="112"/>
        <v>0</v>
      </c>
      <c r="AL61" s="2776">
        <f t="shared" si="112"/>
        <v>0</v>
      </c>
      <c r="AM61" s="2778">
        <f>SUM(AM62:AM63)</f>
        <v>0</v>
      </c>
      <c r="AN61" s="2723">
        <f>SUM(AN62:AN63)</f>
        <v>0</v>
      </c>
      <c r="AO61" s="2775">
        <f>SUM(AO62:AO63)</f>
        <v>0</v>
      </c>
      <c r="AP61" s="2776">
        <f t="shared" ref="AP61:AS61" si="113">SUM(AP62:AP63)</f>
        <v>0</v>
      </c>
      <c r="AQ61" s="2776">
        <f t="shared" si="113"/>
        <v>0</v>
      </c>
      <c r="AR61" s="2776">
        <f t="shared" si="113"/>
        <v>0</v>
      </c>
      <c r="AS61" s="2776">
        <f t="shared" si="113"/>
        <v>0</v>
      </c>
      <c r="AT61" s="2778">
        <f>SUM(AT62:AT63)</f>
        <v>0</v>
      </c>
      <c r="AU61" s="4488"/>
      <c r="AV61" s="4504">
        <f t="shared" si="47"/>
        <v>0</v>
      </c>
      <c r="AW61" s="4504">
        <f t="shared" si="48"/>
        <v>0</v>
      </c>
      <c r="AX61" s="4504">
        <f t="shared" si="49"/>
        <v>0</v>
      </c>
      <c r="AY61" s="4504">
        <f t="shared" si="50"/>
        <v>0</v>
      </c>
      <c r="AZ61" s="4504">
        <f t="shared" si="51"/>
        <v>0</v>
      </c>
      <c r="BA61" s="4504">
        <f t="shared" si="52"/>
        <v>0</v>
      </c>
      <c r="BB61" s="4504">
        <f t="shared" si="53"/>
        <v>0</v>
      </c>
      <c r="BC61" s="4504">
        <f t="shared" si="54"/>
        <v>0</v>
      </c>
      <c r="BD61" s="4504">
        <f t="shared" si="55"/>
        <v>0</v>
      </c>
      <c r="BE61" s="4504">
        <f t="shared" si="56"/>
        <v>0</v>
      </c>
      <c r="BF61" s="4504">
        <f t="shared" si="57"/>
        <v>0</v>
      </c>
      <c r="BG61" s="4504">
        <f t="shared" si="58"/>
        <v>0</v>
      </c>
      <c r="BH61" s="4504">
        <f t="shared" si="59"/>
        <v>0</v>
      </c>
      <c r="BI61" s="4504">
        <f t="shared" si="60"/>
        <v>0</v>
      </c>
      <c r="BJ61" s="4504">
        <f t="shared" si="61"/>
        <v>0</v>
      </c>
      <c r="BK61" s="4504">
        <f t="shared" si="62"/>
        <v>0</v>
      </c>
      <c r="BL61" s="4504">
        <f t="shared" si="63"/>
        <v>0</v>
      </c>
      <c r="BM61" s="4504">
        <f t="shared" si="64"/>
        <v>0</v>
      </c>
      <c r="BN61" s="4504">
        <f t="shared" si="65"/>
        <v>0</v>
      </c>
      <c r="BO61" s="4504">
        <f t="shared" si="66"/>
        <v>0</v>
      </c>
      <c r="BP61" s="4504">
        <f t="shared" si="67"/>
        <v>0</v>
      </c>
      <c r="BQ61" s="4504">
        <f t="shared" si="68"/>
        <v>0</v>
      </c>
      <c r="BR61" s="4504">
        <f t="shared" si="69"/>
        <v>0</v>
      </c>
      <c r="BS61" s="4504">
        <f t="shared" si="70"/>
        <v>0</v>
      </c>
      <c r="BT61" s="4504">
        <f t="shared" si="71"/>
        <v>0</v>
      </c>
      <c r="BU61" s="4504">
        <f t="shared" si="72"/>
        <v>0</v>
      </c>
      <c r="BV61" s="4504">
        <f t="shared" si="73"/>
        <v>0</v>
      </c>
      <c r="BW61" s="4504">
        <f t="shared" si="74"/>
        <v>0</v>
      </c>
      <c r="BX61" s="4504">
        <f t="shared" si="75"/>
        <v>0</v>
      </c>
      <c r="BY61" s="4504">
        <f t="shared" si="76"/>
        <v>0</v>
      </c>
      <c r="BZ61" s="4504">
        <f t="shared" si="77"/>
        <v>0</v>
      </c>
      <c r="CA61" s="4504">
        <f t="shared" si="78"/>
        <v>0</v>
      </c>
      <c r="CB61" s="4504">
        <f t="shared" si="79"/>
        <v>0</v>
      </c>
      <c r="CC61" s="4504">
        <f t="shared" si="80"/>
        <v>0</v>
      </c>
      <c r="CD61" s="4504">
        <f t="shared" si="81"/>
        <v>0</v>
      </c>
      <c r="CE61" s="4504">
        <f t="shared" si="82"/>
        <v>0</v>
      </c>
      <c r="CF61" s="4504">
        <f t="shared" si="83"/>
        <v>0</v>
      </c>
      <c r="CG61" s="4504">
        <f t="shared" si="84"/>
        <v>0</v>
      </c>
      <c r="CH61" s="4504">
        <f t="shared" si="85"/>
        <v>0</v>
      </c>
      <c r="CI61" s="4504">
        <f t="shared" si="86"/>
        <v>0</v>
      </c>
      <c r="CJ61" s="4504">
        <f t="shared" si="87"/>
        <v>0</v>
      </c>
      <c r="CK61" s="4504">
        <f t="shared" si="88"/>
        <v>0</v>
      </c>
    </row>
    <row r="62" spans="1:89" s="38" customFormat="1">
      <c r="A62" s="2725"/>
      <c r="B62" s="3614">
        <v>20101</v>
      </c>
      <c r="C62" s="3597">
        <v>0</v>
      </c>
      <c r="D62" s="2726" t="s">
        <v>556</v>
      </c>
      <c r="E62" s="2727">
        <f>'11.2. ДА за периода'!E62</f>
        <v>0</v>
      </c>
      <c r="F62" s="2655">
        <f>($F13*$C62)/$E$7</f>
        <v>0</v>
      </c>
      <c r="G62" s="1136">
        <f>($F13*$C62)+($G13*$C62)/$E$7</f>
        <v>0</v>
      </c>
      <c r="H62" s="1136">
        <f>($F13*$C62)+($G13*$C62)+($H13*$C62)/$E$7</f>
        <v>0</v>
      </c>
      <c r="I62" s="1136">
        <f>($F13*$C62)+($G13*$C62)+($H13*$C62)+($I13*$C62)/$E$7</f>
        <v>0</v>
      </c>
      <c r="J62" s="1136">
        <f>($F13*$C62)+($G13*$C62)+($H13*$C62)+($I13*$C62)+($J13*$C62)/$E$7</f>
        <v>0</v>
      </c>
      <c r="K62" s="2780">
        <f>($F13*$C62)+($G13*$C62)+($H13*$C62)+($I13*$C62)+($J13*$C62)+($K13*$C62)/$E$7</f>
        <v>0</v>
      </c>
      <c r="L62" s="2727">
        <f>'11.2. ДА за периода'!L62</f>
        <v>0</v>
      </c>
      <c r="M62" s="2655">
        <f>($M13*$C62)/$E$7</f>
        <v>0</v>
      </c>
      <c r="N62" s="1136">
        <f>($M13*$C62)+($N13*$C62)/$E$7</f>
        <v>0</v>
      </c>
      <c r="O62" s="1136">
        <f>($M13*$C62)+($N13*$C62)+($O13*$C62)/$E$7</f>
        <v>0</v>
      </c>
      <c r="P62" s="1136">
        <f>($M13*$C62)+($N13*$C62)+($O13*$C62)+($P13*$C62)/$E$7</f>
        <v>0</v>
      </c>
      <c r="Q62" s="2780">
        <f>($M13*$C62)+($N13*$C62)+($O13*$C62)+($P13*$C62)+($Q13*$C62)/$E$7</f>
        <v>0</v>
      </c>
      <c r="R62" s="2656">
        <f>($M13*$C62)+($N13*$C62)+($O13*$C62)+($P13*$C62)+($Q13*$C62)+($R13*$C62)/$E$7</f>
        <v>0</v>
      </c>
      <c r="S62" s="1113">
        <f>'11.2. ДА за периода'!S62</f>
        <v>0</v>
      </c>
      <c r="T62" s="907">
        <f>(T13*$C62)/$E$7</f>
        <v>0</v>
      </c>
      <c r="U62" s="1136">
        <f>(T13*$C62)+(U13*$C62)/$E$7</f>
        <v>0</v>
      </c>
      <c r="V62" s="1136">
        <f>(T13*$C62)+(U13*$C62)+(V13*$C62)/$E$7</f>
        <v>0</v>
      </c>
      <c r="W62" s="1136">
        <f>(T13*$C62)+(U13*$C62)+(V13*$C62)+(W13*$C62)/$E$7</f>
        <v>0</v>
      </c>
      <c r="X62" s="1136">
        <f>(T13*$C62)+(U13*$C62)+(V13*$C62)+(W13*$C62)+(X13*$C62)/$E$7</f>
        <v>0</v>
      </c>
      <c r="Y62" s="2656">
        <f>(T13*$C62)+(U13*$C62)+(V13*$C62)+(W13*$C62)+(X13*$C62)+(Y13*$C62)/$E$7</f>
        <v>0</v>
      </c>
      <c r="Z62" s="1113">
        <f>'11.2. ДА за периода'!Z62</f>
        <v>0</v>
      </c>
      <c r="AA62" s="907">
        <f>(AA13*$C62)/$E$7</f>
        <v>0</v>
      </c>
      <c r="AB62" s="1136">
        <f>(AA13*$C62)+(AB13*$C62)/$E$7</f>
        <v>0</v>
      </c>
      <c r="AC62" s="1136">
        <f>(AA13*$C62)+(AB13*$C62)+(AC13*$C62)/$E$7</f>
        <v>0</v>
      </c>
      <c r="AD62" s="1136">
        <f>(AA13*$C62)+(AB13*$C62)+(AC13*$C62)+(AD13*$C62)/$E$7</f>
        <v>0</v>
      </c>
      <c r="AE62" s="1136">
        <f>(AA13*$C62)+(AB13*$C62)+(AC13*$C62)+(AD13*$C62)+(AE13*$C62)/$E$7</f>
        <v>0</v>
      </c>
      <c r="AF62" s="2780">
        <f>(AA13*$C62)+(AB13*$C62)+(AC13*$C62)+(AD13*$C62)+(AE13*$C62)+(AF13*$C62)/$E$7</f>
        <v>0</v>
      </c>
      <c r="AG62" s="1113">
        <f>'11.2. ДА за периода'!AG62</f>
        <v>0</v>
      </c>
      <c r="AH62" s="907">
        <f>(AH13*$C62)/$E$7</f>
        <v>0</v>
      </c>
      <c r="AI62" s="1136">
        <f>(AH13*$C62)+(AI13*$C62)/$E$7</f>
        <v>0</v>
      </c>
      <c r="AJ62" s="1136">
        <f>(AH13*$C62)+(AI13*$C62)+(AJ13*$C62)/$E$7</f>
        <v>0</v>
      </c>
      <c r="AK62" s="1136">
        <f>(AH13*$C62)+(AI13*$C62)+(AJ13*$C62)+(AK13*$C62)/$E$7</f>
        <v>0</v>
      </c>
      <c r="AL62" s="1136">
        <f>(AH13*$C62)+(AI13*$C62)+(AJ13*$C62)+(AK13*$C62)+(AL13*$C62)/$E$7</f>
        <v>0</v>
      </c>
      <c r="AM62" s="2780">
        <f>(AH13*$C62)+(AI13*$C62)+(AJ13*$C62)+(AK13*$C62)+(AL13*$C62)+(AM13*$C62)/$E$7</f>
        <v>0</v>
      </c>
      <c r="AN62" s="2727">
        <f>'11.2. ДА за периода'!AN62</f>
        <v>0</v>
      </c>
      <c r="AO62" s="2655">
        <f>($AO13*$C62)/$E$7</f>
        <v>0</v>
      </c>
      <c r="AP62" s="1136">
        <f>($AO13*$C62)+($AP13*$C62)/$E$7</f>
        <v>0</v>
      </c>
      <c r="AQ62" s="1136">
        <f>($AO13*$C62)+($AP13*$C62)+($AQ13*$C62)/$E$7</f>
        <v>0</v>
      </c>
      <c r="AR62" s="1136">
        <f>($AO13*$C62)+($AP13*$C62)+($AQ13*$C62)+($AR13*$C62)/$E$7</f>
        <v>0</v>
      </c>
      <c r="AS62" s="1136">
        <f>($AO13*$C62)+($AP13*$C62)+($AQ13*$C62)+($AR13*$C62)+($AS13*$C62)/$E$7</f>
        <v>0</v>
      </c>
      <c r="AT62" s="2656">
        <f>($AO13*$C62)+($AP13*$C62)+($AQ13*$C62)+($AR13*$C62)+($AS13*$C62)+($AT13*$C62)/$E$7</f>
        <v>0</v>
      </c>
      <c r="AU62" s="4488"/>
      <c r="AV62" s="4504">
        <f t="shared" si="47"/>
        <v>0</v>
      </c>
      <c r="AW62" s="4504">
        <f t="shared" si="48"/>
        <v>0</v>
      </c>
      <c r="AX62" s="4504">
        <f t="shared" si="49"/>
        <v>0</v>
      </c>
      <c r="AY62" s="4504">
        <f t="shared" si="50"/>
        <v>0</v>
      </c>
      <c r="AZ62" s="4504">
        <f t="shared" si="51"/>
        <v>0</v>
      </c>
      <c r="BA62" s="4504">
        <f t="shared" si="52"/>
        <v>0</v>
      </c>
      <c r="BB62" s="4504">
        <f t="shared" si="53"/>
        <v>0</v>
      </c>
      <c r="BC62" s="4504">
        <f t="shared" si="54"/>
        <v>0</v>
      </c>
      <c r="BD62" s="4504">
        <f t="shared" si="55"/>
        <v>0</v>
      </c>
      <c r="BE62" s="4504">
        <f t="shared" si="56"/>
        <v>0</v>
      </c>
      <c r="BF62" s="4504">
        <f t="shared" si="57"/>
        <v>0</v>
      </c>
      <c r="BG62" s="4504">
        <f t="shared" si="58"/>
        <v>0</v>
      </c>
      <c r="BH62" s="4504">
        <f t="shared" si="59"/>
        <v>0</v>
      </c>
      <c r="BI62" s="4504">
        <f t="shared" si="60"/>
        <v>0</v>
      </c>
      <c r="BJ62" s="4504">
        <f t="shared" si="61"/>
        <v>0</v>
      </c>
      <c r="BK62" s="4504">
        <f t="shared" si="62"/>
        <v>0</v>
      </c>
      <c r="BL62" s="4504">
        <f t="shared" si="63"/>
        <v>0</v>
      </c>
      <c r="BM62" s="4504">
        <f t="shared" si="64"/>
        <v>0</v>
      </c>
      <c r="BN62" s="4504">
        <f t="shared" si="65"/>
        <v>0</v>
      </c>
      <c r="BO62" s="4504">
        <f t="shared" si="66"/>
        <v>0</v>
      </c>
      <c r="BP62" s="4504">
        <f t="shared" si="67"/>
        <v>0</v>
      </c>
      <c r="BQ62" s="4504">
        <f t="shared" si="68"/>
        <v>0</v>
      </c>
      <c r="BR62" s="4504">
        <f t="shared" si="69"/>
        <v>0</v>
      </c>
      <c r="BS62" s="4504">
        <f t="shared" si="70"/>
        <v>0</v>
      </c>
      <c r="BT62" s="4504">
        <f t="shared" si="71"/>
        <v>0</v>
      </c>
      <c r="BU62" s="4504">
        <f t="shared" si="72"/>
        <v>0</v>
      </c>
      <c r="BV62" s="4504">
        <f t="shared" si="73"/>
        <v>0</v>
      </c>
      <c r="BW62" s="4504">
        <f t="shared" si="74"/>
        <v>0</v>
      </c>
      <c r="BX62" s="4504">
        <f t="shared" si="75"/>
        <v>0</v>
      </c>
      <c r="BY62" s="4504">
        <f t="shared" si="76"/>
        <v>0</v>
      </c>
      <c r="BZ62" s="4504">
        <f t="shared" si="77"/>
        <v>0</v>
      </c>
      <c r="CA62" s="4504">
        <f t="shared" si="78"/>
        <v>0</v>
      </c>
      <c r="CB62" s="4504">
        <f t="shared" si="79"/>
        <v>0</v>
      </c>
      <c r="CC62" s="4504">
        <f t="shared" si="80"/>
        <v>0</v>
      </c>
      <c r="CD62" s="4504">
        <f t="shared" si="81"/>
        <v>0</v>
      </c>
      <c r="CE62" s="4504">
        <f t="shared" si="82"/>
        <v>0</v>
      </c>
      <c r="CF62" s="4504">
        <f t="shared" si="83"/>
        <v>0</v>
      </c>
      <c r="CG62" s="4504">
        <f t="shared" si="84"/>
        <v>0</v>
      </c>
      <c r="CH62" s="4504">
        <f t="shared" si="85"/>
        <v>0</v>
      </c>
      <c r="CI62" s="4504">
        <f t="shared" si="86"/>
        <v>0</v>
      </c>
      <c r="CJ62" s="4504">
        <f t="shared" si="87"/>
        <v>0</v>
      </c>
      <c r="CK62" s="4504">
        <f t="shared" si="88"/>
        <v>0</v>
      </c>
    </row>
    <row r="63" spans="1:89" s="38" customFormat="1">
      <c r="A63" s="2725"/>
      <c r="B63" s="3614">
        <v>20102</v>
      </c>
      <c r="C63" s="3597">
        <v>0</v>
      </c>
      <c r="D63" s="2781" t="s">
        <v>558</v>
      </c>
      <c r="E63" s="2727">
        <f>'11.2. ДА за периода'!E63</f>
        <v>0</v>
      </c>
      <c r="F63" s="2655">
        <f>($F14*$C63)/$E$7</f>
        <v>0</v>
      </c>
      <c r="G63" s="1136">
        <f>($F14*$C63)+($G14*$C63)/$E$7</f>
        <v>0</v>
      </c>
      <c r="H63" s="1136">
        <f>($F14*$C63)+($G14*$C63)+($H14*$C63)/$E$7</f>
        <v>0</v>
      </c>
      <c r="I63" s="1136">
        <f>($F14*$C63)+($G14*$C63)+($H14*$C63)+($I14*$C63)/$E$7</f>
        <v>0</v>
      </c>
      <c r="J63" s="1136">
        <f>($F14*$C63)+($G14*$C63)+($H14*$C63)+($I14*$C63)+($J14*$C63)/$E$7</f>
        <v>0</v>
      </c>
      <c r="K63" s="2780">
        <f>($F14*$C63)+($G14*$C63)+($H14*$C63)+($I14*$C63)+($J14*$C63)+($K14*$C63)/$E$7</f>
        <v>0</v>
      </c>
      <c r="L63" s="2727">
        <f>'11.2. ДА за периода'!L63</f>
        <v>0</v>
      </c>
      <c r="M63" s="2655">
        <f>($M14*$C63)/$E$7</f>
        <v>0</v>
      </c>
      <c r="N63" s="1136">
        <f>($M14*$C63)+($N14*$C63)/$E$7</f>
        <v>0</v>
      </c>
      <c r="O63" s="1136">
        <f>($M14*$C63)+($N14*$C63)+($O14*$C63)/$E$7</f>
        <v>0</v>
      </c>
      <c r="P63" s="1136">
        <f>($M14*$C63)+($N14*$C63)+($O14*$C63)+($P14*$C63)/$E$7</f>
        <v>0</v>
      </c>
      <c r="Q63" s="2780">
        <f>($M14*$C63)+($N14*$C63)+($O14*$C63)+($P14*$C63)+($Q14*$C63)/$E$7</f>
        <v>0</v>
      </c>
      <c r="R63" s="2656">
        <f>($M14*$C63)+($N14*$C63)+($O14*$C63)+($P14*$C63)+($Q14*$C63)+($R14*$C63)/$E$7</f>
        <v>0</v>
      </c>
      <c r="S63" s="1113">
        <f>'11.2. ДА за периода'!S63</f>
        <v>0</v>
      </c>
      <c r="T63" s="907">
        <f>($T14*$C63)/$E$7</f>
        <v>0</v>
      </c>
      <c r="U63" s="1136">
        <f>($T14*$C63)+($U14*$C63)/$E$7</f>
        <v>0</v>
      </c>
      <c r="V63" s="1136">
        <f>($T14*$C63)+($U14*$C63)+($V14*$C63)/$E$7</f>
        <v>0</v>
      </c>
      <c r="W63" s="1136">
        <f>($T14*$C63)+($U14*$C63)+($V14*$C63)+($W14*$C63)/$E$7</f>
        <v>0</v>
      </c>
      <c r="X63" s="1136">
        <f>($T14*$C63)+($U14*$C63)+($V14*$C63)+($W14*$C63)+($X14*$C63)/$E$7</f>
        <v>0</v>
      </c>
      <c r="Y63" s="2656">
        <f>($T14*$C63)+($U14*$C63)+($V14*$C63)+($W14*$C63)+($X14*$C63)+($Y14*$C63)/$E$7</f>
        <v>0</v>
      </c>
      <c r="Z63" s="1113">
        <f>'11.2. ДА за периода'!Z63</f>
        <v>0</v>
      </c>
      <c r="AA63" s="907">
        <f>(AA14*$C63)/$E$7</f>
        <v>0</v>
      </c>
      <c r="AB63" s="1136">
        <f>(AA14*$C63)+(AB14*$C63)/$E$7</f>
        <v>0</v>
      </c>
      <c r="AC63" s="1136">
        <f>(AA14*$C63)+(AB14*$C63)+(AC14*$C63)/$E$7</f>
        <v>0</v>
      </c>
      <c r="AD63" s="1136">
        <f>(AA14*$C63)+(AB14*$C63)+(AC14*$C63)+(AD14*$C63)/$E$7</f>
        <v>0</v>
      </c>
      <c r="AE63" s="1136">
        <f>(AA14*$C63)+(AB14*$C63)+(AC14*$C63)+(AD14*$C63)+(AE14*$C63)/$E$7</f>
        <v>0</v>
      </c>
      <c r="AF63" s="2780">
        <f>(AA14*$C63)+(AB14*$C63)+(AC14*$C63)+(AD14*$C63)+(AE14*$C63)+(AF14*$C63)/$E$7</f>
        <v>0</v>
      </c>
      <c r="AG63" s="1113">
        <f>'11.2. ДА за периода'!AG63</f>
        <v>0</v>
      </c>
      <c r="AH63" s="907">
        <f>(AH14*$C63)/$E$7</f>
        <v>0</v>
      </c>
      <c r="AI63" s="1136">
        <f>(AH14*$C63)+(AI14*$C63)/$E$7</f>
        <v>0</v>
      </c>
      <c r="AJ63" s="1136">
        <f>(AH14*$C63)+(AI14*$C63)+(AJ14*$C63)/$E$7</f>
        <v>0</v>
      </c>
      <c r="AK63" s="1136">
        <f>(AH14*$C63)+(AI14*$C63)+(AJ14*$C63)+(AK14*$C63)/$E$7</f>
        <v>0</v>
      </c>
      <c r="AL63" s="1136">
        <f>(AH14*$C63)+(AI14*$C63)+(AJ14*$C63)+(AK14*$C63)+(AL14*$C63)/$E$7</f>
        <v>0</v>
      </c>
      <c r="AM63" s="2780">
        <f>(AH14*$C63)+(AI14*$C63)+(AJ14*$C63)+(AK14*$C63)+(AL14*$C63)+(AM14*$C63)/$E$7</f>
        <v>0</v>
      </c>
      <c r="AN63" s="2727">
        <f>'11.2. ДА за периода'!AN63</f>
        <v>0</v>
      </c>
      <c r="AO63" s="2655">
        <f>($AO14*$C63)/$E$7</f>
        <v>0</v>
      </c>
      <c r="AP63" s="1136">
        <f>($AO14*$C63)+($AP14*$C63)/$E$7</f>
        <v>0</v>
      </c>
      <c r="AQ63" s="1136">
        <f>($AO14*$C63)+($AP14*$C63)+($AQ14*$C63)/$E$7</f>
        <v>0</v>
      </c>
      <c r="AR63" s="1136">
        <f>($AO14*$C63)+($AP14*$C63)+($AQ14*$C63)+($AR14*$C63)/$E$7</f>
        <v>0</v>
      </c>
      <c r="AS63" s="1136">
        <f>($AO14*$C63)+($AP14*$C63)+($AQ14*$C63)+($AR14*$C63)+($AS14*$C63)/$E$7</f>
        <v>0</v>
      </c>
      <c r="AT63" s="2656">
        <f>($AO14*$C63)+($AP14*$C63)+($AQ14*$C63)+($AR14*$C63)+($AS14*$C63)+($AT14*$C63)/$E$7</f>
        <v>0</v>
      </c>
      <c r="AU63" s="4488"/>
      <c r="AV63" s="4504">
        <f t="shared" si="47"/>
        <v>0</v>
      </c>
      <c r="AW63" s="4504">
        <f t="shared" si="48"/>
        <v>0</v>
      </c>
      <c r="AX63" s="4504">
        <f t="shared" si="49"/>
        <v>0</v>
      </c>
      <c r="AY63" s="4504">
        <f t="shared" si="50"/>
        <v>0</v>
      </c>
      <c r="AZ63" s="4504">
        <f t="shared" si="51"/>
        <v>0</v>
      </c>
      <c r="BA63" s="4504">
        <f t="shared" si="52"/>
        <v>0</v>
      </c>
      <c r="BB63" s="4504">
        <f t="shared" si="53"/>
        <v>0</v>
      </c>
      <c r="BC63" s="4504">
        <f t="shared" si="54"/>
        <v>0</v>
      </c>
      <c r="BD63" s="4504">
        <f t="shared" si="55"/>
        <v>0</v>
      </c>
      <c r="BE63" s="4504">
        <f t="shared" si="56"/>
        <v>0</v>
      </c>
      <c r="BF63" s="4504">
        <f t="shared" si="57"/>
        <v>0</v>
      </c>
      <c r="BG63" s="4504">
        <f t="shared" si="58"/>
        <v>0</v>
      </c>
      <c r="BH63" s="4504">
        <f t="shared" si="59"/>
        <v>0</v>
      </c>
      <c r="BI63" s="4504">
        <f t="shared" si="60"/>
        <v>0</v>
      </c>
      <c r="BJ63" s="4504">
        <f t="shared" si="61"/>
        <v>0</v>
      </c>
      <c r="BK63" s="4504">
        <f t="shared" si="62"/>
        <v>0</v>
      </c>
      <c r="BL63" s="4504">
        <f t="shared" si="63"/>
        <v>0</v>
      </c>
      <c r="BM63" s="4504">
        <f t="shared" si="64"/>
        <v>0</v>
      </c>
      <c r="BN63" s="4504">
        <f t="shared" si="65"/>
        <v>0</v>
      </c>
      <c r="BO63" s="4504">
        <f t="shared" si="66"/>
        <v>0</v>
      </c>
      <c r="BP63" s="4504">
        <f t="shared" si="67"/>
        <v>0</v>
      </c>
      <c r="BQ63" s="4504">
        <f t="shared" si="68"/>
        <v>0</v>
      </c>
      <c r="BR63" s="4504">
        <f t="shared" si="69"/>
        <v>0</v>
      </c>
      <c r="BS63" s="4504">
        <f t="shared" si="70"/>
        <v>0</v>
      </c>
      <c r="BT63" s="4504">
        <f t="shared" si="71"/>
        <v>0</v>
      </c>
      <c r="BU63" s="4504">
        <f t="shared" si="72"/>
        <v>0</v>
      </c>
      <c r="BV63" s="4504">
        <f t="shared" si="73"/>
        <v>0</v>
      </c>
      <c r="BW63" s="4504">
        <f t="shared" si="74"/>
        <v>0</v>
      </c>
      <c r="BX63" s="4504">
        <f t="shared" si="75"/>
        <v>0</v>
      </c>
      <c r="BY63" s="4504">
        <f t="shared" si="76"/>
        <v>0</v>
      </c>
      <c r="BZ63" s="4504">
        <f t="shared" si="77"/>
        <v>0</v>
      </c>
      <c r="CA63" s="4504">
        <f t="shared" si="78"/>
        <v>0</v>
      </c>
      <c r="CB63" s="4504">
        <f t="shared" si="79"/>
        <v>0</v>
      </c>
      <c r="CC63" s="4504">
        <f t="shared" si="80"/>
        <v>0</v>
      </c>
      <c r="CD63" s="4504">
        <f t="shared" si="81"/>
        <v>0</v>
      </c>
      <c r="CE63" s="4504">
        <f t="shared" si="82"/>
        <v>0</v>
      </c>
      <c r="CF63" s="4504">
        <f t="shared" si="83"/>
        <v>0</v>
      </c>
      <c r="CG63" s="4504">
        <f t="shared" si="84"/>
        <v>0</v>
      </c>
      <c r="CH63" s="4504">
        <f t="shared" si="85"/>
        <v>0</v>
      </c>
      <c r="CI63" s="4504">
        <f t="shared" si="86"/>
        <v>0</v>
      </c>
      <c r="CJ63" s="4504">
        <f t="shared" si="87"/>
        <v>0</v>
      </c>
      <c r="CK63" s="4504">
        <f t="shared" si="88"/>
        <v>0</v>
      </c>
    </row>
    <row r="64" spans="1:89" s="30" customFormat="1">
      <c r="A64" s="2732">
        <v>2</v>
      </c>
      <c r="B64" s="3626">
        <v>202</v>
      </c>
      <c r="C64" s="3609">
        <v>0.03</v>
      </c>
      <c r="D64" s="2782" t="s">
        <v>404</v>
      </c>
      <c r="E64" s="2783">
        <f>SUM(E65:E66)</f>
        <v>4.5238408533003115E-2</v>
      </c>
      <c r="F64" s="2784">
        <f>SUM(F65:F66)</f>
        <v>0.3</v>
      </c>
      <c r="G64" s="2785">
        <f t="shared" ref="G64:AT64" si="114">SUM(G65:G66)</f>
        <v>0.72</v>
      </c>
      <c r="H64" s="2785">
        <f t="shared" si="114"/>
        <v>0.96</v>
      </c>
      <c r="I64" s="2785">
        <f t="shared" si="114"/>
        <v>1.2000000000000002</v>
      </c>
      <c r="J64" s="2785">
        <f t="shared" si="114"/>
        <v>1.44</v>
      </c>
      <c r="K64" s="2786">
        <f t="shared" si="114"/>
        <v>1.6800000000000002</v>
      </c>
      <c r="L64" s="2787">
        <f t="shared" si="114"/>
        <v>9.8924035526274118E-3</v>
      </c>
      <c r="M64" s="2784">
        <f t="shared" si="114"/>
        <v>0</v>
      </c>
      <c r="N64" s="2785">
        <f t="shared" si="114"/>
        <v>0</v>
      </c>
      <c r="O64" s="2785">
        <f t="shared" si="114"/>
        <v>0</v>
      </c>
      <c r="P64" s="2785">
        <f t="shared" si="114"/>
        <v>0</v>
      </c>
      <c r="Q64" s="2785">
        <f t="shared" si="114"/>
        <v>0</v>
      </c>
      <c r="R64" s="2788">
        <f t="shared" si="114"/>
        <v>0</v>
      </c>
      <c r="S64" s="2787">
        <f t="shared" si="114"/>
        <v>6.2977837914369478E-2</v>
      </c>
      <c r="T64" s="2789">
        <f t="shared" si="114"/>
        <v>0</v>
      </c>
      <c r="U64" s="2785">
        <f t="shared" si="114"/>
        <v>0</v>
      </c>
      <c r="V64" s="2785">
        <f t="shared" si="114"/>
        <v>0</v>
      </c>
      <c r="W64" s="2785">
        <f t="shared" si="114"/>
        <v>0</v>
      </c>
      <c r="X64" s="2785">
        <f t="shared" si="114"/>
        <v>0</v>
      </c>
      <c r="Y64" s="2788">
        <f t="shared" si="114"/>
        <v>0</v>
      </c>
      <c r="Z64" s="2787">
        <f t="shared" si="114"/>
        <v>0</v>
      </c>
      <c r="AA64" s="2789">
        <f t="shared" si="114"/>
        <v>0</v>
      </c>
      <c r="AB64" s="2785">
        <f t="shared" si="114"/>
        <v>0</v>
      </c>
      <c r="AC64" s="2785">
        <f t="shared" si="114"/>
        <v>0</v>
      </c>
      <c r="AD64" s="2785">
        <f t="shared" si="114"/>
        <v>0</v>
      </c>
      <c r="AE64" s="2785">
        <f t="shared" si="114"/>
        <v>0</v>
      </c>
      <c r="AF64" s="2788">
        <f t="shared" si="114"/>
        <v>0</v>
      </c>
      <c r="AG64" s="2787">
        <f t="shared" si="114"/>
        <v>0</v>
      </c>
      <c r="AH64" s="2789">
        <f t="shared" si="114"/>
        <v>0</v>
      </c>
      <c r="AI64" s="2785">
        <f t="shared" si="114"/>
        <v>0</v>
      </c>
      <c r="AJ64" s="2785">
        <f t="shared" si="114"/>
        <v>0</v>
      </c>
      <c r="AK64" s="2785">
        <f t="shared" si="114"/>
        <v>0</v>
      </c>
      <c r="AL64" s="2785">
        <f t="shared" si="114"/>
        <v>0</v>
      </c>
      <c r="AM64" s="2788">
        <f t="shared" si="114"/>
        <v>0</v>
      </c>
      <c r="AN64" s="2787">
        <f t="shared" si="114"/>
        <v>0</v>
      </c>
      <c r="AO64" s="2789">
        <f t="shared" si="114"/>
        <v>7.4999999999999997E-2</v>
      </c>
      <c r="AP64" s="2785">
        <f t="shared" si="114"/>
        <v>0.21</v>
      </c>
      <c r="AQ64" s="2785">
        <f t="shared" si="114"/>
        <v>0.33</v>
      </c>
      <c r="AR64" s="2785">
        <f t="shared" si="114"/>
        <v>0.45</v>
      </c>
      <c r="AS64" s="2785">
        <f t="shared" si="114"/>
        <v>0.57000000000000006</v>
      </c>
      <c r="AT64" s="2788">
        <f t="shared" si="114"/>
        <v>0.69</v>
      </c>
      <c r="AU64" s="4488"/>
      <c r="AV64" s="4504">
        <f t="shared" si="47"/>
        <v>2.3130031001162225E-2</v>
      </c>
      <c r="AW64" s="4504">
        <f t="shared" si="48"/>
        <v>0.15338756435886555</v>
      </c>
      <c r="AX64" s="4504">
        <f t="shared" si="49"/>
        <v>0.36813015446127728</v>
      </c>
      <c r="AY64" s="4504">
        <f t="shared" si="50"/>
        <v>0.49084020594836975</v>
      </c>
      <c r="AZ64" s="4504">
        <f t="shared" si="51"/>
        <v>0.61355025743546232</v>
      </c>
      <c r="BA64" s="4504">
        <f t="shared" si="52"/>
        <v>0.73626030892255456</v>
      </c>
      <c r="BB64" s="4504">
        <f t="shared" si="53"/>
        <v>0.85897036040964714</v>
      </c>
      <c r="BC64" s="4504">
        <f t="shared" si="54"/>
        <v>5.0579056219750241E-3</v>
      </c>
      <c r="BD64" s="4504">
        <f t="shared" si="55"/>
        <v>0</v>
      </c>
      <c r="BE64" s="4504">
        <f t="shared" si="56"/>
        <v>0</v>
      </c>
      <c r="BF64" s="4504">
        <f t="shared" si="57"/>
        <v>0</v>
      </c>
      <c r="BG64" s="4504">
        <f t="shared" si="58"/>
        <v>0</v>
      </c>
      <c r="BH64" s="4504">
        <f t="shared" si="59"/>
        <v>0</v>
      </c>
      <c r="BI64" s="4504">
        <f t="shared" si="60"/>
        <v>0</v>
      </c>
      <c r="BJ64" s="4504">
        <f t="shared" si="61"/>
        <v>3.2200057220908504E-2</v>
      </c>
      <c r="BK64" s="4504">
        <f t="shared" si="62"/>
        <v>0</v>
      </c>
      <c r="BL64" s="4504">
        <f t="shared" si="63"/>
        <v>0</v>
      </c>
      <c r="BM64" s="4504">
        <f t="shared" si="64"/>
        <v>0</v>
      </c>
      <c r="BN64" s="4504">
        <f t="shared" si="65"/>
        <v>0</v>
      </c>
      <c r="BO64" s="4504">
        <f t="shared" si="66"/>
        <v>0</v>
      </c>
      <c r="BP64" s="4504">
        <f t="shared" si="67"/>
        <v>0</v>
      </c>
      <c r="BQ64" s="4504">
        <f t="shared" si="68"/>
        <v>0</v>
      </c>
      <c r="BR64" s="4504">
        <f t="shared" si="69"/>
        <v>0</v>
      </c>
      <c r="BS64" s="4504">
        <f t="shared" si="70"/>
        <v>0</v>
      </c>
      <c r="BT64" s="4504">
        <f t="shared" si="71"/>
        <v>0</v>
      </c>
      <c r="BU64" s="4504">
        <f t="shared" si="72"/>
        <v>0</v>
      </c>
      <c r="BV64" s="4504">
        <f t="shared" si="73"/>
        <v>0</v>
      </c>
      <c r="BW64" s="4504">
        <f t="shared" si="74"/>
        <v>0</v>
      </c>
      <c r="BX64" s="4504">
        <f t="shared" si="75"/>
        <v>0</v>
      </c>
      <c r="BY64" s="4504">
        <f t="shared" si="76"/>
        <v>0</v>
      </c>
      <c r="BZ64" s="4504">
        <f t="shared" si="77"/>
        <v>0</v>
      </c>
      <c r="CA64" s="4504">
        <f t="shared" si="78"/>
        <v>0</v>
      </c>
      <c r="CB64" s="4504">
        <f t="shared" si="79"/>
        <v>0</v>
      </c>
      <c r="CC64" s="4504">
        <f t="shared" si="80"/>
        <v>0</v>
      </c>
      <c r="CD64" s="4504">
        <f t="shared" si="81"/>
        <v>0</v>
      </c>
      <c r="CE64" s="4504">
        <f t="shared" si="82"/>
        <v>0</v>
      </c>
      <c r="CF64" s="4504">
        <f t="shared" si="83"/>
        <v>3.8346891089716388E-2</v>
      </c>
      <c r="CG64" s="4504">
        <f t="shared" si="84"/>
        <v>0.10737129505120588</v>
      </c>
      <c r="CH64" s="4504">
        <f t="shared" si="85"/>
        <v>0.16872632079475211</v>
      </c>
      <c r="CI64" s="4504">
        <f t="shared" si="86"/>
        <v>0.23008134653829834</v>
      </c>
      <c r="CJ64" s="4504">
        <f t="shared" si="87"/>
        <v>0.2914363722818446</v>
      </c>
      <c r="CK64" s="4504">
        <f t="shared" si="88"/>
        <v>0.35279139802539072</v>
      </c>
    </row>
    <row r="65" spans="1:89">
      <c r="A65" s="2739"/>
      <c r="B65" s="3627">
        <v>20201</v>
      </c>
      <c r="C65" s="3610">
        <v>0.03</v>
      </c>
      <c r="D65" s="2790" t="s">
        <v>425</v>
      </c>
      <c r="E65" s="2727">
        <f>'11.2. ДА за периода'!E65</f>
        <v>4.5238408533003115E-2</v>
      </c>
      <c r="F65" s="2655">
        <f>($F16*$C65)/$E$7</f>
        <v>0</v>
      </c>
      <c r="G65" s="1136">
        <f>($F16*$C65)+($G16*$C65)/$E$7</f>
        <v>0</v>
      </c>
      <c r="H65" s="1136">
        <f>($F16*$C65)+($G16*$C65)+($H16*$C65)/$E$7</f>
        <v>0</v>
      </c>
      <c r="I65" s="1136">
        <f>($F16*$C65)+($G16*$C65)+($H16*$C65)+($I16*$C65)/$E$7</f>
        <v>0</v>
      </c>
      <c r="J65" s="1136">
        <f>($F16*$C65)+($G16*$C65)+($H16*$C65)+($I16*$C65)+($J16*$C65)/$E$7</f>
        <v>0</v>
      </c>
      <c r="K65" s="2780">
        <f>($F16*$C65)+($G16*$C65)+($H16*$C65)+($I16*$C65)+($J16*$C65)+($K16*$C65)/$E$7</f>
        <v>0</v>
      </c>
      <c r="L65" s="2727">
        <f>'11.2. ДА за периода'!L65</f>
        <v>9.8924035526274118E-3</v>
      </c>
      <c r="M65" s="2655">
        <f>($M16*$C65)/$E$7</f>
        <v>0</v>
      </c>
      <c r="N65" s="1136">
        <f>($M16*$C65)+($N16*$C65)/$E$7</f>
        <v>0</v>
      </c>
      <c r="O65" s="1136">
        <f>($M16*$C65)+($N16*$C65)+($O16*$C65)/$E$7</f>
        <v>0</v>
      </c>
      <c r="P65" s="1136">
        <f>($M16*$C65)+($N16*$C65)+($O16*$C65)+($P16*$C65)/$E$7</f>
        <v>0</v>
      </c>
      <c r="Q65" s="2780">
        <f>($M16*$C65)+($N16*$C65)+($O16*$C65)+($P16*$C65)+($Q16*$C65)/$E$7</f>
        <v>0</v>
      </c>
      <c r="R65" s="2656">
        <f>($M16*$C65)+($N16*$C65)+($O16*$C65)+($P16*$C65)+($Q16*$C65)+($R16*$C65)/$E$7</f>
        <v>0</v>
      </c>
      <c r="S65" s="1113">
        <f>'11.2. ДА за периода'!S65</f>
        <v>1.2070537914369473E-2</v>
      </c>
      <c r="T65" s="907">
        <f>($T16*$C65)/$E$7</f>
        <v>0</v>
      </c>
      <c r="U65" s="1136">
        <f>($T16*$C65)+($U16*$C65)/$E$7</f>
        <v>0</v>
      </c>
      <c r="V65" s="1136">
        <f>($T16*$C65)+($U16*$C65)+($V16*$C65)/$E$7</f>
        <v>0</v>
      </c>
      <c r="W65" s="1136">
        <f>($T16*$C65)+($U16*$C65)+($V16*$C65)+($W16*$C65)/$E$7</f>
        <v>0</v>
      </c>
      <c r="X65" s="1136">
        <f>($T16*$C65)+($U16*$C65)+($V16*$C65)+($W16*$C65)+($X16*$C65)/$E$7</f>
        <v>0</v>
      </c>
      <c r="Y65" s="2656">
        <f>($T16*$C65)+($U16*$C65)+($V16*$C65)+($W16*$C65)+($X16*$C65)+($Y16*$C65)/$E$7</f>
        <v>0</v>
      </c>
      <c r="Z65" s="1113">
        <f>'11.2. ДА за периода'!Z65</f>
        <v>0</v>
      </c>
      <c r="AA65" s="907">
        <f t="shared" ref="AA65:AA66" si="115">(AA16*$C65)/$E$7</f>
        <v>0</v>
      </c>
      <c r="AB65" s="1136">
        <f t="shared" ref="AB65:AB66" si="116">(AA16*$C65)+(AB16*$C65)/$E$7</f>
        <v>0</v>
      </c>
      <c r="AC65" s="1136">
        <f t="shared" ref="AC65:AC66" si="117">(AA16*$C65)+(AB16*$C65)+(AC16*$C65)/$E$7</f>
        <v>0</v>
      </c>
      <c r="AD65" s="1136">
        <f t="shared" ref="AD65:AD66" si="118">(AA16*$C65)+(AB16*$C65)+(AC16*$C65)+(AD16*$C65)/$E$7</f>
        <v>0</v>
      </c>
      <c r="AE65" s="1136">
        <f t="shared" ref="AE65:AE66" si="119">(AA16*$C65)+(AB16*$C65)+(AC16*$C65)+(AD16*$C65)+(AE16*$C65)/$E$7</f>
        <v>0</v>
      </c>
      <c r="AF65" s="2780">
        <f t="shared" ref="AF65:AF66" si="120">(AA16*$C65)+(AB16*$C65)+(AC16*$C65)+(AD16*$C65)+(AE16*$C65)+(AF16*$C65)/$E$7</f>
        <v>0</v>
      </c>
      <c r="AG65" s="1113">
        <f>'11.2. ДА за периода'!AG65</f>
        <v>0</v>
      </c>
      <c r="AH65" s="907">
        <f t="shared" ref="AH65:AH66" si="121">(AH16*$C65)/$E$7</f>
        <v>0</v>
      </c>
      <c r="AI65" s="1136">
        <f t="shared" ref="AI65:AI66" si="122">(AH16*$C65)+(AI16*$C65)/$E$7</f>
        <v>0</v>
      </c>
      <c r="AJ65" s="1136">
        <f t="shared" ref="AJ65:AJ66" si="123">(AH16*$C65)+(AI16*$C65)+(AJ16*$C65)/$E$7</f>
        <v>0</v>
      </c>
      <c r="AK65" s="1136">
        <f t="shared" ref="AK65:AK66" si="124">(AH16*$C65)+(AI16*$C65)+(AJ16*$C65)+(AK16*$C65)/$E$7</f>
        <v>0</v>
      </c>
      <c r="AL65" s="1136">
        <f t="shared" ref="AL65:AL66" si="125">(AH16*$C65)+(AI16*$C65)+(AJ16*$C65)+(AK16*$C65)+(AL16*$C65)/$E$7</f>
        <v>0</v>
      </c>
      <c r="AM65" s="2780">
        <f t="shared" ref="AM65:AM66" si="126">(AH16*$C65)+(AI16*$C65)+(AJ16*$C65)+(AK16*$C65)+(AL16*$C65)+(AM16*$C65)/$E$7</f>
        <v>0</v>
      </c>
      <c r="AN65" s="2727">
        <f>'11.2. ДА за периода'!AN65</f>
        <v>0</v>
      </c>
      <c r="AO65" s="2655">
        <f>($AO16*$C65)/$E$7</f>
        <v>7.4999999999999997E-2</v>
      </c>
      <c r="AP65" s="1136">
        <f>($AO16*$C65)+($AP16*$C65)/$E$7</f>
        <v>0.21</v>
      </c>
      <c r="AQ65" s="1136">
        <f>($AO16*$C65)+($AP16*$C65)+($AQ16*$C65)/$E$7</f>
        <v>0.33</v>
      </c>
      <c r="AR65" s="1136">
        <f>($AO16*$C65)+($AP16*$C65)+($AQ16*$C65)+($AR16*$C65)/$E$7</f>
        <v>0.45</v>
      </c>
      <c r="AS65" s="1136">
        <f>($AO16*$C65)+($AP16*$C65)+($AQ16*$C65)+($AR16*$C65)+($AS16*$C65)/$E$7</f>
        <v>0.57000000000000006</v>
      </c>
      <c r="AT65" s="2656">
        <f>($AO16*$C65)+($AP16*$C65)+($AQ16*$C65)+($AR16*$C65)+($AS16*$C65)+($AT16*$C65)/$E$7</f>
        <v>0.69</v>
      </c>
      <c r="AU65" s="4488"/>
      <c r="AV65" s="4504">
        <f t="shared" si="47"/>
        <v>2.3130031001162225E-2</v>
      </c>
      <c r="AW65" s="4504">
        <f t="shared" si="48"/>
        <v>0</v>
      </c>
      <c r="AX65" s="4504">
        <f t="shared" si="49"/>
        <v>0</v>
      </c>
      <c r="AY65" s="4504">
        <f t="shared" si="50"/>
        <v>0</v>
      </c>
      <c r="AZ65" s="4504">
        <f t="shared" si="51"/>
        <v>0</v>
      </c>
      <c r="BA65" s="4504">
        <f t="shared" si="52"/>
        <v>0</v>
      </c>
      <c r="BB65" s="4504">
        <f t="shared" si="53"/>
        <v>0</v>
      </c>
      <c r="BC65" s="4504">
        <f t="shared" si="54"/>
        <v>5.0579056219750241E-3</v>
      </c>
      <c r="BD65" s="4504">
        <f t="shared" si="55"/>
        <v>0</v>
      </c>
      <c r="BE65" s="4504">
        <f t="shared" si="56"/>
        <v>0</v>
      </c>
      <c r="BF65" s="4504">
        <f t="shared" si="57"/>
        <v>0</v>
      </c>
      <c r="BG65" s="4504">
        <f t="shared" si="58"/>
        <v>0</v>
      </c>
      <c r="BH65" s="4504">
        <f t="shared" si="59"/>
        <v>0</v>
      </c>
      <c r="BI65" s="4504">
        <f t="shared" si="60"/>
        <v>0</v>
      </c>
      <c r="BJ65" s="4504">
        <f t="shared" si="61"/>
        <v>6.1715680372882477E-3</v>
      </c>
      <c r="BK65" s="4504">
        <f t="shared" si="62"/>
        <v>0</v>
      </c>
      <c r="BL65" s="4504">
        <f t="shared" si="63"/>
        <v>0</v>
      </c>
      <c r="BM65" s="4504">
        <f t="shared" si="64"/>
        <v>0</v>
      </c>
      <c r="BN65" s="4504">
        <f t="shared" si="65"/>
        <v>0</v>
      </c>
      <c r="BO65" s="4504">
        <f t="shared" si="66"/>
        <v>0</v>
      </c>
      <c r="BP65" s="4504">
        <f t="shared" si="67"/>
        <v>0</v>
      </c>
      <c r="BQ65" s="4504">
        <f t="shared" si="68"/>
        <v>0</v>
      </c>
      <c r="BR65" s="4504">
        <f t="shared" si="69"/>
        <v>0</v>
      </c>
      <c r="BS65" s="4504">
        <f t="shared" si="70"/>
        <v>0</v>
      </c>
      <c r="BT65" s="4504">
        <f t="shared" si="71"/>
        <v>0</v>
      </c>
      <c r="BU65" s="4504">
        <f t="shared" si="72"/>
        <v>0</v>
      </c>
      <c r="BV65" s="4504">
        <f t="shared" si="73"/>
        <v>0</v>
      </c>
      <c r="BW65" s="4504">
        <f t="shared" si="74"/>
        <v>0</v>
      </c>
      <c r="BX65" s="4504">
        <f t="shared" si="75"/>
        <v>0</v>
      </c>
      <c r="BY65" s="4504">
        <f t="shared" si="76"/>
        <v>0</v>
      </c>
      <c r="BZ65" s="4504">
        <f t="shared" si="77"/>
        <v>0</v>
      </c>
      <c r="CA65" s="4504">
        <f t="shared" si="78"/>
        <v>0</v>
      </c>
      <c r="CB65" s="4504">
        <f t="shared" si="79"/>
        <v>0</v>
      </c>
      <c r="CC65" s="4504">
        <f t="shared" si="80"/>
        <v>0</v>
      </c>
      <c r="CD65" s="4504">
        <f t="shared" si="81"/>
        <v>0</v>
      </c>
      <c r="CE65" s="4504">
        <f t="shared" si="82"/>
        <v>0</v>
      </c>
      <c r="CF65" s="4504">
        <f t="shared" si="83"/>
        <v>3.8346891089716388E-2</v>
      </c>
      <c r="CG65" s="4504">
        <f t="shared" si="84"/>
        <v>0.10737129505120588</v>
      </c>
      <c r="CH65" s="4504">
        <f t="shared" si="85"/>
        <v>0.16872632079475211</v>
      </c>
      <c r="CI65" s="4504">
        <f t="shared" si="86"/>
        <v>0.23008134653829834</v>
      </c>
      <c r="CJ65" s="4504">
        <f t="shared" si="87"/>
        <v>0.2914363722818446</v>
      </c>
      <c r="CK65" s="4504">
        <f t="shared" si="88"/>
        <v>0.35279139802539072</v>
      </c>
    </row>
    <row r="66" spans="1:89">
      <c r="A66" s="2739"/>
      <c r="B66" s="3627">
        <v>20202</v>
      </c>
      <c r="C66" s="3610">
        <v>0.03</v>
      </c>
      <c r="D66" s="2790" t="s">
        <v>426</v>
      </c>
      <c r="E66" s="2727">
        <f>'11.2. ДА за периода'!E66</f>
        <v>0</v>
      </c>
      <c r="F66" s="2655">
        <f>($F17*$C66)/$E$7</f>
        <v>0.3</v>
      </c>
      <c r="G66" s="1136">
        <f>($F17*$C66)+($G17*$C66)/$E$7</f>
        <v>0.72</v>
      </c>
      <c r="H66" s="1136">
        <f>($F17*$C66)+($G17*$C66)+($H17*$C66)/$E$7</f>
        <v>0.96</v>
      </c>
      <c r="I66" s="1136">
        <f>($F17*$C66)+($G17*$C66)+($H17*$C66)+($I17*$C66)/$E$7</f>
        <v>1.2000000000000002</v>
      </c>
      <c r="J66" s="1136">
        <f>($F17*$C66)+($G17*$C66)+($H17*$C66)+($I17*$C66)+($J17*$C66)/$E$7</f>
        <v>1.44</v>
      </c>
      <c r="K66" s="2780">
        <f>($F17*$C66)+($G17*$C66)+($H17*$C66)+($I17*$C66)+($J17*$C66)+($K17*$C66)/$E$7</f>
        <v>1.6800000000000002</v>
      </c>
      <c r="L66" s="2727">
        <f>'11.2. ДА за периода'!L66</f>
        <v>0</v>
      </c>
      <c r="M66" s="2655">
        <f>($M17*$C66)/$E$7</f>
        <v>0</v>
      </c>
      <c r="N66" s="1136">
        <f>($M17*$C66)+($N17*$C66)/$E$7</f>
        <v>0</v>
      </c>
      <c r="O66" s="1136">
        <f>($M17*$C66)+($N17*$C66)+($O17*$C66)/$E$7</f>
        <v>0</v>
      </c>
      <c r="P66" s="1136">
        <f>($M17*$C66)+($N17*$C66)+($O17*$C66)+($P17*$C66)/$E$7</f>
        <v>0</v>
      </c>
      <c r="Q66" s="2780">
        <f>($M17*$C66)+($N17*$C66)+($O17*$C66)+($P17*$C66)+($Q17*$C66)/$E$7</f>
        <v>0</v>
      </c>
      <c r="R66" s="2656">
        <f>($M17*$C66)+($N17*$C66)+($O17*$C66)+($P17*$C66)+($Q17*$C66)+($R17*$C66)/$E$7</f>
        <v>0</v>
      </c>
      <c r="S66" s="1113">
        <f>'11.2. ДА за периода'!S66</f>
        <v>5.0907300000000003E-2</v>
      </c>
      <c r="T66" s="907">
        <f>($T17*$C66)/$E$7</f>
        <v>0</v>
      </c>
      <c r="U66" s="1136">
        <f>($T17*$C66)+($U17*$C66)/$E$7</f>
        <v>0</v>
      </c>
      <c r="V66" s="1136">
        <f>($T17*$C66)+($U17*$C66)+($V17*$C66)/$E$7</f>
        <v>0</v>
      </c>
      <c r="W66" s="1136">
        <f>($T17*$C66)+($U17*$C66)+($V17*$C66)+($W17*$C66)/$E$7</f>
        <v>0</v>
      </c>
      <c r="X66" s="1136">
        <f>($T17*$C66)+($U17*$C66)+($V17*$C66)+($W17*$C66)+($X17*$C66)/$E$7</f>
        <v>0</v>
      </c>
      <c r="Y66" s="2656">
        <f>($T17*$C66)+($U17*$C66)+($V17*$C66)+($W17*$C66)+($X17*$C66)+($Y17*$C66)/$E$7</f>
        <v>0</v>
      </c>
      <c r="Z66" s="1113">
        <f>'11.2. ДА за периода'!Z66</f>
        <v>0</v>
      </c>
      <c r="AA66" s="907">
        <f t="shared" si="115"/>
        <v>0</v>
      </c>
      <c r="AB66" s="1136">
        <f t="shared" si="116"/>
        <v>0</v>
      </c>
      <c r="AC66" s="1136">
        <f t="shared" si="117"/>
        <v>0</v>
      </c>
      <c r="AD66" s="1136">
        <f t="shared" si="118"/>
        <v>0</v>
      </c>
      <c r="AE66" s="1136">
        <f t="shared" si="119"/>
        <v>0</v>
      </c>
      <c r="AF66" s="2780">
        <f t="shared" si="120"/>
        <v>0</v>
      </c>
      <c r="AG66" s="1113">
        <f>'11.2. ДА за периода'!AG66</f>
        <v>0</v>
      </c>
      <c r="AH66" s="907">
        <f t="shared" si="121"/>
        <v>0</v>
      </c>
      <c r="AI66" s="1136">
        <f t="shared" si="122"/>
        <v>0</v>
      </c>
      <c r="AJ66" s="1136">
        <f t="shared" si="123"/>
        <v>0</v>
      </c>
      <c r="AK66" s="1136">
        <f t="shared" si="124"/>
        <v>0</v>
      </c>
      <c r="AL66" s="1136">
        <f t="shared" si="125"/>
        <v>0</v>
      </c>
      <c r="AM66" s="2780">
        <f t="shared" si="126"/>
        <v>0</v>
      </c>
      <c r="AN66" s="2727">
        <f>'11.2. ДА за периода'!AN66</f>
        <v>0</v>
      </c>
      <c r="AO66" s="2655">
        <f>($AO17*$C66)/$E$7</f>
        <v>0</v>
      </c>
      <c r="AP66" s="1136">
        <f>($AO17*$C66)+($AP17*$C66)/$E$7</f>
        <v>0</v>
      </c>
      <c r="AQ66" s="1136">
        <f>($AO17*$C66)+($AP17*$C66)+($AQ17*$C66)/$E$7</f>
        <v>0</v>
      </c>
      <c r="AR66" s="1136">
        <f>($AO17*$C66)+($AP17*$C66)+($AQ17*$C66)+($AR17*$C66)/$E$7</f>
        <v>0</v>
      </c>
      <c r="AS66" s="1136">
        <f>($AO17*$C66)+($AP17*$C66)+($AQ17*$C66)+($AR17*$C66)+($AS17*$C66)/$E$7</f>
        <v>0</v>
      </c>
      <c r="AT66" s="2656">
        <f>($AO17*$C66)+($AP17*$C66)+($AQ17*$C66)+($AR17*$C66)+($AS17*$C66)+($AT17*$C66)/$E$7</f>
        <v>0</v>
      </c>
      <c r="AU66" s="4488"/>
      <c r="AV66" s="4504">
        <f t="shared" si="47"/>
        <v>0</v>
      </c>
      <c r="AW66" s="4504">
        <f t="shared" si="48"/>
        <v>0.15338756435886555</v>
      </c>
      <c r="AX66" s="4504">
        <f t="shared" si="49"/>
        <v>0.36813015446127728</v>
      </c>
      <c r="AY66" s="4504">
        <f t="shared" si="50"/>
        <v>0.49084020594836975</v>
      </c>
      <c r="AZ66" s="4504">
        <f t="shared" si="51"/>
        <v>0.61355025743546232</v>
      </c>
      <c r="BA66" s="4504">
        <f t="shared" si="52"/>
        <v>0.73626030892255456</v>
      </c>
      <c r="BB66" s="4504">
        <f t="shared" si="53"/>
        <v>0.85897036040964714</v>
      </c>
      <c r="BC66" s="4504">
        <f t="shared" si="54"/>
        <v>0</v>
      </c>
      <c r="BD66" s="4504">
        <f t="shared" si="55"/>
        <v>0</v>
      </c>
      <c r="BE66" s="4504">
        <f t="shared" si="56"/>
        <v>0</v>
      </c>
      <c r="BF66" s="4504">
        <f t="shared" si="57"/>
        <v>0</v>
      </c>
      <c r="BG66" s="4504">
        <f t="shared" si="58"/>
        <v>0</v>
      </c>
      <c r="BH66" s="4504">
        <f t="shared" si="59"/>
        <v>0</v>
      </c>
      <c r="BI66" s="4504">
        <f t="shared" si="60"/>
        <v>0</v>
      </c>
      <c r="BJ66" s="4504">
        <f t="shared" si="61"/>
        <v>2.6028489183620256E-2</v>
      </c>
      <c r="BK66" s="4504">
        <f t="shared" si="62"/>
        <v>0</v>
      </c>
      <c r="BL66" s="4504">
        <f t="shared" si="63"/>
        <v>0</v>
      </c>
      <c r="BM66" s="4504">
        <f t="shared" si="64"/>
        <v>0</v>
      </c>
      <c r="BN66" s="4504">
        <f t="shared" si="65"/>
        <v>0</v>
      </c>
      <c r="BO66" s="4504">
        <f t="shared" si="66"/>
        <v>0</v>
      </c>
      <c r="BP66" s="4504">
        <f t="shared" si="67"/>
        <v>0</v>
      </c>
      <c r="BQ66" s="4504">
        <f t="shared" si="68"/>
        <v>0</v>
      </c>
      <c r="BR66" s="4504">
        <f t="shared" si="69"/>
        <v>0</v>
      </c>
      <c r="BS66" s="4504">
        <f t="shared" si="70"/>
        <v>0</v>
      </c>
      <c r="BT66" s="4504">
        <f t="shared" si="71"/>
        <v>0</v>
      </c>
      <c r="BU66" s="4504">
        <f t="shared" si="72"/>
        <v>0</v>
      </c>
      <c r="BV66" s="4504">
        <f t="shared" si="73"/>
        <v>0</v>
      </c>
      <c r="BW66" s="4504">
        <f t="shared" si="74"/>
        <v>0</v>
      </c>
      <c r="BX66" s="4504">
        <f t="shared" si="75"/>
        <v>0</v>
      </c>
      <c r="BY66" s="4504">
        <f t="shared" si="76"/>
        <v>0</v>
      </c>
      <c r="BZ66" s="4504">
        <f t="shared" si="77"/>
        <v>0</v>
      </c>
      <c r="CA66" s="4504">
        <f t="shared" si="78"/>
        <v>0</v>
      </c>
      <c r="CB66" s="4504">
        <f t="shared" si="79"/>
        <v>0</v>
      </c>
      <c r="CC66" s="4504">
        <f t="shared" si="80"/>
        <v>0</v>
      </c>
      <c r="CD66" s="4504">
        <f t="shared" si="81"/>
        <v>0</v>
      </c>
      <c r="CE66" s="4504">
        <f t="shared" si="82"/>
        <v>0</v>
      </c>
      <c r="CF66" s="4504">
        <f t="shared" si="83"/>
        <v>0</v>
      </c>
      <c r="CG66" s="4504">
        <f t="shared" si="84"/>
        <v>0</v>
      </c>
      <c r="CH66" s="4504">
        <f t="shared" si="85"/>
        <v>0</v>
      </c>
      <c r="CI66" s="4504">
        <f t="shared" si="86"/>
        <v>0</v>
      </c>
      <c r="CJ66" s="4504">
        <f t="shared" si="87"/>
        <v>0</v>
      </c>
      <c r="CK66" s="4504">
        <f t="shared" si="88"/>
        <v>0</v>
      </c>
    </row>
    <row r="67" spans="1:89" s="40" customFormat="1" ht="12.75" customHeight="1">
      <c r="A67" s="2741">
        <v>3</v>
      </c>
      <c r="B67" s="3626">
        <v>203</v>
      </c>
      <c r="C67" s="3609"/>
      <c r="D67" s="2782" t="s">
        <v>405</v>
      </c>
      <c r="E67" s="2783">
        <f t="shared" ref="E67:AT67" si="127">SUM(E68:E78)-E71-E74</f>
        <v>44.735142302128409</v>
      </c>
      <c r="F67" s="2784">
        <f t="shared" si="127"/>
        <v>13.400000000000002</v>
      </c>
      <c r="G67" s="2785">
        <f t="shared" si="127"/>
        <v>30.500000000000007</v>
      </c>
      <c r="H67" s="2785">
        <f t="shared" si="127"/>
        <v>37.750000000000007</v>
      </c>
      <c r="I67" s="2785">
        <f t="shared" si="127"/>
        <v>45.849999999999994</v>
      </c>
      <c r="J67" s="2785">
        <f t="shared" si="127"/>
        <v>55.399999999999977</v>
      </c>
      <c r="K67" s="2786">
        <f t="shared" si="127"/>
        <v>64.7</v>
      </c>
      <c r="L67" s="2787">
        <f t="shared" si="127"/>
        <v>0.36737509911494903</v>
      </c>
      <c r="M67" s="2784">
        <f t="shared" si="127"/>
        <v>0</v>
      </c>
      <c r="N67" s="2785">
        <f t="shared" si="127"/>
        <v>0</v>
      </c>
      <c r="O67" s="2785">
        <f t="shared" si="127"/>
        <v>0</v>
      </c>
      <c r="P67" s="2785">
        <f t="shared" si="127"/>
        <v>0</v>
      </c>
      <c r="Q67" s="2785">
        <f t="shared" si="127"/>
        <v>0</v>
      </c>
      <c r="R67" s="2788">
        <f t="shared" si="127"/>
        <v>0</v>
      </c>
      <c r="S67" s="2787">
        <f t="shared" si="127"/>
        <v>2.5144850865336785</v>
      </c>
      <c r="T67" s="2789">
        <f t="shared" si="127"/>
        <v>0</v>
      </c>
      <c r="U67" s="2785">
        <f t="shared" si="127"/>
        <v>0</v>
      </c>
      <c r="V67" s="2785">
        <f t="shared" si="127"/>
        <v>0</v>
      </c>
      <c r="W67" s="2785">
        <f t="shared" si="127"/>
        <v>0</v>
      </c>
      <c r="X67" s="2785">
        <f t="shared" si="127"/>
        <v>0</v>
      </c>
      <c r="Y67" s="2788">
        <f t="shared" si="127"/>
        <v>0</v>
      </c>
      <c r="Z67" s="2787">
        <f t="shared" ref="Z67:AM67" si="128">SUM(Z68:Z78)-Z71-Z74</f>
        <v>0</v>
      </c>
      <c r="AA67" s="2789">
        <f t="shared" si="128"/>
        <v>0</v>
      </c>
      <c r="AB67" s="2785">
        <f t="shared" si="128"/>
        <v>0</v>
      </c>
      <c r="AC67" s="2785">
        <f t="shared" si="128"/>
        <v>0</v>
      </c>
      <c r="AD67" s="2785">
        <f t="shared" si="128"/>
        <v>0</v>
      </c>
      <c r="AE67" s="2785">
        <f t="shared" si="128"/>
        <v>0</v>
      </c>
      <c r="AF67" s="2788">
        <f t="shared" si="128"/>
        <v>0</v>
      </c>
      <c r="AG67" s="2787">
        <f t="shared" si="128"/>
        <v>10.168678225058761</v>
      </c>
      <c r="AH67" s="2789">
        <f t="shared" si="128"/>
        <v>1.2000000000000002</v>
      </c>
      <c r="AI67" s="2785">
        <f t="shared" si="128"/>
        <v>6.099999999999997</v>
      </c>
      <c r="AJ67" s="2785">
        <f t="shared" si="128"/>
        <v>12</v>
      </c>
      <c r="AK67" s="2785">
        <f t="shared" si="128"/>
        <v>16.399999999999999</v>
      </c>
      <c r="AL67" s="2785">
        <f t="shared" si="128"/>
        <v>20.800000000000008</v>
      </c>
      <c r="AM67" s="2788">
        <f t="shared" si="128"/>
        <v>25.199999999999996</v>
      </c>
      <c r="AN67" s="2787">
        <f t="shared" si="127"/>
        <v>0</v>
      </c>
      <c r="AO67" s="2789">
        <f t="shared" si="127"/>
        <v>5.25</v>
      </c>
      <c r="AP67" s="2785">
        <f t="shared" si="127"/>
        <v>17</v>
      </c>
      <c r="AQ67" s="2785">
        <f t="shared" si="127"/>
        <v>29.999999999999996</v>
      </c>
      <c r="AR67" s="2785">
        <f t="shared" si="127"/>
        <v>43</v>
      </c>
      <c r="AS67" s="2785">
        <f t="shared" si="127"/>
        <v>56</v>
      </c>
      <c r="AT67" s="2788">
        <f t="shared" si="127"/>
        <v>69.000000000000014</v>
      </c>
      <c r="AU67" s="4488"/>
      <c r="AV67" s="4504">
        <f t="shared" si="47"/>
        <v>22.872715063235766</v>
      </c>
      <c r="AW67" s="4504">
        <f t="shared" si="48"/>
        <v>6.8513112080293288</v>
      </c>
      <c r="AX67" s="4504">
        <f t="shared" si="49"/>
        <v>15.594402376484668</v>
      </c>
      <c r="AY67" s="4504">
        <f t="shared" si="50"/>
        <v>19.301268515157251</v>
      </c>
      <c r="AZ67" s="4504">
        <f t="shared" si="51"/>
        <v>23.442732752846617</v>
      </c>
      <c r="BA67" s="4504">
        <f t="shared" si="52"/>
        <v>28.325570218270492</v>
      </c>
      <c r="BB67" s="4504">
        <f t="shared" si="53"/>
        <v>33.080584713395339</v>
      </c>
      <c r="BC67" s="4504">
        <f t="shared" si="54"/>
        <v>0.18783590553112953</v>
      </c>
      <c r="BD67" s="4504">
        <f t="shared" si="55"/>
        <v>0</v>
      </c>
      <c r="BE67" s="4504">
        <f t="shared" si="56"/>
        <v>0</v>
      </c>
      <c r="BF67" s="4504">
        <f t="shared" si="57"/>
        <v>0</v>
      </c>
      <c r="BG67" s="4504">
        <f t="shared" si="58"/>
        <v>0</v>
      </c>
      <c r="BH67" s="4504">
        <f t="shared" si="59"/>
        <v>0</v>
      </c>
      <c r="BI67" s="4504">
        <f t="shared" si="60"/>
        <v>0</v>
      </c>
      <c r="BJ67" s="4504">
        <f t="shared" si="61"/>
        <v>1.2856358101336407</v>
      </c>
      <c r="BK67" s="4504">
        <f t="shared" si="62"/>
        <v>0</v>
      </c>
      <c r="BL67" s="4504">
        <f t="shared" si="63"/>
        <v>0</v>
      </c>
      <c r="BM67" s="4504">
        <f t="shared" si="64"/>
        <v>0</v>
      </c>
      <c r="BN67" s="4504">
        <f t="shared" si="65"/>
        <v>0</v>
      </c>
      <c r="BO67" s="4504">
        <f t="shared" si="66"/>
        <v>0</v>
      </c>
      <c r="BP67" s="4504">
        <f t="shared" si="67"/>
        <v>0</v>
      </c>
      <c r="BQ67" s="4504">
        <f t="shared" si="68"/>
        <v>0</v>
      </c>
      <c r="BR67" s="4504">
        <f t="shared" si="69"/>
        <v>0</v>
      </c>
      <c r="BS67" s="4504">
        <f t="shared" si="70"/>
        <v>0</v>
      </c>
      <c r="BT67" s="4504">
        <f t="shared" si="71"/>
        <v>0</v>
      </c>
      <c r="BU67" s="4504">
        <f t="shared" si="72"/>
        <v>0</v>
      </c>
      <c r="BV67" s="4504">
        <f t="shared" si="73"/>
        <v>0</v>
      </c>
      <c r="BW67" s="4504">
        <f t="shared" si="74"/>
        <v>0</v>
      </c>
      <c r="BX67" s="4504">
        <f t="shared" si="75"/>
        <v>5.1991626189693179</v>
      </c>
      <c r="BY67" s="4504">
        <f t="shared" si="76"/>
        <v>0.61355025743546232</v>
      </c>
      <c r="BZ67" s="4504">
        <f t="shared" si="77"/>
        <v>3.1188804752969315</v>
      </c>
      <c r="CA67" s="4504">
        <f t="shared" si="78"/>
        <v>6.1355025743546223</v>
      </c>
      <c r="CB67" s="4504">
        <f t="shared" si="79"/>
        <v>8.3851868516179824</v>
      </c>
      <c r="CC67" s="4504">
        <f t="shared" si="80"/>
        <v>10.634871128881349</v>
      </c>
      <c r="CD67" s="4504">
        <f t="shared" si="81"/>
        <v>12.884555406144704</v>
      </c>
      <c r="CE67" s="4504">
        <f t="shared" si="82"/>
        <v>0</v>
      </c>
      <c r="CF67" s="4504">
        <f t="shared" si="83"/>
        <v>2.6842823762801471</v>
      </c>
      <c r="CG67" s="4504">
        <f t="shared" si="84"/>
        <v>8.691961980335714</v>
      </c>
      <c r="CH67" s="4504">
        <f t="shared" si="85"/>
        <v>15.338756435886554</v>
      </c>
      <c r="CI67" s="4504">
        <f t="shared" si="86"/>
        <v>21.985550891437395</v>
      </c>
      <c r="CJ67" s="4504">
        <f t="shared" si="87"/>
        <v>28.632345346988235</v>
      </c>
      <c r="CK67" s="4504">
        <f t="shared" si="88"/>
        <v>35.279139802539085</v>
      </c>
    </row>
    <row r="68" spans="1:89">
      <c r="A68" s="2739"/>
      <c r="B68" s="3627">
        <v>20301</v>
      </c>
      <c r="C68" s="3610">
        <v>0.1</v>
      </c>
      <c r="D68" s="2791" t="s">
        <v>427</v>
      </c>
      <c r="E68" s="2727">
        <f>'11.2. ДА за периода'!E68</f>
        <v>1.3404915000000002</v>
      </c>
      <c r="F68" s="2655">
        <f>($F19*$C68)/$E$7</f>
        <v>0</v>
      </c>
      <c r="G68" s="1136">
        <f>($F19*$C68)+($G19*$C68)/$E$7</f>
        <v>0</v>
      </c>
      <c r="H68" s="1136">
        <f>($F19*$C68)+($G19*$C68)+($H19*$C68)/$E$7</f>
        <v>0</v>
      </c>
      <c r="I68" s="1136">
        <f>($F19*$C68)+($G19*$C68)+($H19*$C68)+($I19*$C68)/$E$7</f>
        <v>0</v>
      </c>
      <c r="J68" s="1136">
        <f>($F19*$C68)+($G19*$C68)+($H19*$C68)+($I19*$C68)+($J19*$C68)/$E$7</f>
        <v>0</v>
      </c>
      <c r="K68" s="2780">
        <f>($F19*$C68)+($G19*$C68)+($H19*$C68)+($I19*$C68)+($J19*$C68)+($K19*$C68)/$E$7</f>
        <v>0</v>
      </c>
      <c r="L68" s="2727">
        <f>'11.2. ДА за периода'!L68</f>
        <v>0</v>
      </c>
      <c r="M68" s="2655">
        <f>($M19*$C68)/$E$7</f>
        <v>0</v>
      </c>
      <c r="N68" s="1136">
        <f>($M19*$C68)+($N19*$C68)/$E$7</f>
        <v>0</v>
      </c>
      <c r="O68" s="1136">
        <f>($M19*$C68)+($N19*$C68)+($O19*$C68)/$E$7</f>
        <v>0</v>
      </c>
      <c r="P68" s="1136">
        <f>($M19*$C68)+($N19*$C68)+($O19*$C68)+($P19*$C68)/$E$7</f>
        <v>0</v>
      </c>
      <c r="Q68" s="2780">
        <f>($M19*$C68)+($N19*$C68)+($O19*$C68)+($P19*$C68)+($Q19*$C68)/$E$7</f>
        <v>0</v>
      </c>
      <c r="R68" s="2656">
        <f>($M19*$C68)+($N19*$C68)+($O19*$C68)+($P19*$C68)+($Q19*$C68)+($R19*$C68)/$E$7</f>
        <v>0</v>
      </c>
      <c r="S68" s="1113">
        <f>'11.2. ДА за периода'!S68</f>
        <v>0</v>
      </c>
      <c r="T68" s="907">
        <f>($T19*$C68)/$E$7</f>
        <v>0</v>
      </c>
      <c r="U68" s="1136">
        <f>($T19*$C68)+($U19*$C68)/$E$7</f>
        <v>0</v>
      </c>
      <c r="V68" s="1136">
        <f>($T19*$C68)+($U19*$C68)+($V19*$C68)/$E$7</f>
        <v>0</v>
      </c>
      <c r="W68" s="1136">
        <f>($T19*$C68)+($U19*$C68)+($V19*$C68)+($W19*$C68)/$E$7</f>
        <v>0</v>
      </c>
      <c r="X68" s="1136">
        <f>($T19*$C68)+($U19*$C68)+($V19*$C68)+($W19*$C68)+($X19*$C68)/$E$7</f>
        <v>0</v>
      </c>
      <c r="Y68" s="2656">
        <f>($T19*$C68)+($U19*$C68)+($V19*$C68)+($W19*$C68)+($X19*$C68)+($Y19*$C68)/$E$7</f>
        <v>0</v>
      </c>
      <c r="Z68" s="1113">
        <f>'11.2. ДА за периода'!Z68</f>
        <v>0</v>
      </c>
      <c r="AA68" s="907">
        <f t="shared" ref="AA68:AA70" si="129">(AA19*$C68)/$E$7</f>
        <v>0</v>
      </c>
      <c r="AB68" s="1136">
        <f t="shared" ref="AB68:AB70" si="130">(AA19*$C68)+(AB19*$C68)/$E$7</f>
        <v>0</v>
      </c>
      <c r="AC68" s="1136">
        <f t="shared" ref="AC68:AC70" si="131">(AA19*$C68)+(AB19*$C68)+(AC19*$C68)/$E$7</f>
        <v>0</v>
      </c>
      <c r="AD68" s="1136">
        <f t="shared" ref="AD68:AD70" si="132">(AA19*$C68)+(AB19*$C68)+(AC19*$C68)+(AD19*$C68)/$E$7</f>
        <v>0</v>
      </c>
      <c r="AE68" s="1136">
        <f t="shared" ref="AE68:AE70" si="133">(AA19*$C68)+(AB19*$C68)+(AC19*$C68)+(AD19*$C68)+(AE19*$C68)/$E$7</f>
        <v>0</v>
      </c>
      <c r="AF68" s="2780">
        <f t="shared" ref="AF68:AF70" si="134">(AA19*$C68)+(AB19*$C68)+(AC19*$C68)+(AD19*$C68)+(AE19*$C68)+(AF19*$C68)/$E$7</f>
        <v>0</v>
      </c>
      <c r="AG68" s="1113">
        <f>'11.2. ДА за периода'!AG68</f>
        <v>0</v>
      </c>
      <c r="AH68" s="907">
        <f t="shared" ref="AH68:AH70" si="135">(AH19*$C68)/$E$7</f>
        <v>0</v>
      </c>
      <c r="AI68" s="1136">
        <f t="shared" ref="AI68:AI70" si="136">(AH19*$C68)+(AI19*$C68)/$E$7</f>
        <v>0</v>
      </c>
      <c r="AJ68" s="1136">
        <f t="shared" ref="AJ68:AJ70" si="137">(AH19*$C68)+(AI19*$C68)+(AJ19*$C68)/$E$7</f>
        <v>0</v>
      </c>
      <c r="AK68" s="1136">
        <f t="shared" ref="AK68:AK70" si="138">(AH19*$C68)+(AI19*$C68)+(AJ19*$C68)+(AK19*$C68)/$E$7</f>
        <v>0</v>
      </c>
      <c r="AL68" s="1136">
        <f t="shared" ref="AL68:AL70" si="139">(AH19*$C68)+(AI19*$C68)+(AJ19*$C68)+(AK19*$C68)+(AL19*$C68)/$E$7</f>
        <v>0</v>
      </c>
      <c r="AM68" s="2780">
        <f t="shared" ref="AM68:AM70" si="140">(AH19*$C68)+(AI19*$C68)+(AJ19*$C68)+(AK19*$C68)+(AL19*$C68)+(AM19*$C68)/$E$7</f>
        <v>0</v>
      </c>
      <c r="AN68" s="2727">
        <f>'11.2. ДА за периода'!AN68</f>
        <v>0</v>
      </c>
      <c r="AO68" s="2655">
        <f>($AO19*$C68)/$E$7</f>
        <v>0</v>
      </c>
      <c r="AP68" s="1136">
        <f>($AO19*$C68)+($AP19*$C68)/$E$7</f>
        <v>0</v>
      </c>
      <c r="AQ68" s="1136">
        <f>($AO19*$C68)+($AP19*$C68)+($AQ19*$C68)/$E$7</f>
        <v>0</v>
      </c>
      <c r="AR68" s="1136">
        <f>($AO19*$C68)+($AP19*$C68)+($AQ19*$C68)+($AR19*$C68)/$E$7</f>
        <v>0</v>
      </c>
      <c r="AS68" s="1136">
        <f>($AO19*$C68)+($AP19*$C68)+($AQ19*$C68)+($AR19*$C68)+($AS19*$C68)/$E$7</f>
        <v>0</v>
      </c>
      <c r="AT68" s="2656">
        <f>($AO19*$C68)+($AP19*$C68)+($AQ19*$C68)+($AR19*$C68)+($AS19*$C68)+($AT19*$C68)/$E$7</f>
        <v>0</v>
      </c>
      <c r="AU68" s="4488"/>
      <c r="AV68" s="4504">
        <f t="shared" si="47"/>
        <v>0.68538242076254086</v>
      </c>
      <c r="AW68" s="4504">
        <f t="shared" si="48"/>
        <v>0</v>
      </c>
      <c r="AX68" s="4504">
        <f t="shared" si="49"/>
        <v>0</v>
      </c>
      <c r="AY68" s="4504">
        <f t="shared" si="50"/>
        <v>0</v>
      </c>
      <c r="AZ68" s="4504">
        <f t="shared" si="51"/>
        <v>0</v>
      </c>
      <c r="BA68" s="4504">
        <f t="shared" si="52"/>
        <v>0</v>
      </c>
      <c r="BB68" s="4504">
        <f t="shared" si="53"/>
        <v>0</v>
      </c>
      <c r="BC68" s="4504">
        <f t="shared" si="54"/>
        <v>0</v>
      </c>
      <c r="BD68" s="4504">
        <f t="shared" si="55"/>
        <v>0</v>
      </c>
      <c r="BE68" s="4504">
        <f t="shared" si="56"/>
        <v>0</v>
      </c>
      <c r="BF68" s="4504">
        <f t="shared" si="57"/>
        <v>0</v>
      </c>
      <c r="BG68" s="4504">
        <f t="shared" si="58"/>
        <v>0</v>
      </c>
      <c r="BH68" s="4504">
        <f t="shared" si="59"/>
        <v>0</v>
      </c>
      <c r="BI68" s="4504">
        <f t="shared" si="60"/>
        <v>0</v>
      </c>
      <c r="BJ68" s="4504">
        <f t="shared" si="61"/>
        <v>0</v>
      </c>
      <c r="BK68" s="4504">
        <f t="shared" si="62"/>
        <v>0</v>
      </c>
      <c r="BL68" s="4504">
        <f t="shared" si="63"/>
        <v>0</v>
      </c>
      <c r="BM68" s="4504">
        <f t="shared" si="64"/>
        <v>0</v>
      </c>
      <c r="BN68" s="4504">
        <f t="shared" si="65"/>
        <v>0</v>
      </c>
      <c r="BO68" s="4504">
        <f t="shared" si="66"/>
        <v>0</v>
      </c>
      <c r="BP68" s="4504">
        <f t="shared" si="67"/>
        <v>0</v>
      </c>
      <c r="BQ68" s="4504">
        <f t="shared" si="68"/>
        <v>0</v>
      </c>
      <c r="BR68" s="4504">
        <f t="shared" si="69"/>
        <v>0</v>
      </c>
      <c r="BS68" s="4504">
        <f t="shared" si="70"/>
        <v>0</v>
      </c>
      <c r="BT68" s="4504">
        <f t="shared" si="71"/>
        <v>0</v>
      </c>
      <c r="BU68" s="4504">
        <f t="shared" si="72"/>
        <v>0</v>
      </c>
      <c r="BV68" s="4504">
        <f t="shared" si="73"/>
        <v>0</v>
      </c>
      <c r="BW68" s="4504">
        <f t="shared" si="74"/>
        <v>0</v>
      </c>
      <c r="BX68" s="4504">
        <f t="shared" si="75"/>
        <v>0</v>
      </c>
      <c r="BY68" s="4504">
        <f t="shared" si="76"/>
        <v>0</v>
      </c>
      <c r="BZ68" s="4504">
        <f t="shared" si="77"/>
        <v>0</v>
      </c>
      <c r="CA68" s="4504">
        <f t="shared" si="78"/>
        <v>0</v>
      </c>
      <c r="CB68" s="4504">
        <f t="shared" si="79"/>
        <v>0</v>
      </c>
      <c r="CC68" s="4504">
        <f t="shared" si="80"/>
        <v>0</v>
      </c>
      <c r="CD68" s="4504">
        <f t="shared" si="81"/>
        <v>0</v>
      </c>
      <c r="CE68" s="4504">
        <f t="shared" si="82"/>
        <v>0</v>
      </c>
      <c r="CF68" s="4504">
        <f t="shared" si="83"/>
        <v>0</v>
      </c>
      <c r="CG68" s="4504">
        <f t="shared" si="84"/>
        <v>0</v>
      </c>
      <c r="CH68" s="4504">
        <f t="shared" si="85"/>
        <v>0</v>
      </c>
      <c r="CI68" s="4504">
        <f t="shared" si="86"/>
        <v>0</v>
      </c>
      <c r="CJ68" s="4504">
        <f t="shared" si="87"/>
        <v>0</v>
      </c>
      <c r="CK68" s="4504">
        <f t="shared" si="88"/>
        <v>0</v>
      </c>
    </row>
    <row r="69" spans="1:89">
      <c r="A69" s="2739"/>
      <c r="B69" s="3627">
        <v>20302</v>
      </c>
      <c r="C69" s="3610">
        <v>0.1</v>
      </c>
      <c r="D69" s="2791" t="s">
        <v>428</v>
      </c>
      <c r="E69" s="2727">
        <f>'11.2. ДА за периода'!E69</f>
        <v>0.32197308403101232</v>
      </c>
      <c r="F69" s="2655">
        <f>($F20*$C69)/$E$7</f>
        <v>0</v>
      </c>
      <c r="G69" s="1224">
        <f>($F20*$C69)+($G20*$C69)/$E$7</f>
        <v>0</v>
      </c>
      <c r="H69" s="1224">
        <f>($F20*$C69)+($G20*$C69)+($H20*$C69)/$E$7</f>
        <v>0</v>
      </c>
      <c r="I69" s="1224">
        <f>($F20*$C69)+($G20*$C69)+($H20*$C69)+($I20*$C69)/$E$7</f>
        <v>0</v>
      </c>
      <c r="J69" s="1224">
        <f>($F20*$C69)+($G20*$C69)+($H20*$C69)+($I20*$C69)+($J20*$C69)/$E$7</f>
        <v>0</v>
      </c>
      <c r="K69" s="2661">
        <f>($F20*$C69)+($G20*$C69)+($H20*$C69)+($I20*$C69)+($J20*$C69)+($K20*$C69)/$E$7</f>
        <v>0</v>
      </c>
      <c r="L69" s="2727">
        <f>'11.2. ДА за периода'!L69</f>
        <v>5.6340005303749434E-2</v>
      </c>
      <c r="M69" s="1228">
        <f>($M20*$C69)/$E$7</f>
        <v>0</v>
      </c>
      <c r="N69" s="1224">
        <f>($M20*$C69)+($N20*$C69)/$E$7</f>
        <v>0</v>
      </c>
      <c r="O69" s="1224">
        <f>($M20*$C69)+($N20*$C69)+($O20*$C69)/$E$7</f>
        <v>0</v>
      </c>
      <c r="P69" s="1224">
        <f>($M20*$C69)+($N20*$C69)+($O20*$C69)+($P20*$C69)/$E$7</f>
        <v>0</v>
      </c>
      <c r="Q69" s="2661">
        <f>($M20*$C69)+($N20*$C69)+($O20*$C69)+($P20*$C69)+($Q20*$C69)/$E$7</f>
        <v>0</v>
      </c>
      <c r="R69" s="1229">
        <f>($M20*$C69)+($N20*$C69)+($O20*$C69)+($P20*$C69)+($Q20*$C69)+($R20*$C69)/$E$7</f>
        <v>0</v>
      </c>
      <c r="S69" s="1113">
        <f>'11.2. ДА за периода'!S69</f>
        <v>6.874508975465958E-2</v>
      </c>
      <c r="T69" s="908">
        <f>($T20*$C69)/$E$7</f>
        <v>0</v>
      </c>
      <c r="U69" s="1224">
        <f>($T20*$C69)+($U20*$C69)/$E$7</f>
        <v>0</v>
      </c>
      <c r="V69" s="1224">
        <f>($T20*$C69)+($U20*$C69)+($V20*$C69)/$E$7</f>
        <v>0</v>
      </c>
      <c r="W69" s="1224">
        <f>($T20*$C69)+($U20*$C69)+($V20*$C69)+($W20*$C69)/$E$7</f>
        <v>0</v>
      </c>
      <c r="X69" s="1224">
        <f>($T20*$C69)+($U20*$C69)+($V20*$C69)+($W20*$C69)+($X20*$C69)/$E$7</f>
        <v>0</v>
      </c>
      <c r="Y69" s="1229">
        <f>($T20*$C69)+($U20*$C69)+($V20*$C69)+($W20*$C69)+($X20*$C69)+($Y20*$C69)/$E$7</f>
        <v>0</v>
      </c>
      <c r="Z69" s="1113">
        <f>'11.2. ДА за периода'!Z69</f>
        <v>0</v>
      </c>
      <c r="AA69" s="908">
        <f t="shared" si="129"/>
        <v>0</v>
      </c>
      <c r="AB69" s="1224">
        <f t="shared" si="130"/>
        <v>0</v>
      </c>
      <c r="AC69" s="1224">
        <f t="shared" si="131"/>
        <v>0</v>
      </c>
      <c r="AD69" s="1224">
        <f t="shared" si="132"/>
        <v>0</v>
      </c>
      <c r="AE69" s="1224">
        <f t="shared" si="133"/>
        <v>0</v>
      </c>
      <c r="AF69" s="2661">
        <f t="shared" si="134"/>
        <v>0</v>
      </c>
      <c r="AG69" s="1113">
        <f>'11.2. ДА за периода'!AG69</f>
        <v>0.17128682091057873</v>
      </c>
      <c r="AH69" s="908">
        <f t="shared" si="135"/>
        <v>0</v>
      </c>
      <c r="AI69" s="1224">
        <f t="shared" si="136"/>
        <v>0</v>
      </c>
      <c r="AJ69" s="1224">
        <f t="shared" si="137"/>
        <v>0</v>
      </c>
      <c r="AK69" s="1224">
        <f t="shared" si="138"/>
        <v>0</v>
      </c>
      <c r="AL69" s="1224">
        <f t="shared" si="139"/>
        <v>0</v>
      </c>
      <c r="AM69" s="2661">
        <f t="shared" si="140"/>
        <v>0</v>
      </c>
      <c r="AN69" s="2727">
        <f>'11.2. ДА за периода'!AN69</f>
        <v>0</v>
      </c>
      <c r="AO69" s="1228">
        <f>($AO20*$C69)/$E$7</f>
        <v>0</v>
      </c>
      <c r="AP69" s="1224">
        <f>($AO20*$C69)+($AP20*$C69)/$E$7</f>
        <v>0</v>
      </c>
      <c r="AQ69" s="1224">
        <f>($AO20*$C69)+($AP20*$C69)+($AQ20*$C69)/$E$7</f>
        <v>0</v>
      </c>
      <c r="AR69" s="1224">
        <f>($AO20*$C69)+($AP20*$C69)+($AQ20*$C69)+($AR20*$C69)/$E$7</f>
        <v>0</v>
      </c>
      <c r="AS69" s="1224">
        <f>($AO20*$C69)+($AP20*$C69)+($AQ20*$C69)+($AR20*$C69)+($AS20*$C69)/$E$7</f>
        <v>0</v>
      </c>
      <c r="AT69" s="1229">
        <f>($AO20*$C69)+($AP20*$C69)+($AQ20*$C69)+($AR20*$C69)+($AS20*$C69)+($AT20*$C69)/$E$7</f>
        <v>0</v>
      </c>
      <c r="AU69" s="4488"/>
      <c r="AV69" s="4504">
        <f t="shared" si="47"/>
        <v>0.16462222382876443</v>
      </c>
      <c r="AW69" s="4504">
        <f t="shared" si="48"/>
        <v>0</v>
      </c>
      <c r="AX69" s="4504">
        <f t="shared" si="49"/>
        <v>0</v>
      </c>
      <c r="AY69" s="4504">
        <f t="shared" si="50"/>
        <v>0</v>
      </c>
      <c r="AZ69" s="4504">
        <f t="shared" si="51"/>
        <v>0</v>
      </c>
      <c r="BA69" s="4504">
        <f t="shared" si="52"/>
        <v>0</v>
      </c>
      <c r="BB69" s="4504">
        <f t="shared" si="53"/>
        <v>0</v>
      </c>
      <c r="BC69" s="4504">
        <f t="shared" si="54"/>
        <v>2.8806187298358977E-2</v>
      </c>
      <c r="BD69" s="4504">
        <f t="shared" si="55"/>
        <v>0</v>
      </c>
      <c r="BE69" s="4504">
        <f t="shared" si="56"/>
        <v>0</v>
      </c>
      <c r="BF69" s="4504">
        <f t="shared" si="57"/>
        <v>0</v>
      </c>
      <c r="BG69" s="4504">
        <f t="shared" si="58"/>
        <v>0</v>
      </c>
      <c r="BH69" s="4504">
        <f t="shared" si="59"/>
        <v>0</v>
      </c>
      <c r="BI69" s="4504">
        <f t="shared" si="60"/>
        <v>0</v>
      </c>
      <c r="BJ69" s="4504">
        <f t="shared" si="61"/>
        <v>3.5148806263662784E-2</v>
      </c>
      <c r="BK69" s="4504">
        <f t="shared" si="62"/>
        <v>0</v>
      </c>
      <c r="BL69" s="4504">
        <f t="shared" si="63"/>
        <v>0</v>
      </c>
      <c r="BM69" s="4504">
        <f t="shared" si="64"/>
        <v>0</v>
      </c>
      <c r="BN69" s="4504">
        <f t="shared" si="65"/>
        <v>0</v>
      </c>
      <c r="BO69" s="4504">
        <f t="shared" si="66"/>
        <v>0</v>
      </c>
      <c r="BP69" s="4504">
        <f t="shared" si="67"/>
        <v>0</v>
      </c>
      <c r="BQ69" s="4504">
        <f t="shared" si="68"/>
        <v>0</v>
      </c>
      <c r="BR69" s="4504">
        <f t="shared" si="69"/>
        <v>0</v>
      </c>
      <c r="BS69" s="4504">
        <f t="shared" si="70"/>
        <v>0</v>
      </c>
      <c r="BT69" s="4504">
        <f t="shared" si="71"/>
        <v>0</v>
      </c>
      <c r="BU69" s="4504">
        <f t="shared" si="72"/>
        <v>0</v>
      </c>
      <c r="BV69" s="4504">
        <f t="shared" si="73"/>
        <v>0</v>
      </c>
      <c r="BW69" s="4504">
        <f t="shared" si="74"/>
        <v>0</v>
      </c>
      <c r="BX69" s="4504">
        <f t="shared" si="75"/>
        <v>8.7577560887489581E-2</v>
      </c>
      <c r="BY69" s="4504">
        <f t="shared" si="76"/>
        <v>0</v>
      </c>
      <c r="BZ69" s="4504">
        <f t="shared" si="77"/>
        <v>0</v>
      </c>
      <c r="CA69" s="4504">
        <f t="shared" si="78"/>
        <v>0</v>
      </c>
      <c r="CB69" s="4504">
        <f t="shared" si="79"/>
        <v>0</v>
      </c>
      <c r="CC69" s="4504">
        <f t="shared" si="80"/>
        <v>0</v>
      </c>
      <c r="CD69" s="4504">
        <f t="shared" si="81"/>
        <v>0</v>
      </c>
      <c r="CE69" s="4504">
        <f t="shared" si="82"/>
        <v>0</v>
      </c>
      <c r="CF69" s="4504">
        <f t="shared" si="83"/>
        <v>0</v>
      </c>
      <c r="CG69" s="4504">
        <f t="shared" si="84"/>
        <v>0</v>
      </c>
      <c r="CH69" s="4504">
        <f t="shared" si="85"/>
        <v>0</v>
      </c>
      <c r="CI69" s="4504">
        <f t="shared" si="86"/>
        <v>0</v>
      </c>
      <c r="CJ69" s="4504">
        <f t="shared" si="87"/>
        <v>0</v>
      </c>
      <c r="CK69" s="4504">
        <f t="shared" si="88"/>
        <v>0</v>
      </c>
    </row>
    <row r="70" spans="1:89">
      <c r="A70" s="2739"/>
      <c r="B70" s="3627">
        <v>20303</v>
      </c>
      <c r="C70" s="3610">
        <v>0.1</v>
      </c>
      <c r="D70" s="2791" t="s">
        <v>406</v>
      </c>
      <c r="E70" s="2727">
        <f>'11.2. ДА за периода'!E70</f>
        <v>32.724331172494949</v>
      </c>
      <c r="F70" s="2655">
        <f>($F21*$C70)/$E$7</f>
        <v>0.1</v>
      </c>
      <c r="G70" s="1224">
        <f>($F21*$C70)+($G21*$C70)/$E$7</f>
        <v>0.30000000000000004</v>
      </c>
      <c r="H70" s="1224">
        <f>($F21*$C70)+($G21*$C70)+($H21*$C70)/$E$7</f>
        <v>0.5</v>
      </c>
      <c r="I70" s="1224">
        <f>($F21*$C70)+($G21*$C70)+($H21*$C70)+($I21*$C70)/$E$7</f>
        <v>0.70000000000000007</v>
      </c>
      <c r="J70" s="1224">
        <f>($F21*$C70)+($G21*$C70)+($H21*$C70)+($I21*$C70)+($J21*$C70)/$E$7</f>
        <v>0.9</v>
      </c>
      <c r="K70" s="2661">
        <f>($F21*$C70)+($G21*$C70)+($H21*$C70)+($I21*$C70)+($J21*$C70)+($K21*$C70)/$E$7</f>
        <v>1.1000000000000001</v>
      </c>
      <c r="L70" s="2727">
        <f>'11.2. ДА за периода'!L70</f>
        <v>0.28888799999999998</v>
      </c>
      <c r="M70" s="1228">
        <f>($M21*$C70)/$E$7</f>
        <v>0</v>
      </c>
      <c r="N70" s="1224">
        <f>($M21*$C70)+($N21*$C70)/$E$7</f>
        <v>0</v>
      </c>
      <c r="O70" s="1224">
        <f>($M21*$C70)+($N21*$C70)+($O21*$C70)/$E$7</f>
        <v>0</v>
      </c>
      <c r="P70" s="1224">
        <f>($M21*$C70)+($N21*$C70)+($O21*$C70)+($P21*$C70)/$E$7</f>
        <v>0</v>
      </c>
      <c r="Q70" s="2661">
        <f>($M21*$C70)+($N21*$C70)+($O21*$C70)+($P21*$C70)+($Q21*$C70)/$E$7</f>
        <v>0</v>
      </c>
      <c r="R70" s="1229">
        <f>($M21*$C70)+($N21*$C70)+($O21*$C70)+($P21*$C70)+($Q21*$C70)+($R21*$C70)/$E$7</f>
        <v>0</v>
      </c>
      <c r="S70" s="1113">
        <f>'11.2. ДА за периода'!S70</f>
        <v>0.22149750000000001</v>
      </c>
      <c r="T70" s="908">
        <f>($T21*$C70)/$E$7</f>
        <v>0</v>
      </c>
      <c r="U70" s="1224">
        <f>($T21*$C70)+($U21*$C70)/$E$7</f>
        <v>0</v>
      </c>
      <c r="V70" s="1224">
        <f>($T21*$C70)+($U21*$C70)+($V21*$C70)/$E$7</f>
        <v>0</v>
      </c>
      <c r="W70" s="1224">
        <f>($T21*$C70)+($U21*$C70)+($V21*$C70)+($W21*$C70)/$E$7</f>
        <v>0</v>
      </c>
      <c r="X70" s="1224">
        <f>($T21*$C70)+($U21*$C70)+($V21*$C70)+($W21*$C70)+($X21*$C70)/$E$7</f>
        <v>0</v>
      </c>
      <c r="Y70" s="1229">
        <f>($T21*$C70)+($U21*$C70)+($V21*$C70)+($W21*$C70)+($X21*$C70)+($Y21*$C70)/$E$7</f>
        <v>0</v>
      </c>
      <c r="Z70" s="1113">
        <f>'11.2. ДА за периода'!Z70</f>
        <v>0</v>
      </c>
      <c r="AA70" s="908">
        <f t="shared" si="129"/>
        <v>0</v>
      </c>
      <c r="AB70" s="1224">
        <f t="shared" si="130"/>
        <v>0</v>
      </c>
      <c r="AC70" s="1224">
        <f t="shared" si="131"/>
        <v>0</v>
      </c>
      <c r="AD70" s="1224">
        <f t="shared" si="132"/>
        <v>0</v>
      </c>
      <c r="AE70" s="1224">
        <f t="shared" si="133"/>
        <v>0</v>
      </c>
      <c r="AF70" s="2661">
        <f t="shared" si="134"/>
        <v>0</v>
      </c>
      <c r="AG70" s="1113">
        <f>'11.2. ДА за периода'!AG70</f>
        <v>8.9795188275050535</v>
      </c>
      <c r="AH70" s="908">
        <f t="shared" si="135"/>
        <v>0.25</v>
      </c>
      <c r="AI70" s="1224">
        <f t="shared" si="136"/>
        <v>0.7</v>
      </c>
      <c r="AJ70" s="1224">
        <f t="shared" si="137"/>
        <v>1.1000000000000001</v>
      </c>
      <c r="AK70" s="1224">
        <f t="shared" si="138"/>
        <v>1.5</v>
      </c>
      <c r="AL70" s="1224">
        <f t="shared" si="139"/>
        <v>1.9000000000000001</v>
      </c>
      <c r="AM70" s="2661">
        <f t="shared" si="140"/>
        <v>2.3000000000000003</v>
      </c>
      <c r="AN70" s="2727">
        <f>'11.2. ДА за периода'!AN70</f>
        <v>0</v>
      </c>
      <c r="AO70" s="1228">
        <f>($AO21*$C70)/$E$7</f>
        <v>0.2</v>
      </c>
      <c r="AP70" s="1224">
        <f>($AO21*$C70)+($AP21*$C70)/$E$7</f>
        <v>0.4</v>
      </c>
      <c r="AQ70" s="1224">
        <f>($AO21*$C70)+($AP21*$C70)+($AQ21*$C70)/$E$7</f>
        <v>0.4</v>
      </c>
      <c r="AR70" s="1224">
        <f>($AO21*$C70)+($AP21*$C70)+($AQ21*$C70)+($AR21*$C70)/$E$7</f>
        <v>0.4</v>
      </c>
      <c r="AS70" s="1224">
        <f>($AO21*$C70)+($AP21*$C70)+($AQ21*$C70)+($AR21*$C70)+($AS21*$C70)/$E$7</f>
        <v>0.4</v>
      </c>
      <c r="AT70" s="1229">
        <f>($AO21*$C70)+($AP21*$C70)+($AQ21*$C70)+($AR21*$C70)+($AS21*$C70)+($AT21*$C70)/$E$7</f>
        <v>0.4</v>
      </c>
      <c r="AU70" s="4488"/>
      <c r="AV70" s="4504">
        <f t="shared" si="47"/>
        <v>16.731684846072998</v>
      </c>
      <c r="AW70" s="4504">
        <f t="shared" si="48"/>
        <v>5.1129188119621853E-2</v>
      </c>
      <c r="AX70" s="4504">
        <f t="shared" si="49"/>
        <v>0.15338756435886558</v>
      </c>
      <c r="AY70" s="4504">
        <f t="shared" si="50"/>
        <v>0.25564594059810924</v>
      </c>
      <c r="AZ70" s="4504">
        <f t="shared" si="51"/>
        <v>0.35790431683735296</v>
      </c>
      <c r="BA70" s="4504">
        <f t="shared" si="52"/>
        <v>0.46016269307659668</v>
      </c>
      <c r="BB70" s="4504">
        <f t="shared" si="53"/>
        <v>0.56242106931584035</v>
      </c>
      <c r="BC70" s="4504">
        <f t="shared" si="54"/>
        <v>0.14770608897501317</v>
      </c>
      <c r="BD70" s="4504">
        <f t="shared" si="55"/>
        <v>0</v>
      </c>
      <c r="BE70" s="4504">
        <f t="shared" si="56"/>
        <v>0</v>
      </c>
      <c r="BF70" s="4504">
        <f t="shared" si="57"/>
        <v>0</v>
      </c>
      <c r="BG70" s="4504">
        <f t="shared" si="58"/>
        <v>0</v>
      </c>
      <c r="BH70" s="4504">
        <f t="shared" si="59"/>
        <v>0</v>
      </c>
      <c r="BI70" s="4504">
        <f t="shared" si="60"/>
        <v>0</v>
      </c>
      <c r="BJ70" s="4504">
        <f t="shared" si="61"/>
        <v>0.11324987345525941</v>
      </c>
      <c r="BK70" s="4504">
        <f t="shared" si="62"/>
        <v>0</v>
      </c>
      <c r="BL70" s="4504">
        <f t="shared" si="63"/>
        <v>0</v>
      </c>
      <c r="BM70" s="4504">
        <f t="shared" si="64"/>
        <v>0</v>
      </c>
      <c r="BN70" s="4504">
        <f t="shared" si="65"/>
        <v>0</v>
      </c>
      <c r="BO70" s="4504">
        <f t="shared" si="66"/>
        <v>0</v>
      </c>
      <c r="BP70" s="4504">
        <f t="shared" si="67"/>
        <v>0</v>
      </c>
      <c r="BQ70" s="4504">
        <f t="shared" si="68"/>
        <v>0</v>
      </c>
      <c r="BR70" s="4504">
        <f t="shared" si="69"/>
        <v>0</v>
      </c>
      <c r="BS70" s="4504">
        <f t="shared" si="70"/>
        <v>0</v>
      </c>
      <c r="BT70" s="4504">
        <f t="shared" si="71"/>
        <v>0</v>
      </c>
      <c r="BU70" s="4504">
        <f t="shared" si="72"/>
        <v>0</v>
      </c>
      <c r="BV70" s="4504">
        <f t="shared" si="73"/>
        <v>0</v>
      </c>
      <c r="BW70" s="4504">
        <f t="shared" si="74"/>
        <v>0</v>
      </c>
      <c r="BX70" s="4504">
        <f t="shared" si="75"/>
        <v>4.5911550735519207</v>
      </c>
      <c r="BY70" s="4504">
        <f t="shared" si="76"/>
        <v>0.12782297029905462</v>
      </c>
      <c r="BZ70" s="4504">
        <f t="shared" si="77"/>
        <v>0.35790431683735291</v>
      </c>
      <c r="CA70" s="4504">
        <f t="shared" si="78"/>
        <v>0.56242106931584035</v>
      </c>
      <c r="CB70" s="4504">
        <f t="shared" si="79"/>
        <v>0.76693782179432779</v>
      </c>
      <c r="CC70" s="4504">
        <f t="shared" si="80"/>
        <v>0.97145457427281523</v>
      </c>
      <c r="CD70" s="4504">
        <f t="shared" si="81"/>
        <v>1.1759713267513028</v>
      </c>
      <c r="CE70" s="4504">
        <f t="shared" si="82"/>
        <v>0</v>
      </c>
      <c r="CF70" s="4504">
        <f t="shared" si="83"/>
        <v>0.10225837623924371</v>
      </c>
      <c r="CG70" s="4504">
        <f t="shared" si="84"/>
        <v>0.20451675247848741</v>
      </c>
      <c r="CH70" s="4504">
        <f t="shared" si="85"/>
        <v>0.20451675247848741</v>
      </c>
      <c r="CI70" s="4504">
        <f t="shared" si="86"/>
        <v>0.20451675247848741</v>
      </c>
      <c r="CJ70" s="4504">
        <f t="shared" si="87"/>
        <v>0.20451675247848741</v>
      </c>
      <c r="CK70" s="4504">
        <f t="shared" si="88"/>
        <v>0.20451675247848741</v>
      </c>
    </row>
    <row r="71" spans="1:89">
      <c r="A71" s="2739"/>
      <c r="B71" s="3627">
        <v>20304</v>
      </c>
      <c r="C71" s="3610">
        <v>0.1</v>
      </c>
      <c r="D71" s="2791" t="s">
        <v>407</v>
      </c>
      <c r="E71" s="2743">
        <f t="shared" ref="E71:AT71" si="141">SUM(E72:E73)</f>
        <v>2.3335998110334821</v>
      </c>
      <c r="F71" s="2744">
        <f t="shared" si="141"/>
        <v>10</v>
      </c>
      <c r="G71" s="2745">
        <f t="shared" si="141"/>
        <v>21.8</v>
      </c>
      <c r="H71" s="2745">
        <f t="shared" si="141"/>
        <v>25.400000000000002</v>
      </c>
      <c r="I71" s="2745">
        <f t="shared" si="141"/>
        <v>29.000000000000004</v>
      </c>
      <c r="J71" s="2745">
        <f t="shared" si="141"/>
        <v>32.6</v>
      </c>
      <c r="K71" s="2792">
        <f t="shared" si="141"/>
        <v>36.200000000000003</v>
      </c>
      <c r="L71" s="2747">
        <f t="shared" si="141"/>
        <v>0</v>
      </c>
      <c r="M71" s="2744">
        <f t="shared" si="141"/>
        <v>0</v>
      </c>
      <c r="N71" s="2745">
        <f t="shared" si="141"/>
        <v>0</v>
      </c>
      <c r="O71" s="2745">
        <f t="shared" si="141"/>
        <v>0</v>
      </c>
      <c r="P71" s="2745">
        <f t="shared" si="141"/>
        <v>0</v>
      </c>
      <c r="Q71" s="2745">
        <f t="shared" si="141"/>
        <v>0</v>
      </c>
      <c r="R71" s="2746">
        <f t="shared" si="141"/>
        <v>0</v>
      </c>
      <c r="S71" s="2747">
        <f t="shared" si="141"/>
        <v>0.57516950000000011</v>
      </c>
      <c r="T71" s="2748">
        <f t="shared" si="141"/>
        <v>0</v>
      </c>
      <c r="U71" s="2745">
        <f t="shared" si="141"/>
        <v>0</v>
      </c>
      <c r="V71" s="2745">
        <f t="shared" si="141"/>
        <v>0</v>
      </c>
      <c r="W71" s="2745">
        <f t="shared" si="141"/>
        <v>0</v>
      </c>
      <c r="X71" s="2745">
        <f t="shared" si="141"/>
        <v>0</v>
      </c>
      <c r="Y71" s="2746">
        <f t="shared" si="141"/>
        <v>0</v>
      </c>
      <c r="Z71" s="2747">
        <f t="shared" ref="Z71:AM71" si="142">SUM(Z72:Z73)</f>
        <v>0</v>
      </c>
      <c r="AA71" s="2748">
        <f t="shared" si="142"/>
        <v>0</v>
      </c>
      <c r="AB71" s="2745">
        <f t="shared" si="142"/>
        <v>0</v>
      </c>
      <c r="AC71" s="2745">
        <f t="shared" si="142"/>
        <v>0</v>
      </c>
      <c r="AD71" s="2745">
        <f t="shared" si="142"/>
        <v>0</v>
      </c>
      <c r="AE71" s="2745">
        <f t="shared" si="142"/>
        <v>0</v>
      </c>
      <c r="AF71" s="2746">
        <f t="shared" si="142"/>
        <v>0</v>
      </c>
      <c r="AG71" s="2747">
        <f t="shared" si="142"/>
        <v>0.41580968896651838</v>
      </c>
      <c r="AH71" s="2748">
        <f t="shared" si="142"/>
        <v>0.75</v>
      </c>
      <c r="AI71" s="2745">
        <f t="shared" si="142"/>
        <v>4.5</v>
      </c>
      <c r="AJ71" s="2745">
        <f t="shared" si="142"/>
        <v>9</v>
      </c>
      <c r="AK71" s="2745">
        <f t="shared" si="142"/>
        <v>12</v>
      </c>
      <c r="AL71" s="2745">
        <f t="shared" si="142"/>
        <v>15</v>
      </c>
      <c r="AM71" s="2746">
        <f t="shared" si="142"/>
        <v>18</v>
      </c>
      <c r="AN71" s="2747">
        <f t="shared" si="141"/>
        <v>0</v>
      </c>
      <c r="AO71" s="2748">
        <f t="shared" si="141"/>
        <v>0</v>
      </c>
      <c r="AP71" s="2745">
        <f t="shared" si="141"/>
        <v>0</v>
      </c>
      <c r="AQ71" s="2745">
        <f t="shared" si="141"/>
        <v>0</v>
      </c>
      <c r="AR71" s="2745">
        <f t="shared" si="141"/>
        <v>0</v>
      </c>
      <c r="AS71" s="2745">
        <f t="shared" si="141"/>
        <v>0</v>
      </c>
      <c r="AT71" s="2746">
        <f t="shared" si="141"/>
        <v>0</v>
      </c>
      <c r="AU71" s="4488"/>
      <c r="AV71" s="4504">
        <f t="shared" si="47"/>
        <v>1.193150637342449</v>
      </c>
      <c r="AW71" s="4504">
        <f t="shared" si="48"/>
        <v>5.1129188119621851</v>
      </c>
      <c r="AX71" s="4504">
        <f t="shared" si="49"/>
        <v>11.146163010077563</v>
      </c>
      <c r="AY71" s="4504">
        <f t="shared" si="50"/>
        <v>12.986813782383951</v>
      </c>
      <c r="AZ71" s="4504">
        <f t="shared" si="51"/>
        <v>14.827464554690339</v>
      </c>
      <c r="BA71" s="4504">
        <f t="shared" si="52"/>
        <v>16.668115326996723</v>
      </c>
      <c r="BB71" s="4504">
        <f t="shared" si="53"/>
        <v>18.508766099303109</v>
      </c>
      <c r="BC71" s="4504">
        <f t="shared" si="54"/>
        <v>0</v>
      </c>
      <c r="BD71" s="4504">
        <f t="shared" si="55"/>
        <v>0</v>
      </c>
      <c r="BE71" s="4504">
        <f t="shared" si="56"/>
        <v>0</v>
      </c>
      <c r="BF71" s="4504">
        <f t="shared" si="57"/>
        <v>0</v>
      </c>
      <c r="BG71" s="4504">
        <f t="shared" si="58"/>
        <v>0</v>
      </c>
      <c r="BH71" s="4504">
        <f t="shared" si="59"/>
        <v>0</v>
      </c>
      <c r="BI71" s="4504">
        <f t="shared" si="60"/>
        <v>0</v>
      </c>
      <c r="BJ71" s="4504">
        <f t="shared" si="61"/>
        <v>0.29407949566168845</v>
      </c>
      <c r="BK71" s="4504">
        <f t="shared" si="62"/>
        <v>0</v>
      </c>
      <c r="BL71" s="4504">
        <f t="shared" si="63"/>
        <v>0</v>
      </c>
      <c r="BM71" s="4504">
        <f t="shared" si="64"/>
        <v>0</v>
      </c>
      <c r="BN71" s="4504">
        <f t="shared" si="65"/>
        <v>0</v>
      </c>
      <c r="BO71" s="4504">
        <f t="shared" si="66"/>
        <v>0</v>
      </c>
      <c r="BP71" s="4504">
        <f t="shared" si="67"/>
        <v>0</v>
      </c>
      <c r="BQ71" s="4504">
        <f t="shared" si="68"/>
        <v>0</v>
      </c>
      <c r="BR71" s="4504">
        <f t="shared" si="69"/>
        <v>0</v>
      </c>
      <c r="BS71" s="4504">
        <f t="shared" si="70"/>
        <v>0</v>
      </c>
      <c r="BT71" s="4504">
        <f t="shared" si="71"/>
        <v>0</v>
      </c>
      <c r="BU71" s="4504">
        <f t="shared" si="72"/>
        <v>0</v>
      </c>
      <c r="BV71" s="4504">
        <f t="shared" si="73"/>
        <v>0</v>
      </c>
      <c r="BW71" s="4504">
        <f t="shared" si="74"/>
        <v>0</v>
      </c>
      <c r="BX71" s="4504">
        <f t="shared" si="75"/>
        <v>0.21260011809130569</v>
      </c>
      <c r="BY71" s="4504">
        <f t="shared" si="76"/>
        <v>0.38346891089716389</v>
      </c>
      <c r="BZ71" s="4504">
        <f t="shared" si="77"/>
        <v>2.300813465382983</v>
      </c>
      <c r="CA71" s="4504">
        <f t="shared" si="78"/>
        <v>4.6016269307659661</v>
      </c>
      <c r="CB71" s="4504">
        <f t="shared" si="79"/>
        <v>6.1355025743546223</v>
      </c>
      <c r="CC71" s="4504">
        <f t="shared" si="80"/>
        <v>7.6693782179432777</v>
      </c>
      <c r="CD71" s="4504">
        <f t="shared" si="81"/>
        <v>9.2032538615319321</v>
      </c>
      <c r="CE71" s="4504">
        <f t="shared" si="82"/>
        <v>0</v>
      </c>
      <c r="CF71" s="4504">
        <f t="shared" si="83"/>
        <v>0</v>
      </c>
      <c r="CG71" s="4504">
        <f t="shared" si="84"/>
        <v>0</v>
      </c>
      <c r="CH71" s="4504">
        <f t="shared" si="85"/>
        <v>0</v>
      </c>
      <c r="CI71" s="4504">
        <f t="shared" si="86"/>
        <v>0</v>
      </c>
      <c r="CJ71" s="4504">
        <f t="shared" si="87"/>
        <v>0</v>
      </c>
      <c r="CK71" s="4504">
        <f t="shared" si="88"/>
        <v>0</v>
      </c>
    </row>
    <row r="72" spans="1:89" s="67" customFormat="1">
      <c r="A72" s="2793"/>
      <c r="B72" s="3628">
        <v>2030401</v>
      </c>
      <c r="C72" s="3611">
        <v>0.1</v>
      </c>
      <c r="D72" s="2794" t="s">
        <v>991</v>
      </c>
      <c r="E72" s="2727">
        <f>'11.2. ДА за периода'!E72</f>
        <v>2.3335998110334821</v>
      </c>
      <c r="F72" s="2795">
        <f>($F23*$C72)/$E$7</f>
        <v>10</v>
      </c>
      <c r="G72" s="2796">
        <f>($F23*$C72)+($G23*$C72)/$E$7</f>
        <v>21.8</v>
      </c>
      <c r="H72" s="2796">
        <f>($F23*$C72)+($G23*$C72)+($H23*$C72)/$E$7</f>
        <v>25.400000000000002</v>
      </c>
      <c r="I72" s="2796">
        <f>($F23*$C72)+($G23*$C72)+($H23*$C72)+($I23*$C72)/$E$7</f>
        <v>29.000000000000004</v>
      </c>
      <c r="J72" s="2796">
        <f>($F23*$C72)+($G23*$C72)+($H23*$C72)+($I23*$C72)+($J23*$C72)/$E$7</f>
        <v>32.6</v>
      </c>
      <c r="K72" s="2797">
        <f>($F23*$C72)+($G23*$C72)+($H23*$C72)+($I23*$C72)+($J23*$C72)+($K23*$C72)/$E$7</f>
        <v>36.200000000000003</v>
      </c>
      <c r="L72" s="2727">
        <f>'11.2. ДА за периода'!L72</f>
        <v>0</v>
      </c>
      <c r="M72" s="2798">
        <f>($M23*$C72)/$E$7</f>
        <v>0</v>
      </c>
      <c r="N72" s="2796">
        <f>($M23*$C72)+($N23*$C72)/$E$7</f>
        <v>0</v>
      </c>
      <c r="O72" s="2796">
        <f>($M23*$C72)+($N23*$C72)+($O23*$C72)/$E$7</f>
        <v>0</v>
      </c>
      <c r="P72" s="2796">
        <f>($M23*$C72)+($N23*$C72)+($O23*$C72)+($P23*$C72)/$E$7</f>
        <v>0</v>
      </c>
      <c r="Q72" s="2797">
        <f>($M23*$C72)+($N23*$C72)+($O23*$C72)+($P23*$C72)+($Q23*$C72)/$E$7</f>
        <v>0</v>
      </c>
      <c r="R72" s="2799">
        <f>($M23*$C72)+($N23*$C72)+($O23*$C72)+($P23*$C72)+($Q23*$C72)+($R23*$C72)/$E$7</f>
        <v>0</v>
      </c>
      <c r="S72" s="1113">
        <f>'11.2. ДА за периода'!S72</f>
        <v>0.57516950000000011</v>
      </c>
      <c r="T72" s="2800">
        <f>($T23*$C72)/$E$7</f>
        <v>0</v>
      </c>
      <c r="U72" s="2796">
        <f>($T23*$C72)+($U23*$C72)/$E$7</f>
        <v>0</v>
      </c>
      <c r="V72" s="2796">
        <f>($T23*$C72)+($U23*$C72)+($V23*$C72)/$E$7</f>
        <v>0</v>
      </c>
      <c r="W72" s="2796">
        <f>($T23*$C72)+($U23*$C72)+($V23*$C72)+($W23*$C72)/$E$7</f>
        <v>0</v>
      </c>
      <c r="X72" s="2796">
        <f>($T23*$C72)+($U23*$C72)+($V23*$C72)+($W23*$C72)+($X23*$C72)/$E$7</f>
        <v>0</v>
      </c>
      <c r="Y72" s="2799">
        <f>($T23*$C72)+($U23*$C72)+($V23*$C72)+($W23*$C72)+($X23*$C72)+($Y23*$C72)/$E$7</f>
        <v>0</v>
      </c>
      <c r="Z72" s="1113">
        <f>'11.2. ДА за периода'!Z72</f>
        <v>0</v>
      </c>
      <c r="AA72" s="2800">
        <f t="shared" ref="AA72:AA73" si="143">(AA23*$C72)/$E$7</f>
        <v>0</v>
      </c>
      <c r="AB72" s="2796">
        <f t="shared" ref="AB72:AB73" si="144">(AA23*$C72)+(AB23*$C72)/$E$7</f>
        <v>0</v>
      </c>
      <c r="AC72" s="2796">
        <f t="shared" ref="AC72:AC73" si="145">(AA23*$C72)+(AB23*$C72)+(AC23*$C72)/$E$7</f>
        <v>0</v>
      </c>
      <c r="AD72" s="2796">
        <f t="shared" ref="AD72:AD73" si="146">(AA23*$C72)+(AB23*$C72)+(AC23*$C72)+(AD23*$C72)/$E$7</f>
        <v>0</v>
      </c>
      <c r="AE72" s="2796">
        <f t="shared" ref="AE72:AE73" si="147">(AA23*$C72)+(AB23*$C72)+(AC23*$C72)+(AD23*$C72)+(AE23*$C72)/$E$7</f>
        <v>0</v>
      </c>
      <c r="AF72" s="2797">
        <f t="shared" ref="AF72:AF73" si="148">(AA23*$C72)+(AB23*$C72)+(AC23*$C72)+(AD23*$C72)+(AE23*$C72)+(AF23*$C72)/$E$7</f>
        <v>0</v>
      </c>
      <c r="AG72" s="1113">
        <f>'11.2. ДА за периода'!AG72</f>
        <v>0.41580968896651838</v>
      </c>
      <c r="AH72" s="2800">
        <f t="shared" ref="AH72:AH73" si="149">(AH23*$C72)/$E$7</f>
        <v>0.75</v>
      </c>
      <c r="AI72" s="2796">
        <f t="shared" ref="AI72:AI73" si="150">(AH23*$C72)+(AI23*$C72)/$E$7</f>
        <v>4.5</v>
      </c>
      <c r="AJ72" s="2796">
        <f t="shared" ref="AJ72:AJ73" si="151">(AH23*$C72)+(AI23*$C72)+(AJ23*$C72)/$E$7</f>
        <v>9</v>
      </c>
      <c r="AK72" s="2796">
        <f t="shared" ref="AK72:AK73" si="152">(AH23*$C72)+(AI23*$C72)+(AJ23*$C72)+(AK23*$C72)/$E$7</f>
        <v>12</v>
      </c>
      <c r="AL72" s="2796">
        <f t="shared" ref="AL72:AL73" si="153">(AH23*$C72)+(AI23*$C72)+(AJ23*$C72)+(AK23*$C72)+(AL23*$C72)/$E$7</f>
        <v>15</v>
      </c>
      <c r="AM72" s="2797">
        <f t="shared" ref="AM72:AM73" si="154">(AH23*$C72)+(AI23*$C72)+(AJ23*$C72)+(AK23*$C72)+(AL23*$C72)+(AM23*$C72)/$E$7</f>
        <v>18</v>
      </c>
      <c r="AN72" s="2727">
        <f>'11.2. ДА за периода'!AN72</f>
        <v>0</v>
      </c>
      <c r="AO72" s="2798">
        <f>($AO23*$C72)/$E$7</f>
        <v>0</v>
      </c>
      <c r="AP72" s="2796">
        <f>($AO23*$C72)+($AP23*$C72)/$E$7</f>
        <v>0</v>
      </c>
      <c r="AQ72" s="2796">
        <f>($AO23*$C72)+($AP23*$C72)+($AQ23*$C72)/$E$7</f>
        <v>0</v>
      </c>
      <c r="AR72" s="2796">
        <f>($AO23*$C72)+($AP23*$C72)+($AQ23*$C72)+($AR23*$C72)/$E$7</f>
        <v>0</v>
      </c>
      <c r="AS72" s="2796">
        <f>($AO23*$C72)+($AP23*$C72)+($AQ23*$C72)+($AR23*$C72)+($AS23*$C72)/$E$7</f>
        <v>0</v>
      </c>
      <c r="AT72" s="2799">
        <f>($AO23*$C72)+($AP23*$C72)+($AQ23*$C72)+($AR23*$C72)+($AS23*$C72)+($AT23*$C72)/$E$7</f>
        <v>0</v>
      </c>
      <c r="AU72" s="4488"/>
      <c r="AV72" s="4504">
        <f t="shared" si="47"/>
        <v>1.193150637342449</v>
      </c>
      <c r="AW72" s="4504">
        <f t="shared" si="48"/>
        <v>5.1129188119621851</v>
      </c>
      <c r="AX72" s="4504">
        <f t="shared" si="49"/>
        <v>11.146163010077563</v>
      </c>
      <c r="AY72" s="4504">
        <f t="shared" si="50"/>
        <v>12.986813782383951</v>
      </c>
      <c r="AZ72" s="4504">
        <f t="shared" si="51"/>
        <v>14.827464554690339</v>
      </c>
      <c r="BA72" s="4504">
        <f t="shared" si="52"/>
        <v>16.668115326996723</v>
      </c>
      <c r="BB72" s="4504">
        <f t="shared" si="53"/>
        <v>18.508766099303109</v>
      </c>
      <c r="BC72" s="4504">
        <f t="shared" si="54"/>
        <v>0</v>
      </c>
      <c r="BD72" s="4504">
        <f t="shared" si="55"/>
        <v>0</v>
      </c>
      <c r="BE72" s="4504">
        <f t="shared" si="56"/>
        <v>0</v>
      </c>
      <c r="BF72" s="4504">
        <f t="shared" si="57"/>
        <v>0</v>
      </c>
      <c r="BG72" s="4504">
        <f t="shared" si="58"/>
        <v>0</v>
      </c>
      <c r="BH72" s="4504">
        <f t="shared" si="59"/>
        <v>0</v>
      </c>
      <c r="BI72" s="4504">
        <f t="shared" si="60"/>
        <v>0</v>
      </c>
      <c r="BJ72" s="4504">
        <f t="shared" si="61"/>
        <v>0.29407949566168845</v>
      </c>
      <c r="BK72" s="4504">
        <f t="shared" si="62"/>
        <v>0</v>
      </c>
      <c r="BL72" s="4504">
        <f t="shared" si="63"/>
        <v>0</v>
      </c>
      <c r="BM72" s="4504">
        <f t="shared" si="64"/>
        <v>0</v>
      </c>
      <c r="BN72" s="4504">
        <f t="shared" si="65"/>
        <v>0</v>
      </c>
      <c r="BO72" s="4504">
        <f t="shared" si="66"/>
        <v>0</v>
      </c>
      <c r="BP72" s="4504">
        <f t="shared" si="67"/>
        <v>0</v>
      </c>
      <c r="BQ72" s="4504">
        <f t="shared" si="68"/>
        <v>0</v>
      </c>
      <c r="BR72" s="4504">
        <f t="shared" si="69"/>
        <v>0</v>
      </c>
      <c r="BS72" s="4504">
        <f t="shared" si="70"/>
        <v>0</v>
      </c>
      <c r="BT72" s="4504">
        <f t="shared" si="71"/>
        <v>0</v>
      </c>
      <c r="BU72" s="4504">
        <f t="shared" si="72"/>
        <v>0</v>
      </c>
      <c r="BV72" s="4504">
        <f t="shared" si="73"/>
        <v>0</v>
      </c>
      <c r="BW72" s="4504">
        <f t="shared" si="74"/>
        <v>0</v>
      </c>
      <c r="BX72" s="4504">
        <f t="shared" si="75"/>
        <v>0.21260011809130569</v>
      </c>
      <c r="BY72" s="4504">
        <f t="shared" si="76"/>
        <v>0.38346891089716389</v>
      </c>
      <c r="BZ72" s="4504">
        <f t="shared" si="77"/>
        <v>2.300813465382983</v>
      </c>
      <c r="CA72" s="4504">
        <f t="shared" si="78"/>
        <v>4.6016269307659661</v>
      </c>
      <c r="CB72" s="4504">
        <f t="shared" si="79"/>
        <v>6.1355025743546223</v>
      </c>
      <c r="CC72" s="4504">
        <f t="shared" si="80"/>
        <v>7.6693782179432777</v>
      </c>
      <c r="CD72" s="4504">
        <f t="shared" si="81"/>
        <v>9.2032538615319321</v>
      </c>
      <c r="CE72" s="4504">
        <f t="shared" si="82"/>
        <v>0</v>
      </c>
      <c r="CF72" s="4504">
        <f t="shared" si="83"/>
        <v>0</v>
      </c>
      <c r="CG72" s="4504">
        <f t="shared" si="84"/>
        <v>0</v>
      </c>
      <c r="CH72" s="4504">
        <f t="shared" si="85"/>
        <v>0</v>
      </c>
      <c r="CI72" s="4504">
        <f t="shared" si="86"/>
        <v>0</v>
      </c>
      <c r="CJ72" s="4504">
        <f t="shared" si="87"/>
        <v>0</v>
      </c>
      <c r="CK72" s="4504">
        <f t="shared" si="88"/>
        <v>0</v>
      </c>
    </row>
    <row r="73" spans="1:89" s="67" customFormat="1">
      <c r="A73" s="2793"/>
      <c r="B73" s="3628">
        <v>2030402</v>
      </c>
      <c r="C73" s="3611">
        <v>0.1</v>
      </c>
      <c r="D73" s="2794" t="s">
        <v>429</v>
      </c>
      <c r="E73" s="2727">
        <f>'11.2. ДА за периода'!E73</f>
        <v>0</v>
      </c>
      <c r="F73" s="2795">
        <f>($F24*$C73)/$E$7</f>
        <v>0</v>
      </c>
      <c r="G73" s="2796">
        <f>($F24*$C73)+($G24*$C73)/$E$7</f>
        <v>0</v>
      </c>
      <c r="H73" s="2796">
        <f>($F24*$C73)+($G24*$C73)+($H24*$C73)/$E$7</f>
        <v>0</v>
      </c>
      <c r="I73" s="2796">
        <f>($F24*$C73)+($G24*$C73)+($H24*$C73)+($I24*$C73)/$E$7</f>
        <v>0</v>
      </c>
      <c r="J73" s="2796">
        <f>($F24*$C73)+($G24*$C73)+($H24*$C73)+($I24*$C73)+($J24*$C73)/$E$7</f>
        <v>0</v>
      </c>
      <c r="K73" s="2797">
        <f>($F24*$C73)+($G24*$C73)+($H24*$C73)+($I24*$C73)+($J24*$C73)+($K24*$C73)/$E$7</f>
        <v>0</v>
      </c>
      <c r="L73" s="2727">
        <f>'11.2. ДА за периода'!L73</f>
        <v>0</v>
      </c>
      <c r="M73" s="2798">
        <f>($M24*$C73)/$E$7</f>
        <v>0</v>
      </c>
      <c r="N73" s="2796">
        <f>($M24*$C73)+($N24*$C73)/$E$7</f>
        <v>0</v>
      </c>
      <c r="O73" s="2796">
        <f>($M24*$C73)+($N24*$C73)+($O24*$C73)/$E$7</f>
        <v>0</v>
      </c>
      <c r="P73" s="2796">
        <f>($M24*$C73)+($N24*$C73)+($O24*$C73)+($P24*$C73)/$E$7</f>
        <v>0</v>
      </c>
      <c r="Q73" s="2797">
        <f>($M24*$C73)+($N24*$C73)+($O24*$C73)+($P24*$C73)+($Q24*$C73)/$E$7</f>
        <v>0</v>
      </c>
      <c r="R73" s="2799">
        <f>($M24*$C73)+($N24*$C73)+($O24*$C73)+($P24*$C73)+($Q24*$C73)+($R24*$C73)/$E$7</f>
        <v>0</v>
      </c>
      <c r="S73" s="1113">
        <f>'11.2. ДА за периода'!S73</f>
        <v>0</v>
      </c>
      <c r="T73" s="2800">
        <f>($T24*$C73)/$E$7</f>
        <v>0</v>
      </c>
      <c r="U73" s="2796">
        <f>($T24*$C73)+($U24*$C73)/$E$7</f>
        <v>0</v>
      </c>
      <c r="V73" s="2796">
        <f>($T24*$C73)+($U24*$C73)+($V24*$C73)/$E$7</f>
        <v>0</v>
      </c>
      <c r="W73" s="2796">
        <f>($T24*$C73)+($U24*$C73)+($V24*$C73)+($W24*$C73)/$E$7</f>
        <v>0</v>
      </c>
      <c r="X73" s="2796">
        <f>($T24*$C73)+($U24*$C73)+($V24*$C73)+($W24*$C73)+($X24*$C73)/$E$7</f>
        <v>0</v>
      </c>
      <c r="Y73" s="2799">
        <f>($T24*$C73)+($U24*$C73)+($V24*$C73)+($W24*$C73)+($X24*$C73)+($Y24*$C73)/$E$7</f>
        <v>0</v>
      </c>
      <c r="Z73" s="1113">
        <f>'11.2. ДА за периода'!Z73</f>
        <v>0</v>
      </c>
      <c r="AA73" s="2800">
        <f t="shared" si="143"/>
        <v>0</v>
      </c>
      <c r="AB73" s="2796">
        <f t="shared" si="144"/>
        <v>0</v>
      </c>
      <c r="AC73" s="2796">
        <f t="shared" si="145"/>
        <v>0</v>
      </c>
      <c r="AD73" s="2796">
        <f t="shared" si="146"/>
        <v>0</v>
      </c>
      <c r="AE73" s="2796">
        <f t="shared" si="147"/>
        <v>0</v>
      </c>
      <c r="AF73" s="2797">
        <f t="shared" si="148"/>
        <v>0</v>
      </c>
      <c r="AG73" s="1113">
        <f>'11.2. ДА за периода'!AG73</f>
        <v>0</v>
      </c>
      <c r="AH73" s="2800">
        <f t="shared" si="149"/>
        <v>0</v>
      </c>
      <c r="AI73" s="2796">
        <f t="shared" si="150"/>
        <v>0</v>
      </c>
      <c r="AJ73" s="2796">
        <f t="shared" si="151"/>
        <v>0</v>
      </c>
      <c r="AK73" s="2796">
        <f t="shared" si="152"/>
        <v>0</v>
      </c>
      <c r="AL73" s="2796">
        <f t="shared" si="153"/>
        <v>0</v>
      </c>
      <c r="AM73" s="2797">
        <f t="shared" si="154"/>
        <v>0</v>
      </c>
      <c r="AN73" s="2727">
        <f>'11.2. ДА за периода'!AN73</f>
        <v>0</v>
      </c>
      <c r="AO73" s="2798">
        <f>($AO24*$C73)/$E$7</f>
        <v>0</v>
      </c>
      <c r="AP73" s="2796">
        <f>($AO24*$C73)+($AP24*$C73)/$E$7</f>
        <v>0</v>
      </c>
      <c r="AQ73" s="2796">
        <f>($AO24*$C73)+($AP24*$C73)+($AQ24*$C73)/$E$7</f>
        <v>0</v>
      </c>
      <c r="AR73" s="2796">
        <f>($AO24*$C73)+($AP24*$C73)+($AQ24*$C73)+($AR24*$C73)/$E$7</f>
        <v>0</v>
      </c>
      <c r="AS73" s="2796">
        <f>($AO24*$C73)+($AP24*$C73)+($AQ24*$C73)+($AR24*$C73)+($AS24*$C73)/$E$7</f>
        <v>0</v>
      </c>
      <c r="AT73" s="2799">
        <f>($AO24*$C73)+($AP24*$C73)+($AQ24*$C73)+($AR24*$C73)+($AS24*$C73)+($AT24*$C73)/$E$7</f>
        <v>0</v>
      </c>
      <c r="AU73" s="4488"/>
      <c r="AV73" s="4504">
        <f t="shared" si="47"/>
        <v>0</v>
      </c>
      <c r="AW73" s="4504">
        <f t="shared" si="48"/>
        <v>0</v>
      </c>
      <c r="AX73" s="4504">
        <f t="shared" si="49"/>
        <v>0</v>
      </c>
      <c r="AY73" s="4504">
        <f t="shared" si="50"/>
        <v>0</v>
      </c>
      <c r="AZ73" s="4504">
        <f t="shared" si="51"/>
        <v>0</v>
      </c>
      <c r="BA73" s="4504">
        <f t="shared" si="52"/>
        <v>0</v>
      </c>
      <c r="BB73" s="4504">
        <f t="shared" si="53"/>
        <v>0</v>
      </c>
      <c r="BC73" s="4504">
        <f t="shared" si="54"/>
        <v>0</v>
      </c>
      <c r="BD73" s="4504">
        <f t="shared" si="55"/>
        <v>0</v>
      </c>
      <c r="BE73" s="4504">
        <f t="shared" si="56"/>
        <v>0</v>
      </c>
      <c r="BF73" s="4504">
        <f t="shared" si="57"/>
        <v>0</v>
      </c>
      <c r="BG73" s="4504">
        <f t="shared" si="58"/>
        <v>0</v>
      </c>
      <c r="BH73" s="4504">
        <f t="shared" si="59"/>
        <v>0</v>
      </c>
      <c r="BI73" s="4504">
        <f t="shared" si="60"/>
        <v>0</v>
      </c>
      <c r="BJ73" s="4504">
        <f t="shared" si="61"/>
        <v>0</v>
      </c>
      <c r="BK73" s="4504">
        <f t="shared" si="62"/>
        <v>0</v>
      </c>
      <c r="BL73" s="4504">
        <f t="shared" si="63"/>
        <v>0</v>
      </c>
      <c r="BM73" s="4504">
        <f t="shared" si="64"/>
        <v>0</v>
      </c>
      <c r="BN73" s="4504">
        <f t="shared" si="65"/>
        <v>0</v>
      </c>
      <c r="BO73" s="4504">
        <f t="shared" si="66"/>
        <v>0</v>
      </c>
      <c r="BP73" s="4504">
        <f t="shared" si="67"/>
        <v>0</v>
      </c>
      <c r="BQ73" s="4504">
        <f t="shared" si="68"/>
        <v>0</v>
      </c>
      <c r="BR73" s="4504">
        <f t="shared" si="69"/>
        <v>0</v>
      </c>
      <c r="BS73" s="4504">
        <f t="shared" si="70"/>
        <v>0</v>
      </c>
      <c r="BT73" s="4504">
        <f t="shared" si="71"/>
        <v>0</v>
      </c>
      <c r="BU73" s="4504">
        <f t="shared" si="72"/>
        <v>0</v>
      </c>
      <c r="BV73" s="4504">
        <f t="shared" si="73"/>
        <v>0</v>
      </c>
      <c r="BW73" s="4504">
        <f t="shared" si="74"/>
        <v>0</v>
      </c>
      <c r="BX73" s="4504">
        <f t="shared" si="75"/>
        <v>0</v>
      </c>
      <c r="BY73" s="4504">
        <f t="shared" si="76"/>
        <v>0</v>
      </c>
      <c r="BZ73" s="4504">
        <f t="shared" si="77"/>
        <v>0</v>
      </c>
      <c r="CA73" s="4504">
        <f t="shared" si="78"/>
        <v>0</v>
      </c>
      <c r="CB73" s="4504">
        <f t="shared" si="79"/>
        <v>0</v>
      </c>
      <c r="CC73" s="4504">
        <f t="shared" si="80"/>
        <v>0</v>
      </c>
      <c r="CD73" s="4504">
        <f t="shared" si="81"/>
        <v>0</v>
      </c>
      <c r="CE73" s="4504">
        <f t="shared" si="82"/>
        <v>0</v>
      </c>
      <c r="CF73" s="4504">
        <f t="shared" si="83"/>
        <v>0</v>
      </c>
      <c r="CG73" s="4504">
        <f t="shared" si="84"/>
        <v>0</v>
      </c>
      <c r="CH73" s="4504">
        <f t="shared" si="85"/>
        <v>0</v>
      </c>
      <c r="CI73" s="4504">
        <f t="shared" si="86"/>
        <v>0</v>
      </c>
      <c r="CJ73" s="4504">
        <f t="shared" si="87"/>
        <v>0</v>
      </c>
      <c r="CK73" s="4504">
        <f t="shared" si="88"/>
        <v>0</v>
      </c>
    </row>
    <row r="74" spans="1:89">
      <c r="A74" s="2739"/>
      <c r="B74" s="3627">
        <v>20305</v>
      </c>
      <c r="C74" s="3610"/>
      <c r="D74" s="2791" t="s">
        <v>430</v>
      </c>
      <c r="E74" s="2743">
        <f>SUM(E75:E77)</f>
        <v>7.984160144527948</v>
      </c>
      <c r="F74" s="2744">
        <f t="shared" ref="F74:AT74" si="155">SUM(F75:F77)</f>
        <v>3.3</v>
      </c>
      <c r="G74" s="2745">
        <f t="shared" si="155"/>
        <v>8.4</v>
      </c>
      <c r="H74" s="2745">
        <f t="shared" si="155"/>
        <v>11.850000000000001</v>
      </c>
      <c r="I74" s="2745">
        <f t="shared" si="155"/>
        <v>16.150000000000002</v>
      </c>
      <c r="J74" s="2745">
        <f t="shared" si="155"/>
        <v>21.900000000000006</v>
      </c>
      <c r="K74" s="2792">
        <f t="shared" si="155"/>
        <v>27.400000000000002</v>
      </c>
      <c r="L74" s="2747">
        <f t="shared" si="155"/>
        <v>0</v>
      </c>
      <c r="M74" s="2744">
        <f t="shared" si="155"/>
        <v>0</v>
      </c>
      <c r="N74" s="2745">
        <f t="shared" si="155"/>
        <v>0</v>
      </c>
      <c r="O74" s="2745">
        <f t="shared" si="155"/>
        <v>0</v>
      </c>
      <c r="P74" s="2745">
        <f t="shared" si="155"/>
        <v>0</v>
      </c>
      <c r="Q74" s="2745">
        <f t="shared" si="155"/>
        <v>0</v>
      </c>
      <c r="R74" s="2746">
        <f t="shared" si="155"/>
        <v>0</v>
      </c>
      <c r="S74" s="2747">
        <f t="shared" si="155"/>
        <v>1.6220495000000001</v>
      </c>
      <c r="T74" s="2748">
        <f t="shared" si="155"/>
        <v>0</v>
      </c>
      <c r="U74" s="2745">
        <f t="shared" si="155"/>
        <v>0</v>
      </c>
      <c r="V74" s="2745">
        <f t="shared" si="155"/>
        <v>0</v>
      </c>
      <c r="W74" s="2745">
        <f t="shared" si="155"/>
        <v>0</v>
      </c>
      <c r="X74" s="2745">
        <f t="shared" si="155"/>
        <v>0</v>
      </c>
      <c r="Y74" s="2746">
        <f t="shared" si="155"/>
        <v>0</v>
      </c>
      <c r="Z74" s="2747">
        <f t="shared" si="155"/>
        <v>0</v>
      </c>
      <c r="AA74" s="2748">
        <f t="shared" si="155"/>
        <v>0</v>
      </c>
      <c r="AB74" s="2745">
        <f t="shared" si="155"/>
        <v>0</v>
      </c>
      <c r="AC74" s="2745">
        <f t="shared" si="155"/>
        <v>0</v>
      </c>
      <c r="AD74" s="2745">
        <f t="shared" si="155"/>
        <v>0</v>
      </c>
      <c r="AE74" s="2745">
        <f t="shared" si="155"/>
        <v>0</v>
      </c>
      <c r="AF74" s="2746">
        <f t="shared" si="155"/>
        <v>0</v>
      </c>
      <c r="AG74" s="2747">
        <f t="shared" si="155"/>
        <v>0.6007968554720533</v>
      </c>
      <c r="AH74" s="2748">
        <f t="shared" si="155"/>
        <v>0.1</v>
      </c>
      <c r="AI74" s="2745">
        <f t="shared" si="155"/>
        <v>0.70000000000000007</v>
      </c>
      <c r="AJ74" s="2745">
        <f t="shared" si="155"/>
        <v>1.7000000000000002</v>
      </c>
      <c r="AK74" s="2745">
        <f t="shared" si="155"/>
        <v>2.7</v>
      </c>
      <c r="AL74" s="2745">
        <f t="shared" si="155"/>
        <v>3.7</v>
      </c>
      <c r="AM74" s="2746">
        <f t="shared" si="155"/>
        <v>4.7000000000000011</v>
      </c>
      <c r="AN74" s="2747">
        <f t="shared" si="155"/>
        <v>0</v>
      </c>
      <c r="AO74" s="2748">
        <f t="shared" si="155"/>
        <v>1.4000000000000001</v>
      </c>
      <c r="AP74" s="2745">
        <f t="shared" si="155"/>
        <v>9.3000000000000007</v>
      </c>
      <c r="AQ74" s="2745">
        <f t="shared" si="155"/>
        <v>22.3</v>
      </c>
      <c r="AR74" s="2745">
        <f t="shared" si="155"/>
        <v>35.299999999999997</v>
      </c>
      <c r="AS74" s="2745">
        <f t="shared" si="155"/>
        <v>48.3</v>
      </c>
      <c r="AT74" s="2746">
        <f t="shared" si="155"/>
        <v>61.3</v>
      </c>
      <c r="AU74" s="4488"/>
      <c r="AV74" s="4504">
        <f t="shared" si="47"/>
        <v>4.0822362600675666</v>
      </c>
      <c r="AW74" s="4504">
        <f t="shared" si="48"/>
        <v>1.6872632079475209</v>
      </c>
      <c r="AX74" s="4504">
        <f t="shared" si="49"/>
        <v>4.2948518020482354</v>
      </c>
      <c r="AY74" s="4504">
        <f t="shared" si="50"/>
        <v>6.0588087921751903</v>
      </c>
      <c r="AZ74" s="4504">
        <f t="shared" si="51"/>
        <v>8.2573638813189305</v>
      </c>
      <c r="BA74" s="4504">
        <f t="shared" si="52"/>
        <v>11.197292198197188</v>
      </c>
      <c r="BB74" s="4504">
        <f t="shared" si="53"/>
        <v>14.009397544776387</v>
      </c>
      <c r="BC74" s="4504">
        <f t="shared" si="54"/>
        <v>0</v>
      </c>
      <c r="BD74" s="4504">
        <f t="shared" si="55"/>
        <v>0</v>
      </c>
      <c r="BE74" s="4504">
        <f t="shared" si="56"/>
        <v>0</v>
      </c>
      <c r="BF74" s="4504">
        <f t="shared" si="57"/>
        <v>0</v>
      </c>
      <c r="BG74" s="4504">
        <f t="shared" si="58"/>
        <v>0</v>
      </c>
      <c r="BH74" s="4504">
        <f t="shared" si="59"/>
        <v>0</v>
      </c>
      <c r="BI74" s="4504">
        <f t="shared" si="60"/>
        <v>0</v>
      </c>
      <c r="BJ74" s="4504">
        <f t="shared" si="61"/>
        <v>0.82934074024838567</v>
      </c>
      <c r="BK74" s="4504">
        <f t="shared" si="62"/>
        <v>0</v>
      </c>
      <c r="BL74" s="4504">
        <f t="shared" si="63"/>
        <v>0</v>
      </c>
      <c r="BM74" s="4504">
        <f t="shared" si="64"/>
        <v>0</v>
      </c>
      <c r="BN74" s="4504">
        <f t="shared" si="65"/>
        <v>0</v>
      </c>
      <c r="BO74" s="4504">
        <f t="shared" si="66"/>
        <v>0</v>
      </c>
      <c r="BP74" s="4504">
        <f t="shared" si="67"/>
        <v>0</v>
      </c>
      <c r="BQ74" s="4504">
        <f t="shared" si="68"/>
        <v>0</v>
      </c>
      <c r="BR74" s="4504">
        <f t="shared" si="69"/>
        <v>0</v>
      </c>
      <c r="BS74" s="4504">
        <f t="shared" si="70"/>
        <v>0</v>
      </c>
      <c r="BT74" s="4504">
        <f t="shared" si="71"/>
        <v>0</v>
      </c>
      <c r="BU74" s="4504">
        <f t="shared" si="72"/>
        <v>0</v>
      </c>
      <c r="BV74" s="4504">
        <f t="shared" si="73"/>
        <v>0</v>
      </c>
      <c r="BW74" s="4504">
        <f t="shared" si="74"/>
        <v>0</v>
      </c>
      <c r="BX74" s="4504">
        <f t="shared" si="75"/>
        <v>0.30718255445107873</v>
      </c>
      <c r="BY74" s="4504">
        <f t="shared" si="76"/>
        <v>5.1129188119621853E-2</v>
      </c>
      <c r="BZ74" s="4504">
        <f t="shared" si="77"/>
        <v>0.35790431683735296</v>
      </c>
      <c r="CA74" s="4504">
        <f t="shared" si="78"/>
        <v>0.86919619803357151</v>
      </c>
      <c r="CB74" s="4504">
        <f t="shared" si="79"/>
        <v>1.38048807922979</v>
      </c>
      <c r="CC74" s="4504">
        <f t="shared" si="80"/>
        <v>1.8917799604260086</v>
      </c>
      <c r="CD74" s="4504">
        <f t="shared" si="81"/>
        <v>2.4030718416222276</v>
      </c>
      <c r="CE74" s="4504">
        <f t="shared" si="82"/>
        <v>0</v>
      </c>
      <c r="CF74" s="4504">
        <f t="shared" si="83"/>
        <v>0.71580863367470593</v>
      </c>
      <c r="CG74" s="4504">
        <f t="shared" si="84"/>
        <v>4.7550144951248328</v>
      </c>
      <c r="CH74" s="4504">
        <f t="shared" si="85"/>
        <v>11.401808950675672</v>
      </c>
      <c r="CI74" s="4504">
        <f t="shared" si="86"/>
        <v>18.048603406226512</v>
      </c>
      <c r="CJ74" s="4504">
        <f t="shared" si="87"/>
        <v>24.695397861777352</v>
      </c>
      <c r="CK74" s="4504">
        <f t="shared" si="88"/>
        <v>31.342192317328191</v>
      </c>
    </row>
    <row r="75" spans="1:89" s="67" customFormat="1">
      <c r="A75" s="2793"/>
      <c r="B75" s="3628">
        <v>2030501</v>
      </c>
      <c r="C75" s="3611">
        <v>0.1</v>
      </c>
      <c r="D75" s="2794" t="s">
        <v>1001</v>
      </c>
      <c r="E75" s="2727">
        <f>'11.2. ДА за периода'!E75</f>
        <v>6.7940278034893211</v>
      </c>
      <c r="F75" s="2795">
        <f>($F26*$C75)/$E$7</f>
        <v>1.8</v>
      </c>
      <c r="G75" s="2796">
        <f>($F26*$C75)+($G26*$C75)/$E$7</f>
        <v>4.45</v>
      </c>
      <c r="H75" s="2796">
        <f>($F26*$C75)+($G26*$C75)+($H26*$C75)/$E$7</f>
        <v>6.0000000000000009</v>
      </c>
      <c r="I75" s="2796">
        <f>($F26*$C75)+($G26*$C75)+($H26*$C75)+($I26*$C75)/$E$7</f>
        <v>8.0500000000000007</v>
      </c>
      <c r="J75" s="2796">
        <f>($F26*$C75)+($G26*$C75)+($H26*$C75)+($I26*$C75)+($J26*$C75)/$E$7</f>
        <v>11.050000000000002</v>
      </c>
      <c r="K75" s="2797">
        <f>($F26*$C75)+($G26*$C75)+($H26*$C75)+($I26*$C75)+($J26*$C75)+($K26*$C75)/$E$7</f>
        <v>14.300000000000002</v>
      </c>
      <c r="L75" s="2727">
        <f>'11.2. ДА за периода'!L75</f>
        <v>0</v>
      </c>
      <c r="M75" s="2798">
        <f>($M26*$C75)/$E$7</f>
        <v>0</v>
      </c>
      <c r="N75" s="2796">
        <f>($M26*$C75)+($N26*$C75)/$E$7</f>
        <v>0</v>
      </c>
      <c r="O75" s="2796">
        <f>($M26*$C75)+($N26*$C75)+($O26*$C75)/$E$7</f>
        <v>0</v>
      </c>
      <c r="P75" s="2796">
        <f>($M26*$C75)+($N26*$C75)+($O26*$C75)+($P26*$C75)/$E$7</f>
        <v>0</v>
      </c>
      <c r="Q75" s="2797">
        <f>($M26*$C75)+($N26*$C75)+($O26*$C75)+($P26*$C75)+($Q26*$C75)/$E$7</f>
        <v>0</v>
      </c>
      <c r="R75" s="2799">
        <f>($M26*$C75)+($N26*$C75)+($O26*$C75)+($P26*$C75)+($Q26*$C75)+($R26*$C75)/$E$7</f>
        <v>0</v>
      </c>
      <c r="S75" s="1113">
        <f>'11.2. ДА за периода'!S75</f>
        <v>0.19626100000000002</v>
      </c>
      <c r="T75" s="2800">
        <f>($T26*$C75)/$E$7</f>
        <v>0</v>
      </c>
      <c r="U75" s="2796">
        <f>($T26*$C75)+($U26*$C75)/$E$7</f>
        <v>0</v>
      </c>
      <c r="V75" s="2796">
        <f>($T26*$C75)+($U26*$C75)+($V26*$C75)/$E$7</f>
        <v>0</v>
      </c>
      <c r="W75" s="2796">
        <f>($T26*$C75)+($U26*$C75)+($V26*$C75)+($W26*$C75)/$E$7</f>
        <v>0</v>
      </c>
      <c r="X75" s="2796">
        <f>($T26*$C75)+($U26*$C75)+($V26*$C75)+($W26*$C75)+($X26*$C75)/$E$7</f>
        <v>0</v>
      </c>
      <c r="Y75" s="2799">
        <f>($T26*$C75)+($U26*$C75)+($V26*$C75)+($W26*$C75)+($X26*$C75)+($Y26*$C75)/$E$7</f>
        <v>0</v>
      </c>
      <c r="Z75" s="1113">
        <f>'11.2. ДА за периода'!Z75</f>
        <v>0</v>
      </c>
      <c r="AA75" s="2800">
        <f>(AA26*$C75)/$E$7</f>
        <v>0</v>
      </c>
      <c r="AB75" s="2796">
        <f>(AA26*$C75)+(AB26*$C75)/$E$7</f>
        <v>0</v>
      </c>
      <c r="AC75" s="2796">
        <f>(AA26*$C75)+(AB26*$C75)+(AC26*$C75)/$E$7</f>
        <v>0</v>
      </c>
      <c r="AD75" s="2796">
        <f>(AA26*$C75)+(AB26*$C75)+(AC26*$C75)+(AD26*$C75)/$E$7</f>
        <v>0</v>
      </c>
      <c r="AE75" s="2796">
        <f>(AA26*$C75)+(AB26*$C75)+(AC26*$C75)+(AD26*$C75)+(AE26*$C75)/$E$7</f>
        <v>0</v>
      </c>
      <c r="AF75" s="2797">
        <f>(AA26*$C75)+(AB26*$C75)+(AC26*$C75)+(AD26*$C75)+(AE26*$C75)+(AF26*$C75)/$E$7</f>
        <v>0</v>
      </c>
      <c r="AG75" s="1113">
        <f>'11.2. ДА за периода'!AG75</f>
        <v>0.33165169651068016</v>
      </c>
      <c r="AH75" s="2800">
        <f t="shared" ref="AH75:AH78" si="156">(AH26*$C75)/$E$7</f>
        <v>0</v>
      </c>
      <c r="AI75" s="2796">
        <f t="shared" ref="AI75:AI78" si="157">(AH26*$C75)+(AI26*$C75)/$E$7</f>
        <v>0.35000000000000003</v>
      </c>
      <c r="AJ75" s="2796">
        <f t="shared" ref="AJ75:AJ78" si="158">(AH26*$C75)+(AI26*$C75)+(AJ26*$C75)/$E$7</f>
        <v>1.05</v>
      </c>
      <c r="AK75" s="2796">
        <f t="shared" ref="AK75:AK78" si="159">(AH26*$C75)+(AI26*$C75)+(AJ26*$C75)+(AK26*$C75)/$E$7</f>
        <v>1.7500000000000002</v>
      </c>
      <c r="AL75" s="2796">
        <f t="shared" ref="AL75:AL78" si="160">(AH26*$C75)+(AI26*$C75)+(AJ26*$C75)+(AK26*$C75)+(AL26*$C75)/$E$7</f>
        <v>2.4500000000000002</v>
      </c>
      <c r="AM75" s="2797">
        <f t="shared" ref="AM75:AM78" si="161">(AH26*$C75)+(AI26*$C75)+(AJ26*$C75)+(AK26*$C75)+(AL26*$C75)+(AM26*$C75)/$E$7</f>
        <v>3.1500000000000004</v>
      </c>
      <c r="AN75" s="2727">
        <f>'11.2. ДА за периода'!AN75</f>
        <v>0</v>
      </c>
      <c r="AO75" s="2798">
        <f>($AO26*$C75)/$E$7</f>
        <v>1.4000000000000001</v>
      </c>
      <c r="AP75" s="2796">
        <f>($AO26*$C75)+($AP26*$C75)/$E$7</f>
        <v>9.3000000000000007</v>
      </c>
      <c r="AQ75" s="2796">
        <f>($AO26*$C75)+($AP26*$C75)+($AQ26*$C75)/$E$7</f>
        <v>22.3</v>
      </c>
      <c r="AR75" s="2796">
        <f>($AO26*$C75)+($AP26*$C75)+($AQ26*$C75)+($AR26*$C75)/$E$7</f>
        <v>35.299999999999997</v>
      </c>
      <c r="AS75" s="2796">
        <f>($AO26*$C75)+($AP26*$C75)+($AQ26*$C75)+($AR26*$C75)+($AS26*$C75)/$E$7</f>
        <v>48.3</v>
      </c>
      <c r="AT75" s="2799">
        <f>($AO26*$C75)+($AP26*$C75)+($AQ26*$C75)+($AR26*$C75)+($AS26*$C75)+($AT26*$C75)/$E$7</f>
        <v>61.3</v>
      </c>
      <c r="AU75" s="4488"/>
      <c r="AV75" s="4504">
        <f t="shared" si="47"/>
        <v>3.4737312565454674</v>
      </c>
      <c r="AW75" s="4504">
        <f t="shared" si="48"/>
        <v>0.92032538615319337</v>
      </c>
      <c r="AX75" s="4504">
        <f t="shared" si="49"/>
        <v>2.2752488713231722</v>
      </c>
      <c r="AY75" s="4504">
        <f t="shared" si="50"/>
        <v>3.0677512871773116</v>
      </c>
      <c r="AZ75" s="4504">
        <f t="shared" si="51"/>
        <v>4.1158996436295592</v>
      </c>
      <c r="BA75" s="4504">
        <f t="shared" si="52"/>
        <v>5.6497752872182154</v>
      </c>
      <c r="BB75" s="4504">
        <f t="shared" si="53"/>
        <v>7.3114739011059262</v>
      </c>
      <c r="BC75" s="4504">
        <f t="shared" si="54"/>
        <v>0</v>
      </c>
      <c r="BD75" s="4504">
        <f t="shared" si="55"/>
        <v>0</v>
      </c>
      <c r="BE75" s="4504">
        <f t="shared" si="56"/>
        <v>0</v>
      </c>
      <c r="BF75" s="4504">
        <f t="shared" si="57"/>
        <v>0</v>
      </c>
      <c r="BG75" s="4504">
        <f t="shared" si="58"/>
        <v>0</v>
      </c>
      <c r="BH75" s="4504">
        <f t="shared" si="59"/>
        <v>0</v>
      </c>
      <c r="BI75" s="4504">
        <f t="shared" si="60"/>
        <v>0</v>
      </c>
      <c r="BJ75" s="4504">
        <f t="shared" si="61"/>
        <v>0.10034665589545105</v>
      </c>
      <c r="BK75" s="4504">
        <f t="shared" si="62"/>
        <v>0</v>
      </c>
      <c r="BL75" s="4504">
        <f t="shared" si="63"/>
        <v>0</v>
      </c>
      <c r="BM75" s="4504">
        <f t="shared" si="64"/>
        <v>0</v>
      </c>
      <c r="BN75" s="4504">
        <f t="shared" si="65"/>
        <v>0</v>
      </c>
      <c r="BO75" s="4504">
        <f t="shared" si="66"/>
        <v>0</v>
      </c>
      <c r="BP75" s="4504">
        <f t="shared" si="67"/>
        <v>0</v>
      </c>
      <c r="BQ75" s="4504">
        <f t="shared" si="68"/>
        <v>0</v>
      </c>
      <c r="BR75" s="4504">
        <f t="shared" si="69"/>
        <v>0</v>
      </c>
      <c r="BS75" s="4504">
        <f t="shared" si="70"/>
        <v>0</v>
      </c>
      <c r="BT75" s="4504">
        <f t="shared" si="71"/>
        <v>0</v>
      </c>
      <c r="BU75" s="4504">
        <f t="shared" si="72"/>
        <v>0</v>
      </c>
      <c r="BV75" s="4504">
        <f t="shared" si="73"/>
        <v>0</v>
      </c>
      <c r="BW75" s="4504">
        <f t="shared" si="74"/>
        <v>0</v>
      </c>
      <c r="BX75" s="4504">
        <f t="shared" si="75"/>
        <v>0.169570819810863</v>
      </c>
      <c r="BY75" s="4504">
        <f t="shared" si="76"/>
        <v>0</v>
      </c>
      <c r="BZ75" s="4504">
        <f t="shared" si="77"/>
        <v>0.17895215841867648</v>
      </c>
      <c r="CA75" s="4504">
        <f t="shared" si="78"/>
        <v>0.53685647525602942</v>
      </c>
      <c r="CB75" s="4504">
        <f t="shared" si="79"/>
        <v>0.89476079209338244</v>
      </c>
      <c r="CC75" s="4504">
        <f t="shared" si="80"/>
        <v>1.2526651089307355</v>
      </c>
      <c r="CD75" s="4504">
        <f t="shared" si="81"/>
        <v>1.6105694257680885</v>
      </c>
      <c r="CE75" s="4504">
        <f t="shared" si="82"/>
        <v>0</v>
      </c>
      <c r="CF75" s="4504">
        <f t="shared" si="83"/>
        <v>0.71580863367470593</v>
      </c>
      <c r="CG75" s="4504">
        <f t="shared" si="84"/>
        <v>4.7550144951248328</v>
      </c>
      <c r="CH75" s="4504">
        <f t="shared" si="85"/>
        <v>11.401808950675672</v>
      </c>
      <c r="CI75" s="4504">
        <f t="shared" si="86"/>
        <v>18.048603406226512</v>
      </c>
      <c r="CJ75" s="4504">
        <f t="shared" si="87"/>
        <v>24.695397861777352</v>
      </c>
      <c r="CK75" s="4504">
        <f t="shared" si="88"/>
        <v>31.342192317328191</v>
      </c>
    </row>
    <row r="76" spans="1:89" s="3638" customFormat="1" ht="24">
      <c r="A76" s="3632"/>
      <c r="B76" s="3633">
        <v>2030502</v>
      </c>
      <c r="C76" s="3634">
        <v>0.1</v>
      </c>
      <c r="D76" s="3635" t="s">
        <v>695</v>
      </c>
      <c r="E76" s="2727">
        <f>'11.2. ДА за периода'!E76</f>
        <v>1.1901323410386269</v>
      </c>
      <c r="F76" s="2795">
        <f>($F27*$C76)/$E$7</f>
        <v>1.5</v>
      </c>
      <c r="G76" s="3118">
        <f>($F27*$C76)+($G27*$C76)/$E$7</f>
        <v>3.65</v>
      </c>
      <c r="H76" s="3118">
        <f>($F27*$C76)+($G27*$C76)+($H27*$C76)/$E$7</f>
        <v>4.95</v>
      </c>
      <c r="I76" s="3118">
        <f>($F27*$C76)+($G27*$C76)+($H27*$C76)+($I27*$C76)/$E$7</f>
        <v>6.6</v>
      </c>
      <c r="J76" s="3118">
        <f>($F27*$C76)+($G27*$C76)+($H27*$C76)+($I27*$C76)+($J27*$C76)/$E$7</f>
        <v>8.75</v>
      </c>
      <c r="K76" s="3636">
        <f>($F27*$C76)+($G27*$C76)+($H27*$C76)+($I27*$C76)+($J27*$C76)+($K27*$C76)/$E$7</f>
        <v>10.4</v>
      </c>
      <c r="L76" s="2727">
        <f>'11.2. ДА за периода'!L76</f>
        <v>0</v>
      </c>
      <c r="M76" s="2795">
        <f>($M27*$C76)/$E$7</f>
        <v>0</v>
      </c>
      <c r="N76" s="3118">
        <f>($M27*$C76)+($N27*$C76)/$E$7</f>
        <v>0</v>
      </c>
      <c r="O76" s="3118">
        <f>($M27*$C76)+($N27*$C76)+($O27*$C76)/$E$7</f>
        <v>0</v>
      </c>
      <c r="P76" s="3118">
        <f>($M27*$C76)+($N27*$C76)+($O27*$C76)+($P27*$C76)/$E$7</f>
        <v>0</v>
      </c>
      <c r="Q76" s="3636">
        <f>($M27*$C76)+($N27*$C76)+($O27*$C76)+($P27*$C76)+($Q27*$C76)/$E$7</f>
        <v>0</v>
      </c>
      <c r="R76" s="3637">
        <f>($M27*$C76)+($N27*$C76)+($O27*$C76)+($P27*$C76)+($Q27*$C76)+($R27*$C76)/$E$7</f>
        <v>0</v>
      </c>
      <c r="S76" s="1113">
        <f>'11.2. ДА за периода'!S76</f>
        <v>1.4257885000000001</v>
      </c>
      <c r="T76" s="3090">
        <f>($T27*$C76)/$E$7</f>
        <v>0</v>
      </c>
      <c r="U76" s="3118">
        <f>($T27*$C76)+($U27*$C76)/$E$7</f>
        <v>0</v>
      </c>
      <c r="V76" s="3118">
        <f>($T27*$C76)+($U27*$C76)+($V27*$C76)/$E$7</f>
        <v>0</v>
      </c>
      <c r="W76" s="3118">
        <f>($T27*$C76)+($U27*$C76)+($V27*$C76)+($W27*$C76)/$E$7</f>
        <v>0</v>
      </c>
      <c r="X76" s="3118">
        <f>($T27*$C76)+($U27*$C76)+($V27*$C76)+($W27*$C76)+($X27*$C76)/$E$7</f>
        <v>0</v>
      </c>
      <c r="Y76" s="3637">
        <f>($T27*$C76)+($U27*$C76)+($V27*$C76)+($W27*$C76)+($X27*$C76)+($Y27*$C76)/$E$7</f>
        <v>0</v>
      </c>
      <c r="Z76" s="1113">
        <f>'11.2. ДА за периода'!Z76</f>
        <v>0</v>
      </c>
      <c r="AA76" s="3090">
        <f>(AA27*$C76)/$E$7</f>
        <v>0</v>
      </c>
      <c r="AB76" s="3118">
        <f>(AA27*$C76)+(AB27*$C76)/$E$7</f>
        <v>0</v>
      </c>
      <c r="AC76" s="3118">
        <f>(AA27*$C76)+(AB27*$C76)+(AC27*$C76)/$E$7</f>
        <v>0</v>
      </c>
      <c r="AD76" s="3118">
        <f>(AA27*$C76)+(AB27*$C76)+(AC27*$C76)+(AD27*$C76)/$E$7</f>
        <v>0</v>
      </c>
      <c r="AE76" s="3118">
        <f>(AA27*$C76)+(AB27*$C76)+(AC27*$C76)+(AD27*$C76)+(AE27*$C76)/$E$7</f>
        <v>0</v>
      </c>
      <c r="AF76" s="3636">
        <f>(AA27*$C76)+(AB27*$C76)+(AC27*$C76)+(AD27*$C76)+(AE27*$C76)+(AF27*$C76)/$E$7</f>
        <v>0</v>
      </c>
      <c r="AG76" s="1113">
        <f>'11.2. ДА за периода'!AG76</f>
        <v>0.26914515896137309</v>
      </c>
      <c r="AH76" s="3090">
        <f t="shared" si="156"/>
        <v>0.1</v>
      </c>
      <c r="AI76" s="3118">
        <f t="shared" si="157"/>
        <v>0.35000000000000003</v>
      </c>
      <c r="AJ76" s="3118">
        <f t="shared" si="158"/>
        <v>0.65</v>
      </c>
      <c r="AK76" s="3118">
        <f t="shared" si="159"/>
        <v>0.95000000000000007</v>
      </c>
      <c r="AL76" s="3118">
        <f t="shared" si="160"/>
        <v>1.25</v>
      </c>
      <c r="AM76" s="3636">
        <f t="shared" si="161"/>
        <v>1.5500000000000003</v>
      </c>
      <c r="AN76" s="2727">
        <f>'11.2. ДА за периода'!AN76</f>
        <v>0</v>
      </c>
      <c r="AO76" s="2795">
        <f>($AO27*$C76)/$E$7</f>
        <v>0</v>
      </c>
      <c r="AP76" s="3118">
        <f>($AO27*$C76)+($AP27*$C76)/$E$7</f>
        <v>0</v>
      </c>
      <c r="AQ76" s="3118">
        <f>($AO27*$C76)+($AP27*$C76)+($AQ27*$C76)/$E$7</f>
        <v>0</v>
      </c>
      <c r="AR76" s="3118">
        <f>($AO27*$C76)+($AP27*$C76)+($AQ27*$C76)+($AR27*$C76)/$E$7</f>
        <v>0</v>
      </c>
      <c r="AS76" s="3118">
        <f>($AO27*$C76)+($AP27*$C76)+($AQ27*$C76)+($AR27*$C76)+($AS27*$C76)/$E$7</f>
        <v>0</v>
      </c>
      <c r="AT76" s="3637">
        <f>($AO27*$C76)+($AP27*$C76)+($AQ27*$C76)+($AR27*$C76)+($AS27*$C76)+($AT27*$C76)/$E$7</f>
        <v>0</v>
      </c>
      <c r="AU76" s="4488"/>
      <c r="AV76" s="4504">
        <f t="shared" ref="AV76:AV107" si="162">IFERROR(E76/$D$1,0)</f>
        <v>0.60850500352209902</v>
      </c>
      <c r="AW76" s="4504">
        <f t="shared" ref="AW76:AW108" si="163">IFERROR(F76/$D$1,0)</f>
        <v>0.76693782179432779</v>
      </c>
      <c r="AX76" s="4504">
        <f t="shared" ref="AX76:AX108" si="164">IFERROR(G76/$D$1,0)</f>
        <v>1.8662153663661976</v>
      </c>
      <c r="AY76" s="4504">
        <f t="shared" ref="AY76:AY108" si="165">IFERROR(H76/$D$1,0)</f>
        <v>2.5308948119212817</v>
      </c>
      <c r="AZ76" s="4504">
        <f t="shared" ref="AZ76:AZ108" si="166">IFERROR(I76/$D$1,0)</f>
        <v>3.3745264158950419</v>
      </c>
      <c r="BA76" s="4504">
        <f t="shared" ref="BA76:BA108" si="167">IFERROR(J76/$D$1,0)</f>
        <v>4.4738039604669115</v>
      </c>
      <c r="BB76" s="4504">
        <f t="shared" ref="BB76:BB108" si="168">IFERROR(K76/$D$1,0)</f>
        <v>5.3174355644406726</v>
      </c>
      <c r="BC76" s="4504">
        <f t="shared" ref="BC76:BC108" si="169">IFERROR(L76/$D$1,0)</f>
        <v>0</v>
      </c>
      <c r="BD76" s="4504">
        <f t="shared" ref="BD76:BD108" si="170">IFERROR(M76/$D$1,0)</f>
        <v>0</v>
      </c>
      <c r="BE76" s="4504">
        <f t="shared" ref="BE76:BE108" si="171">IFERROR(N76/$D$1,0)</f>
        <v>0</v>
      </c>
      <c r="BF76" s="4504">
        <f t="shared" ref="BF76:BF108" si="172">IFERROR(O76/$D$1,0)</f>
        <v>0</v>
      </c>
      <c r="BG76" s="4504">
        <f t="shared" ref="BG76:BG108" si="173">IFERROR(P76/$D$1,0)</f>
        <v>0</v>
      </c>
      <c r="BH76" s="4504">
        <f t="shared" ref="BH76:BH108" si="174">IFERROR(Q76/$D$1,0)</f>
        <v>0</v>
      </c>
      <c r="BI76" s="4504">
        <f t="shared" ref="BI76:BI108" si="175">IFERROR(R76/$D$1,0)</f>
        <v>0</v>
      </c>
      <c r="BJ76" s="4504">
        <f t="shared" ref="BJ76:BJ108" si="176">IFERROR(S76/$D$1,0)</f>
        <v>0.72899408435293467</v>
      </c>
      <c r="BK76" s="4504">
        <f t="shared" ref="BK76:BK108" si="177">IFERROR(T76/$D$1,0)</f>
        <v>0</v>
      </c>
      <c r="BL76" s="4504">
        <f t="shared" ref="BL76:BL108" si="178">IFERROR(U76/$D$1,0)</f>
        <v>0</v>
      </c>
      <c r="BM76" s="4504">
        <f t="shared" ref="BM76:BM108" si="179">IFERROR(V76/$D$1,0)</f>
        <v>0</v>
      </c>
      <c r="BN76" s="4504">
        <f t="shared" ref="BN76:BN108" si="180">IFERROR(W76/$D$1,0)</f>
        <v>0</v>
      </c>
      <c r="BO76" s="4504">
        <f t="shared" ref="BO76:BO108" si="181">IFERROR(X76/$D$1,0)</f>
        <v>0</v>
      </c>
      <c r="BP76" s="4504">
        <f t="shared" ref="BP76:BP108" si="182">IFERROR(Y76/$D$1,0)</f>
        <v>0</v>
      </c>
      <c r="BQ76" s="4504">
        <f t="shared" ref="BQ76:BQ108" si="183">IFERROR(Z76/$D$1,0)</f>
        <v>0</v>
      </c>
      <c r="BR76" s="4504">
        <f t="shared" ref="BR76:BR108" si="184">IFERROR(AA76/$D$1,0)</f>
        <v>0</v>
      </c>
      <c r="BS76" s="4504">
        <f t="shared" ref="BS76:BS108" si="185">IFERROR(AB76/$D$1,0)</f>
        <v>0</v>
      </c>
      <c r="BT76" s="4504">
        <f t="shared" ref="BT76:BT108" si="186">IFERROR(AC76/$D$1,0)</f>
        <v>0</v>
      </c>
      <c r="BU76" s="4504">
        <f t="shared" ref="BU76:BU108" si="187">IFERROR(AD76/$D$1,0)</f>
        <v>0</v>
      </c>
      <c r="BV76" s="4504">
        <f t="shared" ref="BV76:BV108" si="188">IFERROR(AE76/$D$1,0)</f>
        <v>0</v>
      </c>
      <c r="BW76" s="4504">
        <f t="shared" ref="BW76:BW108" si="189">IFERROR(AF76/$D$1,0)</f>
        <v>0</v>
      </c>
      <c r="BX76" s="4504">
        <f t="shared" ref="BX76:BX108" si="190">IFERROR(AG76/$D$1,0)</f>
        <v>0.1376117346402157</v>
      </c>
      <c r="BY76" s="4504">
        <f t="shared" ref="BY76:BY108" si="191">IFERROR(AH76/$D$1,0)</f>
        <v>5.1129188119621853E-2</v>
      </c>
      <c r="BZ76" s="4504">
        <f t="shared" ref="BZ76:BZ108" si="192">IFERROR(AI76/$D$1,0)</f>
        <v>0.17895215841867648</v>
      </c>
      <c r="CA76" s="4504">
        <f t="shared" ref="CA76:CA108" si="193">IFERROR(AJ76/$D$1,0)</f>
        <v>0.33233972277754203</v>
      </c>
      <c r="CB76" s="4504">
        <f t="shared" ref="CB76:CB108" si="194">IFERROR(AK76/$D$1,0)</f>
        <v>0.48572728713640761</v>
      </c>
      <c r="CC76" s="4504">
        <f t="shared" ref="CC76:CC108" si="195">IFERROR(AL76/$D$1,0)</f>
        <v>0.63911485149527314</v>
      </c>
      <c r="CD76" s="4504">
        <f t="shared" ref="CD76:CD108" si="196">IFERROR(AM76/$D$1,0)</f>
        <v>0.79250241585413883</v>
      </c>
      <c r="CE76" s="4504">
        <f t="shared" ref="CE76:CE108" si="197">IFERROR(AN76/$D$1,0)</f>
        <v>0</v>
      </c>
      <c r="CF76" s="4504">
        <f t="shared" ref="CF76:CF108" si="198">IFERROR(AO76/$D$1,0)</f>
        <v>0</v>
      </c>
      <c r="CG76" s="4504">
        <f t="shared" ref="CG76:CG108" si="199">IFERROR(AP76/$D$1,0)</f>
        <v>0</v>
      </c>
      <c r="CH76" s="4504">
        <f t="shared" ref="CH76:CH108" si="200">IFERROR(AQ76/$D$1,0)</f>
        <v>0</v>
      </c>
      <c r="CI76" s="4504">
        <f t="shared" ref="CI76:CI108" si="201">IFERROR(AR76/$D$1,0)</f>
        <v>0</v>
      </c>
      <c r="CJ76" s="4504">
        <f t="shared" ref="CJ76:CJ108" si="202">IFERROR(AS76/$D$1,0)</f>
        <v>0</v>
      </c>
      <c r="CK76" s="4504">
        <f t="shared" ref="CK76:CK108" si="203">IFERROR(AT76/$D$1,0)</f>
        <v>0</v>
      </c>
    </row>
    <row r="77" spans="1:89" s="67" customFormat="1">
      <c r="A77" s="2793"/>
      <c r="B77" s="3628">
        <v>2030503</v>
      </c>
      <c r="C77" s="3611">
        <v>0.1</v>
      </c>
      <c r="D77" s="2794" t="s">
        <v>713</v>
      </c>
      <c r="E77" s="2727">
        <f>'11.2. ДА за периода'!E77</f>
        <v>0</v>
      </c>
      <c r="F77" s="2795">
        <f>($F28*$C77)/$E$7</f>
        <v>0</v>
      </c>
      <c r="G77" s="2796">
        <f>($F28*$C77)+($G28*$C77)/$E$7</f>
        <v>0.30000000000000004</v>
      </c>
      <c r="H77" s="2796">
        <f>($F28*$C77)+($G28*$C77)+($H28*$C77)/$E$7</f>
        <v>0.90000000000000013</v>
      </c>
      <c r="I77" s="2796">
        <f>($F28*$C77)+($G28*$C77)+($H28*$C77)+($I28*$C77)/$E$7</f>
        <v>1.5000000000000002</v>
      </c>
      <c r="J77" s="2796">
        <f>($F28*$C77)+($G28*$C77)+($H28*$C77)+($I28*$C77)+($J28*$C77)/$E$7</f>
        <v>2.1000000000000005</v>
      </c>
      <c r="K77" s="2797">
        <f>($F28*$C77)+($G28*$C77)+($H28*$C77)+($I28*$C77)+($J28*$C77)+($K28*$C77)/$E$7</f>
        <v>2.7</v>
      </c>
      <c r="L77" s="2727">
        <f>'11.2. ДА за периода'!L77</f>
        <v>0</v>
      </c>
      <c r="M77" s="2798">
        <f>($M28*$C77)/$E$7</f>
        <v>0</v>
      </c>
      <c r="N77" s="2796">
        <f>($M28*$C77)+($N28*$C77)/$E$7</f>
        <v>0</v>
      </c>
      <c r="O77" s="2796">
        <f>($M28*$C77)+($N28*$C77)+($O28*$C77)/$E$7</f>
        <v>0</v>
      </c>
      <c r="P77" s="2796">
        <f>($M28*$C77)+($N28*$C77)+($O28*$C77)+($P28*$C77)/$E$7</f>
        <v>0</v>
      </c>
      <c r="Q77" s="2797">
        <f>($M28*$C77)+($N28*$C77)+($O28*$C77)+($P28*$C77)+($Q28*$C77)/$E$7</f>
        <v>0</v>
      </c>
      <c r="R77" s="2799">
        <f>($M28*$C77)+($N28*$C77)+($O28*$C77)+($P28*$C77)+($Q28*$C77)+($R28*$C77)/$E$7</f>
        <v>0</v>
      </c>
      <c r="S77" s="1113">
        <f>'11.2. ДА за периода'!S77</f>
        <v>0</v>
      </c>
      <c r="T77" s="2800">
        <f>($T28*$C77)/$E$7</f>
        <v>0</v>
      </c>
      <c r="U77" s="2796">
        <f>($T28*$C77)+($U28*$C77)/$E$7</f>
        <v>0</v>
      </c>
      <c r="V77" s="2796">
        <f>($T28*$C77)+($U28*$C77)+($V28*$C77)/$E$7</f>
        <v>0</v>
      </c>
      <c r="W77" s="2796">
        <f>($T28*$C77)+($U28*$C77)+($V28*$C77)+($W28*$C77)/$E$7</f>
        <v>0</v>
      </c>
      <c r="X77" s="2796">
        <f>($T28*$C77)+($U28*$C77)+($V28*$C77)+($W28*$C77)+($X28*$C77)/$E$7</f>
        <v>0</v>
      </c>
      <c r="Y77" s="2799">
        <f>($T28*$C77)+($U28*$C77)+($V28*$C77)+($W28*$C77)+($X28*$C77)+($Y28*$C77)/$E$7</f>
        <v>0</v>
      </c>
      <c r="Z77" s="1113">
        <f>'11.2. ДА за периода'!Z77</f>
        <v>0</v>
      </c>
      <c r="AA77" s="2800">
        <f t="shared" ref="AA77:AA78" si="204">(AA28*$C77)/$E$7</f>
        <v>0</v>
      </c>
      <c r="AB77" s="2796">
        <f t="shared" ref="AB77:AB78" si="205">(AA28*$C77)+(AB28*$C77)/$E$7</f>
        <v>0</v>
      </c>
      <c r="AC77" s="2796">
        <f t="shared" ref="AC77:AC78" si="206">(AA28*$C77)+(AB28*$C77)+(AC28*$C77)/$E$7</f>
        <v>0</v>
      </c>
      <c r="AD77" s="2796">
        <f t="shared" ref="AD77:AD78" si="207">(AA28*$C77)+(AB28*$C77)+(AC28*$C77)+(AD28*$C77)/$E$7</f>
        <v>0</v>
      </c>
      <c r="AE77" s="2796">
        <f t="shared" ref="AE77:AE78" si="208">(AA28*$C77)+(AB28*$C77)+(AC28*$C77)+(AD28*$C77)+(AE28*$C77)/$E$7</f>
        <v>0</v>
      </c>
      <c r="AF77" s="2797">
        <f t="shared" ref="AF77:AF78" si="209">(AA28*$C77)+(AB28*$C77)+(AC28*$C77)+(AD28*$C77)+(AE28*$C77)+(AF28*$C77)/$E$7</f>
        <v>0</v>
      </c>
      <c r="AG77" s="1113">
        <f>'11.2. ДА за периода'!AG77</f>
        <v>0</v>
      </c>
      <c r="AH77" s="2800">
        <f t="shared" si="156"/>
        <v>0</v>
      </c>
      <c r="AI77" s="2796">
        <f t="shared" si="157"/>
        <v>0</v>
      </c>
      <c r="AJ77" s="2796">
        <f t="shared" si="158"/>
        <v>0</v>
      </c>
      <c r="AK77" s="2796">
        <f t="shared" si="159"/>
        <v>0</v>
      </c>
      <c r="AL77" s="2796">
        <f t="shared" si="160"/>
        <v>0</v>
      </c>
      <c r="AM77" s="2797">
        <f t="shared" si="161"/>
        <v>0</v>
      </c>
      <c r="AN77" s="2727">
        <f>'11.2. ДА за периода'!AN77</f>
        <v>0</v>
      </c>
      <c r="AO77" s="2798">
        <f>($AO28*$C77)/$E$7</f>
        <v>0</v>
      </c>
      <c r="AP77" s="2796">
        <f>($AO28*$C77)+($AP28*$C77)/$E$7</f>
        <v>0</v>
      </c>
      <c r="AQ77" s="2796">
        <f>($AO28*$C77)+($AP28*$C77)+($AQ28*$C77)/$E$7</f>
        <v>0</v>
      </c>
      <c r="AR77" s="2796">
        <f>($AO28*$C77)+($AP28*$C77)+($AQ28*$C77)+($AR28*$C77)/$E$7</f>
        <v>0</v>
      </c>
      <c r="AS77" s="2796">
        <f>($AO28*$C77)+($AP28*$C77)+($AQ28*$C77)+($AR28*$C77)+($AS28*$C77)/$E$7</f>
        <v>0</v>
      </c>
      <c r="AT77" s="2799">
        <f>($AO28*$C77)+($AP28*$C77)+($AQ28*$C77)+($AR28*$C77)+($AS28*$C77)+($AT28*$C77)/$E$7</f>
        <v>0</v>
      </c>
      <c r="AU77" s="4488"/>
      <c r="AV77" s="4504">
        <f t="shared" si="162"/>
        <v>0</v>
      </c>
      <c r="AW77" s="4504">
        <f t="shared" si="163"/>
        <v>0</v>
      </c>
      <c r="AX77" s="4504">
        <f t="shared" si="164"/>
        <v>0.15338756435886558</v>
      </c>
      <c r="AY77" s="4504">
        <f t="shared" si="165"/>
        <v>0.46016269307659674</v>
      </c>
      <c r="AZ77" s="4504">
        <f t="shared" si="166"/>
        <v>0.7669378217943279</v>
      </c>
      <c r="BA77" s="4504">
        <f t="shared" si="167"/>
        <v>1.0737129505120591</v>
      </c>
      <c r="BB77" s="4504">
        <f t="shared" si="168"/>
        <v>1.38048807922979</v>
      </c>
      <c r="BC77" s="4504">
        <f t="shared" si="169"/>
        <v>0</v>
      </c>
      <c r="BD77" s="4504">
        <f t="shared" si="170"/>
        <v>0</v>
      </c>
      <c r="BE77" s="4504">
        <f t="shared" si="171"/>
        <v>0</v>
      </c>
      <c r="BF77" s="4504">
        <f t="shared" si="172"/>
        <v>0</v>
      </c>
      <c r="BG77" s="4504">
        <f t="shared" si="173"/>
        <v>0</v>
      </c>
      <c r="BH77" s="4504">
        <f t="shared" si="174"/>
        <v>0</v>
      </c>
      <c r="BI77" s="4504">
        <f t="shared" si="175"/>
        <v>0</v>
      </c>
      <c r="BJ77" s="4504">
        <f t="shared" si="176"/>
        <v>0</v>
      </c>
      <c r="BK77" s="4504">
        <f t="shared" si="177"/>
        <v>0</v>
      </c>
      <c r="BL77" s="4504">
        <f t="shared" si="178"/>
        <v>0</v>
      </c>
      <c r="BM77" s="4504">
        <f t="shared" si="179"/>
        <v>0</v>
      </c>
      <c r="BN77" s="4504">
        <f t="shared" si="180"/>
        <v>0</v>
      </c>
      <c r="BO77" s="4504">
        <f t="shared" si="181"/>
        <v>0</v>
      </c>
      <c r="BP77" s="4504">
        <f t="shared" si="182"/>
        <v>0</v>
      </c>
      <c r="BQ77" s="4504">
        <f t="shared" si="183"/>
        <v>0</v>
      </c>
      <c r="BR77" s="4504">
        <f t="shared" si="184"/>
        <v>0</v>
      </c>
      <c r="BS77" s="4504">
        <f t="shared" si="185"/>
        <v>0</v>
      </c>
      <c r="BT77" s="4504">
        <f t="shared" si="186"/>
        <v>0</v>
      </c>
      <c r="BU77" s="4504">
        <f t="shared" si="187"/>
        <v>0</v>
      </c>
      <c r="BV77" s="4504">
        <f t="shared" si="188"/>
        <v>0</v>
      </c>
      <c r="BW77" s="4504">
        <f t="shared" si="189"/>
        <v>0</v>
      </c>
      <c r="BX77" s="4504">
        <f t="shared" si="190"/>
        <v>0</v>
      </c>
      <c r="BY77" s="4504">
        <f t="shared" si="191"/>
        <v>0</v>
      </c>
      <c r="BZ77" s="4504">
        <f t="shared" si="192"/>
        <v>0</v>
      </c>
      <c r="CA77" s="4504">
        <f t="shared" si="193"/>
        <v>0</v>
      </c>
      <c r="CB77" s="4504">
        <f t="shared" si="194"/>
        <v>0</v>
      </c>
      <c r="CC77" s="4504">
        <f t="shared" si="195"/>
        <v>0</v>
      </c>
      <c r="CD77" s="4504">
        <f t="shared" si="196"/>
        <v>0</v>
      </c>
      <c r="CE77" s="4504">
        <f t="shared" si="197"/>
        <v>0</v>
      </c>
      <c r="CF77" s="4504">
        <f t="shared" si="198"/>
        <v>0</v>
      </c>
      <c r="CG77" s="4504">
        <f t="shared" si="199"/>
        <v>0</v>
      </c>
      <c r="CH77" s="4504">
        <f t="shared" si="200"/>
        <v>0</v>
      </c>
      <c r="CI77" s="4504">
        <f t="shared" si="201"/>
        <v>0</v>
      </c>
      <c r="CJ77" s="4504">
        <f t="shared" si="202"/>
        <v>0</v>
      </c>
      <c r="CK77" s="4504">
        <f t="shared" si="203"/>
        <v>0</v>
      </c>
    </row>
    <row r="78" spans="1:89">
      <c r="A78" s="2739"/>
      <c r="B78" s="3627">
        <v>20306</v>
      </c>
      <c r="C78" s="3600">
        <v>0.1</v>
      </c>
      <c r="D78" s="2742" t="s">
        <v>409</v>
      </c>
      <c r="E78" s="2727">
        <f>'11.2. ДА за периода'!E78</f>
        <v>3.0586590041017509E-2</v>
      </c>
      <c r="F78" s="2655">
        <f>($F29*$C78)/$E$7</f>
        <v>0</v>
      </c>
      <c r="G78" s="1224">
        <f>($F29*$C78)+($G29*$C78)/$E$7</f>
        <v>0</v>
      </c>
      <c r="H78" s="1224">
        <f>($F29*$C78)+($G29*$C78)+($H29*$C78)/$E$7</f>
        <v>0</v>
      </c>
      <c r="I78" s="1224">
        <f>($F29*$C78)+($G29*$C78)+($H29*$C78)+($I29*$C78)/$E$7</f>
        <v>0</v>
      </c>
      <c r="J78" s="1224">
        <f>($F29*$C78)+($G29*$C78)+($H29*$C78)+($I29*$C78)+($J29*$C78)/$E$7</f>
        <v>0</v>
      </c>
      <c r="K78" s="2661">
        <f>($F29*$C78)+($G29*$C78)+($H29*$C78)+($I29*$C78)+($J29*$C78)+($K29*$C78)/$E$7</f>
        <v>0</v>
      </c>
      <c r="L78" s="2727">
        <f>'11.2. ДА за периода'!L78</f>
        <v>2.2147093811199593E-2</v>
      </c>
      <c r="M78" s="1228">
        <f>($M29*$C78)/$E$7</f>
        <v>0</v>
      </c>
      <c r="N78" s="1224">
        <f>($M29*$C78)+($N29*$C78)/$E$7</f>
        <v>0</v>
      </c>
      <c r="O78" s="1224">
        <f>($M29*$C78)+($N29*$C78)+($O29*$C78)/$E$7</f>
        <v>0</v>
      </c>
      <c r="P78" s="1224">
        <f>($M29*$C78)+($N29*$C78)+($O29*$C78)+($P29*$C78)/$E$7</f>
        <v>0</v>
      </c>
      <c r="Q78" s="2661">
        <f>($M29*$C78)+($N29*$C78)+($O29*$C78)+($P29*$C78)+($Q29*$C78)/$E$7</f>
        <v>0</v>
      </c>
      <c r="R78" s="1229">
        <f>($M29*$C78)+($N29*$C78)+($O29*$C78)+($P29*$C78)+($Q29*$C78)+($R29*$C78)/$E$7</f>
        <v>0</v>
      </c>
      <c r="S78" s="1113">
        <f>'11.2. ДА за периода'!S78</f>
        <v>2.702349677901892E-2</v>
      </c>
      <c r="T78" s="908">
        <f>($T29*$C78)/$E$7</f>
        <v>0</v>
      </c>
      <c r="U78" s="1224">
        <f>($T29*$C78)+($U29*$C78)/$E$7</f>
        <v>0</v>
      </c>
      <c r="V78" s="1224">
        <f>($T29*$C78)+($U29*$C78)+($V29*$C78)/$E$7</f>
        <v>0</v>
      </c>
      <c r="W78" s="1224">
        <f>($T29*$C78)+($U29*$C78)+($V29*$C78)+($W29*$C78)/$E$7</f>
        <v>0</v>
      </c>
      <c r="X78" s="1224">
        <f>($T29*$C78)+($U29*$C78)+($V29*$C78)+($W29*$C78)+($X29*$C78)/$E$7</f>
        <v>0</v>
      </c>
      <c r="Y78" s="1229">
        <f>($T29*$C78)+($U29*$C78)+($V29*$C78)+($W29*$C78)+($X29*$C78)+($Y29*$C78)/$E$7</f>
        <v>0</v>
      </c>
      <c r="Z78" s="1113">
        <f>'11.2. ДА за периода'!Z78</f>
        <v>0</v>
      </c>
      <c r="AA78" s="908">
        <f t="shared" si="204"/>
        <v>0</v>
      </c>
      <c r="AB78" s="1224">
        <f t="shared" si="205"/>
        <v>0</v>
      </c>
      <c r="AC78" s="1224">
        <f t="shared" si="206"/>
        <v>0</v>
      </c>
      <c r="AD78" s="1224">
        <f t="shared" si="207"/>
        <v>0</v>
      </c>
      <c r="AE78" s="1224">
        <f t="shared" si="208"/>
        <v>0</v>
      </c>
      <c r="AF78" s="2661">
        <f t="shared" si="209"/>
        <v>0</v>
      </c>
      <c r="AG78" s="1113">
        <f>'11.2. ДА за периода'!AG78</f>
        <v>1.2660322045571174E-3</v>
      </c>
      <c r="AH78" s="908">
        <f t="shared" si="156"/>
        <v>0.1</v>
      </c>
      <c r="AI78" s="1224">
        <f t="shared" si="157"/>
        <v>0.2</v>
      </c>
      <c r="AJ78" s="1224">
        <f t="shared" si="158"/>
        <v>0.2</v>
      </c>
      <c r="AK78" s="1224">
        <f t="shared" si="159"/>
        <v>0.2</v>
      </c>
      <c r="AL78" s="1224">
        <f t="shared" si="160"/>
        <v>0.2</v>
      </c>
      <c r="AM78" s="2661">
        <f t="shared" si="161"/>
        <v>0.2</v>
      </c>
      <c r="AN78" s="1113">
        <f>'11.2. ДА за периода'!AN78</f>
        <v>0</v>
      </c>
      <c r="AO78" s="1228">
        <f>($AO29*$C78)/$E$7</f>
        <v>3.6500000000000004</v>
      </c>
      <c r="AP78" s="1224">
        <f>($AO29*$C78)+($AP29*$C78)/$E$7</f>
        <v>7.3000000000000007</v>
      </c>
      <c r="AQ78" s="1224">
        <f>($AO29*$C78)+($AP29*$C78)+($AQ29*$C78)/$E$7</f>
        <v>7.3000000000000007</v>
      </c>
      <c r="AR78" s="1224">
        <f>($AO29*$C78)+($AP29*$C78)+($AQ29*$C78)+($AR29*$C78)/$E$7</f>
        <v>7.3000000000000007</v>
      </c>
      <c r="AS78" s="1224">
        <f>($AO29*$C78)+($AP29*$C78)+($AQ29*$C78)+($AR29*$C78)+($AS29*$C78)/$E$7</f>
        <v>7.3000000000000007</v>
      </c>
      <c r="AT78" s="1229">
        <f>($AO29*$C78)+($AP29*$C78)+($AQ29*$C78)+($AR29*$C78)+($AS29*$C78)+($AT29*$C78)/$E$7</f>
        <v>7.3000000000000007</v>
      </c>
      <c r="AU78" s="4488"/>
      <c r="AV78" s="4504">
        <f t="shared" si="162"/>
        <v>1.5638675161449365E-2</v>
      </c>
      <c r="AW78" s="4504">
        <f t="shared" si="163"/>
        <v>0</v>
      </c>
      <c r="AX78" s="4504">
        <f t="shared" si="164"/>
        <v>0</v>
      </c>
      <c r="AY78" s="4504">
        <f t="shared" si="165"/>
        <v>0</v>
      </c>
      <c r="AZ78" s="4504">
        <f t="shared" si="166"/>
        <v>0</v>
      </c>
      <c r="BA78" s="4504">
        <f t="shared" si="167"/>
        <v>0</v>
      </c>
      <c r="BB78" s="4504">
        <f t="shared" si="168"/>
        <v>0</v>
      </c>
      <c r="BC78" s="4504">
        <f t="shared" si="169"/>
        <v>1.1323629257757368E-2</v>
      </c>
      <c r="BD78" s="4504">
        <f t="shared" si="170"/>
        <v>0</v>
      </c>
      <c r="BE78" s="4504">
        <f t="shared" si="171"/>
        <v>0</v>
      </c>
      <c r="BF78" s="4504">
        <f t="shared" si="172"/>
        <v>0</v>
      </c>
      <c r="BG78" s="4504">
        <f t="shared" si="173"/>
        <v>0</v>
      </c>
      <c r="BH78" s="4504">
        <f t="shared" si="174"/>
        <v>0</v>
      </c>
      <c r="BI78" s="4504">
        <f t="shared" si="175"/>
        <v>0</v>
      </c>
      <c r="BJ78" s="4504">
        <f t="shared" si="176"/>
        <v>1.3816894504644534E-2</v>
      </c>
      <c r="BK78" s="4504">
        <f t="shared" si="177"/>
        <v>0</v>
      </c>
      <c r="BL78" s="4504">
        <f t="shared" si="178"/>
        <v>0</v>
      </c>
      <c r="BM78" s="4504">
        <f t="shared" si="179"/>
        <v>0</v>
      </c>
      <c r="BN78" s="4504">
        <f t="shared" si="180"/>
        <v>0</v>
      </c>
      <c r="BO78" s="4504">
        <f t="shared" si="181"/>
        <v>0</v>
      </c>
      <c r="BP78" s="4504">
        <f t="shared" si="182"/>
        <v>0</v>
      </c>
      <c r="BQ78" s="4504">
        <f t="shared" si="183"/>
        <v>0</v>
      </c>
      <c r="BR78" s="4504">
        <f t="shared" si="184"/>
        <v>0</v>
      </c>
      <c r="BS78" s="4504">
        <f t="shared" si="185"/>
        <v>0</v>
      </c>
      <c r="BT78" s="4504">
        <f t="shared" si="186"/>
        <v>0</v>
      </c>
      <c r="BU78" s="4504">
        <f t="shared" si="187"/>
        <v>0</v>
      </c>
      <c r="BV78" s="4504">
        <f t="shared" si="188"/>
        <v>0</v>
      </c>
      <c r="BW78" s="4504">
        <f t="shared" si="189"/>
        <v>0</v>
      </c>
      <c r="BX78" s="4504">
        <f t="shared" si="190"/>
        <v>6.4731198752300426E-4</v>
      </c>
      <c r="BY78" s="4504">
        <f t="shared" si="191"/>
        <v>5.1129188119621853E-2</v>
      </c>
      <c r="BZ78" s="4504">
        <f t="shared" si="192"/>
        <v>0.10225837623924371</v>
      </c>
      <c r="CA78" s="4504">
        <f t="shared" si="193"/>
        <v>0.10225837623924371</v>
      </c>
      <c r="CB78" s="4504">
        <f t="shared" si="194"/>
        <v>0.10225837623924371</v>
      </c>
      <c r="CC78" s="4504">
        <f t="shared" si="195"/>
        <v>0.10225837623924371</v>
      </c>
      <c r="CD78" s="4504">
        <f t="shared" si="196"/>
        <v>0.10225837623924371</v>
      </c>
      <c r="CE78" s="4504">
        <f t="shared" si="197"/>
        <v>0</v>
      </c>
      <c r="CF78" s="4504">
        <f t="shared" si="198"/>
        <v>1.8662153663661978</v>
      </c>
      <c r="CG78" s="4504">
        <f t="shared" si="199"/>
        <v>3.7324307327323956</v>
      </c>
      <c r="CH78" s="4504">
        <f t="shared" si="200"/>
        <v>3.7324307327323956</v>
      </c>
      <c r="CI78" s="4504">
        <f t="shared" si="201"/>
        <v>3.7324307327323956</v>
      </c>
      <c r="CJ78" s="4504">
        <f t="shared" si="202"/>
        <v>3.7324307327323956</v>
      </c>
      <c r="CK78" s="4504">
        <f t="shared" si="203"/>
        <v>3.7324307327323956</v>
      </c>
    </row>
    <row r="79" spans="1:89" ht="14.25" customHeight="1">
      <c r="A79" s="2732">
        <v>4</v>
      </c>
      <c r="B79" s="3626">
        <v>204</v>
      </c>
      <c r="C79" s="3599"/>
      <c r="D79" s="2750" t="s">
        <v>211</v>
      </c>
      <c r="E79" s="2783">
        <f>E80+E83+E92+E93</f>
        <v>5.8032797581283058</v>
      </c>
      <c r="F79" s="2784">
        <f t="shared" ref="F79:AT79" si="210">F80+F83+F92+F93</f>
        <v>4.2975000000000003</v>
      </c>
      <c r="G79" s="2785">
        <f t="shared" si="210"/>
        <v>14.005000000000001</v>
      </c>
      <c r="H79" s="2785">
        <f t="shared" si="210"/>
        <v>24.905000000000005</v>
      </c>
      <c r="I79" s="2785">
        <f t="shared" si="210"/>
        <v>35.994999999999997</v>
      </c>
      <c r="J79" s="2785">
        <f t="shared" si="210"/>
        <v>47.214999999999996</v>
      </c>
      <c r="K79" s="2786">
        <f t="shared" si="210"/>
        <v>58.475000000000009</v>
      </c>
      <c r="L79" s="2787">
        <f t="shared" si="210"/>
        <v>9.1790699999999989E-2</v>
      </c>
      <c r="M79" s="2784">
        <f t="shared" si="210"/>
        <v>0.2</v>
      </c>
      <c r="N79" s="2785">
        <f t="shared" si="210"/>
        <v>0.45</v>
      </c>
      <c r="O79" s="2785">
        <f t="shared" si="210"/>
        <v>0.55000000000000004</v>
      </c>
      <c r="P79" s="2785">
        <f t="shared" si="210"/>
        <v>0.65</v>
      </c>
      <c r="Q79" s="2785">
        <f t="shared" si="210"/>
        <v>0.75</v>
      </c>
      <c r="R79" s="2788">
        <f t="shared" si="210"/>
        <v>0.85</v>
      </c>
      <c r="S79" s="2787">
        <f t="shared" si="210"/>
        <v>0</v>
      </c>
      <c r="T79" s="2789">
        <f t="shared" si="210"/>
        <v>0.24</v>
      </c>
      <c r="U79" s="2785">
        <f t="shared" si="210"/>
        <v>1.08</v>
      </c>
      <c r="V79" s="2785">
        <f t="shared" si="210"/>
        <v>2.2799999999999998</v>
      </c>
      <c r="W79" s="2785">
        <f t="shared" si="210"/>
        <v>3.48</v>
      </c>
      <c r="X79" s="2785">
        <f t="shared" si="210"/>
        <v>4.68</v>
      </c>
      <c r="Y79" s="2788">
        <f t="shared" si="210"/>
        <v>5.88</v>
      </c>
      <c r="Z79" s="2787">
        <f t="shared" si="210"/>
        <v>0</v>
      </c>
      <c r="AA79" s="2789">
        <f t="shared" si="210"/>
        <v>0</v>
      </c>
      <c r="AB79" s="2785">
        <f t="shared" si="210"/>
        <v>0</v>
      </c>
      <c r="AC79" s="2785">
        <f t="shared" si="210"/>
        <v>0</v>
      </c>
      <c r="AD79" s="2785">
        <f t="shared" si="210"/>
        <v>0</v>
      </c>
      <c r="AE79" s="2785">
        <f t="shared" si="210"/>
        <v>0</v>
      </c>
      <c r="AF79" s="2788">
        <f t="shared" si="210"/>
        <v>0</v>
      </c>
      <c r="AG79" s="2787">
        <f t="shared" si="210"/>
        <v>0.29204694187169278</v>
      </c>
      <c r="AH79" s="2789">
        <f t="shared" si="210"/>
        <v>0.06</v>
      </c>
      <c r="AI79" s="2785">
        <f t="shared" si="210"/>
        <v>2.62</v>
      </c>
      <c r="AJ79" s="2785">
        <f t="shared" si="210"/>
        <v>6.07</v>
      </c>
      <c r="AK79" s="2785">
        <f t="shared" si="210"/>
        <v>7.92</v>
      </c>
      <c r="AL79" s="2785">
        <f t="shared" si="210"/>
        <v>9.9699999999999989</v>
      </c>
      <c r="AM79" s="2788">
        <f t="shared" si="210"/>
        <v>12.27</v>
      </c>
      <c r="AN79" s="2787">
        <f t="shared" si="210"/>
        <v>0</v>
      </c>
      <c r="AO79" s="2789">
        <f t="shared" si="210"/>
        <v>0</v>
      </c>
      <c r="AP79" s="2785">
        <f t="shared" si="210"/>
        <v>0</v>
      </c>
      <c r="AQ79" s="2785">
        <f t="shared" si="210"/>
        <v>0</v>
      </c>
      <c r="AR79" s="2785">
        <f t="shared" si="210"/>
        <v>0</v>
      </c>
      <c r="AS79" s="2785">
        <f t="shared" si="210"/>
        <v>0</v>
      </c>
      <c r="AT79" s="2788">
        <f t="shared" si="210"/>
        <v>0</v>
      </c>
      <c r="AU79" s="4488"/>
      <c r="AV79" s="4504">
        <f t="shared" si="162"/>
        <v>2.9671698246413571</v>
      </c>
      <c r="AW79" s="4504">
        <f t="shared" si="163"/>
        <v>2.1972768594407492</v>
      </c>
      <c r="AX79" s="4504">
        <f t="shared" si="164"/>
        <v>7.1606427961530406</v>
      </c>
      <c r="AY79" s="4504">
        <f t="shared" si="165"/>
        <v>12.733724301191824</v>
      </c>
      <c r="AZ79" s="4504">
        <f t="shared" si="166"/>
        <v>18.403951263657884</v>
      </c>
      <c r="BA79" s="4504">
        <f t="shared" si="167"/>
        <v>24.140646170679453</v>
      </c>
      <c r="BB79" s="4504">
        <f t="shared" si="168"/>
        <v>29.897792752948881</v>
      </c>
      <c r="BC79" s="4504">
        <f t="shared" si="169"/>
        <v>4.693183967931773E-2</v>
      </c>
      <c r="BD79" s="4504">
        <f t="shared" si="170"/>
        <v>0.10225837623924371</v>
      </c>
      <c r="BE79" s="4504">
        <f t="shared" si="171"/>
        <v>0.23008134653829834</v>
      </c>
      <c r="BF79" s="4504">
        <f t="shared" si="172"/>
        <v>0.28121053465792017</v>
      </c>
      <c r="BG79" s="4504">
        <f t="shared" si="173"/>
        <v>0.33233972277754203</v>
      </c>
      <c r="BH79" s="4504">
        <f t="shared" si="174"/>
        <v>0.38346891089716389</v>
      </c>
      <c r="BI79" s="4504">
        <f t="shared" si="175"/>
        <v>0.4345980990167857</v>
      </c>
      <c r="BJ79" s="4504">
        <f t="shared" si="176"/>
        <v>0</v>
      </c>
      <c r="BK79" s="4504">
        <f t="shared" si="177"/>
        <v>0.12271005148709244</v>
      </c>
      <c r="BL79" s="4504">
        <f t="shared" si="178"/>
        <v>0.55219523169191598</v>
      </c>
      <c r="BM79" s="4504">
        <f t="shared" si="179"/>
        <v>1.165745489127378</v>
      </c>
      <c r="BN79" s="4504">
        <f t="shared" si="180"/>
        <v>1.7792957465628403</v>
      </c>
      <c r="BO79" s="4504">
        <f t="shared" si="181"/>
        <v>2.3928460039983026</v>
      </c>
      <c r="BP79" s="4504">
        <f t="shared" si="182"/>
        <v>3.0063962614337645</v>
      </c>
      <c r="BQ79" s="4504">
        <f t="shared" si="183"/>
        <v>0</v>
      </c>
      <c r="BR79" s="4504">
        <f t="shared" si="184"/>
        <v>0</v>
      </c>
      <c r="BS79" s="4504">
        <f t="shared" si="185"/>
        <v>0</v>
      </c>
      <c r="BT79" s="4504">
        <f t="shared" si="186"/>
        <v>0</v>
      </c>
      <c r="BU79" s="4504">
        <f t="shared" si="187"/>
        <v>0</v>
      </c>
      <c r="BV79" s="4504">
        <f t="shared" si="188"/>
        <v>0</v>
      </c>
      <c r="BW79" s="4504">
        <f t="shared" si="189"/>
        <v>0</v>
      </c>
      <c r="BX79" s="4504">
        <f t="shared" si="190"/>
        <v>0.14932123030718047</v>
      </c>
      <c r="BY79" s="4504">
        <f t="shared" si="191"/>
        <v>3.0677512871773109E-2</v>
      </c>
      <c r="BZ79" s="4504">
        <f t="shared" si="192"/>
        <v>1.3395847287340925</v>
      </c>
      <c r="CA79" s="4504">
        <f t="shared" si="193"/>
        <v>3.1035417188610466</v>
      </c>
      <c r="CB79" s="4504">
        <f t="shared" si="194"/>
        <v>4.0494316990740504</v>
      </c>
      <c r="CC79" s="4504">
        <f t="shared" si="195"/>
        <v>5.097580055526298</v>
      </c>
      <c r="CD79" s="4504">
        <f t="shared" si="196"/>
        <v>6.273551382277601</v>
      </c>
      <c r="CE79" s="4504">
        <f t="shared" si="197"/>
        <v>0</v>
      </c>
      <c r="CF79" s="4504">
        <f t="shared" si="198"/>
        <v>0</v>
      </c>
      <c r="CG79" s="4504">
        <f t="shared" si="199"/>
        <v>0</v>
      </c>
      <c r="CH79" s="4504">
        <f t="shared" si="200"/>
        <v>0</v>
      </c>
      <c r="CI79" s="4504">
        <f t="shared" si="201"/>
        <v>0</v>
      </c>
      <c r="CJ79" s="4504">
        <f t="shared" si="202"/>
        <v>0</v>
      </c>
      <c r="CK79" s="4504">
        <f t="shared" si="203"/>
        <v>0</v>
      </c>
    </row>
    <row r="80" spans="1:89">
      <c r="A80" s="2739"/>
      <c r="B80" s="3627">
        <v>20401</v>
      </c>
      <c r="C80" s="3600"/>
      <c r="D80" s="2731" t="s">
        <v>417</v>
      </c>
      <c r="E80" s="2743">
        <f t="shared" ref="E80:AT80" si="211">SUM(E81:E82)</f>
        <v>0</v>
      </c>
      <c r="F80" s="2744">
        <f t="shared" si="211"/>
        <v>0</v>
      </c>
      <c r="G80" s="2745">
        <f t="shared" si="211"/>
        <v>0</v>
      </c>
      <c r="H80" s="2745">
        <f t="shared" si="211"/>
        <v>0</v>
      </c>
      <c r="I80" s="2745">
        <f t="shared" si="211"/>
        <v>0</v>
      </c>
      <c r="J80" s="2745">
        <f t="shared" si="211"/>
        <v>0</v>
      </c>
      <c r="K80" s="2792">
        <f t="shared" si="211"/>
        <v>0</v>
      </c>
      <c r="L80" s="2747">
        <f t="shared" si="211"/>
        <v>0</v>
      </c>
      <c r="M80" s="2744">
        <f t="shared" si="211"/>
        <v>0</v>
      </c>
      <c r="N80" s="2745">
        <f t="shared" si="211"/>
        <v>0</v>
      </c>
      <c r="O80" s="2745">
        <f t="shared" si="211"/>
        <v>0</v>
      </c>
      <c r="P80" s="2745">
        <f t="shared" si="211"/>
        <v>0</v>
      </c>
      <c r="Q80" s="2745">
        <f t="shared" si="211"/>
        <v>0</v>
      </c>
      <c r="R80" s="2746">
        <f t="shared" si="211"/>
        <v>0</v>
      </c>
      <c r="S80" s="2747">
        <f t="shared" si="211"/>
        <v>0</v>
      </c>
      <c r="T80" s="2748">
        <f t="shared" si="211"/>
        <v>0</v>
      </c>
      <c r="U80" s="2745">
        <f t="shared" si="211"/>
        <v>0</v>
      </c>
      <c r="V80" s="2745">
        <f t="shared" si="211"/>
        <v>0</v>
      </c>
      <c r="W80" s="2745">
        <f t="shared" si="211"/>
        <v>0</v>
      </c>
      <c r="X80" s="2745">
        <f t="shared" si="211"/>
        <v>0</v>
      </c>
      <c r="Y80" s="2746">
        <f t="shared" si="211"/>
        <v>0</v>
      </c>
      <c r="Z80" s="2747">
        <f t="shared" ref="Z80:AM80" si="212">SUM(Z81:Z82)</f>
        <v>0</v>
      </c>
      <c r="AA80" s="2748">
        <f t="shared" si="212"/>
        <v>0</v>
      </c>
      <c r="AB80" s="2745">
        <f t="shared" si="212"/>
        <v>0</v>
      </c>
      <c r="AC80" s="2745">
        <f t="shared" si="212"/>
        <v>0</v>
      </c>
      <c r="AD80" s="2745">
        <f t="shared" si="212"/>
        <v>0</v>
      </c>
      <c r="AE80" s="2745">
        <f t="shared" si="212"/>
        <v>0</v>
      </c>
      <c r="AF80" s="2746">
        <f t="shared" si="212"/>
        <v>0</v>
      </c>
      <c r="AG80" s="2747">
        <f t="shared" si="212"/>
        <v>0</v>
      </c>
      <c r="AH80" s="2748">
        <f t="shared" si="212"/>
        <v>0</v>
      </c>
      <c r="AI80" s="2745">
        <f t="shared" si="212"/>
        <v>0</v>
      </c>
      <c r="AJ80" s="2745">
        <f t="shared" si="212"/>
        <v>0</v>
      </c>
      <c r="AK80" s="2745">
        <f t="shared" si="212"/>
        <v>0</v>
      </c>
      <c r="AL80" s="2745">
        <f t="shared" si="212"/>
        <v>0</v>
      </c>
      <c r="AM80" s="2746">
        <f t="shared" si="212"/>
        <v>0</v>
      </c>
      <c r="AN80" s="2747">
        <f t="shared" si="211"/>
        <v>0</v>
      </c>
      <c r="AO80" s="2748">
        <f t="shared" si="211"/>
        <v>0</v>
      </c>
      <c r="AP80" s="2745">
        <f t="shared" si="211"/>
        <v>0</v>
      </c>
      <c r="AQ80" s="2745">
        <f t="shared" si="211"/>
        <v>0</v>
      </c>
      <c r="AR80" s="2745">
        <f t="shared" si="211"/>
        <v>0</v>
      </c>
      <c r="AS80" s="2745">
        <f t="shared" si="211"/>
        <v>0</v>
      </c>
      <c r="AT80" s="2746">
        <f t="shared" si="211"/>
        <v>0</v>
      </c>
      <c r="AU80" s="4488"/>
      <c r="AV80" s="4504">
        <f t="shared" si="162"/>
        <v>0</v>
      </c>
      <c r="AW80" s="4504">
        <f t="shared" si="163"/>
        <v>0</v>
      </c>
      <c r="AX80" s="4504">
        <f t="shared" si="164"/>
        <v>0</v>
      </c>
      <c r="AY80" s="4504">
        <f t="shared" si="165"/>
        <v>0</v>
      </c>
      <c r="AZ80" s="4504">
        <f t="shared" si="166"/>
        <v>0</v>
      </c>
      <c r="BA80" s="4504">
        <f t="shared" si="167"/>
        <v>0</v>
      </c>
      <c r="BB80" s="4504">
        <f t="shared" si="168"/>
        <v>0</v>
      </c>
      <c r="BC80" s="4504">
        <f t="shared" si="169"/>
        <v>0</v>
      </c>
      <c r="BD80" s="4504">
        <f t="shared" si="170"/>
        <v>0</v>
      </c>
      <c r="BE80" s="4504">
        <f t="shared" si="171"/>
        <v>0</v>
      </c>
      <c r="BF80" s="4504">
        <f t="shared" si="172"/>
        <v>0</v>
      </c>
      <c r="BG80" s="4504">
        <f t="shared" si="173"/>
        <v>0</v>
      </c>
      <c r="BH80" s="4504">
        <f t="shared" si="174"/>
        <v>0</v>
      </c>
      <c r="BI80" s="4504">
        <f t="shared" si="175"/>
        <v>0</v>
      </c>
      <c r="BJ80" s="4504">
        <f t="shared" si="176"/>
        <v>0</v>
      </c>
      <c r="BK80" s="4504">
        <f t="shared" si="177"/>
        <v>0</v>
      </c>
      <c r="BL80" s="4504">
        <f t="shared" si="178"/>
        <v>0</v>
      </c>
      <c r="BM80" s="4504">
        <f t="shared" si="179"/>
        <v>0</v>
      </c>
      <c r="BN80" s="4504">
        <f t="shared" si="180"/>
        <v>0</v>
      </c>
      <c r="BO80" s="4504">
        <f t="shared" si="181"/>
        <v>0</v>
      </c>
      <c r="BP80" s="4504">
        <f t="shared" si="182"/>
        <v>0</v>
      </c>
      <c r="BQ80" s="4504">
        <f t="shared" si="183"/>
        <v>0</v>
      </c>
      <c r="BR80" s="4504">
        <f t="shared" si="184"/>
        <v>0</v>
      </c>
      <c r="BS80" s="4504">
        <f t="shared" si="185"/>
        <v>0</v>
      </c>
      <c r="BT80" s="4504">
        <f t="shared" si="186"/>
        <v>0</v>
      </c>
      <c r="BU80" s="4504">
        <f t="shared" si="187"/>
        <v>0</v>
      </c>
      <c r="BV80" s="4504">
        <f t="shared" si="188"/>
        <v>0</v>
      </c>
      <c r="BW80" s="4504">
        <f t="shared" si="189"/>
        <v>0</v>
      </c>
      <c r="BX80" s="4504">
        <f t="shared" si="190"/>
        <v>0</v>
      </c>
      <c r="BY80" s="4504">
        <f t="shared" si="191"/>
        <v>0</v>
      </c>
      <c r="BZ80" s="4504">
        <f t="shared" si="192"/>
        <v>0</v>
      </c>
      <c r="CA80" s="4504">
        <f t="shared" si="193"/>
        <v>0</v>
      </c>
      <c r="CB80" s="4504">
        <f t="shared" si="194"/>
        <v>0</v>
      </c>
      <c r="CC80" s="4504">
        <f t="shared" si="195"/>
        <v>0</v>
      </c>
      <c r="CD80" s="4504">
        <f t="shared" si="196"/>
        <v>0</v>
      </c>
      <c r="CE80" s="4504">
        <f t="shared" si="197"/>
        <v>0</v>
      </c>
      <c r="CF80" s="4504">
        <f t="shared" si="198"/>
        <v>0</v>
      </c>
      <c r="CG80" s="4504">
        <f t="shared" si="199"/>
        <v>0</v>
      </c>
      <c r="CH80" s="4504">
        <f t="shared" si="200"/>
        <v>0</v>
      </c>
      <c r="CI80" s="4504">
        <f t="shared" si="201"/>
        <v>0</v>
      </c>
      <c r="CJ80" s="4504">
        <f t="shared" si="202"/>
        <v>0</v>
      </c>
      <c r="CK80" s="4504">
        <f t="shared" si="203"/>
        <v>0</v>
      </c>
    </row>
    <row r="81" spans="1:89" s="67" customFormat="1">
      <c r="A81" s="2793"/>
      <c r="B81" s="3628">
        <v>2040101</v>
      </c>
      <c r="C81" s="3601">
        <v>0.1</v>
      </c>
      <c r="D81" s="2751" t="s">
        <v>431</v>
      </c>
      <c r="E81" s="2727">
        <f>'11.2. ДА за периода'!E81</f>
        <v>0</v>
      </c>
      <c r="F81" s="2795">
        <f>($F32*$C81)/$E$7</f>
        <v>0</v>
      </c>
      <c r="G81" s="2796">
        <f>($F32*$C81)+($G32*$C81)/$E$7</f>
        <v>0</v>
      </c>
      <c r="H81" s="2796">
        <f>($F32*$C81)+($G32*$C81)+($H32*$C81)/$E$7</f>
        <v>0</v>
      </c>
      <c r="I81" s="2796">
        <f>($F32*$C81)+($G32*$C81)+($H32*$C81)+($I32*$C81)/$E$7</f>
        <v>0</v>
      </c>
      <c r="J81" s="2796">
        <f>($F32*$C81)+($G32*$C81)+($H32*$C81)+($I32*$C81)+($J32*$C81)/$E$7</f>
        <v>0</v>
      </c>
      <c r="K81" s="2797">
        <f>($F32*$C81)+($G32*$C81)+($H32*$C81)+($I32*$C81)+($J32*$C81)+($K32*$C81)/$E$7</f>
        <v>0</v>
      </c>
      <c r="L81" s="2727">
        <f>'11.2. ДА за периода'!L81</f>
        <v>0</v>
      </c>
      <c r="M81" s="2798">
        <f>($M32*$C81)/$E$7</f>
        <v>0</v>
      </c>
      <c r="N81" s="2796">
        <f>($M32*$C81)+($N32*$C81)/$E$7</f>
        <v>0</v>
      </c>
      <c r="O81" s="2796">
        <f>($M32*$C81)+($N32*$C81)+($O32*$C81)/$E$7</f>
        <v>0</v>
      </c>
      <c r="P81" s="2796">
        <f>($M32*$C81)+($N32*$C81)+($O32*$C81)+($P32*$C81)/$E$7</f>
        <v>0</v>
      </c>
      <c r="Q81" s="2797">
        <f>($M32*$C81)+($N32*$C81)+($O32*$C81)+($P32*$C81)+($Q32*$C81)/$E$7</f>
        <v>0</v>
      </c>
      <c r="R81" s="2799">
        <f>($M32*$C81)+($N32*$C81)+($O32*$C81)+($P32*$C81)+($Q32*$C81)+($R32*$C81)/$E$7</f>
        <v>0</v>
      </c>
      <c r="S81" s="1113">
        <f>'11.2. ДА за периода'!S81</f>
        <v>0</v>
      </c>
      <c r="T81" s="2800">
        <f>($T32*$C81)/$E$7</f>
        <v>0</v>
      </c>
      <c r="U81" s="2796">
        <f>($T32*$C81)+($U32*$C81)/$E$7</f>
        <v>0</v>
      </c>
      <c r="V81" s="2796">
        <f>($T32*$C81)+($U32*$C81)+($V32*$C81)/$E$7</f>
        <v>0</v>
      </c>
      <c r="W81" s="2796">
        <f>($T32*$C81)+($U32*$C81)+($V32*$C81)+($W32*$C81)/$E$7</f>
        <v>0</v>
      </c>
      <c r="X81" s="2796">
        <f>($T32*$C81)+($U32*$C81)+($V32*$C81)+($W32*$C81)+($X32*$C81)/$E$7</f>
        <v>0</v>
      </c>
      <c r="Y81" s="2799">
        <f>($T32*$C81)+($U32*$C81)+($V32*$C81)+($W32*$C81)+($X32*$C81)+($Y32*$C81)/$E$7</f>
        <v>0</v>
      </c>
      <c r="Z81" s="1113">
        <f>'11.2. ДА за периода'!Z81</f>
        <v>0</v>
      </c>
      <c r="AA81" s="2800">
        <f t="shared" ref="AA81:AA82" si="213">(AA32*$C81)/$E$7</f>
        <v>0</v>
      </c>
      <c r="AB81" s="2796">
        <f t="shared" ref="AB81:AB82" si="214">(AA32*$C81)+(AB32*$C81)/$E$7</f>
        <v>0</v>
      </c>
      <c r="AC81" s="2796">
        <f t="shared" ref="AC81:AC82" si="215">(AA32*$C81)+(AB32*$C81)+(AC32*$C81)/$E$7</f>
        <v>0</v>
      </c>
      <c r="AD81" s="2796">
        <f t="shared" ref="AD81:AD82" si="216">(AA32*$C81)+(AB32*$C81)+(AC32*$C81)+(AD32*$C81)/$E$7</f>
        <v>0</v>
      </c>
      <c r="AE81" s="2796">
        <f t="shared" ref="AE81:AE82" si="217">(AA32*$C81)+(AB32*$C81)+(AC32*$C81)+(AD32*$C81)+(AE32*$C81)/$E$7</f>
        <v>0</v>
      </c>
      <c r="AF81" s="2797">
        <f t="shared" ref="AF81:AF82" si="218">(AA32*$C81)+(AB32*$C81)+(AC32*$C81)+(AD32*$C81)+(AE32*$C81)+(AF32*$C81)/$E$7</f>
        <v>0</v>
      </c>
      <c r="AG81" s="1113">
        <f>'11.2. ДА за периода'!AG81</f>
        <v>0</v>
      </c>
      <c r="AH81" s="2800">
        <f t="shared" ref="AH81:AH82" si="219">(AH32*$C81)/$E$7</f>
        <v>0</v>
      </c>
      <c r="AI81" s="2796">
        <f t="shared" ref="AI81:AI82" si="220">(AH32*$C81)+(AI32*$C81)/$E$7</f>
        <v>0</v>
      </c>
      <c r="AJ81" s="2796">
        <f t="shared" ref="AJ81:AJ82" si="221">(AH32*$C81)+(AI32*$C81)+(AJ32*$C81)/$E$7</f>
        <v>0</v>
      </c>
      <c r="AK81" s="2796">
        <f t="shared" ref="AK81:AK82" si="222">(AH32*$C81)+(AI32*$C81)+(AJ32*$C81)+(AK32*$C81)/$E$7</f>
        <v>0</v>
      </c>
      <c r="AL81" s="2796">
        <f t="shared" ref="AL81:AL82" si="223">(AH32*$C81)+(AI32*$C81)+(AJ32*$C81)+(AK32*$C81)+(AL32*$C81)/$E$7</f>
        <v>0</v>
      </c>
      <c r="AM81" s="2797">
        <f t="shared" ref="AM81:AM82" si="224">(AH32*$C81)+(AI32*$C81)+(AJ32*$C81)+(AK32*$C81)+(AL32*$C81)+(AM32*$C81)/$E$7</f>
        <v>0</v>
      </c>
      <c r="AN81" s="1113">
        <f>'11.2. ДА за периода'!AN81</f>
        <v>0</v>
      </c>
      <c r="AO81" s="2798">
        <f>($AO32*$C81)/$E$7</f>
        <v>0</v>
      </c>
      <c r="AP81" s="2796">
        <f>($AO32*$C81)+($AP32*$C81)/$E$7</f>
        <v>0</v>
      </c>
      <c r="AQ81" s="2796">
        <f>($AO32*$C81)+($AP32*$C81)+($AQ32*$C81)/$E$7</f>
        <v>0</v>
      </c>
      <c r="AR81" s="2796">
        <f>($AO32*$C81)+($AP32*$C81)+($AQ32*$C81)+($AR32*$C81)/$E$7</f>
        <v>0</v>
      </c>
      <c r="AS81" s="2796">
        <f>($AO32*$C81)+($AP32*$C81)+($AQ32*$C81)+($AR32*$C81)+($AS32*$C81)/$E$7</f>
        <v>0</v>
      </c>
      <c r="AT81" s="2799">
        <f>($AO32*$C81)+($AP32*$C81)+($AQ32*$C81)+($AR32*$C81)+($AS32*$C81)+($AT32*$C81)/$E$7</f>
        <v>0</v>
      </c>
      <c r="AU81" s="4488"/>
      <c r="AV81" s="4504">
        <f t="shared" si="162"/>
        <v>0</v>
      </c>
      <c r="AW81" s="4504">
        <f t="shared" si="163"/>
        <v>0</v>
      </c>
      <c r="AX81" s="4504">
        <f t="shared" si="164"/>
        <v>0</v>
      </c>
      <c r="AY81" s="4504">
        <f t="shared" si="165"/>
        <v>0</v>
      </c>
      <c r="AZ81" s="4504">
        <f t="shared" si="166"/>
        <v>0</v>
      </c>
      <c r="BA81" s="4504">
        <f t="shared" si="167"/>
        <v>0</v>
      </c>
      <c r="BB81" s="4504">
        <f t="shared" si="168"/>
        <v>0</v>
      </c>
      <c r="BC81" s="4504">
        <f t="shared" si="169"/>
        <v>0</v>
      </c>
      <c r="BD81" s="4504">
        <f t="shared" si="170"/>
        <v>0</v>
      </c>
      <c r="BE81" s="4504">
        <f t="shared" si="171"/>
        <v>0</v>
      </c>
      <c r="BF81" s="4504">
        <f t="shared" si="172"/>
        <v>0</v>
      </c>
      <c r="BG81" s="4504">
        <f t="shared" si="173"/>
        <v>0</v>
      </c>
      <c r="BH81" s="4504">
        <f t="shared" si="174"/>
        <v>0</v>
      </c>
      <c r="BI81" s="4504">
        <f t="shared" si="175"/>
        <v>0</v>
      </c>
      <c r="BJ81" s="4504">
        <f t="shared" si="176"/>
        <v>0</v>
      </c>
      <c r="BK81" s="4504">
        <f t="shared" si="177"/>
        <v>0</v>
      </c>
      <c r="BL81" s="4504">
        <f t="shared" si="178"/>
        <v>0</v>
      </c>
      <c r="BM81" s="4504">
        <f t="shared" si="179"/>
        <v>0</v>
      </c>
      <c r="BN81" s="4504">
        <f t="shared" si="180"/>
        <v>0</v>
      </c>
      <c r="BO81" s="4504">
        <f t="shared" si="181"/>
        <v>0</v>
      </c>
      <c r="BP81" s="4504">
        <f t="shared" si="182"/>
        <v>0</v>
      </c>
      <c r="BQ81" s="4504">
        <f t="shared" si="183"/>
        <v>0</v>
      </c>
      <c r="BR81" s="4504">
        <f t="shared" si="184"/>
        <v>0</v>
      </c>
      <c r="BS81" s="4504">
        <f t="shared" si="185"/>
        <v>0</v>
      </c>
      <c r="BT81" s="4504">
        <f t="shared" si="186"/>
        <v>0</v>
      </c>
      <c r="BU81" s="4504">
        <f t="shared" si="187"/>
        <v>0</v>
      </c>
      <c r="BV81" s="4504">
        <f t="shared" si="188"/>
        <v>0</v>
      </c>
      <c r="BW81" s="4504">
        <f t="shared" si="189"/>
        <v>0</v>
      </c>
      <c r="BX81" s="4504">
        <f t="shared" si="190"/>
        <v>0</v>
      </c>
      <c r="BY81" s="4504">
        <f t="shared" si="191"/>
        <v>0</v>
      </c>
      <c r="BZ81" s="4504">
        <f t="shared" si="192"/>
        <v>0</v>
      </c>
      <c r="CA81" s="4504">
        <f t="shared" si="193"/>
        <v>0</v>
      </c>
      <c r="CB81" s="4504">
        <f t="shared" si="194"/>
        <v>0</v>
      </c>
      <c r="CC81" s="4504">
        <f t="shared" si="195"/>
        <v>0</v>
      </c>
      <c r="CD81" s="4504">
        <f t="shared" si="196"/>
        <v>0</v>
      </c>
      <c r="CE81" s="4504">
        <f t="shared" si="197"/>
        <v>0</v>
      </c>
      <c r="CF81" s="4504">
        <f t="shared" si="198"/>
        <v>0</v>
      </c>
      <c r="CG81" s="4504">
        <f t="shared" si="199"/>
        <v>0</v>
      </c>
      <c r="CH81" s="4504">
        <f t="shared" si="200"/>
        <v>0</v>
      </c>
      <c r="CI81" s="4504">
        <f t="shared" si="201"/>
        <v>0</v>
      </c>
      <c r="CJ81" s="4504">
        <f t="shared" si="202"/>
        <v>0</v>
      </c>
      <c r="CK81" s="4504">
        <f t="shared" si="203"/>
        <v>0</v>
      </c>
    </row>
    <row r="82" spans="1:89" s="67" customFormat="1">
      <c r="A82" s="2793"/>
      <c r="B82" s="3628">
        <v>2040102</v>
      </c>
      <c r="C82" s="3601">
        <v>0.04</v>
      </c>
      <c r="D82" s="2751" t="s">
        <v>432</v>
      </c>
      <c r="E82" s="2727">
        <f>'11.2. ДА за периода'!E82</f>
        <v>0</v>
      </c>
      <c r="F82" s="2795">
        <f>($F33*$C82)/$E$7</f>
        <v>0</v>
      </c>
      <c r="G82" s="2796">
        <f>($F33*$C82)+($G33*$C82)/$E$7</f>
        <v>0</v>
      </c>
      <c r="H82" s="2796">
        <f>($F33*$C82)+($G33*$C82)+($H33*$C82)/$E$7</f>
        <v>0</v>
      </c>
      <c r="I82" s="2796">
        <f>($F33*$C82)+($G33*$C82)+($H33*$C82)+($I33*$C82)/$E$7</f>
        <v>0</v>
      </c>
      <c r="J82" s="2796">
        <f>($F33*$C82)+($G33*$C82)+($H33*$C82)+($I33*$C82)+($J33*$C82)/$E$7</f>
        <v>0</v>
      </c>
      <c r="K82" s="2797">
        <f>($F33*$C82)+($G33*$C82)+($H33*$C82)+($I33*$C82)+($J33*$C82)+($K33*$C82)/$E$7</f>
        <v>0</v>
      </c>
      <c r="L82" s="2727">
        <f>'11.2. ДА за периода'!L82</f>
        <v>0</v>
      </c>
      <c r="M82" s="2798">
        <f>($M33*$C82)/$E$7</f>
        <v>0</v>
      </c>
      <c r="N82" s="2796">
        <f>($M33*$C82)+($N33*$C82)/$E$7</f>
        <v>0</v>
      </c>
      <c r="O82" s="2796">
        <f>($M33*$C82)+($N33*$C82)+($O33*$C82)/$E$7</f>
        <v>0</v>
      </c>
      <c r="P82" s="2796">
        <f>($M33*$C82)+($N33*$C82)+($O33*$C82)+($P33*$C82)/$E$7</f>
        <v>0</v>
      </c>
      <c r="Q82" s="2797">
        <f>($M33*$C82)+($N33*$C82)+($O33*$C82)+($P33*$C82)+($Q33*$C82)/$E$7</f>
        <v>0</v>
      </c>
      <c r="R82" s="2799">
        <f>($M33*$C82)+($N33*$C82)+($O33*$C82)+($P33*$C82)+($Q33*$C82)+($R33*$C82)/$E$7</f>
        <v>0</v>
      </c>
      <c r="S82" s="1113">
        <f>'11.2. ДА за периода'!S82</f>
        <v>0</v>
      </c>
      <c r="T82" s="2800">
        <f>($T33*$C82)/$E$7</f>
        <v>0</v>
      </c>
      <c r="U82" s="2796">
        <f>($T33*$C82)+($U33*$C82)/$E$7</f>
        <v>0</v>
      </c>
      <c r="V82" s="2796">
        <f>($T33*$C82)+($U33*$C82)+($V33*$C82)/$E$7</f>
        <v>0</v>
      </c>
      <c r="W82" s="2796">
        <f>($T33*$C82)+($U33*$C82)+($V33*$C82)+($W33*$C82)/$E$7</f>
        <v>0</v>
      </c>
      <c r="X82" s="2796">
        <f>($T33*$C82)+($U33*$C82)+($V33*$C82)+($W33*$C82)+($X33*$C82)/$E$7</f>
        <v>0</v>
      </c>
      <c r="Y82" s="2799">
        <f>($T33*$C82)+($U33*$C82)+($V33*$C82)+($W33*$C82)+($X33*$C82)+($Y33*$C82)/$E$7</f>
        <v>0</v>
      </c>
      <c r="Z82" s="1113">
        <f>'11.2. ДА за периода'!Z82</f>
        <v>0</v>
      </c>
      <c r="AA82" s="2800">
        <f t="shared" si="213"/>
        <v>0</v>
      </c>
      <c r="AB82" s="2796">
        <f t="shared" si="214"/>
        <v>0</v>
      </c>
      <c r="AC82" s="2796">
        <f t="shared" si="215"/>
        <v>0</v>
      </c>
      <c r="AD82" s="2796">
        <f t="shared" si="216"/>
        <v>0</v>
      </c>
      <c r="AE82" s="2796">
        <f t="shared" si="217"/>
        <v>0</v>
      </c>
      <c r="AF82" s="2797">
        <f t="shared" si="218"/>
        <v>0</v>
      </c>
      <c r="AG82" s="1113">
        <f>'11.2. ДА за периода'!AG82</f>
        <v>0</v>
      </c>
      <c r="AH82" s="2800">
        <f t="shared" si="219"/>
        <v>0</v>
      </c>
      <c r="AI82" s="2796">
        <f t="shared" si="220"/>
        <v>0</v>
      </c>
      <c r="AJ82" s="2796">
        <f t="shared" si="221"/>
        <v>0</v>
      </c>
      <c r="AK82" s="2796">
        <f t="shared" si="222"/>
        <v>0</v>
      </c>
      <c r="AL82" s="2796">
        <f t="shared" si="223"/>
        <v>0</v>
      </c>
      <c r="AM82" s="2797">
        <f t="shared" si="224"/>
        <v>0</v>
      </c>
      <c r="AN82" s="1113">
        <f>'11.2. ДА за периода'!AN82</f>
        <v>0</v>
      </c>
      <c r="AO82" s="2798">
        <f>($AO33*$C82)/$E$7</f>
        <v>0</v>
      </c>
      <c r="AP82" s="2796">
        <f>($AO33*$C82)+($AP33*$C82)/$E$7</f>
        <v>0</v>
      </c>
      <c r="AQ82" s="2796">
        <f>($AO33*$C82)+($AP33*$C82)+($AQ33*$C82)/$E$7</f>
        <v>0</v>
      </c>
      <c r="AR82" s="2796">
        <f>($AO33*$C82)+($AP33*$C82)+($AQ33*$C82)+($AR33*$C82)/$E$7</f>
        <v>0</v>
      </c>
      <c r="AS82" s="2796">
        <f>($AO33*$C82)+($AP33*$C82)+($AQ33*$C82)+($AR33*$C82)+($AS33*$C82)/$E$7</f>
        <v>0</v>
      </c>
      <c r="AT82" s="2799">
        <f>($AO33*$C82)+($AP33*$C82)+($AQ33*$C82)+($AR33*$C82)+($AS33*$C82)+($AT33*$C82)/$E$7</f>
        <v>0</v>
      </c>
      <c r="AU82" s="4488"/>
      <c r="AV82" s="4504">
        <f t="shared" si="162"/>
        <v>0</v>
      </c>
      <c r="AW82" s="4504">
        <f t="shared" si="163"/>
        <v>0</v>
      </c>
      <c r="AX82" s="4504">
        <f t="shared" si="164"/>
        <v>0</v>
      </c>
      <c r="AY82" s="4504">
        <f t="shared" si="165"/>
        <v>0</v>
      </c>
      <c r="AZ82" s="4504">
        <f t="shared" si="166"/>
        <v>0</v>
      </c>
      <c r="BA82" s="4504">
        <f t="shared" si="167"/>
        <v>0</v>
      </c>
      <c r="BB82" s="4504">
        <f t="shared" si="168"/>
        <v>0</v>
      </c>
      <c r="BC82" s="4504">
        <f t="shared" si="169"/>
        <v>0</v>
      </c>
      <c r="BD82" s="4504">
        <f t="shared" si="170"/>
        <v>0</v>
      </c>
      <c r="BE82" s="4504">
        <f t="shared" si="171"/>
        <v>0</v>
      </c>
      <c r="BF82" s="4504">
        <f t="shared" si="172"/>
        <v>0</v>
      </c>
      <c r="BG82" s="4504">
        <f t="shared" si="173"/>
        <v>0</v>
      </c>
      <c r="BH82" s="4504">
        <f t="shared" si="174"/>
        <v>0</v>
      </c>
      <c r="BI82" s="4504">
        <f t="shared" si="175"/>
        <v>0</v>
      </c>
      <c r="BJ82" s="4504">
        <f t="shared" si="176"/>
        <v>0</v>
      </c>
      <c r="BK82" s="4504">
        <f t="shared" si="177"/>
        <v>0</v>
      </c>
      <c r="BL82" s="4504">
        <f t="shared" si="178"/>
        <v>0</v>
      </c>
      <c r="BM82" s="4504">
        <f t="shared" si="179"/>
        <v>0</v>
      </c>
      <c r="BN82" s="4504">
        <f t="shared" si="180"/>
        <v>0</v>
      </c>
      <c r="BO82" s="4504">
        <f t="shared" si="181"/>
        <v>0</v>
      </c>
      <c r="BP82" s="4504">
        <f t="shared" si="182"/>
        <v>0</v>
      </c>
      <c r="BQ82" s="4504">
        <f t="shared" si="183"/>
        <v>0</v>
      </c>
      <c r="BR82" s="4504">
        <f t="shared" si="184"/>
        <v>0</v>
      </c>
      <c r="BS82" s="4504">
        <f t="shared" si="185"/>
        <v>0</v>
      </c>
      <c r="BT82" s="4504">
        <f t="shared" si="186"/>
        <v>0</v>
      </c>
      <c r="BU82" s="4504">
        <f t="shared" si="187"/>
        <v>0</v>
      </c>
      <c r="BV82" s="4504">
        <f t="shared" si="188"/>
        <v>0</v>
      </c>
      <c r="BW82" s="4504">
        <f t="shared" si="189"/>
        <v>0</v>
      </c>
      <c r="BX82" s="4504">
        <f t="shared" si="190"/>
        <v>0</v>
      </c>
      <c r="BY82" s="4504">
        <f t="shared" si="191"/>
        <v>0</v>
      </c>
      <c r="BZ82" s="4504">
        <f t="shared" si="192"/>
        <v>0</v>
      </c>
      <c r="CA82" s="4504">
        <f t="shared" si="193"/>
        <v>0</v>
      </c>
      <c r="CB82" s="4504">
        <f t="shared" si="194"/>
        <v>0</v>
      </c>
      <c r="CC82" s="4504">
        <f t="shared" si="195"/>
        <v>0</v>
      </c>
      <c r="CD82" s="4504">
        <f t="shared" si="196"/>
        <v>0</v>
      </c>
      <c r="CE82" s="4504">
        <f t="shared" si="197"/>
        <v>0</v>
      </c>
      <c r="CF82" s="4504">
        <f t="shared" si="198"/>
        <v>0</v>
      </c>
      <c r="CG82" s="4504">
        <f t="shared" si="199"/>
        <v>0</v>
      </c>
      <c r="CH82" s="4504">
        <f t="shared" si="200"/>
        <v>0</v>
      </c>
      <c r="CI82" s="4504">
        <f t="shared" si="201"/>
        <v>0</v>
      </c>
      <c r="CJ82" s="4504">
        <f t="shared" si="202"/>
        <v>0</v>
      </c>
      <c r="CK82" s="4504">
        <f t="shared" si="203"/>
        <v>0</v>
      </c>
    </row>
    <row r="83" spans="1:89">
      <c r="A83" s="2739"/>
      <c r="B83" s="3627">
        <v>20402</v>
      </c>
      <c r="C83" s="3600"/>
      <c r="D83" s="2731" t="s">
        <v>433</v>
      </c>
      <c r="E83" s="2743">
        <f>SUM(E84:E91)</f>
        <v>5.8032797581283058</v>
      </c>
      <c r="F83" s="2744">
        <f t="shared" ref="F83:AT83" si="225">SUM(F84:F91)</f>
        <v>4.2975000000000003</v>
      </c>
      <c r="G83" s="2745">
        <f t="shared" si="225"/>
        <v>14.005000000000001</v>
      </c>
      <c r="H83" s="2745">
        <f t="shared" si="225"/>
        <v>24.905000000000005</v>
      </c>
      <c r="I83" s="2745">
        <f t="shared" si="225"/>
        <v>35.994999999999997</v>
      </c>
      <c r="J83" s="2745">
        <f t="shared" si="225"/>
        <v>47.214999999999996</v>
      </c>
      <c r="K83" s="2792">
        <f t="shared" si="225"/>
        <v>58.475000000000009</v>
      </c>
      <c r="L83" s="2747">
        <f t="shared" si="225"/>
        <v>9.1790699999999989E-2</v>
      </c>
      <c r="M83" s="2744">
        <f t="shared" si="225"/>
        <v>0.2</v>
      </c>
      <c r="N83" s="2745">
        <f t="shared" si="225"/>
        <v>0.45</v>
      </c>
      <c r="O83" s="2745">
        <f t="shared" si="225"/>
        <v>0.55000000000000004</v>
      </c>
      <c r="P83" s="2745">
        <f t="shared" si="225"/>
        <v>0.65</v>
      </c>
      <c r="Q83" s="2745">
        <f t="shared" si="225"/>
        <v>0.75</v>
      </c>
      <c r="R83" s="2746">
        <f t="shared" si="225"/>
        <v>0.85</v>
      </c>
      <c r="S83" s="2747">
        <f t="shared" si="225"/>
        <v>0</v>
      </c>
      <c r="T83" s="2748">
        <f t="shared" si="225"/>
        <v>0.24</v>
      </c>
      <c r="U83" s="2745">
        <f t="shared" si="225"/>
        <v>1.08</v>
      </c>
      <c r="V83" s="2745">
        <f t="shared" si="225"/>
        <v>2.2799999999999998</v>
      </c>
      <c r="W83" s="2745">
        <f t="shared" si="225"/>
        <v>3.48</v>
      </c>
      <c r="X83" s="2745">
        <f t="shared" si="225"/>
        <v>4.68</v>
      </c>
      <c r="Y83" s="2746">
        <f t="shared" si="225"/>
        <v>5.88</v>
      </c>
      <c r="Z83" s="2747">
        <f t="shared" si="225"/>
        <v>0</v>
      </c>
      <c r="AA83" s="2748">
        <f t="shared" si="225"/>
        <v>0</v>
      </c>
      <c r="AB83" s="2745">
        <f t="shared" si="225"/>
        <v>0</v>
      </c>
      <c r="AC83" s="2745">
        <f t="shared" si="225"/>
        <v>0</v>
      </c>
      <c r="AD83" s="2745">
        <f t="shared" si="225"/>
        <v>0</v>
      </c>
      <c r="AE83" s="2745">
        <f t="shared" si="225"/>
        <v>0</v>
      </c>
      <c r="AF83" s="2746">
        <f t="shared" si="225"/>
        <v>0</v>
      </c>
      <c r="AG83" s="2747">
        <f t="shared" si="225"/>
        <v>0.29204694187169278</v>
      </c>
      <c r="AH83" s="2748">
        <f t="shared" si="225"/>
        <v>0.06</v>
      </c>
      <c r="AI83" s="2745">
        <f t="shared" si="225"/>
        <v>2.62</v>
      </c>
      <c r="AJ83" s="2745">
        <f t="shared" si="225"/>
        <v>6.07</v>
      </c>
      <c r="AK83" s="2745">
        <f t="shared" si="225"/>
        <v>7.92</v>
      </c>
      <c r="AL83" s="2745">
        <f t="shared" si="225"/>
        <v>9.9699999999999989</v>
      </c>
      <c r="AM83" s="2746">
        <f t="shared" si="225"/>
        <v>12.27</v>
      </c>
      <c r="AN83" s="2747">
        <f t="shared" si="225"/>
        <v>0</v>
      </c>
      <c r="AO83" s="2748">
        <f t="shared" si="225"/>
        <v>0</v>
      </c>
      <c r="AP83" s="2745">
        <f t="shared" si="225"/>
        <v>0</v>
      </c>
      <c r="AQ83" s="2745">
        <f t="shared" si="225"/>
        <v>0</v>
      </c>
      <c r="AR83" s="2745">
        <f t="shared" si="225"/>
        <v>0</v>
      </c>
      <c r="AS83" s="2745">
        <f t="shared" si="225"/>
        <v>0</v>
      </c>
      <c r="AT83" s="2746">
        <f t="shared" si="225"/>
        <v>0</v>
      </c>
      <c r="AU83" s="4488"/>
      <c r="AV83" s="4504">
        <f t="shared" si="162"/>
        <v>2.9671698246413571</v>
      </c>
      <c r="AW83" s="4504">
        <f t="shared" si="163"/>
        <v>2.1972768594407492</v>
      </c>
      <c r="AX83" s="4504">
        <f t="shared" si="164"/>
        <v>7.1606427961530406</v>
      </c>
      <c r="AY83" s="4504">
        <f t="shared" si="165"/>
        <v>12.733724301191824</v>
      </c>
      <c r="AZ83" s="4504">
        <f t="shared" si="166"/>
        <v>18.403951263657884</v>
      </c>
      <c r="BA83" s="4504">
        <f t="shared" si="167"/>
        <v>24.140646170679453</v>
      </c>
      <c r="BB83" s="4504">
        <f t="shared" si="168"/>
        <v>29.897792752948881</v>
      </c>
      <c r="BC83" s="4504">
        <f t="shared" si="169"/>
        <v>4.693183967931773E-2</v>
      </c>
      <c r="BD83" s="4504">
        <f t="shared" si="170"/>
        <v>0.10225837623924371</v>
      </c>
      <c r="BE83" s="4504">
        <f t="shared" si="171"/>
        <v>0.23008134653829834</v>
      </c>
      <c r="BF83" s="4504">
        <f t="shared" si="172"/>
        <v>0.28121053465792017</v>
      </c>
      <c r="BG83" s="4504">
        <f t="shared" si="173"/>
        <v>0.33233972277754203</v>
      </c>
      <c r="BH83" s="4504">
        <f t="shared" si="174"/>
        <v>0.38346891089716389</v>
      </c>
      <c r="BI83" s="4504">
        <f t="shared" si="175"/>
        <v>0.4345980990167857</v>
      </c>
      <c r="BJ83" s="4504">
        <f t="shared" si="176"/>
        <v>0</v>
      </c>
      <c r="BK83" s="4504">
        <f t="shared" si="177"/>
        <v>0.12271005148709244</v>
      </c>
      <c r="BL83" s="4504">
        <f t="shared" si="178"/>
        <v>0.55219523169191598</v>
      </c>
      <c r="BM83" s="4504">
        <f t="shared" si="179"/>
        <v>1.165745489127378</v>
      </c>
      <c r="BN83" s="4504">
        <f t="shared" si="180"/>
        <v>1.7792957465628403</v>
      </c>
      <c r="BO83" s="4504">
        <f t="shared" si="181"/>
        <v>2.3928460039983026</v>
      </c>
      <c r="BP83" s="4504">
        <f t="shared" si="182"/>
        <v>3.0063962614337645</v>
      </c>
      <c r="BQ83" s="4504">
        <f t="shared" si="183"/>
        <v>0</v>
      </c>
      <c r="BR83" s="4504">
        <f t="shared" si="184"/>
        <v>0</v>
      </c>
      <c r="BS83" s="4504">
        <f t="shared" si="185"/>
        <v>0</v>
      </c>
      <c r="BT83" s="4504">
        <f t="shared" si="186"/>
        <v>0</v>
      </c>
      <c r="BU83" s="4504">
        <f t="shared" si="187"/>
        <v>0</v>
      </c>
      <c r="BV83" s="4504">
        <f t="shared" si="188"/>
        <v>0</v>
      </c>
      <c r="BW83" s="4504">
        <f t="shared" si="189"/>
        <v>0</v>
      </c>
      <c r="BX83" s="4504">
        <f t="shared" si="190"/>
        <v>0.14932123030718047</v>
      </c>
      <c r="BY83" s="4504">
        <f t="shared" si="191"/>
        <v>3.0677512871773109E-2</v>
      </c>
      <c r="BZ83" s="4504">
        <f t="shared" si="192"/>
        <v>1.3395847287340925</v>
      </c>
      <c r="CA83" s="4504">
        <f t="shared" si="193"/>
        <v>3.1035417188610466</v>
      </c>
      <c r="CB83" s="4504">
        <f t="shared" si="194"/>
        <v>4.0494316990740504</v>
      </c>
      <c r="CC83" s="4504">
        <f t="shared" si="195"/>
        <v>5.097580055526298</v>
      </c>
      <c r="CD83" s="4504">
        <f t="shared" si="196"/>
        <v>6.273551382277601</v>
      </c>
      <c r="CE83" s="4504">
        <f t="shared" si="197"/>
        <v>0</v>
      </c>
      <c r="CF83" s="4504">
        <f t="shared" si="198"/>
        <v>0</v>
      </c>
      <c r="CG83" s="4504">
        <f t="shared" si="199"/>
        <v>0</v>
      </c>
      <c r="CH83" s="4504">
        <f t="shared" si="200"/>
        <v>0</v>
      </c>
      <c r="CI83" s="4504">
        <f t="shared" si="201"/>
        <v>0</v>
      </c>
      <c r="CJ83" s="4504">
        <f t="shared" si="202"/>
        <v>0</v>
      </c>
      <c r="CK83" s="4504">
        <f t="shared" si="203"/>
        <v>0</v>
      </c>
    </row>
    <row r="84" spans="1:89" s="67" customFormat="1">
      <c r="A84" s="2793"/>
      <c r="B84" s="3628">
        <v>2040201</v>
      </c>
      <c r="C84" s="3601">
        <v>0.02</v>
      </c>
      <c r="D84" s="2749" t="s">
        <v>738</v>
      </c>
      <c r="E84" s="2727">
        <f>'11.2. ДА за периода'!E84</f>
        <v>0</v>
      </c>
      <c r="F84" s="2795">
        <f t="shared" ref="F84:F93" si="226">($F35*$C84)/$E$7</f>
        <v>0</v>
      </c>
      <c r="G84" s="2796">
        <f t="shared" ref="G84:G93" si="227">($F35*$C84)+($G35*$C84)/$E$7</f>
        <v>0</v>
      </c>
      <c r="H84" s="2796">
        <f t="shared" ref="H84:H93" si="228">($F35*$C84)+($G35*$C84)+($H35*$C84)/$E$7</f>
        <v>0</v>
      </c>
      <c r="I84" s="2796">
        <f t="shared" ref="I84:I93" si="229">($F35*$C84)+($G35*$C84)+($H35*$C84)+($I35*$C84)/$E$7</f>
        <v>0</v>
      </c>
      <c r="J84" s="2796">
        <f t="shared" ref="J84:J93" si="230">($F35*$C84)+($G35*$C84)+($H35*$C84)+($I35*$C84)+($J35*$C84)/$E$7</f>
        <v>0</v>
      </c>
      <c r="K84" s="2797">
        <f t="shared" ref="K84:K93" si="231">($F35*$C84)+($G35*$C84)+($H35*$C84)+($I35*$C84)+($J35*$C84)+($K35*$C84)/$E$7</f>
        <v>0</v>
      </c>
      <c r="L84" s="2727">
        <f>'11.2. ДА за периода'!L84</f>
        <v>0</v>
      </c>
      <c r="M84" s="2798">
        <f t="shared" ref="M84:M93" si="232">($M35*$C84)/$E$7</f>
        <v>0</v>
      </c>
      <c r="N84" s="2796">
        <f t="shared" ref="N84:N93" si="233">($M35*$C84)+($N35*$C84)/$E$7</f>
        <v>0</v>
      </c>
      <c r="O84" s="2796">
        <f t="shared" ref="O84:O93" si="234">($M35*$C84)+($N35*$C84)+($O35*$C84)/$E$7</f>
        <v>0</v>
      </c>
      <c r="P84" s="2796">
        <f t="shared" ref="P84:P93" si="235">($M35*$C84)+($N35*$C84)+($O35*$C84)+($P35*$C84)/$E$7</f>
        <v>0</v>
      </c>
      <c r="Q84" s="2797">
        <f t="shared" ref="Q84:Q93" si="236">($M35*$C84)+($N35*$C84)+($O35*$C84)+($P35*$C84)+($Q35*$C84)/$E$7</f>
        <v>0</v>
      </c>
      <c r="R84" s="2799">
        <f t="shared" ref="R84:R93" si="237">($M35*$C84)+($N35*$C84)+($O35*$C84)+($P35*$C84)+($Q35*$C84)+($R35*$C84)/$E$7</f>
        <v>0</v>
      </c>
      <c r="S84" s="1113">
        <f>'11.2. ДА за периода'!S84</f>
        <v>0</v>
      </c>
      <c r="T84" s="2800">
        <f t="shared" ref="T84:T93" si="238">($T35*$C84)/$E$7</f>
        <v>0</v>
      </c>
      <c r="U84" s="2796">
        <f t="shared" ref="U84:U93" si="239">($T35*$C84)+($U35*$C84)/$E$7</f>
        <v>0</v>
      </c>
      <c r="V84" s="2796">
        <f t="shared" ref="V84:V93" si="240">($T35*$C84)+($U35*$C84)+($V35*$C84)/$E$7</f>
        <v>0</v>
      </c>
      <c r="W84" s="2796">
        <f t="shared" ref="W84:W93" si="241">($T35*$C84)+($U35*$C84)+($V35*$C84)+($W35*$C84)/$E$7</f>
        <v>0</v>
      </c>
      <c r="X84" s="2796">
        <f t="shared" ref="X84:X93" si="242">($T35*$C84)+($U35*$C84)+($V35*$C84)+($W35*$C84)+($X35*$C84)/$E$7</f>
        <v>0</v>
      </c>
      <c r="Y84" s="2799">
        <f t="shared" ref="Y84:Y93" si="243">($T35*$C84)+($U35*$C84)+($V35*$C84)+($W35*$C84)+($X35*$C84)+($Y35*$C84)/$E$7</f>
        <v>0</v>
      </c>
      <c r="Z84" s="1113">
        <f>'11.2. ДА за периода'!Z84</f>
        <v>0</v>
      </c>
      <c r="AA84" s="2800">
        <f t="shared" ref="AA84:AA93" si="244">(AA35*$C84)/$E$7</f>
        <v>0</v>
      </c>
      <c r="AB84" s="2796">
        <f t="shared" ref="AB84:AB93" si="245">(AA35*$C84)+(AB35*$C84)/$E$7</f>
        <v>0</v>
      </c>
      <c r="AC84" s="2796">
        <f t="shared" ref="AC84:AC93" si="246">(AA35*$C84)+(AB35*$C84)+(AC35*$C84)/$E$7</f>
        <v>0</v>
      </c>
      <c r="AD84" s="2796">
        <f t="shared" ref="AD84:AD93" si="247">(AA35*$C84)+(AB35*$C84)+(AC35*$C84)+(AD35*$C84)/$E$7</f>
        <v>0</v>
      </c>
      <c r="AE84" s="2796">
        <f t="shared" ref="AE84:AE93" si="248">(AA35*$C84)+(AB35*$C84)+(AC35*$C84)+(AD35*$C84)+(AE35*$C84)/$E$7</f>
        <v>0</v>
      </c>
      <c r="AF84" s="2797">
        <f t="shared" ref="AF84:AF93" si="249">(AA35*$C84)+(AB35*$C84)+(AC35*$C84)+(AD35*$C84)+(AE35*$C84)+(AF35*$C84)/$E$7</f>
        <v>0</v>
      </c>
      <c r="AG84" s="1113">
        <f>'11.2. ДА за периода'!AG84</f>
        <v>0</v>
      </c>
      <c r="AH84" s="2800">
        <f t="shared" ref="AH84:AH93" si="250">(AH35*$C84)/$E$7</f>
        <v>0</v>
      </c>
      <c r="AI84" s="2796">
        <f t="shared" ref="AI84:AI93" si="251">(AH35*$C84)+(AI35*$C84)/$E$7</f>
        <v>0</v>
      </c>
      <c r="AJ84" s="2796">
        <f t="shared" ref="AJ84:AJ93" si="252">(AH35*$C84)+(AI35*$C84)+(AJ35*$C84)/$E$7</f>
        <v>0</v>
      </c>
      <c r="AK84" s="2796">
        <f t="shared" ref="AK84:AK93" si="253">(AH35*$C84)+(AI35*$C84)+(AJ35*$C84)+(AK35*$C84)/$E$7</f>
        <v>0</v>
      </c>
      <c r="AL84" s="2796">
        <f t="shared" ref="AL84:AL93" si="254">(AH35*$C84)+(AI35*$C84)+(AJ35*$C84)+(AK35*$C84)+(AL35*$C84)/$E$7</f>
        <v>0</v>
      </c>
      <c r="AM84" s="2797">
        <f t="shared" ref="AM84:AM93" si="255">(AH35*$C84)+(AI35*$C84)+(AJ35*$C84)+(AK35*$C84)+(AL35*$C84)+(AM35*$C84)/$E$7</f>
        <v>0</v>
      </c>
      <c r="AN84" s="1113">
        <f>'11.2. ДА за периода'!AN84</f>
        <v>0</v>
      </c>
      <c r="AO84" s="2798">
        <f t="shared" ref="AO84:AO93" si="256">($AO35*$C84)/$E$7</f>
        <v>0</v>
      </c>
      <c r="AP84" s="2796">
        <f t="shared" ref="AP84:AP93" si="257">($AO35*$C84)+($AP35*$C84)/$E$7</f>
        <v>0</v>
      </c>
      <c r="AQ84" s="2796">
        <f t="shared" ref="AQ84:AQ93" si="258">($AO35*$C84)+($AP35*$C84)+($AQ35*$C84)/$E$7</f>
        <v>0</v>
      </c>
      <c r="AR84" s="2796">
        <f t="shared" ref="AR84:AR93" si="259">($AO35*$C84)+($AP35*$C84)+($AQ35*$C84)+($AR35*$C84)/$E$7</f>
        <v>0</v>
      </c>
      <c r="AS84" s="2796">
        <f t="shared" ref="AS84:AS93" si="260">($AO35*$C84)+($AP35*$C84)+($AQ35*$C84)+($AR35*$C84)+($AS35*$C84)/$E$7</f>
        <v>0</v>
      </c>
      <c r="AT84" s="2799">
        <f t="shared" ref="AT84:AT93" si="261">($AO35*$C84)+($AP35*$C84)+($AQ35*$C84)+($AR35*$C84)+($AS35*$C84)+($AT35*$C84)/$E$7</f>
        <v>0</v>
      </c>
      <c r="AU84" s="4488"/>
      <c r="AV84" s="4504">
        <f t="shared" si="162"/>
        <v>0</v>
      </c>
      <c r="AW84" s="4504">
        <f t="shared" si="163"/>
        <v>0</v>
      </c>
      <c r="AX84" s="4504">
        <f t="shared" si="164"/>
        <v>0</v>
      </c>
      <c r="AY84" s="4504">
        <f t="shared" si="165"/>
        <v>0</v>
      </c>
      <c r="AZ84" s="4504">
        <f t="shared" si="166"/>
        <v>0</v>
      </c>
      <c r="BA84" s="4504">
        <f t="shared" si="167"/>
        <v>0</v>
      </c>
      <c r="BB84" s="4504">
        <f t="shared" si="168"/>
        <v>0</v>
      </c>
      <c r="BC84" s="4504">
        <f t="shared" si="169"/>
        <v>0</v>
      </c>
      <c r="BD84" s="4504">
        <f t="shared" si="170"/>
        <v>0</v>
      </c>
      <c r="BE84" s="4504">
        <f t="shared" si="171"/>
        <v>0</v>
      </c>
      <c r="BF84" s="4504">
        <f t="shared" si="172"/>
        <v>0</v>
      </c>
      <c r="BG84" s="4504">
        <f t="shared" si="173"/>
        <v>0</v>
      </c>
      <c r="BH84" s="4504">
        <f t="shared" si="174"/>
        <v>0</v>
      </c>
      <c r="BI84" s="4504">
        <f t="shared" si="175"/>
        <v>0</v>
      </c>
      <c r="BJ84" s="4504">
        <f t="shared" si="176"/>
        <v>0</v>
      </c>
      <c r="BK84" s="4504">
        <f t="shared" si="177"/>
        <v>0</v>
      </c>
      <c r="BL84" s="4504">
        <f t="shared" si="178"/>
        <v>0</v>
      </c>
      <c r="BM84" s="4504">
        <f t="shared" si="179"/>
        <v>0</v>
      </c>
      <c r="BN84" s="4504">
        <f t="shared" si="180"/>
        <v>0</v>
      </c>
      <c r="BO84" s="4504">
        <f t="shared" si="181"/>
        <v>0</v>
      </c>
      <c r="BP84" s="4504">
        <f t="shared" si="182"/>
        <v>0</v>
      </c>
      <c r="BQ84" s="4504">
        <f t="shared" si="183"/>
        <v>0</v>
      </c>
      <c r="BR84" s="4504">
        <f t="shared" si="184"/>
        <v>0</v>
      </c>
      <c r="BS84" s="4504">
        <f t="shared" si="185"/>
        <v>0</v>
      </c>
      <c r="BT84" s="4504">
        <f t="shared" si="186"/>
        <v>0</v>
      </c>
      <c r="BU84" s="4504">
        <f t="shared" si="187"/>
        <v>0</v>
      </c>
      <c r="BV84" s="4504">
        <f t="shared" si="188"/>
        <v>0</v>
      </c>
      <c r="BW84" s="4504">
        <f t="shared" si="189"/>
        <v>0</v>
      </c>
      <c r="BX84" s="4504">
        <f t="shared" si="190"/>
        <v>0</v>
      </c>
      <c r="BY84" s="4504">
        <f t="shared" si="191"/>
        <v>0</v>
      </c>
      <c r="BZ84" s="4504">
        <f t="shared" si="192"/>
        <v>0</v>
      </c>
      <c r="CA84" s="4504">
        <f t="shared" si="193"/>
        <v>0</v>
      </c>
      <c r="CB84" s="4504">
        <f t="shared" si="194"/>
        <v>0</v>
      </c>
      <c r="CC84" s="4504">
        <f t="shared" si="195"/>
        <v>0</v>
      </c>
      <c r="CD84" s="4504">
        <f t="shared" si="196"/>
        <v>0</v>
      </c>
      <c r="CE84" s="4504">
        <f t="shared" si="197"/>
        <v>0</v>
      </c>
      <c r="CF84" s="4504">
        <f t="shared" si="198"/>
        <v>0</v>
      </c>
      <c r="CG84" s="4504">
        <f t="shared" si="199"/>
        <v>0</v>
      </c>
      <c r="CH84" s="4504">
        <f t="shared" si="200"/>
        <v>0</v>
      </c>
      <c r="CI84" s="4504">
        <f t="shared" si="201"/>
        <v>0</v>
      </c>
      <c r="CJ84" s="4504">
        <f t="shared" si="202"/>
        <v>0</v>
      </c>
      <c r="CK84" s="4504">
        <f t="shared" si="203"/>
        <v>0</v>
      </c>
    </row>
    <row r="85" spans="1:89" s="67" customFormat="1">
      <c r="A85" s="2793"/>
      <c r="B85" s="3628">
        <v>2040202</v>
      </c>
      <c r="C85" s="3601">
        <v>0.02</v>
      </c>
      <c r="D85" s="2749" t="s">
        <v>739</v>
      </c>
      <c r="E85" s="2727">
        <f>'11.2. ДА за периода'!E85</f>
        <v>0</v>
      </c>
      <c r="F85" s="2795">
        <f t="shared" si="226"/>
        <v>0.02</v>
      </c>
      <c r="G85" s="2796">
        <f t="shared" si="227"/>
        <v>7.0000000000000007E-2</v>
      </c>
      <c r="H85" s="2796">
        <f t="shared" si="228"/>
        <v>0.13</v>
      </c>
      <c r="I85" s="2796">
        <f t="shared" si="229"/>
        <v>0.19</v>
      </c>
      <c r="J85" s="2796">
        <f t="shared" si="230"/>
        <v>0.25</v>
      </c>
      <c r="K85" s="2797">
        <f t="shared" si="231"/>
        <v>0.31000000000000005</v>
      </c>
      <c r="L85" s="2727">
        <f>'11.2. ДА за периода'!L85</f>
        <v>0</v>
      </c>
      <c r="M85" s="2798">
        <f t="shared" si="232"/>
        <v>0</v>
      </c>
      <c r="N85" s="2796">
        <f t="shared" si="233"/>
        <v>0</v>
      </c>
      <c r="O85" s="2796">
        <f t="shared" si="234"/>
        <v>0</v>
      </c>
      <c r="P85" s="2796">
        <f t="shared" si="235"/>
        <v>0</v>
      </c>
      <c r="Q85" s="2797">
        <f t="shared" si="236"/>
        <v>0</v>
      </c>
      <c r="R85" s="2799">
        <f t="shared" si="237"/>
        <v>0</v>
      </c>
      <c r="S85" s="1113">
        <f>'11.2. ДА за периода'!S85</f>
        <v>0</v>
      </c>
      <c r="T85" s="2800">
        <f t="shared" si="238"/>
        <v>0</v>
      </c>
      <c r="U85" s="2796">
        <f t="shared" si="239"/>
        <v>0</v>
      </c>
      <c r="V85" s="2796">
        <f t="shared" si="240"/>
        <v>0</v>
      </c>
      <c r="W85" s="2796">
        <f t="shared" si="241"/>
        <v>0</v>
      </c>
      <c r="X85" s="2796">
        <f t="shared" si="242"/>
        <v>0</v>
      </c>
      <c r="Y85" s="2799">
        <f t="shared" si="243"/>
        <v>0</v>
      </c>
      <c r="Z85" s="1113">
        <f>'11.2. ДА за периода'!Z85</f>
        <v>0</v>
      </c>
      <c r="AA85" s="2800">
        <f t="shared" si="244"/>
        <v>0</v>
      </c>
      <c r="AB85" s="2796">
        <f t="shared" si="245"/>
        <v>0</v>
      </c>
      <c r="AC85" s="2796">
        <f t="shared" si="246"/>
        <v>0</v>
      </c>
      <c r="AD85" s="2796">
        <f t="shared" si="247"/>
        <v>0</v>
      </c>
      <c r="AE85" s="2796">
        <f t="shared" si="248"/>
        <v>0</v>
      </c>
      <c r="AF85" s="2797">
        <f t="shared" si="249"/>
        <v>0</v>
      </c>
      <c r="AG85" s="1113">
        <f>'11.2. ДА за периода'!AG85</f>
        <v>0</v>
      </c>
      <c r="AH85" s="2800">
        <f t="shared" si="250"/>
        <v>0</v>
      </c>
      <c r="AI85" s="2796">
        <f t="shared" si="251"/>
        <v>0.75</v>
      </c>
      <c r="AJ85" s="2796">
        <f t="shared" si="252"/>
        <v>1.7</v>
      </c>
      <c r="AK85" s="2796">
        <f t="shared" si="253"/>
        <v>2.0499999999999998</v>
      </c>
      <c r="AL85" s="2796">
        <f t="shared" si="254"/>
        <v>2.1999999999999997</v>
      </c>
      <c r="AM85" s="2797">
        <f t="shared" si="255"/>
        <v>2.1999999999999997</v>
      </c>
      <c r="AN85" s="1113">
        <f>'11.2. ДА за периода'!AN85</f>
        <v>0</v>
      </c>
      <c r="AO85" s="2798">
        <f t="shared" si="256"/>
        <v>0</v>
      </c>
      <c r="AP85" s="2796">
        <f t="shared" si="257"/>
        <v>0</v>
      </c>
      <c r="AQ85" s="2796">
        <f t="shared" si="258"/>
        <v>0</v>
      </c>
      <c r="AR85" s="2796">
        <f t="shared" si="259"/>
        <v>0</v>
      </c>
      <c r="AS85" s="2796">
        <f t="shared" si="260"/>
        <v>0</v>
      </c>
      <c r="AT85" s="2799">
        <f t="shared" si="261"/>
        <v>0</v>
      </c>
      <c r="AU85" s="4488"/>
      <c r="AV85" s="4504">
        <f t="shared" si="162"/>
        <v>0</v>
      </c>
      <c r="AW85" s="4504">
        <f t="shared" si="163"/>
        <v>1.022583762392437E-2</v>
      </c>
      <c r="AX85" s="4504">
        <f t="shared" si="164"/>
        <v>3.5790431683735295E-2</v>
      </c>
      <c r="AY85" s="4504">
        <f t="shared" si="165"/>
        <v>6.6467944555508404E-2</v>
      </c>
      <c r="AZ85" s="4504">
        <f t="shared" si="166"/>
        <v>9.714545742728152E-2</v>
      </c>
      <c r="BA85" s="4504">
        <f t="shared" si="167"/>
        <v>0.12782297029905462</v>
      </c>
      <c r="BB85" s="4504">
        <f t="shared" si="168"/>
        <v>0.15850048317082777</v>
      </c>
      <c r="BC85" s="4504">
        <f t="shared" si="169"/>
        <v>0</v>
      </c>
      <c r="BD85" s="4504">
        <f t="shared" si="170"/>
        <v>0</v>
      </c>
      <c r="BE85" s="4504">
        <f t="shared" si="171"/>
        <v>0</v>
      </c>
      <c r="BF85" s="4504">
        <f t="shared" si="172"/>
        <v>0</v>
      </c>
      <c r="BG85" s="4504">
        <f t="shared" si="173"/>
        <v>0</v>
      </c>
      <c r="BH85" s="4504">
        <f t="shared" si="174"/>
        <v>0</v>
      </c>
      <c r="BI85" s="4504">
        <f t="shared" si="175"/>
        <v>0</v>
      </c>
      <c r="BJ85" s="4504">
        <f t="shared" si="176"/>
        <v>0</v>
      </c>
      <c r="BK85" s="4504">
        <f t="shared" si="177"/>
        <v>0</v>
      </c>
      <c r="BL85" s="4504">
        <f t="shared" si="178"/>
        <v>0</v>
      </c>
      <c r="BM85" s="4504">
        <f t="shared" si="179"/>
        <v>0</v>
      </c>
      <c r="BN85" s="4504">
        <f t="shared" si="180"/>
        <v>0</v>
      </c>
      <c r="BO85" s="4504">
        <f t="shared" si="181"/>
        <v>0</v>
      </c>
      <c r="BP85" s="4504">
        <f t="shared" si="182"/>
        <v>0</v>
      </c>
      <c r="BQ85" s="4504">
        <f t="shared" si="183"/>
        <v>0</v>
      </c>
      <c r="BR85" s="4504">
        <f t="shared" si="184"/>
        <v>0</v>
      </c>
      <c r="BS85" s="4504">
        <f t="shared" si="185"/>
        <v>0</v>
      </c>
      <c r="BT85" s="4504">
        <f t="shared" si="186"/>
        <v>0</v>
      </c>
      <c r="BU85" s="4504">
        <f t="shared" si="187"/>
        <v>0</v>
      </c>
      <c r="BV85" s="4504">
        <f t="shared" si="188"/>
        <v>0</v>
      </c>
      <c r="BW85" s="4504">
        <f t="shared" si="189"/>
        <v>0</v>
      </c>
      <c r="BX85" s="4504">
        <f t="shared" si="190"/>
        <v>0</v>
      </c>
      <c r="BY85" s="4504">
        <f t="shared" si="191"/>
        <v>0</v>
      </c>
      <c r="BZ85" s="4504">
        <f t="shared" si="192"/>
        <v>0.38346891089716389</v>
      </c>
      <c r="CA85" s="4504">
        <f t="shared" si="193"/>
        <v>0.8691961980335714</v>
      </c>
      <c r="CB85" s="4504">
        <f t="shared" si="194"/>
        <v>1.0481483564522478</v>
      </c>
      <c r="CC85" s="4504">
        <f t="shared" si="195"/>
        <v>1.1248421386316805</v>
      </c>
      <c r="CD85" s="4504">
        <f t="shared" si="196"/>
        <v>1.1248421386316805</v>
      </c>
      <c r="CE85" s="4504">
        <f t="shared" si="197"/>
        <v>0</v>
      </c>
      <c r="CF85" s="4504">
        <f t="shared" si="198"/>
        <v>0</v>
      </c>
      <c r="CG85" s="4504">
        <f t="shared" si="199"/>
        <v>0</v>
      </c>
      <c r="CH85" s="4504">
        <f t="shared" si="200"/>
        <v>0</v>
      </c>
      <c r="CI85" s="4504">
        <f t="shared" si="201"/>
        <v>0</v>
      </c>
      <c r="CJ85" s="4504">
        <f t="shared" si="202"/>
        <v>0</v>
      </c>
      <c r="CK85" s="4504">
        <f t="shared" si="203"/>
        <v>0</v>
      </c>
    </row>
    <row r="86" spans="1:89" s="67" customFormat="1">
      <c r="A86" s="2793"/>
      <c r="B86" s="3628">
        <v>2040203</v>
      </c>
      <c r="C86" s="3601">
        <v>0.02</v>
      </c>
      <c r="D86" s="2749" t="s">
        <v>418</v>
      </c>
      <c r="E86" s="2727">
        <f>'11.2. ДА за периода'!E86</f>
        <v>0</v>
      </c>
      <c r="F86" s="2795">
        <f t="shared" si="226"/>
        <v>0</v>
      </c>
      <c r="G86" s="2796">
        <f t="shared" si="227"/>
        <v>0</v>
      </c>
      <c r="H86" s="2796">
        <f t="shared" si="228"/>
        <v>0</v>
      </c>
      <c r="I86" s="2796">
        <f t="shared" si="229"/>
        <v>0</v>
      </c>
      <c r="J86" s="2796">
        <f t="shared" si="230"/>
        <v>0</v>
      </c>
      <c r="K86" s="2797">
        <f t="shared" si="231"/>
        <v>0</v>
      </c>
      <c r="L86" s="2727">
        <f>'11.2. ДА за периода'!L86</f>
        <v>0</v>
      </c>
      <c r="M86" s="2798">
        <f t="shared" si="232"/>
        <v>0</v>
      </c>
      <c r="N86" s="2796">
        <f t="shared" si="233"/>
        <v>0</v>
      </c>
      <c r="O86" s="2796">
        <f t="shared" si="234"/>
        <v>0</v>
      </c>
      <c r="P86" s="2796">
        <f t="shared" si="235"/>
        <v>0</v>
      </c>
      <c r="Q86" s="2797">
        <f t="shared" si="236"/>
        <v>0</v>
      </c>
      <c r="R86" s="2799">
        <f t="shared" si="237"/>
        <v>0</v>
      </c>
      <c r="S86" s="1113">
        <f>'11.2. ДА за периода'!S86</f>
        <v>0</v>
      </c>
      <c r="T86" s="2800">
        <f t="shared" si="238"/>
        <v>0</v>
      </c>
      <c r="U86" s="2796">
        <f t="shared" si="239"/>
        <v>0</v>
      </c>
      <c r="V86" s="2796">
        <f t="shared" si="240"/>
        <v>0</v>
      </c>
      <c r="W86" s="2796">
        <f t="shared" si="241"/>
        <v>0</v>
      </c>
      <c r="X86" s="2796">
        <f t="shared" si="242"/>
        <v>0</v>
      </c>
      <c r="Y86" s="2799">
        <f t="shared" si="243"/>
        <v>0</v>
      </c>
      <c r="Z86" s="1113">
        <f>'11.2. ДА за периода'!Z86</f>
        <v>0</v>
      </c>
      <c r="AA86" s="2800">
        <f t="shared" si="244"/>
        <v>0</v>
      </c>
      <c r="AB86" s="2796">
        <f t="shared" si="245"/>
        <v>0</v>
      </c>
      <c r="AC86" s="2796">
        <f t="shared" si="246"/>
        <v>0</v>
      </c>
      <c r="AD86" s="2796">
        <f t="shared" si="247"/>
        <v>0</v>
      </c>
      <c r="AE86" s="2796">
        <f t="shared" si="248"/>
        <v>0</v>
      </c>
      <c r="AF86" s="2797">
        <f t="shared" si="249"/>
        <v>0</v>
      </c>
      <c r="AG86" s="1113">
        <f>'11.2. ДА за периода'!AG86</f>
        <v>0</v>
      </c>
      <c r="AH86" s="2800">
        <f t="shared" si="250"/>
        <v>0</v>
      </c>
      <c r="AI86" s="2796">
        <f t="shared" si="251"/>
        <v>0</v>
      </c>
      <c r="AJ86" s="2796">
        <f t="shared" si="252"/>
        <v>0</v>
      </c>
      <c r="AK86" s="2796">
        <f t="shared" si="253"/>
        <v>0</v>
      </c>
      <c r="AL86" s="2796">
        <f t="shared" si="254"/>
        <v>0</v>
      </c>
      <c r="AM86" s="2797">
        <f t="shared" si="255"/>
        <v>0</v>
      </c>
      <c r="AN86" s="1113">
        <f>'11.2. ДА за периода'!AN86</f>
        <v>0</v>
      </c>
      <c r="AO86" s="2798">
        <f t="shared" si="256"/>
        <v>0</v>
      </c>
      <c r="AP86" s="2796">
        <f t="shared" si="257"/>
        <v>0</v>
      </c>
      <c r="AQ86" s="2796">
        <f t="shared" si="258"/>
        <v>0</v>
      </c>
      <c r="AR86" s="2796">
        <f t="shared" si="259"/>
        <v>0</v>
      </c>
      <c r="AS86" s="2796">
        <f t="shared" si="260"/>
        <v>0</v>
      </c>
      <c r="AT86" s="2799">
        <f t="shared" si="261"/>
        <v>0</v>
      </c>
      <c r="AU86" s="4488"/>
      <c r="AV86" s="4504">
        <f t="shared" si="162"/>
        <v>0</v>
      </c>
      <c r="AW86" s="4504">
        <f t="shared" si="163"/>
        <v>0</v>
      </c>
      <c r="AX86" s="4504">
        <f t="shared" si="164"/>
        <v>0</v>
      </c>
      <c r="AY86" s="4504">
        <f t="shared" si="165"/>
        <v>0</v>
      </c>
      <c r="AZ86" s="4504">
        <f t="shared" si="166"/>
        <v>0</v>
      </c>
      <c r="BA86" s="4504">
        <f t="shared" si="167"/>
        <v>0</v>
      </c>
      <c r="BB86" s="4504">
        <f t="shared" si="168"/>
        <v>0</v>
      </c>
      <c r="BC86" s="4504">
        <f t="shared" si="169"/>
        <v>0</v>
      </c>
      <c r="BD86" s="4504">
        <f t="shared" si="170"/>
        <v>0</v>
      </c>
      <c r="BE86" s="4504">
        <f t="shared" si="171"/>
        <v>0</v>
      </c>
      <c r="BF86" s="4504">
        <f t="shared" si="172"/>
        <v>0</v>
      </c>
      <c r="BG86" s="4504">
        <f t="shared" si="173"/>
        <v>0</v>
      </c>
      <c r="BH86" s="4504">
        <f t="shared" si="174"/>
        <v>0</v>
      </c>
      <c r="BI86" s="4504">
        <f t="shared" si="175"/>
        <v>0</v>
      </c>
      <c r="BJ86" s="4504">
        <f t="shared" si="176"/>
        <v>0</v>
      </c>
      <c r="BK86" s="4504">
        <f t="shared" si="177"/>
        <v>0</v>
      </c>
      <c r="BL86" s="4504">
        <f t="shared" si="178"/>
        <v>0</v>
      </c>
      <c r="BM86" s="4504">
        <f t="shared" si="179"/>
        <v>0</v>
      </c>
      <c r="BN86" s="4504">
        <f t="shared" si="180"/>
        <v>0</v>
      </c>
      <c r="BO86" s="4504">
        <f t="shared" si="181"/>
        <v>0</v>
      </c>
      <c r="BP86" s="4504">
        <f t="shared" si="182"/>
        <v>0</v>
      </c>
      <c r="BQ86" s="4504">
        <f t="shared" si="183"/>
        <v>0</v>
      </c>
      <c r="BR86" s="4504">
        <f t="shared" si="184"/>
        <v>0</v>
      </c>
      <c r="BS86" s="4504">
        <f t="shared" si="185"/>
        <v>0</v>
      </c>
      <c r="BT86" s="4504">
        <f t="shared" si="186"/>
        <v>0</v>
      </c>
      <c r="BU86" s="4504">
        <f t="shared" si="187"/>
        <v>0</v>
      </c>
      <c r="BV86" s="4504">
        <f t="shared" si="188"/>
        <v>0</v>
      </c>
      <c r="BW86" s="4504">
        <f t="shared" si="189"/>
        <v>0</v>
      </c>
      <c r="BX86" s="4504">
        <f t="shared" si="190"/>
        <v>0</v>
      </c>
      <c r="BY86" s="4504">
        <f t="shared" si="191"/>
        <v>0</v>
      </c>
      <c r="BZ86" s="4504">
        <f t="shared" si="192"/>
        <v>0</v>
      </c>
      <c r="CA86" s="4504">
        <f t="shared" si="193"/>
        <v>0</v>
      </c>
      <c r="CB86" s="4504">
        <f t="shared" si="194"/>
        <v>0</v>
      </c>
      <c r="CC86" s="4504">
        <f t="shared" si="195"/>
        <v>0</v>
      </c>
      <c r="CD86" s="4504">
        <f t="shared" si="196"/>
        <v>0</v>
      </c>
      <c r="CE86" s="4504">
        <f t="shared" si="197"/>
        <v>0</v>
      </c>
      <c r="CF86" s="4504">
        <f t="shared" si="198"/>
        <v>0</v>
      </c>
      <c r="CG86" s="4504">
        <f t="shared" si="199"/>
        <v>0</v>
      </c>
      <c r="CH86" s="4504">
        <f t="shared" si="200"/>
        <v>0</v>
      </c>
      <c r="CI86" s="4504">
        <f t="shared" si="201"/>
        <v>0</v>
      </c>
      <c r="CJ86" s="4504">
        <f t="shared" si="202"/>
        <v>0</v>
      </c>
      <c r="CK86" s="4504">
        <f t="shared" si="203"/>
        <v>0</v>
      </c>
    </row>
    <row r="87" spans="1:89" s="67" customFormat="1">
      <c r="A87" s="2793"/>
      <c r="B87" s="3628">
        <v>2040204</v>
      </c>
      <c r="C87" s="3601">
        <v>0.02</v>
      </c>
      <c r="D87" s="2751" t="s">
        <v>419</v>
      </c>
      <c r="E87" s="2727">
        <f>'11.2. ДА за периода'!E87</f>
        <v>0</v>
      </c>
      <c r="F87" s="2795">
        <f t="shared" si="226"/>
        <v>0.02</v>
      </c>
      <c r="G87" s="2796">
        <f t="shared" si="227"/>
        <v>0.06</v>
      </c>
      <c r="H87" s="2796">
        <f t="shared" si="228"/>
        <v>0.1</v>
      </c>
      <c r="I87" s="2796">
        <f t="shared" si="229"/>
        <v>0.13999999999999999</v>
      </c>
      <c r="J87" s="2796">
        <f t="shared" si="230"/>
        <v>0.18</v>
      </c>
      <c r="K87" s="2797">
        <f t="shared" si="231"/>
        <v>0.22</v>
      </c>
      <c r="L87" s="2727">
        <f>'11.2. ДА за периода'!L87</f>
        <v>0</v>
      </c>
      <c r="M87" s="2798">
        <f t="shared" si="232"/>
        <v>0</v>
      </c>
      <c r="N87" s="2796">
        <f t="shared" si="233"/>
        <v>0</v>
      </c>
      <c r="O87" s="2796">
        <f t="shared" si="234"/>
        <v>0</v>
      </c>
      <c r="P87" s="2796">
        <f t="shared" si="235"/>
        <v>0</v>
      </c>
      <c r="Q87" s="2797">
        <f t="shared" si="236"/>
        <v>0</v>
      </c>
      <c r="R87" s="2799">
        <f t="shared" si="237"/>
        <v>0</v>
      </c>
      <c r="S87" s="1113">
        <f>'11.2. ДА за периода'!S87</f>
        <v>0</v>
      </c>
      <c r="T87" s="2800">
        <f t="shared" si="238"/>
        <v>0</v>
      </c>
      <c r="U87" s="2796">
        <f t="shared" si="239"/>
        <v>0</v>
      </c>
      <c r="V87" s="2796">
        <f t="shared" si="240"/>
        <v>0</v>
      </c>
      <c r="W87" s="2796">
        <f t="shared" si="241"/>
        <v>0</v>
      </c>
      <c r="X87" s="2796">
        <f t="shared" si="242"/>
        <v>0</v>
      </c>
      <c r="Y87" s="2799">
        <f t="shared" si="243"/>
        <v>0</v>
      </c>
      <c r="Z87" s="1113">
        <f>'11.2. ДА за периода'!Z87</f>
        <v>0</v>
      </c>
      <c r="AA87" s="2800">
        <f t="shared" si="244"/>
        <v>0</v>
      </c>
      <c r="AB87" s="2796">
        <f t="shared" si="245"/>
        <v>0</v>
      </c>
      <c r="AC87" s="2796">
        <f t="shared" si="246"/>
        <v>0</v>
      </c>
      <c r="AD87" s="2796">
        <f t="shared" si="247"/>
        <v>0</v>
      </c>
      <c r="AE87" s="2796">
        <f t="shared" si="248"/>
        <v>0</v>
      </c>
      <c r="AF87" s="2797">
        <f t="shared" si="249"/>
        <v>0</v>
      </c>
      <c r="AG87" s="1113">
        <f>'11.2. ДА за периода'!AG87</f>
        <v>0</v>
      </c>
      <c r="AH87" s="2800">
        <f t="shared" si="250"/>
        <v>0</v>
      </c>
      <c r="AI87" s="2796">
        <f t="shared" si="251"/>
        <v>0.35000000000000003</v>
      </c>
      <c r="AJ87" s="2796">
        <f t="shared" si="252"/>
        <v>0.70000000000000007</v>
      </c>
      <c r="AK87" s="2796">
        <f t="shared" si="253"/>
        <v>0.70000000000000007</v>
      </c>
      <c r="AL87" s="2796">
        <f t="shared" si="254"/>
        <v>1.1000000000000001</v>
      </c>
      <c r="AM87" s="2797">
        <f t="shared" si="255"/>
        <v>1.9</v>
      </c>
      <c r="AN87" s="1113">
        <f>'11.2. ДА за периода'!AN87</f>
        <v>0</v>
      </c>
      <c r="AO87" s="2798">
        <f t="shared" si="256"/>
        <v>0</v>
      </c>
      <c r="AP87" s="2796">
        <f t="shared" si="257"/>
        <v>0</v>
      </c>
      <c r="AQ87" s="2796">
        <f t="shared" si="258"/>
        <v>0</v>
      </c>
      <c r="AR87" s="2796">
        <f t="shared" si="259"/>
        <v>0</v>
      </c>
      <c r="AS87" s="2796">
        <f t="shared" si="260"/>
        <v>0</v>
      </c>
      <c r="AT87" s="2799">
        <f t="shared" si="261"/>
        <v>0</v>
      </c>
      <c r="AU87" s="4488"/>
      <c r="AV87" s="4504">
        <f t="shared" si="162"/>
        <v>0</v>
      </c>
      <c r="AW87" s="4504">
        <f t="shared" si="163"/>
        <v>1.022583762392437E-2</v>
      </c>
      <c r="AX87" s="4504">
        <f t="shared" si="164"/>
        <v>3.0677512871773109E-2</v>
      </c>
      <c r="AY87" s="4504">
        <f t="shared" si="165"/>
        <v>5.1129188119621853E-2</v>
      </c>
      <c r="AZ87" s="4504">
        <f t="shared" si="166"/>
        <v>7.1580863367470576E-2</v>
      </c>
      <c r="BA87" s="4504">
        <f t="shared" si="167"/>
        <v>9.203253861531932E-2</v>
      </c>
      <c r="BB87" s="4504">
        <f t="shared" si="168"/>
        <v>0.11248421386316806</v>
      </c>
      <c r="BC87" s="4504">
        <f t="shared" si="169"/>
        <v>0</v>
      </c>
      <c r="BD87" s="4504">
        <f t="shared" si="170"/>
        <v>0</v>
      </c>
      <c r="BE87" s="4504">
        <f t="shared" si="171"/>
        <v>0</v>
      </c>
      <c r="BF87" s="4504">
        <f t="shared" si="172"/>
        <v>0</v>
      </c>
      <c r="BG87" s="4504">
        <f t="shared" si="173"/>
        <v>0</v>
      </c>
      <c r="BH87" s="4504">
        <f t="shared" si="174"/>
        <v>0</v>
      </c>
      <c r="BI87" s="4504">
        <f t="shared" si="175"/>
        <v>0</v>
      </c>
      <c r="BJ87" s="4504">
        <f t="shared" si="176"/>
        <v>0</v>
      </c>
      <c r="BK87" s="4504">
        <f t="shared" si="177"/>
        <v>0</v>
      </c>
      <c r="BL87" s="4504">
        <f t="shared" si="178"/>
        <v>0</v>
      </c>
      <c r="BM87" s="4504">
        <f t="shared" si="179"/>
        <v>0</v>
      </c>
      <c r="BN87" s="4504">
        <f t="shared" si="180"/>
        <v>0</v>
      </c>
      <c r="BO87" s="4504">
        <f t="shared" si="181"/>
        <v>0</v>
      </c>
      <c r="BP87" s="4504">
        <f t="shared" si="182"/>
        <v>0</v>
      </c>
      <c r="BQ87" s="4504">
        <f t="shared" si="183"/>
        <v>0</v>
      </c>
      <c r="BR87" s="4504">
        <f t="shared" si="184"/>
        <v>0</v>
      </c>
      <c r="BS87" s="4504">
        <f t="shared" si="185"/>
        <v>0</v>
      </c>
      <c r="BT87" s="4504">
        <f t="shared" si="186"/>
        <v>0</v>
      </c>
      <c r="BU87" s="4504">
        <f t="shared" si="187"/>
        <v>0</v>
      </c>
      <c r="BV87" s="4504">
        <f t="shared" si="188"/>
        <v>0</v>
      </c>
      <c r="BW87" s="4504">
        <f t="shared" si="189"/>
        <v>0</v>
      </c>
      <c r="BX87" s="4504">
        <f t="shared" si="190"/>
        <v>0</v>
      </c>
      <c r="BY87" s="4504">
        <f t="shared" si="191"/>
        <v>0</v>
      </c>
      <c r="BZ87" s="4504">
        <f t="shared" si="192"/>
        <v>0.17895215841867648</v>
      </c>
      <c r="CA87" s="4504">
        <f t="shared" si="193"/>
        <v>0.35790431683735296</v>
      </c>
      <c r="CB87" s="4504">
        <f t="shared" si="194"/>
        <v>0.35790431683735296</v>
      </c>
      <c r="CC87" s="4504">
        <f t="shared" si="195"/>
        <v>0.56242106931584035</v>
      </c>
      <c r="CD87" s="4504">
        <f t="shared" si="196"/>
        <v>0.97145457427281512</v>
      </c>
      <c r="CE87" s="4504">
        <f t="shared" si="197"/>
        <v>0</v>
      </c>
      <c r="CF87" s="4504">
        <f t="shared" si="198"/>
        <v>0</v>
      </c>
      <c r="CG87" s="4504">
        <f t="shared" si="199"/>
        <v>0</v>
      </c>
      <c r="CH87" s="4504">
        <f t="shared" si="200"/>
        <v>0</v>
      </c>
      <c r="CI87" s="4504">
        <f t="shared" si="201"/>
        <v>0</v>
      </c>
      <c r="CJ87" s="4504">
        <f t="shared" si="202"/>
        <v>0</v>
      </c>
      <c r="CK87" s="4504">
        <f t="shared" si="203"/>
        <v>0</v>
      </c>
    </row>
    <row r="88" spans="1:89" s="67" customFormat="1">
      <c r="A88" s="2793"/>
      <c r="B88" s="3628">
        <v>2040205</v>
      </c>
      <c r="C88" s="3601">
        <v>0.02</v>
      </c>
      <c r="D88" s="2749" t="s">
        <v>420</v>
      </c>
      <c r="E88" s="2727">
        <f>'11.2. ДА за периода'!E88</f>
        <v>5.8032797581283058</v>
      </c>
      <c r="F88" s="2795">
        <f t="shared" si="226"/>
        <v>4.1475</v>
      </c>
      <c r="G88" s="2796">
        <f t="shared" si="227"/>
        <v>13.455</v>
      </c>
      <c r="H88" s="2796">
        <f t="shared" si="228"/>
        <v>23.855000000000004</v>
      </c>
      <c r="I88" s="2796">
        <f t="shared" si="229"/>
        <v>34.445</v>
      </c>
      <c r="J88" s="2796">
        <f t="shared" si="230"/>
        <v>45.164999999999999</v>
      </c>
      <c r="K88" s="2797">
        <f t="shared" si="231"/>
        <v>55.925000000000004</v>
      </c>
      <c r="L88" s="2727">
        <f>'11.2. ДА за периода'!L88</f>
        <v>0</v>
      </c>
      <c r="M88" s="2798">
        <f t="shared" si="232"/>
        <v>0</v>
      </c>
      <c r="N88" s="2796">
        <f t="shared" si="233"/>
        <v>0</v>
      </c>
      <c r="O88" s="2796">
        <f t="shared" si="234"/>
        <v>0</v>
      </c>
      <c r="P88" s="2796">
        <f t="shared" si="235"/>
        <v>0</v>
      </c>
      <c r="Q88" s="2797">
        <f t="shared" si="236"/>
        <v>0</v>
      </c>
      <c r="R88" s="2799">
        <f t="shared" si="237"/>
        <v>0</v>
      </c>
      <c r="S88" s="1113">
        <f>'11.2. ДА за периода'!S88</f>
        <v>0</v>
      </c>
      <c r="T88" s="2800">
        <f t="shared" si="238"/>
        <v>0</v>
      </c>
      <c r="U88" s="2796">
        <f t="shared" si="239"/>
        <v>0</v>
      </c>
      <c r="V88" s="2796">
        <f t="shared" si="240"/>
        <v>0</v>
      </c>
      <c r="W88" s="2796">
        <f t="shared" si="241"/>
        <v>0</v>
      </c>
      <c r="X88" s="2796">
        <f t="shared" si="242"/>
        <v>0</v>
      </c>
      <c r="Y88" s="2799">
        <f t="shared" si="243"/>
        <v>0</v>
      </c>
      <c r="Z88" s="1113">
        <f>'11.2. ДА за периода'!Z88</f>
        <v>0</v>
      </c>
      <c r="AA88" s="2800">
        <f t="shared" si="244"/>
        <v>0</v>
      </c>
      <c r="AB88" s="2796">
        <f t="shared" si="245"/>
        <v>0</v>
      </c>
      <c r="AC88" s="2796">
        <f t="shared" si="246"/>
        <v>0</v>
      </c>
      <c r="AD88" s="2796">
        <f t="shared" si="247"/>
        <v>0</v>
      </c>
      <c r="AE88" s="2796">
        <f t="shared" si="248"/>
        <v>0</v>
      </c>
      <c r="AF88" s="2797">
        <f t="shared" si="249"/>
        <v>0</v>
      </c>
      <c r="AG88" s="1113">
        <f>'11.2. ДА за периода'!AG88</f>
        <v>0.29204694187169278</v>
      </c>
      <c r="AH88" s="2800">
        <f t="shared" si="250"/>
        <v>0</v>
      </c>
      <c r="AI88" s="2796">
        <f t="shared" si="251"/>
        <v>0.8</v>
      </c>
      <c r="AJ88" s="2796">
        <f t="shared" si="252"/>
        <v>2.35</v>
      </c>
      <c r="AK88" s="2796">
        <f t="shared" si="253"/>
        <v>3.85</v>
      </c>
      <c r="AL88" s="2796">
        <f t="shared" si="254"/>
        <v>5.35</v>
      </c>
      <c r="AM88" s="2797">
        <f t="shared" si="255"/>
        <v>6.85</v>
      </c>
      <c r="AN88" s="1113">
        <f>'11.2. ДА за периода'!AN88</f>
        <v>0</v>
      </c>
      <c r="AO88" s="2798">
        <f t="shared" si="256"/>
        <v>0</v>
      </c>
      <c r="AP88" s="2796">
        <f t="shared" si="257"/>
        <v>0</v>
      </c>
      <c r="AQ88" s="2796">
        <f t="shared" si="258"/>
        <v>0</v>
      </c>
      <c r="AR88" s="2796">
        <f t="shared" si="259"/>
        <v>0</v>
      </c>
      <c r="AS88" s="2796">
        <f t="shared" si="260"/>
        <v>0</v>
      </c>
      <c r="AT88" s="2799">
        <f t="shared" si="261"/>
        <v>0</v>
      </c>
      <c r="AU88" s="4488"/>
      <c r="AV88" s="4504">
        <f t="shared" si="162"/>
        <v>2.9671698246413571</v>
      </c>
      <c r="AW88" s="4504">
        <f t="shared" si="163"/>
        <v>2.1205830772613163</v>
      </c>
      <c r="AX88" s="4504">
        <f t="shared" si="164"/>
        <v>6.8794322614951202</v>
      </c>
      <c r="AY88" s="4504">
        <f t="shared" si="165"/>
        <v>12.196867825935794</v>
      </c>
      <c r="AZ88" s="4504">
        <f t="shared" si="166"/>
        <v>17.611448847803747</v>
      </c>
      <c r="BA88" s="4504">
        <f t="shared" si="167"/>
        <v>23.092497814227208</v>
      </c>
      <c r="BB88" s="4504">
        <f t="shared" si="168"/>
        <v>28.593998455898522</v>
      </c>
      <c r="BC88" s="4504">
        <f t="shared" si="169"/>
        <v>0</v>
      </c>
      <c r="BD88" s="4504">
        <f t="shared" si="170"/>
        <v>0</v>
      </c>
      <c r="BE88" s="4504">
        <f t="shared" si="171"/>
        <v>0</v>
      </c>
      <c r="BF88" s="4504">
        <f t="shared" si="172"/>
        <v>0</v>
      </c>
      <c r="BG88" s="4504">
        <f t="shared" si="173"/>
        <v>0</v>
      </c>
      <c r="BH88" s="4504">
        <f t="shared" si="174"/>
        <v>0</v>
      </c>
      <c r="BI88" s="4504">
        <f t="shared" si="175"/>
        <v>0</v>
      </c>
      <c r="BJ88" s="4504">
        <f t="shared" si="176"/>
        <v>0</v>
      </c>
      <c r="BK88" s="4504">
        <f t="shared" si="177"/>
        <v>0</v>
      </c>
      <c r="BL88" s="4504">
        <f t="shared" si="178"/>
        <v>0</v>
      </c>
      <c r="BM88" s="4504">
        <f t="shared" si="179"/>
        <v>0</v>
      </c>
      <c r="BN88" s="4504">
        <f t="shared" si="180"/>
        <v>0</v>
      </c>
      <c r="BO88" s="4504">
        <f t="shared" si="181"/>
        <v>0</v>
      </c>
      <c r="BP88" s="4504">
        <f t="shared" si="182"/>
        <v>0</v>
      </c>
      <c r="BQ88" s="4504">
        <f t="shared" si="183"/>
        <v>0</v>
      </c>
      <c r="BR88" s="4504">
        <f t="shared" si="184"/>
        <v>0</v>
      </c>
      <c r="BS88" s="4504">
        <f t="shared" si="185"/>
        <v>0</v>
      </c>
      <c r="BT88" s="4504">
        <f t="shared" si="186"/>
        <v>0</v>
      </c>
      <c r="BU88" s="4504">
        <f t="shared" si="187"/>
        <v>0</v>
      </c>
      <c r="BV88" s="4504">
        <f t="shared" si="188"/>
        <v>0</v>
      </c>
      <c r="BW88" s="4504">
        <f t="shared" si="189"/>
        <v>0</v>
      </c>
      <c r="BX88" s="4504">
        <f t="shared" si="190"/>
        <v>0.14932123030718047</v>
      </c>
      <c r="BY88" s="4504">
        <f t="shared" si="191"/>
        <v>0</v>
      </c>
      <c r="BZ88" s="4504">
        <f t="shared" si="192"/>
        <v>0.40903350495697482</v>
      </c>
      <c r="CA88" s="4504">
        <f t="shared" si="193"/>
        <v>1.2015359208111136</v>
      </c>
      <c r="CB88" s="4504">
        <f t="shared" si="194"/>
        <v>1.9684737426054413</v>
      </c>
      <c r="CC88" s="4504">
        <f t="shared" si="195"/>
        <v>2.7354115643997687</v>
      </c>
      <c r="CD88" s="4504">
        <f t="shared" si="196"/>
        <v>3.5023493861940964</v>
      </c>
      <c r="CE88" s="4504">
        <f t="shared" si="197"/>
        <v>0</v>
      </c>
      <c r="CF88" s="4504">
        <f t="shared" si="198"/>
        <v>0</v>
      </c>
      <c r="CG88" s="4504">
        <f t="shared" si="199"/>
        <v>0</v>
      </c>
      <c r="CH88" s="4504">
        <f t="shared" si="200"/>
        <v>0</v>
      </c>
      <c r="CI88" s="4504">
        <f t="shared" si="201"/>
        <v>0</v>
      </c>
      <c r="CJ88" s="4504">
        <f t="shared" si="202"/>
        <v>0</v>
      </c>
      <c r="CK88" s="4504">
        <f t="shared" si="203"/>
        <v>0</v>
      </c>
    </row>
    <row r="89" spans="1:89" s="67" customFormat="1">
      <c r="A89" s="2793"/>
      <c r="B89" s="3628">
        <v>2040206</v>
      </c>
      <c r="C89" s="3601">
        <v>0.02</v>
      </c>
      <c r="D89" s="2749" t="s">
        <v>421</v>
      </c>
      <c r="E89" s="2727">
        <f>'11.2. ДА за периода'!E89</f>
        <v>0</v>
      </c>
      <c r="F89" s="2795">
        <f t="shared" si="226"/>
        <v>0</v>
      </c>
      <c r="G89" s="2796">
        <f t="shared" si="227"/>
        <v>0</v>
      </c>
      <c r="H89" s="2796">
        <f t="shared" si="228"/>
        <v>0</v>
      </c>
      <c r="I89" s="2796">
        <f t="shared" si="229"/>
        <v>0</v>
      </c>
      <c r="J89" s="2796">
        <f t="shared" si="230"/>
        <v>0</v>
      </c>
      <c r="K89" s="2797">
        <f t="shared" si="231"/>
        <v>0</v>
      </c>
      <c r="L89" s="2727">
        <f>'11.2. ДА за периода'!L89</f>
        <v>9.1790699999999989E-2</v>
      </c>
      <c r="M89" s="2798">
        <f t="shared" si="232"/>
        <v>0.2</v>
      </c>
      <c r="N89" s="2796">
        <f t="shared" si="233"/>
        <v>0.45</v>
      </c>
      <c r="O89" s="2796">
        <f t="shared" si="234"/>
        <v>0.55000000000000004</v>
      </c>
      <c r="P89" s="2796">
        <f t="shared" si="235"/>
        <v>0.65</v>
      </c>
      <c r="Q89" s="2797">
        <f t="shared" si="236"/>
        <v>0.75</v>
      </c>
      <c r="R89" s="2799">
        <f t="shared" si="237"/>
        <v>0.85</v>
      </c>
      <c r="S89" s="1113">
        <f>'11.2. ДА за периода'!S89</f>
        <v>0</v>
      </c>
      <c r="T89" s="2800">
        <f t="shared" si="238"/>
        <v>0</v>
      </c>
      <c r="U89" s="2796">
        <f t="shared" si="239"/>
        <v>0</v>
      </c>
      <c r="V89" s="2796">
        <f t="shared" si="240"/>
        <v>0</v>
      </c>
      <c r="W89" s="2796">
        <f t="shared" si="241"/>
        <v>0</v>
      </c>
      <c r="X89" s="2796">
        <f t="shared" si="242"/>
        <v>0</v>
      </c>
      <c r="Y89" s="2799">
        <f t="shared" si="243"/>
        <v>0</v>
      </c>
      <c r="Z89" s="1113">
        <f>'11.2. ДА за периода'!Z89</f>
        <v>0</v>
      </c>
      <c r="AA89" s="2800">
        <f t="shared" si="244"/>
        <v>0</v>
      </c>
      <c r="AB89" s="2796">
        <f t="shared" si="245"/>
        <v>0</v>
      </c>
      <c r="AC89" s="2796">
        <f t="shared" si="246"/>
        <v>0</v>
      </c>
      <c r="AD89" s="2796">
        <f t="shared" si="247"/>
        <v>0</v>
      </c>
      <c r="AE89" s="2796">
        <f t="shared" si="248"/>
        <v>0</v>
      </c>
      <c r="AF89" s="2797">
        <f t="shared" si="249"/>
        <v>0</v>
      </c>
      <c r="AG89" s="1113">
        <f>'11.2. ДА за периода'!AG89</f>
        <v>0</v>
      </c>
      <c r="AH89" s="2800">
        <f t="shared" si="250"/>
        <v>0</v>
      </c>
      <c r="AI89" s="2796">
        <f t="shared" si="251"/>
        <v>0</v>
      </c>
      <c r="AJ89" s="2796">
        <f t="shared" si="252"/>
        <v>0</v>
      </c>
      <c r="AK89" s="2796">
        <f t="shared" si="253"/>
        <v>0</v>
      </c>
      <c r="AL89" s="2796">
        <f t="shared" si="254"/>
        <v>0</v>
      </c>
      <c r="AM89" s="2797">
        <f t="shared" si="255"/>
        <v>0</v>
      </c>
      <c r="AN89" s="1113">
        <f>'11.2. ДА за периода'!AN89</f>
        <v>0</v>
      </c>
      <c r="AO89" s="2798">
        <f t="shared" si="256"/>
        <v>0</v>
      </c>
      <c r="AP89" s="2796">
        <f t="shared" si="257"/>
        <v>0</v>
      </c>
      <c r="AQ89" s="2796">
        <f t="shared" si="258"/>
        <v>0</v>
      </c>
      <c r="AR89" s="2796">
        <f t="shared" si="259"/>
        <v>0</v>
      </c>
      <c r="AS89" s="2796">
        <f t="shared" si="260"/>
        <v>0</v>
      </c>
      <c r="AT89" s="2799">
        <f t="shared" si="261"/>
        <v>0</v>
      </c>
      <c r="AU89" s="4488"/>
      <c r="AV89" s="4504">
        <f t="shared" si="162"/>
        <v>0</v>
      </c>
      <c r="AW89" s="4504">
        <f t="shared" si="163"/>
        <v>0</v>
      </c>
      <c r="AX89" s="4504">
        <f t="shared" si="164"/>
        <v>0</v>
      </c>
      <c r="AY89" s="4504">
        <f t="shared" si="165"/>
        <v>0</v>
      </c>
      <c r="AZ89" s="4504">
        <f t="shared" si="166"/>
        <v>0</v>
      </c>
      <c r="BA89" s="4504">
        <f t="shared" si="167"/>
        <v>0</v>
      </c>
      <c r="BB89" s="4504">
        <f t="shared" si="168"/>
        <v>0</v>
      </c>
      <c r="BC89" s="4504">
        <f t="shared" si="169"/>
        <v>4.693183967931773E-2</v>
      </c>
      <c r="BD89" s="4504">
        <f t="shared" si="170"/>
        <v>0.10225837623924371</v>
      </c>
      <c r="BE89" s="4504">
        <f t="shared" si="171"/>
        <v>0.23008134653829834</v>
      </c>
      <c r="BF89" s="4504">
        <f t="shared" si="172"/>
        <v>0.28121053465792017</v>
      </c>
      <c r="BG89" s="4504">
        <f t="shared" si="173"/>
        <v>0.33233972277754203</v>
      </c>
      <c r="BH89" s="4504">
        <f t="shared" si="174"/>
        <v>0.38346891089716389</v>
      </c>
      <c r="BI89" s="4504">
        <f t="shared" si="175"/>
        <v>0.4345980990167857</v>
      </c>
      <c r="BJ89" s="4504">
        <f t="shared" si="176"/>
        <v>0</v>
      </c>
      <c r="BK89" s="4504">
        <f t="shared" si="177"/>
        <v>0</v>
      </c>
      <c r="BL89" s="4504">
        <f t="shared" si="178"/>
        <v>0</v>
      </c>
      <c r="BM89" s="4504">
        <f t="shared" si="179"/>
        <v>0</v>
      </c>
      <c r="BN89" s="4504">
        <f t="shared" si="180"/>
        <v>0</v>
      </c>
      <c r="BO89" s="4504">
        <f t="shared" si="181"/>
        <v>0</v>
      </c>
      <c r="BP89" s="4504">
        <f t="shared" si="182"/>
        <v>0</v>
      </c>
      <c r="BQ89" s="4504">
        <f t="shared" si="183"/>
        <v>0</v>
      </c>
      <c r="BR89" s="4504">
        <f t="shared" si="184"/>
        <v>0</v>
      </c>
      <c r="BS89" s="4504">
        <f t="shared" si="185"/>
        <v>0</v>
      </c>
      <c r="BT89" s="4504">
        <f t="shared" si="186"/>
        <v>0</v>
      </c>
      <c r="BU89" s="4504">
        <f t="shared" si="187"/>
        <v>0</v>
      </c>
      <c r="BV89" s="4504">
        <f t="shared" si="188"/>
        <v>0</v>
      </c>
      <c r="BW89" s="4504">
        <f t="shared" si="189"/>
        <v>0</v>
      </c>
      <c r="BX89" s="4504">
        <f t="shared" si="190"/>
        <v>0</v>
      </c>
      <c r="BY89" s="4504">
        <f t="shared" si="191"/>
        <v>0</v>
      </c>
      <c r="BZ89" s="4504">
        <f t="shared" si="192"/>
        <v>0</v>
      </c>
      <c r="CA89" s="4504">
        <f t="shared" si="193"/>
        <v>0</v>
      </c>
      <c r="CB89" s="4504">
        <f t="shared" si="194"/>
        <v>0</v>
      </c>
      <c r="CC89" s="4504">
        <f t="shared" si="195"/>
        <v>0</v>
      </c>
      <c r="CD89" s="4504">
        <f t="shared" si="196"/>
        <v>0</v>
      </c>
      <c r="CE89" s="4504">
        <f t="shared" si="197"/>
        <v>0</v>
      </c>
      <c r="CF89" s="4504">
        <f t="shared" si="198"/>
        <v>0</v>
      </c>
      <c r="CG89" s="4504">
        <f t="shared" si="199"/>
        <v>0</v>
      </c>
      <c r="CH89" s="4504">
        <f t="shared" si="200"/>
        <v>0</v>
      </c>
      <c r="CI89" s="4504">
        <f t="shared" si="201"/>
        <v>0</v>
      </c>
      <c r="CJ89" s="4504">
        <f t="shared" si="202"/>
        <v>0</v>
      </c>
      <c r="CK89" s="4504">
        <f t="shared" si="203"/>
        <v>0</v>
      </c>
    </row>
    <row r="90" spans="1:89" s="67" customFormat="1" ht="24">
      <c r="A90" s="2793"/>
      <c r="B90" s="3628">
        <v>2040207</v>
      </c>
      <c r="C90" s="3601">
        <v>0.04</v>
      </c>
      <c r="D90" s="2749" t="s">
        <v>422</v>
      </c>
      <c r="E90" s="2727">
        <f>'11.2. ДА за периода'!E90</f>
        <v>0</v>
      </c>
      <c r="F90" s="2795">
        <f t="shared" si="226"/>
        <v>0.11</v>
      </c>
      <c r="G90" s="2796">
        <f t="shared" si="227"/>
        <v>0.42000000000000004</v>
      </c>
      <c r="H90" s="2796">
        <f t="shared" si="228"/>
        <v>0.82000000000000006</v>
      </c>
      <c r="I90" s="2796">
        <f t="shared" si="229"/>
        <v>1.22</v>
      </c>
      <c r="J90" s="2796">
        <f t="shared" si="230"/>
        <v>1.6199999999999999</v>
      </c>
      <c r="K90" s="2797">
        <f t="shared" si="231"/>
        <v>2.02</v>
      </c>
      <c r="L90" s="2727">
        <f>'11.2. ДА за периода'!L90</f>
        <v>0</v>
      </c>
      <c r="M90" s="2798">
        <f t="shared" si="232"/>
        <v>0</v>
      </c>
      <c r="N90" s="2796">
        <f t="shared" si="233"/>
        <v>0</v>
      </c>
      <c r="O90" s="2796">
        <f t="shared" si="234"/>
        <v>0</v>
      </c>
      <c r="P90" s="2796">
        <f t="shared" si="235"/>
        <v>0</v>
      </c>
      <c r="Q90" s="2797">
        <f t="shared" si="236"/>
        <v>0</v>
      </c>
      <c r="R90" s="2799">
        <f t="shared" si="237"/>
        <v>0</v>
      </c>
      <c r="S90" s="1113">
        <f>'11.2. ДА за периода'!S90</f>
        <v>0</v>
      </c>
      <c r="T90" s="2800">
        <f t="shared" si="238"/>
        <v>0.24</v>
      </c>
      <c r="U90" s="2796">
        <f t="shared" si="239"/>
        <v>1.08</v>
      </c>
      <c r="V90" s="2796">
        <f t="shared" si="240"/>
        <v>2.2799999999999998</v>
      </c>
      <c r="W90" s="2796">
        <f t="shared" si="241"/>
        <v>3.48</v>
      </c>
      <c r="X90" s="2796">
        <f t="shared" si="242"/>
        <v>4.68</v>
      </c>
      <c r="Y90" s="2799">
        <f t="shared" si="243"/>
        <v>5.88</v>
      </c>
      <c r="Z90" s="1113">
        <f>'11.2. ДА за периода'!Z90</f>
        <v>0</v>
      </c>
      <c r="AA90" s="2800">
        <f t="shared" si="244"/>
        <v>0</v>
      </c>
      <c r="AB90" s="2796">
        <f t="shared" si="245"/>
        <v>0</v>
      </c>
      <c r="AC90" s="2796">
        <f t="shared" si="246"/>
        <v>0</v>
      </c>
      <c r="AD90" s="2796">
        <f t="shared" si="247"/>
        <v>0</v>
      </c>
      <c r="AE90" s="2796">
        <f t="shared" si="248"/>
        <v>0</v>
      </c>
      <c r="AF90" s="2797">
        <f t="shared" si="249"/>
        <v>0</v>
      </c>
      <c r="AG90" s="1113">
        <f>'11.2. ДА за периода'!AG90</f>
        <v>0</v>
      </c>
      <c r="AH90" s="2800">
        <f t="shared" si="250"/>
        <v>0.06</v>
      </c>
      <c r="AI90" s="2796">
        <f t="shared" si="251"/>
        <v>0.72</v>
      </c>
      <c r="AJ90" s="2796">
        <f t="shared" si="252"/>
        <v>1.3199999999999998</v>
      </c>
      <c r="AK90" s="2796">
        <f t="shared" si="253"/>
        <v>1.3199999999999998</v>
      </c>
      <c r="AL90" s="2796">
        <f t="shared" si="254"/>
        <v>1.3199999999999998</v>
      </c>
      <c r="AM90" s="2797">
        <f t="shared" si="255"/>
        <v>1.3199999999999998</v>
      </c>
      <c r="AN90" s="1113">
        <f>'11.2. ДА за периода'!AN90</f>
        <v>0</v>
      </c>
      <c r="AO90" s="2798">
        <f t="shared" si="256"/>
        <v>0</v>
      </c>
      <c r="AP90" s="2796">
        <f t="shared" si="257"/>
        <v>0</v>
      </c>
      <c r="AQ90" s="2796">
        <f t="shared" si="258"/>
        <v>0</v>
      </c>
      <c r="AR90" s="2796">
        <f t="shared" si="259"/>
        <v>0</v>
      </c>
      <c r="AS90" s="2796">
        <f t="shared" si="260"/>
        <v>0</v>
      </c>
      <c r="AT90" s="2799">
        <f t="shared" si="261"/>
        <v>0</v>
      </c>
      <c r="AU90" s="4488"/>
      <c r="AV90" s="4504">
        <f t="shared" si="162"/>
        <v>0</v>
      </c>
      <c r="AW90" s="4504">
        <f t="shared" si="163"/>
        <v>5.6242106931584032E-2</v>
      </c>
      <c r="AX90" s="4504">
        <f t="shared" si="164"/>
        <v>0.21474259010241178</v>
      </c>
      <c r="AY90" s="4504">
        <f t="shared" si="165"/>
        <v>0.4192593425808992</v>
      </c>
      <c r="AZ90" s="4504">
        <f t="shared" si="166"/>
        <v>0.62377609505938658</v>
      </c>
      <c r="BA90" s="4504">
        <f t="shared" si="167"/>
        <v>0.82829284753787391</v>
      </c>
      <c r="BB90" s="4504">
        <f t="shared" si="168"/>
        <v>1.0328096000163614</v>
      </c>
      <c r="BC90" s="4504">
        <f t="shared" si="169"/>
        <v>0</v>
      </c>
      <c r="BD90" s="4504">
        <f t="shared" si="170"/>
        <v>0</v>
      </c>
      <c r="BE90" s="4504">
        <f t="shared" si="171"/>
        <v>0</v>
      </c>
      <c r="BF90" s="4504">
        <f t="shared" si="172"/>
        <v>0</v>
      </c>
      <c r="BG90" s="4504">
        <f t="shared" si="173"/>
        <v>0</v>
      </c>
      <c r="BH90" s="4504">
        <f t="shared" si="174"/>
        <v>0</v>
      </c>
      <c r="BI90" s="4504">
        <f t="shared" si="175"/>
        <v>0</v>
      </c>
      <c r="BJ90" s="4504">
        <f t="shared" si="176"/>
        <v>0</v>
      </c>
      <c r="BK90" s="4504">
        <f t="shared" si="177"/>
        <v>0.12271005148709244</v>
      </c>
      <c r="BL90" s="4504">
        <f t="shared" si="178"/>
        <v>0.55219523169191598</v>
      </c>
      <c r="BM90" s="4504">
        <f t="shared" si="179"/>
        <v>1.165745489127378</v>
      </c>
      <c r="BN90" s="4504">
        <f t="shared" si="180"/>
        <v>1.7792957465628403</v>
      </c>
      <c r="BO90" s="4504">
        <f t="shared" si="181"/>
        <v>2.3928460039983026</v>
      </c>
      <c r="BP90" s="4504">
        <f t="shared" si="182"/>
        <v>3.0063962614337645</v>
      </c>
      <c r="BQ90" s="4504">
        <f t="shared" si="183"/>
        <v>0</v>
      </c>
      <c r="BR90" s="4504">
        <f t="shared" si="184"/>
        <v>0</v>
      </c>
      <c r="BS90" s="4504">
        <f t="shared" si="185"/>
        <v>0</v>
      </c>
      <c r="BT90" s="4504">
        <f t="shared" si="186"/>
        <v>0</v>
      </c>
      <c r="BU90" s="4504">
        <f t="shared" si="187"/>
        <v>0</v>
      </c>
      <c r="BV90" s="4504">
        <f t="shared" si="188"/>
        <v>0</v>
      </c>
      <c r="BW90" s="4504">
        <f t="shared" si="189"/>
        <v>0</v>
      </c>
      <c r="BX90" s="4504">
        <f t="shared" si="190"/>
        <v>0</v>
      </c>
      <c r="BY90" s="4504">
        <f t="shared" si="191"/>
        <v>3.0677512871773109E-2</v>
      </c>
      <c r="BZ90" s="4504">
        <f t="shared" si="192"/>
        <v>0.36813015446127728</v>
      </c>
      <c r="CA90" s="4504">
        <f t="shared" si="193"/>
        <v>0.67490528317900833</v>
      </c>
      <c r="CB90" s="4504">
        <f t="shared" si="194"/>
        <v>0.67490528317900833</v>
      </c>
      <c r="CC90" s="4504">
        <f t="shared" si="195"/>
        <v>0.67490528317900833</v>
      </c>
      <c r="CD90" s="4504">
        <f t="shared" si="196"/>
        <v>0.67490528317900833</v>
      </c>
      <c r="CE90" s="4504">
        <f t="shared" si="197"/>
        <v>0</v>
      </c>
      <c r="CF90" s="4504">
        <f t="shared" si="198"/>
        <v>0</v>
      </c>
      <c r="CG90" s="4504">
        <f t="shared" si="199"/>
        <v>0</v>
      </c>
      <c r="CH90" s="4504">
        <f t="shared" si="200"/>
        <v>0</v>
      </c>
      <c r="CI90" s="4504">
        <f t="shared" si="201"/>
        <v>0</v>
      </c>
      <c r="CJ90" s="4504">
        <f t="shared" si="202"/>
        <v>0</v>
      </c>
      <c r="CK90" s="4504">
        <f t="shared" si="203"/>
        <v>0</v>
      </c>
    </row>
    <row r="91" spans="1:89" s="67" customFormat="1">
      <c r="A91" s="2793"/>
      <c r="B91" s="3628">
        <v>2040208</v>
      </c>
      <c r="C91" s="3601">
        <v>0.04</v>
      </c>
      <c r="D91" s="2749" t="s">
        <v>423</v>
      </c>
      <c r="E91" s="2727">
        <f>'11.2. ДА за периода'!E91</f>
        <v>0</v>
      </c>
      <c r="F91" s="2795">
        <f t="shared" si="226"/>
        <v>0</v>
      </c>
      <c r="G91" s="2796">
        <f t="shared" si="227"/>
        <v>0</v>
      </c>
      <c r="H91" s="2796">
        <f t="shared" si="228"/>
        <v>0</v>
      </c>
      <c r="I91" s="2796">
        <f t="shared" si="229"/>
        <v>0</v>
      </c>
      <c r="J91" s="2796">
        <f t="shared" si="230"/>
        <v>0</v>
      </c>
      <c r="K91" s="2797">
        <f t="shared" si="231"/>
        <v>0</v>
      </c>
      <c r="L91" s="2727">
        <f>'11.2. ДА за периода'!L91</f>
        <v>0</v>
      </c>
      <c r="M91" s="2798">
        <f t="shared" si="232"/>
        <v>0</v>
      </c>
      <c r="N91" s="2796">
        <f t="shared" si="233"/>
        <v>0</v>
      </c>
      <c r="O91" s="2796">
        <f t="shared" si="234"/>
        <v>0</v>
      </c>
      <c r="P91" s="2796">
        <f t="shared" si="235"/>
        <v>0</v>
      </c>
      <c r="Q91" s="2797">
        <f t="shared" si="236"/>
        <v>0</v>
      </c>
      <c r="R91" s="2799">
        <f t="shared" si="237"/>
        <v>0</v>
      </c>
      <c r="S91" s="1113">
        <f>'11.2. ДА за периода'!S91</f>
        <v>0</v>
      </c>
      <c r="T91" s="2800">
        <f t="shared" si="238"/>
        <v>0</v>
      </c>
      <c r="U91" s="2796">
        <f t="shared" si="239"/>
        <v>0</v>
      </c>
      <c r="V91" s="2796">
        <f t="shared" si="240"/>
        <v>0</v>
      </c>
      <c r="W91" s="2796">
        <f t="shared" si="241"/>
        <v>0</v>
      </c>
      <c r="X91" s="2796">
        <f t="shared" si="242"/>
        <v>0</v>
      </c>
      <c r="Y91" s="2799">
        <f t="shared" si="243"/>
        <v>0</v>
      </c>
      <c r="Z91" s="1113">
        <f>'11.2. ДА за периода'!Z91</f>
        <v>0</v>
      </c>
      <c r="AA91" s="2800">
        <f t="shared" si="244"/>
        <v>0</v>
      </c>
      <c r="AB91" s="2796">
        <f t="shared" si="245"/>
        <v>0</v>
      </c>
      <c r="AC91" s="2796">
        <f t="shared" si="246"/>
        <v>0</v>
      </c>
      <c r="AD91" s="2796">
        <f t="shared" si="247"/>
        <v>0</v>
      </c>
      <c r="AE91" s="2796">
        <f t="shared" si="248"/>
        <v>0</v>
      </c>
      <c r="AF91" s="2797">
        <f t="shared" si="249"/>
        <v>0</v>
      </c>
      <c r="AG91" s="1113">
        <f>'11.2. ДА за периода'!AG91</f>
        <v>0</v>
      </c>
      <c r="AH91" s="2800">
        <f t="shared" si="250"/>
        <v>0</v>
      </c>
      <c r="AI91" s="2796">
        <f t="shared" si="251"/>
        <v>0</v>
      </c>
      <c r="AJ91" s="2796">
        <f t="shared" si="252"/>
        <v>0</v>
      </c>
      <c r="AK91" s="2796">
        <f t="shared" si="253"/>
        <v>0</v>
      </c>
      <c r="AL91" s="2796">
        <f t="shared" si="254"/>
        <v>0</v>
      </c>
      <c r="AM91" s="2797">
        <f t="shared" si="255"/>
        <v>0</v>
      </c>
      <c r="AN91" s="1113">
        <f>'11.2. ДА за периода'!AN91</f>
        <v>0</v>
      </c>
      <c r="AO91" s="2798">
        <f t="shared" si="256"/>
        <v>0</v>
      </c>
      <c r="AP91" s="2796">
        <f t="shared" si="257"/>
        <v>0</v>
      </c>
      <c r="AQ91" s="2796">
        <f t="shared" si="258"/>
        <v>0</v>
      </c>
      <c r="AR91" s="2796">
        <f t="shared" si="259"/>
        <v>0</v>
      </c>
      <c r="AS91" s="2796">
        <f t="shared" si="260"/>
        <v>0</v>
      </c>
      <c r="AT91" s="2799">
        <f t="shared" si="261"/>
        <v>0</v>
      </c>
      <c r="AU91" s="4488"/>
      <c r="AV91" s="4504">
        <f t="shared" si="162"/>
        <v>0</v>
      </c>
      <c r="AW91" s="4504">
        <f t="shared" si="163"/>
        <v>0</v>
      </c>
      <c r="AX91" s="4504">
        <f t="shared" si="164"/>
        <v>0</v>
      </c>
      <c r="AY91" s="4504">
        <f t="shared" si="165"/>
        <v>0</v>
      </c>
      <c r="AZ91" s="4504">
        <f t="shared" si="166"/>
        <v>0</v>
      </c>
      <c r="BA91" s="4504">
        <f t="shared" si="167"/>
        <v>0</v>
      </c>
      <c r="BB91" s="4504">
        <f t="shared" si="168"/>
        <v>0</v>
      </c>
      <c r="BC91" s="4504">
        <f t="shared" si="169"/>
        <v>0</v>
      </c>
      <c r="BD91" s="4504">
        <f t="shared" si="170"/>
        <v>0</v>
      </c>
      <c r="BE91" s="4504">
        <f t="shared" si="171"/>
        <v>0</v>
      </c>
      <c r="BF91" s="4504">
        <f t="shared" si="172"/>
        <v>0</v>
      </c>
      <c r="BG91" s="4504">
        <f t="shared" si="173"/>
        <v>0</v>
      </c>
      <c r="BH91" s="4504">
        <f t="shared" si="174"/>
        <v>0</v>
      </c>
      <c r="BI91" s="4504">
        <f t="shared" si="175"/>
        <v>0</v>
      </c>
      <c r="BJ91" s="4504">
        <f t="shared" si="176"/>
        <v>0</v>
      </c>
      <c r="BK91" s="4504">
        <f t="shared" si="177"/>
        <v>0</v>
      </c>
      <c r="BL91" s="4504">
        <f t="shared" si="178"/>
        <v>0</v>
      </c>
      <c r="BM91" s="4504">
        <f t="shared" si="179"/>
        <v>0</v>
      </c>
      <c r="BN91" s="4504">
        <f t="shared" si="180"/>
        <v>0</v>
      </c>
      <c r="BO91" s="4504">
        <f t="shared" si="181"/>
        <v>0</v>
      </c>
      <c r="BP91" s="4504">
        <f t="shared" si="182"/>
        <v>0</v>
      </c>
      <c r="BQ91" s="4504">
        <f t="shared" si="183"/>
        <v>0</v>
      </c>
      <c r="BR91" s="4504">
        <f t="shared" si="184"/>
        <v>0</v>
      </c>
      <c r="BS91" s="4504">
        <f t="shared" si="185"/>
        <v>0</v>
      </c>
      <c r="BT91" s="4504">
        <f t="shared" si="186"/>
        <v>0</v>
      </c>
      <c r="BU91" s="4504">
        <f t="shared" si="187"/>
        <v>0</v>
      </c>
      <c r="BV91" s="4504">
        <f t="shared" si="188"/>
        <v>0</v>
      </c>
      <c r="BW91" s="4504">
        <f t="shared" si="189"/>
        <v>0</v>
      </c>
      <c r="BX91" s="4504">
        <f t="shared" si="190"/>
        <v>0</v>
      </c>
      <c r="BY91" s="4504">
        <f t="shared" si="191"/>
        <v>0</v>
      </c>
      <c r="BZ91" s="4504">
        <f t="shared" si="192"/>
        <v>0</v>
      </c>
      <c r="CA91" s="4504">
        <f t="shared" si="193"/>
        <v>0</v>
      </c>
      <c r="CB91" s="4504">
        <f t="shared" si="194"/>
        <v>0</v>
      </c>
      <c r="CC91" s="4504">
        <f t="shared" si="195"/>
        <v>0</v>
      </c>
      <c r="CD91" s="4504">
        <f t="shared" si="196"/>
        <v>0</v>
      </c>
      <c r="CE91" s="4504">
        <f t="shared" si="197"/>
        <v>0</v>
      </c>
      <c r="CF91" s="4504">
        <f t="shared" si="198"/>
        <v>0</v>
      </c>
      <c r="CG91" s="4504">
        <f t="shared" si="199"/>
        <v>0</v>
      </c>
      <c r="CH91" s="4504">
        <f t="shared" si="200"/>
        <v>0</v>
      </c>
      <c r="CI91" s="4504">
        <f t="shared" si="201"/>
        <v>0</v>
      </c>
      <c r="CJ91" s="4504">
        <f t="shared" si="202"/>
        <v>0</v>
      </c>
      <c r="CK91" s="4504">
        <f t="shared" si="203"/>
        <v>0</v>
      </c>
    </row>
    <row r="92" spans="1:89">
      <c r="A92" s="2739"/>
      <c r="B92" s="3619">
        <v>20403</v>
      </c>
      <c r="C92" s="3602">
        <v>0.04</v>
      </c>
      <c r="D92" s="2752" t="s">
        <v>1050</v>
      </c>
      <c r="E92" s="2727">
        <f>'11.2. ДА за периода'!E92</f>
        <v>0</v>
      </c>
      <c r="F92" s="2655">
        <f t="shared" si="226"/>
        <v>0</v>
      </c>
      <c r="G92" s="1224">
        <f t="shared" si="227"/>
        <v>0</v>
      </c>
      <c r="H92" s="1224">
        <f t="shared" si="228"/>
        <v>0</v>
      </c>
      <c r="I92" s="1224">
        <f t="shared" si="229"/>
        <v>0</v>
      </c>
      <c r="J92" s="1224">
        <f t="shared" si="230"/>
        <v>0</v>
      </c>
      <c r="K92" s="2661">
        <f t="shared" si="231"/>
        <v>0</v>
      </c>
      <c r="L92" s="2727">
        <f>'11.2. ДА за периода'!L92</f>
        <v>0</v>
      </c>
      <c r="M92" s="1228">
        <f t="shared" si="232"/>
        <v>0</v>
      </c>
      <c r="N92" s="1224">
        <f t="shared" si="233"/>
        <v>0</v>
      </c>
      <c r="O92" s="1224">
        <f t="shared" si="234"/>
        <v>0</v>
      </c>
      <c r="P92" s="1224">
        <f t="shared" si="235"/>
        <v>0</v>
      </c>
      <c r="Q92" s="2661">
        <f t="shared" si="236"/>
        <v>0</v>
      </c>
      <c r="R92" s="1229">
        <f t="shared" si="237"/>
        <v>0</v>
      </c>
      <c r="S92" s="1113">
        <f>'11.2. ДА за периода'!S92</f>
        <v>0</v>
      </c>
      <c r="T92" s="908">
        <f t="shared" si="238"/>
        <v>0</v>
      </c>
      <c r="U92" s="1224">
        <f t="shared" si="239"/>
        <v>0</v>
      </c>
      <c r="V92" s="1224">
        <f t="shared" si="240"/>
        <v>0</v>
      </c>
      <c r="W92" s="1224">
        <f t="shared" si="241"/>
        <v>0</v>
      </c>
      <c r="X92" s="1224">
        <f t="shared" si="242"/>
        <v>0</v>
      </c>
      <c r="Y92" s="1229">
        <f t="shared" si="243"/>
        <v>0</v>
      </c>
      <c r="Z92" s="1113">
        <f>'11.2. ДА за периода'!Z92</f>
        <v>0</v>
      </c>
      <c r="AA92" s="908">
        <f t="shared" si="244"/>
        <v>0</v>
      </c>
      <c r="AB92" s="1224">
        <f t="shared" si="245"/>
        <v>0</v>
      </c>
      <c r="AC92" s="1224">
        <f t="shared" si="246"/>
        <v>0</v>
      </c>
      <c r="AD92" s="1224">
        <f t="shared" si="247"/>
        <v>0</v>
      </c>
      <c r="AE92" s="1224">
        <f t="shared" si="248"/>
        <v>0</v>
      </c>
      <c r="AF92" s="2661">
        <f t="shared" si="249"/>
        <v>0</v>
      </c>
      <c r="AG92" s="1113">
        <f>'11.2. ДА за периода'!AG92</f>
        <v>0</v>
      </c>
      <c r="AH92" s="908">
        <f t="shared" si="250"/>
        <v>0</v>
      </c>
      <c r="AI92" s="1224">
        <f t="shared" si="251"/>
        <v>0</v>
      </c>
      <c r="AJ92" s="1224">
        <f t="shared" si="252"/>
        <v>0</v>
      </c>
      <c r="AK92" s="1224">
        <f t="shared" si="253"/>
        <v>0</v>
      </c>
      <c r="AL92" s="1224">
        <f t="shared" si="254"/>
        <v>0</v>
      </c>
      <c r="AM92" s="2661">
        <f t="shared" si="255"/>
        <v>0</v>
      </c>
      <c r="AN92" s="1113">
        <f>'11.2. ДА за периода'!AN92</f>
        <v>0</v>
      </c>
      <c r="AO92" s="1228">
        <f t="shared" si="256"/>
        <v>0</v>
      </c>
      <c r="AP92" s="1224">
        <f t="shared" si="257"/>
        <v>0</v>
      </c>
      <c r="AQ92" s="1224">
        <f t="shared" si="258"/>
        <v>0</v>
      </c>
      <c r="AR92" s="1224">
        <f t="shared" si="259"/>
        <v>0</v>
      </c>
      <c r="AS92" s="1224">
        <f t="shared" si="260"/>
        <v>0</v>
      </c>
      <c r="AT92" s="1229">
        <f t="shared" si="261"/>
        <v>0</v>
      </c>
      <c r="AU92" s="4488"/>
      <c r="AV92" s="4504">
        <f t="shared" si="162"/>
        <v>0</v>
      </c>
      <c r="AW92" s="4504">
        <f t="shared" si="163"/>
        <v>0</v>
      </c>
      <c r="AX92" s="4504">
        <f t="shared" si="164"/>
        <v>0</v>
      </c>
      <c r="AY92" s="4504">
        <f t="shared" si="165"/>
        <v>0</v>
      </c>
      <c r="AZ92" s="4504">
        <f t="shared" si="166"/>
        <v>0</v>
      </c>
      <c r="BA92" s="4504">
        <f t="shared" si="167"/>
        <v>0</v>
      </c>
      <c r="BB92" s="4504">
        <f t="shared" si="168"/>
        <v>0</v>
      </c>
      <c r="BC92" s="4504">
        <f t="shared" si="169"/>
        <v>0</v>
      </c>
      <c r="BD92" s="4504">
        <f t="shared" si="170"/>
        <v>0</v>
      </c>
      <c r="BE92" s="4504">
        <f t="shared" si="171"/>
        <v>0</v>
      </c>
      <c r="BF92" s="4504">
        <f t="shared" si="172"/>
        <v>0</v>
      </c>
      <c r="BG92" s="4504">
        <f t="shared" si="173"/>
        <v>0</v>
      </c>
      <c r="BH92" s="4504">
        <f t="shared" si="174"/>
        <v>0</v>
      </c>
      <c r="BI92" s="4504">
        <f t="shared" si="175"/>
        <v>0</v>
      </c>
      <c r="BJ92" s="4504">
        <f t="shared" si="176"/>
        <v>0</v>
      </c>
      <c r="BK92" s="4504">
        <f t="shared" si="177"/>
        <v>0</v>
      </c>
      <c r="BL92" s="4504">
        <f t="shared" si="178"/>
        <v>0</v>
      </c>
      <c r="BM92" s="4504">
        <f t="shared" si="179"/>
        <v>0</v>
      </c>
      <c r="BN92" s="4504">
        <f t="shared" si="180"/>
        <v>0</v>
      </c>
      <c r="BO92" s="4504">
        <f t="shared" si="181"/>
        <v>0</v>
      </c>
      <c r="BP92" s="4504">
        <f t="shared" si="182"/>
        <v>0</v>
      </c>
      <c r="BQ92" s="4504">
        <f t="shared" si="183"/>
        <v>0</v>
      </c>
      <c r="BR92" s="4504">
        <f t="shared" si="184"/>
        <v>0</v>
      </c>
      <c r="BS92" s="4504">
        <f t="shared" si="185"/>
        <v>0</v>
      </c>
      <c r="BT92" s="4504">
        <f t="shared" si="186"/>
        <v>0</v>
      </c>
      <c r="BU92" s="4504">
        <f t="shared" si="187"/>
        <v>0</v>
      </c>
      <c r="BV92" s="4504">
        <f t="shared" si="188"/>
        <v>0</v>
      </c>
      <c r="BW92" s="4504">
        <f t="shared" si="189"/>
        <v>0</v>
      </c>
      <c r="BX92" s="4504">
        <f t="shared" si="190"/>
        <v>0</v>
      </c>
      <c r="BY92" s="4504">
        <f t="shared" si="191"/>
        <v>0</v>
      </c>
      <c r="BZ92" s="4504">
        <f t="shared" si="192"/>
        <v>0</v>
      </c>
      <c r="CA92" s="4504">
        <f t="shared" si="193"/>
        <v>0</v>
      </c>
      <c r="CB92" s="4504">
        <f t="shared" si="194"/>
        <v>0</v>
      </c>
      <c r="CC92" s="4504">
        <f t="shared" si="195"/>
        <v>0</v>
      </c>
      <c r="CD92" s="4504">
        <f t="shared" si="196"/>
        <v>0</v>
      </c>
      <c r="CE92" s="4504">
        <f t="shared" si="197"/>
        <v>0</v>
      </c>
      <c r="CF92" s="4504">
        <f t="shared" si="198"/>
        <v>0</v>
      </c>
      <c r="CG92" s="4504">
        <f t="shared" si="199"/>
        <v>0</v>
      </c>
      <c r="CH92" s="4504">
        <f t="shared" si="200"/>
        <v>0</v>
      </c>
      <c r="CI92" s="4504">
        <f t="shared" si="201"/>
        <v>0</v>
      </c>
      <c r="CJ92" s="4504">
        <f t="shared" si="202"/>
        <v>0</v>
      </c>
      <c r="CK92" s="4504">
        <f t="shared" si="203"/>
        <v>0</v>
      </c>
    </row>
    <row r="93" spans="1:89" ht="26.4">
      <c r="A93" s="2739"/>
      <c r="B93" s="3619" t="s">
        <v>1051</v>
      </c>
      <c r="C93" s="3602">
        <v>0.04</v>
      </c>
      <c r="D93" s="2752" t="s">
        <v>1052</v>
      </c>
      <c r="E93" s="2727">
        <f>'11.2. ДА за периода'!E93</f>
        <v>0</v>
      </c>
      <c r="F93" s="2655">
        <f t="shared" si="226"/>
        <v>0</v>
      </c>
      <c r="G93" s="1224">
        <f t="shared" si="227"/>
        <v>0</v>
      </c>
      <c r="H93" s="1224">
        <f t="shared" si="228"/>
        <v>0</v>
      </c>
      <c r="I93" s="1224">
        <f t="shared" si="229"/>
        <v>0</v>
      </c>
      <c r="J93" s="1224">
        <f t="shared" si="230"/>
        <v>0</v>
      </c>
      <c r="K93" s="2661">
        <f t="shared" si="231"/>
        <v>0</v>
      </c>
      <c r="L93" s="2727">
        <f>'11.2. ДА за периода'!L93</f>
        <v>0</v>
      </c>
      <c r="M93" s="1228">
        <f t="shared" si="232"/>
        <v>0</v>
      </c>
      <c r="N93" s="1224">
        <f t="shared" si="233"/>
        <v>0</v>
      </c>
      <c r="O93" s="1224">
        <f t="shared" si="234"/>
        <v>0</v>
      </c>
      <c r="P93" s="1224">
        <f t="shared" si="235"/>
        <v>0</v>
      </c>
      <c r="Q93" s="2661">
        <f t="shared" si="236"/>
        <v>0</v>
      </c>
      <c r="R93" s="1229">
        <f t="shared" si="237"/>
        <v>0</v>
      </c>
      <c r="S93" s="1113">
        <f>'11.2. ДА за периода'!S93</f>
        <v>0</v>
      </c>
      <c r="T93" s="908">
        <f t="shared" si="238"/>
        <v>0</v>
      </c>
      <c r="U93" s="1224">
        <f t="shared" si="239"/>
        <v>0</v>
      </c>
      <c r="V93" s="1224">
        <f t="shared" si="240"/>
        <v>0</v>
      </c>
      <c r="W93" s="1224">
        <f t="shared" si="241"/>
        <v>0</v>
      </c>
      <c r="X93" s="1224">
        <f t="shared" si="242"/>
        <v>0</v>
      </c>
      <c r="Y93" s="1229">
        <f t="shared" si="243"/>
        <v>0</v>
      </c>
      <c r="Z93" s="1113">
        <f>'11.2. ДА за периода'!Z93</f>
        <v>0</v>
      </c>
      <c r="AA93" s="908">
        <f t="shared" si="244"/>
        <v>0</v>
      </c>
      <c r="AB93" s="1224">
        <f t="shared" si="245"/>
        <v>0</v>
      </c>
      <c r="AC93" s="1224">
        <f t="shared" si="246"/>
        <v>0</v>
      </c>
      <c r="AD93" s="1224">
        <f t="shared" si="247"/>
        <v>0</v>
      </c>
      <c r="AE93" s="1224">
        <f t="shared" si="248"/>
        <v>0</v>
      </c>
      <c r="AF93" s="2661">
        <f t="shared" si="249"/>
        <v>0</v>
      </c>
      <c r="AG93" s="1113">
        <f>'11.2. ДА за периода'!AG93</f>
        <v>0</v>
      </c>
      <c r="AH93" s="908">
        <f t="shared" si="250"/>
        <v>0</v>
      </c>
      <c r="AI93" s="1224">
        <f t="shared" si="251"/>
        <v>0</v>
      </c>
      <c r="AJ93" s="1224">
        <f t="shared" si="252"/>
        <v>0</v>
      </c>
      <c r="AK93" s="1224">
        <f t="shared" si="253"/>
        <v>0</v>
      </c>
      <c r="AL93" s="1224">
        <f t="shared" si="254"/>
        <v>0</v>
      </c>
      <c r="AM93" s="2661">
        <f t="shared" si="255"/>
        <v>0</v>
      </c>
      <c r="AN93" s="1113">
        <f>'11.2. ДА за периода'!AN93</f>
        <v>0</v>
      </c>
      <c r="AO93" s="1228">
        <f t="shared" si="256"/>
        <v>0</v>
      </c>
      <c r="AP93" s="1224">
        <f t="shared" si="257"/>
        <v>0</v>
      </c>
      <c r="AQ93" s="1224">
        <f t="shared" si="258"/>
        <v>0</v>
      </c>
      <c r="AR93" s="1224">
        <f t="shared" si="259"/>
        <v>0</v>
      </c>
      <c r="AS93" s="1224">
        <f t="shared" si="260"/>
        <v>0</v>
      </c>
      <c r="AT93" s="1229">
        <f t="shared" si="261"/>
        <v>0</v>
      </c>
      <c r="AU93" s="4488"/>
      <c r="AV93" s="4504">
        <f t="shared" si="162"/>
        <v>0</v>
      </c>
      <c r="AW93" s="4504">
        <f t="shared" si="163"/>
        <v>0</v>
      </c>
      <c r="AX93" s="4504">
        <f t="shared" si="164"/>
        <v>0</v>
      </c>
      <c r="AY93" s="4504">
        <f t="shared" si="165"/>
        <v>0</v>
      </c>
      <c r="AZ93" s="4504">
        <f t="shared" si="166"/>
        <v>0</v>
      </c>
      <c r="BA93" s="4504">
        <f t="shared" si="167"/>
        <v>0</v>
      </c>
      <c r="BB93" s="4504">
        <f t="shared" si="168"/>
        <v>0</v>
      </c>
      <c r="BC93" s="4504">
        <f t="shared" si="169"/>
        <v>0</v>
      </c>
      <c r="BD93" s="4504">
        <f t="shared" si="170"/>
        <v>0</v>
      </c>
      <c r="BE93" s="4504">
        <f t="shared" si="171"/>
        <v>0</v>
      </c>
      <c r="BF93" s="4504">
        <f t="shared" si="172"/>
        <v>0</v>
      </c>
      <c r="BG93" s="4504">
        <f t="shared" si="173"/>
        <v>0</v>
      </c>
      <c r="BH93" s="4504">
        <f t="shared" si="174"/>
        <v>0</v>
      </c>
      <c r="BI93" s="4504">
        <f t="shared" si="175"/>
        <v>0</v>
      </c>
      <c r="BJ93" s="4504">
        <f t="shared" si="176"/>
        <v>0</v>
      </c>
      <c r="BK93" s="4504">
        <f t="shared" si="177"/>
        <v>0</v>
      </c>
      <c r="BL93" s="4504">
        <f t="shared" si="178"/>
        <v>0</v>
      </c>
      <c r="BM93" s="4504">
        <f t="shared" si="179"/>
        <v>0</v>
      </c>
      <c r="BN93" s="4504">
        <f t="shared" si="180"/>
        <v>0</v>
      </c>
      <c r="BO93" s="4504">
        <f t="shared" si="181"/>
        <v>0</v>
      </c>
      <c r="BP93" s="4504">
        <f t="shared" si="182"/>
        <v>0</v>
      </c>
      <c r="BQ93" s="4504">
        <f t="shared" si="183"/>
        <v>0</v>
      </c>
      <c r="BR93" s="4504">
        <f t="shared" si="184"/>
        <v>0</v>
      </c>
      <c r="BS93" s="4504">
        <f t="shared" si="185"/>
        <v>0</v>
      </c>
      <c r="BT93" s="4504">
        <f t="shared" si="186"/>
        <v>0</v>
      </c>
      <c r="BU93" s="4504">
        <f t="shared" si="187"/>
        <v>0</v>
      </c>
      <c r="BV93" s="4504">
        <f t="shared" si="188"/>
        <v>0</v>
      </c>
      <c r="BW93" s="4504">
        <f t="shared" si="189"/>
        <v>0</v>
      </c>
      <c r="BX93" s="4504">
        <f t="shared" si="190"/>
        <v>0</v>
      </c>
      <c r="BY93" s="4504">
        <f t="shared" si="191"/>
        <v>0</v>
      </c>
      <c r="BZ93" s="4504">
        <f t="shared" si="192"/>
        <v>0</v>
      </c>
      <c r="CA93" s="4504">
        <f t="shared" si="193"/>
        <v>0</v>
      </c>
      <c r="CB93" s="4504">
        <f t="shared" si="194"/>
        <v>0</v>
      </c>
      <c r="CC93" s="4504">
        <f t="shared" si="195"/>
        <v>0</v>
      </c>
      <c r="CD93" s="4504">
        <f t="shared" si="196"/>
        <v>0</v>
      </c>
      <c r="CE93" s="4504">
        <f t="shared" si="197"/>
        <v>0</v>
      </c>
      <c r="CF93" s="4504">
        <f t="shared" si="198"/>
        <v>0</v>
      </c>
      <c r="CG93" s="4504">
        <f t="shared" si="199"/>
        <v>0</v>
      </c>
      <c r="CH93" s="4504">
        <f t="shared" si="200"/>
        <v>0</v>
      </c>
      <c r="CI93" s="4504">
        <f t="shared" si="201"/>
        <v>0</v>
      </c>
      <c r="CJ93" s="4504">
        <f t="shared" si="202"/>
        <v>0</v>
      </c>
      <c r="CK93" s="4504">
        <f t="shared" si="203"/>
        <v>0</v>
      </c>
    </row>
    <row r="94" spans="1:89">
      <c r="A94" s="2732">
        <v>5</v>
      </c>
      <c r="B94" s="3626">
        <v>205</v>
      </c>
      <c r="C94" s="3599"/>
      <c r="D94" s="2733" t="s">
        <v>212</v>
      </c>
      <c r="E94" s="2783">
        <f>SUM(E95:E98)</f>
        <v>10.006356754893536</v>
      </c>
      <c r="F94" s="2784">
        <f>SUM(F95:F98)</f>
        <v>0</v>
      </c>
      <c r="G94" s="2785">
        <f>SUM(G95:G98)</f>
        <v>0</v>
      </c>
      <c r="H94" s="2785">
        <f t="shared" ref="H94:K94" si="262">SUM(H95:H98)</f>
        <v>0</v>
      </c>
      <c r="I94" s="2785">
        <f t="shared" si="262"/>
        <v>0</v>
      </c>
      <c r="J94" s="2785">
        <f t="shared" si="262"/>
        <v>0</v>
      </c>
      <c r="K94" s="2786">
        <f t="shared" si="262"/>
        <v>0</v>
      </c>
      <c r="L94" s="2787">
        <f>SUM(L95:L98)</f>
        <v>1.5825556796692926</v>
      </c>
      <c r="M94" s="2784">
        <f>SUM(M95:M98)</f>
        <v>0</v>
      </c>
      <c r="N94" s="2785">
        <f>SUM(N95:N98)</f>
        <v>0.15000000000000002</v>
      </c>
      <c r="O94" s="2785">
        <f t="shared" ref="O94:R94" si="263">SUM(O95:O98)</f>
        <v>0.45000000000000007</v>
      </c>
      <c r="P94" s="2785">
        <f t="shared" si="263"/>
        <v>0.75000000000000011</v>
      </c>
      <c r="Q94" s="2785">
        <f t="shared" si="263"/>
        <v>1.0500000000000003</v>
      </c>
      <c r="R94" s="2788">
        <f t="shared" si="263"/>
        <v>1.35</v>
      </c>
      <c r="S94" s="2787">
        <f>SUM(S95:S98)</f>
        <v>1.9310067802455748</v>
      </c>
      <c r="T94" s="2789">
        <f>SUM(T95:T98)</f>
        <v>0</v>
      </c>
      <c r="U94" s="2785">
        <f>SUM(U95:U98)</f>
        <v>0.1</v>
      </c>
      <c r="V94" s="2785">
        <f t="shared" ref="V94:Y94" si="264">SUM(V95:V98)</f>
        <v>0.30000000000000004</v>
      </c>
      <c r="W94" s="2785">
        <f t="shared" si="264"/>
        <v>0.5</v>
      </c>
      <c r="X94" s="2785">
        <f t="shared" si="264"/>
        <v>0.70000000000000007</v>
      </c>
      <c r="Y94" s="2788">
        <f t="shared" si="264"/>
        <v>0.9</v>
      </c>
      <c r="Z94" s="2787">
        <f>SUM(Z95:Z98)</f>
        <v>0</v>
      </c>
      <c r="AA94" s="2789">
        <f>SUM(AA95:AA98)</f>
        <v>0</v>
      </c>
      <c r="AB94" s="2785">
        <f>SUM(AB95:AB98)</f>
        <v>0</v>
      </c>
      <c r="AC94" s="2785">
        <f t="shared" ref="AC94:AF94" si="265">SUM(AC95:AC98)</f>
        <v>0</v>
      </c>
      <c r="AD94" s="2785">
        <f t="shared" si="265"/>
        <v>0</v>
      </c>
      <c r="AE94" s="2785">
        <f t="shared" si="265"/>
        <v>0</v>
      </c>
      <c r="AF94" s="2788">
        <f t="shared" si="265"/>
        <v>0</v>
      </c>
      <c r="AG94" s="2787">
        <f>SUM(AG95:AG98)</f>
        <v>9.0466337165778191E-2</v>
      </c>
      <c r="AH94" s="2789">
        <f>SUM(AH95:AH98)</f>
        <v>0.13</v>
      </c>
      <c r="AI94" s="2785">
        <f>SUM(AI95:AI98)</f>
        <v>0.36</v>
      </c>
      <c r="AJ94" s="2785">
        <f t="shared" ref="AJ94:AM94" si="266">SUM(AJ95:AJ98)</f>
        <v>0.56000000000000005</v>
      </c>
      <c r="AK94" s="2785">
        <f t="shared" si="266"/>
        <v>0.76</v>
      </c>
      <c r="AL94" s="2785">
        <f t="shared" si="266"/>
        <v>0.96000000000000008</v>
      </c>
      <c r="AM94" s="2788">
        <f t="shared" si="266"/>
        <v>1.1600000000000001</v>
      </c>
      <c r="AN94" s="2787">
        <f>SUM(AN95:AN98)</f>
        <v>0</v>
      </c>
      <c r="AO94" s="2789">
        <f>SUM(AO95:AO98)</f>
        <v>0.2</v>
      </c>
      <c r="AP94" s="2785">
        <f>SUM(AP95:AP98)</f>
        <v>0.4</v>
      </c>
      <c r="AQ94" s="2785">
        <f t="shared" ref="AQ94:AS94" si="267">SUM(AQ95:AQ98)</f>
        <v>0.4</v>
      </c>
      <c r="AR94" s="2785">
        <f t="shared" si="267"/>
        <v>0.4</v>
      </c>
      <c r="AS94" s="2785">
        <f t="shared" si="267"/>
        <v>0.4</v>
      </c>
      <c r="AT94" s="2788">
        <f>SUM(AT95:AT98)</f>
        <v>0.4</v>
      </c>
      <c r="AU94" s="4488"/>
      <c r="AV94" s="4504">
        <f t="shared" si="162"/>
        <v>5.1161689691300047</v>
      </c>
      <c r="AW94" s="4504">
        <f t="shared" si="163"/>
        <v>0</v>
      </c>
      <c r="AX94" s="4504">
        <f t="shared" si="164"/>
        <v>0</v>
      </c>
      <c r="AY94" s="4504">
        <f t="shared" si="165"/>
        <v>0</v>
      </c>
      <c r="AZ94" s="4504">
        <f t="shared" si="166"/>
        <v>0</v>
      </c>
      <c r="BA94" s="4504">
        <f t="shared" si="167"/>
        <v>0</v>
      </c>
      <c r="BB94" s="4504">
        <f t="shared" si="168"/>
        <v>0</v>
      </c>
      <c r="BC94" s="4504">
        <f t="shared" si="169"/>
        <v>0.80914787055587278</v>
      </c>
      <c r="BD94" s="4504">
        <f t="shared" si="170"/>
        <v>0</v>
      </c>
      <c r="BE94" s="4504">
        <f t="shared" si="171"/>
        <v>7.669378217943279E-2</v>
      </c>
      <c r="BF94" s="4504">
        <f t="shared" si="172"/>
        <v>0.23008134653829837</v>
      </c>
      <c r="BG94" s="4504">
        <f t="shared" si="173"/>
        <v>0.38346891089716395</v>
      </c>
      <c r="BH94" s="4504">
        <f t="shared" si="174"/>
        <v>0.53685647525602953</v>
      </c>
      <c r="BI94" s="4504">
        <f t="shared" si="175"/>
        <v>0.690244039614895</v>
      </c>
      <c r="BJ94" s="4504">
        <f t="shared" si="176"/>
        <v>0.98730808927441283</v>
      </c>
      <c r="BK94" s="4504">
        <f t="shared" si="177"/>
        <v>0</v>
      </c>
      <c r="BL94" s="4504">
        <f t="shared" si="178"/>
        <v>5.1129188119621853E-2</v>
      </c>
      <c r="BM94" s="4504">
        <f t="shared" si="179"/>
        <v>0.15338756435886558</v>
      </c>
      <c r="BN94" s="4504">
        <f t="shared" si="180"/>
        <v>0.25564594059810924</v>
      </c>
      <c r="BO94" s="4504">
        <f t="shared" si="181"/>
        <v>0.35790431683735296</v>
      </c>
      <c r="BP94" s="4504">
        <f t="shared" si="182"/>
        <v>0.46016269307659668</v>
      </c>
      <c r="BQ94" s="4504">
        <f t="shared" si="183"/>
        <v>0</v>
      </c>
      <c r="BR94" s="4504">
        <f t="shared" si="184"/>
        <v>0</v>
      </c>
      <c r="BS94" s="4504">
        <f t="shared" si="185"/>
        <v>0</v>
      </c>
      <c r="BT94" s="4504">
        <f t="shared" si="186"/>
        <v>0</v>
      </c>
      <c r="BU94" s="4504">
        <f t="shared" si="187"/>
        <v>0</v>
      </c>
      <c r="BV94" s="4504">
        <f t="shared" si="188"/>
        <v>0</v>
      </c>
      <c r="BW94" s="4504">
        <f t="shared" si="189"/>
        <v>0</v>
      </c>
      <c r="BX94" s="4504">
        <f t="shared" si="190"/>
        <v>4.6254703714422106E-2</v>
      </c>
      <c r="BY94" s="4504">
        <f t="shared" si="191"/>
        <v>6.6467944555508404E-2</v>
      </c>
      <c r="BZ94" s="4504">
        <f t="shared" si="192"/>
        <v>0.18406507723063864</v>
      </c>
      <c r="CA94" s="4504">
        <f t="shared" si="193"/>
        <v>0.28632345346988236</v>
      </c>
      <c r="CB94" s="4504">
        <f t="shared" si="194"/>
        <v>0.38858182970912608</v>
      </c>
      <c r="CC94" s="4504">
        <f t="shared" si="195"/>
        <v>0.4908402059483698</v>
      </c>
      <c r="CD94" s="4504">
        <f t="shared" si="196"/>
        <v>0.59309858218761358</v>
      </c>
      <c r="CE94" s="4504">
        <f t="shared" si="197"/>
        <v>0</v>
      </c>
      <c r="CF94" s="4504">
        <f t="shared" si="198"/>
        <v>0.10225837623924371</v>
      </c>
      <c r="CG94" s="4504">
        <f t="shared" si="199"/>
        <v>0.20451675247848741</v>
      </c>
      <c r="CH94" s="4504">
        <f t="shared" si="200"/>
        <v>0.20451675247848741</v>
      </c>
      <c r="CI94" s="4504">
        <f t="shared" si="201"/>
        <v>0.20451675247848741</v>
      </c>
      <c r="CJ94" s="4504">
        <f t="shared" si="202"/>
        <v>0.20451675247848741</v>
      </c>
      <c r="CK94" s="4504">
        <f t="shared" si="203"/>
        <v>0.20451675247848741</v>
      </c>
    </row>
    <row r="95" spans="1:89">
      <c r="A95" s="2759"/>
      <c r="B95" s="3629">
        <v>20501</v>
      </c>
      <c r="C95" s="3603">
        <v>0.08</v>
      </c>
      <c r="D95" s="2760" t="s">
        <v>563</v>
      </c>
      <c r="E95" s="2727">
        <f>'11.2. ДА за периода'!E95</f>
        <v>0</v>
      </c>
      <c r="F95" s="2655">
        <f>($F46*$C95)/$E$7</f>
        <v>0</v>
      </c>
      <c r="G95" s="1136">
        <f>($F46*$C95)+($G46*$C95)/$E$7</f>
        <v>0</v>
      </c>
      <c r="H95" s="1136">
        <f>($F46*$C95)+($G46*$C95)+($H46*$C95)/$E$7</f>
        <v>0</v>
      </c>
      <c r="I95" s="1136">
        <f>($F46*$C95)+($G46*$C95)+($H46*$C95)+($I46*$C95)/$E$7</f>
        <v>0</v>
      </c>
      <c r="J95" s="1136">
        <f>($F46*$C95)+($G46*$C95)+($H46*$C95)+($I46*$C95)+($J46*$C95)/$E$7</f>
        <v>0</v>
      </c>
      <c r="K95" s="2780">
        <f>($F46*$C95)+($G46*$C95)+($H46*$C95)+($I46*$C95)+($J46*$C95)+($K46*$C95)/$E$7</f>
        <v>0</v>
      </c>
      <c r="L95" s="2727">
        <f>'11.2. ДА за периода'!L95</f>
        <v>0</v>
      </c>
      <c r="M95" s="2655">
        <f>($M46*$C95)/$E$7</f>
        <v>0</v>
      </c>
      <c r="N95" s="1136">
        <f>($M46*$C95)+($N46*$C95)/$E$7</f>
        <v>0</v>
      </c>
      <c r="O95" s="1136">
        <f>($M46*$C95)+($N46*$C95)+($O46*$C95)/$E$7</f>
        <v>0</v>
      </c>
      <c r="P95" s="1136">
        <f>($M46*$C95)+($N46*$C95)+($O46*$C95)+($P46*$C95)/$E$7</f>
        <v>0</v>
      </c>
      <c r="Q95" s="2780">
        <f>($M46*$C95)+($N46*$C95)+($O46*$C95)+($P46*$C95)+($Q46*$C95)/$E$7</f>
        <v>0</v>
      </c>
      <c r="R95" s="2656">
        <f>($M46*$C95)+($N46*$C95)+($O46*$C95)+($P46*$C95)+($Q46*$C95)+($R46*$C95)/$E$7</f>
        <v>0</v>
      </c>
      <c r="S95" s="1113">
        <f>'11.2. ДА за периода'!S95</f>
        <v>0</v>
      </c>
      <c r="T95" s="907">
        <f>($T46*$C95)/$E$7</f>
        <v>0</v>
      </c>
      <c r="U95" s="1136">
        <f>($T46*$C95)+($U46*$C95)/$E$7</f>
        <v>0</v>
      </c>
      <c r="V95" s="1136">
        <f>($T46*$C95)+($U46*$C95)+($V46*$C95)/$E$7</f>
        <v>0</v>
      </c>
      <c r="W95" s="1136">
        <f>($T46*$C95)+($U46*$C95)+($V46*$C95)+($W46*$C95)/$E$7</f>
        <v>0</v>
      </c>
      <c r="X95" s="1136">
        <f>($T46*$C95)+($U46*$C95)+($V46*$C95)+($W46*$C95)+($X46*$C95)/$E$7</f>
        <v>0</v>
      </c>
      <c r="Y95" s="2656">
        <f>($T46*$C95)+($U46*$C95)+($V46*$C95)+($W46*$C95)+($X46*$C95)+($Y46*$C95)/$E$7</f>
        <v>0</v>
      </c>
      <c r="Z95" s="1113">
        <f>'11.2. ДА за периода'!Z95</f>
        <v>0</v>
      </c>
      <c r="AA95" s="907">
        <f t="shared" ref="AA95:AA98" si="268">(AA46*$C95)/$E$7</f>
        <v>0</v>
      </c>
      <c r="AB95" s="1136">
        <f t="shared" ref="AB95:AB98" si="269">(AA46*$C95)+(AB46*$C95)/$E$7</f>
        <v>0</v>
      </c>
      <c r="AC95" s="1136">
        <f t="shared" ref="AC95:AC98" si="270">(AA46*$C95)+(AB46*$C95)+(AC46*$C95)/$E$7</f>
        <v>0</v>
      </c>
      <c r="AD95" s="1136">
        <f t="shared" ref="AD95:AD98" si="271">(AA46*$C95)+(AB46*$C95)+(AC46*$C95)+(AD46*$C95)/$E$7</f>
        <v>0</v>
      </c>
      <c r="AE95" s="1136">
        <f t="shared" ref="AE95:AE98" si="272">(AA46*$C95)+(AB46*$C95)+(AC46*$C95)+(AD46*$C95)+(AE46*$C95)/$E$7</f>
        <v>0</v>
      </c>
      <c r="AF95" s="2780">
        <f t="shared" ref="AF95:AF98" si="273">(AA46*$C95)+(AB46*$C95)+(AC46*$C95)+(AD46*$C95)+(AE46*$C95)+(AF46*$C95)/$E$7</f>
        <v>0</v>
      </c>
      <c r="AG95" s="1113">
        <f>'11.2. ДА за периода'!AG95</f>
        <v>0</v>
      </c>
      <c r="AH95" s="907">
        <f t="shared" ref="AH95:AH98" si="274">(AH46*$C95)/$E$7</f>
        <v>0.08</v>
      </c>
      <c r="AI95" s="1136">
        <f t="shared" ref="AI95:AI98" si="275">(AH46*$C95)+(AI46*$C95)/$E$7</f>
        <v>0.16</v>
      </c>
      <c r="AJ95" s="1136">
        <f t="shared" ref="AJ95:AJ98" si="276">(AH46*$C95)+(AI46*$C95)+(AJ46*$C95)/$E$7</f>
        <v>0.16</v>
      </c>
      <c r="AK95" s="1136">
        <f t="shared" ref="AK95:AK98" si="277">(AH46*$C95)+(AI46*$C95)+(AJ46*$C95)+(AK46*$C95)/$E$7</f>
        <v>0.16</v>
      </c>
      <c r="AL95" s="1136">
        <f t="shared" ref="AL95:AL98" si="278">(AH46*$C95)+(AI46*$C95)+(AJ46*$C95)+(AK46*$C95)+(AL46*$C95)/$E$7</f>
        <v>0.16</v>
      </c>
      <c r="AM95" s="2780">
        <f t="shared" ref="AM95:AM98" si="279">(AH46*$C95)+(AI46*$C95)+(AJ46*$C95)+(AK46*$C95)+(AL46*$C95)+(AM46*$C95)/$E$7</f>
        <v>0.16</v>
      </c>
      <c r="AN95" s="1113">
        <f>'11.2. ДА за периода'!AN95</f>
        <v>0</v>
      </c>
      <c r="AO95" s="2655">
        <f>($AO46*$C95)/$E$7</f>
        <v>0</v>
      </c>
      <c r="AP95" s="1136">
        <f>($AO46*$C95)+($AP46*$C95)/$E$7</f>
        <v>0</v>
      </c>
      <c r="AQ95" s="1136">
        <f>($AO46*$C95)+($AP46*$C95)+($AQ46*$C95)/$E$7</f>
        <v>0</v>
      </c>
      <c r="AR95" s="1136">
        <f>($AO46*$C95)+($AP46*$C95)+($AQ46*$C95)+($AR46*$C95)/$E$7</f>
        <v>0</v>
      </c>
      <c r="AS95" s="1136">
        <f>($AO46*$C95)+($AP46*$C95)+($AQ46*$C95)+($AR46*$C95)+($AS46*$C95)/$E$7</f>
        <v>0</v>
      </c>
      <c r="AT95" s="2656">
        <f>($AO46*$C95)+($AP46*$C95)+($AQ46*$C95)+($AR46*$C95)+($AS46*$C95)+($AT46*$C95)/$E$7</f>
        <v>0</v>
      </c>
      <c r="AU95" s="4488"/>
      <c r="AV95" s="4504">
        <f t="shared" si="162"/>
        <v>0</v>
      </c>
      <c r="AW95" s="4504">
        <f t="shared" si="163"/>
        <v>0</v>
      </c>
      <c r="AX95" s="4504">
        <f t="shared" si="164"/>
        <v>0</v>
      </c>
      <c r="AY95" s="4504">
        <f t="shared" si="165"/>
        <v>0</v>
      </c>
      <c r="AZ95" s="4504">
        <f t="shared" si="166"/>
        <v>0</v>
      </c>
      <c r="BA95" s="4504">
        <f t="shared" si="167"/>
        <v>0</v>
      </c>
      <c r="BB95" s="4504">
        <f t="shared" si="168"/>
        <v>0</v>
      </c>
      <c r="BC95" s="4504">
        <f t="shared" si="169"/>
        <v>0</v>
      </c>
      <c r="BD95" s="4504">
        <f t="shared" si="170"/>
        <v>0</v>
      </c>
      <c r="BE95" s="4504">
        <f t="shared" si="171"/>
        <v>0</v>
      </c>
      <c r="BF95" s="4504">
        <f t="shared" si="172"/>
        <v>0</v>
      </c>
      <c r="BG95" s="4504">
        <f t="shared" si="173"/>
        <v>0</v>
      </c>
      <c r="BH95" s="4504">
        <f t="shared" si="174"/>
        <v>0</v>
      </c>
      <c r="BI95" s="4504">
        <f t="shared" si="175"/>
        <v>0</v>
      </c>
      <c r="BJ95" s="4504">
        <f t="shared" si="176"/>
        <v>0</v>
      </c>
      <c r="BK95" s="4504">
        <f t="shared" si="177"/>
        <v>0</v>
      </c>
      <c r="BL95" s="4504">
        <f t="shared" si="178"/>
        <v>0</v>
      </c>
      <c r="BM95" s="4504">
        <f t="shared" si="179"/>
        <v>0</v>
      </c>
      <c r="BN95" s="4504">
        <f t="shared" si="180"/>
        <v>0</v>
      </c>
      <c r="BO95" s="4504">
        <f t="shared" si="181"/>
        <v>0</v>
      </c>
      <c r="BP95" s="4504">
        <f t="shared" si="182"/>
        <v>0</v>
      </c>
      <c r="BQ95" s="4504">
        <f t="shared" si="183"/>
        <v>0</v>
      </c>
      <c r="BR95" s="4504">
        <f t="shared" si="184"/>
        <v>0</v>
      </c>
      <c r="BS95" s="4504">
        <f t="shared" si="185"/>
        <v>0</v>
      </c>
      <c r="BT95" s="4504">
        <f t="shared" si="186"/>
        <v>0</v>
      </c>
      <c r="BU95" s="4504">
        <f t="shared" si="187"/>
        <v>0</v>
      </c>
      <c r="BV95" s="4504">
        <f t="shared" si="188"/>
        <v>0</v>
      </c>
      <c r="BW95" s="4504">
        <f t="shared" si="189"/>
        <v>0</v>
      </c>
      <c r="BX95" s="4504">
        <f t="shared" si="190"/>
        <v>0</v>
      </c>
      <c r="BY95" s="4504">
        <f t="shared" si="191"/>
        <v>4.0903350495697481E-2</v>
      </c>
      <c r="BZ95" s="4504">
        <f t="shared" si="192"/>
        <v>8.1806700991394962E-2</v>
      </c>
      <c r="CA95" s="4504">
        <f t="shared" si="193"/>
        <v>8.1806700991394962E-2</v>
      </c>
      <c r="CB95" s="4504">
        <f t="shared" si="194"/>
        <v>8.1806700991394962E-2</v>
      </c>
      <c r="CC95" s="4504">
        <f t="shared" si="195"/>
        <v>8.1806700991394962E-2</v>
      </c>
      <c r="CD95" s="4504">
        <f t="shared" si="196"/>
        <v>8.1806700991394962E-2</v>
      </c>
      <c r="CE95" s="4504">
        <f t="shared" si="197"/>
        <v>0</v>
      </c>
      <c r="CF95" s="4504">
        <f t="shared" si="198"/>
        <v>0</v>
      </c>
      <c r="CG95" s="4504">
        <f t="shared" si="199"/>
        <v>0</v>
      </c>
      <c r="CH95" s="4504">
        <f t="shared" si="200"/>
        <v>0</v>
      </c>
      <c r="CI95" s="4504">
        <f t="shared" si="201"/>
        <v>0</v>
      </c>
      <c r="CJ95" s="4504">
        <f t="shared" si="202"/>
        <v>0</v>
      </c>
      <c r="CK95" s="4504">
        <f t="shared" si="203"/>
        <v>0</v>
      </c>
    </row>
    <row r="96" spans="1:89">
      <c r="A96" s="2759"/>
      <c r="B96" s="3629">
        <v>20502</v>
      </c>
      <c r="C96" s="3603">
        <v>0.1</v>
      </c>
      <c r="D96" s="2760" t="s">
        <v>411</v>
      </c>
      <c r="E96" s="2727">
        <f>'11.2. ДА за периода'!E96</f>
        <v>9.601356754893537</v>
      </c>
      <c r="F96" s="2655">
        <f>($F47*$C96)/$E$7</f>
        <v>0</v>
      </c>
      <c r="G96" s="1224">
        <f>($F47*$C96)+($G47*$C96)/$E$7</f>
        <v>0</v>
      </c>
      <c r="H96" s="1224">
        <f>($F47*$C96)+($G47*$C96)+($H47*$C96)/$E$7</f>
        <v>0</v>
      </c>
      <c r="I96" s="1224">
        <f>($F47*$C96)+($G47*$C96)+($H47*$C96)+($I47*$C96)/$E$7</f>
        <v>0</v>
      </c>
      <c r="J96" s="1224">
        <f>($F47*$C96)+($G47*$C96)+($H47*$C96)+($I47*$C96)+($J47*$C96)/$E$7</f>
        <v>0</v>
      </c>
      <c r="K96" s="2661">
        <f>($F47*$C96)+($G47*$C96)+($H47*$C96)+($I47*$C96)+($J47*$C96)+($K47*$C96)/$E$7</f>
        <v>0</v>
      </c>
      <c r="L96" s="2727">
        <f>'11.2. ДА за периода'!L96</f>
        <v>1.5825556796692926</v>
      </c>
      <c r="M96" s="1228">
        <f>($M47*$C96)/$E$7</f>
        <v>0</v>
      </c>
      <c r="N96" s="1224">
        <f>($M47*$C96)+($N47*$C96)/$E$7</f>
        <v>0</v>
      </c>
      <c r="O96" s="1224">
        <f>($M47*$C96)+($N47*$C96)+($O47*$C96)/$E$7</f>
        <v>0</v>
      </c>
      <c r="P96" s="1224">
        <f>($M47*$C96)+($N47*$C96)+($O47*$C96)+($P47*$C96)/$E$7</f>
        <v>0</v>
      </c>
      <c r="Q96" s="2661">
        <f>($M47*$C96)+($N47*$C96)+($O47*$C96)+($P47*$C96)+($Q47*$C96)/$E$7</f>
        <v>0</v>
      </c>
      <c r="R96" s="1229">
        <f>($M47*$C96)+($N47*$C96)+($O47*$C96)+($P47*$C96)+($Q47*$C96)+($R47*$C96)/$E$7</f>
        <v>0</v>
      </c>
      <c r="S96" s="1113">
        <f>'11.2. ДА за периода'!S96</f>
        <v>1.9310067802455748</v>
      </c>
      <c r="T96" s="908">
        <f>($T47*$C96)/$E$7</f>
        <v>0</v>
      </c>
      <c r="U96" s="1224">
        <f>($T47*$C96)+($U47*$C96)/$E$7</f>
        <v>0</v>
      </c>
      <c r="V96" s="1224">
        <f>($T47*$C96)+($U47*$C96)+($V47*$C96)/$E$7</f>
        <v>0</v>
      </c>
      <c r="W96" s="1224">
        <f>($T47*$C96)+($U47*$C96)+($V47*$C96)+($W47*$C96)/$E$7</f>
        <v>0</v>
      </c>
      <c r="X96" s="1224">
        <f>($T47*$C96)+($U47*$C96)+($V47*$C96)+($W47*$C96)+($X47*$C96)/$E$7</f>
        <v>0</v>
      </c>
      <c r="Y96" s="1229">
        <f>($T47*$C96)+($U47*$C96)+($V47*$C96)+($W47*$C96)+($X47*$C96)+($Y47*$C96)/$E$7</f>
        <v>0</v>
      </c>
      <c r="Z96" s="1113">
        <f>'11.2. ДА за периода'!Z96</f>
        <v>0</v>
      </c>
      <c r="AA96" s="908">
        <f t="shared" si="268"/>
        <v>0</v>
      </c>
      <c r="AB96" s="1224">
        <f t="shared" si="269"/>
        <v>0</v>
      </c>
      <c r="AC96" s="1224">
        <f t="shared" si="270"/>
        <v>0</v>
      </c>
      <c r="AD96" s="1224">
        <f t="shared" si="271"/>
        <v>0</v>
      </c>
      <c r="AE96" s="1224">
        <f t="shared" si="272"/>
        <v>0</v>
      </c>
      <c r="AF96" s="2661">
        <f t="shared" si="273"/>
        <v>0</v>
      </c>
      <c r="AG96" s="1113">
        <f>'11.2. ДА за периода'!AG96</f>
        <v>9.0466337165778191E-2</v>
      </c>
      <c r="AH96" s="908">
        <f t="shared" si="274"/>
        <v>0.05</v>
      </c>
      <c r="AI96" s="1224">
        <f t="shared" si="275"/>
        <v>0.1</v>
      </c>
      <c r="AJ96" s="1224">
        <f t="shared" si="276"/>
        <v>0.1</v>
      </c>
      <c r="AK96" s="1224">
        <f t="shared" si="277"/>
        <v>0.1</v>
      </c>
      <c r="AL96" s="1224">
        <f t="shared" si="278"/>
        <v>0.1</v>
      </c>
      <c r="AM96" s="2661">
        <f t="shared" si="279"/>
        <v>0.1</v>
      </c>
      <c r="AN96" s="1113">
        <f>'11.2. ДА за периода'!AN96</f>
        <v>0</v>
      </c>
      <c r="AO96" s="1228">
        <f>($AO47*$C96)/$E$7</f>
        <v>0.1</v>
      </c>
      <c r="AP96" s="1224">
        <f>($AO47*$C96)+($AP47*$C96)/$E$7</f>
        <v>0.2</v>
      </c>
      <c r="AQ96" s="1224">
        <f>($AO47*$C96)+($AP47*$C96)+($AQ47*$C96)/$E$7</f>
        <v>0.2</v>
      </c>
      <c r="AR96" s="1224">
        <f>($AO47*$C96)+($AP47*$C96)+($AQ47*$C96)+($AR47*$C96)/$E$7</f>
        <v>0.2</v>
      </c>
      <c r="AS96" s="1224">
        <f>($AO47*$C96)+($AP47*$C96)+($AQ47*$C96)+($AR47*$C96)+($AS47*$C96)/$E$7</f>
        <v>0.2</v>
      </c>
      <c r="AT96" s="1229">
        <f>($AO47*$C96)+($AP47*$C96)+($AQ47*$C96)+($AR47*$C96)+($AS47*$C96)+($AT47*$C96)/$E$7</f>
        <v>0.2</v>
      </c>
      <c r="AU96" s="4488"/>
      <c r="AV96" s="4504">
        <f t="shared" si="162"/>
        <v>4.9090957572455363</v>
      </c>
      <c r="AW96" s="4504">
        <f t="shared" si="163"/>
        <v>0</v>
      </c>
      <c r="AX96" s="4504">
        <f t="shared" si="164"/>
        <v>0</v>
      </c>
      <c r="AY96" s="4504">
        <f t="shared" si="165"/>
        <v>0</v>
      </c>
      <c r="AZ96" s="4504">
        <f t="shared" si="166"/>
        <v>0</v>
      </c>
      <c r="BA96" s="4504">
        <f t="shared" si="167"/>
        <v>0</v>
      </c>
      <c r="BB96" s="4504">
        <f t="shared" si="168"/>
        <v>0</v>
      </c>
      <c r="BC96" s="4504">
        <f t="shared" si="169"/>
        <v>0.80914787055587278</v>
      </c>
      <c r="BD96" s="4504">
        <f t="shared" si="170"/>
        <v>0</v>
      </c>
      <c r="BE96" s="4504">
        <f t="shared" si="171"/>
        <v>0</v>
      </c>
      <c r="BF96" s="4504">
        <f t="shared" si="172"/>
        <v>0</v>
      </c>
      <c r="BG96" s="4504">
        <f t="shared" si="173"/>
        <v>0</v>
      </c>
      <c r="BH96" s="4504">
        <f t="shared" si="174"/>
        <v>0</v>
      </c>
      <c r="BI96" s="4504">
        <f t="shared" si="175"/>
        <v>0</v>
      </c>
      <c r="BJ96" s="4504">
        <f t="shared" si="176"/>
        <v>0.98730808927441283</v>
      </c>
      <c r="BK96" s="4504">
        <f t="shared" si="177"/>
        <v>0</v>
      </c>
      <c r="BL96" s="4504">
        <f t="shared" si="178"/>
        <v>0</v>
      </c>
      <c r="BM96" s="4504">
        <f t="shared" si="179"/>
        <v>0</v>
      </c>
      <c r="BN96" s="4504">
        <f t="shared" si="180"/>
        <v>0</v>
      </c>
      <c r="BO96" s="4504">
        <f t="shared" si="181"/>
        <v>0</v>
      </c>
      <c r="BP96" s="4504">
        <f t="shared" si="182"/>
        <v>0</v>
      </c>
      <c r="BQ96" s="4504">
        <f t="shared" si="183"/>
        <v>0</v>
      </c>
      <c r="BR96" s="4504">
        <f t="shared" si="184"/>
        <v>0</v>
      </c>
      <c r="BS96" s="4504">
        <f t="shared" si="185"/>
        <v>0</v>
      </c>
      <c r="BT96" s="4504">
        <f t="shared" si="186"/>
        <v>0</v>
      </c>
      <c r="BU96" s="4504">
        <f t="shared" si="187"/>
        <v>0</v>
      </c>
      <c r="BV96" s="4504">
        <f t="shared" si="188"/>
        <v>0</v>
      </c>
      <c r="BW96" s="4504">
        <f t="shared" si="189"/>
        <v>0</v>
      </c>
      <c r="BX96" s="4504">
        <f t="shared" si="190"/>
        <v>4.6254703714422106E-2</v>
      </c>
      <c r="BY96" s="4504">
        <f t="shared" si="191"/>
        <v>2.5564594059810927E-2</v>
      </c>
      <c r="BZ96" s="4504">
        <f t="shared" si="192"/>
        <v>5.1129188119621853E-2</v>
      </c>
      <c r="CA96" s="4504">
        <f t="shared" si="193"/>
        <v>5.1129188119621853E-2</v>
      </c>
      <c r="CB96" s="4504">
        <f t="shared" si="194"/>
        <v>5.1129188119621853E-2</v>
      </c>
      <c r="CC96" s="4504">
        <f t="shared" si="195"/>
        <v>5.1129188119621853E-2</v>
      </c>
      <c r="CD96" s="4504">
        <f t="shared" si="196"/>
        <v>5.1129188119621853E-2</v>
      </c>
      <c r="CE96" s="4504">
        <f t="shared" si="197"/>
        <v>0</v>
      </c>
      <c r="CF96" s="4504">
        <f t="shared" si="198"/>
        <v>5.1129188119621853E-2</v>
      </c>
      <c r="CG96" s="4504">
        <f t="shared" si="199"/>
        <v>0.10225837623924371</v>
      </c>
      <c r="CH96" s="4504">
        <f t="shared" si="200"/>
        <v>0.10225837623924371</v>
      </c>
      <c r="CI96" s="4504">
        <f t="shared" si="201"/>
        <v>0.10225837623924371</v>
      </c>
      <c r="CJ96" s="4504">
        <f t="shared" si="202"/>
        <v>0.10225837623924371</v>
      </c>
      <c r="CK96" s="4504">
        <f t="shared" si="203"/>
        <v>0.10225837623924371</v>
      </c>
    </row>
    <row r="97" spans="1:89">
      <c r="A97" s="2759"/>
      <c r="B97" s="3629">
        <v>20503</v>
      </c>
      <c r="C97" s="3603">
        <v>0.1</v>
      </c>
      <c r="D97" s="2742" t="s">
        <v>412</v>
      </c>
      <c r="E97" s="2727">
        <f>'11.2. ДА за периода'!E97</f>
        <v>0.40500000000000003</v>
      </c>
      <c r="F97" s="2655">
        <f>($F48*$C97)/$E$7</f>
        <v>0</v>
      </c>
      <c r="G97" s="1224">
        <f>($F48*$C97)+($G48*$C97)/$E$7</f>
        <v>0</v>
      </c>
      <c r="H97" s="1224">
        <f>($F48*$C97)+($G48*$C97)+($H48*$C97)/$E$7</f>
        <v>0</v>
      </c>
      <c r="I97" s="1224">
        <f>($F48*$C97)+($G48*$C97)+($H48*$C97)+($I48*$C97)/$E$7</f>
        <v>0</v>
      </c>
      <c r="J97" s="1224">
        <f>($F48*$C97)+($G48*$C97)+($H48*$C97)+($I48*$C97)+($J48*$C97)/$E$7</f>
        <v>0</v>
      </c>
      <c r="K97" s="2661">
        <f>($F48*$C97)+($G48*$C97)+($H48*$C97)+($I48*$C97)+($J48*$C97)+($K48*$C97)/$E$7</f>
        <v>0</v>
      </c>
      <c r="L97" s="2727">
        <f>'11.2. ДА за периода'!L97</f>
        <v>0</v>
      </c>
      <c r="M97" s="1228">
        <f>($M48*$C97)/$E$7</f>
        <v>0</v>
      </c>
      <c r="N97" s="1224">
        <f>($M48*$C97)+($N48*$C97)/$E$7</f>
        <v>0.15000000000000002</v>
      </c>
      <c r="O97" s="1224">
        <f>($M48*$C97)+($N48*$C97)+($O48*$C97)/$E$7</f>
        <v>0.45000000000000007</v>
      </c>
      <c r="P97" s="1224">
        <f>($M48*$C97)+($N48*$C97)+($O48*$C97)+($P48*$C97)/$E$7</f>
        <v>0.75000000000000011</v>
      </c>
      <c r="Q97" s="2661">
        <f>($M48*$C97)+($N48*$C97)+($O48*$C97)+($P48*$C97)+($Q48*$C97)/$E$7</f>
        <v>1.0500000000000003</v>
      </c>
      <c r="R97" s="1229">
        <f>($M48*$C97)+($N48*$C97)+($O48*$C97)+($P48*$C97)+($Q48*$C97)+($R48*$C97)/$E$7</f>
        <v>1.35</v>
      </c>
      <c r="S97" s="1113">
        <f>'11.2. ДА за периода'!S97</f>
        <v>0</v>
      </c>
      <c r="T97" s="908">
        <f>($T48*$C97)/$E$7</f>
        <v>0</v>
      </c>
      <c r="U97" s="1224">
        <f>($T48*$C97)+($U48*$C97)/$E$7</f>
        <v>0.1</v>
      </c>
      <c r="V97" s="1224">
        <f>($T48*$C97)+($U48*$C97)+($V48*$C97)/$E$7</f>
        <v>0.30000000000000004</v>
      </c>
      <c r="W97" s="1224">
        <f>($T48*$C97)+($U48*$C97)+($V48*$C97)+($W48*$C97)/$E$7</f>
        <v>0.5</v>
      </c>
      <c r="X97" s="1224">
        <f>($T48*$C97)+($U48*$C97)+($V48*$C97)+($W48*$C97)+($X48*$C97)/$E$7</f>
        <v>0.70000000000000007</v>
      </c>
      <c r="Y97" s="1229">
        <f>($T48*$C97)+($U48*$C97)+($V48*$C97)+($W48*$C97)+($X48*$C97)+($Y48*$C97)/$E$7</f>
        <v>0.9</v>
      </c>
      <c r="Z97" s="1113">
        <f>'11.2. ДА за периода'!Z97</f>
        <v>0</v>
      </c>
      <c r="AA97" s="908">
        <f t="shared" si="268"/>
        <v>0</v>
      </c>
      <c r="AB97" s="1224">
        <f t="shared" si="269"/>
        <v>0</v>
      </c>
      <c r="AC97" s="1224">
        <f t="shared" si="270"/>
        <v>0</v>
      </c>
      <c r="AD97" s="1224">
        <f t="shared" si="271"/>
        <v>0</v>
      </c>
      <c r="AE97" s="1224">
        <f t="shared" si="272"/>
        <v>0</v>
      </c>
      <c r="AF97" s="2661">
        <f t="shared" si="273"/>
        <v>0</v>
      </c>
      <c r="AG97" s="1113">
        <f>'11.2. ДА за периода'!AG97</f>
        <v>0</v>
      </c>
      <c r="AH97" s="908">
        <f t="shared" si="274"/>
        <v>0</v>
      </c>
      <c r="AI97" s="1224">
        <f t="shared" si="275"/>
        <v>0.1</v>
      </c>
      <c r="AJ97" s="1224">
        <f t="shared" si="276"/>
        <v>0.30000000000000004</v>
      </c>
      <c r="AK97" s="1224">
        <f t="shared" si="277"/>
        <v>0.5</v>
      </c>
      <c r="AL97" s="1224">
        <f t="shared" si="278"/>
        <v>0.70000000000000007</v>
      </c>
      <c r="AM97" s="2661">
        <f t="shared" si="279"/>
        <v>0.9</v>
      </c>
      <c r="AN97" s="1113">
        <f>'11.2. ДА за периода'!AN97</f>
        <v>0</v>
      </c>
      <c r="AO97" s="1228">
        <f>($AO48*$C97)/$E$7</f>
        <v>0.1</v>
      </c>
      <c r="AP97" s="1224">
        <f>($AO48*$C97)+($AP48*$C97)/$E$7</f>
        <v>0.2</v>
      </c>
      <c r="AQ97" s="1224">
        <f>($AO48*$C97)+($AP48*$C97)+($AQ48*$C97)/$E$7</f>
        <v>0.2</v>
      </c>
      <c r="AR97" s="1224">
        <f>($AO48*$C97)+($AP48*$C97)+($AQ48*$C97)+($AR48*$C97)/$E$7</f>
        <v>0.2</v>
      </c>
      <c r="AS97" s="1224">
        <f>($AO48*$C97)+($AP48*$C97)+($AQ48*$C97)+($AR48*$C97)+($AS48*$C97)/$E$7</f>
        <v>0.2</v>
      </c>
      <c r="AT97" s="1229">
        <f>($AO48*$C97)+($AP48*$C97)+($AQ48*$C97)+($AR48*$C97)+($AS48*$C97)+($AT48*$C97)/$E$7</f>
        <v>0.2</v>
      </c>
      <c r="AU97" s="4488"/>
      <c r="AV97" s="4504">
        <f t="shared" si="162"/>
        <v>0.20707321188446851</v>
      </c>
      <c r="AW97" s="4504">
        <f t="shared" si="163"/>
        <v>0</v>
      </c>
      <c r="AX97" s="4504">
        <f t="shared" si="164"/>
        <v>0</v>
      </c>
      <c r="AY97" s="4504">
        <f t="shared" si="165"/>
        <v>0</v>
      </c>
      <c r="AZ97" s="4504">
        <f t="shared" si="166"/>
        <v>0</v>
      </c>
      <c r="BA97" s="4504">
        <f t="shared" si="167"/>
        <v>0</v>
      </c>
      <c r="BB97" s="4504">
        <f t="shared" si="168"/>
        <v>0</v>
      </c>
      <c r="BC97" s="4504">
        <f t="shared" si="169"/>
        <v>0</v>
      </c>
      <c r="BD97" s="4504">
        <f t="shared" si="170"/>
        <v>0</v>
      </c>
      <c r="BE97" s="4504">
        <f t="shared" si="171"/>
        <v>7.669378217943279E-2</v>
      </c>
      <c r="BF97" s="4504">
        <f t="shared" si="172"/>
        <v>0.23008134653829837</v>
      </c>
      <c r="BG97" s="4504">
        <f t="shared" si="173"/>
        <v>0.38346891089716395</v>
      </c>
      <c r="BH97" s="4504">
        <f t="shared" si="174"/>
        <v>0.53685647525602953</v>
      </c>
      <c r="BI97" s="4504">
        <f t="shared" si="175"/>
        <v>0.690244039614895</v>
      </c>
      <c r="BJ97" s="4504">
        <f t="shared" si="176"/>
        <v>0</v>
      </c>
      <c r="BK97" s="4504">
        <f t="shared" si="177"/>
        <v>0</v>
      </c>
      <c r="BL97" s="4504">
        <f t="shared" si="178"/>
        <v>5.1129188119621853E-2</v>
      </c>
      <c r="BM97" s="4504">
        <f t="shared" si="179"/>
        <v>0.15338756435886558</v>
      </c>
      <c r="BN97" s="4504">
        <f t="shared" si="180"/>
        <v>0.25564594059810924</v>
      </c>
      <c r="BO97" s="4504">
        <f t="shared" si="181"/>
        <v>0.35790431683735296</v>
      </c>
      <c r="BP97" s="4504">
        <f t="shared" si="182"/>
        <v>0.46016269307659668</v>
      </c>
      <c r="BQ97" s="4504">
        <f t="shared" si="183"/>
        <v>0</v>
      </c>
      <c r="BR97" s="4504">
        <f t="shared" si="184"/>
        <v>0</v>
      </c>
      <c r="BS97" s="4504">
        <f t="shared" si="185"/>
        <v>0</v>
      </c>
      <c r="BT97" s="4504">
        <f t="shared" si="186"/>
        <v>0</v>
      </c>
      <c r="BU97" s="4504">
        <f t="shared" si="187"/>
        <v>0</v>
      </c>
      <c r="BV97" s="4504">
        <f t="shared" si="188"/>
        <v>0</v>
      </c>
      <c r="BW97" s="4504">
        <f t="shared" si="189"/>
        <v>0</v>
      </c>
      <c r="BX97" s="4504">
        <f t="shared" si="190"/>
        <v>0</v>
      </c>
      <c r="BY97" s="4504">
        <f t="shared" si="191"/>
        <v>0</v>
      </c>
      <c r="BZ97" s="4504">
        <f t="shared" si="192"/>
        <v>5.1129188119621853E-2</v>
      </c>
      <c r="CA97" s="4504">
        <f t="shared" si="193"/>
        <v>0.15338756435886558</v>
      </c>
      <c r="CB97" s="4504">
        <f t="shared" si="194"/>
        <v>0.25564594059810924</v>
      </c>
      <c r="CC97" s="4504">
        <f t="shared" si="195"/>
        <v>0.35790431683735296</v>
      </c>
      <c r="CD97" s="4504">
        <f t="shared" si="196"/>
        <v>0.46016269307659668</v>
      </c>
      <c r="CE97" s="4504">
        <f t="shared" si="197"/>
        <v>0</v>
      </c>
      <c r="CF97" s="4504">
        <f t="shared" si="198"/>
        <v>5.1129188119621853E-2</v>
      </c>
      <c r="CG97" s="4504">
        <f t="shared" si="199"/>
        <v>0.10225837623924371</v>
      </c>
      <c r="CH97" s="4504">
        <f t="shared" si="200"/>
        <v>0.10225837623924371</v>
      </c>
      <c r="CI97" s="4504">
        <f t="shared" si="201"/>
        <v>0.10225837623924371</v>
      </c>
      <c r="CJ97" s="4504">
        <f t="shared" si="202"/>
        <v>0.10225837623924371</v>
      </c>
      <c r="CK97" s="4504">
        <f t="shared" si="203"/>
        <v>0.10225837623924371</v>
      </c>
    </row>
    <row r="98" spans="1:89">
      <c r="A98" s="2759"/>
      <c r="B98" s="3629">
        <v>20504</v>
      </c>
      <c r="C98" s="3603">
        <v>0.1</v>
      </c>
      <c r="D98" s="2742" t="s">
        <v>557</v>
      </c>
      <c r="E98" s="2727">
        <f>'11.2. ДА за периода'!E98</f>
        <v>0</v>
      </c>
      <c r="F98" s="2655">
        <f>($F49*$C98)/$E$7</f>
        <v>0</v>
      </c>
      <c r="G98" s="1224">
        <f>($F49*$C98)+($G49*$C98)/$E$7</f>
        <v>0</v>
      </c>
      <c r="H98" s="1224">
        <f>($F49*$C98)+($G49*$C98)+($H49*$C98)/$E$7</f>
        <v>0</v>
      </c>
      <c r="I98" s="1224">
        <f>($F49*$C98)+($G49*$C98)+($H49*$C98)+($I49*$C98)/$E$7</f>
        <v>0</v>
      </c>
      <c r="J98" s="1224">
        <f>($F49*$C98)+($G49*$C98)+($H49*$C98)+($I49*$C98)+($J49*$C98)/$E$7</f>
        <v>0</v>
      </c>
      <c r="K98" s="2661">
        <f>($F49*$C98)+($G49*$C98)+($H49*$C98)+($I49*$C98)+($J49*$C98)+($K49*$C98)/$E$7</f>
        <v>0</v>
      </c>
      <c r="L98" s="2727">
        <f>'11.2. ДА за периода'!L98</f>
        <v>0</v>
      </c>
      <c r="M98" s="1228">
        <f>($M49*$C98)/$E$7</f>
        <v>0</v>
      </c>
      <c r="N98" s="1224">
        <f>($M49*$C98)+($N49*$C98)/$E$7</f>
        <v>0</v>
      </c>
      <c r="O98" s="1224">
        <f>($M49*$C98)+($N49*$C98)+($O49*$C98)/$E$7</f>
        <v>0</v>
      </c>
      <c r="P98" s="1224">
        <f>($M49*$C98)+($N49*$C98)+($O49*$C98)+($P49*$C98)/$E$7</f>
        <v>0</v>
      </c>
      <c r="Q98" s="2661">
        <f>($M49*$C98)+($N49*$C98)+($O49*$C98)+($P49*$C98)+($Q49*$C98)/$E$7</f>
        <v>0</v>
      </c>
      <c r="R98" s="1229">
        <f>($M49*$C98)+($N49*$C98)+($O49*$C98)+($P49*$C98)+($Q49*$C98)+($R49*$C98)/$E$7</f>
        <v>0</v>
      </c>
      <c r="S98" s="1113">
        <f>'11.2. ДА за периода'!S98</f>
        <v>0</v>
      </c>
      <c r="T98" s="908">
        <f>($T49*$C98)/$E$7</f>
        <v>0</v>
      </c>
      <c r="U98" s="1224">
        <f>($T49*$C98)+($U49*$C98)/$E$7</f>
        <v>0</v>
      </c>
      <c r="V98" s="1224">
        <f>($T49*$C98)+($U49*$C98)+($V49*$C98)/$E$7</f>
        <v>0</v>
      </c>
      <c r="W98" s="1224">
        <f>($T49*$C98)+($U49*$C98)+($V49*$C98)+($W49*$C98)/$E$7</f>
        <v>0</v>
      </c>
      <c r="X98" s="1224">
        <f>($T49*$C98)+($U49*$C98)+($V49*$C98)+($W49*$C98)+($X49*$C98)/$E$7</f>
        <v>0</v>
      </c>
      <c r="Y98" s="1229">
        <f>($T49*$C98)+($U49*$C98)+($V49*$C98)+($W49*$C98)+($X49*$C98)+($Y49*$C98)/$E$7</f>
        <v>0</v>
      </c>
      <c r="Z98" s="1113">
        <f>'11.2. ДА за периода'!Z98</f>
        <v>0</v>
      </c>
      <c r="AA98" s="908">
        <f t="shared" si="268"/>
        <v>0</v>
      </c>
      <c r="AB98" s="1224">
        <f t="shared" si="269"/>
        <v>0</v>
      </c>
      <c r="AC98" s="1224">
        <f t="shared" si="270"/>
        <v>0</v>
      </c>
      <c r="AD98" s="1224">
        <f t="shared" si="271"/>
        <v>0</v>
      </c>
      <c r="AE98" s="1224">
        <f t="shared" si="272"/>
        <v>0</v>
      </c>
      <c r="AF98" s="2661">
        <f t="shared" si="273"/>
        <v>0</v>
      </c>
      <c r="AG98" s="1113">
        <f>'11.2. ДА за периода'!AG98</f>
        <v>0</v>
      </c>
      <c r="AH98" s="908">
        <f t="shared" si="274"/>
        <v>0</v>
      </c>
      <c r="AI98" s="1224">
        <f t="shared" si="275"/>
        <v>0</v>
      </c>
      <c r="AJ98" s="1224">
        <f t="shared" si="276"/>
        <v>0</v>
      </c>
      <c r="AK98" s="1224">
        <f t="shared" si="277"/>
        <v>0</v>
      </c>
      <c r="AL98" s="1224">
        <f t="shared" si="278"/>
        <v>0</v>
      </c>
      <c r="AM98" s="2661">
        <f t="shared" si="279"/>
        <v>0</v>
      </c>
      <c r="AN98" s="1113">
        <f>'11.2. ДА за периода'!AN98</f>
        <v>0</v>
      </c>
      <c r="AO98" s="1228">
        <f>($AO49*$C98)/$E$7</f>
        <v>0</v>
      </c>
      <c r="AP98" s="1224">
        <f>($AO49*$C98)+($AP49*$C98)/$E$7</f>
        <v>0</v>
      </c>
      <c r="AQ98" s="1224">
        <f>($AO49*$C98)+($AP49*$C98)+($AQ49*$C98)/$E$7</f>
        <v>0</v>
      </c>
      <c r="AR98" s="1224">
        <f>($AO49*$C98)+($AP49*$C98)+($AQ49*$C98)+($AR49*$C98)/$E$7</f>
        <v>0</v>
      </c>
      <c r="AS98" s="1224">
        <f>($AO49*$C98)+($AP49*$C98)+($AQ49*$C98)+($AR49*$C98)+($AS49*$C98)/$E$7</f>
        <v>0</v>
      </c>
      <c r="AT98" s="1229">
        <f>($AO49*$C98)+($AP49*$C98)+($AQ49*$C98)+($AR49*$C98)+($AS49*$C98)+($AT49*$C98)/$E$7</f>
        <v>0</v>
      </c>
      <c r="AU98" s="4488"/>
      <c r="AV98" s="4504">
        <f t="shared" si="162"/>
        <v>0</v>
      </c>
      <c r="AW98" s="4504">
        <f t="shared" si="163"/>
        <v>0</v>
      </c>
      <c r="AX98" s="4504">
        <f t="shared" si="164"/>
        <v>0</v>
      </c>
      <c r="AY98" s="4504">
        <f t="shared" si="165"/>
        <v>0</v>
      </c>
      <c r="AZ98" s="4504">
        <f t="shared" si="166"/>
        <v>0</v>
      </c>
      <c r="BA98" s="4504">
        <f t="shared" si="167"/>
        <v>0</v>
      </c>
      <c r="BB98" s="4504">
        <f t="shared" si="168"/>
        <v>0</v>
      </c>
      <c r="BC98" s="4504">
        <f t="shared" si="169"/>
        <v>0</v>
      </c>
      <c r="BD98" s="4504">
        <f t="shared" si="170"/>
        <v>0</v>
      </c>
      <c r="BE98" s="4504">
        <f t="shared" si="171"/>
        <v>0</v>
      </c>
      <c r="BF98" s="4504">
        <f t="shared" si="172"/>
        <v>0</v>
      </c>
      <c r="BG98" s="4504">
        <f t="shared" si="173"/>
        <v>0</v>
      </c>
      <c r="BH98" s="4504">
        <f t="shared" si="174"/>
        <v>0</v>
      </c>
      <c r="BI98" s="4504">
        <f t="shared" si="175"/>
        <v>0</v>
      </c>
      <c r="BJ98" s="4504">
        <f t="shared" si="176"/>
        <v>0</v>
      </c>
      <c r="BK98" s="4504">
        <f t="shared" si="177"/>
        <v>0</v>
      </c>
      <c r="BL98" s="4504">
        <f t="shared" si="178"/>
        <v>0</v>
      </c>
      <c r="BM98" s="4504">
        <f t="shared" si="179"/>
        <v>0</v>
      </c>
      <c r="BN98" s="4504">
        <f t="shared" si="180"/>
        <v>0</v>
      </c>
      <c r="BO98" s="4504">
        <f t="shared" si="181"/>
        <v>0</v>
      </c>
      <c r="BP98" s="4504">
        <f t="shared" si="182"/>
        <v>0</v>
      </c>
      <c r="BQ98" s="4504">
        <f t="shared" si="183"/>
        <v>0</v>
      </c>
      <c r="BR98" s="4504">
        <f t="shared" si="184"/>
        <v>0</v>
      </c>
      <c r="BS98" s="4504">
        <f t="shared" si="185"/>
        <v>0</v>
      </c>
      <c r="BT98" s="4504">
        <f t="shared" si="186"/>
        <v>0</v>
      </c>
      <c r="BU98" s="4504">
        <f t="shared" si="187"/>
        <v>0</v>
      </c>
      <c r="BV98" s="4504">
        <f t="shared" si="188"/>
        <v>0</v>
      </c>
      <c r="BW98" s="4504">
        <f t="shared" si="189"/>
        <v>0</v>
      </c>
      <c r="BX98" s="4504">
        <f t="shared" si="190"/>
        <v>0</v>
      </c>
      <c r="BY98" s="4504">
        <f t="shared" si="191"/>
        <v>0</v>
      </c>
      <c r="BZ98" s="4504">
        <f t="shared" si="192"/>
        <v>0</v>
      </c>
      <c r="CA98" s="4504">
        <f t="shared" si="193"/>
        <v>0</v>
      </c>
      <c r="CB98" s="4504">
        <f t="shared" si="194"/>
        <v>0</v>
      </c>
      <c r="CC98" s="4504">
        <f t="shared" si="195"/>
        <v>0</v>
      </c>
      <c r="CD98" s="4504">
        <f t="shared" si="196"/>
        <v>0</v>
      </c>
      <c r="CE98" s="4504">
        <f t="shared" si="197"/>
        <v>0</v>
      </c>
      <c r="CF98" s="4504">
        <f t="shared" si="198"/>
        <v>0</v>
      </c>
      <c r="CG98" s="4504">
        <f t="shared" si="199"/>
        <v>0</v>
      </c>
      <c r="CH98" s="4504">
        <f t="shared" si="200"/>
        <v>0</v>
      </c>
      <c r="CI98" s="4504">
        <f t="shared" si="201"/>
        <v>0</v>
      </c>
      <c r="CJ98" s="4504">
        <f t="shared" si="202"/>
        <v>0</v>
      </c>
      <c r="CK98" s="4504">
        <f t="shared" si="203"/>
        <v>0</v>
      </c>
    </row>
    <row r="99" spans="1:89" s="30" customFormat="1">
      <c r="A99" s="2734">
        <v>6</v>
      </c>
      <c r="B99" s="3630">
        <v>206</v>
      </c>
      <c r="C99" s="3604">
        <v>0.1</v>
      </c>
      <c r="D99" s="2750" t="s">
        <v>394</v>
      </c>
      <c r="E99" s="2783">
        <f t="shared" ref="E99:K99" si="280">SUM(E100:E102)</f>
        <v>7.134389898477532E-2</v>
      </c>
      <c r="F99" s="2784">
        <f t="shared" si="280"/>
        <v>0</v>
      </c>
      <c r="G99" s="2785">
        <f t="shared" si="280"/>
        <v>0</v>
      </c>
      <c r="H99" s="2785">
        <f t="shared" si="280"/>
        <v>0</v>
      </c>
      <c r="I99" s="2785">
        <f t="shared" si="280"/>
        <v>0</v>
      </c>
      <c r="J99" s="2785">
        <f t="shared" si="280"/>
        <v>0</v>
      </c>
      <c r="K99" s="2786">
        <f t="shared" si="280"/>
        <v>0</v>
      </c>
      <c r="L99" s="2787">
        <f t="shared" ref="L99:AT99" si="281">SUM(L100:L102)</f>
        <v>1.2437786174858221E-2</v>
      </c>
      <c r="M99" s="2784">
        <f t="shared" si="281"/>
        <v>0</v>
      </c>
      <c r="N99" s="2785">
        <f t="shared" si="281"/>
        <v>0</v>
      </c>
      <c r="O99" s="2785">
        <f t="shared" si="281"/>
        <v>0</v>
      </c>
      <c r="P99" s="2785">
        <f t="shared" si="281"/>
        <v>0</v>
      </c>
      <c r="Q99" s="2785">
        <f t="shared" si="281"/>
        <v>0</v>
      </c>
      <c r="R99" s="2788">
        <f t="shared" si="281"/>
        <v>0</v>
      </c>
      <c r="S99" s="2787">
        <f t="shared" si="281"/>
        <v>1.5176369301530568E-2</v>
      </c>
      <c r="T99" s="2789">
        <f t="shared" si="281"/>
        <v>0</v>
      </c>
      <c r="U99" s="2785">
        <f t="shared" si="281"/>
        <v>0</v>
      </c>
      <c r="V99" s="2785">
        <f t="shared" si="281"/>
        <v>0</v>
      </c>
      <c r="W99" s="2785">
        <f t="shared" si="281"/>
        <v>0</v>
      </c>
      <c r="X99" s="2785">
        <f t="shared" si="281"/>
        <v>0</v>
      </c>
      <c r="Y99" s="2788">
        <f t="shared" si="281"/>
        <v>0</v>
      </c>
      <c r="Z99" s="2787">
        <f t="shared" si="281"/>
        <v>0</v>
      </c>
      <c r="AA99" s="2789">
        <f t="shared" si="281"/>
        <v>0</v>
      </c>
      <c r="AB99" s="2785">
        <f t="shared" si="281"/>
        <v>0</v>
      </c>
      <c r="AC99" s="2785">
        <f t="shared" si="281"/>
        <v>0</v>
      </c>
      <c r="AD99" s="2785">
        <f t="shared" si="281"/>
        <v>0</v>
      </c>
      <c r="AE99" s="2785">
        <f t="shared" si="281"/>
        <v>0</v>
      </c>
      <c r="AF99" s="2788">
        <f t="shared" si="281"/>
        <v>0</v>
      </c>
      <c r="AG99" s="2787">
        <f t="shared" si="281"/>
        <v>7.1100244506134029E-4</v>
      </c>
      <c r="AH99" s="2789">
        <f t="shared" si="281"/>
        <v>0</v>
      </c>
      <c r="AI99" s="2785">
        <f t="shared" si="281"/>
        <v>0</v>
      </c>
      <c r="AJ99" s="2785">
        <f t="shared" si="281"/>
        <v>0</v>
      </c>
      <c r="AK99" s="2785">
        <f t="shared" si="281"/>
        <v>0</v>
      </c>
      <c r="AL99" s="2785">
        <f t="shared" si="281"/>
        <v>0</v>
      </c>
      <c r="AM99" s="2788">
        <f t="shared" si="281"/>
        <v>0</v>
      </c>
      <c r="AN99" s="2787">
        <f t="shared" si="281"/>
        <v>0</v>
      </c>
      <c r="AO99" s="2789">
        <f t="shared" si="281"/>
        <v>0.2</v>
      </c>
      <c r="AP99" s="2785">
        <f t="shared" si="281"/>
        <v>0.5</v>
      </c>
      <c r="AQ99" s="2785">
        <f t="shared" si="281"/>
        <v>0.70000000000000007</v>
      </c>
      <c r="AR99" s="2785">
        <f t="shared" si="281"/>
        <v>0.9</v>
      </c>
      <c r="AS99" s="2785">
        <f t="shared" si="281"/>
        <v>1.1000000000000001</v>
      </c>
      <c r="AT99" s="2788">
        <f t="shared" si="281"/>
        <v>1.3</v>
      </c>
      <c r="AU99" s="4488"/>
      <c r="AV99" s="4504">
        <f t="shared" si="162"/>
        <v>3.6477556323798753E-2</v>
      </c>
      <c r="AW99" s="4504">
        <f t="shared" si="163"/>
        <v>0</v>
      </c>
      <c r="AX99" s="4504">
        <f t="shared" si="164"/>
        <v>0</v>
      </c>
      <c r="AY99" s="4504">
        <f t="shared" si="165"/>
        <v>0</v>
      </c>
      <c r="AZ99" s="4504">
        <f t="shared" si="166"/>
        <v>0</v>
      </c>
      <c r="BA99" s="4504">
        <f t="shared" si="167"/>
        <v>0</v>
      </c>
      <c r="BB99" s="4504">
        <f t="shared" si="168"/>
        <v>0</v>
      </c>
      <c r="BC99" s="4504">
        <f t="shared" si="169"/>
        <v>6.3593390912595783E-3</v>
      </c>
      <c r="BD99" s="4504">
        <f t="shared" si="170"/>
        <v>0</v>
      </c>
      <c r="BE99" s="4504">
        <f t="shared" si="171"/>
        <v>0</v>
      </c>
      <c r="BF99" s="4504">
        <f t="shared" si="172"/>
        <v>0</v>
      </c>
      <c r="BG99" s="4504">
        <f t="shared" si="173"/>
        <v>0</v>
      </c>
      <c r="BH99" s="4504">
        <f t="shared" si="174"/>
        <v>0</v>
      </c>
      <c r="BI99" s="4504">
        <f t="shared" si="175"/>
        <v>0</v>
      </c>
      <c r="BJ99" s="4504">
        <f t="shared" si="176"/>
        <v>7.759554409908105E-3</v>
      </c>
      <c r="BK99" s="4504">
        <f t="shared" si="177"/>
        <v>0</v>
      </c>
      <c r="BL99" s="4504">
        <f t="shared" si="178"/>
        <v>0</v>
      </c>
      <c r="BM99" s="4504">
        <f t="shared" si="179"/>
        <v>0</v>
      </c>
      <c r="BN99" s="4504">
        <f t="shared" si="180"/>
        <v>0</v>
      </c>
      <c r="BO99" s="4504">
        <f t="shared" si="181"/>
        <v>0</v>
      </c>
      <c r="BP99" s="4504">
        <f t="shared" si="182"/>
        <v>0</v>
      </c>
      <c r="BQ99" s="4504">
        <f t="shared" si="183"/>
        <v>0</v>
      </c>
      <c r="BR99" s="4504">
        <f t="shared" si="184"/>
        <v>0</v>
      </c>
      <c r="BS99" s="4504">
        <f t="shared" si="185"/>
        <v>0</v>
      </c>
      <c r="BT99" s="4504">
        <f t="shared" si="186"/>
        <v>0</v>
      </c>
      <c r="BU99" s="4504">
        <f t="shared" si="187"/>
        <v>0</v>
      </c>
      <c r="BV99" s="4504">
        <f t="shared" si="188"/>
        <v>0</v>
      </c>
      <c r="BW99" s="4504">
        <f t="shared" si="189"/>
        <v>0</v>
      </c>
      <c r="BX99" s="4504">
        <f t="shared" si="190"/>
        <v>3.6352977767052365E-4</v>
      </c>
      <c r="BY99" s="4504">
        <f t="shared" si="191"/>
        <v>0</v>
      </c>
      <c r="BZ99" s="4504">
        <f t="shared" si="192"/>
        <v>0</v>
      </c>
      <c r="CA99" s="4504">
        <f t="shared" si="193"/>
        <v>0</v>
      </c>
      <c r="CB99" s="4504">
        <f t="shared" si="194"/>
        <v>0</v>
      </c>
      <c r="CC99" s="4504">
        <f t="shared" si="195"/>
        <v>0</v>
      </c>
      <c r="CD99" s="4504">
        <f t="shared" si="196"/>
        <v>0</v>
      </c>
      <c r="CE99" s="4504">
        <f t="shared" si="197"/>
        <v>0</v>
      </c>
      <c r="CF99" s="4504">
        <f t="shared" si="198"/>
        <v>0.10225837623924371</v>
      </c>
      <c r="CG99" s="4504">
        <f t="shared" si="199"/>
        <v>0.25564594059810924</v>
      </c>
      <c r="CH99" s="4504">
        <f t="shared" si="200"/>
        <v>0.35790431683735296</v>
      </c>
      <c r="CI99" s="4504">
        <f t="shared" si="201"/>
        <v>0.46016269307659668</v>
      </c>
      <c r="CJ99" s="4504">
        <f t="shared" si="202"/>
        <v>0.56242106931584035</v>
      </c>
      <c r="CK99" s="4504">
        <f t="shared" si="203"/>
        <v>0.66467944555508407</v>
      </c>
    </row>
    <row r="100" spans="1:89">
      <c r="A100" s="2734"/>
      <c r="B100" s="3629">
        <v>20601</v>
      </c>
      <c r="C100" s="3603">
        <v>0.1</v>
      </c>
      <c r="D100" s="2742" t="s">
        <v>564</v>
      </c>
      <c r="E100" s="2727">
        <f>'11.2. ДА за периода'!E100</f>
        <v>7.134389898477532E-2</v>
      </c>
      <c r="F100" s="2655">
        <f t="shared" ref="F100:F108" si="282">($F51*$C100)/$E$7</f>
        <v>0</v>
      </c>
      <c r="G100" s="1224">
        <f t="shared" ref="G100:G108" si="283">($F51*$C100)+($G51*$C100)/$E$7</f>
        <v>0</v>
      </c>
      <c r="H100" s="1224">
        <f t="shared" ref="H100:H108" si="284">($F51*$C100)+($G51*$C100)+($H51*$C100)/$E$7</f>
        <v>0</v>
      </c>
      <c r="I100" s="1224">
        <f t="shared" ref="I100:I108" si="285">($F51*$C100)+($G51*$C100)+($H51*$C100)+($I51*$C100)/$E$7</f>
        <v>0</v>
      </c>
      <c r="J100" s="1224">
        <f t="shared" ref="J100:J108" si="286">($F51*$C100)+($G51*$C100)+($H51*$C100)+($I51*$C100)+($J51*$C100)/$E$7</f>
        <v>0</v>
      </c>
      <c r="K100" s="2661">
        <f t="shared" ref="K100:K108" si="287">($F51*$C100)+($G51*$C100)+($H51*$C100)+($I51*$C100)+($J51*$C100)+($K51*$C100)/$E$7</f>
        <v>0</v>
      </c>
      <c r="L100" s="2727">
        <f>'11.2. ДА за периода'!L100</f>
        <v>1.2437786174858221E-2</v>
      </c>
      <c r="M100" s="1228">
        <f t="shared" ref="M100:M108" si="288">($M51*$C100)/$E$7</f>
        <v>0</v>
      </c>
      <c r="N100" s="1224">
        <f t="shared" ref="N100:N108" si="289">($M51*$C100)+($N51*$C100)/$E$7</f>
        <v>0</v>
      </c>
      <c r="O100" s="1224">
        <f t="shared" ref="O100:O108" si="290">($M51*$C100)+($N51*$C100)+($O51*$C100)/$E$7</f>
        <v>0</v>
      </c>
      <c r="P100" s="1224">
        <f t="shared" ref="P100:P108" si="291">($M51*$C100)+($N51*$C100)+($O51*$C100)+($P51*$C100)/$E$7</f>
        <v>0</v>
      </c>
      <c r="Q100" s="2661">
        <f t="shared" ref="Q100:Q108" si="292">($M51*$C100)+($N51*$C100)+($O51*$C100)+($P51*$C100)+($Q51*$C100)/$E$7</f>
        <v>0</v>
      </c>
      <c r="R100" s="1229">
        <f t="shared" ref="R100:R108" si="293">($M51*$C100)+($N51*$C100)+($O51*$C100)+($P51*$C100)+($Q51*$C100)+($R51*$C100)/$E$7</f>
        <v>0</v>
      </c>
      <c r="S100" s="1113">
        <f>'11.2. ДА за периода'!S100</f>
        <v>1.5176369301530568E-2</v>
      </c>
      <c r="T100" s="908">
        <f t="shared" ref="T100:T108" si="294">($T51*$C100)/$E$7</f>
        <v>0</v>
      </c>
      <c r="U100" s="1224">
        <f t="shared" ref="U100:U108" si="295">($T51*$C100)+($U51*$C100)/$E$7</f>
        <v>0</v>
      </c>
      <c r="V100" s="1224">
        <f t="shared" ref="V100:V108" si="296">($T51*$C100)+($U51*$C100)+($V51*$C100)/$E$7</f>
        <v>0</v>
      </c>
      <c r="W100" s="1224">
        <f t="shared" ref="W100:W108" si="297">($T51*$C100)+($U51*$C100)+($V51*$C100)+($W51*$C100)/$E$7</f>
        <v>0</v>
      </c>
      <c r="X100" s="1224">
        <f t="shared" ref="X100:X108" si="298">($T51*$C100)+($U51*$C100)+($V51*$C100)+($W51*$C100)+($X51*$C100)/$E$7</f>
        <v>0</v>
      </c>
      <c r="Y100" s="1229">
        <f t="shared" ref="Y100:Y108" si="299">($T51*$C100)+($U51*$C100)+($V51*$C100)+($W51*$C100)+($X51*$C100)+($Y51*$C100)/$E$7</f>
        <v>0</v>
      </c>
      <c r="Z100" s="1113">
        <f>'11.2. ДА за периода'!Z100</f>
        <v>0</v>
      </c>
      <c r="AA100" s="908">
        <f t="shared" ref="AA100:AA108" si="300">(AA51*$C100)/$E$7</f>
        <v>0</v>
      </c>
      <c r="AB100" s="1224">
        <f t="shared" ref="AB100:AB108" si="301">(AA51*$C100)+(AB51*$C100)/$E$7</f>
        <v>0</v>
      </c>
      <c r="AC100" s="1224">
        <f t="shared" ref="AC100:AC108" si="302">(AA51*$C100)+(AB51*$C100)+(AC51*$C100)/$E$7</f>
        <v>0</v>
      </c>
      <c r="AD100" s="1224">
        <f t="shared" ref="AD100:AD108" si="303">(AA51*$C100)+(AB51*$C100)+(AC51*$C100)+(AD51*$C100)/$E$7</f>
        <v>0</v>
      </c>
      <c r="AE100" s="1224">
        <f t="shared" ref="AE100:AE108" si="304">(AA51*$C100)+(AB51*$C100)+(AC51*$C100)+(AD51*$C100)+(AE51*$C100)/$E$7</f>
        <v>0</v>
      </c>
      <c r="AF100" s="2661">
        <f t="shared" ref="AF100:AF108" si="305">(AA51*$C100)+(AB51*$C100)+(AC51*$C100)+(AD51*$C100)+(AE51*$C100)+(AF51*$C100)/$E$7</f>
        <v>0</v>
      </c>
      <c r="AG100" s="1113">
        <f>'11.2. ДА за периода'!AG100</f>
        <v>7.1100244506134029E-4</v>
      </c>
      <c r="AH100" s="908">
        <f t="shared" ref="AH100:AH108" si="306">(AH51*$C100)/$E$7</f>
        <v>0</v>
      </c>
      <c r="AI100" s="1224">
        <f t="shared" ref="AI100:AI108" si="307">(AH51*$C100)+(AI51*$C100)/$E$7</f>
        <v>0</v>
      </c>
      <c r="AJ100" s="1224">
        <f t="shared" ref="AJ100:AJ108" si="308">(AH51*$C100)+(AI51*$C100)+(AJ51*$C100)/$E$7</f>
        <v>0</v>
      </c>
      <c r="AK100" s="1224">
        <f t="shared" ref="AK100:AK108" si="309">(AH51*$C100)+(AI51*$C100)+(AJ51*$C100)+(AK51*$C100)/$E$7</f>
        <v>0</v>
      </c>
      <c r="AL100" s="1224">
        <f t="shared" ref="AL100:AL108" si="310">(AH51*$C100)+(AI51*$C100)+(AJ51*$C100)+(AK51*$C100)+(AL51*$C100)/$E$7</f>
        <v>0</v>
      </c>
      <c r="AM100" s="2661">
        <f t="shared" ref="AM100:AM108" si="311">(AH51*$C100)+(AI51*$C100)+(AJ51*$C100)+(AK51*$C100)+(AL51*$C100)+(AM51*$C100)/$E$7</f>
        <v>0</v>
      </c>
      <c r="AN100" s="1113">
        <f>'11.2. ДА за периода'!AN100</f>
        <v>0</v>
      </c>
      <c r="AO100" s="1228">
        <f t="shared" ref="AO100:AO108" si="312">($AO51*$C100)/$E$7</f>
        <v>0.2</v>
      </c>
      <c r="AP100" s="1224">
        <f t="shared" ref="AP100:AP108" si="313">($AO51*$C100)+($AP51*$C100)/$E$7</f>
        <v>0.5</v>
      </c>
      <c r="AQ100" s="1224">
        <f t="shared" ref="AQ100:AQ108" si="314">($AO51*$C100)+($AP51*$C100)+($AQ51*$C100)/$E$7</f>
        <v>0.70000000000000007</v>
      </c>
      <c r="AR100" s="1224">
        <f t="shared" ref="AR100:AR108" si="315">($AO51*$C100)+($AP51*$C100)+($AQ51*$C100)+($AR51*$C100)/$E$7</f>
        <v>0.9</v>
      </c>
      <c r="AS100" s="1224">
        <f t="shared" ref="AS100:AS108" si="316">($AO51*$C100)+($AP51*$C100)+($AQ51*$C100)+($AR51*$C100)+($AS51*$C100)/$E$7</f>
        <v>1.1000000000000001</v>
      </c>
      <c r="AT100" s="1229">
        <f t="shared" ref="AT100:AT108" si="317">($AO51*$C100)+($AP51*$C100)+($AQ51*$C100)+($AR51*$C100)+($AS51*$C100)+($AT51*$C100)/$E$7</f>
        <v>1.3</v>
      </c>
      <c r="AU100" s="4488"/>
      <c r="AV100" s="4504">
        <f t="shared" si="162"/>
        <v>3.6477556323798753E-2</v>
      </c>
      <c r="AW100" s="4504">
        <f t="shared" si="163"/>
        <v>0</v>
      </c>
      <c r="AX100" s="4504">
        <f t="shared" si="164"/>
        <v>0</v>
      </c>
      <c r="AY100" s="4504">
        <f t="shared" si="165"/>
        <v>0</v>
      </c>
      <c r="AZ100" s="4504">
        <f t="shared" si="166"/>
        <v>0</v>
      </c>
      <c r="BA100" s="4504">
        <f t="shared" si="167"/>
        <v>0</v>
      </c>
      <c r="BB100" s="4504">
        <f t="shared" si="168"/>
        <v>0</v>
      </c>
      <c r="BC100" s="4504">
        <f t="shared" si="169"/>
        <v>6.3593390912595783E-3</v>
      </c>
      <c r="BD100" s="4504">
        <f t="shared" si="170"/>
        <v>0</v>
      </c>
      <c r="BE100" s="4504">
        <f t="shared" si="171"/>
        <v>0</v>
      </c>
      <c r="BF100" s="4504">
        <f t="shared" si="172"/>
        <v>0</v>
      </c>
      <c r="BG100" s="4504">
        <f t="shared" si="173"/>
        <v>0</v>
      </c>
      <c r="BH100" s="4504">
        <f t="shared" si="174"/>
        <v>0</v>
      </c>
      <c r="BI100" s="4504">
        <f t="shared" si="175"/>
        <v>0</v>
      </c>
      <c r="BJ100" s="4504">
        <f t="shared" si="176"/>
        <v>7.759554409908105E-3</v>
      </c>
      <c r="BK100" s="4504">
        <f t="shared" si="177"/>
        <v>0</v>
      </c>
      <c r="BL100" s="4504">
        <f t="shared" si="178"/>
        <v>0</v>
      </c>
      <c r="BM100" s="4504">
        <f t="shared" si="179"/>
        <v>0</v>
      </c>
      <c r="BN100" s="4504">
        <f t="shared" si="180"/>
        <v>0</v>
      </c>
      <c r="BO100" s="4504">
        <f t="shared" si="181"/>
        <v>0</v>
      </c>
      <c r="BP100" s="4504">
        <f t="shared" si="182"/>
        <v>0</v>
      </c>
      <c r="BQ100" s="4504">
        <f t="shared" si="183"/>
        <v>0</v>
      </c>
      <c r="BR100" s="4504">
        <f t="shared" si="184"/>
        <v>0</v>
      </c>
      <c r="BS100" s="4504">
        <f t="shared" si="185"/>
        <v>0</v>
      </c>
      <c r="BT100" s="4504">
        <f t="shared" si="186"/>
        <v>0</v>
      </c>
      <c r="BU100" s="4504">
        <f t="shared" si="187"/>
        <v>0</v>
      </c>
      <c r="BV100" s="4504">
        <f t="shared" si="188"/>
        <v>0</v>
      </c>
      <c r="BW100" s="4504">
        <f t="shared" si="189"/>
        <v>0</v>
      </c>
      <c r="BX100" s="4504">
        <f t="shared" si="190"/>
        <v>3.6352977767052365E-4</v>
      </c>
      <c r="BY100" s="4504">
        <f t="shared" si="191"/>
        <v>0</v>
      </c>
      <c r="BZ100" s="4504">
        <f t="shared" si="192"/>
        <v>0</v>
      </c>
      <c r="CA100" s="4504">
        <f t="shared" si="193"/>
        <v>0</v>
      </c>
      <c r="CB100" s="4504">
        <f t="shared" si="194"/>
        <v>0</v>
      </c>
      <c r="CC100" s="4504">
        <f t="shared" si="195"/>
        <v>0</v>
      </c>
      <c r="CD100" s="4504">
        <f t="shared" si="196"/>
        <v>0</v>
      </c>
      <c r="CE100" s="4504">
        <f t="shared" si="197"/>
        <v>0</v>
      </c>
      <c r="CF100" s="4504">
        <f t="shared" si="198"/>
        <v>0.10225837623924371</v>
      </c>
      <c r="CG100" s="4504">
        <f t="shared" si="199"/>
        <v>0.25564594059810924</v>
      </c>
      <c r="CH100" s="4504">
        <f t="shared" si="200"/>
        <v>0.35790431683735296</v>
      </c>
      <c r="CI100" s="4504">
        <f t="shared" si="201"/>
        <v>0.46016269307659668</v>
      </c>
      <c r="CJ100" s="4504">
        <f t="shared" si="202"/>
        <v>0.56242106931584035</v>
      </c>
      <c r="CK100" s="4504">
        <f t="shared" si="203"/>
        <v>0.66467944555508407</v>
      </c>
    </row>
    <row r="101" spans="1:89">
      <c r="A101" s="2734"/>
      <c r="B101" s="3629">
        <v>20602</v>
      </c>
      <c r="C101" s="3603">
        <v>0.1</v>
      </c>
      <c r="D101" s="2742" t="s">
        <v>435</v>
      </c>
      <c r="E101" s="2727">
        <f>'11.2. ДА за периода'!E101</f>
        <v>0</v>
      </c>
      <c r="F101" s="2655">
        <f t="shared" si="282"/>
        <v>0</v>
      </c>
      <c r="G101" s="1224">
        <f t="shared" si="283"/>
        <v>0</v>
      </c>
      <c r="H101" s="1224">
        <f t="shared" si="284"/>
        <v>0</v>
      </c>
      <c r="I101" s="1224">
        <f t="shared" si="285"/>
        <v>0</v>
      </c>
      <c r="J101" s="1224">
        <f t="shared" si="286"/>
        <v>0</v>
      </c>
      <c r="K101" s="2661">
        <f t="shared" si="287"/>
        <v>0</v>
      </c>
      <c r="L101" s="2727">
        <f>'11.2. ДА за периода'!L101</f>
        <v>0</v>
      </c>
      <c r="M101" s="1228">
        <f t="shared" si="288"/>
        <v>0</v>
      </c>
      <c r="N101" s="1224">
        <f t="shared" si="289"/>
        <v>0</v>
      </c>
      <c r="O101" s="1224">
        <f t="shared" si="290"/>
        <v>0</v>
      </c>
      <c r="P101" s="1224">
        <f t="shared" si="291"/>
        <v>0</v>
      </c>
      <c r="Q101" s="2661">
        <f t="shared" si="292"/>
        <v>0</v>
      </c>
      <c r="R101" s="1229">
        <f t="shared" si="293"/>
        <v>0</v>
      </c>
      <c r="S101" s="1113">
        <f>'11.2. ДА за периода'!S101</f>
        <v>0</v>
      </c>
      <c r="T101" s="908">
        <f t="shared" si="294"/>
        <v>0</v>
      </c>
      <c r="U101" s="1224">
        <f t="shared" si="295"/>
        <v>0</v>
      </c>
      <c r="V101" s="1224">
        <f t="shared" si="296"/>
        <v>0</v>
      </c>
      <c r="W101" s="1224">
        <f t="shared" si="297"/>
        <v>0</v>
      </c>
      <c r="X101" s="1224">
        <f t="shared" si="298"/>
        <v>0</v>
      </c>
      <c r="Y101" s="1229">
        <f t="shared" si="299"/>
        <v>0</v>
      </c>
      <c r="Z101" s="1113">
        <f>'11.2. ДА за периода'!Z101</f>
        <v>0</v>
      </c>
      <c r="AA101" s="908">
        <f t="shared" si="300"/>
        <v>0</v>
      </c>
      <c r="AB101" s="1224">
        <f t="shared" si="301"/>
        <v>0</v>
      </c>
      <c r="AC101" s="1224">
        <f t="shared" si="302"/>
        <v>0</v>
      </c>
      <c r="AD101" s="1224">
        <f t="shared" si="303"/>
        <v>0</v>
      </c>
      <c r="AE101" s="1224">
        <f t="shared" si="304"/>
        <v>0</v>
      </c>
      <c r="AF101" s="2661">
        <f t="shared" si="305"/>
        <v>0</v>
      </c>
      <c r="AG101" s="1113">
        <f>'11.2. ДА за периода'!AG101</f>
        <v>0</v>
      </c>
      <c r="AH101" s="908">
        <f t="shared" si="306"/>
        <v>0</v>
      </c>
      <c r="AI101" s="1224">
        <f t="shared" si="307"/>
        <v>0</v>
      </c>
      <c r="AJ101" s="1224">
        <f t="shared" si="308"/>
        <v>0</v>
      </c>
      <c r="AK101" s="1224">
        <f t="shared" si="309"/>
        <v>0</v>
      </c>
      <c r="AL101" s="1224">
        <f t="shared" si="310"/>
        <v>0</v>
      </c>
      <c r="AM101" s="2661">
        <f t="shared" si="311"/>
        <v>0</v>
      </c>
      <c r="AN101" s="1113">
        <f>'11.2. ДА за периода'!AN101</f>
        <v>0</v>
      </c>
      <c r="AO101" s="1228">
        <f t="shared" si="312"/>
        <v>0</v>
      </c>
      <c r="AP101" s="1224">
        <f t="shared" si="313"/>
        <v>0</v>
      </c>
      <c r="AQ101" s="1224">
        <f t="shared" si="314"/>
        <v>0</v>
      </c>
      <c r="AR101" s="1224">
        <f t="shared" si="315"/>
        <v>0</v>
      </c>
      <c r="AS101" s="1224">
        <f t="shared" si="316"/>
        <v>0</v>
      </c>
      <c r="AT101" s="1229">
        <f t="shared" si="317"/>
        <v>0</v>
      </c>
      <c r="AU101" s="4488"/>
      <c r="AV101" s="4504">
        <f t="shared" si="162"/>
        <v>0</v>
      </c>
      <c r="AW101" s="4504">
        <f t="shared" si="163"/>
        <v>0</v>
      </c>
      <c r="AX101" s="4504">
        <f t="shared" si="164"/>
        <v>0</v>
      </c>
      <c r="AY101" s="4504">
        <f t="shared" si="165"/>
        <v>0</v>
      </c>
      <c r="AZ101" s="4504">
        <f t="shared" si="166"/>
        <v>0</v>
      </c>
      <c r="BA101" s="4504">
        <f t="shared" si="167"/>
        <v>0</v>
      </c>
      <c r="BB101" s="4504">
        <f t="shared" si="168"/>
        <v>0</v>
      </c>
      <c r="BC101" s="4504">
        <f t="shared" si="169"/>
        <v>0</v>
      </c>
      <c r="BD101" s="4504">
        <f t="shared" si="170"/>
        <v>0</v>
      </c>
      <c r="BE101" s="4504">
        <f t="shared" si="171"/>
        <v>0</v>
      </c>
      <c r="BF101" s="4504">
        <f t="shared" si="172"/>
        <v>0</v>
      </c>
      <c r="BG101" s="4504">
        <f t="shared" si="173"/>
        <v>0</v>
      </c>
      <c r="BH101" s="4504">
        <f t="shared" si="174"/>
        <v>0</v>
      </c>
      <c r="BI101" s="4504">
        <f t="shared" si="175"/>
        <v>0</v>
      </c>
      <c r="BJ101" s="4504">
        <f t="shared" si="176"/>
        <v>0</v>
      </c>
      <c r="BK101" s="4504">
        <f t="shared" si="177"/>
        <v>0</v>
      </c>
      <c r="BL101" s="4504">
        <f t="shared" si="178"/>
        <v>0</v>
      </c>
      <c r="BM101" s="4504">
        <f t="shared" si="179"/>
        <v>0</v>
      </c>
      <c r="BN101" s="4504">
        <f t="shared" si="180"/>
        <v>0</v>
      </c>
      <c r="BO101" s="4504">
        <f t="shared" si="181"/>
        <v>0</v>
      </c>
      <c r="BP101" s="4504">
        <f t="shared" si="182"/>
        <v>0</v>
      </c>
      <c r="BQ101" s="4504">
        <f t="shared" si="183"/>
        <v>0</v>
      </c>
      <c r="BR101" s="4504">
        <f t="shared" si="184"/>
        <v>0</v>
      </c>
      <c r="BS101" s="4504">
        <f t="shared" si="185"/>
        <v>0</v>
      </c>
      <c r="BT101" s="4504">
        <f t="shared" si="186"/>
        <v>0</v>
      </c>
      <c r="BU101" s="4504">
        <f t="shared" si="187"/>
        <v>0</v>
      </c>
      <c r="BV101" s="4504">
        <f t="shared" si="188"/>
        <v>0</v>
      </c>
      <c r="BW101" s="4504">
        <f t="shared" si="189"/>
        <v>0</v>
      </c>
      <c r="BX101" s="4504">
        <f t="shared" si="190"/>
        <v>0</v>
      </c>
      <c r="BY101" s="4504">
        <f t="shared" si="191"/>
        <v>0</v>
      </c>
      <c r="BZ101" s="4504">
        <f t="shared" si="192"/>
        <v>0</v>
      </c>
      <c r="CA101" s="4504">
        <f t="shared" si="193"/>
        <v>0</v>
      </c>
      <c r="CB101" s="4504">
        <f t="shared" si="194"/>
        <v>0</v>
      </c>
      <c r="CC101" s="4504">
        <f t="shared" si="195"/>
        <v>0</v>
      </c>
      <c r="CD101" s="4504">
        <f t="shared" si="196"/>
        <v>0</v>
      </c>
      <c r="CE101" s="4504">
        <f t="shared" si="197"/>
        <v>0</v>
      </c>
      <c r="CF101" s="4504">
        <f t="shared" si="198"/>
        <v>0</v>
      </c>
      <c r="CG101" s="4504">
        <f t="shared" si="199"/>
        <v>0</v>
      </c>
      <c r="CH101" s="4504">
        <f t="shared" si="200"/>
        <v>0</v>
      </c>
      <c r="CI101" s="4504">
        <f t="shared" si="201"/>
        <v>0</v>
      </c>
      <c r="CJ101" s="4504">
        <f t="shared" si="202"/>
        <v>0</v>
      </c>
      <c r="CK101" s="4504">
        <f t="shared" si="203"/>
        <v>0</v>
      </c>
    </row>
    <row r="102" spans="1:89">
      <c r="A102" s="2734"/>
      <c r="B102" s="3622">
        <v>20603</v>
      </c>
      <c r="C102" s="3605">
        <v>0.5</v>
      </c>
      <c r="D102" s="2752" t="s">
        <v>1015</v>
      </c>
      <c r="E102" s="2727">
        <f>'11.2. ДА за периода'!E102</f>
        <v>0</v>
      </c>
      <c r="F102" s="2655">
        <f t="shared" si="282"/>
        <v>0</v>
      </c>
      <c r="G102" s="1224">
        <f t="shared" si="283"/>
        <v>0</v>
      </c>
      <c r="H102" s="1224">
        <f t="shared" si="284"/>
        <v>0</v>
      </c>
      <c r="I102" s="1224">
        <f t="shared" si="285"/>
        <v>0</v>
      </c>
      <c r="J102" s="1224">
        <f t="shared" si="286"/>
        <v>0</v>
      </c>
      <c r="K102" s="2661">
        <f t="shared" si="287"/>
        <v>0</v>
      </c>
      <c r="L102" s="2727">
        <f>'11.2. ДА за периода'!L102</f>
        <v>0</v>
      </c>
      <c r="M102" s="1228">
        <f t="shared" si="288"/>
        <v>0</v>
      </c>
      <c r="N102" s="1224">
        <f t="shared" si="289"/>
        <v>0</v>
      </c>
      <c r="O102" s="1224">
        <f t="shared" si="290"/>
        <v>0</v>
      </c>
      <c r="P102" s="1224">
        <f t="shared" si="291"/>
        <v>0</v>
      </c>
      <c r="Q102" s="2661">
        <f t="shared" si="292"/>
        <v>0</v>
      </c>
      <c r="R102" s="1229">
        <f t="shared" si="293"/>
        <v>0</v>
      </c>
      <c r="S102" s="1113">
        <f>'11.2. ДА за периода'!S102</f>
        <v>0</v>
      </c>
      <c r="T102" s="908">
        <f t="shared" si="294"/>
        <v>0</v>
      </c>
      <c r="U102" s="1224">
        <f t="shared" si="295"/>
        <v>0</v>
      </c>
      <c r="V102" s="1224">
        <f t="shared" si="296"/>
        <v>0</v>
      </c>
      <c r="W102" s="1224">
        <f t="shared" si="297"/>
        <v>0</v>
      </c>
      <c r="X102" s="1224">
        <f t="shared" si="298"/>
        <v>0</v>
      </c>
      <c r="Y102" s="1229">
        <f t="shared" si="299"/>
        <v>0</v>
      </c>
      <c r="Z102" s="1113">
        <f>'11.2. ДА за периода'!Z102</f>
        <v>0</v>
      </c>
      <c r="AA102" s="908">
        <f t="shared" si="300"/>
        <v>0</v>
      </c>
      <c r="AB102" s="1224">
        <f t="shared" si="301"/>
        <v>0</v>
      </c>
      <c r="AC102" s="1224">
        <f t="shared" si="302"/>
        <v>0</v>
      </c>
      <c r="AD102" s="1224">
        <f t="shared" si="303"/>
        <v>0</v>
      </c>
      <c r="AE102" s="1224">
        <f t="shared" si="304"/>
        <v>0</v>
      </c>
      <c r="AF102" s="2661">
        <f t="shared" si="305"/>
        <v>0</v>
      </c>
      <c r="AG102" s="1113">
        <f>'11.2. ДА за периода'!AG102</f>
        <v>0</v>
      </c>
      <c r="AH102" s="908">
        <f t="shared" si="306"/>
        <v>0</v>
      </c>
      <c r="AI102" s="1224">
        <f t="shared" si="307"/>
        <v>0</v>
      </c>
      <c r="AJ102" s="1224">
        <f t="shared" si="308"/>
        <v>0</v>
      </c>
      <c r="AK102" s="1224">
        <f t="shared" si="309"/>
        <v>0</v>
      </c>
      <c r="AL102" s="1224">
        <f t="shared" si="310"/>
        <v>0</v>
      </c>
      <c r="AM102" s="2661">
        <f t="shared" si="311"/>
        <v>0</v>
      </c>
      <c r="AN102" s="1113">
        <f>'11.2. ДА за периода'!AN102</f>
        <v>0</v>
      </c>
      <c r="AO102" s="1228">
        <f t="shared" si="312"/>
        <v>0</v>
      </c>
      <c r="AP102" s="1224">
        <f t="shared" si="313"/>
        <v>0</v>
      </c>
      <c r="AQ102" s="1224">
        <f t="shared" si="314"/>
        <v>0</v>
      </c>
      <c r="AR102" s="1224">
        <f t="shared" si="315"/>
        <v>0</v>
      </c>
      <c r="AS102" s="1224">
        <f t="shared" si="316"/>
        <v>0</v>
      </c>
      <c r="AT102" s="1229">
        <f t="shared" si="317"/>
        <v>0</v>
      </c>
      <c r="AU102" s="4488"/>
      <c r="AV102" s="4504">
        <f t="shared" si="162"/>
        <v>0</v>
      </c>
      <c r="AW102" s="4504">
        <f t="shared" si="163"/>
        <v>0</v>
      </c>
      <c r="AX102" s="4504">
        <f t="shared" si="164"/>
        <v>0</v>
      </c>
      <c r="AY102" s="4504">
        <f t="shared" si="165"/>
        <v>0</v>
      </c>
      <c r="AZ102" s="4504">
        <f t="shared" si="166"/>
        <v>0</v>
      </c>
      <c r="BA102" s="4504">
        <f t="shared" si="167"/>
        <v>0</v>
      </c>
      <c r="BB102" s="4504">
        <f t="shared" si="168"/>
        <v>0</v>
      </c>
      <c r="BC102" s="4504">
        <f t="shared" si="169"/>
        <v>0</v>
      </c>
      <c r="BD102" s="4504">
        <f t="shared" si="170"/>
        <v>0</v>
      </c>
      <c r="BE102" s="4504">
        <f t="shared" si="171"/>
        <v>0</v>
      </c>
      <c r="BF102" s="4504">
        <f t="shared" si="172"/>
        <v>0</v>
      </c>
      <c r="BG102" s="4504">
        <f t="shared" si="173"/>
        <v>0</v>
      </c>
      <c r="BH102" s="4504">
        <f t="shared" si="174"/>
        <v>0</v>
      </c>
      <c r="BI102" s="4504">
        <f t="shared" si="175"/>
        <v>0</v>
      </c>
      <c r="BJ102" s="4504">
        <f t="shared" si="176"/>
        <v>0</v>
      </c>
      <c r="BK102" s="4504">
        <f t="shared" si="177"/>
        <v>0</v>
      </c>
      <c r="BL102" s="4504">
        <f t="shared" si="178"/>
        <v>0</v>
      </c>
      <c r="BM102" s="4504">
        <f t="shared" si="179"/>
        <v>0</v>
      </c>
      <c r="BN102" s="4504">
        <f t="shared" si="180"/>
        <v>0</v>
      </c>
      <c r="BO102" s="4504">
        <f t="shared" si="181"/>
        <v>0</v>
      </c>
      <c r="BP102" s="4504">
        <f t="shared" si="182"/>
        <v>0</v>
      </c>
      <c r="BQ102" s="4504">
        <f t="shared" si="183"/>
        <v>0</v>
      </c>
      <c r="BR102" s="4504">
        <f t="shared" si="184"/>
        <v>0</v>
      </c>
      <c r="BS102" s="4504">
        <f t="shared" si="185"/>
        <v>0</v>
      </c>
      <c r="BT102" s="4504">
        <f t="shared" si="186"/>
        <v>0</v>
      </c>
      <c r="BU102" s="4504">
        <f t="shared" si="187"/>
        <v>0</v>
      </c>
      <c r="BV102" s="4504">
        <f t="shared" si="188"/>
        <v>0</v>
      </c>
      <c r="BW102" s="4504">
        <f t="shared" si="189"/>
        <v>0</v>
      </c>
      <c r="BX102" s="4504">
        <f t="shared" si="190"/>
        <v>0</v>
      </c>
      <c r="BY102" s="4504">
        <f t="shared" si="191"/>
        <v>0</v>
      </c>
      <c r="BZ102" s="4504">
        <f t="shared" si="192"/>
        <v>0</v>
      </c>
      <c r="CA102" s="4504">
        <f t="shared" si="193"/>
        <v>0</v>
      </c>
      <c r="CB102" s="4504">
        <f t="shared" si="194"/>
        <v>0</v>
      </c>
      <c r="CC102" s="4504">
        <f t="shared" si="195"/>
        <v>0</v>
      </c>
      <c r="CD102" s="4504">
        <f t="shared" si="196"/>
        <v>0</v>
      </c>
      <c r="CE102" s="4504">
        <f t="shared" si="197"/>
        <v>0</v>
      </c>
      <c r="CF102" s="4504">
        <f t="shared" si="198"/>
        <v>0</v>
      </c>
      <c r="CG102" s="4504">
        <f t="shared" si="199"/>
        <v>0</v>
      </c>
      <c r="CH102" s="4504">
        <f t="shared" si="200"/>
        <v>0</v>
      </c>
      <c r="CI102" s="4504">
        <f t="shared" si="201"/>
        <v>0</v>
      </c>
      <c r="CJ102" s="4504">
        <f t="shared" si="202"/>
        <v>0</v>
      </c>
      <c r="CK102" s="4504">
        <f t="shared" si="203"/>
        <v>0</v>
      </c>
    </row>
    <row r="103" spans="1:89" s="30" customFormat="1">
      <c r="A103" s="2734">
        <v>7</v>
      </c>
      <c r="B103" s="3630">
        <v>208</v>
      </c>
      <c r="C103" s="3604">
        <v>0.2</v>
      </c>
      <c r="D103" s="2750" t="s">
        <v>413</v>
      </c>
      <c r="E103" s="2774">
        <f>'11.2. ДА за периода'!E103</f>
        <v>0.20800000000000002</v>
      </c>
      <c r="F103" s="2801">
        <f t="shared" si="282"/>
        <v>0</v>
      </c>
      <c r="G103" s="1159">
        <f t="shared" si="283"/>
        <v>0</v>
      </c>
      <c r="H103" s="1159">
        <f t="shared" si="284"/>
        <v>0</v>
      </c>
      <c r="I103" s="1159">
        <f t="shared" si="285"/>
        <v>0</v>
      </c>
      <c r="J103" s="1159">
        <f t="shared" si="286"/>
        <v>0</v>
      </c>
      <c r="K103" s="2802">
        <f t="shared" si="287"/>
        <v>0</v>
      </c>
      <c r="L103" s="2774">
        <f>'11.2. ДА за периода'!L103</f>
        <v>0</v>
      </c>
      <c r="M103" s="2801">
        <f t="shared" si="288"/>
        <v>0</v>
      </c>
      <c r="N103" s="1159">
        <f t="shared" si="289"/>
        <v>0</v>
      </c>
      <c r="O103" s="1159">
        <f t="shared" si="290"/>
        <v>0</v>
      </c>
      <c r="P103" s="1159">
        <f t="shared" si="291"/>
        <v>0</v>
      </c>
      <c r="Q103" s="2802">
        <f t="shared" si="292"/>
        <v>0</v>
      </c>
      <c r="R103" s="2803">
        <f t="shared" si="293"/>
        <v>0</v>
      </c>
      <c r="S103" s="2804">
        <f>'11.2. ДА за периода'!S103</f>
        <v>0</v>
      </c>
      <c r="T103" s="1158">
        <f t="shared" si="294"/>
        <v>0</v>
      </c>
      <c r="U103" s="1159">
        <f t="shared" si="295"/>
        <v>0</v>
      </c>
      <c r="V103" s="1159">
        <f t="shared" si="296"/>
        <v>0</v>
      </c>
      <c r="W103" s="1159">
        <f t="shared" si="297"/>
        <v>0</v>
      </c>
      <c r="X103" s="1159">
        <f t="shared" si="298"/>
        <v>0</v>
      </c>
      <c r="Y103" s="2803">
        <f t="shared" si="299"/>
        <v>0</v>
      </c>
      <c r="Z103" s="2804">
        <f>'11.2. ДА за периода'!Z103</f>
        <v>0</v>
      </c>
      <c r="AA103" s="1158">
        <f t="shared" si="300"/>
        <v>0</v>
      </c>
      <c r="AB103" s="1159">
        <f t="shared" si="301"/>
        <v>0</v>
      </c>
      <c r="AC103" s="1159">
        <f t="shared" si="302"/>
        <v>0</v>
      </c>
      <c r="AD103" s="1159">
        <f t="shared" si="303"/>
        <v>0</v>
      </c>
      <c r="AE103" s="1159">
        <f t="shared" si="304"/>
        <v>0</v>
      </c>
      <c r="AF103" s="2803">
        <f t="shared" si="305"/>
        <v>0</v>
      </c>
      <c r="AG103" s="2804">
        <f>'11.2. ДА за периода'!AG103</f>
        <v>0</v>
      </c>
      <c r="AH103" s="1158">
        <f t="shared" si="306"/>
        <v>0</v>
      </c>
      <c r="AI103" s="1159">
        <f t="shared" si="307"/>
        <v>0</v>
      </c>
      <c r="AJ103" s="1159">
        <f t="shared" si="308"/>
        <v>0</v>
      </c>
      <c r="AK103" s="1159">
        <f t="shared" si="309"/>
        <v>0</v>
      </c>
      <c r="AL103" s="1159">
        <f t="shared" si="310"/>
        <v>0</v>
      </c>
      <c r="AM103" s="2803">
        <f t="shared" si="311"/>
        <v>0</v>
      </c>
      <c r="AN103" s="2804">
        <f>'11.2. ДА за периода'!AN103</f>
        <v>0</v>
      </c>
      <c r="AO103" s="1158">
        <f t="shared" si="312"/>
        <v>0.70000000000000007</v>
      </c>
      <c r="AP103" s="1159">
        <f t="shared" si="313"/>
        <v>1.6</v>
      </c>
      <c r="AQ103" s="1159">
        <f t="shared" si="314"/>
        <v>2.0000000000000004</v>
      </c>
      <c r="AR103" s="1159">
        <f t="shared" si="315"/>
        <v>2.4000000000000004</v>
      </c>
      <c r="AS103" s="1159">
        <f t="shared" si="316"/>
        <v>2.8000000000000003</v>
      </c>
      <c r="AT103" s="2803">
        <f t="shared" si="317"/>
        <v>3.2</v>
      </c>
      <c r="AU103" s="4488"/>
      <c r="AV103" s="4504">
        <f t="shared" si="162"/>
        <v>0.10634871128881346</v>
      </c>
      <c r="AW103" s="4504">
        <f t="shared" si="163"/>
        <v>0</v>
      </c>
      <c r="AX103" s="4504">
        <f t="shared" si="164"/>
        <v>0</v>
      </c>
      <c r="AY103" s="4504">
        <f t="shared" si="165"/>
        <v>0</v>
      </c>
      <c r="AZ103" s="4504">
        <f t="shared" si="166"/>
        <v>0</v>
      </c>
      <c r="BA103" s="4504">
        <f t="shared" si="167"/>
        <v>0</v>
      </c>
      <c r="BB103" s="4504">
        <f t="shared" si="168"/>
        <v>0</v>
      </c>
      <c r="BC103" s="4504">
        <f t="shared" si="169"/>
        <v>0</v>
      </c>
      <c r="BD103" s="4504">
        <f t="shared" si="170"/>
        <v>0</v>
      </c>
      <c r="BE103" s="4504">
        <f t="shared" si="171"/>
        <v>0</v>
      </c>
      <c r="BF103" s="4504">
        <f t="shared" si="172"/>
        <v>0</v>
      </c>
      <c r="BG103" s="4504">
        <f t="shared" si="173"/>
        <v>0</v>
      </c>
      <c r="BH103" s="4504">
        <f t="shared" si="174"/>
        <v>0</v>
      </c>
      <c r="BI103" s="4504">
        <f t="shared" si="175"/>
        <v>0</v>
      </c>
      <c r="BJ103" s="4504">
        <f t="shared" si="176"/>
        <v>0</v>
      </c>
      <c r="BK103" s="4504">
        <f t="shared" si="177"/>
        <v>0</v>
      </c>
      <c r="BL103" s="4504">
        <f t="shared" si="178"/>
        <v>0</v>
      </c>
      <c r="BM103" s="4504">
        <f t="shared" si="179"/>
        <v>0</v>
      </c>
      <c r="BN103" s="4504">
        <f t="shared" si="180"/>
        <v>0</v>
      </c>
      <c r="BO103" s="4504">
        <f t="shared" si="181"/>
        <v>0</v>
      </c>
      <c r="BP103" s="4504">
        <f t="shared" si="182"/>
        <v>0</v>
      </c>
      <c r="BQ103" s="4504">
        <f t="shared" si="183"/>
        <v>0</v>
      </c>
      <c r="BR103" s="4504">
        <f t="shared" si="184"/>
        <v>0</v>
      </c>
      <c r="BS103" s="4504">
        <f t="shared" si="185"/>
        <v>0</v>
      </c>
      <c r="BT103" s="4504">
        <f t="shared" si="186"/>
        <v>0</v>
      </c>
      <c r="BU103" s="4504">
        <f t="shared" si="187"/>
        <v>0</v>
      </c>
      <c r="BV103" s="4504">
        <f t="shared" si="188"/>
        <v>0</v>
      </c>
      <c r="BW103" s="4504">
        <f t="shared" si="189"/>
        <v>0</v>
      </c>
      <c r="BX103" s="4504">
        <f t="shared" si="190"/>
        <v>0</v>
      </c>
      <c r="BY103" s="4504">
        <f t="shared" si="191"/>
        <v>0</v>
      </c>
      <c r="BZ103" s="4504">
        <f t="shared" si="192"/>
        <v>0</v>
      </c>
      <c r="CA103" s="4504">
        <f t="shared" si="193"/>
        <v>0</v>
      </c>
      <c r="CB103" s="4504">
        <f t="shared" si="194"/>
        <v>0</v>
      </c>
      <c r="CC103" s="4504">
        <f t="shared" si="195"/>
        <v>0</v>
      </c>
      <c r="CD103" s="4504">
        <f t="shared" si="196"/>
        <v>0</v>
      </c>
      <c r="CE103" s="4504">
        <f t="shared" si="197"/>
        <v>0</v>
      </c>
      <c r="CF103" s="4504">
        <f t="shared" si="198"/>
        <v>0.35790431683735296</v>
      </c>
      <c r="CG103" s="4504">
        <f t="shared" si="199"/>
        <v>0.81806700991394965</v>
      </c>
      <c r="CH103" s="4504">
        <f t="shared" si="200"/>
        <v>1.0225837623924372</v>
      </c>
      <c r="CI103" s="4504">
        <f t="shared" si="201"/>
        <v>1.2271005148709246</v>
      </c>
      <c r="CJ103" s="4504">
        <f t="shared" si="202"/>
        <v>1.4316172673494119</v>
      </c>
      <c r="CK103" s="4504">
        <f t="shared" si="203"/>
        <v>1.6361340198278993</v>
      </c>
    </row>
    <row r="104" spans="1:89" s="30" customFormat="1">
      <c r="A104" s="2734">
        <v>8</v>
      </c>
      <c r="B104" s="3630">
        <v>209</v>
      </c>
      <c r="C104" s="3604">
        <v>0.1</v>
      </c>
      <c r="D104" s="2750" t="s">
        <v>213</v>
      </c>
      <c r="E104" s="2774">
        <f>'11.2. ДА за периода'!E104</f>
        <v>0</v>
      </c>
      <c r="F104" s="2801">
        <f t="shared" si="282"/>
        <v>0</v>
      </c>
      <c r="G104" s="1159">
        <f t="shared" si="283"/>
        <v>0</v>
      </c>
      <c r="H104" s="1159">
        <f t="shared" si="284"/>
        <v>0</v>
      </c>
      <c r="I104" s="1159">
        <f t="shared" si="285"/>
        <v>0</v>
      </c>
      <c r="J104" s="1159">
        <f t="shared" si="286"/>
        <v>0</v>
      </c>
      <c r="K104" s="2802">
        <f t="shared" si="287"/>
        <v>0</v>
      </c>
      <c r="L104" s="2774">
        <f>'11.2. ДА за периода'!L104</f>
        <v>0</v>
      </c>
      <c r="M104" s="2801">
        <f t="shared" si="288"/>
        <v>0</v>
      </c>
      <c r="N104" s="1159">
        <f t="shared" si="289"/>
        <v>0</v>
      </c>
      <c r="O104" s="1159">
        <f t="shared" si="290"/>
        <v>0</v>
      </c>
      <c r="P104" s="1159">
        <f t="shared" si="291"/>
        <v>0</v>
      </c>
      <c r="Q104" s="2802">
        <f t="shared" si="292"/>
        <v>0</v>
      </c>
      <c r="R104" s="2803">
        <f t="shared" si="293"/>
        <v>0</v>
      </c>
      <c r="S104" s="2804">
        <f>'11.2. ДА за периода'!S104</f>
        <v>0</v>
      </c>
      <c r="T104" s="1158">
        <f t="shared" si="294"/>
        <v>0</v>
      </c>
      <c r="U104" s="1159">
        <f t="shared" si="295"/>
        <v>0</v>
      </c>
      <c r="V104" s="1159">
        <f t="shared" si="296"/>
        <v>0</v>
      </c>
      <c r="W104" s="1159">
        <f t="shared" si="297"/>
        <v>0</v>
      </c>
      <c r="X104" s="1159">
        <f t="shared" si="298"/>
        <v>0</v>
      </c>
      <c r="Y104" s="2803">
        <f t="shared" si="299"/>
        <v>0</v>
      </c>
      <c r="Z104" s="2804">
        <f>'11.2. ДА за периода'!Z104</f>
        <v>0</v>
      </c>
      <c r="AA104" s="1158">
        <f t="shared" si="300"/>
        <v>0</v>
      </c>
      <c r="AB104" s="1159">
        <f t="shared" si="301"/>
        <v>0</v>
      </c>
      <c r="AC104" s="1159">
        <f t="shared" si="302"/>
        <v>0</v>
      </c>
      <c r="AD104" s="1159">
        <f t="shared" si="303"/>
        <v>0</v>
      </c>
      <c r="AE104" s="1159">
        <f t="shared" si="304"/>
        <v>0</v>
      </c>
      <c r="AF104" s="2803">
        <f t="shared" si="305"/>
        <v>0</v>
      </c>
      <c r="AG104" s="2804">
        <f>'11.2. ДА за периода'!AG104</f>
        <v>0</v>
      </c>
      <c r="AH104" s="1158">
        <f t="shared" si="306"/>
        <v>0</v>
      </c>
      <c r="AI104" s="1159">
        <f t="shared" si="307"/>
        <v>0</v>
      </c>
      <c r="AJ104" s="1159">
        <f t="shared" si="308"/>
        <v>0</v>
      </c>
      <c r="AK104" s="1159">
        <f t="shared" si="309"/>
        <v>0</v>
      </c>
      <c r="AL104" s="1159">
        <f t="shared" si="310"/>
        <v>0</v>
      </c>
      <c r="AM104" s="2803">
        <f t="shared" si="311"/>
        <v>0</v>
      </c>
      <c r="AN104" s="2804">
        <f>'11.2. ДА за периода'!AN104</f>
        <v>0</v>
      </c>
      <c r="AO104" s="1158">
        <f t="shared" si="312"/>
        <v>0</v>
      </c>
      <c r="AP104" s="1159">
        <f t="shared" si="313"/>
        <v>0</v>
      </c>
      <c r="AQ104" s="1159">
        <f t="shared" si="314"/>
        <v>0</v>
      </c>
      <c r="AR104" s="1159">
        <f t="shared" si="315"/>
        <v>0</v>
      </c>
      <c r="AS104" s="1159">
        <f t="shared" si="316"/>
        <v>0</v>
      </c>
      <c r="AT104" s="2803">
        <f t="shared" si="317"/>
        <v>0</v>
      </c>
      <c r="AU104" s="4488"/>
      <c r="AV104" s="4504">
        <f t="shared" si="162"/>
        <v>0</v>
      </c>
      <c r="AW104" s="4504">
        <f t="shared" si="163"/>
        <v>0</v>
      </c>
      <c r="AX104" s="4504">
        <f t="shared" si="164"/>
        <v>0</v>
      </c>
      <c r="AY104" s="4504">
        <f t="shared" si="165"/>
        <v>0</v>
      </c>
      <c r="AZ104" s="4504">
        <f t="shared" si="166"/>
        <v>0</v>
      </c>
      <c r="BA104" s="4504">
        <f t="shared" si="167"/>
        <v>0</v>
      </c>
      <c r="BB104" s="4504">
        <f t="shared" si="168"/>
        <v>0</v>
      </c>
      <c r="BC104" s="4504">
        <f t="shared" si="169"/>
        <v>0</v>
      </c>
      <c r="BD104" s="4504">
        <f t="shared" si="170"/>
        <v>0</v>
      </c>
      <c r="BE104" s="4504">
        <f t="shared" si="171"/>
        <v>0</v>
      </c>
      <c r="BF104" s="4504">
        <f t="shared" si="172"/>
        <v>0</v>
      </c>
      <c r="BG104" s="4504">
        <f t="shared" si="173"/>
        <v>0</v>
      </c>
      <c r="BH104" s="4504">
        <f t="shared" si="174"/>
        <v>0</v>
      </c>
      <c r="BI104" s="4504">
        <f t="shared" si="175"/>
        <v>0</v>
      </c>
      <c r="BJ104" s="4504">
        <f t="shared" si="176"/>
        <v>0</v>
      </c>
      <c r="BK104" s="4504">
        <f t="shared" si="177"/>
        <v>0</v>
      </c>
      <c r="BL104" s="4504">
        <f t="shared" si="178"/>
        <v>0</v>
      </c>
      <c r="BM104" s="4504">
        <f t="shared" si="179"/>
        <v>0</v>
      </c>
      <c r="BN104" s="4504">
        <f t="shared" si="180"/>
        <v>0</v>
      </c>
      <c r="BO104" s="4504">
        <f t="shared" si="181"/>
        <v>0</v>
      </c>
      <c r="BP104" s="4504">
        <f t="shared" si="182"/>
        <v>0</v>
      </c>
      <c r="BQ104" s="4504">
        <f t="shared" si="183"/>
        <v>0</v>
      </c>
      <c r="BR104" s="4504">
        <f t="shared" si="184"/>
        <v>0</v>
      </c>
      <c r="BS104" s="4504">
        <f t="shared" si="185"/>
        <v>0</v>
      </c>
      <c r="BT104" s="4504">
        <f t="shared" si="186"/>
        <v>0</v>
      </c>
      <c r="BU104" s="4504">
        <f t="shared" si="187"/>
        <v>0</v>
      </c>
      <c r="BV104" s="4504">
        <f t="shared" si="188"/>
        <v>0</v>
      </c>
      <c r="BW104" s="4504">
        <f t="shared" si="189"/>
        <v>0</v>
      </c>
      <c r="BX104" s="4504">
        <f t="shared" si="190"/>
        <v>0</v>
      </c>
      <c r="BY104" s="4504">
        <f t="shared" si="191"/>
        <v>0</v>
      </c>
      <c r="BZ104" s="4504">
        <f t="shared" si="192"/>
        <v>0</v>
      </c>
      <c r="CA104" s="4504">
        <f t="shared" si="193"/>
        <v>0</v>
      </c>
      <c r="CB104" s="4504">
        <f t="shared" si="194"/>
        <v>0</v>
      </c>
      <c r="CC104" s="4504">
        <f t="shared" si="195"/>
        <v>0</v>
      </c>
      <c r="CD104" s="4504">
        <f t="shared" si="196"/>
        <v>0</v>
      </c>
      <c r="CE104" s="4504">
        <f t="shared" si="197"/>
        <v>0</v>
      </c>
      <c r="CF104" s="4504">
        <f t="shared" si="198"/>
        <v>0</v>
      </c>
      <c r="CG104" s="4504">
        <f t="shared" si="199"/>
        <v>0</v>
      </c>
      <c r="CH104" s="4504">
        <f t="shared" si="200"/>
        <v>0</v>
      </c>
      <c r="CI104" s="4504">
        <f t="shared" si="201"/>
        <v>0</v>
      </c>
      <c r="CJ104" s="4504">
        <f t="shared" si="202"/>
        <v>0</v>
      </c>
      <c r="CK104" s="4504">
        <f t="shared" si="203"/>
        <v>0</v>
      </c>
    </row>
    <row r="105" spans="1:89" s="30" customFormat="1">
      <c r="A105" s="2734">
        <v>9</v>
      </c>
      <c r="B105" s="3630">
        <v>212</v>
      </c>
      <c r="C105" s="3604">
        <v>0.2</v>
      </c>
      <c r="D105" s="2761" t="s">
        <v>214</v>
      </c>
      <c r="E105" s="2774">
        <f>'11.2. ДА за периода'!E105</f>
        <v>0</v>
      </c>
      <c r="F105" s="2801">
        <f t="shared" si="282"/>
        <v>0</v>
      </c>
      <c r="G105" s="1159">
        <f t="shared" si="283"/>
        <v>0</v>
      </c>
      <c r="H105" s="1159">
        <f t="shared" si="284"/>
        <v>0</v>
      </c>
      <c r="I105" s="1159">
        <f t="shared" si="285"/>
        <v>0</v>
      </c>
      <c r="J105" s="1159">
        <f t="shared" si="286"/>
        <v>0</v>
      </c>
      <c r="K105" s="2802">
        <f t="shared" si="287"/>
        <v>0</v>
      </c>
      <c r="L105" s="2774">
        <f>'11.2. ДА за периода'!L105</f>
        <v>0</v>
      </c>
      <c r="M105" s="2801">
        <f t="shared" si="288"/>
        <v>0</v>
      </c>
      <c r="N105" s="1159">
        <f t="shared" si="289"/>
        <v>0</v>
      </c>
      <c r="O105" s="1159">
        <f t="shared" si="290"/>
        <v>0</v>
      </c>
      <c r="P105" s="1159">
        <f t="shared" si="291"/>
        <v>0</v>
      </c>
      <c r="Q105" s="2802">
        <f t="shared" si="292"/>
        <v>0</v>
      </c>
      <c r="R105" s="2803">
        <f t="shared" si="293"/>
        <v>0</v>
      </c>
      <c r="S105" s="2804">
        <f>'11.2. ДА за периода'!S105</f>
        <v>0</v>
      </c>
      <c r="T105" s="1158">
        <f t="shared" si="294"/>
        <v>0</v>
      </c>
      <c r="U105" s="1159">
        <f t="shared" si="295"/>
        <v>0</v>
      </c>
      <c r="V105" s="1159">
        <f t="shared" si="296"/>
        <v>0</v>
      </c>
      <c r="W105" s="1159">
        <f t="shared" si="297"/>
        <v>0</v>
      </c>
      <c r="X105" s="1159">
        <f t="shared" si="298"/>
        <v>0</v>
      </c>
      <c r="Y105" s="2803">
        <f t="shared" si="299"/>
        <v>0</v>
      </c>
      <c r="Z105" s="2804">
        <f>'11.2. ДА за периода'!Z105</f>
        <v>0</v>
      </c>
      <c r="AA105" s="1158">
        <f t="shared" si="300"/>
        <v>0</v>
      </c>
      <c r="AB105" s="1159">
        <f t="shared" si="301"/>
        <v>0</v>
      </c>
      <c r="AC105" s="1159">
        <f t="shared" si="302"/>
        <v>0</v>
      </c>
      <c r="AD105" s="1159">
        <f t="shared" si="303"/>
        <v>0</v>
      </c>
      <c r="AE105" s="1159">
        <f t="shared" si="304"/>
        <v>0</v>
      </c>
      <c r="AF105" s="2803">
        <f t="shared" si="305"/>
        <v>0</v>
      </c>
      <c r="AG105" s="2804">
        <f>'11.2. ДА за периода'!AG105</f>
        <v>0</v>
      </c>
      <c r="AH105" s="1158">
        <f t="shared" si="306"/>
        <v>0</v>
      </c>
      <c r="AI105" s="1159">
        <f t="shared" si="307"/>
        <v>0</v>
      </c>
      <c r="AJ105" s="1159">
        <f t="shared" si="308"/>
        <v>0</v>
      </c>
      <c r="AK105" s="1159">
        <f t="shared" si="309"/>
        <v>0</v>
      </c>
      <c r="AL105" s="1159">
        <f t="shared" si="310"/>
        <v>0</v>
      </c>
      <c r="AM105" s="2803">
        <f t="shared" si="311"/>
        <v>0</v>
      </c>
      <c r="AN105" s="2804">
        <f>'11.2. ДА за периода'!AN105</f>
        <v>0</v>
      </c>
      <c r="AO105" s="1158">
        <f t="shared" si="312"/>
        <v>0</v>
      </c>
      <c r="AP105" s="1159">
        <f t="shared" si="313"/>
        <v>1.9000000000000001</v>
      </c>
      <c r="AQ105" s="1159">
        <f t="shared" si="314"/>
        <v>5.1000000000000005</v>
      </c>
      <c r="AR105" s="1159">
        <f t="shared" si="315"/>
        <v>9.6000000000000014</v>
      </c>
      <c r="AS105" s="1159">
        <f t="shared" si="316"/>
        <v>15.4</v>
      </c>
      <c r="AT105" s="2803">
        <f t="shared" si="317"/>
        <v>19.3</v>
      </c>
      <c r="AU105" s="4488"/>
      <c r="AV105" s="4504">
        <f t="shared" si="162"/>
        <v>0</v>
      </c>
      <c r="AW105" s="4504">
        <f t="shared" si="163"/>
        <v>0</v>
      </c>
      <c r="AX105" s="4504">
        <f t="shared" si="164"/>
        <v>0</v>
      </c>
      <c r="AY105" s="4504">
        <f t="shared" si="165"/>
        <v>0</v>
      </c>
      <c r="AZ105" s="4504">
        <f t="shared" si="166"/>
        <v>0</v>
      </c>
      <c r="BA105" s="4504">
        <f t="shared" si="167"/>
        <v>0</v>
      </c>
      <c r="BB105" s="4504">
        <f t="shared" si="168"/>
        <v>0</v>
      </c>
      <c r="BC105" s="4504">
        <f t="shared" si="169"/>
        <v>0</v>
      </c>
      <c r="BD105" s="4504">
        <f t="shared" si="170"/>
        <v>0</v>
      </c>
      <c r="BE105" s="4504">
        <f t="shared" si="171"/>
        <v>0</v>
      </c>
      <c r="BF105" s="4504">
        <f t="shared" si="172"/>
        <v>0</v>
      </c>
      <c r="BG105" s="4504">
        <f t="shared" si="173"/>
        <v>0</v>
      </c>
      <c r="BH105" s="4504">
        <f t="shared" si="174"/>
        <v>0</v>
      </c>
      <c r="BI105" s="4504">
        <f t="shared" si="175"/>
        <v>0</v>
      </c>
      <c r="BJ105" s="4504">
        <f t="shared" si="176"/>
        <v>0</v>
      </c>
      <c r="BK105" s="4504">
        <f t="shared" si="177"/>
        <v>0</v>
      </c>
      <c r="BL105" s="4504">
        <f t="shared" si="178"/>
        <v>0</v>
      </c>
      <c r="BM105" s="4504">
        <f t="shared" si="179"/>
        <v>0</v>
      </c>
      <c r="BN105" s="4504">
        <f t="shared" si="180"/>
        <v>0</v>
      </c>
      <c r="BO105" s="4504">
        <f t="shared" si="181"/>
        <v>0</v>
      </c>
      <c r="BP105" s="4504">
        <f t="shared" si="182"/>
        <v>0</v>
      </c>
      <c r="BQ105" s="4504">
        <f t="shared" si="183"/>
        <v>0</v>
      </c>
      <c r="BR105" s="4504">
        <f t="shared" si="184"/>
        <v>0</v>
      </c>
      <c r="BS105" s="4504">
        <f t="shared" si="185"/>
        <v>0</v>
      </c>
      <c r="BT105" s="4504">
        <f t="shared" si="186"/>
        <v>0</v>
      </c>
      <c r="BU105" s="4504">
        <f t="shared" si="187"/>
        <v>0</v>
      </c>
      <c r="BV105" s="4504">
        <f t="shared" si="188"/>
        <v>0</v>
      </c>
      <c r="BW105" s="4504">
        <f t="shared" si="189"/>
        <v>0</v>
      </c>
      <c r="BX105" s="4504">
        <f t="shared" si="190"/>
        <v>0</v>
      </c>
      <c r="BY105" s="4504">
        <f t="shared" si="191"/>
        <v>0</v>
      </c>
      <c r="BZ105" s="4504">
        <f t="shared" si="192"/>
        <v>0</v>
      </c>
      <c r="CA105" s="4504">
        <f t="shared" si="193"/>
        <v>0</v>
      </c>
      <c r="CB105" s="4504">
        <f t="shared" si="194"/>
        <v>0</v>
      </c>
      <c r="CC105" s="4504">
        <f t="shared" si="195"/>
        <v>0</v>
      </c>
      <c r="CD105" s="4504">
        <f t="shared" si="196"/>
        <v>0</v>
      </c>
      <c r="CE105" s="4504">
        <f t="shared" si="197"/>
        <v>0</v>
      </c>
      <c r="CF105" s="4504">
        <f t="shared" si="198"/>
        <v>0</v>
      </c>
      <c r="CG105" s="4504">
        <f t="shared" si="199"/>
        <v>0.97145457427281523</v>
      </c>
      <c r="CH105" s="4504">
        <f t="shared" si="200"/>
        <v>2.6075885941007146</v>
      </c>
      <c r="CI105" s="4504">
        <f t="shared" si="201"/>
        <v>4.9084020594836986</v>
      </c>
      <c r="CJ105" s="4504">
        <f t="shared" si="202"/>
        <v>7.8738949704217651</v>
      </c>
      <c r="CK105" s="4504">
        <f t="shared" si="203"/>
        <v>9.8679333070870179</v>
      </c>
    </row>
    <row r="106" spans="1:89" s="30" customFormat="1">
      <c r="A106" s="2734">
        <v>10</v>
      </c>
      <c r="B106" s="3630">
        <v>213</v>
      </c>
      <c r="C106" s="3604">
        <v>0.2</v>
      </c>
      <c r="D106" s="2733" t="s">
        <v>215</v>
      </c>
      <c r="E106" s="2774">
        <f>'11.2. ДА за периода'!E106</f>
        <v>0</v>
      </c>
      <c r="F106" s="2801">
        <f t="shared" si="282"/>
        <v>0</v>
      </c>
      <c r="G106" s="1159">
        <f t="shared" si="283"/>
        <v>0</v>
      </c>
      <c r="H106" s="1159">
        <f t="shared" si="284"/>
        <v>0</v>
      </c>
      <c r="I106" s="1159">
        <f t="shared" si="285"/>
        <v>0</v>
      </c>
      <c r="J106" s="1159">
        <f t="shared" si="286"/>
        <v>0</v>
      </c>
      <c r="K106" s="2802">
        <f t="shared" si="287"/>
        <v>0</v>
      </c>
      <c r="L106" s="2774">
        <f>'11.2. ДА за периода'!L106</f>
        <v>0</v>
      </c>
      <c r="M106" s="2801">
        <f t="shared" si="288"/>
        <v>0</v>
      </c>
      <c r="N106" s="1159">
        <f t="shared" si="289"/>
        <v>0</v>
      </c>
      <c r="O106" s="1159">
        <f t="shared" si="290"/>
        <v>0</v>
      </c>
      <c r="P106" s="1159">
        <f t="shared" si="291"/>
        <v>0</v>
      </c>
      <c r="Q106" s="2802">
        <f t="shared" si="292"/>
        <v>0</v>
      </c>
      <c r="R106" s="2803">
        <f t="shared" si="293"/>
        <v>0</v>
      </c>
      <c r="S106" s="2804">
        <f>'11.2. ДА за периода'!S106</f>
        <v>0</v>
      </c>
      <c r="T106" s="1158">
        <f t="shared" si="294"/>
        <v>0</v>
      </c>
      <c r="U106" s="1159">
        <f t="shared" si="295"/>
        <v>0</v>
      </c>
      <c r="V106" s="1159">
        <f t="shared" si="296"/>
        <v>0</v>
      </c>
      <c r="W106" s="1159">
        <f t="shared" si="297"/>
        <v>0</v>
      </c>
      <c r="X106" s="1159">
        <f t="shared" si="298"/>
        <v>0</v>
      </c>
      <c r="Y106" s="2803">
        <f t="shared" si="299"/>
        <v>0</v>
      </c>
      <c r="Z106" s="2804">
        <f>'11.2. ДА за периода'!Z106</f>
        <v>0</v>
      </c>
      <c r="AA106" s="1158">
        <f t="shared" si="300"/>
        <v>0</v>
      </c>
      <c r="AB106" s="1159">
        <f t="shared" si="301"/>
        <v>0</v>
      </c>
      <c r="AC106" s="1159">
        <f t="shared" si="302"/>
        <v>0</v>
      </c>
      <c r="AD106" s="1159">
        <f t="shared" si="303"/>
        <v>0</v>
      </c>
      <c r="AE106" s="1159">
        <f t="shared" si="304"/>
        <v>0</v>
      </c>
      <c r="AF106" s="2803">
        <f t="shared" si="305"/>
        <v>0</v>
      </c>
      <c r="AG106" s="2804">
        <f>'11.2. ДА за периода'!AG106</f>
        <v>0</v>
      </c>
      <c r="AH106" s="1158">
        <f t="shared" si="306"/>
        <v>0</v>
      </c>
      <c r="AI106" s="1159">
        <f t="shared" si="307"/>
        <v>0</v>
      </c>
      <c r="AJ106" s="1159">
        <f t="shared" si="308"/>
        <v>0</v>
      </c>
      <c r="AK106" s="1159">
        <f t="shared" si="309"/>
        <v>0</v>
      </c>
      <c r="AL106" s="1159">
        <f t="shared" si="310"/>
        <v>0</v>
      </c>
      <c r="AM106" s="2803">
        <f t="shared" si="311"/>
        <v>0</v>
      </c>
      <c r="AN106" s="2804">
        <f>'11.2. ДА за периода'!AN106</f>
        <v>0</v>
      </c>
      <c r="AO106" s="1158">
        <f t="shared" si="312"/>
        <v>0</v>
      </c>
      <c r="AP106" s="1159">
        <f t="shared" si="313"/>
        <v>0</v>
      </c>
      <c r="AQ106" s="1159">
        <f t="shared" si="314"/>
        <v>0</v>
      </c>
      <c r="AR106" s="1159">
        <f t="shared" si="315"/>
        <v>0</v>
      </c>
      <c r="AS106" s="1159">
        <f t="shared" si="316"/>
        <v>0</v>
      </c>
      <c r="AT106" s="2803">
        <f t="shared" si="317"/>
        <v>0</v>
      </c>
      <c r="AU106" s="4488"/>
      <c r="AV106" s="4504">
        <f t="shared" si="162"/>
        <v>0</v>
      </c>
      <c r="AW106" s="4504">
        <f t="shared" si="163"/>
        <v>0</v>
      </c>
      <c r="AX106" s="4504">
        <f t="shared" si="164"/>
        <v>0</v>
      </c>
      <c r="AY106" s="4504">
        <f t="shared" si="165"/>
        <v>0</v>
      </c>
      <c r="AZ106" s="4504">
        <f t="shared" si="166"/>
        <v>0</v>
      </c>
      <c r="BA106" s="4504">
        <f t="shared" si="167"/>
        <v>0</v>
      </c>
      <c r="BB106" s="4504">
        <f t="shared" si="168"/>
        <v>0</v>
      </c>
      <c r="BC106" s="4504">
        <f t="shared" si="169"/>
        <v>0</v>
      </c>
      <c r="BD106" s="4504">
        <f t="shared" si="170"/>
        <v>0</v>
      </c>
      <c r="BE106" s="4504">
        <f t="shared" si="171"/>
        <v>0</v>
      </c>
      <c r="BF106" s="4504">
        <f t="shared" si="172"/>
        <v>0</v>
      </c>
      <c r="BG106" s="4504">
        <f t="shared" si="173"/>
        <v>0</v>
      </c>
      <c r="BH106" s="4504">
        <f t="shared" si="174"/>
        <v>0</v>
      </c>
      <c r="BI106" s="4504">
        <f t="shared" si="175"/>
        <v>0</v>
      </c>
      <c r="BJ106" s="4504">
        <f t="shared" si="176"/>
        <v>0</v>
      </c>
      <c r="BK106" s="4504">
        <f t="shared" si="177"/>
        <v>0</v>
      </c>
      <c r="BL106" s="4504">
        <f t="shared" si="178"/>
        <v>0</v>
      </c>
      <c r="BM106" s="4504">
        <f t="shared" si="179"/>
        <v>0</v>
      </c>
      <c r="BN106" s="4504">
        <f t="shared" si="180"/>
        <v>0</v>
      </c>
      <c r="BO106" s="4504">
        <f t="shared" si="181"/>
        <v>0</v>
      </c>
      <c r="BP106" s="4504">
        <f t="shared" si="182"/>
        <v>0</v>
      </c>
      <c r="BQ106" s="4504">
        <f t="shared" si="183"/>
        <v>0</v>
      </c>
      <c r="BR106" s="4504">
        <f t="shared" si="184"/>
        <v>0</v>
      </c>
      <c r="BS106" s="4504">
        <f t="shared" si="185"/>
        <v>0</v>
      </c>
      <c r="BT106" s="4504">
        <f t="shared" si="186"/>
        <v>0</v>
      </c>
      <c r="BU106" s="4504">
        <f t="shared" si="187"/>
        <v>0</v>
      </c>
      <c r="BV106" s="4504">
        <f t="shared" si="188"/>
        <v>0</v>
      </c>
      <c r="BW106" s="4504">
        <f t="shared" si="189"/>
        <v>0</v>
      </c>
      <c r="BX106" s="4504">
        <f t="shared" si="190"/>
        <v>0</v>
      </c>
      <c r="BY106" s="4504">
        <f t="shared" si="191"/>
        <v>0</v>
      </c>
      <c r="BZ106" s="4504">
        <f t="shared" si="192"/>
        <v>0</v>
      </c>
      <c r="CA106" s="4504">
        <f t="shared" si="193"/>
        <v>0</v>
      </c>
      <c r="CB106" s="4504">
        <f t="shared" si="194"/>
        <v>0</v>
      </c>
      <c r="CC106" s="4504">
        <f t="shared" si="195"/>
        <v>0</v>
      </c>
      <c r="CD106" s="4504">
        <f t="shared" si="196"/>
        <v>0</v>
      </c>
      <c r="CE106" s="4504">
        <f t="shared" si="197"/>
        <v>0</v>
      </c>
      <c r="CF106" s="4504">
        <f t="shared" si="198"/>
        <v>0</v>
      </c>
      <c r="CG106" s="4504">
        <f t="shared" si="199"/>
        <v>0</v>
      </c>
      <c r="CH106" s="4504">
        <f t="shared" si="200"/>
        <v>0</v>
      </c>
      <c r="CI106" s="4504">
        <f t="shared" si="201"/>
        <v>0</v>
      </c>
      <c r="CJ106" s="4504">
        <f t="shared" si="202"/>
        <v>0</v>
      </c>
      <c r="CK106" s="4504">
        <f t="shared" si="203"/>
        <v>0</v>
      </c>
    </row>
    <row r="107" spans="1:89" s="30" customFormat="1" ht="23.4">
      <c r="A107" s="2805">
        <v>11</v>
      </c>
      <c r="B107" s="3631">
        <v>215</v>
      </c>
      <c r="C107" s="3604">
        <v>0.2</v>
      </c>
      <c r="D107" s="2733" t="s">
        <v>679</v>
      </c>
      <c r="E107" s="2774">
        <f>'11.2. ДА за периода'!E107</f>
        <v>4.8000000000000007</v>
      </c>
      <c r="F107" s="2801">
        <f t="shared" si="282"/>
        <v>10</v>
      </c>
      <c r="G107" s="1159">
        <f t="shared" si="283"/>
        <v>20</v>
      </c>
      <c r="H107" s="1159">
        <f t="shared" si="284"/>
        <v>20</v>
      </c>
      <c r="I107" s="1159">
        <f t="shared" si="285"/>
        <v>20</v>
      </c>
      <c r="J107" s="1159">
        <f t="shared" si="286"/>
        <v>20</v>
      </c>
      <c r="K107" s="2802">
        <f t="shared" si="287"/>
        <v>20</v>
      </c>
      <c r="L107" s="2774">
        <f>'11.2. ДА за периода'!L107</f>
        <v>0</v>
      </c>
      <c r="M107" s="2801">
        <f t="shared" si="288"/>
        <v>0</v>
      </c>
      <c r="N107" s="1159">
        <f t="shared" si="289"/>
        <v>0</v>
      </c>
      <c r="O107" s="1159">
        <f t="shared" si="290"/>
        <v>0</v>
      </c>
      <c r="P107" s="1159">
        <f t="shared" si="291"/>
        <v>0</v>
      </c>
      <c r="Q107" s="2802">
        <f t="shared" si="292"/>
        <v>0</v>
      </c>
      <c r="R107" s="2803">
        <f t="shared" si="293"/>
        <v>0</v>
      </c>
      <c r="S107" s="2804">
        <f>'11.2. ДА за периода'!S107</f>
        <v>0</v>
      </c>
      <c r="T107" s="1158">
        <f t="shared" si="294"/>
        <v>0</v>
      </c>
      <c r="U107" s="1159">
        <f t="shared" si="295"/>
        <v>0</v>
      </c>
      <c r="V107" s="1159">
        <f t="shared" si="296"/>
        <v>0</v>
      </c>
      <c r="W107" s="1159">
        <f t="shared" si="297"/>
        <v>0</v>
      </c>
      <c r="X107" s="1159">
        <f t="shared" si="298"/>
        <v>0</v>
      </c>
      <c r="Y107" s="2803">
        <f t="shared" si="299"/>
        <v>0</v>
      </c>
      <c r="Z107" s="2804">
        <f>'11.2. ДА за периода'!Z107</f>
        <v>0</v>
      </c>
      <c r="AA107" s="1158">
        <f t="shared" si="300"/>
        <v>0</v>
      </c>
      <c r="AB107" s="1159">
        <f t="shared" si="301"/>
        <v>0</v>
      </c>
      <c r="AC107" s="1159">
        <f t="shared" si="302"/>
        <v>0</v>
      </c>
      <c r="AD107" s="1159">
        <f t="shared" si="303"/>
        <v>0</v>
      </c>
      <c r="AE107" s="1159">
        <f t="shared" si="304"/>
        <v>0</v>
      </c>
      <c r="AF107" s="2803">
        <f t="shared" si="305"/>
        <v>0</v>
      </c>
      <c r="AG107" s="2804">
        <f>'11.2. ДА за периода'!AG107</f>
        <v>0</v>
      </c>
      <c r="AH107" s="1158">
        <f t="shared" si="306"/>
        <v>0</v>
      </c>
      <c r="AI107" s="1159">
        <f t="shared" si="307"/>
        <v>0</v>
      </c>
      <c r="AJ107" s="1159">
        <f t="shared" si="308"/>
        <v>0</v>
      </c>
      <c r="AK107" s="1159">
        <f t="shared" si="309"/>
        <v>0</v>
      </c>
      <c r="AL107" s="1159">
        <f t="shared" si="310"/>
        <v>0</v>
      </c>
      <c r="AM107" s="2803">
        <f t="shared" si="311"/>
        <v>0</v>
      </c>
      <c r="AN107" s="2804">
        <f>'11.2. ДА за периода'!AN107</f>
        <v>0</v>
      </c>
      <c r="AO107" s="1158">
        <f t="shared" si="312"/>
        <v>0</v>
      </c>
      <c r="AP107" s="1159">
        <f t="shared" si="313"/>
        <v>0</v>
      </c>
      <c r="AQ107" s="1159">
        <f t="shared" si="314"/>
        <v>0</v>
      </c>
      <c r="AR107" s="1159">
        <f t="shared" si="315"/>
        <v>0</v>
      </c>
      <c r="AS107" s="1159">
        <f t="shared" si="316"/>
        <v>0</v>
      </c>
      <c r="AT107" s="2803">
        <f t="shared" si="317"/>
        <v>0</v>
      </c>
      <c r="AU107" s="4488"/>
      <c r="AV107" s="4504">
        <f t="shared" si="162"/>
        <v>2.4542010297418493</v>
      </c>
      <c r="AW107" s="4504">
        <f t="shared" si="163"/>
        <v>5.1129188119621851</v>
      </c>
      <c r="AX107" s="4504">
        <f t="shared" si="164"/>
        <v>10.22583762392437</v>
      </c>
      <c r="AY107" s="4504">
        <f t="shared" si="165"/>
        <v>10.22583762392437</v>
      </c>
      <c r="AZ107" s="4504">
        <f t="shared" si="166"/>
        <v>10.22583762392437</v>
      </c>
      <c r="BA107" s="4504">
        <f t="shared" si="167"/>
        <v>10.22583762392437</v>
      </c>
      <c r="BB107" s="4504">
        <f t="shared" si="168"/>
        <v>10.22583762392437</v>
      </c>
      <c r="BC107" s="4504">
        <f t="shared" si="169"/>
        <v>0</v>
      </c>
      <c r="BD107" s="4504">
        <f t="shared" si="170"/>
        <v>0</v>
      </c>
      <c r="BE107" s="4504">
        <f t="shared" si="171"/>
        <v>0</v>
      </c>
      <c r="BF107" s="4504">
        <f t="shared" si="172"/>
        <v>0</v>
      </c>
      <c r="BG107" s="4504">
        <f t="shared" si="173"/>
        <v>0</v>
      </c>
      <c r="BH107" s="4504">
        <f t="shared" si="174"/>
        <v>0</v>
      </c>
      <c r="BI107" s="4504">
        <f t="shared" si="175"/>
        <v>0</v>
      </c>
      <c r="BJ107" s="4504">
        <f t="shared" si="176"/>
        <v>0</v>
      </c>
      <c r="BK107" s="4504">
        <f t="shared" si="177"/>
        <v>0</v>
      </c>
      <c r="BL107" s="4504">
        <f t="shared" si="178"/>
        <v>0</v>
      </c>
      <c r="BM107" s="4504">
        <f t="shared" si="179"/>
        <v>0</v>
      </c>
      <c r="BN107" s="4504">
        <f t="shared" si="180"/>
        <v>0</v>
      </c>
      <c r="BO107" s="4504">
        <f t="shared" si="181"/>
        <v>0</v>
      </c>
      <c r="BP107" s="4504">
        <f t="shared" si="182"/>
        <v>0</v>
      </c>
      <c r="BQ107" s="4504">
        <f t="shared" si="183"/>
        <v>0</v>
      </c>
      <c r="BR107" s="4504">
        <f t="shared" si="184"/>
        <v>0</v>
      </c>
      <c r="BS107" s="4504">
        <f t="shared" si="185"/>
        <v>0</v>
      </c>
      <c r="BT107" s="4504">
        <f t="shared" si="186"/>
        <v>0</v>
      </c>
      <c r="BU107" s="4504">
        <f t="shared" si="187"/>
        <v>0</v>
      </c>
      <c r="BV107" s="4504">
        <f t="shared" si="188"/>
        <v>0</v>
      </c>
      <c r="BW107" s="4504">
        <f t="shared" si="189"/>
        <v>0</v>
      </c>
      <c r="BX107" s="4504">
        <f t="shared" si="190"/>
        <v>0</v>
      </c>
      <c r="BY107" s="4504">
        <f t="shared" si="191"/>
        <v>0</v>
      </c>
      <c r="BZ107" s="4504">
        <f t="shared" si="192"/>
        <v>0</v>
      </c>
      <c r="CA107" s="4504">
        <f t="shared" si="193"/>
        <v>0</v>
      </c>
      <c r="CB107" s="4504">
        <f t="shared" si="194"/>
        <v>0</v>
      </c>
      <c r="CC107" s="4504">
        <f t="shared" si="195"/>
        <v>0</v>
      </c>
      <c r="CD107" s="4504">
        <f t="shared" si="196"/>
        <v>0</v>
      </c>
      <c r="CE107" s="4504">
        <f t="shared" si="197"/>
        <v>0</v>
      </c>
      <c r="CF107" s="4504">
        <f t="shared" si="198"/>
        <v>0</v>
      </c>
      <c r="CG107" s="4504">
        <f t="shared" si="199"/>
        <v>0</v>
      </c>
      <c r="CH107" s="4504">
        <f t="shared" si="200"/>
        <v>0</v>
      </c>
      <c r="CI107" s="4504">
        <f t="shared" si="201"/>
        <v>0</v>
      </c>
      <c r="CJ107" s="4504">
        <f t="shared" si="202"/>
        <v>0</v>
      </c>
      <c r="CK107" s="4504">
        <f t="shared" si="203"/>
        <v>0</v>
      </c>
    </row>
    <row r="108" spans="1:89" s="30" customFormat="1" ht="13.8" thickBot="1">
      <c r="A108" s="2762">
        <v>12</v>
      </c>
      <c r="B108" s="3623">
        <v>219</v>
      </c>
      <c r="C108" s="3612">
        <v>0.1</v>
      </c>
      <c r="D108" s="2806" t="s">
        <v>216</v>
      </c>
      <c r="E108" s="2807">
        <f>'11.2. ДА за периода'!E108</f>
        <v>0.70891864468705212</v>
      </c>
      <c r="F108" s="2808">
        <f t="shared" si="282"/>
        <v>0</v>
      </c>
      <c r="G108" s="2809">
        <f t="shared" si="283"/>
        <v>0</v>
      </c>
      <c r="H108" s="2809">
        <f t="shared" si="284"/>
        <v>0</v>
      </c>
      <c r="I108" s="2809">
        <f t="shared" si="285"/>
        <v>0</v>
      </c>
      <c r="J108" s="2809">
        <f t="shared" si="286"/>
        <v>0</v>
      </c>
      <c r="K108" s="2810">
        <f t="shared" si="287"/>
        <v>0</v>
      </c>
      <c r="L108" s="2807">
        <f>'11.2. ДА за периода'!L108</f>
        <v>0</v>
      </c>
      <c r="M108" s="2808">
        <f t="shared" si="288"/>
        <v>0</v>
      </c>
      <c r="N108" s="2809">
        <f t="shared" si="289"/>
        <v>0</v>
      </c>
      <c r="O108" s="2809">
        <f t="shared" si="290"/>
        <v>0</v>
      </c>
      <c r="P108" s="2809">
        <f t="shared" si="291"/>
        <v>0</v>
      </c>
      <c r="Q108" s="2810">
        <f t="shared" si="292"/>
        <v>0</v>
      </c>
      <c r="R108" s="2811">
        <f t="shared" si="293"/>
        <v>0</v>
      </c>
      <c r="S108" s="2807">
        <f>'11.2. ДА за периода'!S108</f>
        <v>0</v>
      </c>
      <c r="T108" s="2812">
        <f t="shared" si="294"/>
        <v>0</v>
      </c>
      <c r="U108" s="2809">
        <f t="shared" si="295"/>
        <v>0</v>
      </c>
      <c r="V108" s="2809">
        <f t="shared" si="296"/>
        <v>0</v>
      </c>
      <c r="W108" s="2809">
        <f t="shared" si="297"/>
        <v>0</v>
      </c>
      <c r="X108" s="2809">
        <f t="shared" si="298"/>
        <v>0</v>
      </c>
      <c r="Y108" s="2811">
        <f t="shared" si="299"/>
        <v>0</v>
      </c>
      <c r="Z108" s="2807">
        <f>'11.2. ДА за периода'!Z108</f>
        <v>0</v>
      </c>
      <c r="AA108" s="2812">
        <f t="shared" si="300"/>
        <v>0</v>
      </c>
      <c r="AB108" s="2809">
        <f t="shared" si="301"/>
        <v>0</v>
      </c>
      <c r="AC108" s="2809">
        <f t="shared" si="302"/>
        <v>0</v>
      </c>
      <c r="AD108" s="2809">
        <f t="shared" si="303"/>
        <v>0</v>
      </c>
      <c r="AE108" s="2809">
        <f t="shared" si="304"/>
        <v>0</v>
      </c>
      <c r="AF108" s="2811">
        <f t="shared" si="305"/>
        <v>0</v>
      </c>
      <c r="AG108" s="2807">
        <f>'11.2. ДА за периода'!AG108</f>
        <v>4.1081355312948001E-2</v>
      </c>
      <c r="AH108" s="2812">
        <f t="shared" si="306"/>
        <v>0</v>
      </c>
      <c r="AI108" s="2809">
        <f t="shared" si="307"/>
        <v>0</v>
      </c>
      <c r="AJ108" s="2809">
        <f t="shared" si="308"/>
        <v>0</v>
      </c>
      <c r="AK108" s="2809">
        <f t="shared" si="309"/>
        <v>0</v>
      </c>
      <c r="AL108" s="2809">
        <f t="shared" si="310"/>
        <v>0</v>
      </c>
      <c r="AM108" s="2811">
        <f t="shared" si="311"/>
        <v>0</v>
      </c>
      <c r="AN108" s="2807">
        <f>'11.2. ДА за периода'!AN108</f>
        <v>0</v>
      </c>
      <c r="AO108" s="2812">
        <f t="shared" si="312"/>
        <v>0</v>
      </c>
      <c r="AP108" s="2809">
        <f t="shared" si="313"/>
        <v>0</v>
      </c>
      <c r="AQ108" s="2809">
        <f t="shared" si="314"/>
        <v>0</v>
      </c>
      <c r="AR108" s="2809">
        <f t="shared" si="315"/>
        <v>0</v>
      </c>
      <c r="AS108" s="2809">
        <f t="shared" si="316"/>
        <v>0</v>
      </c>
      <c r="AT108" s="2811">
        <f t="shared" si="317"/>
        <v>0</v>
      </c>
      <c r="AU108" s="4488"/>
      <c r="AV108" s="4504">
        <f>IFERROR(E108/$D$1,0)</f>
        <v>0.36246434745711648</v>
      </c>
      <c r="AW108" s="4504">
        <f t="shared" si="163"/>
        <v>0</v>
      </c>
      <c r="AX108" s="4504">
        <f t="shared" si="164"/>
        <v>0</v>
      </c>
      <c r="AY108" s="4504">
        <f t="shared" si="165"/>
        <v>0</v>
      </c>
      <c r="AZ108" s="4504">
        <f t="shared" si="166"/>
        <v>0</v>
      </c>
      <c r="BA108" s="4504">
        <f t="shared" si="167"/>
        <v>0</v>
      </c>
      <c r="BB108" s="4504">
        <f t="shared" si="168"/>
        <v>0</v>
      </c>
      <c r="BC108" s="4504">
        <f t="shared" si="169"/>
        <v>0</v>
      </c>
      <c r="BD108" s="4504">
        <f t="shared" si="170"/>
        <v>0</v>
      </c>
      <c r="BE108" s="4504">
        <f t="shared" si="171"/>
        <v>0</v>
      </c>
      <c r="BF108" s="4504">
        <f t="shared" si="172"/>
        <v>0</v>
      </c>
      <c r="BG108" s="4504">
        <f t="shared" si="173"/>
        <v>0</v>
      </c>
      <c r="BH108" s="4504">
        <f t="shared" si="174"/>
        <v>0</v>
      </c>
      <c r="BI108" s="4504">
        <f t="shared" si="175"/>
        <v>0</v>
      </c>
      <c r="BJ108" s="4504">
        <f t="shared" si="176"/>
        <v>0</v>
      </c>
      <c r="BK108" s="4504">
        <f t="shared" si="177"/>
        <v>0</v>
      </c>
      <c r="BL108" s="4504">
        <f t="shared" si="178"/>
        <v>0</v>
      </c>
      <c r="BM108" s="4504">
        <f t="shared" si="179"/>
        <v>0</v>
      </c>
      <c r="BN108" s="4504">
        <f t="shared" si="180"/>
        <v>0</v>
      </c>
      <c r="BO108" s="4504">
        <f t="shared" si="181"/>
        <v>0</v>
      </c>
      <c r="BP108" s="4504">
        <f t="shared" si="182"/>
        <v>0</v>
      </c>
      <c r="BQ108" s="4504">
        <f t="shared" si="183"/>
        <v>0</v>
      </c>
      <c r="BR108" s="4504">
        <f t="shared" si="184"/>
        <v>0</v>
      </c>
      <c r="BS108" s="4504">
        <f t="shared" si="185"/>
        <v>0</v>
      </c>
      <c r="BT108" s="4504">
        <f t="shared" si="186"/>
        <v>0</v>
      </c>
      <c r="BU108" s="4504">
        <f t="shared" si="187"/>
        <v>0</v>
      </c>
      <c r="BV108" s="4504">
        <f t="shared" si="188"/>
        <v>0</v>
      </c>
      <c r="BW108" s="4504">
        <f t="shared" si="189"/>
        <v>0</v>
      </c>
      <c r="BX108" s="4504">
        <f t="shared" si="190"/>
        <v>2.100456344004745E-2</v>
      </c>
      <c r="BY108" s="4504">
        <f t="shared" si="191"/>
        <v>0</v>
      </c>
      <c r="BZ108" s="4504">
        <f t="shared" si="192"/>
        <v>0</v>
      </c>
      <c r="CA108" s="4504">
        <f t="shared" si="193"/>
        <v>0</v>
      </c>
      <c r="CB108" s="4504">
        <f t="shared" si="194"/>
        <v>0</v>
      </c>
      <c r="CC108" s="4504">
        <f t="shared" si="195"/>
        <v>0</v>
      </c>
      <c r="CD108" s="4504">
        <f t="shared" si="196"/>
        <v>0</v>
      </c>
      <c r="CE108" s="4504">
        <f t="shared" si="197"/>
        <v>0</v>
      </c>
      <c r="CF108" s="4504">
        <f t="shared" si="198"/>
        <v>0</v>
      </c>
      <c r="CG108" s="4504">
        <f t="shared" si="199"/>
        <v>0</v>
      </c>
      <c r="CH108" s="4504">
        <f t="shared" si="200"/>
        <v>0</v>
      </c>
      <c r="CI108" s="4504">
        <f t="shared" si="201"/>
        <v>0</v>
      </c>
      <c r="CJ108" s="4504">
        <f t="shared" si="202"/>
        <v>0</v>
      </c>
      <c r="CK108" s="4504">
        <f t="shared" si="203"/>
        <v>0</v>
      </c>
    </row>
    <row r="109" spans="1:89" ht="13.8" thickBot="1">
      <c r="A109" s="2813"/>
      <c r="B109" s="2814"/>
      <c r="C109" s="2814"/>
      <c r="D109" s="2814"/>
      <c r="E109" s="2815"/>
      <c r="F109" s="2815"/>
      <c r="G109" s="2815"/>
      <c r="H109" s="2815"/>
      <c r="I109" s="2815"/>
      <c r="J109" s="2815"/>
      <c r="K109" s="2815"/>
      <c r="L109" s="2815"/>
      <c r="M109" s="2815"/>
      <c r="N109" s="2815"/>
      <c r="O109" s="2815"/>
      <c r="P109" s="2815"/>
      <c r="Q109" s="2815"/>
      <c r="R109" s="2815"/>
      <c r="S109" s="2815"/>
      <c r="T109" s="2815"/>
      <c r="U109" s="2815"/>
      <c r="V109" s="2815"/>
      <c r="W109" s="2815"/>
      <c r="X109" s="2815"/>
      <c r="Y109" s="2815"/>
      <c r="Z109" s="2815"/>
      <c r="AA109" s="2815"/>
      <c r="AB109" s="2815"/>
      <c r="AC109" s="2815"/>
      <c r="AD109" s="2815"/>
      <c r="AE109" s="2815"/>
      <c r="AF109" s="2815"/>
      <c r="AG109" s="2815"/>
      <c r="AH109" s="2815"/>
      <c r="AI109" s="2815"/>
      <c r="AJ109" s="2815"/>
      <c r="AK109" s="2815"/>
      <c r="AL109" s="2815"/>
      <c r="AM109" s="2815"/>
      <c r="AN109" s="2815"/>
      <c r="AO109" s="2815"/>
      <c r="AP109" s="2815"/>
      <c r="AQ109" s="2815"/>
      <c r="AR109" s="2815"/>
      <c r="AS109" s="2815"/>
      <c r="AT109" s="2815"/>
      <c r="AU109" s="2690"/>
    </row>
    <row r="110" spans="1:89">
      <c r="A110" s="2813"/>
      <c r="B110" s="2814"/>
      <c r="C110" s="2814"/>
      <c r="D110" s="2816" t="s">
        <v>398</v>
      </c>
      <c r="E110" s="2817"/>
      <c r="F110" s="2818">
        <f>IFERROR(F60/(F$60+M$60+T$60),0)</f>
        <v>0.98452747252747264</v>
      </c>
      <c r="G110" s="2819">
        <f t="shared" ref="G110:K110" si="318">IFERROR(G60/(G$60+N$60+U$60),0)</f>
        <v>0.97343481829714196</v>
      </c>
      <c r="H110" s="2819">
        <f t="shared" si="318"/>
        <v>0.9589425999197202</v>
      </c>
      <c r="I110" s="2819">
        <f t="shared" si="318"/>
        <v>0.95038044731381133</v>
      </c>
      <c r="J110" s="2819">
        <f t="shared" si="318"/>
        <v>0.94528898540785611</v>
      </c>
      <c r="K110" s="2820">
        <f t="shared" si="318"/>
        <v>0.94162576786817054</v>
      </c>
      <c r="L110" s="2821"/>
      <c r="M110" s="2815"/>
      <c r="N110" s="2815"/>
      <c r="O110" s="2815"/>
      <c r="P110" s="2815"/>
      <c r="Q110" s="2815"/>
      <c r="R110" s="2815"/>
      <c r="S110" s="2815"/>
      <c r="T110" s="2815"/>
      <c r="U110" s="2815"/>
      <c r="V110" s="2815"/>
      <c r="W110" s="2815"/>
      <c r="X110" s="2815"/>
      <c r="Y110" s="2815"/>
      <c r="Z110" s="2815"/>
      <c r="AA110" s="2815"/>
      <c r="AB110" s="2815"/>
      <c r="AC110" s="2815"/>
      <c r="AD110" s="2815"/>
      <c r="AE110" s="2815"/>
      <c r="AF110" s="2815"/>
      <c r="AG110" s="2815"/>
      <c r="AH110" s="2815"/>
      <c r="AI110" s="2815"/>
      <c r="AJ110" s="2815"/>
      <c r="AK110" s="2815"/>
      <c r="AL110" s="2815"/>
      <c r="AM110" s="2815"/>
      <c r="AN110" s="2815"/>
      <c r="AO110" s="2815"/>
      <c r="AP110" s="2815"/>
      <c r="AQ110" s="2815"/>
      <c r="AR110" s="2815"/>
      <c r="AS110" s="2815"/>
      <c r="AT110" s="2815"/>
      <c r="AU110" s="2690"/>
    </row>
    <row r="111" spans="1:89">
      <c r="A111" s="2813"/>
      <c r="B111" s="2814"/>
      <c r="C111" s="2814"/>
      <c r="D111" s="2822" t="s">
        <v>646</v>
      </c>
      <c r="E111" s="2823"/>
      <c r="F111" s="2824">
        <f>IFERROR(M60/(F$60+M$60+T$60),0)</f>
        <v>7.032967032967033E-3</v>
      </c>
      <c r="G111" s="2825">
        <f t="shared" ref="G111:K111" si="319">IFERROR(N60/(G$60+N$60+U$60),0)</f>
        <v>8.9545556301768529E-3</v>
      </c>
      <c r="H111" s="2825">
        <f t="shared" si="319"/>
        <v>1.1468547508458053E-2</v>
      </c>
      <c r="I111" s="2825">
        <f t="shared" si="319"/>
        <v>1.2912151256629008E-2</v>
      </c>
      <c r="J111" s="2825">
        <f t="shared" si="319"/>
        <v>1.3715853240370331E-2</v>
      </c>
      <c r="K111" s="2826">
        <f t="shared" si="319"/>
        <v>1.4301036825169824E-2</v>
      </c>
      <c r="L111" s="2821"/>
      <c r="M111" s="2815"/>
      <c r="N111" s="2815"/>
      <c r="O111" s="2815"/>
      <c r="P111" s="2815"/>
      <c r="Q111" s="2815"/>
      <c r="R111" s="2815"/>
      <c r="S111" s="2815"/>
      <c r="T111" s="2815"/>
      <c r="U111" s="2815"/>
      <c r="V111" s="2815"/>
      <c r="W111" s="2815"/>
      <c r="X111" s="2815"/>
      <c r="Y111" s="2815"/>
      <c r="Z111" s="2815"/>
      <c r="AA111" s="2815"/>
      <c r="AB111" s="2815"/>
      <c r="AC111" s="2815"/>
      <c r="AD111" s="2815"/>
      <c r="AE111" s="2815"/>
      <c r="AF111" s="2815"/>
      <c r="AG111" s="2815"/>
      <c r="AH111" s="2815"/>
      <c r="AI111" s="2815"/>
      <c r="AJ111" s="2815"/>
      <c r="AK111" s="2815"/>
      <c r="AL111" s="2815"/>
      <c r="AM111" s="2815"/>
      <c r="AN111" s="2815"/>
      <c r="AO111" s="2815"/>
      <c r="AP111" s="2815"/>
      <c r="AQ111" s="2815"/>
      <c r="AR111" s="2815"/>
      <c r="AS111" s="2815"/>
      <c r="AT111" s="2815"/>
      <c r="AU111" s="2690"/>
    </row>
    <row r="112" spans="1:89" ht="13.8" thickBot="1">
      <c r="A112" s="2813"/>
      <c r="B112" s="2814"/>
      <c r="C112" s="2814"/>
      <c r="D112" s="2827" t="s">
        <v>399</v>
      </c>
      <c r="E112" s="2828"/>
      <c r="F112" s="2829">
        <f>IFERROR(T60/(F$60+M$60+T$60),0)</f>
        <v>8.4395604395604389E-3</v>
      </c>
      <c r="G112" s="2830">
        <f t="shared" ref="G112:K112" si="320">IFERROR(U60/(G$60+N$60+U$60),0)</f>
        <v>1.7610626072681143E-2</v>
      </c>
      <c r="H112" s="2830">
        <f t="shared" si="320"/>
        <v>2.9588852571821776E-2</v>
      </c>
      <c r="I112" s="2830">
        <f t="shared" si="320"/>
        <v>3.6707401429559604E-2</v>
      </c>
      <c r="J112" s="2830">
        <f t="shared" si="320"/>
        <v>4.0995161351773543E-2</v>
      </c>
      <c r="K112" s="2831">
        <f t="shared" si="320"/>
        <v>4.4073195306659735E-2</v>
      </c>
      <c r="L112" s="2821"/>
      <c r="M112" s="2815"/>
      <c r="N112" s="2815"/>
      <c r="O112" s="2815"/>
      <c r="P112" s="2815"/>
      <c r="Q112" s="2815"/>
      <c r="R112" s="2815"/>
      <c r="S112" s="2815"/>
      <c r="T112" s="2815"/>
      <c r="U112" s="2815"/>
      <c r="V112" s="2815"/>
      <c r="W112" s="2815"/>
      <c r="X112" s="2815"/>
      <c r="Y112" s="2815"/>
      <c r="Z112" s="2815"/>
      <c r="AA112" s="2815"/>
      <c r="AB112" s="2815"/>
      <c r="AC112" s="2815"/>
      <c r="AD112" s="2815"/>
      <c r="AE112" s="2815"/>
      <c r="AF112" s="2815"/>
      <c r="AG112" s="2815"/>
      <c r="AH112" s="2815"/>
      <c r="AI112" s="2815"/>
      <c r="AJ112" s="2815"/>
      <c r="AK112" s="2815"/>
      <c r="AL112" s="2815"/>
      <c r="AM112" s="2815"/>
      <c r="AN112" s="2815"/>
      <c r="AO112" s="2815"/>
      <c r="AP112" s="2815"/>
      <c r="AQ112" s="2815"/>
      <c r="AR112" s="2815"/>
      <c r="AS112" s="2815"/>
      <c r="AT112" s="2815"/>
      <c r="AU112" s="2690"/>
    </row>
    <row r="113" spans="1:47" ht="13.8" thickBot="1">
      <c r="A113" s="2813"/>
      <c r="B113" s="2814"/>
      <c r="C113" s="2814"/>
      <c r="D113" s="2814"/>
      <c r="E113" s="2815"/>
      <c r="F113" s="2832">
        <f>SUM(F110:F112)</f>
        <v>1.0000000000000002</v>
      </c>
      <c r="G113" s="2833">
        <f t="shared" ref="G113:K113" si="321">SUM(G110:G112)</f>
        <v>1</v>
      </c>
      <c r="H113" s="2833">
        <f t="shared" si="321"/>
        <v>1</v>
      </c>
      <c r="I113" s="2833">
        <f t="shared" si="321"/>
        <v>1</v>
      </c>
      <c r="J113" s="2833">
        <f t="shared" si="321"/>
        <v>0.99999999999999989</v>
      </c>
      <c r="K113" s="2834">
        <f t="shared" si="321"/>
        <v>1</v>
      </c>
      <c r="L113" s="2815"/>
      <c r="M113" s="2815"/>
      <c r="N113" s="2815"/>
      <c r="O113" s="2815"/>
      <c r="P113" s="2815"/>
      <c r="Q113" s="2815"/>
      <c r="R113" s="2815"/>
      <c r="S113" s="2815"/>
      <c r="T113" s="2815"/>
      <c r="U113" s="2688"/>
      <c r="V113" s="2688"/>
      <c r="W113" s="2835"/>
      <c r="X113" s="2836"/>
      <c r="Y113" s="2836"/>
      <c r="Z113" s="2815"/>
      <c r="AA113" s="2815"/>
      <c r="AC113" s="2690"/>
      <c r="AD113" s="2835"/>
      <c r="AE113" s="2836"/>
      <c r="AF113" s="2836"/>
      <c r="AG113" s="2815"/>
      <c r="AH113" s="2815"/>
      <c r="AI113" s="2815"/>
      <c r="AJ113" s="2815"/>
      <c r="AK113" s="2838"/>
      <c r="AL113" s="2839"/>
      <c r="AM113" s="2840"/>
      <c r="AN113" s="2841"/>
      <c r="AO113" s="2842"/>
      <c r="AP113" s="2688"/>
      <c r="AQ113" s="2815"/>
      <c r="AR113" s="2815"/>
      <c r="AS113" s="2815"/>
      <c r="AT113" s="2815"/>
      <c r="AU113" s="2690"/>
    </row>
    <row r="114" spans="1:47">
      <c r="A114" s="2813"/>
      <c r="B114" s="2814"/>
      <c r="C114" s="2814"/>
      <c r="D114" s="2814"/>
      <c r="E114" s="2815"/>
      <c r="F114" s="2815"/>
      <c r="G114" s="2815"/>
      <c r="H114" s="2815"/>
      <c r="I114" s="2815"/>
      <c r="J114" s="2815"/>
      <c r="K114" s="2815"/>
      <c r="L114" s="2815"/>
      <c r="M114" s="2815"/>
      <c r="N114" s="2815"/>
      <c r="O114" s="2815"/>
      <c r="P114" s="2815"/>
      <c r="Q114" s="2815"/>
      <c r="R114" s="2688"/>
      <c r="S114" s="2688"/>
      <c r="T114" s="2688"/>
      <c r="U114" s="2688"/>
      <c r="V114" s="2688"/>
      <c r="W114" s="2688"/>
      <c r="X114" s="2688"/>
      <c r="Y114" s="2688"/>
      <c r="Z114" s="2815"/>
      <c r="AA114" s="2815"/>
      <c r="AB114" s="2688"/>
      <c r="AC114" s="2843"/>
      <c r="AD114" s="2840"/>
      <c r="AE114" s="2841"/>
      <c r="AF114" s="2842"/>
      <c r="AG114" s="2815"/>
      <c r="AH114" s="2815"/>
      <c r="AI114" s="2815"/>
      <c r="AJ114" s="2815"/>
      <c r="AK114" s="2838"/>
      <c r="AL114" s="2844"/>
      <c r="AM114" s="2840"/>
      <c r="AN114" s="2841"/>
      <c r="AO114" s="2842"/>
      <c r="AP114" s="2688"/>
      <c r="AQ114" s="2815"/>
      <c r="AR114" s="2815"/>
      <c r="AS114" s="2815"/>
      <c r="AT114" s="2815"/>
      <c r="AU114" s="2690"/>
    </row>
    <row r="115" spans="1:47">
      <c r="A115" s="2813"/>
      <c r="B115" s="2814"/>
      <c r="C115" s="2845"/>
      <c r="D115" s="2814"/>
      <c r="E115" s="2837" t="str">
        <f>'Приложение '!B82</f>
        <v>Дата: 16.03.2026</v>
      </c>
      <c r="G115" s="2815"/>
      <c r="H115" s="2815"/>
      <c r="I115" s="2815"/>
      <c r="J115" s="2815"/>
      <c r="K115" s="2815"/>
      <c r="L115" s="2815"/>
      <c r="M115" s="2815"/>
      <c r="N115" s="2815"/>
      <c r="O115" s="2815"/>
      <c r="P115" s="2815"/>
      <c r="Q115" s="2815"/>
      <c r="R115" s="2688"/>
      <c r="S115" s="2688"/>
      <c r="T115" s="2688"/>
      <c r="U115" s="2688"/>
      <c r="V115" s="2688"/>
      <c r="W115" s="2688"/>
      <c r="X115" s="2688"/>
      <c r="Y115" s="2688"/>
      <c r="Z115" s="2815"/>
      <c r="AA115" s="2815"/>
      <c r="AB115" s="2688"/>
      <c r="AC115" s="2843"/>
      <c r="AD115" s="2840"/>
      <c r="AE115" s="2841"/>
      <c r="AF115" s="2842"/>
      <c r="AG115" s="2815"/>
      <c r="AH115" s="2688"/>
      <c r="AI115" s="2688"/>
      <c r="AJ115" s="2688"/>
      <c r="AK115" s="2838"/>
      <c r="AL115" s="2839"/>
      <c r="AM115" s="2840"/>
      <c r="AN115" s="2841"/>
      <c r="AO115" s="2842"/>
      <c r="AP115" s="2688"/>
      <c r="AQ115" s="2815"/>
      <c r="AR115" s="2815"/>
      <c r="AS115" s="2815"/>
      <c r="AT115" s="2815"/>
      <c r="AU115" s="2690"/>
    </row>
    <row r="116" spans="1:47">
      <c r="A116" s="2685"/>
      <c r="B116" s="2688"/>
      <c r="C116" s="2688"/>
      <c r="D116" s="2688"/>
      <c r="E116" s="2688"/>
      <c r="F116" s="2688"/>
      <c r="G116" s="2688"/>
      <c r="H116" s="2688"/>
      <c r="I116" s="2688"/>
      <c r="J116" s="2688"/>
      <c r="K116" s="2688"/>
      <c r="L116" s="2688"/>
      <c r="M116" s="2688"/>
      <c r="N116" s="2688"/>
      <c r="O116" s="2688"/>
      <c r="P116" s="2688"/>
      <c r="Q116" s="2688"/>
      <c r="R116" s="2688"/>
      <c r="S116" s="2688"/>
      <c r="T116" s="2688"/>
      <c r="U116" s="2688"/>
      <c r="V116" s="2688"/>
      <c r="W116" s="2688"/>
      <c r="X116" s="2688"/>
      <c r="Y116" s="2688"/>
      <c r="Z116" s="2688"/>
      <c r="AA116" s="2688"/>
      <c r="AB116" s="2688"/>
      <c r="AC116" s="2843"/>
      <c r="AD116" s="2840"/>
      <c r="AE116" s="2841"/>
      <c r="AF116" s="2842"/>
      <c r="AG116" s="2688"/>
      <c r="AH116" s="2688"/>
      <c r="AI116" s="2688"/>
      <c r="AJ116" s="2688"/>
      <c r="AK116" s="2838"/>
      <c r="AL116" s="2839"/>
      <c r="AM116" s="2840"/>
      <c r="AN116" s="2841"/>
      <c r="AO116" s="2842"/>
      <c r="AP116" s="2688"/>
      <c r="AQ116" s="2688"/>
      <c r="AR116" s="2688"/>
      <c r="AS116" s="2688"/>
      <c r="AT116" s="2688"/>
      <c r="AU116" s="2690"/>
    </row>
    <row r="117" spans="1:47">
      <c r="A117" s="2685"/>
      <c r="B117" s="2688"/>
      <c r="C117" s="2688"/>
      <c r="D117" s="2688"/>
      <c r="E117" s="2688"/>
      <c r="F117" s="2688"/>
      <c r="G117" s="2688"/>
      <c r="H117" s="2688"/>
      <c r="I117" s="2688"/>
      <c r="J117" s="2688"/>
      <c r="K117" s="2688"/>
      <c r="L117" s="2688"/>
      <c r="M117" s="2688"/>
      <c r="N117" s="2688"/>
      <c r="O117" s="2688"/>
      <c r="P117" s="2688"/>
      <c r="Q117" s="2688"/>
      <c r="R117" s="2688"/>
      <c r="S117" s="2688"/>
      <c r="T117" s="2688"/>
      <c r="U117" s="2688"/>
      <c r="V117" s="2688"/>
      <c r="W117" s="2688"/>
      <c r="X117" s="2688"/>
      <c r="Y117" s="2688"/>
      <c r="Z117" s="2688"/>
      <c r="AA117" s="2688"/>
      <c r="AB117" s="2688"/>
      <c r="AC117" s="2843"/>
      <c r="AD117" s="2840"/>
      <c r="AE117" s="2841"/>
      <c r="AF117" s="2842"/>
      <c r="AG117" s="2688"/>
      <c r="AH117" s="2688"/>
      <c r="AI117" s="2688"/>
      <c r="AJ117" s="2688"/>
      <c r="AK117" s="2838"/>
      <c r="AL117" s="2839"/>
      <c r="AM117" s="2840"/>
      <c r="AN117" s="2841"/>
      <c r="AO117" s="2842"/>
      <c r="AP117" s="2688"/>
      <c r="AQ117" s="2688"/>
      <c r="AR117" s="2688"/>
      <c r="AS117" s="2688"/>
      <c r="AT117" s="2688"/>
      <c r="AU117" s="2690"/>
    </row>
    <row r="118" spans="1:47" ht="12.75" customHeight="1">
      <c r="B118" s="3898"/>
      <c r="C118" s="3898"/>
      <c r="D118" s="3898"/>
      <c r="E118" s="3899" t="s">
        <v>187</v>
      </c>
      <c r="F118" s="3898"/>
      <c r="G118" s="2688"/>
      <c r="H118" s="2688"/>
      <c r="I118" s="2688"/>
      <c r="J118" s="2688"/>
      <c r="K118" s="2688"/>
      <c r="L118" s="2688"/>
      <c r="M118" s="2688"/>
      <c r="N118" s="2688"/>
      <c r="O118" s="2688"/>
      <c r="P118" s="2688"/>
      <c r="Q118" s="2688"/>
      <c r="R118" s="2688"/>
      <c r="S118" s="2688"/>
      <c r="T118" s="2688"/>
      <c r="U118" s="2688"/>
      <c r="V118" s="2688"/>
      <c r="W118" s="2688"/>
      <c r="X118" s="2688"/>
      <c r="Y118" s="2688"/>
      <c r="Z118" s="2688"/>
      <c r="AA118" s="2688"/>
      <c r="AB118" s="2688"/>
      <c r="AC118" s="2843"/>
      <c r="AD118" s="2840"/>
      <c r="AE118" s="2841"/>
      <c r="AF118" s="2842"/>
      <c r="AG118" s="2688"/>
      <c r="AH118" s="2688"/>
      <c r="AI118" s="2688"/>
      <c r="AJ118" s="2688"/>
      <c r="AK118" s="2837"/>
      <c r="AL118" s="2844"/>
      <c r="AM118" s="2688"/>
      <c r="AN118" s="2836"/>
      <c r="AO118" s="2836"/>
      <c r="AP118" s="2688"/>
      <c r="AQ118" s="2688"/>
      <c r="AR118" s="2688"/>
      <c r="AS118" s="2688"/>
      <c r="AT118" s="2688"/>
      <c r="AU118" s="2690"/>
    </row>
    <row r="119" spans="1:47" ht="20.25" customHeight="1">
      <c r="B119" s="3815"/>
      <c r="C119" s="3815"/>
      <c r="D119" s="3815"/>
      <c r="E119" s="3900" t="s">
        <v>1479</v>
      </c>
      <c r="F119" s="3815"/>
      <c r="G119" s="2688"/>
      <c r="H119" s="2688"/>
      <c r="I119" s="2688"/>
      <c r="J119" s="2688"/>
      <c r="K119" s="2688"/>
      <c r="L119" s="2688"/>
      <c r="M119" s="2688"/>
      <c r="N119" s="2688"/>
      <c r="O119" s="2688"/>
      <c r="P119" s="2688"/>
      <c r="Q119" s="2688"/>
      <c r="R119" s="2688"/>
      <c r="S119" s="2688"/>
      <c r="T119" s="2688"/>
      <c r="U119" s="2688"/>
      <c r="V119" s="2688"/>
      <c r="W119" s="2688"/>
      <c r="X119" s="2688"/>
      <c r="Y119" s="2688"/>
      <c r="Z119" s="2688"/>
      <c r="AA119" s="2688"/>
      <c r="AB119" s="2688"/>
      <c r="AC119" s="2846"/>
      <c r="AD119" s="2688"/>
      <c r="AE119" s="2836"/>
      <c r="AF119" s="2836"/>
      <c r="AG119" s="2688"/>
      <c r="AH119" s="2688"/>
      <c r="AI119" s="2688"/>
      <c r="AJ119" s="2688"/>
      <c r="AK119" s="2837"/>
      <c r="AL119" s="2846"/>
      <c r="AM119" s="2835"/>
      <c r="AN119" s="2841"/>
      <c r="AO119" s="2842"/>
      <c r="AP119" s="2688"/>
      <c r="AQ119" s="2688"/>
      <c r="AR119" s="2688"/>
      <c r="AS119" s="2688"/>
      <c r="AT119" s="2688"/>
      <c r="AU119" s="2690"/>
    </row>
    <row r="120" spans="1:47">
      <c r="A120" s="2847"/>
      <c r="B120" s="2688"/>
      <c r="C120" s="2688"/>
      <c r="D120" s="2688"/>
      <c r="E120" s="2688"/>
      <c r="F120" s="2688"/>
      <c r="G120" s="2688"/>
      <c r="H120" s="2688"/>
      <c r="I120" s="2688"/>
      <c r="J120" s="2688"/>
      <c r="K120" s="2688"/>
      <c r="L120" s="2688"/>
      <c r="M120" s="2688"/>
      <c r="N120" s="2688"/>
      <c r="O120" s="2688"/>
      <c r="P120" s="2688"/>
      <c r="Q120" s="2688"/>
      <c r="R120" s="2688"/>
      <c r="S120" s="2688"/>
      <c r="T120" s="2688"/>
      <c r="U120" s="2688"/>
      <c r="V120" s="2688"/>
      <c r="W120" s="2688"/>
      <c r="X120" s="2688"/>
      <c r="Y120" s="2688"/>
      <c r="Z120" s="2688"/>
      <c r="AA120" s="2688"/>
      <c r="AB120" s="2688"/>
      <c r="AC120" s="2843"/>
      <c r="AD120" s="2835"/>
      <c r="AE120" s="2841"/>
      <c r="AF120" s="2842"/>
      <c r="AG120" s="2688"/>
      <c r="AH120" s="2688"/>
      <c r="AI120" s="2688"/>
      <c r="AJ120" s="2843"/>
      <c r="AK120" s="2835"/>
      <c r="AL120" s="2841"/>
      <c r="AM120" s="2842"/>
      <c r="AN120" s="2841"/>
      <c r="AO120" s="2688"/>
      <c r="AP120" s="2688"/>
      <c r="AQ120" s="2688"/>
      <c r="AR120" s="2688"/>
      <c r="AS120" s="2688"/>
      <c r="AT120" s="2688"/>
      <c r="AU120" s="2690"/>
    </row>
    <row r="121" spans="1:47">
      <c r="A121" s="2688"/>
      <c r="B121" s="2688"/>
      <c r="C121" s="2688"/>
      <c r="D121" s="2688"/>
      <c r="E121" s="2848"/>
      <c r="F121" s="2848"/>
      <c r="G121" s="2849"/>
      <c r="H121" s="2849"/>
      <c r="I121" s="2849"/>
      <c r="J121" s="2849"/>
      <c r="K121" s="2688"/>
      <c r="L121" s="2688"/>
      <c r="M121" s="2688"/>
      <c r="N121" s="2688"/>
      <c r="O121" s="2688"/>
      <c r="P121" s="2688"/>
      <c r="Q121" s="2688"/>
      <c r="R121" s="2688"/>
      <c r="S121" s="2688"/>
      <c r="T121" s="2688"/>
      <c r="U121" s="2688"/>
      <c r="V121" s="2688"/>
      <c r="W121" s="2688"/>
      <c r="X121" s="2688"/>
      <c r="Y121" s="2688"/>
      <c r="Z121" s="2688"/>
      <c r="AA121" s="2688"/>
      <c r="AB121" s="2688"/>
      <c r="AC121" s="2688"/>
      <c r="AD121" s="2688"/>
      <c r="AE121" s="2688"/>
      <c r="AF121" s="2688"/>
      <c r="AG121" s="2688"/>
      <c r="AH121" s="2688"/>
      <c r="AI121" s="2688"/>
      <c r="AJ121" s="2688"/>
      <c r="AK121" s="2688"/>
      <c r="AL121" s="2688"/>
      <c r="AM121" s="2688"/>
      <c r="AN121" s="2688"/>
      <c r="AO121" s="2688"/>
      <c r="AP121" s="2688"/>
      <c r="AQ121" s="2688"/>
      <c r="AR121" s="2688"/>
      <c r="AS121" s="2688"/>
      <c r="AT121" s="2688"/>
      <c r="AU121" s="2690"/>
    </row>
    <row r="122" spans="1:47">
      <c r="A122" s="2685"/>
      <c r="B122" s="2688"/>
      <c r="C122" s="2688"/>
      <c r="D122" s="2688"/>
      <c r="E122" s="2850"/>
      <c r="F122" s="2850"/>
      <c r="G122" s="2849"/>
      <c r="H122" s="2849"/>
      <c r="I122" s="2849"/>
      <c r="J122" s="2849"/>
      <c r="K122" s="2688"/>
      <c r="L122" s="2688"/>
      <c r="M122" s="2688"/>
      <c r="N122" s="2688"/>
      <c r="O122" s="2688"/>
      <c r="P122" s="2688"/>
      <c r="Q122" s="2688"/>
      <c r="R122" s="2688"/>
      <c r="S122" s="2688"/>
      <c r="T122" s="2688"/>
      <c r="U122" s="2688"/>
      <c r="V122" s="2688"/>
      <c r="W122" s="2688"/>
      <c r="X122" s="2688"/>
      <c r="Y122" s="2688"/>
      <c r="Z122" s="2688"/>
      <c r="AA122" s="2688"/>
      <c r="AB122" s="2688"/>
      <c r="AC122" s="2688"/>
      <c r="AD122" s="2688"/>
      <c r="AE122" s="2688"/>
      <c r="AF122" s="2688"/>
      <c r="AG122" s="2688"/>
      <c r="AH122" s="2688"/>
      <c r="AI122" s="2688"/>
      <c r="AJ122" s="2688"/>
      <c r="AK122" s="2688"/>
      <c r="AL122" s="2688"/>
      <c r="AM122" s="2688"/>
      <c r="AN122" s="2688"/>
      <c r="AO122" s="2688"/>
      <c r="AP122" s="2688"/>
      <c r="AQ122" s="2688"/>
      <c r="AR122" s="2688"/>
      <c r="AS122" s="2688"/>
      <c r="AT122" s="2688"/>
      <c r="AU122" s="2690"/>
    </row>
    <row r="123" spans="1:47">
      <c r="M123" s="29"/>
      <c r="N123" s="29"/>
      <c r="O123" s="29"/>
      <c r="P123" s="29"/>
      <c r="Q123" s="29"/>
    </row>
    <row r="124" spans="1:47">
      <c r="U124" s="42"/>
      <c r="V124" s="33"/>
      <c r="W124" s="24"/>
      <c r="X124" s="24"/>
      <c r="Y124" s="24"/>
      <c r="AB124" s="42"/>
      <c r="AC124" s="33"/>
      <c r="AD124" s="24"/>
      <c r="AE124" s="24"/>
      <c r="AF124" s="24"/>
      <c r="AI124" s="42"/>
      <c r="AJ124" s="33"/>
      <c r="AK124" s="24"/>
      <c r="AL124" s="24"/>
      <c r="AM124" s="24"/>
    </row>
    <row r="125" spans="1:47">
      <c r="U125" s="32"/>
      <c r="V125" s="27"/>
      <c r="W125" s="34"/>
      <c r="X125" s="35"/>
      <c r="Y125" s="24"/>
      <c r="AB125" s="32"/>
      <c r="AC125" s="27"/>
      <c r="AD125" s="34"/>
      <c r="AE125" s="35"/>
      <c r="AF125" s="24"/>
      <c r="AI125" s="32"/>
      <c r="AJ125" s="27"/>
      <c r="AK125" s="34"/>
      <c r="AL125" s="35"/>
      <c r="AM125" s="24"/>
    </row>
    <row r="126" spans="1:47">
      <c r="U126" s="32"/>
      <c r="V126" s="27"/>
      <c r="W126" s="34"/>
      <c r="X126" s="35"/>
      <c r="Y126" s="24"/>
      <c r="AB126" s="32"/>
      <c r="AC126" s="27"/>
      <c r="AD126" s="34"/>
      <c r="AE126" s="35"/>
      <c r="AF126" s="24"/>
      <c r="AI126" s="32"/>
      <c r="AJ126" s="27"/>
      <c r="AK126" s="34"/>
      <c r="AL126" s="35"/>
      <c r="AM126" s="24"/>
    </row>
    <row r="127" spans="1:47">
      <c r="T127" s="43"/>
      <c r="U127" s="32"/>
      <c r="V127" s="27"/>
      <c r="W127" s="34"/>
      <c r="X127" s="35"/>
      <c r="Y127" s="24"/>
      <c r="AA127" s="43"/>
      <c r="AB127" s="32"/>
      <c r="AC127" s="27"/>
      <c r="AD127" s="34"/>
      <c r="AE127" s="35"/>
      <c r="AF127" s="24"/>
      <c r="AH127" s="43"/>
      <c r="AI127" s="32"/>
      <c r="AJ127" s="27"/>
      <c r="AK127" s="34"/>
      <c r="AL127" s="35"/>
      <c r="AM127" s="24"/>
    </row>
    <row r="128" spans="1:47">
      <c r="U128" s="32"/>
      <c r="V128" s="27"/>
      <c r="W128" s="34"/>
      <c r="X128" s="35"/>
      <c r="Y128" s="24"/>
      <c r="AB128" s="32"/>
      <c r="AC128" s="27"/>
      <c r="AD128" s="34"/>
      <c r="AE128" s="35"/>
      <c r="AF128" s="24"/>
      <c r="AI128" s="32"/>
      <c r="AJ128" s="27"/>
      <c r="AK128" s="34"/>
      <c r="AL128" s="35"/>
      <c r="AM128" s="24"/>
    </row>
    <row r="129" spans="21:39">
      <c r="U129" s="32"/>
      <c r="V129" s="27"/>
      <c r="W129" s="34"/>
      <c r="X129" s="35"/>
      <c r="Y129" s="24"/>
      <c r="AB129" s="32"/>
      <c r="AC129" s="27"/>
      <c r="AD129" s="34"/>
      <c r="AE129" s="35"/>
      <c r="AF129" s="24"/>
      <c r="AI129" s="32"/>
      <c r="AJ129" s="27"/>
      <c r="AK129" s="34"/>
      <c r="AL129" s="35"/>
      <c r="AM129" s="24"/>
    </row>
    <row r="130" spans="21:39">
      <c r="U130" s="36"/>
      <c r="W130" s="24"/>
      <c r="X130" s="24"/>
      <c r="Y130" s="24"/>
      <c r="AB130" s="36"/>
      <c r="AD130" s="24"/>
      <c r="AE130" s="24"/>
      <c r="AF130" s="24"/>
      <c r="AI130" s="36"/>
      <c r="AK130" s="24"/>
      <c r="AL130" s="24"/>
      <c r="AM130" s="24"/>
    </row>
    <row r="131" spans="21:39">
      <c r="U131" s="32"/>
      <c r="V131" s="37"/>
      <c r="W131" s="34"/>
      <c r="X131" s="35"/>
      <c r="Y131" s="34"/>
      <c r="AB131" s="32"/>
      <c r="AC131" s="37"/>
      <c r="AD131" s="34"/>
      <c r="AE131" s="35"/>
      <c r="AF131" s="34"/>
      <c r="AI131" s="32"/>
      <c r="AJ131" s="37"/>
      <c r="AK131" s="34"/>
      <c r="AL131" s="35"/>
      <c r="AM131" s="34"/>
    </row>
  </sheetData>
  <sheetProtection algorithmName="SHA-512" hashValue="sqmXgrqWDxht7UJKbDR8pUYsTihJft1/E/dfFx3Z7JXeNNKtxOvtl1Rp0sQR8r4WPpKf59Vyf2Ljq4D+cCkDlw==" saltValue="1M4LStxS7rMHjXiwoxKcjw==" spinCount="100000" sheet="1" objects="1" scenarios="1"/>
  <mergeCells count="21">
    <mergeCell ref="AN9:AT9"/>
    <mergeCell ref="B9:B10"/>
    <mergeCell ref="C9:C10"/>
    <mergeCell ref="Z9:AF9"/>
    <mergeCell ref="AG9:AM9"/>
    <mergeCell ref="CE9:CK9"/>
    <mergeCell ref="A1:C1"/>
    <mergeCell ref="AV9:BB9"/>
    <mergeCell ref="BC9:BI9"/>
    <mergeCell ref="BJ9:BP9"/>
    <mergeCell ref="BQ9:BW9"/>
    <mergeCell ref="BX9:CD9"/>
    <mergeCell ref="A9:A10"/>
    <mergeCell ref="D9:D10"/>
    <mergeCell ref="E9:K9"/>
    <mergeCell ref="L9:R9"/>
    <mergeCell ref="A2:Y2"/>
    <mergeCell ref="A3:Y3"/>
    <mergeCell ref="A4:Y4"/>
    <mergeCell ref="A5:Y5"/>
    <mergeCell ref="S9:Y9"/>
  </mergeCells>
  <printOptions horizontalCentered="1"/>
  <pageMargins left="0" right="0" top="0.55118110236220474" bottom="0.15748031496062992" header="0.31496062992125984" footer="0.31496062992125984"/>
  <pageSetup paperSize="9" scale="60" orientation="landscape" verticalDpi="2" r:id="rId1"/>
  <headerFooter alignWithMargins="0">
    <oddFooter>&amp;C&amp;A&amp;RСтр. &amp;P от &amp;N</oddFooter>
  </headerFooter>
  <rowBreaks count="1" manualBreakCount="1">
    <brk id="59" max="45" man="1"/>
  </rowBreaks>
  <colBreaks count="1" manualBreakCount="1">
    <brk id="25" max="121" man="1"/>
  </col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BCF6C6"/>
  </sheetPr>
  <dimension ref="A1:CP193"/>
  <sheetViews>
    <sheetView zoomScale="90" zoomScaleNormal="90" zoomScaleSheetLayoutView="100" workbookViewId="0">
      <pane xSplit="4" ySplit="10" topLeftCell="E121" activePane="bottomRight" state="frozen"/>
      <selection pane="topRight" activeCell="E1" sqref="E1"/>
      <selection pane="bottomLeft" activeCell="A11" sqref="A11"/>
      <selection pane="bottomRight" activeCell="M127" sqref="M127"/>
    </sheetView>
  </sheetViews>
  <sheetFormatPr defaultColWidth="9.109375" defaultRowHeight="13.2"/>
  <cols>
    <col min="1" max="1" width="4.44140625" style="1324" customWidth="1"/>
    <col min="2" max="2" width="9.44140625" style="688" customWidth="1"/>
    <col min="3" max="3" width="7.5546875" style="688" customWidth="1"/>
    <col min="4" max="4" width="38.44140625" style="688" customWidth="1"/>
    <col min="5" max="12" width="7.5546875" style="688" customWidth="1"/>
    <col min="13" max="13" width="7.5546875" style="669" customWidth="1"/>
    <col min="14" max="14" width="7.5546875" style="1325" customWidth="1"/>
    <col min="15" max="15" width="7.5546875" style="669" customWidth="1"/>
    <col min="16" max="39" width="7.5546875" style="147" customWidth="1"/>
    <col min="40" max="46" width="7.5546875" style="147" hidden="1" customWidth="1"/>
    <col min="47" max="47" width="2.6640625" style="147" customWidth="1"/>
    <col min="48" max="16384" width="9.109375" style="147"/>
  </cols>
  <sheetData>
    <row r="1" spans="1:94" ht="28.2" customHeight="1" thickBot="1">
      <c r="A1" s="5285" t="str">
        <f>+'1. Обща информация'!B40</f>
        <v>Фиксиран курс на лева към 1 евро</v>
      </c>
      <c r="B1" s="5286"/>
      <c r="C1" s="5287"/>
      <c r="D1" s="4508">
        <f>+'1. Обща информация'!$C$40</f>
        <v>1.95583</v>
      </c>
      <c r="H1" s="669"/>
      <c r="I1" s="2851"/>
      <c r="K1" s="684"/>
      <c r="P1" s="669"/>
      <c r="R1" s="669"/>
      <c r="S1" s="669"/>
      <c r="T1" s="669"/>
      <c r="U1" s="669"/>
      <c r="V1" s="669"/>
      <c r="W1" s="669"/>
      <c r="X1" s="669"/>
      <c r="Y1" s="2852" t="s">
        <v>189</v>
      </c>
      <c r="Z1" s="669"/>
      <c r="AA1" s="669"/>
      <c r="AB1" s="669"/>
      <c r="AC1" s="669"/>
      <c r="AD1" s="669"/>
      <c r="AE1" s="669"/>
      <c r="AG1" s="669"/>
      <c r="AH1" s="669"/>
      <c r="AI1" s="669"/>
      <c r="AJ1" s="669"/>
      <c r="AK1" s="669"/>
      <c r="AL1" s="669"/>
      <c r="AO1" s="669"/>
      <c r="AP1" s="669"/>
      <c r="AQ1" s="669"/>
      <c r="AR1" s="669"/>
      <c r="AS1" s="669"/>
      <c r="AT1" s="2852"/>
      <c r="AU1" s="669"/>
      <c r="AV1" s="669"/>
      <c r="AW1" s="669"/>
      <c r="AX1" s="669"/>
      <c r="AY1" s="669"/>
      <c r="AZ1" s="669"/>
      <c r="BA1" s="669"/>
      <c r="BB1" s="669"/>
      <c r="BC1" s="669"/>
      <c r="BD1" s="669"/>
      <c r="BE1" s="669"/>
      <c r="BF1" s="669"/>
      <c r="BG1" s="669"/>
      <c r="BH1" s="669"/>
      <c r="BI1" s="669"/>
      <c r="BJ1" s="669"/>
      <c r="BK1" s="669"/>
      <c r="BL1" s="669"/>
      <c r="BM1" s="669"/>
      <c r="BN1" s="669"/>
      <c r="BO1" s="669"/>
      <c r="BP1" s="669"/>
      <c r="BQ1" s="669"/>
      <c r="BR1" s="669"/>
      <c r="BS1" s="669"/>
      <c r="BT1" s="669"/>
      <c r="BU1" s="669"/>
      <c r="BV1" s="669"/>
      <c r="BW1" s="669"/>
      <c r="BX1" s="669"/>
      <c r="BY1" s="669"/>
      <c r="BZ1" s="669"/>
      <c r="CA1" s="669"/>
      <c r="CB1" s="669"/>
      <c r="CC1" s="669"/>
      <c r="CD1" s="669"/>
      <c r="CE1" s="669"/>
      <c r="CF1" s="669"/>
      <c r="CG1" s="669"/>
      <c r="CH1" s="669"/>
      <c r="CI1" s="669"/>
      <c r="CJ1" s="669"/>
      <c r="CK1" s="669"/>
      <c r="CL1" s="669"/>
      <c r="CM1" s="669"/>
      <c r="CN1" s="669"/>
      <c r="CO1" s="669"/>
      <c r="CP1" s="669"/>
    </row>
    <row r="2" spans="1:94" ht="34.950000000000003" customHeight="1">
      <c r="A2" s="5339" t="s">
        <v>1010</v>
      </c>
      <c r="B2" s="5339"/>
      <c r="C2" s="5339"/>
      <c r="D2" s="5339"/>
      <c r="E2" s="5339"/>
      <c r="F2" s="5339"/>
      <c r="G2" s="5339"/>
      <c r="H2" s="5339"/>
      <c r="I2" s="5339"/>
      <c r="J2" s="5339"/>
      <c r="K2" s="5339"/>
      <c r="L2" s="5339"/>
      <c r="M2" s="5339"/>
      <c r="N2" s="5339"/>
      <c r="O2" s="5339"/>
      <c r="P2" s="5339"/>
      <c r="Q2" s="5339"/>
      <c r="R2" s="5339"/>
      <c r="S2" s="5339"/>
      <c r="T2" s="5339"/>
      <c r="U2" s="5339"/>
      <c r="V2" s="5339"/>
      <c r="W2" s="5339"/>
      <c r="X2" s="5339"/>
      <c r="Y2" s="5339"/>
      <c r="Z2" s="669"/>
      <c r="AA2" s="669"/>
      <c r="AB2" s="669"/>
      <c r="AC2" s="669"/>
      <c r="AD2" s="669"/>
      <c r="AE2" s="669"/>
      <c r="AF2" s="669"/>
      <c r="AG2" s="669"/>
      <c r="AH2" s="669"/>
      <c r="AI2" s="669"/>
      <c r="AJ2" s="669"/>
      <c r="AK2" s="669"/>
      <c r="AL2" s="669"/>
      <c r="AM2" s="669"/>
      <c r="AN2" s="669"/>
      <c r="AO2" s="669"/>
      <c r="AP2" s="669"/>
      <c r="AQ2" s="669"/>
      <c r="AR2" s="669"/>
      <c r="AS2" s="669"/>
      <c r="AT2" s="669"/>
      <c r="AU2" s="669"/>
      <c r="AV2" s="669"/>
      <c r="AW2" s="669"/>
      <c r="AX2" s="669"/>
      <c r="AY2" s="669"/>
      <c r="AZ2" s="669"/>
      <c r="BA2" s="669"/>
      <c r="BB2" s="669"/>
      <c r="BC2" s="669"/>
      <c r="BD2" s="669"/>
      <c r="BE2" s="669"/>
      <c r="BF2" s="669"/>
      <c r="BG2" s="669"/>
      <c r="BH2" s="669"/>
      <c r="BI2" s="669"/>
      <c r="BJ2" s="669"/>
      <c r="BK2" s="669"/>
      <c r="BL2" s="669"/>
      <c r="BM2" s="669"/>
      <c r="BN2" s="669"/>
      <c r="BO2" s="669"/>
      <c r="BP2" s="669"/>
      <c r="BQ2" s="669"/>
      <c r="BR2" s="669"/>
      <c r="BS2" s="669"/>
      <c r="BT2" s="669"/>
      <c r="BU2" s="669"/>
      <c r="BV2" s="669"/>
      <c r="BW2" s="669"/>
      <c r="BX2" s="669"/>
      <c r="BY2" s="669"/>
      <c r="BZ2" s="669"/>
      <c r="CA2" s="669"/>
      <c r="CB2" s="669"/>
      <c r="CC2" s="669"/>
      <c r="CD2" s="669"/>
      <c r="CE2" s="669"/>
      <c r="CF2" s="669"/>
      <c r="CG2" s="669"/>
      <c r="CH2" s="669"/>
      <c r="CI2" s="669"/>
      <c r="CJ2" s="669"/>
      <c r="CK2" s="669"/>
      <c r="CL2" s="669"/>
      <c r="CM2" s="669"/>
      <c r="CN2" s="669"/>
      <c r="CO2" s="669"/>
      <c r="CP2" s="669"/>
    </row>
    <row r="3" spans="1:94" ht="18.75" customHeight="1">
      <c r="A3" s="5366" t="s">
        <v>1508</v>
      </c>
      <c r="B3" s="5366"/>
      <c r="C3" s="5366"/>
      <c r="D3" s="5366"/>
      <c r="E3" s="5366"/>
      <c r="F3" s="5366"/>
      <c r="G3" s="5366"/>
      <c r="H3" s="5366"/>
      <c r="I3" s="5366"/>
      <c r="J3" s="5366"/>
      <c r="K3" s="5366"/>
      <c r="L3" s="5366"/>
      <c r="M3" s="5366"/>
      <c r="N3" s="5366"/>
      <c r="O3" s="5366"/>
      <c r="P3" s="5366"/>
      <c r="Q3" s="5366"/>
      <c r="R3" s="5366"/>
      <c r="S3" s="5366"/>
      <c r="T3" s="5366"/>
      <c r="U3" s="5366"/>
      <c r="V3" s="5366"/>
      <c r="W3" s="5366"/>
      <c r="X3" s="5366"/>
      <c r="Y3" s="5366"/>
      <c r="Z3" s="669"/>
      <c r="AA3" s="669"/>
      <c r="AB3" s="669"/>
      <c r="AC3" s="669"/>
      <c r="AD3" s="669"/>
      <c r="AE3" s="669"/>
      <c r="AF3" s="669"/>
      <c r="AG3" s="669"/>
      <c r="AH3" s="669"/>
      <c r="AI3" s="669"/>
      <c r="AJ3" s="669"/>
      <c r="AK3" s="669"/>
      <c r="AL3" s="669"/>
      <c r="AM3" s="669"/>
      <c r="AN3" s="669"/>
      <c r="AO3" s="669"/>
      <c r="AP3" s="669"/>
      <c r="AQ3" s="669"/>
      <c r="AR3" s="669"/>
      <c r="AS3" s="669"/>
      <c r="AT3" s="669"/>
      <c r="AU3" s="669"/>
      <c r="AV3" s="669"/>
      <c r="AW3" s="669"/>
      <c r="AX3" s="669"/>
      <c r="AY3" s="669"/>
      <c r="AZ3" s="669"/>
      <c r="BA3" s="669"/>
      <c r="BB3" s="669"/>
      <c r="BC3" s="669"/>
      <c r="BD3" s="669"/>
      <c r="BE3" s="669"/>
      <c r="BF3" s="669"/>
      <c r="BG3" s="669"/>
      <c r="BH3" s="669"/>
      <c r="BI3" s="669"/>
      <c r="BJ3" s="669"/>
      <c r="BK3" s="669"/>
      <c r="BL3" s="669"/>
      <c r="BM3" s="669"/>
      <c r="BN3" s="669"/>
      <c r="BO3" s="669"/>
      <c r="BP3" s="669"/>
      <c r="BQ3" s="669"/>
      <c r="BR3" s="669"/>
      <c r="BS3" s="669"/>
      <c r="BT3" s="669"/>
      <c r="BU3" s="669"/>
      <c r="BV3" s="669"/>
      <c r="BW3" s="669"/>
      <c r="BX3" s="669"/>
      <c r="BY3" s="669"/>
      <c r="BZ3" s="669"/>
      <c r="CA3" s="669"/>
      <c r="CB3" s="669"/>
      <c r="CC3" s="669"/>
      <c r="CD3" s="669"/>
      <c r="CE3" s="669"/>
      <c r="CF3" s="669"/>
      <c r="CG3" s="669"/>
      <c r="CH3" s="669"/>
      <c r="CI3" s="669"/>
      <c r="CJ3" s="669"/>
      <c r="CK3" s="669"/>
      <c r="CL3" s="669"/>
      <c r="CM3" s="669"/>
      <c r="CN3" s="669"/>
      <c r="CO3" s="669"/>
      <c r="CP3" s="669"/>
    </row>
    <row r="4" spans="1:94" ht="19.5" customHeight="1">
      <c r="A4" s="5370" t="str">
        <f>'1. Обща информация'!A4:D4</f>
        <v>на "В И К" АД, гр. Ловеч</v>
      </c>
      <c r="B4" s="5370"/>
      <c r="C4" s="5370"/>
      <c r="D4" s="5370"/>
      <c r="E4" s="5370"/>
      <c r="F4" s="5370"/>
      <c r="G4" s="5370"/>
      <c r="H4" s="5370"/>
      <c r="I4" s="5370"/>
      <c r="J4" s="5370"/>
      <c r="K4" s="5370"/>
      <c r="L4" s="5370"/>
      <c r="M4" s="5370"/>
      <c r="N4" s="5370"/>
      <c r="O4" s="5370"/>
      <c r="P4" s="5370"/>
      <c r="Q4" s="5370"/>
      <c r="R4" s="5370"/>
      <c r="S4" s="5370"/>
      <c r="T4" s="5370"/>
      <c r="U4" s="5370"/>
      <c r="V4" s="5370"/>
      <c r="W4" s="5370"/>
      <c r="X4" s="5370"/>
      <c r="Y4" s="5370"/>
      <c r="Z4" s="669"/>
      <c r="AA4" s="669"/>
      <c r="AB4" s="669"/>
      <c r="AC4" s="669"/>
      <c r="AD4" s="669"/>
      <c r="AE4" s="669"/>
      <c r="AF4" s="669"/>
      <c r="AG4" s="669"/>
      <c r="AH4" s="669"/>
      <c r="AI4" s="669"/>
      <c r="AJ4" s="669"/>
      <c r="AK4" s="669"/>
      <c r="AL4" s="669"/>
      <c r="AM4" s="669"/>
      <c r="AN4" s="669"/>
      <c r="AO4" s="669"/>
      <c r="AP4" s="669"/>
      <c r="AQ4" s="669"/>
      <c r="AR4" s="669"/>
      <c r="AS4" s="669"/>
      <c r="AT4" s="669"/>
      <c r="AU4" s="669"/>
      <c r="AV4" s="669"/>
      <c r="AW4" s="669"/>
      <c r="AX4" s="669"/>
      <c r="AY4" s="669"/>
      <c r="AZ4" s="669"/>
      <c r="BA4" s="669"/>
      <c r="BB4" s="669"/>
      <c r="BC4" s="669"/>
      <c r="BD4" s="669"/>
      <c r="BE4" s="669"/>
      <c r="BF4" s="669"/>
      <c r="BG4" s="669"/>
      <c r="BH4" s="669"/>
      <c r="BI4" s="669"/>
      <c r="BJ4" s="669"/>
      <c r="BK4" s="669"/>
      <c r="BL4" s="669"/>
      <c r="BM4" s="669"/>
      <c r="BN4" s="669"/>
      <c r="BO4" s="669"/>
      <c r="BP4" s="669"/>
      <c r="BQ4" s="669"/>
      <c r="BR4" s="669"/>
      <c r="BS4" s="669"/>
      <c r="BT4" s="669"/>
      <c r="BU4" s="669"/>
      <c r="BV4" s="669"/>
      <c r="BW4" s="669"/>
      <c r="BX4" s="669"/>
      <c r="BY4" s="669"/>
      <c r="BZ4" s="669"/>
      <c r="CA4" s="669"/>
      <c r="CB4" s="669"/>
      <c r="CC4" s="669"/>
      <c r="CD4" s="669"/>
      <c r="CE4" s="669"/>
      <c r="CF4" s="669"/>
      <c r="CG4" s="669"/>
      <c r="CH4" s="669"/>
      <c r="CI4" s="669"/>
      <c r="CJ4" s="669"/>
      <c r="CK4" s="669"/>
      <c r="CL4" s="669"/>
      <c r="CM4" s="669"/>
      <c r="CN4" s="669"/>
      <c r="CO4" s="669"/>
      <c r="CP4" s="669"/>
    </row>
    <row r="5" spans="1:94" ht="19.5" customHeight="1">
      <c r="A5" s="5370" t="str">
        <f>'1. Обща информация'!A5:D5</f>
        <v>ЕИК по БУЛСТАТ: 110549443</v>
      </c>
      <c r="B5" s="5370"/>
      <c r="C5" s="5370"/>
      <c r="D5" s="5370"/>
      <c r="E5" s="5370"/>
      <c r="F5" s="5370"/>
      <c r="G5" s="5370"/>
      <c r="H5" s="5370"/>
      <c r="I5" s="5370"/>
      <c r="J5" s="5370"/>
      <c r="K5" s="5370"/>
      <c r="L5" s="5370"/>
      <c r="M5" s="5370"/>
      <c r="N5" s="5370"/>
      <c r="O5" s="5370"/>
      <c r="P5" s="5370"/>
      <c r="Q5" s="5370"/>
      <c r="R5" s="5370"/>
      <c r="S5" s="5370"/>
      <c r="T5" s="5370"/>
      <c r="U5" s="5370"/>
      <c r="V5" s="5370"/>
      <c r="W5" s="5370"/>
      <c r="X5" s="5370"/>
      <c r="Y5" s="5370"/>
      <c r="Z5" s="669"/>
      <c r="AA5" s="669"/>
      <c r="AB5" s="669"/>
      <c r="AC5" s="669"/>
      <c r="AD5" s="669"/>
      <c r="AE5" s="669"/>
      <c r="AF5" s="669"/>
      <c r="AG5" s="669"/>
      <c r="AH5" s="669"/>
      <c r="AI5" s="669"/>
      <c r="AJ5" s="669"/>
      <c r="AK5" s="669"/>
      <c r="AL5" s="669"/>
      <c r="AM5" s="669"/>
      <c r="AN5" s="669"/>
      <c r="AO5" s="669"/>
      <c r="AP5" s="669"/>
      <c r="AQ5" s="669"/>
      <c r="AR5" s="669"/>
      <c r="AS5" s="669"/>
      <c r="AT5" s="669"/>
      <c r="AU5" s="669"/>
      <c r="AV5" s="669"/>
      <c r="AW5" s="669"/>
      <c r="AX5" s="669"/>
      <c r="AY5" s="669"/>
      <c r="AZ5" s="669"/>
      <c r="BA5" s="669"/>
      <c r="BB5" s="669"/>
      <c r="BC5" s="669"/>
      <c r="BD5" s="669"/>
      <c r="BE5" s="669"/>
      <c r="BF5" s="669"/>
      <c r="BG5" s="669"/>
      <c r="BH5" s="669"/>
      <c r="BI5" s="669"/>
      <c r="BJ5" s="669"/>
      <c r="BK5" s="669"/>
      <c r="BL5" s="669"/>
      <c r="BM5" s="669"/>
      <c r="BN5" s="669"/>
      <c r="BO5" s="669"/>
      <c r="BP5" s="669"/>
      <c r="BQ5" s="669"/>
      <c r="BR5" s="669"/>
      <c r="BS5" s="669"/>
      <c r="BT5" s="669"/>
      <c r="BU5" s="669"/>
      <c r="BV5" s="669"/>
      <c r="BW5" s="669"/>
      <c r="BX5" s="669"/>
      <c r="BY5" s="669"/>
      <c r="BZ5" s="669"/>
      <c r="CA5" s="669"/>
      <c r="CB5" s="669"/>
      <c r="CC5" s="669"/>
      <c r="CD5" s="669"/>
      <c r="CE5" s="669"/>
      <c r="CF5" s="669"/>
      <c r="CG5" s="669"/>
      <c r="CH5" s="669"/>
      <c r="CI5" s="669"/>
      <c r="CJ5" s="669"/>
      <c r="CK5" s="669"/>
      <c r="CL5" s="669"/>
      <c r="CM5" s="669"/>
      <c r="CN5" s="669"/>
      <c r="CO5" s="669"/>
      <c r="CP5" s="669"/>
    </row>
    <row r="6" spans="1:94" ht="18" customHeight="1">
      <c r="A6" s="652"/>
      <c r="B6" s="652"/>
      <c r="C6" s="652"/>
      <c r="D6" s="652"/>
      <c r="E6" s="652"/>
      <c r="F6" s="652"/>
      <c r="G6" s="652"/>
      <c r="H6" s="652"/>
      <c r="I6" s="652"/>
      <c r="J6" s="652"/>
      <c r="K6" s="652"/>
      <c r="L6" s="652"/>
      <c r="P6" s="669"/>
      <c r="Q6" s="669"/>
      <c r="R6" s="669"/>
      <c r="S6" s="669"/>
      <c r="T6" s="669"/>
      <c r="U6" s="669"/>
      <c r="V6" s="669"/>
      <c r="W6" s="669"/>
      <c r="X6" s="669"/>
      <c r="Y6" s="669"/>
      <c r="Z6" s="669"/>
      <c r="AA6" s="669"/>
      <c r="AB6" s="669"/>
      <c r="AC6" s="669"/>
      <c r="AD6" s="669"/>
      <c r="AE6" s="669"/>
      <c r="AF6" s="669"/>
      <c r="AG6" s="669"/>
      <c r="AH6" s="669"/>
      <c r="AI6" s="669"/>
      <c r="AJ6" s="669"/>
      <c r="AK6" s="669"/>
      <c r="AL6" s="669"/>
      <c r="AM6" s="669"/>
      <c r="AN6" s="669"/>
      <c r="AO6" s="669"/>
      <c r="AP6" s="669"/>
      <c r="AQ6" s="669"/>
      <c r="AR6" s="669"/>
      <c r="AS6" s="669"/>
      <c r="AT6" s="669"/>
      <c r="AU6" s="669"/>
      <c r="AV6" s="669"/>
      <c r="AW6" s="669"/>
      <c r="AX6" s="669"/>
      <c r="AY6" s="669"/>
      <c r="AZ6" s="669"/>
      <c r="BA6" s="669"/>
      <c r="BB6" s="669"/>
      <c r="BC6" s="669"/>
      <c r="BD6" s="669"/>
      <c r="BE6" s="669"/>
      <c r="BF6" s="669"/>
      <c r="BG6" s="669"/>
      <c r="BH6" s="669"/>
      <c r="BI6" s="669"/>
      <c r="BJ6" s="669"/>
      <c r="BK6" s="669"/>
      <c r="BL6" s="669"/>
      <c r="BM6" s="669"/>
      <c r="BN6" s="669"/>
      <c r="BO6" s="669"/>
      <c r="BP6" s="669"/>
      <c r="BQ6" s="669"/>
      <c r="BR6" s="669"/>
      <c r="BS6" s="669"/>
      <c r="BT6" s="669"/>
      <c r="BU6" s="669"/>
      <c r="BV6" s="669"/>
      <c r="BW6" s="669"/>
      <c r="BX6" s="669"/>
      <c r="BY6" s="669"/>
      <c r="BZ6" s="669"/>
      <c r="CA6" s="669"/>
      <c r="CB6" s="669"/>
      <c r="CC6" s="669"/>
      <c r="CE6" s="669"/>
      <c r="CF6" s="669"/>
      <c r="CG6" s="669"/>
      <c r="CH6" s="669"/>
      <c r="CI6" s="669"/>
      <c r="CJ6" s="669"/>
      <c r="CK6" s="669"/>
      <c r="CL6" s="669"/>
      <c r="CM6" s="669"/>
      <c r="CN6" s="669"/>
      <c r="CO6" s="669"/>
      <c r="CP6" s="669"/>
    </row>
    <row r="7" spans="1:94" ht="18" customHeight="1" thickBot="1">
      <c r="A7" s="652"/>
      <c r="B7" s="652"/>
      <c r="C7" s="652"/>
      <c r="D7" s="652"/>
      <c r="E7" s="652"/>
      <c r="F7" s="652"/>
      <c r="G7" s="652"/>
      <c r="H7" s="652"/>
      <c r="I7" s="652"/>
      <c r="J7" s="652"/>
      <c r="K7" s="652"/>
      <c r="L7" s="652"/>
      <c r="P7" s="669"/>
      <c r="Q7" s="669"/>
      <c r="R7" s="669"/>
      <c r="S7" s="669"/>
      <c r="T7" s="669"/>
      <c r="U7" s="669"/>
      <c r="V7" s="669"/>
      <c r="W7" s="669"/>
      <c r="X7" s="669"/>
      <c r="Y7" s="669"/>
      <c r="Z7" s="669"/>
      <c r="AA7" s="669"/>
      <c r="AB7" s="669"/>
      <c r="AC7" s="669"/>
      <c r="AD7" s="669"/>
      <c r="AE7" s="669"/>
      <c r="AF7" s="669"/>
      <c r="AG7" s="669"/>
      <c r="AH7" s="669"/>
      <c r="AI7" s="669"/>
      <c r="AJ7" s="669"/>
      <c r="AK7" s="669"/>
      <c r="AL7" s="669"/>
      <c r="AM7" s="660" t="s">
        <v>190</v>
      </c>
      <c r="AN7" s="669"/>
      <c r="AO7" s="669"/>
      <c r="AP7" s="669"/>
      <c r="AQ7" s="669"/>
      <c r="AR7" s="669"/>
      <c r="AS7" s="669"/>
      <c r="AT7" s="669"/>
      <c r="AV7" s="669"/>
      <c r="AW7" s="669"/>
      <c r="AX7" s="669"/>
      <c r="AY7" s="669"/>
      <c r="AZ7" s="669"/>
      <c r="BA7" s="669"/>
      <c r="BB7" s="669"/>
      <c r="BC7" s="669"/>
      <c r="BD7" s="669"/>
      <c r="BE7" s="669"/>
      <c r="BF7" s="669"/>
      <c r="BG7" s="669"/>
      <c r="BH7" s="669"/>
      <c r="BI7" s="669"/>
      <c r="BJ7" s="669"/>
      <c r="BK7" s="669"/>
      <c r="BL7" s="669"/>
      <c r="BM7" s="669"/>
      <c r="BN7" s="669"/>
      <c r="BO7" s="669"/>
      <c r="BP7" s="669"/>
      <c r="BQ7" s="669"/>
      <c r="BR7" s="669"/>
      <c r="BS7" s="669"/>
      <c r="BT7" s="669"/>
      <c r="BU7" s="669"/>
      <c r="BV7" s="669"/>
      <c r="BW7" s="669"/>
      <c r="BX7" s="669"/>
      <c r="BY7" s="669"/>
      <c r="BZ7" s="669"/>
      <c r="CA7" s="669"/>
      <c r="CB7" s="669"/>
      <c r="CC7" s="669"/>
      <c r="CD7" s="660" t="s">
        <v>1889</v>
      </c>
      <c r="CE7" s="669"/>
      <c r="CF7" s="669"/>
      <c r="CG7" s="669"/>
      <c r="CH7" s="669"/>
      <c r="CI7" s="669"/>
      <c r="CJ7" s="669"/>
      <c r="CK7" s="669"/>
      <c r="CL7" s="669"/>
      <c r="CM7" s="669"/>
      <c r="CN7" s="669"/>
      <c r="CO7" s="669"/>
      <c r="CP7" s="669"/>
    </row>
    <row r="8" spans="1:94" s="669" customFormat="1" ht="19.95" customHeight="1" thickBot="1">
      <c r="A8" s="5362" t="s">
        <v>1</v>
      </c>
      <c r="B8" s="5344" t="s">
        <v>1044</v>
      </c>
      <c r="C8" s="5344" t="s">
        <v>1043</v>
      </c>
      <c r="D8" s="5362" t="s">
        <v>87</v>
      </c>
      <c r="E8" s="5362" t="s">
        <v>210</v>
      </c>
      <c r="F8" s="5363"/>
      <c r="G8" s="5363"/>
      <c r="H8" s="5363"/>
      <c r="I8" s="5363"/>
      <c r="J8" s="5363"/>
      <c r="K8" s="5363"/>
      <c r="L8" s="5362" t="s">
        <v>174</v>
      </c>
      <c r="M8" s="5363"/>
      <c r="N8" s="5363"/>
      <c r="O8" s="5363"/>
      <c r="P8" s="5363"/>
      <c r="Q8" s="5363"/>
      <c r="R8" s="5364"/>
      <c r="S8" s="5362" t="s">
        <v>184</v>
      </c>
      <c r="T8" s="5363"/>
      <c r="U8" s="5363"/>
      <c r="V8" s="5363"/>
      <c r="W8" s="5363"/>
      <c r="X8" s="5363"/>
      <c r="Y8" s="5364"/>
      <c r="Z8" s="5362" t="s">
        <v>1029</v>
      </c>
      <c r="AA8" s="5363"/>
      <c r="AB8" s="5363"/>
      <c r="AC8" s="5363"/>
      <c r="AD8" s="5363"/>
      <c r="AE8" s="5363"/>
      <c r="AF8" s="5364"/>
      <c r="AG8" s="5362" t="s">
        <v>1092</v>
      </c>
      <c r="AH8" s="5363"/>
      <c r="AI8" s="5363"/>
      <c r="AJ8" s="5363"/>
      <c r="AK8" s="5363"/>
      <c r="AL8" s="5363"/>
      <c r="AM8" s="5364"/>
      <c r="AN8" s="5359" t="s">
        <v>662</v>
      </c>
      <c r="AO8" s="5360"/>
      <c r="AP8" s="5360"/>
      <c r="AQ8" s="5360"/>
      <c r="AR8" s="5360"/>
      <c r="AS8" s="5360"/>
      <c r="AT8" s="5361"/>
      <c r="AU8" s="4488"/>
      <c r="AV8" s="5338" t="s">
        <v>210</v>
      </c>
      <c r="AW8" s="5338"/>
      <c r="AX8" s="5338"/>
      <c r="AY8" s="5338"/>
      <c r="AZ8" s="5338"/>
      <c r="BA8" s="5338"/>
      <c r="BB8" s="5338"/>
      <c r="BC8" s="5338" t="s">
        <v>174</v>
      </c>
      <c r="BD8" s="5338"/>
      <c r="BE8" s="5338"/>
      <c r="BF8" s="5338"/>
      <c r="BG8" s="5338"/>
      <c r="BH8" s="5338"/>
      <c r="BI8" s="5338"/>
      <c r="BJ8" s="5338" t="s">
        <v>184</v>
      </c>
      <c r="BK8" s="5338"/>
      <c r="BL8" s="5338"/>
      <c r="BM8" s="5338"/>
      <c r="BN8" s="5338"/>
      <c r="BO8" s="5338"/>
      <c r="BP8" s="5338"/>
      <c r="BQ8" s="5338" t="s">
        <v>1029</v>
      </c>
      <c r="BR8" s="5338"/>
      <c r="BS8" s="5338"/>
      <c r="BT8" s="5338"/>
      <c r="BU8" s="5338"/>
      <c r="BV8" s="5338"/>
      <c r="BW8" s="5338"/>
      <c r="BX8" s="5338" t="s">
        <v>1092</v>
      </c>
      <c r="BY8" s="5338"/>
      <c r="BZ8" s="5338"/>
      <c r="CA8" s="5338"/>
      <c r="CB8" s="5338"/>
      <c r="CC8" s="5338"/>
      <c r="CD8" s="5338"/>
    </row>
    <row r="9" spans="1:94" s="669" customFormat="1" ht="22.5" customHeight="1" thickBot="1">
      <c r="A9" s="5371"/>
      <c r="B9" s="5345"/>
      <c r="C9" s="5345"/>
      <c r="D9" s="5371"/>
      <c r="E9" s="2853" t="str">
        <f>+'11. Амортиз. план'!E8</f>
        <v>2025 г.</v>
      </c>
      <c r="F9" s="2854" t="str">
        <f>'Приложение '!C13</f>
        <v>2026 г.</v>
      </c>
      <c r="G9" s="2855" t="str">
        <f>'Приложение '!C14</f>
        <v>2027 г.</v>
      </c>
      <c r="H9" s="2855" t="str">
        <f>'Приложение '!C15</f>
        <v>2028 г.</v>
      </c>
      <c r="I9" s="2855" t="str">
        <f>'Приложение '!C16</f>
        <v>2029 г.</v>
      </c>
      <c r="J9" s="2855" t="str">
        <f>'Приложение '!C17</f>
        <v>2030 г.</v>
      </c>
      <c r="K9" s="2856" t="str">
        <f>'Приложение '!C18</f>
        <v>2031 г.</v>
      </c>
      <c r="L9" s="2857" t="str">
        <f t="shared" ref="L9:AM9" si="0">E9</f>
        <v>2025 г.</v>
      </c>
      <c r="M9" s="2858" t="str">
        <f t="shared" si="0"/>
        <v>2026 г.</v>
      </c>
      <c r="N9" s="2855" t="str">
        <f t="shared" si="0"/>
        <v>2027 г.</v>
      </c>
      <c r="O9" s="2855" t="str">
        <f t="shared" si="0"/>
        <v>2028 г.</v>
      </c>
      <c r="P9" s="2855" t="str">
        <f t="shared" si="0"/>
        <v>2029 г.</v>
      </c>
      <c r="Q9" s="2855" t="str">
        <f t="shared" si="0"/>
        <v>2030 г.</v>
      </c>
      <c r="R9" s="2856" t="str">
        <f t="shared" si="0"/>
        <v>2031 г.</v>
      </c>
      <c r="S9" s="2857" t="str">
        <f t="shared" si="0"/>
        <v>2025 г.</v>
      </c>
      <c r="T9" s="2858" t="str">
        <f t="shared" si="0"/>
        <v>2026 г.</v>
      </c>
      <c r="U9" s="2855" t="str">
        <f t="shared" si="0"/>
        <v>2027 г.</v>
      </c>
      <c r="V9" s="2855" t="str">
        <f t="shared" si="0"/>
        <v>2028 г.</v>
      </c>
      <c r="W9" s="2855" t="str">
        <f t="shared" si="0"/>
        <v>2029 г.</v>
      </c>
      <c r="X9" s="2855" t="str">
        <f t="shared" si="0"/>
        <v>2030 г.</v>
      </c>
      <c r="Y9" s="2859" t="str">
        <f t="shared" si="0"/>
        <v>2031 г.</v>
      </c>
      <c r="Z9" s="2857" t="str">
        <f t="shared" si="0"/>
        <v>2025 г.</v>
      </c>
      <c r="AA9" s="2858" t="str">
        <f t="shared" si="0"/>
        <v>2026 г.</v>
      </c>
      <c r="AB9" s="2855" t="str">
        <f t="shared" si="0"/>
        <v>2027 г.</v>
      </c>
      <c r="AC9" s="2855" t="str">
        <f t="shared" si="0"/>
        <v>2028 г.</v>
      </c>
      <c r="AD9" s="2855" t="str">
        <f t="shared" si="0"/>
        <v>2029 г.</v>
      </c>
      <c r="AE9" s="2855" t="str">
        <f t="shared" si="0"/>
        <v>2030 г.</v>
      </c>
      <c r="AF9" s="2859" t="str">
        <f t="shared" si="0"/>
        <v>2031 г.</v>
      </c>
      <c r="AG9" s="2857" t="str">
        <f t="shared" si="0"/>
        <v>2025 г.</v>
      </c>
      <c r="AH9" s="2858" t="str">
        <f t="shared" si="0"/>
        <v>2026 г.</v>
      </c>
      <c r="AI9" s="2855" t="str">
        <f t="shared" si="0"/>
        <v>2027 г.</v>
      </c>
      <c r="AJ9" s="2855" t="str">
        <f t="shared" si="0"/>
        <v>2028 г.</v>
      </c>
      <c r="AK9" s="2855" t="str">
        <f t="shared" si="0"/>
        <v>2029 г.</v>
      </c>
      <c r="AL9" s="2855" t="str">
        <f t="shared" si="0"/>
        <v>2030 г.</v>
      </c>
      <c r="AM9" s="2859" t="str">
        <f t="shared" si="0"/>
        <v>2031 г.</v>
      </c>
      <c r="AN9" s="2857" t="str">
        <f t="shared" ref="AN9:AT9" si="1">S9</f>
        <v>2025 г.</v>
      </c>
      <c r="AO9" s="2858" t="str">
        <f t="shared" si="1"/>
        <v>2026 г.</v>
      </c>
      <c r="AP9" s="2855" t="str">
        <f t="shared" si="1"/>
        <v>2027 г.</v>
      </c>
      <c r="AQ9" s="2855" t="str">
        <f t="shared" si="1"/>
        <v>2028 г.</v>
      </c>
      <c r="AR9" s="2855" t="str">
        <f t="shared" si="1"/>
        <v>2029 г.</v>
      </c>
      <c r="AS9" s="2855" t="str">
        <f t="shared" si="1"/>
        <v>2030 г.</v>
      </c>
      <c r="AT9" s="2859" t="str">
        <f t="shared" si="1"/>
        <v>2031 г.</v>
      </c>
      <c r="AU9" s="4488"/>
      <c r="AV9" s="4509" t="str">
        <f>+E9</f>
        <v>2025 г.</v>
      </c>
      <c r="AW9" s="4509" t="str">
        <f t="shared" ref="AW9:BB9" si="2">+F9</f>
        <v>2026 г.</v>
      </c>
      <c r="AX9" s="4509" t="str">
        <f t="shared" si="2"/>
        <v>2027 г.</v>
      </c>
      <c r="AY9" s="4509" t="str">
        <f t="shared" si="2"/>
        <v>2028 г.</v>
      </c>
      <c r="AZ9" s="4509" t="str">
        <f t="shared" si="2"/>
        <v>2029 г.</v>
      </c>
      <c r="BA9" s="4509" t="str">
        <f t="shared" si="2"/>
        <v>2030 г.</v>
      </c>
      <c r="BB9" s="4509" t="str">
        <f t="shared" si="2"/>
        <v>2031 г.</v>
      </c>
      <c r="BC9" s="4509" t="str">
        <f t="shared" ref="BC9" si="3">AV9</f>
        <v>2025 г.</v>
      </c>
      <c r="BD9" s="4509" t="str">
        <f t="shared" ref="BD9" si="4">AW9</f>
        <v>2026 г.</v>
      </c>
      <c r="BE9" s="4509" t="str">
        <f t="shared" ref="BE9" si="5">AX9</f>
        <v>2027 г.</v>
      </c>
      <c r="BF9" s="4509" t="str">
        <f t="shared" ref="BF9" si="6">AY9</f>
        <v>2028 г.</v>
      </c>
      <c r="BG9" s="4509" t="str">
        <f t="shared" ref="BG9" si="7">AZ9</f>
        <v>2029 г.</v>
      </c>
      <c r="BH9" s="4509" t="str">
        <f t="shared" ref="BH9" si="8">BA9</f>
        <v>2030 г.</v>
      </c>
      <c r="BI9" s="4509" t="str">
        <f t="shared" ref="BI9" si="9">BB9</f>
        <v>2031 г.</v>
      </c>
      <c r="BJ9" s="4509" t="str">
        <f t="shared" ref="BJ9" si="10">BC9</f>
        <v>2025 г.</v>
      </c>
      <c r="BK9" s="4509" t="str">
        <f t="shared" ref="BK9" si="11">BD9</f>
        <v>2026 г.</v>
      </c>
      <c r="BL9" s="4509" t="str">
        <f t="shared" ref="BL9" si="12">BE9</f>
        <v>2027 г.</v>
      </c>
      <c r="BM9" s="4509" t="str">
        <f t="shared" ref="BM9" si="13">BF9</f>
        <v>2028 г.</v>
      </c>
      <c r="BN9" s="4509" t="str">
        <f t="shared" ref="BN9" si="14">BG9</f>
        <v>2029 г.</v>
      </c>
      <c r="BO9" s="4509" t="str">
        <f t="shared" ref="BO9" si="15">BH9</f>
        <v>2030 г.</v>
      </c>
      <c r="BP9" s="4509" t="str">
        <f t="shared" ref="BP9" si="16">BI9</f>
        <v>2031 г.</v>
      </c>
      <c r="BQ9" s="4509" t="str">
        <f t="shared" ref="BQ9" si="17">BJ9</f>
        <v>2025 г.</v>
      </c>
      <c r="BR9" s="4509" t="str">
        <f t="shared" ref="BR9" si="18">BK9</f>
        <v>2026 г.</v>
      </c>
      <c r="BS9" s="4509" t="str">
        <f t="shared" ref="BS9" si="19">BL9</f>
        <v>2027 г.</v>
      </c>
      <c r="BT9" s="4509" t="str">
        <f t="shared" ref="BT9" si="20">BM9</f>
        <v>2028 г.</v>
      </c>
      <c r="BU9" s="4509" t="str">
        <f t="shared" ref="BU9" si="21">BN9</f>
        <v>2029 г.</v>
      </c>
      <c r="BV9" s="4509" t="str">
        <f t="shared" ref="BV9" si="22">BO9</f>
        <v>2030 г.</v>
      </c>
      <c r="BW9" s="4509" t="str">
        <f t="shared" ref="BW9" si="23">BP9</f>
        <v>2031 г.</v>
      </c>
      <c r="BX9" s="4509" t="str">
        <f t="shared" ref="BX9" si="24">BQ9</f>
        <v>2025 г.</v>
      </c>
      <c r="BY9" s="4509" t="str">
        <f t="shared" ref="BY9" si="25">BR9</f>
        <v>2026 г.</v>
      </c>
      <c r="BZ9" s="4509" t="str">
        <f t="shared" ref="BZ9" si="26">BS9</f>
        <v>2027 г.</v>
      </c>
      <c r="CA9" s="4509" t="str">
        <f t="shared" ref="CA9" si="27">BT9</f>
        <v>2028 г.</v>
      </c>
      <c r="CB9" s="4509" t="str">
        <f t="shared" ref="CB9" si="28">BU9</f>
        <v>2029 г.</v>
      </c>
      <c r="CC9" s="4509" t="str">
        <f t="shared" ref="CC9" si="29">BV9</f>
        <v>2030 г.</v>
      </c>
      <c r="CD9" s="4509" t="str">
        <f t="shared" ref="CD9" si="30">BW9</f>
        <v>2031 г.</v>
      </c>
    </row>
    <row r="10" spans="1:94" s="40" customFormat="1" ht="40.200000000000003" thickBot="1">
      <c r="A10" s="2860" t="s">
        <v>1055</v>
      </c>
      <c r="B10" s="2860"/>
      <c r="C10" s="2860"/>
      <c r="D10" s="2861" t="s">
        <v>1503</v>
      </c>
      <c r="E10" s="2862" t="s">
        <v>1504</v>
      </c>
      <c r="F10" s="5367" t="s">
        <v>1505</v>
      </c>
      <c r="G10" s="5368"/>
      <c r="H10" s="5368"/>
      <c r="I10" s="5368"/>
      <c r="J10" s="5368"/>
      <c r="K10" s="5369"/>
      <c r="L10" s="2862" t="s">
        <v>1504</v>
      </c>
      <c r="M10" s="5367" t="s">
        <v>1505</v>
      </c>
      <c r="N10" s="5368"/>
      <c r="O10" s="5368"/>
      <c r="P10" s="5368"/>
      <c r="Q10" s="5368"/>
      <c r="R10" s="5369"/>
      <c r="S10" s="2862" t="s">
        <v>1504</v>
      </c>
      <c r="T10" s="5367" t="s">
        <v>1505</v>
      </c>
      <c r="U10" s="5368"/>
      <c r="V10" s="5368"/>
      <c r="W10" s="5368"/>
      <c r="X10" s="5368"/>
      <c r="Y10" s="5369"/>
      <c r="Z10" s="2862" t="s">
        <v>1504</v>
      </c>
      <c r="AA10" s="5367" t="s">
        <v>1505</v>
      </c>
      <c r="AB10" s="5368"/>
      <c r="AC10" s="5368"/>
      <c r="AD10" s="5368"/>
      <c r="AE10" s="5368"/>
      <c r="AF10" s="5369"/>
      <c r="AG10" s="2862" t="s">
        <v>1504</v>
      </c>
      <c r="AH10" s="5367" t="s">
        <v>1505</v>
      </c>
      <c r="AI10" s="5368"/>
      <c r="AJ10" s="5368"/>
      <c r="AK10" s="5368"/>
      <c r="AL10" s="5368"/>
      <c r="AM10" s="5369"/>
      <c r="AN10" s="2862" t="s">
        <v>1504</v>
      </c>
      <c r="AO10" s="5367" t="s">
        <v>1505</v>
      </c>
      <c r="AP10" s="5368"/>
      <c r="AQ10" s="5368"/>
      <c r="AR10" s="5368"/>
      <c r="AS10" s="5368"/>
      <c r="AT10" s="5369"/>
      <c r="AU10" s="4488"/>
    </row>
    <row r="11" spans="1:94" s="684" customFormat="1" ht="14.25" customHeight="1" thickBot="1">
      <c r="A11" s="2863" t="s">
        <v>205</v>
      </c>
      <c r="B11" s="2864"/>
      <c r="C11" s="2864"/>
      <c r="D11" s="2864" t="s">
        <v>334</v>
      </c>
      <c r="E11" s="2868">
        <f t="shared" ref="E11:AT11" si="31">E12+E15+E18+E30+E45+E50+SUM(E54:E59)</f>
        <v>1743.8591017289059</v>
      </c>
      <c r="F11" s="2865">
        <f t="shared" si="31"/>
        <v>0</v>
      </c>
      <c r="G11" s="2866">
        <f t="shared" si="31"/>
        <v>0</v>
      </c>
      <c r="H11" s="2866">
        <f t="shared" si="31"/>
        <v>0</v>
      </c>
      <c r="I11" s="2866">
        <f t="shared" si="31"/>
        <v>0</v>
      </c>
      <c r="J11" s="2866">
        <f t="shared" si="31"/>
        <v>0</v>
      </c>
      <c r="K11" s="2867">
        <f t="shared" si="31"/>
        <v>0</v>
      </c>
      <c r="L11" s="2868">
        <f t="shared" si="31"/>
        <v>49.085934869357153</v>
      </c>
      <c r="M11" s="2865">
        <f t="shared" si="31"/>
        <v>0</v>
      </c>
      <c r="N11" s="2866">
        <f t="shared" si="31"/>
        <v>0</v>
      </c>
      <c r="O11" s="2866">
        <f t="shared" si="31"/>
        <v>0</v>
      </c>
      <c r="P11" s="2866">
        <f t="shared" si="31"/>
        <v>0</v>
      </c>
      <c r="Q11" s="2866">
        <f t="shared" si="31"/>
        <v>0</v>
      </c>
      <c r="R11" s="2867">
        <f t="shared" si="31"/>
        <v>0</v>
      </c>
      <c r="S11" s="2868">
        <f t="shared" si="31"/>
        <v>93.411887249240309</v>
      </c>
      <c r="T11" s="2865">
        <f t="shared" si="31"/>
        <v>0</v>
      </c>
      <c r="U11" s="2866">
        <f t="shared" si="31"/>
        <v>0</v>
      </c>
      <c r="V11" s="2866">
        <f t="shared" si="31"/>
        <v>0</v>
      </c>
      <c r="W11" s="2866">
        <f t="shared" si="31"/>
        <v>0</v>
      </c>
      <c r="X11" s="2866">
        <f t="shared" si="31"/>
        <v>0</v>
      </c>
      <c r="Y11" s="2869">
        <f t="shared" si="31"/>
        <v>0</v>
      </c>
      <c r="Z11" s="2868">
        <f t="shared" ref="Z11:AF11" si="32">Z12+Z15+Z18+Z30+Z45+Z50+SUM(Z54:Z59)</f>
        <v>0</v>
      </c>
      <c r="AA11" s="2865">
        <f t="shared" si="32"/>
        <v>0</v>
      </c>
      <c r="AB11" s="2866">
        <f t="shared" si="32"/>
        <v>0</v>
      </c>
      <c r="AC11" s="2866">
        <f t="shared" si="32"/>
        <v>0</v>
      </c>
      <c r="AD11" s="2866">
        <f t="shared" si="32"/>
        <v>0</v>
      </c>
      <c r="AE11" s="2866">
        <f t="shared" si="32"/>
        <v>0</v>
      </c>
      <c r="AF11" s="2869">
        <f t="shared" si="32"/>
        <v>0</v>
      </c>
      <c r="AG11" s="2868">
        <f t="shared" ref="AG11:AM11" si="33">AG12+AG15+AG18+AG30+AG45+AG50+SUM(AG54:AG59)</f>
        <v>235.22343258682028</v>
      </c>
      <c r="AH11" s="2865">
        <f t="shared" si="33"/>
        <v>0</v>
      </c>
      <c r="AI11" s="2866">
        <f t="shared" si="33"/>
        <v>0</v>
      </c>
      <c r="AJ11" s="2866">
        <f t="shared" si="33"/>
        <v>0</v>
      </c>
      <c r="AK11" s="2866">
        <f t="shared" si="33"/>
        <v>0</v>
      </c>
      <c r="AL11" s="2866">
        <f t="shared" si="33"/>
        <v>0</v>
      </c>
      <c r="AM11" s="2867">
        <f t="shared" si="33"/>
        <v>0</v>
      </c>
      <c r="AN11" s="2868">
        <f t="shared" si="31"/>
        <v>0</v>
      </c>
      <c r="AO11" s="2865">
        <f>AO12+AO15+AO18+AO30+AO45+AO50+SUM(AO54:AO59)</f>
        <v>0</v>
      </c>
      <c r="AP11" s="2866">
        <f t="shared" si="31"/>
        <v>0</v>
      </c>
      <c r="AQ11" s="2866">
        <f t="shared" si="31"/>
        <v>0</v>
      </c>
      <c r="AR11" s="2866">
        <f t="shared" si="31"/>
        <v>0</v>
      </c>
      <c r="AS11" s="2866">
        <f t="shared" si="31"/>
        <v>0</v>
      </c>
      <c r="AT11" s="2869">
        <f t="shared" si="31"/>
        <v>0</v>
      </c>
      <c r="AU11" s="4488"/>
      <c r="AV11" s="4504">
        <f>IFERROR(E11/$D$1,0)</f>
        <v>891.62100066412006</v>
      </c>
      <c r="AW11" s="4504">
        <f t="shared" ref="AW11:CC11" si="34">IFERROR(F11/$D$1,0)</f>
        <v>0</v>
      </c>
      <c r="AX11" s="4504">
        <f t="shared" si="34"/>
        <v>0</v>
      </c>
      <c r="AY11" s="4504">
        <f t="shared" si="34"/>
        <v>0</v>
      </c>
      <c r="AZ11" s="4504">
        <f t="shared" si="34"/>
        <v>0</v>
      </c>
      <c r="BA11" s="4504">
        <f t="shared" si="34"/>
        <v>0</v>
      </c>
      <c r="BB11" s="4504">
        <f t="shared" si="34"/>
        <v>0</v>
      </c>
      <c r="BC11" s="4504">
        <f t="shared" si="34"/>
        <v>25.097239979628675</v>
      </c>
      <c r="BD11" s="4504">
        <f t="shared" si="34"/>
        <v>0</v>
      </c>
      <c r="BE11" s="4504">
        <f t="shared" si="34"/>
        <v>0</v>
      </c>
      <c r="BF11" s="4504">
        <f t="shared" si="34"/>
        <v>0</v>
      </c>
      <c r="BG11" s="4504">
        <f t="shared" si="34"/>
        <v>0</v>
      </c>
      <c r="BH11" s="4504">
        <f t="shared" si="34"/>
        <v>0</v>
      </c>
      <c r="BI11" s="4504">
        <f t="shared" si="34"/>
        <v>0</v>
      </c>
      <c r="BJ11" s="4504">
        <f t="shared" si="34"/>
        <v>47.760739557753134</v>
      </c>
      <c r="BK11" s="4504">
        <f t="shared" si="34"/>
        <v>0</v>
      </c>
      <c r="BL11" s="4504">
        <f t="shared" si="34"/>
        <v>0</v>
      </c>
      <c r="BM11" s="4504">
        <f t="shared" si="34"/>
        <v>0</v>
      </c>
      <c r="BN11" s="4504">
        <f t="shared" si="34"/>
        <v>0</v>
      </c>
      <c r="BO11" s="4504">
        <f t="shared" si="34"/>
        <v>0</v>
      </c>
      <c r="BP11" s="4504">
        <f t="shared" si="34"/>
        <v>0</v>
      </c>
      <c r="BQ11" s="4504">
        <f t="shared" si="34"/>
        <v>0</v>
      </c>
      <c r="BR11" s="4504">
        <f t="shared" si="34"/>
        <v>0</v>
      </c>
      <c r="BS11" s="4504">
        <f t="shared" si="34"/>
        <v>0</v>
      </c>
      <c r="BT11" s="4504">
        <f t="shared" si="34"/>
        <v>0</v>
      </c>
      <c r="BU11" s="4504">
        <f t="shared" si="34"/>
        <v>0</v>
      </c>
      <c r="BV11" s="4504">
        <f t="shared" si="34"/>
        <v>0</v>
      </c>
      <c r="BW11" s="4504">
        <f t="shared" si="34"/>
        <v>0</v>
      </c>
      <c r="BX11" s="4504">
        <f t="shared" si="34"/>
        <v>120.26783134874722</v>
      </c>
      <c r="BY11" s="4504">
        <f t="shared" si="34"/>
        <v>0</v>
      </c>
      <c r="BZ11" s="4504">
        <f t="shared" si="34"/>
        <v>0</v>
      </c>
      <c r="CA11" s="4504">
        <f t="shared" si="34"/>
        <v>0</v>
      </c>
      <c r="CB11" s="4504">
        <f t="shared" si="34"/>
        <v>0</v>
      </c>
      <c r="CC11" s="4504">
        <f t="shared" si="34"/>
        <v>0</v>
      </c>
      <c r="CD11" s="4504">
        <f>IFERROR(AM11/$D$1,0)</f>
        <v>0</v>
      </c>
    </row>
    <row r="12" spans="1:94" s="40" customFormat="1">
      <c r="A12" s="2870">
        <v>1</v>
      </c>
      <c r="B12" s="2870">
        <v>201</v>
      </c>
      <c r="C12" s="2871">
        <v>0</v>
      </c>
      <c r="D12" s="2872" t="s">
        <v>217</v>
      </c>
      <c r="E12" s="2873">
        <f>SUM(E13:E14)</f>
        <v>0</v>
      </c>
      <c r="F12" s="2874">
        <f>SUM(F13:F14)</f>
        <v>0</v>
      </c>
      <c r="G12" s="2875">
        <f>SUM(G13:G14)</f>
        <v>0</v>
      </c>
      <c r="H12" s="2875">
        <f>SUM(H13:H14)</f>
        <v>0</v>
      </c>
      <c r="I12" s="2875">
        <f t="shared" ref="I12:K12" si="35">SUM(I13:I14)</f>
        <v>0</v>
      </c>
      <c r="J12" s="2875">
        <f t="shared" si="35"/>
        <v>0</v>
      </c>
      <c r="K12" s="2876">
        <f t="shared" si="35"/>
        <v>0</v>
      </c>
      <c r="L12" s="2873">
        <f>SUM(L13:L14)</f>
        <v>0</v>
      </c>
      <c r="M12" s="2874">
        <f>SUM(M13:M14)</f>
        <v>0</v>
      </c>
      <c r="N12" s="2875">
        <f>SUM(N13:N14)</f>
        <v>0</v>
      </c>
      <c r="O12" s="2875">
        <f>SUM(O13:O14)</f>
        <v>0</v>
      </c>
      <c r="P12" s="2875">
        <f t="shared" ref="P12:R12" si="36">SUM(P13:P14)</f>
        <v>0</v>
      </c>
      <c r="Q12" s="2875">
        <f t="shared" si="36"/>
        <v>0</v>
      </c>
      <c r="R12" s="2876">
        <f t="shared" si="36"/>
        <v>0</v>
      </c>
      <c r="S12" s="2873">
        <f>SUM(S13:S14)</f>
        <v>0</v>
      </c>
      <c r="T12" s="2874">
        <f>SUM(T13:T14)</f>
        <v>0</v>
      </c>
      <c r="U12" s="2875">
        <f>SUM(U13:U14)</f>
        <v>0</v>
      </c>
      <c r="V12" s="2875">
        <f>SUM(V13:V14)</f>
        <v>0</v>
      </c>
      <c r="W12" s="2875">
        <f t="shared" ref="W12:Y12" si="37">SUM(W13:W14)</f>
        <v>0</v>
      </c>
      <c r="X12" s="2875">
        <f t="shared" si="37"/>
        <v>0</v>
      </c>
      <c r="Y12" s="2877">
        <f t="shared" si="37"/>
        <v>0</v>
      </c>
      <c r="Z12" s="2873">
        <f>SUM(Z13:Z14)</f>
        <v>0</v>
      </c>
      <c r="AA12" s="2874">
        <f>SUM(AA13:AA14)</f>
        <v>0</v>
      </c>
      <c r="AB12" s="2875">
        <f>SUM(AB13:AB14)</f>
        <v>0</v>
      </c>
      <c r="AC12" s="2875">
        <f>SUM(AC13:AC14)</f>
        <v>0</v>
      </c>
      <c r="AD12" s="2875">
        <f t="shared" ref="AD12:AF12" si="38">SUM(AD13:AD14)</f>
        <v>0</v>
      </c>
      <c r="AE12" s="2875">
        <f t="shared" si="38"/>
        <v>0</v>
      </c>
      <c r="AF12" s="2877">
        <f t="shared" si="38"/>
        <v>0</v>
      </c>
      <c r="AG12" s="2873">
        <f>SUM(AG13:AG14)</f>
        <v>0</v>
      </c>
      <c r="AH12" s="2874">
        <f>SUM(AH13:AH14)</f>
        <v>0</v>
      </c>
      <c r="AI12" s="2875">
        <f>SUM(AI13:AI14)</f>
        <v>0</v>
      </c>
      <c r="AJ12" s="2875">
        <f>SUM(AJ13:AJ14)</f>
        <v>0</v>
      </c>
      <c r="AK12" s="2875">
        <f t="shared" ref="AK12:AM12" si="39">SUM(AK13:AK14)</f>
        <v>0</v>
      </c>
      <c r="AL12" s="2875">
        <f t="shared" si="39"/>
        <v>0</v>
      </c>
      <c r="AM12" s="2876">
        <f t="shared" si="39"/>
        <v>0</v>
      </c>
      <c r="AN12" s="4131">
        <f>SUM(AN13:AN14)</f>
        <v>0</v>
      </c>
      <c r="AO12" s="3023"/>
      <c r="AP12" s="3024"/>
      <c r="AQ12" s="3024"/>
      <c r="AR12" s="3024"/>
      <c r="AS12" s="3024"/>
      <c r="AT12" s="3025"/>
      <c r="AU12" s="4488"/>
      <c r="AV12" s="4504">
        <f t="shared" ref="AV12:AV75" si="40">IFERROR(E12/$D$1,0)</f>
        <v>0</v>
      </c>
      <c r="AW12" s="4504">
        <f t="shared" ref="AW12:AW75" si="41">IFERROR(F12/$D$1,0)</f>
        <v>0</v>
      </c>
      <c r="AX12" s="4504">
        <f t="shared" ref="AX12:AX75" si="42">IFERROR(G12/$D$1,0)</f>
        <v>0</v>
      </c>
      <c r="AY12" s="4504">
        <f t="shared" ref="AY12:AY75" si="43">IFERROR(H12/$D$1,0)</f>
        <v>0</v>
      </c>
      <c r="AZ12" s="4504">
        <f t="shared" ref="AZ12:AZ75" si="44">IFERROR(I12/$D$1,0)</f>
        <v>0</v>
      </c>
      <c r="BA12" s="4504">
        <f t="shared" ref="BA12:BA75" si="45">IFERROR(J12/$D$1,0)</f>
        <v>0</v>
      </c>
      <c r="BB12" s="4504">
        <f t="shared" ref="BB12:BB75" si="46">IFERROR(K12/$D$1,0)</f>
        <v>0</v>
      </c>
      <c r="BC12" s="4504">
        <f t="shared" ref="BC12:BC75" si="47">IFERROR(L12/$D$1,0)</f>
        <v>0</v>
      </c>
      <c r="BD12" s="4504">
        <f t="shared" ref="BD12:BD75" si="48">IFERROR(M12/$D$1,0)</f>
        <v>0</v>
      </c>
      <c r="BE12" s="4504">
        <f t="shared" ref="BE12:BE75" si="49">IFERROR(N12/$D$1,0)</f>
        <v>0</v>
      </c>
      <c r="BF12" s="4504">
        <f t="shared" ref="BF12:BF75" si="50">IFERROR(O12/$D$1,0)</f>
        <v>0</v>
      </c>
      <c r="BG12" s="4504">
        <f t="shared" ref="BG12:BG75" si="51">IFERROR(P12/$D$1,0)</f>
        <v>0</v>
      </c>
      <c r="BH12" s="4504">
        <f t="shared" ref="BH12:BH75" si="52">IFERROR(Q12/$D$1,0)</f>
        <v>0</v>
      </c>
      <c r="BI12" s="4504">
        <f t="shared" ref="BI12:BI75" si="53">IFERROR(R12/$D$1,0)</f>
        <v>0</v>
      </c>
      <c r="BJ12" s="4504">
        <f t="shared" ref="BJ12:BJ75" si="54">IFERROR(S12/$D$1,0)</f>
        <v>0</v>
      </c>
      <c r="BK12" s="4504">
        <f t="shared" ref="BK12:BK75" si="55">IFERROR(T12/$D$1,0)</f>
        <v>0</v>
      </c>
      <c r="BL12" s="4504">
        <f t="shared" ref="BL12:BL75" si="56">IFERROR(U12/$D$1,0)</f>
        <v>0</v>
      </c>
      <c r="BM12" s="4504">
        <f t="shared" ref="BM12:BM75" si="57">IFERROR(V12/$D$1,0)</f>
        <v>0</v>
      </c>
      <c r="BN12" s="4504">
        <f t="shared" ref="BN12:BN75" si="58">IFERROR(W12/$D$1,0)</f>
        <v>0</v>
      </c>
      <c r="BO12" s="4504">
        <f t="shared" ref="BO12:BO75" si="59">IFERROR(X12/$D$1,0)</f>
        <v>0</v>
      </c>
      <c r="BP12" s="4504">
        <f t="shared" ref="BP12:BP75" si="60">IFERROR(Y12/$D$1,0)</f>
        <v>0</v>
      </c>
      <c r="BQ12" s="4504">
        <f t="shared" ref="BQ12:BQ75" si="61">IFERROR(Z12/$D$1,0)</f>
        <v>0</v>
      </c>
      <c r="BR12" s="4504">
        <f t="shared" ref="BR12:BR75" si="62">IFERROR(AA12/$D$1,0)</f>
        <v>0</v>
      </c>
      <c r="BS12" s="4504">
        <f t="shared" ref="BS12:BS75" si="63">IFERROR(AB12/$D$1,0)</f>
        <v>0</v>
      </c>
      <c r="BT12" s="4504">
        <f t="shared" ref="BT12:BT75" si="64">IFERROR(AC12/$D$1,0)</f>
        <v>0</v>
      </c>
      <c r="BU12" s="4504">
        <f t="shared" ref="BU12:BU75" si="65">IFERROR(AD12/$D$1,0)</f>
        <v>0</v>
      </c>
      <c r="BV12" s="4504">
        <f t="shared" ref="BV12:BV75" si="66">IFERROR(AE12/$D$1,0)</f>
        <v>0</v>
      </c>
      <c r="BW12" s="4504">
        <f t="shared" ref="BW12:BW75" si="67">IFERROR(AF12/$D$1,0)</f>
        <v>0</v>
      </c>
      <c r="BX12" s="4504">
        <f t="shared" ref="BX12:BX75" si="68">IFERROR(AG12/$D$1,0)</f>
        <v>0</v>
      </c>
      <c r="BY12" s="4504">
        <f t="shared" ref="BY12:BY75" si="69">IFERROR(AH12/$D$1,0)</f>
        <v>0</v>
      </c>
      <c r="BZ12" s="4504">
        <f t="shared" ref="BZ12:BZ75" si="70">IFERROR(AI12/$D$1,0)</f>
        <v>0</v>
      </c>
      <c r="CA12" s="4504">
        <f t="shared" ref="CA12:CA75" si="71">IFERROR(AJ12/$D$1,0)</f>
        <v>0</v>
      </c>
      <c r="CB12" s="4504">
        <f t="shared" ref="CB12:CB75" si="72">IFERROR(AK12/$D$1,0)</f>
        <v>0</v>
      </c>
      <c r="CC12" s="4504">
        <f t="shared" ref="CC12:CC75" si="73">IFERROR(AL12/$D$1,0)</f>
        <v>0</v>
      </c>
      <c r="CD12" s="4504">
        <f t="shared" ref="CD12:CD75" si="74">IFERROR(AM12/$D$1,0)</f>
        <v>0</v>
      </c>
    </row>
    <row r="13" spans="1:94" s="684" customFormat="1">
      <c r="A13" s="2878"/>
      <c r="B13" s="2879">
        <v>20101</v>
      </c>
      <c r="C13" s="2880">
        <v>0</v>
      </c>
      <c r="D13" s="2881" t="s">
        <v>556</v>
      </c>
      <c r="E13" s="4453">
        <f>SUMIF('11.3. ДА Базова година'!$B$12:$B$39,$B13,'11.3. ДА Базова година'!F$12:F$39)+SUMIF('11.3. ДА Базова година'!$B$92:$B$110,$B13,'11.3. ДА Базова година'!F$92:F$110)</f>
        <v>0</v>
      </c>
      <c r="F13" s="415"/>
      <c r="G13" s="413"/>
      <c r="H13" s="413"/>
      <c r="I13" s="413"/>
      <c r="J13" s="413"/>
      <c r="K13" s="271"/>
      <c r="L13" s="4453">
        <f>SUMIF('11.3. ДА Базова година'!$B$12:$B$39,$B13,'11.3. ДА Базова година'!J$12:J$39)+SUMIF('11.3. ДА Базова година'!$B$92:$B$110,$B13,'11.3. ДА Базова година'!J$92:J$110)</f>
        <v>0</v>
      </c>
      <c r="M13" s="415"/>
      <c r="N13" s="413"/>
      <c r="O13" s="413"/>
      <c r="P13" s="413"/>
      <c r="Q13" s="413"/>
      <c r="R13" s="271"/>
      <c r="S13" s="4453">
        <f>SUMIF('11.3. ДА Базова година'!$B$12:$B$39,$B13,'11.3. ДА Базова година'!N$12:N$39)+SUMIF('11.3. ДА Базова година'!$B$92:$B$110,$B13,'11.3. ДА Базова година'!N$92:N$110)</f>
        <v>0</v>
      </c>
      <c r="T13" s="415"/>
      <c r="U13" s="413"/>
      <c r="V13" s="413"/>
      <c r="W13" s="413"/>
      <c r="X13" s="413"/>
      <c r="Y13" s="414"/>
      <c r="Z13" s="4453">
        <f>SUMIF('11.3. ДА Базова година'!$B$12:$B$39,$B13,'11.3. ДА Базова година'!R$12:R$39)+SUMIF('11.3. ДА Базова година'!$B$92:$B$110,$B13,'11.3. ДА Базова година'!R$92:R$110)</f>
        <v>0</v>
      </c>
      <c r="AA13" s="415"/>
      <c r="AB13" s="413"/>
      <c r="AC13" s="413"/>
      <c r="AD13" s="413"/>
      <c r="AE13" s="413"/>
      <c r="AF13" s="414"/>
      <c r="AG13" s="4453">
        <f>SUMIF('11.3. ДА Базова година'!$B$12:$B$39,$B13,'11.3. ДА Базова година'!V$12:V$39)+SUMIF('11.3. ДА Базова година'!$B$92:$B$110,$B13,'11.3. ДА Базова година'!V$92:V$110)</f>
        <v>0</v>
      </c>
      <c r="AH13" s="415"/>
      <c r="AI13" s="413"/>
      <c r="AJ13" s="413"/>
      <c r="AK13" s="413"/>
      <c r="AL13" s="413"/>
      <c r="AM13" s="271"/>
      <c r="AN13" s="4132"/>
      <c r="AO13" s="3026"/>
      <c r="AP13" s="3027"/>
      <c r="AQ13" s="3027"/>
      <c r="AR13" s="3027"/>
      <c r="AS13" s="3027"/>
      <c r="AT13" s="3028"/>
      <c r="AU13" s="4488"/>
      <c r="AV13" s="4504">
        <f t="shared" si="40"/>
        <v>0</v>
      </c>
      <c r="AW13" s="4504">
        <f t="shared" si="41"/>
        <v>0</v>
      </c>
      <c r="AX13" s="4504">
        <f t="shared" si="42"/>
        <v>0</v>
      </c>
      <c r="AY13" s="4504">
        <f t="shared" si="43"/>
        <v>0</v>
      </c>
      <c r="AZ13" s="4504">
        <f t="shared" si="44"/>
        <v>0</v>
      </c>
      <c r="BA13" s="4504">
        <f t="shared" si="45"/>
        <v>0</v>
      </c>
      <c r="BB13" s="4504">
        <f t="shared" si="46"/>
        <v>0</v>
      </c>
      <c r="BC13" s="4504">
        <f t="shared" si="47"/>
        <v>0</v>
      </c>
      <c r="BD13" s="4504">
        <f t="shared" si="48"/>
        <v>0</v>
      </c>
      <c r="BE13" s="4504">
        <f t="shared" si="49"/>
        <v>0</v>
      </c>
      <c r="BF13" s="4504">
        <f t="shared" si="50"/>
        <v>0</v>
      </c>
      <c r="BG13" s="4504">
        <f t="shared" si="51"/>
        <v>0</v>
      </c>
      <c r="BH13" s="4504">
        <f t="shared" si="52"/>
        <v>0</v>
      </c>
      <c r="BI13" s="4504">
        <f t="shared" si="53"/>
        <v>0</v>
      </c>
      <c r="BJ13" s="4504">
        <f t="shared" si="54"/>
        <v>0</v>
      </c>
      <c r="BK13" s="4504">
        <f t="shared" si="55"/>
        <v>0</v>
      </c>
      <c r="BL13" s="4504">
        <f t="shared" si="56"/>
        <v>0</v>
      </c>
      <c r="BM13" s="4504">
        <f t="shared" si="57"/>
        <v>0</v>
      </c>
      <c r="BN13" s="4504">
        <f t="shared" si="58"/>
        <v>0</v>
      </c>
      <c r="BO13" s="4504">
        <f t="shared" si="59"/>
        <v>0</v>
      </c>
      <c r="BP13" s="4504">
        <f t="shared" si="60"/>
        <v>0</v>
      </c>
      <c r="BQ13" s="4504">
        <f t="shared" si="61"/>
        <v>0</v>
      </c>
      <c r="BR13" s="4504">
        <f t="shared" si="62"/>
        <v>0</v>
      </c>
      <c r="BS13" s="4504">
        <f t="shared" si="63"/>
        <v>0</v>
      </c>
      <c r="BT13" s="4504">
        <f t="shared" si="64"/>
        <v>0</v>
      </c>
      <c r="BU13" s="4504">
        <f t="shared" si="65"/>
        <v>0</v>
      </c>
      <c r="BV13" s="4504">
        <f t="shared" si="66"/>
        <v>0</v>
      </c>
      <c r="BW13" s="4504">
        <f t="shared" si="67"/>
        <v>0</v>
      </c>
      <c r="BX13" s="4504">
        <f t="shared" si="68"/>
        <v>0</v>
      </c>
      <c r="BY13" s="4504">
        <f t="shared" si="69"/>
        <v>0</v>
      </c>
      <c r="BZ13" s="4504">
        <f t="shared" si="70"/>
        <v>0</v>
      </c>
      <c r="CA13" s="4504">
        <f t="shared" si="71"/>
        <v>0</v>
      </c>
      <c r="CB13" s="4504">
        <f t="shared" si="72"/>
        <v>0</v>
      </c>
      <c r="CC13" s="4504">
        <f t="shared" si="73"/>
        <v>0</v>
      </c>
      <c r="CD13" s="4504">
        <f t="shared" si="74"/>
        <v>0</v>
      </c>
    </row>
    <row r="14" spans="1:94" s="684" customFormat="1">
      <c r="A14" s="2878"/>
      <c r="B14" s="2879">
        <v>20102</v>
      </c>
      <c r="C14" s="2880">
        <v>0</v>
      </c>
      <c r="D14" s="2882" t="s">
        <v>558</v>
      </c>
      <c r="E14" s="4453">
        <f>SUMIF('11.3. ДА Базова година'!$B$12:$B$39,$B14,'11.3. ДА Базова година'!F$12:F$39)+SUMIF('11.3. ДА Базова година'!$B$92:$B$110,$B14,'11.3. ДА Базова година'!F$92:F$110)</f>
        <v>0</v>
      </c>
      <c r="F14" s="415"/>
      <c r="G14" s="413"/>
      <c r="H14" s="413"/>
      <c r="I14" s="413"/>
      <c r="J14" s="413"/>
      <c r="K14" s="271"/>
      <c r="L14" s="4453">
        <f>SUMIF('11.3. ДА Базова година'!$B$12:$B$39,$B14,'11.3. ДА Базова година'!J$12:J$39)+SUMIF('11.3. ДА Базова година'!$B$92:$B$110,$B14,'11.3. ДА Базова година'!J$92:J$110)</f>
        <v>0</v>
      </c>
      <c r="M14" s="415"/>
      <c r="N14" s="413"/>
      <c r="O14" s="413"/>
      <c r="P14" s="413"/>
      <c r="Q14" s="413"/>
      <c r="R14" s="271"/>
      <c r="S14" s="4453">
        <f>SUMIF('11.3. ДА Базова година'!$B$12:$B$39,$B14,'11.3. ДА Базова година'!N$12:N$39)+SUMIF('11.3. ДА Базова година'!$B$92:$B$110,$B14,'11.3. ДА Базова година'!N$92:N$110)</f>
        <v>0</v>
      </c>
      <c r="T14" s="415"/>
      <c r="U14" s="413"/>
      <c r="V14" s="413"/>
      <c r="W14" s="413"/>
      <c r="X14" s="413"/>
      <c r="Y14" s="414"/>
      <c r="Z14" s="4453">
        <f>SUMIF('11.3. ДА Базова година'!$B$12:$B$39,$B14,'11.3. ДА Базова година'!R$12:R$39)+SUMIF('11.3. ДА Базова година'!$B$92:$B$110,$B14,'11.3. ДА Базова година'!R$92:R$110)</f>
        <v>0</v>
      </c>
      <c r="AA14" s="415"/>
      <c r="AB14" s="413"/>
      <c r="AC14" s="413"/>
      <c r="AD14" s="413"/>
      <c r="AE14" s="413"/>
      <c r="AF14" s="414"/>
      <c r="AG14" s="4453">
        <f>SUMIF('11.3. ДА Базова година'!$B$12:$B$39,$B14,'11.3. ДА Базова година'!V$12:V$39)+SUMIF('11.3. ДА Базова година'!$B$92:$B$110,$B14,'11.3. ДА Базова година'!V$92:V$110)</f>
        <v>0</v>
      </c>
      <c r="AH14" s="415"/>
      <c r="AI14" s="413"/>
      <c r="AJ14" s="413"/>
      <c r="AK14" s="413"/>
      <c r="AL14" s="413"/>
      <c r="AM14" s="271"/>
      <c r="AN14" s="4132"/>
      <c r="AO14" s="3026"/>
      <c r="AP14" s="3027"/>
      <c r="AQ14" s="3027"/>
      <c r="AR14" s="3027"/>
      <c r="AS14" s="3027"/>
      <c r="AT14" s="3028"/>
      <c r="AU14" s="4488"/>
      <c r="AV14" s="4504">
        <f t="shared" si="40"/>
        <v>0</v>
      </c>
      <c r="AW14" s="4504">
        <f t="shared" si="41"/>
        <v>0</v>
      </c>
      <c r="AX14" s="4504">
        <f t="shared" si="42"/>
        <v>0</v>
      </c>
      <c r="AY14" s="4504">
        <f t="shared" si="43"/>
        <v>0</v>
      </c>
      <c r="AZ14" s="4504">
        <f t="shared" si="44"/>
        <v>0</v>
      </c>
      <c r="BA14" s="4504">
        <f t="shared" si="45"/>
        <v>0</v>
      </c>
      <c r="BB14" s="4504">
        <f t="shared" si="46"/>
        <v>0</v>
      </c>
      <c r="BC14" s="4504">
        <f t="shared" si="47"/>
        <v>0</v>
      </c>
      <c r="BD14" s="4504">
        <f t="shared" si="48"/>
        <v>0</v>
      </c>
      <c r="BE14" s="4504">
        <f t="shared" si="49"/>
        <v>0</v>
      </c>
      <c r="BF14" s="4504">
        <f t="shared" si="50"/>
        <v>0</v>
      </c>
      <c r="BG14" s="4504">
        <f t="shared" si="51"/>
        <v>0</v>
      </c>
      <c r="BH14" s="4504">
        <f t="shared" si="52"/>
        <v>0</v>
      </c>
      <c r="BI14" s="4504">
        <f t="shared" si="53"/>
        <v>0</v>
      </c>
      <c r="BJ14" s="4504">
        <f t="shared" si="54"/>
        <v>0</v>
      </c>
      <c r="BK14" s="4504">
        <f t="shared" si="55"/>
        <v>0</v>
      </c>
      <c r="BL14" s="4504">
        <f t="shared" si="56"/>
        <v>0</v>
      </c>
      <c r="BM14" s="4504">
        <f t="shared" si="57"/>
        <v>0</v>
      </c>
      <c r="BN14" s="4504">
        <f t="shared" si="58"/>
        <v>0</v>
      </c>
      <c r="BO14" s="4504">
        <f t="shared" si="59"/>
        <v>0</v>
      </c>
      <c r="BP14" s="4504">
        <f t="shared" si="60"/>
        <v>0</v>
      </c>
      <c r="BQ14" s="4504">
        <f t="shared" si="61"/>
        <v>0</v>
      </c>
      <c r="BR14" s="4504">
        <f t="shared" si="62"/>
        <v>0</v>
      </c>
      <c r="BS14" s="4504">
        <f t="shared" si="63"/>
        <v>0</v>
      </c>
      <c r="BT14" s="4504">
        <f t="shared" si="64"/>
        <v>0</v>
      </c>
      <c r="BU14" s="4504">
        <f t="shared" si="65"/>
        <v>0</v>
      </c>
      <c r="BV14" s="4504">
        <f t="shared" si="66"/>
        <v>0</v>
      </c>
      <c r="BW14" s="4504">
        <f t="shared" si="67"/>
        <v>0</v>
      </c>
      <c r="BX14" s="4504">
        <f t="shared" si="68"/>
        <v>0</v>
      </c>
      <c r="BY14" s="4504">
        <f t="shared" si="69"/>
        <v>0</v>
      </c>
      <c r="BZ14" s="4504">
        <f t="shared" si="70"/>
        <v>0</v>
      </c>
      <c r="CA14" s="4504">
        <f t="shared" si="71"/>
        <v>0</v>
      </c>
      <c r="CB14" s="4504">
        <f t="shared" si="72"/>
        <v>0</v>
      </c>
      <c r="CC14" s="4504">
        <f t="shared" si="73"/>
        <v>0</v>
      </c>
      <c r="CD14" s="4504">
        <f t="shared" si="74"/>
        <v>0</v>
      </c>
    </row>
    <row r="15" spans="1:94" s="40" customFormat="1">
      <c r="A15" s="2883">
        <v>2</v>
      </c>
      <c r="B15" s="2884">
        <v>202</v>
      </c>
      <c r="C15" s="2885">
        <v>0.03</v>
      </c>
      <c r="D15" s="2886" t="s">
        <v>404</v>
      </c>
      <c r="E15" s="2887">
        <f>SUM(E16:E17)</f>
        <v>3.0158939022002076</v>
      </c>
      <c r="F15" s="2888">
        <f>SUM(F16:F17)</f>
        <v>0</v>
      </c>
      <c r="G15" s="2889">
        <f t="shared" ref="G15:AN15" si="75">SUM(G16:G17)</f>
        <v>0</v>
      </c>
      <c r="H15" s="2889">
        <f t="shared" si="75"/>
        <v>0</v>
      </c>
      <c r="I15" s="2889">
        <f t="shared" si="75"/>
        <v>0</v>
      </c>
      <c r="J15" s="2889">
        <f t="shared" si="75"/>
        <v>0</v>
      </c>
      <c r="K15" s="2890">
        <f t="shared" si="75"/>
        <v>0</v>
      </c>
      <c r="L15" s="2887">
        <f t="shared" si="75"/>
        <v>0.65949357017516086</v>
      </c>
      <c r="M15" s="2888">
        <f t="shared" si="75"/>
        <v>0</v>
      </c>
      <c r="N15" s="2889">
        <f t="shared" si="75"/>
        <v>0</v>
      </c>
      <c r="O15" s="2889">
        <f t="shared" si="75"/>
        <v>0</v>
      </c>
      <c r="P15" s="2889">
        <f t="shared" si="75"/>
        <v>0</v>
      </c>
      <c r="Q15" s="2889">
        <f t="shared" si="75"/>
        <v>0</v>
      </c>
      <c r="R15" s="2890">
        <f t="shared" si="75"/>
        <v>0</v>
      </c>
      <c r="S15" s="2887">
        <f t="shared" si="75"/>
        <v>4.1985225276246316</v>
      </c>
      <c r="T15" s="2888">
        <f t="shared" si="75"/>
        <v>0</v>
      </c>
      <c r="U15" s="2889">
        <f t="shared" si="75"/>
        <v>0</v>
      </c>
      <c r="V15" s="2889">
        <f t="shared" si="75"/>
        <v>0</v>
      </c>
      <c r="W15" s="2889">
        <f t="shared" si="75"/>
        <v>0</v>
      </c>
      <c r="X15" s="2889">
        <f t="shared" si="75"/>
        <v>0</v>
      </c>
      <c r="Y15" s="2891">
        <f t="shared" si="75"/>
        <v>0</v>
      </c>
      <c r="Z15" s="2887">
        <f t="shared" si="75"/>
        <v>0</v>
      </c>
      <c r="AA15" s="2888">
        <f t="shared" si="75"/>
        <v>0</v>
      </c>
      <c r="AB15" s="2889">
        <f t="shared" si="75"/>
        <v>0</v>
      </c>
      <c r="AC15" s="2889">
        <f t="shared" si="75"/>
        <v>0</v>
      </c>
      <c r="AD15" s="2889">
        <f t="shared" si="75"/>
        <v>0</v>
      </c>
      <c r="AE15" s="2889">
        <f t="shared" si="75"/>
        <v>0</v>
      </c>
      <c r="AF15" s="2891">
        <f t="shared" si="75"/>
        <v>0</v>
      </c>
      <c r="AG15" s="2887">
        <f>SUM(AG16:AG17)</f>
        <v>0</v>
      </c>
      <c r="AH15" s="2888">
        <f>SUM(AH16:AH17)</f>
        <v>0</v>
      </c>
      <c r="AI15" s="2889">
        <f t="shared" ref="AI15:AM15" si="76">SUM(AI16:AI17)</f>
        <v>0</v>
      </c>
      <c r="AJ15" s="2889">
        <f t="shared" si="76"/>
        <v>0</v>
      </c>
      <c r="AK15" s="2889">
        <f t="shared" si="76"/>
        <v>0</v>
      </c>
      <c r="AL15" s="2889">
        <f t="shared" si="76"/>
        <v>0</v>
      </c>
      <c r="AM15" s="2890">
        <f t="shared" si="76"/>
        <v>0</v>
      </c>
      <c r="AN15" s="4133">
        <f t="shared" si="75"/>
        <v>0</v>
      </c>
      <c r="AO15" s="3026"/>
      <c r="AP15" s="3027"/>
      <c r="AQ15" s="3027"/>
      <c r="AR15" s="3027"/>
      <c r="AS15" s="3027"/>
      <c r="AT15" s="3028"/>
      <c r="AU15" s="4488"/>
      <c r="AV15" s="4504">
        <f t="shared" si="40"/>
        <v>1.5420020667441483</v>
      </c>
      <c r="AW15" s="4504">
        <f t="shared" si="41"/>
        <v>0</v>
      </c>
      <c r="AX15" s="4504">
        <f t="shared" si="42"/>
        <v>0</v>
      </c>
      <c r="AY15" s="4504">
        <f t="shared" si="43"/>
        <v>0</v>
      </c>
      <c r="AZ15" s="4504">
        <f t="shared" si="44"/>
        <v>0</v>
      </c>
      <c r="BA15" s="4504">
        <f t="shared" si="45"/>
        <v>0</v>
      </c>
      <c r="BB15" s="4504">
        <f t="shared" si="46"/>
        <v>0</v>
      </c>
      <c r="BC15" s="4504">
        <f t="shared" si="47"/>
        <v>0.33719370813166832</v>
      </c>
      <c r="BD15" s="4504">
        <f t="shared" si="48"/>
        <v>0</v>
      </c>
      <c r="BE15" s="4504">
        <f t="shared" si="49"/>
        <v>0</v>
      </c>
      <c r="BF15" s="4504">
        <f t="shared" si="50"/>
        <v>0</v>
      </c>
      <c r="BG15" s="4504">
        <f t="shared" si="51"/>
        <v>0</v>
      </c>
      <c r="BH15" s="4504">
        <f t="shared" si="52"/>
        <v>0</v>
      </c>
      <c r="BI15" s="4504">
        <f t="shared" si="53"/>
        <v>0</v>
      </c>
      <c r="BJ15" s="4504">
        <f t="shared" si="54"/>
        <v>2.1466704813939002</v>
      </c>
      <c r="BK15" s="4504">
        <f t="shared" si="55"/>
        <v>0</v>
      </c>
      <c r="BL15" s="4504">
        <f t="shared" si="56"/>
        <v>0</v>
      </c>
      <c r="BM15" s="4504">
        <f t="shared" si="57"/>
        <v>0</v>
      </c>
      <c r="BN15" s="4504">
        <f t="shared" si="58"/>
        <v>0</v>
      </c>
      <c r="BO15" s="4504">
        <f t="shared" si="59"/>
        <v>0</v>
      </c>
      <c r="BP15" s="4504">
        <f t="shared" si="60"/>
        <v>0</v>
      </c>
      <c r="BQ15" s="4504">
        <f t="shared" si="61"/>
        <v>0</v>
      </c>
      <c r="BR15" s="4504">
        <f t="shared" si="62"/>
        <v>0</v>
      </c>
      <c r="BS15" s="4504">
        <f t="shared" si="63"/>
        <v>0</v>
      </c>
      <c r="BT15" s="4504">
        <f t="shared" si="64"/>
        <v>0</v>
      </c>
      <c r="BU15" s="4504">
        <f t="shared" si="65"/>
        <v>0</v>
      </c>
      <c r="BV15" s="4504">
        <f t="shared" si="66"/>
        <v>0</v>
      </c>
      <c r="BW15" s="4504">
        <f t="shared" si="67"/>
        <v>0</v>
      </c>
      <c r="BX15" s="4504">
        <f t="shared" si="68"/>
        <v>0</v>
      </c>
      <c r="BY15" s="4504">
        <f t="shared" si="69"/>
        <v>0</v>
      </c>
      <c r="BZ15" s="4504">
        <f t="shared" si="70"/>
        <v>0</v>
      </c>
      <c r="CA15" s="4504">
        <f t="shared" si="71"/>
        <v>0</v>
      </c>
      <c r="CB15" s="4504">
        <f t="shared" si="72"/>
        <v>0</v>
      </c>
      <c r="CC15" s="4504">
        <f t="shared" si="73"/>
        <v>0</v>
      </c>
      <c r="CD15" s="4504">
        <f t="shared" si="74"/>
        <v>0</v>
      </c>
    </row>
    <row r="16" spans="1:94" s="669" customFormat="1">
      <c r="A16" s="2892"/>
      <c r="B16" s="2612">
        <v>20201</v>
      </c>
      <c r="C16" s="2893">
        <v>0.03</v>
      </c>
      <c r="D16" s="2894" t="s">
        <v>425</v>
      </c>
      <c r="E16" s="4453">
        <f>SUMIF('11.3. ДА Базова година'!$B$12:$B$39,$B16,'11.3. ДА Базова година'!F$12:F$39)+SUMIF('11.3. ДА Базова година'!$B$92:$B$110,$B16,'11.3. ДА Базова година'!F$92:F$110)</f>
        <v>3.0158939022002076</v>
      </c>
      <c r="F16" s="415"/>
      <c r="G16" s="413"/>
      <c r="H16" s="413"/>
      <c r="I16" s="413"/>
      <c r="J16" s="413"/>
      <c r="K16" s="271"/>
      <c r="L16" s="4453">
        <f>SUMIF('11.3. ДА Базова година'!$B$12:$B$39,$B16,'11.3. ДА Базова година'!J$12:J$39)+SUMIF('11.3. ДА Базова година'!$B$92:$B$110,$B16,'11.3. ДА Базова година'!J$92:J$110)</f>
        <v>0.65949357017516086</v>
      </c>
      <c r="M16" s="415"/>
      <c r="N16" s="413"/>
      <c r="O16" s="413"/>
      <c r="P16" s="413"/>
      <c r="Q16" s="413"/>
      <c r="R16" s="271"/>
      <c r="S16" s="4453">
        <f>SUMIF('11.3. ДА Базова година'!$B$12:$B$39,$B16,'11.3. ДА Базова година'!N$12:N$39)+SUMIF('11.3. ДА Базова година'!$B$92:$B$110,$B16,'11.3. ДА Базова година'!N$92:N$110)</f>
        <v>0.80470252762463157</v>
      </c>
      <c r="T16" s="415"/>
      <c r="U16" s="413"/>
      <c r="V16" s="413"/>
      <c r="W16" s="413"/>
      <c r="X16" s="413"/>
      <c r="Y16" s="414"/>
      <c r="Z16" s="4453">
        <f>SUMIF('11.3. ДА Базова година'!$B$12:$B$39,$B16,'11.3. ДА Базова година'!R$12:R$39)+SUMIF('11.3. ДА Базова година'!$B$92:$B$110,$B16,'11.3. ДА Базова година'!R$92:R$110)</f>
        <v>0</v>
      </c>
      <c r="AA16" s="415"/>
      <c r="AB16" s="413"/>
      <c r="AC16" s="413"/>
      <c r="AD16" s="413"/>
      <c r="AE16" s="413"/>
      <c r="AF16" s="414"/>
      <c r="AG16" s="4453">
        <f>SUMIF('11.3. ДА Базова година'!$B$12:$B$39,$B16,'11.3. ДА Базова година'!V$12:V$39)+SUMIF('11.3. ДА Базова година'!$B$92:$B$110,$B16,'11.3. ДА Базова година'!V$92:V$110)</f>
        <v>0</v>
      </c>
      <c r="AH16" s="415"/>
      <c r="AI16" s="413"/>
      <c r="AJ16" s="413"/>
      <c r="AK16" s="413"/>
      <c r="AL16" s="413"/>
      <c r="AM16" s="271"/>
      <c r="AN16" s="4132"/>
      <c r="AO16" s="3026"/>
      <c r="AP16" s="3027"/>
      <c r="AQ16" s="3027"/>
      <c r="AR16" s="3027"/>
      <c r="AS16" s="3027"/>
      <c r="AT16" s="3028"/>
      <c r="AU16" s="4488"/>
      <c r="AV16" s="4504">
        <f t="shared" si="40"/>
        <v>1.5420020667441483</v>
      </c>
      <c r="AW16" s="4504">
        <f t="shared" si="41"/>
        <v>0</v>
      </c>
      <c r="AX16" s="4504">
        <f t="shared" si="42"/>
        <v>0</v>
      </c>
      <c r="AY16" s="4504">
        <f t="shared" si="43"/>
        <v>0</v>
      </c>
      <c r="AZ16" s="4504">
        <f t="shared" si="44"/>
        <v>0</v>
      </c>
      <c r="BA16" s="4504">
        <f t="shared" si="45"/>
        <v>0</v>
      </c>
      <c r="BB16" s="4504">
        <f t="shared" si="46"/>
        <v>0</v>
      </c>
      <c r="BC16" s="4504">
        <f t="shared" si="47"/>
        <v>0.33719370813166832</v>
      </c>
      <c r="BD16" s="4504">
        <f t="shared" si="48"/>
        <v>0</v>
      </c>
      <c r="BE16" s="4504">
        <f t="shared" si="49"/>
        <v>0</v>
      </c>
      <c r="BF16" s="4504">
        <f t="shared" si="50"/>
        <v>0</v>
      </c>
      <c r="BG16" s="4504">
        <f t="shared" si="51"/>
        <v>0</v>
      </c>
      <c r="BH16" s="4504">
        <f t="shared" si="52"/>
        <v>0</v>
      </c>
      <c r="BI16" s="4504">
        <f t="shared" si="53"/>
        <v>0</v>
      </c>
      <c r="BJ16" s="4504">
        <f t="shared" si="54"/>
        <v>0.41143786915254987</v>
      </c>
      <c r="BK16" s="4504">
        <f t="shared" si="55"/>
        <v>0</v>
      </c>
      <c r="BL16" s="4504">
        <f t="shared" si="56"/>
        <v>0</v>
      </c>
      <c r="BM16" s="4504">
        <f t="shared" si="57"/>
        <v>0</v>
      </c>
      <c r="BN16" s="4504">
        <f t="shared" si="58"/>
        <v>0</v>
      </c>
      <c r="BO16" s="4504">
        <f t="shared" si="59"/>
        <v>0</v>
      </c>
      <c r="BP16" s="4504">
        <f t="shared" si="60"/>
        <v>0</v>
      </c>
      <c r="BQ16" s="4504">
        <f t="shared" si="61"/>
        <v>0</v>
      </c>
      <c r="BR16" s="4504">
        <f t="shared" si="62"/>
        <v>0</v>
      </c>
      <c r="BS16" s="4504">
        <f t="shared" si="63"/>
        <v>0</v>
      </c>
      <c r="BT16" s="4504">
        <f t="shared" si="64"/>
        <v>0</v>
      </c>
      <c r="BU16" s="4504">
        <f t="shared" si="65"/>
        <v>0</v>
      </c>
      <c r="BV16" s="4504">
        <f t="shared" si="66"/>
        <v>0</v>
      </c>
      <c r="BW16" s="4504">
        <f t="shared" si="67"/>
        <v>0</v>
      </c>
      <c r="BX16" s="4504">
        <f t="shared" si="68"/>
        <v>0</v>
      </c>
      <c r="BY16" s="4504">
        <f t="shared" si="69"/>
        <v>0</v>
      </c>
      <c r="BZ16" s="4504">
        <f t="shared" si="70"/>
        <v>0</v>
      </c>
      <c r="CA16" s="4504">
        <f t="shared" si="71"/>
        <v>0</v>
      </c>
      <c r="CB16" s="4504">
        <f t="shared" si="72"/>
        <v>0</v>
      </c>
      <c r="CC16" s="4504">
        <f t="shared" si="73"/>
        <v>0</v>
      </c>
      <c r="CD16" s="4504">
        <f t="shared" si="74"/>
        <v>0</v>
      </c>
    </row>
    <row r="17" spans="1:82" s="669" customFormat="1">
      <c r="A17" s="2892"/>
      <c r="B17" s="2612">
        <v>20202</v>
      </c>
      <c r="C17" s="2893">
        <v>0.03</v>
      </c>
      <c r="D17" s="2894" t="s">
        <v>426</v>
      </c>
      <c r="E17" s="4453">
        <f>SUMIF('11.3. ДА Базова година'!$B$12:$B$39,$B17,'11.3. ДА Базова година'!F$12:F$39)+SUMIF('11.3. ДА Базова година'!$B$92:$B$110,$B17,'11.3. ДА Базова година'!F$92:F$110)</f>
        <v>0</v>
      </c>
      <c r="F17" s="415"/>
      <c r="G17" s="413"/>
      <c r="H17" s="413"/>
      <c r="I17" s="413"/>
      <c r="J17" s="413"/>
      <c r="K17" s="271"/>
      <c r="L17" s="4453">
        <f>SUMIF('11.3. ДА Базова година'!$B$12:$B$39,$B17,'11.3. ДА Базова година'!J$12:J$39)+SUMIF('11.3. ДА Базова година'!$B$92:$B$110,$B17,'11.3. ДА Базова година'!J$92:J$110)</f>
        <v>0</v>
      </c>
      <c r="M17" s="415"/>
      <c r="N17" s="413"/>
      <c r="O17" s="413"/>
      <c r="P17" s="413"/>
      <c r="Q17" s="413"/>
      <c r="R17" s="271"/>
      <c r="S17" s="4453">
        <f>SUMIF('11.3. ДА Базова година'!$B$12:$B$39,$B17,'11.3. ДА Базова година'!N$12:N$39)+SUMIF('11.3. ДА Базова година'!$B$92:$B$110,$B17,'11.3. ДА Базова година'!N$92:N$110)</f>
        <v>3.3938200000000003</v>
      </c>
      <c r="T17" s="415"/>
      <c r="U17" s="413"/>
      <c r="V17" s="413"/>
      <c r="W17" s="413"/>
      <c r="X17" s="413"/>
      <c r="Y17" s="414"/>
      <c r="Z17" s="4453">
        <f>SUMIF('11.3. ДА Базова година'!$B$12:$B$39,$B17,'11.3. ДА Базова година'!R$12:R$39)+SUMIF('11.3. ДА Базова година'!$B$92:$B$110,$B17,'11.3. ДА Базова година'!R$92:R$110)</f>
        <v>0</v>
      </c>
      <c r="AA17" s="415"/>
      <c r="AB17" s="413"/>
      <c r="AC17" s="413"/>
      <c r="AD17" s="413"/>
      <c r="AE17" s="413"/>
      <c r="AF17" s="414"/>
      <c r="AG17" s="4453">
        <f>SUMIF('11.3. ДА Базова година'!$B$12:$B$39,$B17,'11.3. ДА Базова година'!V$12:V$39)+SUMIF('11.3. ДА Базова година'!$B$92:$B$110,$B17,'11.3. ДА Базова година'!V$92:V$110)</f>
        <v>0</v>
      </c>
      <c r="AH17" s="415"/>
      <c r="AI17" s="413"/>
      <c r="AJ17" s="413"/>
      <c r="AK17" s="413"/>
      <c r="AL17" s="413"/>
      <c r="AM17" s="271"/>
      <c r="AN17" s="4132"/>
      <c r="AO17" s="3026"/>
      <c r="AP17" s="3027"/>
      <c r="AQ17" s="3027"/>
      <c r="AR17" s="3027"/>
      <c r="AS17" s="3027"/>
      <c r="AT17" s="3028"/>
      <c r="AU17" s="4488"/>
      <c r="AV17" s="4504">
        <f t="shared" si="40"/>
        <v>0</v>
      </c>
      <c r="AW17" s="4504">
        <f t="shared" si="41"/>
        <v>0</v>
      </c>
      <c r="AX17" s="4504">
        <f t="shared" si="42"/>
        <v>0</v>
      </c>
      <c r="AY17" s="4504">
        <f t="shared" si="43"/>
        <v>0</v>
      </c>
      <c r="AZ17" s="4504">
        <f t="shared" si="44"/>
        <v>0</v>
      </c>
      <c r="BA17" s="4504">
        <f t="shared" si="45"/>
        <v>0</v>
      </c>
      <c r="BB17" s="4504">
        <f t="shared" si="46"/>
        <v>0</v>
      </c>
      <c r="BC17" s="4504">
        <f t="shared" si="47"/>
        <v>0</v>
      </c>
      <c r="BD17" s="4504">
        <f t="shared" si="48"/>
        <v>0</v>
      </c>
      <c r="BE17" s="4504">
        <f t="shared" si="49"/>
        <v>0</v>
      </c>
      <c r="BF17" s="4504">
        <f t="shared" si="50"/>
        <v>0</v>
      </c>
      <c r="BG17" s="4504">
        <f t="shared" si="51"/>
        <v>0</v>
      </c>
      <c r="BH17" s="4504">
        <f t="shared" si="52"/>
        <v>0</v>
      </c>
      <c r="BI17" s="4504">
        <f t="shared" si="53"/>
        <v>0</v>
      </c>
      <c r="BJ17" s="4504">
        <f t="shared" si="54"/>
        <v>1.7352326122413504</v>
      </c>
      <c r="BK17" s="4504">
        <f t="shared" si="55"/>
        <v>0</v>
      </c>
      <c r="BL17" s="4504">
        <f t="shared" si="56"/>
        <v>0</v>
      </c>
      <c r="BM17" s="4504">
        <f t="shared" si="57"/>
        <v>0</v>
      </c>
      <c r="BN17" s="4504">
        <f t="shared" si="58"/>
        <v>0</v>
      </c>
      <c r="BO17" s="4504">
        <f t="shared" si="59"/>
        <v>0</v>
      </c>
      <c r="BP17" s="4504">
        <f t="shared" si="60"/>
        <v>0</v>
      </c>
      <c r="BQ17" s="4504">
        <f t="shared" si="61"/>
        <v>0</v>
      </c>
      <c r="BR17" s="4504">
        <f t="shared" si="62"/>
        <v>0</v>
      </c>
      <c r="BS17" s="4504">
        <f t="shared" si="63"/>
        <v>0</v>
      </c>
      <c r="BT17" s="4504">
        <f t="shared" si="64"/>
        <v>0</v>
      </c>
      <c r="BU17" s="4504">
        <f t="shared" si="65"/>
        <v>0</v>
      </c>
      <c r="BV17" s="4504">
        <f t="shared" si="66"/>
        <v>0</v>
      </c>
      <c r="BW17" s="4504">
        <f t="shared" si="67"/>
        <v>0</v>
      </c>
      <c r="BX17" s="4504">
        <f t="shared" si="68"/>
        <v>0</v>
      </c>
      <c r="BY17" s="4504">
        <f t="shared" si="69"/>
        <v>0</v>
      </c>
      <c r="BZ17" s="4504">
        <f t="shared" si="70"/>
        <v>0</v>
      </c>
      <c r="CA17" s="4504">
        <f t="shared" si="71"/>
        <v>0</v>
      </c>
      <c r="CB17" s="4504">
        <f t="shared" si="72"/>
        <v>0</v>
      </c>
      <c r="CC17" s="4504">
        <f t="shared" si="73"/>
        <v>0</v>
      </c>
      <c r="CD17" s="4504">
        <f t="shared" si="74"/>
        <v>0</v>
      </c>
    </row>
    <row r="18" spans="1:82" s="40" customFormat="1" ht="12.75" customHeight="1">
      <c r="A18" s="2883">
        <v>3</v>
      </c>
      <c r="B18" s="2884">
        <v>203</v>
      </c>
      <c r="C18" s="2885"/>
      <c r="D18" s="2895" t="s">
        <v>405</v>
      </c>
      <c r="E18" s="2887">
        <f t="shared" ref="E18:AN18" si="77">SUM(E19:E29)-E22-E25</f>
        <v>894.7028460425679</v>
      </c>
      <c r="F18" s="2888">
        <f t="shared" si="77"/>
        <v>0</v>
      </c>
      <c r="G18" s="2889">
        <f>SUM(G19:G29)-G22-G25</f>
        <v>0</v>
      </c>
      <c r="H18" s="2889">
        <f t="shared" si="77"/>
        <v>0</v>
      </c>
      <c r="I18" s="2889">
        <f t="shared" si="77"/>
        <v>0</v>
      </c>
      <c r="J18" s="2889">
        <f t="shared" si="77"/>
        <v>0</v>
      </c>
      <c r="K18" s="2890">
        <f t="shared" si="77"/>
        <v>0</v>
      </c>
      <c r="L18" s="2887">
        <f t="shared" si="77"/>
        <v>7.3475019822989811</v>
      </c>
      <c r="M18" s="2888">
        <f t="shared" si="77"/>
        <v>0</v>
      </c>
      <c r="N18" s="2889">
        <f t="shared" si="77"/>
        <v>0</v>
      </c>
      <c r="O18" s="2889">
        <f t="shared" si="77"/>
        <v>0</v>
      </c>
      <c r="P18" s="2889">
        <f t="shared" si="77"/>
        <v>0</v>
      </c>
      <c r="Q18" s="2889">
        <f t="shared" si="77"/>
        <v>0</v>
      </c>
      <c r="R18" s="2890">
        <f t="shared" si="77"/>
        <v>0</v>
      </c>
      <c r="S18" s="2887">
        <f t="shared" si="77"/>
        <v>50.289701730673571</v>
      </c>
      <c r="T18" s="2888">
        <f t="shared" si="77"/>
        <v>0</v>
      </c>
      <c r="U18" s="2889">
        <f t="shared" si="77"/>
        <v>0</v>
      </c>
      <c r="V18" s="2889">
        <f t="shared" si="77"/>
        <v>0</v>
      </c>
      <c r="W18" s="2889">
        <f t="shared" si="77"/>
        <v>0</v>
      </c>
      <c r="X18" s="2889">
        <f t="shared" si="77"/>
        <v>0</v>
      </c>
      <c r="Y18" s="2891">
        <f t="shared" si="77"/>
        <v>0</v>
      </c>
      <c r="Z18" s="2887">
        <f t="shared" ref="Z18:AM18" si="78">SUM(Z19:Z29)-Z22-Z25</f>
        <v>0</v>
      </c>
      <c r="AA18" s="2888">
        <f t="shared" si="78"/>
        <v>0</v>
      </c>
      <c r="AB18" s="2889">
        <f t="shared" si="78"/>
        <v>0</v>
      </c>
      <c r="AC18" s="2889">
        <f t="shared" si="78"/>
        <v>0</v>
      </c>
      <c r="AD18" s="2889">
        <f t="shared" si="78"/>
        <v>0</v>
      </c>
      <c r="AE18" s="2889">
        <f t="shared" si="78"/>
        <v>0</v>
      </c>
      <c r="AF18" s="2891">
        <f t="shared" si="78"/>
        <v>0</v>
      </c>
      <c r="AG18" s="2887">
        <f t="shared" si="78"/>
        <v>203.37356450117525</v>
      </c>
      <c r="AH18" s="2888">
        <f t="shared" si="78"/>
        <v>0</v>
      </c>
      <c r="AI18" s="2889">
        <f>SUM(AI19:AI29)-AI22-AI25</f>
        <v>0</v>
      </c>
      <c r="AJ18" s="2889">
        <f t="shared" si="78"/>
        <v>0</v>
      </c>
      <c r="AK18" s="2889">
        <f t="shared" si="78"/>
        <v>0</v>
      </c>
      <c r="AL18" s="2889">
        <f t="shared" si="78"/>
        <v>0</v>
      </c>
      <c r="AM18" s="2890">
        <f t="shared" si="78"/>
        <v>0</v>
      </c>
      <c r="AN18" s="4133">
        <f t="shared" si="77"/>
        <v>0</v>
      </c>
      <c r="AO18" s="3026"/>
      <c r="AP18" s="3027"/>
      <c r="AQ18" s="3027"/>
      <c r="AR18" s="3027"/>
      <c r="AS18" s="3027"/>
      <c r="AT18" s="3028"/>
      <c r="AU18" s="4488"/>
      <c r="AV18" s="4504">
        <f t="shared" si="40"/>
        <v>457.45430126471518</v>
      </c>
      <c r="AW18" s="4504">
        <f t="shared" si="41"/>
        <v>0</v>
      </c>
      <c r="AX18" s="4504">
        <f t="shared" si="42"/>
        <v>0</v>
      </c>
      <c r="AY18" s="4504">
        <f t="shared" si="43"/>
        <v>0</v>
      </c>
      <c r="AZ18" s="4504">
        <f t="shared" si="44"/>
        <v>0</v>
      </c>
      <c r="BA18" s="4504">
        <f t="shared" si="45"/>
        <v>0</v>
      </c>
      <c r="BB18" s="4504">
        <f t="shared" si="46"/>
        <v>0</v>
      </c>
      <c r="BC18" s="4504">
        <f t="shared" si="47"/>
        <v>3.7567181106225904</v>
      </c>
      <c r="BD18" s="4504">
        <f t="shared" si="48"/>
        <v>0</v>
      </c>
      <c r="BE18" s="4504">
        <f t="shared" si="49"/>
        <v>0</v>
      </c>
      <c r="BF18" s="4504">
        <f t="shared" si="50"/>
        <v>0</v>
      </c>
      <c r="BG18" s="4504">
        <f t="shared" si="51"/>
        <v>0</v>
      </c>
      <c r="BH18" s="4504">
        <f t="shared" si="52"/>
        <v>0</v>
      </c>
      <c r="BI18" s="4504">
        <f t="shared" si="53"/>
        <v>0</v>
      </c>
      <c r="BJ18" s="4504">
        <f t="shared" si="54"/>
        <v>25.712716202672816</v>
      </c>
      <c r="BK18" s="4504">
        <f t="shared" si="55"/>
        <v>0</v>
      </c>
      <c r="BL18" s="4504">
        <f t="shared" si="56"/>
        <v>0</v>
      </c>
      <c r="BM18" s="4504">
        <f t="shared" si="57"/>
        <v>0</v>
      </c>
      <c r="BN18" s="4504">
        <f t="shared" si="58"/>
        <v>0</v>
      </c>
      <c r="BO18" s="4504">
        <f t="shared" si="59"/>
        <v>0</v>
      </c>
      <c r="BP18" s="4504">
        <f t="shared" si="60"/>
        <v>0</v>
      </c>
      <c r="BQ18" s="4504">
        <f t="shared" si="61"/>
        <v>0</v>
      </c>
      <c r="BR18" s="4504">
        <f t="shared" si="62"/>
        <v>0</v>
      </c>
      <c r="BS18" s="4504">
        <f t="shared" si="63"/>
        <v>0</v>
      </c>
      <c r="BT18" s="4504">
        <f t="shared" si="64"/>
        <v>0</v>
      </c>
      <c r="BU18" s="4504">
        <f t="shared" si="65"/>
        <v>0</v>
      </c>
      <c r="BV18" s="4504">
        <f t="shared" si="66"/>
        <v>0</v>
      </c>
      <c r="BW18" s="4504">
        <f t="shared" si="67"/>
        <v>0</v>
      </c>
      <c r="BX18" s="4504">
        <f t="shared" si="68"/>
        <v>103.98325237938637</v>
      </c>
      <c r="BY18" s="4504">
        <f t="shared" si="69"/>
        <v>0</v>
      </c>
      <c r="BZ18" s="4504">
        <f t="shared" si="70"/>
        <v>0</v>
      </c>
      <c r="CA18" s="4504">
        <f t="shared" si="71"/>
        <v>0</v>
      </c>
      <c r="CB18" s="4504">
        <f t="shared" si="72"/>
        <v>0</v>
      </c>
      <c r="CC18" s="4504">
        <f t="shared" si="73"/>
        <v>0</v>
      </c>
      <c r="CD18" s="4504">
        <f t="shared" si="74"/>
        <v>0</v>
      </c>
    </row>
    <row r="19" spans="1:82" s="669" customFormat="1">
      <c r="A19" s="2892"/>
      <c r="B19" s="2612">
        <v>20301</v>
      </c>
      <c r="C19" s="2893">
        <v>0.1</v>
      </c>
      <c r="D19" s="2896" t="s">
        <v>427</v>
      </c>
      <c r="E19" s="4453">
        <f>SUMIF('11.3. ДА Базова година'!$B$12:$B$39,$B19,'11.3. ДА Базова година'!F$12:F$39)+SUMIF('11.3. ДА Базова година'!$B$92:$B$110,$B19,'11.3. ДА Базова година'!F$92:F$110)</f>
        <v>26.809830000000002</v>
      </c>
      <c r="F19" s="415"/>
      <c r="G19" s="413"/>
      <c r="H19" s="413"/>
      <c r="I19" s="413"/>
      <c r="J19" s="413"/>
      <c r="K19" s="271"/>
      <c r="L19" s="4453">
        <f>SUMIF('11.3. ДА Базова година'!$B$12:$B$39,$B19,'11.3. ДА Базова година'!J$12:J$39)+SUMIF('11.3. ДА Базова година'!$B$92:$B$110,$B19,'11.3. ДА Базова година'!J$92:J$110)</f>
        <v>0</v>
      </c>
      <c r="M19" s="415"/>
      <c r="N19" s="413"/>
      <c r="O19" s="413"/>
      <c r="P19" s="413"/>
      <c r="Q19" s="413"/>
      <c r="R19" s="271"/>
      <c r="S19" s="4453">
        <f>SUMIF('11.3. ДА Базова година'!$B$12:$B$39,$B19,'11.3. ДА Базова година'!N$12:N$39)+SUMIF('11.3. ДА Базова година'!$B$92:$B$110,$B19,'11.3. ДА Базова година'!N$92:N$110)</f>
        <v>0</v>
      </c>
      <c r="T19" s="415"/>
      <c r="U19" s="413"/>
      <c r="V19" s="413"/>
      <c r="W19" s="413"/>
      <c r="X19" s="413"/>
      <c r="Y19" s="414"/>
      <c r="Z19" s="4453">
        <f>SUMIF('11.3. ДА Базова година'!$B$12:$B$39,$B19,'11.3. ДА Базова година'!R$12:R$39)+SUMIF('11.3. ДА Базова година'!$B$92:$B$110,$B19,'11.3. ДА Базова година'!R$92:R$110)</f>
        <v>0</v>
      </c>
      <c r="AA19" s="415"/>
      <c r="AB19" s="413"/>
      <c r="AC19" s="413"/>
      <c r="AD19" s="413"/>
      <c r="AE19" s="413"/>
      <c r="AF19" s="414"/>
      <c r="AG19" s="4453">
        <f>SUMIF('11.3. ДА Базова година'!$B$12:$B$39,$B19,'11.3. ДА Базова година'!V$12:V$39)+SUMIF('11.3. ДА Базова година'!$B$92:$B$110,$B19,'11.3. ДА Базова година'!V$92:V$110)</f>
        <v>0</v>
      </c>
      <c r="AH19" s="415"/>
      <c r="AI19" s="413"/>
      <c r="AJ19" s="413"/>
      <c r="AK19" s="413"/>
      <c r="AL19" s="413"/>
      <c r="AM19" s="271"/>
      <c r="AN19" s="4132"/>
      <c r="AO19" s="3026"/>
      <c r="AP19" s="3027"/>
      <c r="AQ19" s="3027"/>
      <c r="AR19" s="3027"/>
      <c r="AS19" s="3027"/>
      <c r="AT19" s="3028"/>
      <c r="AU19" s="4488"/>
      <c r="AV19" s="4504">
        <f t="shared" si="40"/>
        <v>13.707648415250816</v>
      </c>
      <c r="AW19" s="4504">
        <f t="shared" si="41"/>
        <v>0</v>
      </c>
      <c r="AX19" s="4504">
        <f t="shared" si="42"/>
        <v>0</v>
      </c>
      <c r="AY19" s="4504">
        <f t="shared" si="43"/>
        <v>0</v>
      </c>
      <c r="AZ19" s="4504">
        <f t="shared" si="44"/>
        <v>0</v>
      </c>
      <c r="BA19" s="4504">
        <f t="shared" si="45"/>
        <v>0</v>
      </c>
      <c r="BB19" s="4504">
        <f t="shared" si="46"/>
        <v>0</v>
      </c>
      <c r="BC19" s="4504">
        <f t="shared" si="47"/>
        <v>0</v>
      </c>
      <c r="BD19" s="4504">
        <f t="shared" si="48"/>
        <v>0</v>
      </c>
      <c r="BE19" s="4504">
        <f t="shared" si="49"/>
        <v>0</v>
      </c>
      <c r="BF19" s="4504">
        <f t="shared" si="50"/>
        <v>0</v>
      </c>
      <c r="BG19" s="4504">
        <f t="shared" si="51"/>
        <v>0</v>
      </c>
      <c r="BH19" s="4504">
        <f t="shared" si="52"/>
        <v>0</v>
      </c>
      <c r="BI19" s="4504">
        <f t="shared" si="53"/>
        <v>0</v>
      </c>
      <c r="BJ19" s="4504">
        <f t="shared" si="54"/>
        <v>0</v>
      </c>
      <c r="BK19" s="4504">
        <f t="shared" si="55"/>
        <v>0</v>
      </c>
      <c r="BL19" s="4504">
        <f t="shared" si="56"/>
        <v>0</v>
      </c>
      <c r="BM19" s="4504">
        <f t="shared" si="57"/>
        <v>0</v>
      </c>
      <c r="BN19" s="4504">
        <f t="shared" si="58"/>
        <v>0</v>
      </c>
      <c r="BO19" s="4504">
        <f t="shared" si="59"/>
        <v>0</v>
      </c>
      <c r="BP19" s="4504">
        <f t="shared" si="60"/>
        <v>0</v>
      </c>
      <c r="BQ19" s="4504">
        <f t="shared" si="61"/>
        <v>0</v>
      </c>
      <c r="BR19" s="4504">
        <f t="shared" si="62"/>
        <v>0</v>
      </c>
      <c r="BS19" s="4504">
        <f t="shared" si="63"/>
        <v>0</v>
      </c>
      <c r="BT19" s="4504">
        <f t="shared" si="64"/>
        <v>0</v>
      </c>
      <c r="BU19" s="4504">
        <f t="shared" si="65"/>
        <v>0</v>
      </c>
      <c r="BV19" s="4504">
        <f t="shared" si="66"/>
        <v>0</v>
      </c>
      <c r="BW19" s="4504">
        <f t="shared" si="67"/>
        <v>0</v>
      </c>
      <c r="BX19" s="4504">
        <f t="shared" si="68"/>
        <v>0</v>
      </c>
      <c r="BY19" s="4504">
        <f t="shared" si="69"/>
        <v>0</v>
      </c>
      <c r="BZ19" s="4504">
        <f t="shared" si="70"/>
        <v>0</v>
      </c>
      <c r="CA19" s="4504">
        <f t="shared" si="71"/>
        <v>0</v>
      </c>
      <c r="CB19" s="4504">
        <f t="shared" si="72"/>
        <v>0</v>
      </c>
      <c r="CC19" s="4504">
        <f t="shared" si="73"/>
        <v>0</v>
      </c>
      <c r="CD19" s="4504">
        <f t="shared" si="74"/>
        <v>0</v>
      </c>
    </row>
    <row r="20" spans="1:82" s="669" customFormat="1">
      <c r="A20" s="2892"/>
      <c r="B20" s="2612">
        <v>20302</v>
      </c>
      <c r="C20" s="2893">
        <v>0.1</v>
      </c>
      <c r="D20" s="2896" t="s">
        <v>428</v>
      </c>
      <c r="E20" s="4453">
        <f>SUMIF('11.3. ДА Базова година'!$B$12:$B$39,$B20,'11.3. ДА Базова година'!F$12:F$39)+SUMIF('11.3. ДА Базова година'!$B$92:$B$110,$B20,'11.3. ДА Базова година'!F$92:F$110)</f>
        <v>6.439461680620246</v>
      </c>
      <c r="F20" s="415"/>
      <c r="G20" s="413"/>
      <c r="H20" s="413"/>
      <c r="I20" s="413"/>
      <c r="J20" s="413"/>
      <c r="K20" s="271"/>
      <c r="L20" s="4453">
        <f>SUMIF('11.3. ДА Базова година'!$B$12:$B$39,$B20,'11.3. ДА Базова година'!J$12:J$39)+SUMIF('11.3. ДА Базова година'!$B$92:$B$110,$B20,'11.3. ДА Базова година'!J$92:J$110)</f>
        <v>1.1268001060749886</v>
      </c>
      <c r="M20" s="415"/>
      <c r="N20" s="413"/>
      <c r="O20" s="413"/>
      <c r="P20" s="413"/>
      <c r="Q20" s="413"/>
      <c r="R20" s="271"/>
      <c r="S20" s="4453">
        <f>SUMIF('11.3. ДА Базова година'!$B$12:$B$39,$B20,'11.3. ДА Базова година'!N$12:N$39)+SUMIF('11.3. ДА Базова година'!$B$92:$B$110,$B20,'11.3. ДА Базова година'!N$92:N$110)</f>
        <v>1.3749017950931914</v>
      </c>
      <c r="T20" s="415"/>
      <c r="U20" s="413"/>
      <c r="V20" s="413"/>
      <c r="W20" s="413"/>
      <c r="X20" s="413"/>
      <c r="Y20" s="414"/>
      <c r="Z20" s="4453">
        <f>SUMIF('11.3. ДА Базова година'!$B$12:$B$39,$B20,'11.3. ДА Базова година'!R$12:R$39)+SUMIF('11.3. ДА Базова година'!$B$92:$B$110,$B20,'11.3. ДА Базова година'!R$92:R$110)</f>
        <v>0</v>
      </c>
      <c r="AA20" s="415"/>
      <c r="AB20" s="413"/>
      <c r="AC20" s="413"/>
      <c r="AD20" s="413"/>
      <c r="AE20" s="413"/>
      <c r="AF20" s="414"/>
      <c r="AG20" s="4453">
        <f>SUMIF('11.3. ДА Базова година'!$B$12:$B$39,$B20,'11.3. ДА Базова година'!V$12:V$39)+SUMIF('11.3. ДА Базова година'!$B$92:$B$110,$B20,'11.3. ДА Базова година'!V$92:V$110)</f>
        <v>3.4257364182115744</v>
      </c>
      <c r="AH20" s="415"/>
      <c r="AI20" s="413"/>
      <c r="AJ20" s="413"/>
      <c r="AK20" s="413"/>
      <c r="AL20" s="413"/>
      <c r="AM20" s="271"/>
      <c r="AN20" s="4132"/>
      <c r="AO20" s="3026"/>
      <c r="AP20" s="3027"/>
      <c r="AQ20" s="3027"/>
      <c r="AR20" s="3027"/>
      <c r="AS20" s="3027"/>
      <c r="AT20" s="3028"/>
      <c r="AU20" s="4488"/>
      <c r="AV20" s="4504">
        <f t="shared" si="40"/>
        <v>3.2924444765752883</v>
      </c>
      <c r="AW20" s="4504">
        <f t="shared" si="41"/>
        <v>0</v>
      </c>
      <c r="AX20" s="4504">
        <f t="shared" si="42"/>
        <v>0</v>
      </c>
      <c r="AY20" s="4504">
        <f t="shared" si="43"/>
        <v>0</v>
      </c>
      <c r="AZ20" s="4504">
        <f t="shared" si="44"/>
        <v>0</v>
      </c>
      <c r="BA20" s="4504">
        <f t="shared" si="45"/>
        <v>0</v>
      </c>
      <c r="BB20" s="4504">
        <f t="shared" si="46"/>
        <v>0</v>
      </c>
      <c r="BC20" s="4504">
        <f t="shared" si="47"/>
        <v>0.57612374596717941</v>
      </c>
      <c r="BD20" s="4504">
        <f t="shared" si="48"/>
        <v>0</v>
      </c>
      <c r="BE20" s="4504">
        <f t="shared" si="49"/>
        <v>0</v>
      </c>
      <c r="BF20" s="4504">
        <f t="shared" si="50"/>
        <v>0</v>
      </c>
      <c r="BG20" s="4504">
        <f t="shared" si="51"/>
        <v>0</v>
      </c>
      <c r="BH20" s="4504">
        <f t="shared" si="52"/>
        <v>0</v>
      </c>
      <c r="BI20" s="4504">
        <f t="shared" si="53"/>
        <v>0</v>
      </c>
      <c r="BJ20" s="4504">
        <f t="shared" si="54"/>
        <v>0.70297612527325559</v>
      </c>
      <c r="BK20" s="4504">
        <f t="shared" si="55"/>
        <v>0</v>
      </c>
      <c r="BL20" s="4504">
        <f t="shared" si="56"/>
        <v>0</v>
      </c>
      <c r="BM20" s="4504">
        <f t="shared" si="57"/>
        <v>0</v>
      </c>
      <c r="BN20" s="4504">
        <f t="shared" si="58"/>
        <v>0</v>
      </c>
      <c r="BO20" s="4504">
        <f t="shared" si="59"/>
        <v>0</v>
      </c>
      <c r="BP20" s="4504">
        <f t="shared" si="60"/>
        <v>0</v>
      </c>
      <c r="BQ20" s="4504">
        <f t="shared" si="61"/>
        <v>0</v>
      </c>
      <c r="BR20" s="4504">
        <f t="shared" si="62"/>
        <v>0</v>
      </c>
      <c r="BS20" s="4504">
        <f t="shared" si="63"/>
        <v>0</v>
      </c>
      <c r="BT20" s="4504">
        <f t="shared" si="64"/>
        <v>0</v>
      </c>
      <c r="BU20" s="4504">
        <f t="shared" si="65"/>
        <v>0</v>
      </c>
      <c r="BV20" s="4504">
        <f t="shared" si="66"/>
        <v>0</v>
      </c>
      <c r="BW20" s="4504">
        <f t="shared" si="67"/>
        <v>0</v>
      </c>
      <c r="BX20" s="4504">
        <f t="shared" si="68"/>
        <v>1.7515512177497914</v>
      </c>
      <c r="BY20" s="4504">
        <f t="shared" si="69"/>
        <v>0</v>
      </c>
      <c r="BZ20" s="4504">
        <f t="shared" si="70"/>
        <v>0</v>
      </c>
      <c r="CA20" s="4504">
        <f t="shared" si="71"/>
        <v>0</v>
      </c>
      <c r="CB20" s="4504">
        <f t="shared" si="72"/>
        <v>0</v>
      </c>
      <c r="CC20" s="4504">
        <f t="shared" si="73"/>
        <v>0</v>
      </c>
      <c r="CD20" s="4504">
        <f t="shared" si="74"/>
        <v>0</v>
      </c>
    </row>
    <row r="21" spans="1:82" s="669" customFormat="1">
      <c r="A21" s="2892"/>
      <c r="B21" s="2612">
        <v>20303</v>
      </c>
      <c r="C21" s="2893">
        <v>0.1</v>
      </c>
      <c r="D21" s="2896" t="s">
        <v>406</v>
      </c>
      <c r="E21" s="4453">
        <f>SUMIF('11.3. ДА Базова година'!$B$12:$B$39,$B21,'11.3. ДА Базова година'!F$12:F$39)+SUMIF('11.3. ДА Базова година'!$B$92:$B$110,$B21,'11.3. ДА Базова година'!F$92:F$110)</f>
        <v>654.48662344989896</v>
      </c>
      <c r="F21" s="415"/>
      <c r="G21" s="413"/>
      <c r="H21" s="413"/>
      <c r="I21" s="413"/>
      <c r="J21" s="413"/>
      <c r="K21" s="271"/>
      <c r="L21" s="4453">
        <f>SUMIF('11.3. ДА Базова година'!$B$12:$B$39,$B21,'11.3. ДА Базова година'!J$12:J$39)+SUMIF('11.3. ДА Базова година'!$B$92:$B$110,$B21,'11.3. ДА Базова година'!J$92:J$110)</f>
        <v>5.7777599999999998</v>
      </c>
      <c r="M21" s="415"/>
      <c r="N21" s="413"/>
      <c r="O21" s="413"/>
      <c r="P21" s="413"/>
      <c r="Q21" s="413"/>
      <c r="R21" s="271"/>
      <c r="S21" s="4453">
        <f>SUMIF('11.3. ДА Базова година'!$B$12:$B$39,$B21,'11.3. ДА Базова година'!N$12:N$39)+SUMIF('11.3. ДА Базова година'!$B$92:$B$110,$B21,'11.3. ДА Базова година'!N$92:N$110)</f>
        <v>4.4299499999999998</v>
      </c>
      <c r="T21" s="415"/>
      <c r="U21" s="413"/>
      <c r="V21" s="413"/>
      <c r="W21" s="413"/>
      <c r="X21" s="413"/>
      <c r="Y21" s="414"/>
      <c r="Z21" s="4453">
        <f>SUMIF('11.3. ДА Базова година'!$B$12:$B$39,$B21,'11.3. ДА Базова година'!R$12:R$39)+SUMIF('11.3. ДА Базова година'!$B$92:$B$110,$B21,'11.3. ДА Базова година'!R$92:R$110)</f>
        <v>0</v>
      </c>
      <c r="AA21" s="415"/>
      <c r="AB21" s="413"/>
      <c r="AC21" s="413"/>
      <c r="AD21" s="413"/>
      <c r="AE21" s="413"/>
      <c r="AF21" s="414"/>
      <c r="AG21" s="4453">
        <f>SUMIF('11.3. ДА Базова година'!$B$12:$B$39,$B21,'11.3. ДА Базова година'!V$12:V$39)+SUMIF('11.3. ДА Базова година'!$B$92:$B$110,$B21,'11.3. ДА Базова година'!V$92:V$110)</f>
        <v>179.59037655010107</v>
      </c>
      <c r="AH21" s="415"/>
      <c r="AI21" s="413"/>
      <c r="AJ21" s="413"/>
      <c r="AK21" s="413"/>
      <c r="AL21" s="413"/>
      <c r="AM21" s="271"/>
      <c r="AN21" s="4132"/>
      <c r="AO21" s="3026"/>
      <c r="AP21" s="3027"/>
      <c r="AQ21" s="3027"/>
      <c r="AR21" s="3027"/>
      <c r="AS21" s="3027"/>
      <c r="AT21" s="3028"/>
      <c r="AU21" s="4488"/>
      <c r="AV21" s="4504">
        <f t="shared" si="40"/>
        <v>334.63369692145994</v>
      </c>
      <c r="AW21" s="4504">
        <f t="shared" si="41"/>
        <v>0</v>
      </c>
      <c r="AX21" s="4504">
        <f t="shared" si="42"/>
        <v>0</v>
      </c>
      <c r="AY21" s="4504">
        <f t="shared" si="43"/>
        <v>0</v>
      </c>
      <c r="AZ21" s="4504">
        <f t="shared" si="44"/>
        <v>0</v>
      </c>
      <c r="BA21" s="4504">
        <f t="shared" si="45"/>
        <v>0</v>
      </c>
      <c r="BB21" s="4504">
        <f t="shared" si="46"/>
        <v>0</v>
      </c>
      <c r="BC21" s="4504">
        <f t="shared" si="47"/>
        <v>2.9541217795002632</v>
      </c>
      <c r="BD21" s="4504">
        <f t="shared" si="48"/>
        <v>0</v>
      </c>
      <c r="BE21" s="4504">
        <f t="shared" si="49"/>
        <v>0</v>
      </c>
      <c r="BF21" s="4504">
        <f t="shared" si="50"/>
        <v>0</v>
      </c>
      <c r="BG21" s="4504">
        <f t="shared" si="51"/>
        <v>0</v>
      </c>
      <c r="BH21" s="4504">
        <f t="shared" si="52"/>
        <v>0</v>
      </c>
      <c r="BI21" s="4504">
        <f t="shared" si="53"/>
        <v>0</v>
      </c>
      <c r="BJ21" s="4504">
        <f t="shared" si="54"/>
        <v>2.2649974691051882</v>
      </c>
      <c r="BK21" s="4504">
        <f t="shared" si="55"/>
        <v>0</v>
      </c>
      <c r="BL21" s="4504">
        <f t="shared" si="56"/>
        <v>0</v>
      </c>
      <c r="BM21" s="4504">
        <f t="shared" si="57"/>
        <v>0</v>
      </c>
      <c r="BN21" s="4504">
        <f t="shared" si="58"/>
        <v>0</v>
      </c>
      <c r="BO21" s="4504">
        <f t="shared" si="59"/>
        <v>0</v>
      </c>
      <c r="BP21" s="4504">
        <f t="shared" si="60"/>
        <v>0</v>
      </c>
      <c r="BQ21" s="4504">
        <f t="shared" si="61"/>
        <v>0</v>
      </c>
      <c r="BR21" s="4504">
        <f t="shared" si="62"/>
        <v>0</v>
      </c>
      <c r="BS21" s="4504">
        <f t="shared" si="63"/>
        <v>0</v>
      </c>
      <c r="BT21" s="4504">
        <f t="shared" si="64"/>
        <v>0</v>
      </c>
      <c r="BU21" s="4504">
        <f t="shared" si="65"/>
        <v>0</v>
      </c>
      <c r="BV21" s="4504">
        <f t="shared" si="66"/>
        <v>0</v>
      </c>
      <c r="BW21" s="4504">
        <f t="shared" si="67"/>
        <v>0</v>
      </c>
      <c r="BX21" s="4504">
        <f t="shared" si="68"/>
        <v>91.823101471038427</v>
      </c>
      <c r="BY21" s="4504">
        <f t="shared" si="69"/>
        <v>0</v>
      </c>
      <c r="BZ21" s="4504">
        <f t="shared" si="70"/>
        <v>0</v>
      </c>
      <c r="CA21" s="4504">
        <f t="shared" si="71"/>
        <v>0</v>
      </c>
      <c r="CB21" s="4504">
        <f t="shared" si="72"/>
        <v>0</v>
      </c>
      <c r="CC21" s="4504">
        <f t="shared" si="73"/>
        <v>0</v>
      </c>
      <c r="CD21" s="4504">
        <f t="shared" si="74"/>
        <v>0</v>
      </c>
    </row>
    <row r="22" spans="1:82" s="669" customFormat="1">
      <c r="A22" s="2892"/>
      <c r="B22" s="2612">
        <v>20304</v>
      </c>
      <c r="C22" s="2893">
        <v>0.1</v>
      </c>
      <c r="D22" s="2896" t="s">
        <v>407</v>
      </c>
      <c r="E22" s="2897">
        <f t="shared" ref="E22:AN22" si="79">SUM(E23:E24)</f>
        <v>46.671996220669641</v>
      </c>
      <c r="F22" s="2898">
        <f t="shared" si="79"/>
        <v>0</v>
      </c>
      <c r="G22" s="2899">
        <f t="shared" si="79"/>
        <v>0</v>
      </c>
      <c r="H22" s="2899">
        <f t="shared" si="79"/>
        <v>0</v>
      </c>
      <c r="I22" s="2899">
        <f t="shared" si="79"/>
        <v>0</v>
      </c>
      <c r="J22" s="2899">
        <f t="shared" si="79"/>
        <v>0</v>
      </c>
      <c r="K22" s="2900">
        <f t="shared" si="79"/>
        <v>0</v>
      </c>
      <c r="L22" s="2897">
        <f t="shared" si="79"/>
        <v>0</v>
      </c>
      <c r="M22" s="2898">
        <f t="shared" si="79"/>
        <v>0</v>
      </c>
      <c r="N22" s="2899">
        <f t="shared" si="79"/>
        <v>0</v>
      </c>
      <c r="O22" s="2899">
        <f t="shared" si="79"/>
        <v>0</v>
      </c>
      <c r="P22" s="2899">
        <f t="shared" si="79"/>
        <v>0</v>
      </c>
      <c r="Q22" s="2899">
        <f t="shared" si="79"/>
        <v>0</v>
      </c>
      <c r="R22" s="2900">
        <f t="shared" si="79"/>
        <v>0</v>
      </c>
      <c r="S22" s="2897">
        <f t="shared" si="79"/>
        <v>11.503390000000001</v>
      </c>
      <c r="T22" s="2898">
        <f t="shared" si="79"/>
        <v>0</v>
      </c>
      <c r="U22" s="2899">
        <f t="shared" si="79"/>
        <v>0</v>
      </c>
      <c r="V22" s="2899">
        <f t="shared" si="79"/>
        <v>0</v>
      </c>
      <c r="W22" s="2899">
        <f t="shared" si="79"/>
        <v>0</v>
      </c>
      <c r="X22" s="2899">
        <f t="shared" si="79"/>
        <v>0</v>
      </c>
      <c r="Y22" s="2901">
        <f t="shared" si="79"/>
        <v>0</v>
      </c>
      <c r="Z22" s="2897">
        <f t="shared" ref="Z22:AM22" si="80">SUM(Z23:Z24)</f>
        <v>0</v>
      </c>
      <c r="AA22" s="2898">
        <f t="shared" si="80"/>
        <v>0</v>
      </c>
      <c r="AB22" s="2899">
        <f t="shared" si="80"/>
        <v>0</v>
      </c>
      <c r="AC22" s="2899">
        <f t="shared" si="80"/>
        <v>0</v>
      </c>
      <c r="AD22" s="2899">
        <f t="shared" si="80"/>
        <v>0</v>
      </c>
      <c r="AE22" s="2899">
        <f t="shared" si="80"/>
        <v>0</v>
      </c>
      <c r="AF22" s="2901">
        <f t="shared" si="80"/>
        <v>0</v>
      </c>
      <c r="AG22" s="2897">
        <f t="shared" si="80"/>
        <v>8.3161937793303675</v>
      </c>
      <c r="AH22" s="2898">
        <f t="shared" si="80"/>
        <v>0</v>
      </c>
      <c r="AI22" s="2899">
        <f t="shared" si="80"/>
        <v>0</v>
      </c>
      <c r="AJ22" s="2899">
        <f t="shared" si="80"/>
        <v>0</v>
      </c>
      <c r="AK22" s="2899">
        <f t="shared" si="80"/>
        <v>0</v>
      </c>
      <c r="AL22" s="2899">
        <f t="shared" si="80"/>
        <v>0</v>
      </c>
      <c r="AM22" s="2900">
        <f t="shared" si="80"/>
        <v>0</v>
      </c>
      <c r="AN22" s="4134">
        <f t="shared" si="79"/>
        <v>0</v>
      </c>
      <c r="AO22" s="3026"/>
      <c r="AP22" s="3027"/>
      <c r="AQ22" s="3027"/>
      <c r="AR22" s="3027"/>
      <c r="AS22" s="3027"/>
      <c r="AT22" s="3028"/>
      <c r="AU22" s="4488"/>
      <c r="AV22" s="4504">
        <f t="shared" si="40"/>
        <v>23.86301274684898</v>
      </c>
      <c r="AW22" s="4504">
        <f t="shared" si="41"/>
        <v>0</v>
      </c>
      <c r="AX22" s="4504">
        <f t="shared" si="42"/>
        <v>0</v>
      </c>
      <c r="AY22" s="4504">
        <f t="shared" si="43"/>
        <v>0</v>
      </c>
      <c r="AZ22" s="4504">
        <f t="shared" si="44"/>
        <v>0</v>
      </c>
      <c r="BA22" s="4504">
        <f t="shared" si="45"/>
        <v>0</v>
      </c>
      <c r="BB22" s="4504">
        <f t="shared" si="46"/>
        <v>0</v>
      </c>
      <c r="BC22" s="4504">
        <f t="shared" si="47"/>
        <v>0</v>
      </c>
      <c r="BD22" s="4504">
        <f t="shared" si="48"/>
        <v>0</v>
      </c>
      <c r="BE22" s="4504">
        <f t="shared" si="49"/>
        <v>0</v>
      </c>
      <c r="BF22" s="4504">
        <f t="shared" si="50"/>
        <v>0</v>
      </c>
      <c r="BG22" s="4504">
        <f t="shared" si="51"/>
        <v>0</v>
      </c>
      <c r="BH22" s="4504">
        <f t="shared" si="52"/>
        <v>0</v>
      </c>
      <c r="BI22" s="4504">
        <f t="shared" si="53"/>
        <v>0</v>
      </c>
      <c r="BJ22" s="4504">
        <f t="shared" si="54"/>
        <v>5.8815899132337686</v>
      </c>
      <c r="BK22" s="4504">
        <f t="shared" si="55"/>
        <v>0</v>
      </c>
      <c r="BL22" s="4504">
        <f t="shared" si="56"/>
        <v>0</v>
      </c>
      <c r="BM22" s="4504">
        <f t="shared" si="57"/>
        <v>0</v>
      </c>
      <c r="BN22" s="4504">
        <f t="shared" si="58"/>
        <v>0</v>
      </c>
      <c r="BO22" s="4504">
        <f t="shared" si="59"/>
        <v>0</v>
      </c>
      <c r="BP22" s="4504">
        <f t="shared" si="60"/>
        <v>0</v>
      </c>
      <c r="BQ22" s="4504">
        <f t="shared" si="61"/>
        <v>0</v>
      </c>
      <c r="BR22" s="4504">
        <f t="shared" si="62"/>
        <v>0</v>
      </c>
      <c r="BS22" s="4504">
        <f t="shared" si="63"/>
        <v>0</v>
      </c>
      <c r="BT22" s="4504">
        <f t="shared" si="64"/>
        <v>0</v>
      </c>
      <c r="BU22" s="4504">
        <f t="shared" si="65"/>
        <v>0</v>
      </c>
      <c r="BV22" s="4504">
        <f t="shared" si="66"/>
        <v>0</v>
      </c>
      <c r="BW22" s="4504">
        <f t="shared" si="67"/>
        <v>0</v>
      </c>
      <c r="BX22" s="4504">
        <f t="shared" si="68"/>
        <v>4.2520023618261131</v>
      </c>
      <c r="BY22" s="4504">
        <f t="shared" si="69"/>
        <v>0</v>
      </c>
      <c r="BZ22" s="4504">
        <f t="shared" si="70"/>
        <v>0</v>
      </c>
      <c r="CA22" s="4504">
        <f t="shared" si="71"/>
        <v>0</v>
      </c>
      <c r="CB22" s="4504">
        <f t="shared" si="72"/>
        <v>0</v>
      </c>
      <c r="CC22" s="4504">
        <f t="shared" si="73"/>
        <v>0</v>
      </c>
      <c r="CD22" s="4504">
        <f t="shared" si="74"/>
        <v>0</v>
      </c>
    </row>
    <row r="23" spans="1:82" s="669" customFormat="1">
      <c r="A23" s="2892"/>
      <c r="B23" s="2902">
        <v>2030401</v>
      </c>
      <c r="C23" s="2903">
        <v>0.1</v>
      </c>
      <c r="D23" s="2904" t="s">
        <v>991</v>
      </c>
      <c r="E23" s="4453">
        <f>SUMIF('11.3. ДА Базова година'!$B$12:$B$39,$B23,'11.3. ДА Базова година'!F$12:F$39)+SUMIF('11.3. ДА Базова година'!$B$92:$B$110,$B23,'11.3. ДА Базова година'!F$92:F$110)</f>
        <v>46.671996220669641</v>
      </c>
      <c r="F23" s="415"/>
      <c r="G23" s="413"/>
      <c r="H23" s="413"/>
      <c r="I23" s="413"/>
      <c r="J23" s="413"/>
      <c r="K23" s="271"/>
      <c r="L23" s="4453">
        <f>SUMIF('11.3. ДА Базова година'!$B$12:$B$39,$B23,'11.3. ДА Базова година'!J$12:J$39)+SUMIF('11.3. ДА Базова година'!$B$92:$B$110,$B23,'11.3. ДА Базова година'!J$92:J$110)</f>
        <v>0</v>
      </c>
      <c r="M23" s="415"/>
      <c r="N23" s="413"/>
      <c r="O23" s="413"/>
      <c r="P23" s="413"/>
      <c r="Q23" s="413"/>
      <c r="R23" s="271"/>
      <c r="S23" s="4453">
        <f>SUMIF('11.3. ДА Базова година'!$B$12:$B$39,$B23,'11.3. ДА Базова година'!N$12:N$39)+SUMIF('11.3. ДА Базова година'!$B$92:$B$110,$B23,'11.3. ДА Базова година'!N$92:N$110)</f>
        <v>11.503390000000001</v>
      </c>
      <c r="T23" s="415"/>
      <c r="U23" s="413"/>
      <c r="V23" s="413"/>
      <c r="W23" s="413"/>
      <c r="X23" s="413"/>
      <c r="Y23" s="414"/>
      <c r="Z23" s="4453">
        <f>SUMIF('11.3. ДА Базова година'!$B$12:$B$39,$B23,'11.3. ДА Базова година'!R$12:R$39)+SUMIF('11.3. ДА Базова година'!$B$92:$B$110,$B23,'11.3. ДА Базова година'!R$92:R$110)</f>
        <v>0</v>
      </c>
      <c r="AA23" s="415"/>
      <c r="AB23" s="413"/>
      <c r="AC23" s="413"/>
      <c r="AD23" s="413"/>
      <c r="AE23" s="413"/>
      <c r="AF23" s="414"/>
      <c r="AG23" s="4453">
        <f>SUMIF('11.3. ДА Базова година'!$B$12:$B$39,$B23,'11.3. ДА Базова година'!V$12:V$39)+SUMIF('11.3. ДА Базова година'!$B$92:$B$110,$B23,'11.3. ДА Базова година'!V$92:V$110)</f>
        <v>8.3161937793303675</v>
      </c>
      <c r="AH23" s="415"/>
      <c r="AI23" s="413"/>
      <c r="AJ23" s="413"/>
      <c r="AK23" s="413"/>
      <c r="AL23" s="413"/>
      <c r="AM23" s="271"/>
      <c r="AN23" s="4132"/>
      <c r="AO23" s="3026"/>
      <c r="AP23" s="3027"/>
      <c r="AQ23" s="3027"/>
      <c r="AR23" s="3027"/>
      <c r="AS23" s="3027"/>
      <c r="AT23" s="3028"/>
      <c r="AU23" s="4488"/>
      <c r="AV23" s="4504">
        <f t="shared" si="40"/>
        <v>23.86301274684898</v>
      </c>
      <c r="AW23" s="4504">
        <f t="shared" si="41"/>
        <v>0</v>
      </c>
      <c r="AX23" s="4504">
        <f t="shared" si="42"/>
        <v>0</v>
      </c>
      <c r="AY23" s="4504">
        <f t="shared" si="43"/>
        <v>0</v>
      </c>
      <c r="AZ23" s="4504">
        <f t="shared" si="44"/>
        <v>0</v>
      </c>
      <c r="BA23" s="4504">
        <f t="shared" si="45"/>
        <v>0</v>
      </c>
      <c r="BB23" s="4504">
        <f t="shared" si="46"/>
        <v>0</v>
      </c>
      <c r="BC23" s="4504">
        <f t="shared" si="47"/>
        <v>0</v>
      </c>
      <c r="BD23" s="4504">
        <f t="shared" si="48"/>
        <v>0</v>
      </c>
      <c r="BE23" s="4504">
        <f t="shared" si="49"/>
        <v>0</v>
      </c>
      <c r="BF23" s="4504">
        <f t="shared" si="50"/>
        <v>0</v>
      </c>
      <c r="BG23" s="4504">
        <f t="shared" si="51"/>
        <v>0</v>
      </c>
      <c r="BH23" s="4504">
        <f t="shared" si="52"/>
        <v>0</v>
      </c>
      <c r="BI23" s="4504">
        <f t="shared" si="53"/>
        <v>0</v>
      </c>
      <c r="BJ23" s="4504">
        <f t="shared" si="54"/>
        <v>5.8815899132337686</v>
      </c>
      <c r="BK23" s="4504">
        <f t="shared" si="55"/>
        <v>0</v>
      </c>
      <c r="BL23" s="4504">
        <f t="shared" si="56"/>
        <v>0</v>
      </c>
      <c r="BM23" s="4504">
        <f t="shared" si="57"/>
        <v>0</v>
      </c>
      <c r="BN23" s="4504">
        <f t="shared" si="58"/>
        <v>0</v>
      </c>
      <c r="BO23" s="4504">
        <f t="shared" si="59"/>
        <v>0</v>
      </c>
      <c r="BP23" s="4504">
        <f t="shared" si="60"/>
        <v>0</v>
      </c>
      <c r="BQ23" s="4504">
        <f t="shared" si="61"/>
        <v>0</v>
      </c>
      <c r="BR23" s="4504">
        <f t="shared" si="62"/>
        <v>0</v>
      </c>
      <c r="BS23" s="4504">
        <f t="shared" si="63"/>
        <v>0</v>
      </c>
      <c r="BT23" s="4504">
        <f t="shared" si="64"/>
        <v>0</v>
      </c>
      <c r="BU23" s="4504">
        <f t="shared" si="65"/>
        <v>0</v>
      </c>
      <c r="BV23" s="4504">
        <f t="shared" si="66"/>
        <v>0</v>
      </c>
      <c r="BW23" s="4504">
        <f t="shared" si="67"/>
        <v>0</v>
      </c>
      <c r="BX23" s="4504">
        <f t="shared" si="68"/>
        <v>4.2520023618261131</v>
      </c>
      <c r="BY23" s="4504">
        <f t="shared" si="69"/>
        <v>0</v>
      </c>
      <c r="BZ23" s="4504">
        <f t="shared" si="70"/>
        <v>0</v>
      </c>
      <c r="CA23" s="4504">
        <f t="shared" si="71"/>
        <v>0</v>
      </c>
      <c r="CB23" s="4504">
        <f t="shared" si="72"/>
        <v>0</v>
      </c>
      <c r="CC23" s="4504">
        <f t="shared" si="73"/>
        <v>0</v>
      </c>
      <c r="CD23" s="4504">
        <f t="shared" si="74"/>
        <v>0</v>
      </c>
    </row>
    <row r="24" spans="1:82" s="669" customFormat="1">
      <c r="A24" s="2892"/>
      <c r="B24" s="2902">
        <v>2030402</v>
      </c>
      <c r="C24" s="2903">
        <v>0.1</v>
      </c>
      <c r="D24" s="2904" t="s">
        <v>429</v>
      </c>
      <c r="E24" s="4453">
        <f>SUMIF('11.3. ДА Базова година'!$B$12:$B$39,$B24,'11.3. ДА Базова година'!F$12:F$39)+SUMIF('11.3. ДА Базова година'!$B$92:$B$110,$B24,'11.3. ДА Базова година'!F$92:F$110)</f>
        <v>0</v>
      </c>
      <c r="F24" s="415"/>
      <c r="G24" s="413"/>
      <c r="H24" s="413"/>
      <c r="I24" s="413"/>
      <c r="J24" s="413"/>
      <c r="K24" s="271"/>
      <c r="L24" s="4453">
        <f>SUMIF('11.3. ДА Базова година'!$B$12:$B$39,$B24,'11.3. ДА Базова година'!J$12:J$39)+SUMIF('11.3. ДА Базова година'!$B$92:$B$110,$B24,'11.3. ДА Базова година'!J$92:J$110)</f>
        <v>0</v>
      </c>
      <c r="M24" s="415"/>
      <c r="N24" s="413"/>
      <c r="O24" s="413"/>
      <c r="P24" s="413"/>
      <c r="Q24" s="413"/>
      <c r="R24" s="271"/>
      <c r="S24" s="4453">
        <f>SUMIF('11.3. ДА Базова година'!$B$12:$B$39,$B24,'11.3. ДА Базова година'!N$12:N$39)+SUMIF('11.3. ДА Базова година'!$B$92:$B$110,$B24,'11.3. ДА Базова година'!N$92:N$110)</f>
        <v>0</v>
      </c>
      <c r="T24" s="415"/>
      <c r="U24" s="413"/>
      <c r="V24" s="413"/>
      <c r="W24" s="413"/>
      <c r="X24" s="413"/>
      <c r="Y24" s="414"/>
      <c r="Z24" s="4453">
        <f>SUMIF('11.3. ДА Базова година'!$B$12:$B$39,$B24,'11.3. ДА Базова година'!R$12:R$39)+SUMIF('11.3. ДА Базова година'!$B$92:$B$110,$B24,'11.3. ДА Базова година'!R$92:R$110)</f>
        <v>0</v>
      </c>
      <c r="AA24" s="415"/>
      <c r="AB24" s="413"/>
      <c r="AC24" s="413"/>
      <c r="AD24" s="413"/>
      <c r="AE24" s="413"/>
      <c r="AF24" s="414"/>
      <c r="AG24" s="4453">
        <f>SUMIF('11.3. ДА Базова година'!$B$12:$B$39,$B24,'11.3. ДА Базова година'!V$12:V$39)+SUMIF('11.3. ДА Базова година'!$B$92:$B$110,$B24,'11.3. ДА Базова година'!V$92:V$110)</f>
        <v>0</v>
      </c>
      <c r="AH24" s="415"/>
      <c r="AI24" s="413"/>
      <c r="AJ24" s="413"/>
      <c r="AK24" s="413"/>
      <c r="AL24" s="413"/>
      <c r="AM24" s="271"/>
      <c r="AN24" s="4132"/>
      <c r="AO24" s="3026"/>
      <c r="AP24" s="3027"/>
      <c r="AQ24" s="3027"/>
      <c r="AR24" s="3027"/>
      <c r="AS24" s="3027"/>
      <c r="AT24" s="3028"/>
      <c r="AU24" s="4488"/>
      <c r="AV24" s="4504">
        <f t="shared" si="40"/>
        <v>0</v>
      </c>
      <c r="AW24" s="4504">
        <f t="shared" si="41"/>
        <v>0</v>
      </c>
      <c r="AX24" s="4504">
        <f t="shared" si="42"/>
        <v>0</v>
      </c>
      <c r="AY24" s="4504">
        <f t="shared" si="43"/>
        <v>0</v>
      </c>
      <c r="AZ24" s="4504">
        <f t="shared" si="44"/>
        <v>0</v>
      </c>
      <c r="BA24" s="4504">
        <f t="shared" si="45"/>
        <v>0</v>
      </c>
      <c r="BB24" s="4504">
        <f t="shared" si="46"/>
        <v>0</v>
      </c>
      <c r="BC24" s="4504">
        <f t="shared" si="47"/>
        <v>0</v>
      </c>
      <c r="BD24" s="4504">
        <f t="shared" si="48"/>
        <v>0</v>
      </c>
      <c r="BE24" s="4504">
        <f t="shared" si="49"/>
        <v>0</v>
      </c>
      <c r="BF24" s="4504">
        <f t="shared" si="50"/>
        <v>0</v>
      </c>
      <c r="BG24" s="4504">
        <f t="shared" si="51"/>
        <v>0</v>
      </c>
      <c r="BH24" s="4504">
        <f t="shared" si="52"/>
        <v>0</v>
      </c>
      <c r="BI24" s="4504">
        <f t="shared" si="53"/>
        <v>0</v>
      </c>
      <c r="BJ24" s="4504">
        <f t="shared" si="54"/>
        <v>0</v>
      </c>
      <c r="BK24" s="4504">
        <f t="shared" si="55"/>
        <v>0</v>
      </c>
      <c r="BL24" s="4504">
        <f t="shared" si="56"/>
        <v>0</v>
      </c>
      <c r="BM24" s="4504">
        <f t="shared" si="57"/>
        <v>0</v>
      </c>
      <c r="BN24" s="4504">
        <f t="shared" si="58"/>
        <v>0</v>
      </c>
      <c r="BO24" s="4504">
        <f t="shared" si="59"/>
        <v>0</v>
      </c>
      <c r="BP24" s="4504">
        <f t="shared" si="60"/>
        <v>0</v>
      </c>
      <c r="BQ24" s="4504">
        <f t="shared" si="61"/>
        <v>0</v>
      </c>
      <c r="BR24" s="4504">
        <f t="shared" si="62"/>
        <v>0</v>
      </c>
      <c r="BS24" s="4504">
        <f t="shared" si="63"/>
        <v>0</v>
      </c>
      <c r="BT24" s="4504">
        <f t="shared" si="64"/>
        <v>0</v>
      </c>
      <c r="BU24" s="4504">
        <f t="shared" si="65"/>
        <v>0</v>
      </c>
      <c r="BV24" s="4504">
        <f t="shared" si="66"/>
        <v>0</v>
      </c>
      <c r="BW24" s="4504">
        <f t="shared" si="67"/>
        <v>0</v>
      </c>
      <c r="BX24" s="4504">
        <f t="shared" si="68"/>
        <v>0</v>
      </c>
      <c r="BY24" s="4504">
        <f t="shared" si="69"/>
        <v>0</v>
      </c>
      <c r="BZ24" s="4504">
        <f t="shared" si="70"/>
        <v>0</v>
      </c>
      <c r="CA24" s="4504">
        <f t="shared" si="71"/>
        <v>0</v>
      </c>
      <c r="CB24" s="4504">
        <f t="shared" si="72"/>
        <v>0</v>
      </c>
      <c r="CC24" s="4504">
        <f t="shared" si="73"/>
        <v>0</v>
      </c>
      <c r="CD24" s="4504">
        <f t="shared" si="74"/>
        <v>0</v>
      </c>
    </row>
    <row r="25" spans="1:82" s="669" customFormat="1">
      <c r="A25" s="2892"/>
      <c r="B25" s="2612">
        <v>20305</v>
      </c>
      <c r="C25" s="2905">
        <v>0.1</v>
      </c>
      <c r="D25" s="2896" t="s">
        <v>430</v>
      </c>
      <c r="E25" s="2897">
        <f>SUM(E26:E28)</f>
        <v>159.68320289055896</v>
      </c>
      <c r="F25" s="2898">
        <f t="shared" ref="F25:AN25" si="81">SUM(F26:F28)</f>
        <v>0</v>
      </c>
      <c r="G25" s="2899">
        <f t="shared" si="81"/>
        <v>0</v>
      </c>
      <c r="H25" s="2899">
        <f t="shared" si="81"/>
        <v>0</v>
      </c>
      <c r="I25" s="2899">
        <f t="shared" si="81"/>
        <v>0</v>
      </c>
      <c r="J25" s="2899">
        <f t="shared" si="81"/>
        <v>0</v>
      </c>
      <c r="K25" s="2900">
        <f t="shared" si="81"/>
        <v>0</v>
      </c>
      <c r="L25" s="2897">
        <f t="shared" si="81"/>
        <v>0</v>
      </c>
      <c r="M25" s="2898">
        <f t="shared" si="81"/>
        <v>0</v>
      </c>
      <c r="N25" s="2899">
        <f t="shared" si="81"/>
        <v>0</v>
      </c>
      <c r="O25" s="2899">
        <f t="shared" si="81"/>
        <v>0</v>
      </c>
      <c r="P25" s="2899">
        <f t="shared" si="81"/>
        <v>0</v>
      </c>
      <c r="Q25" s="2899">
        <f t="shared" si="81"/>
        <v>0</v>
      </c>
      <c r="R25" s="2900">
        <f t="shared" si="81"/>
        <v>0</v>
      </c>
      <c r="S25" s="2897">
        <f t="shared" si="81"/>
        <v>32.440989999999999</v>
      </c>
      <c r="T25" s="2898">
        <f t="shared" si="81"/>
        <v>0</v>
      </c>
      <c r="U25" s="2899">
        <f t="shared" si="81"/>
        <v>0</v>
      </c>
      <c r="V25" s="2899">
        <f t="shared" si="81"/>
        <v>0</v>
      </c>
      <c r="W25" s="2899">
        <f t="shared" si="81"/>
        <v>0</v>
      </c>
      <c r="X25" s="2899">
        <f t="shared" si="81"/>
        <v>0</v>
      </c>
      <c r="Y25" s="2901">
        <f t="shared" si="81"/>
        <v>0</v>
      </c>
      <c r="Z25" s="2897">
        <f t="shared" si="81"/>
        <v>0</v>
      </c>
      <c r="AA25" s="2898">
        <f t="shared" si="81"/>
        <v>0</v>
      </c>
      <c r="AB25" s="2899">
        <f t="shared" si="81"/>
        <v>0</v>
      </c>
      <c r="AC25" s="2899">
        <f t="shared" si="81"/>
        <v>0</v>
      </c>
      <c r="AD25" s="2899">
        <f t="shared" si="81"/>
        <v>0</v>
      </c>
      <c r="AE25" s="2899">
        <f t="shared" si="81"/>
        <v>0</v>
      </c>
      <c r="AF25" s="2901">
        <f t="shared" si="81"/>
        <v>0</v>
      </c>
      <c r="AG25" s="2897">
        <f>SUM(AG26:AG28)</f>
        <v>12.015937109441065</v>
      </c>
      <c r="AH25" s="2898">
        <f t="shared" ref="AH25:AM25" si="82">SUM(AH26:AH28)</f>
        <v>0</v>
      </c>
      <c r="AI25" s="2899">
        <f t="shared" si="82"/>
        <v>0</v>
      </c>
      <c r="AJ25" s="2899">
        <f t="shared" si="82"/>
        <v>0</v>
      </c>
      <c r="AK25" s="2899">
        <f t="shared" si="82"/>
        <v>0</v>
      </c>
      <c r="AL25" s="2899">
        <f t="shared" si="82"/>
        <v>0</v>
      </c>
      <c r="AM25" s="2900">
        <f t="shared" si="82"/>
        <v>0</v>
      </c>
      <c r="AN25" s="4134">
        <f t="shared" si="81"/>
        <v>0</v>
      </c>
      <c r="AO25" s="3026"/>
      <c r="AP25" s="3027"/>
      <c r="AQ25" s="3027"/>
      <c r="AR25" s="3027"/>
      <c r="AS25" s="3027"/>
      <c r="AT25" s="3028"/>
      <c r="AU25" s="4488"/>
      <c r="AV25" s="4504">
        <f t="shared" si="40"/>
        <v>81.644725201351321</v>
      </c>
      <c r="AW25" s="4504">
        <f t="shared" si="41"/>
        <v>0</v>
      </c>
      <c r="AX25" s="4504">
        <f t="shared" si="42"/>
        <v>0</v>
      </c>
      <c r="AY25" s="4504">
        <f t="shared" si="43"/>
        <v>0</v>
      </c>
      <c r="AZ25" s="4504">
        <f t="shared" si="44"/>
        <v>0</v>
      </c>
      <c r="BA25" s="4504">
        <f t="shared" si="45"/>
        <v>0</v>
      </c>
      <c r="BB25" s="4504">
        <f t="shared" si="46"/>
        <v>0</v>
      </c>
      <c r="BC25" s="4504">
        <f t="shared" si="47"/>
        <v>0</v>
      </c>
      <c r="BD25" s="4504">
        <f t="shared" si="48"/>
        <v>0</v>
      </c>
      <c r="BE25" s="4504">
        <f t="shared" si="49"/>
        <v>0</v>
      </c>
      <c r="BF25" s="4504">
        <f t="shared" si="50"/>
        <v>0</v>
      </c>
      <c r="BG25" s="4504">
        <f t="shared" si="51"/>
        <v>0</v>
      </c>
      <c r="BH25" s="4504">
        <f t="shared" si="52"/>
        <v>0</v>
      </c>
      <c r="BI25" s="4504">
        <f t="shared" si="53"/>
        <v>0</v>
      </c>
      <c r="BJ25" s="4504">
        <f t="shared" si="54"/>
        <v>16.586814804967712</v>
      </c>
      <c r="BK25" s="4504">
        <f t="shared" si="55"/>
        <v>0</v>
      </c>
      <c r="BL25" s="4504">
        <f t="shared" si="56"/>
        <v>0</v>
      </c>
      <c r="BM25" s="4504">
        <f t="shared" si="57"/>
        <v>0</v>
      </c>
      <c r="BN25" s="4504">
        <f t="shared" si="58"/>
        <v>0</v>
      </c>
      <c r="BO25" s="4504">
        <f t="shared" si="59"/>
        <v>0</v>
      </c>
      <c r="BP25" s="4504">
        <f t="shared" si="60"/>
        <v>0</v>
      </c>
      <c r="BQ25" s="4504">
        <f t="shared" si="61"/>
        <v>0</v>
      </c>
      <c r="BR25" s="4504">
        <f t="shared" si="62"/>
        <v>0</v>
      </c>
      <c r="BS25" s="4504">
        <f t="shared" si="63"/>
        <v>0</v>
      </c>
      <c r="BT25" s="4504">
        <f t="shared" si="64"/>
        <v>0</v>
      </c>
      <c r="BU25" s="4504">
        <f t="shared" si="65"/>
        <v>0</v>
      </c>
      <c r="BV25" s="4504">
        <f t="shared" si="66"/>
        <v>0</v>
      </c>
      <c r="BW25" s="4504">
        <f t="shared" si="67"/>
        <v>0</v>
      </c>
      <c r="BX25" s="4504">
        <f t="shared" si="68"/>
        <v>6.1436510890215743</v>
      </c>
      <c r="BY25" s="4504">
        <f t="shared" si="69"/>
        <v>0</v>
      </c>
      <c r="BZ25" s="4504">
        <f t="shared" si="70"/>
        <v>0</v>
      </c>
      <c r="CA25" s="4504">
        <f t="shared" si="71"/>
        <v>0</v>
      </c>
      <c r="CB25" s="4504">
        <f t="shared" si="72"/>
        <v>0</v>
      </c>
      <c r="CC25" s="4504">
        <f t="shared" si="73"/>
        <v>0</v>
      </c>
      <c r="CD25" s="4504">
        <f t="shared" si="74"/>
        <v>0</v>
      </c>
    </row>
    <row r="26" spans="1:82" s="669" customFormat="1">
      <c r="A26" s="2892"/>
      <c r="B26" s="2612">
        <v>2030501</v>
      </c>
      <c r="C26" s="2906">
        <v>0.1</v>
      </c>
      <c r="D26" s="2904" t="s">
        <v>1001</v>
      </c>
      <c r="E26" s="4453">
        <f>SUMIF('11.3. ДА Базова година'!$B$12:$B$39,$B26,'11.3. ДА Базова година'!F$12:F$39)+SUMIF('11.3. ДА Базова година'!$B$92:$B$110,$B26,'11.3. ДА Базова година'!F$92:F$110)</f>
        <v>135.88055606978642</v>
      </c>
      <c r="F26" s="415"/>
      <c r="G26" s="413"/>
      <c r="H26" s="413"/>
      <c r="I26" s="413"/>
      <c r="J26" s="413"/>
      <c r="K26" s="271"/>
      <c r="L26" s="4453">
        <f>SUMIF('11.3. ДА Базова година'!$B$12:$B$39,$B26,'11.3. ДА Базова година'!J$12:J$39)+SUMIF('11.3. ДА Базова година'!$B$92:$B$110,$B26,'11.3. ДА Базова година'!J$92:J$110)</f>
        <v>0</v>
      </c>
      <c r="M26" s="415"/>
      <c r="N26" s="413"/>
      <c r="O26" s="413"/>
      <c r="P26" s="413"/>
      <c r="Q26" s="413"/>
      <c r="R26" s="271"/>
      <c r="S26" s="4453">
        <f>SUMIF('11.3. ДА Базова година'!$B$12:$B$39,$B26,'11.3. ДА Базова година'!N$12:N$39)+SUMIF('11.3. ДА Базова година'!$B$92:$B$110,$B26,'11.3. ДА Базова година'!N$92:N$110)</f>
        <v>3.9252200000000004</v>
      </c>
      <c r="T26" s="415"/>
      <c r="U26" s="413"/>
      <c r="V26" s="413"/>
      <c r="W26" s="413"/>
      <c r="X26" s="413"/>
      <c r="Y26" s="414"/>
      <c r="Z26" s="4453">
        <f>SUMIF('11.3. ДА Базова година'!$B$12:$B$39,$B26,'11.3. ДА Базова година'!R$12:R$39)+SUMIF('11.3. ДА Базова година'!$B$92:$B$110,$B26,'11.3. ДА Базова година'!R$92:R$110)</f>
        <v>0</v>
      </c>
      <c r="AA26" s="415"/>
      <c r="AB26" s="413"/>
      <c r="AC26" s="413"/>
      <c r="AD26" s="413"/>
      <c r="AE26" s="413"/>
      <c r="AF26" s="414"/>
      <c r="AG26" s="4453">
        <f>SUMIF('11.3. ДА Базова година'!$B$12:$B$39,$B26,'11.3. ДА Базова година'!V$12:V$39)+SUMIF('11.3. ДА Базова година'!$B$92:$B$110,$B26,'11.3. ДА Базова година'!V$92:V$110)</f>
        <v>6.6330339302136023</v>
      </c>
      <c r="AH26" s="415"/>
      <c r="AI26" s="413"/>
      <c r="AJ26" s="413"/>
      <c r="AK26" s="413"/>
      <c r="AL26" s="413"/>
      <c r="AM26" s="271"/>
      <c r="AN26" s="4132"/>
      <c r="AO26" s="3026"/>
      <c r="AP26" s="3027"/>
      <c r="AQ26" s="3027"/>
      <c r="AR26" s="3027"/>
      <c r="AS26" s="3027"/>
      <c r="AT26" s="3028"/>
      <c r="AU26" s="4488"/>
      <c r="AV26" s="4504">
        <f t="shared" si="40"/>
        <v>69.474625130909345</v>
      </c>
      <c r="AW26" s="4504">
        <f t="shared" si="41"/>
        <v>0</v>
      </c>
      <c r="AX26" s="4504">
        <f t="shared" si="42"/>
        <v>0</v>
      </c>
      <c r="AY26" s="4504">
        <f t="shared" si="43"/>
        <v>0</v>
      </c>
      <c r="AZ26" s="4504">
        <f t="shared" si="44"/>
        <v>0</v>
      </c>
      <c r="BA26" s="4504">
        <f t="shared" si="45"/>
        <v>0</v>
      </c>
      <c r="BB26" s="4504">
        <f t="shared" si="46"/>
        <v>0</v>
      </c>
      <c r="BC26" s="4504">
        <f t="shared" si="47"/>
        <v>0</v>
      </c>
      <c r="BD26" s="4504">
        <f t="shared" si="48"/>
        <v>0</v>
      </c>
      <c r="BE26" s="4504">
        <f t="shared" si="49"/>
        <v>0</v>
      </c>
      <c r="BF26" s="4504">
        <f t="shared" si="50"/>
        <v>0</v>
      </c>
      <c r="BG26" s="4504">
        <f t="shared" si="51"/>
        <v>0</v>
      </c>
      <c r="BH26" s="4504">
        <f t="shared" si="52"/>
        <v>0</v>
      </c>
      <c r="BI26" s="4504">
        <f t="shared" si="53"/>
        <v>0</v>
      </c>
      <c r="BJ26" s="4504">
        <f t="shared" si="54"/>
        <v>2.0069331179090208</v>
      </c>
      <c r="BK26" s="4504">
        <f t="shared" si="55"/>
        <v>0</v>
      </c>
      <c r="BL26" s="4504">
        <f t="shared" si="56"/>
        <v>0</v>
      </c>
      <c r="BM26" s="4504">
        <f t="shared" si="57"/>
        <v>0</v>
      </c>
      <c r="BN26" s="4504">
        <f t="shared" si="58"/>
        <v>0</v>
      </c>
      <c r="BO26" s="4504">
        <f t="shared" si="59"/>
        <v>0</v>
      </c>
      <c r="BP26" s="4504">
        <f t="shared" si="60"/>
        <v>0</v>
      </c>
      <c r="BQ26" s="4504">
        <f t="shared" si="61"/>
        <v>0</v>
      </c>
      <c r="BR26" s="4504">
        <f t="shared" si="62"/>
        <v>0</v>
      </c>
      <c r="BS26" s="4504">
        <f t="shared" si="63"/>
        <v>0</v>
      </c>
      <c r="BT26" s="4504">
        <f t="shared" si="64"/>
        <v>0</v>
      </c>
      <c r="BU26" s="4504">
        <f t="shared" si="65"/>
        <v>0</v>
      </c>
      <c r="BV26" s="4504">
        <f t="shared" si="66"/>
        <v>0</v>
      </c>
      <c r="BW26" s="4504">
        <f t="shared" si="67"/>
        <v>0</v>
      </c>
      <c r="BX26" s="4504">
        <f t="shared" si="68"/>
        <v>3.3914163962172594</v>
      </c>
      <c r="BY26" s="4504">
        <f t="shared" si="69"/>
        <v>0</v>
      </c>
      <c r="BZ26" s="4504">
        <f t="shared" si="70"/>
        <v>0</v>
      </c>
      <c r="CA26" s="4504">
        <f t="shared" si="71"/>
        <v>0</v>
      </c>
      <c r="CB26" s="4504">
        <f t="shared" si="72"/>
        <v>0</v>
      </c>
      <c r="CC26" s="4504">
        <f t="shared" si="73"/>
        <v>0</v>
      </c>
      <c r="CD26" s="4504">
        <f t="shared" si="74"/>
        <v>0</v>
      </c>
    </row>
    <row r="27" spans="1:82" s="669" customFormat="1" ht="26.4">
      <c r="A27" s="2892"/>
      <c r="B27" s="2612">
        <v>2030502</v>
      </c>
      <c r="C27" s="2906">
        <v>0.1</v>
      </c>
      <c r="D27" s="2904" t="s">
        <v>695</v>
      </c>
      <c r="E27" s="4453">
        <f>SUMIF('11.3. ДА Базова година'!$B$12:$B$39,$B27,'11.3. ДА Базова година'!F$12:F$39)+SUMIF('11.3. ДА Базова година'!$B$92:$B$110,$B27,'11.3. ДА Базова година'!F$92:F$110)</f>
        <v>23.802646820772537</v>
      </c>
      <c r="F27" s="415"/>
      <c r="G27" s="413"/>
      <c r="H27" s="413"/>
      <c r="I27" s="413"/>
      <c r="J27" s="413"/>
      <c r="K27" s="271"/>
      <c r="L27" s="4453">
        <f>SUMIF('11.3. ДА Базова година'!$B$12:$B$39,$B27,'11.3. ДА Базова година'!J$12:J$39)+SUMIF('11.3. ДА Базова година'!$B$92:$B$110,$B27,'11.3. ДА Базова година'!J$92:J$110)</f>
        <v>0</v>
      </c>
      <c r="M27" s="415"/>
      <c r="N27" s="413"/>
      <c r="O27" s="413"/>
      <c r="P27" s="413"/>
      <c r="Q27" s="413"/>
      <c r="R27" s="271"/>
      <c r="S27" s="4453">
        <f>SUMIF('11.3. ДА Базова година'!$B$12:$B$39,$B27,'11.3. ДА Базова година'!N$12:N$39)+SUMIF('11.3. ДА Базова година'!$B$92:$B$110,$B27,'11.3. ДА Базова година'!N$92:N$110)</f>
        <v>28.51577</v>
      </c>
      <c r="T27" s="415"/>
      <c r="U27" s="413"/>
      <c r="V27" s="413"/>
      <c r="W27" s="413"/>
      <c r="X27" s="413"/>
      <c r="Y27" s="414"/>
      <c r="Z27" s="4453">
        <f>SUMIF('11.3. ДА Базова година'!$B$12:$B$39,$B27,'11.3. ДА Базова година'!R$12:R$39)+SUMIF('11.3. ДА Базова година'!$B$92:$B$110,$B27,'11.3. ДА Базова година'!R$92:R$110)</f>
        <v>0</v>
      </c>
      <c r="AA27" s="415"/>
      <c r="AB27" s="413"/>
      <c r="AC27" s="413"/>
      <c r="AD27" s="413"/>
      <c r="AE27" s="413"/>
      <c r="AF27" s="414"/>
      <c r="AG27" s="4453">
        <f>SUMIF('11.3. ДА Базова година'!$B$12:$B$39,$B27,'11.3. ДА Базова година'!V$12:V$39)+SUMIF('11.3. ДА Базова година'!$B$92:$B$110,$B27,'11.3. ДА Базова година'!V$92:V$110)</f>
        <v>5.382903179227462</v>
      </c>
      <c r="AH27" s="415"/>
      <c r="AI27" s="413"/>
      <c r="AJ27" s="413"/>
      <c r="AK27" s="413"/>
      <c r="AL27" s="413"/>
      <c r="AM27" s="271"/>
      <c r="AN27" s="4132"/>
      <c r="AO27" s="3026"/>
      <c r="AP27" s="3027"/>
      <c r="AQ27" s="3027"/>
      <c r="AR27" s="3027"/>
      <c r="AS27" s="3027"/>
      <c r="AT27" s="3028"/>
      <c r="AU27" s="4488"/>
      <c r="AV27" s="4504">
        <f t="shared" si="40"/>
        <v>12.170100070441981</v>
      </c>
      <c r="AW27" s="4504">
        <f t="shared" si="41"/>
        <v>0</v>
      </c>
      <c r="AX27" s="4504">
        <f t="shared" si="42"/>
        <v>0</v>
      </c>
      <c r="AY27" s="4504">
        <f t="shared" si="43"/>
        <v>0</v>
      </c>
      <c r="AZ27" s="4504">
        <f t="shared" si="44"/>
        <v>0</v>
      </c>
      <c r="BA27" s="4504">
        <f t="shared" si="45"/>
        <v>0</v>
      </c>
      <c r="BB27" s="4504">
        <f t="shared" si="46"/>
        <v>0</v>
      </c>
      <c r="BC27" s="4504">
        <f t="shared" si="47"/>
        <v>0</v>
      </c>
      <c r="BD27" s="4504">
        <f t="shared" si="48"/>
        <v>0</v>
      </c>
      <c r="BE27" s="4504">
        <f t="shared" si="49"/>
        <v>0</v>
      </c>
      <c r="BF27" s="4504">
        <f t="shared" si="50"/>
        <v>0</v>
      </c>
      <c r="BG27" s="4504">
        <f t="shared" si="51"/>
        <v>0</v>
      </c>
      <c r="BH27" s="4504">
        <f t="shared" si="52"/>
        <v>0</v>
      </c>
      <c r="BI27" s="4504">
        <f t="shared" si="53"/>
        <v>0</v>
      </c>
      <c r="BJ27" s="4504">
        <f t="shared" si="54"/>
        <v>14.579881687058691</v>
      </c>
      <c r="BK27" s="4504">
        <f t="shared" si="55"/>
        <v>0</v>
      </c>
      <c r="BL27" s="4504">
        <f t="shared" si="56"/>
        <v>0</v>
      </c>
      <c r="BM27" s="4504">
        <f t="shared" si="57"/>
        <v>0</v>
      </c>
      <c r="BN27" s="4504">
        <f t="shared" si="58"/>
        <v>0</v>
      </c>
      <c r="BO27" s="4504">
        <f t="shared" si="59"/>
        <v>0</v>
      </c>
      <c r="BP27" s="4504">
        <f t="shared" si="60"/>
        <v>0</v>
      </c>
      <c r="BQ27" s="4504">
        <f t="shared" si="61"/>
        <v>0</v>
      </c>
      <c r="BR27" s="4504">
        <f t="shared" si="62"/>
        <v>0</v>
      </c>
      <c r="BS27" s="4504">
        <f t="shared" si="63"/>
        <v>0</v>
      </c>
      <c r="BT27" s="4504">
        <f t="shared" si="64"/>
        <v>0</v>
      </c>
      <c r="BU27" s="4504">
        <f t="shared" si="65"/>
        <v>0</v>
      </c>
      <c r="BV27" s="4504">
        <f t="shared" si="66"/>
        <v>0</v>
      </c>
      <c r="BW27" s="4504">
        <f t="shared" si="67"/>
        <v>0</v>
      </c>
      <c r="BX27" s="4504">
        <f t="shared" si="68"/>
        <v>2.7522346928043144</v>
      </c>
      <c r="BY27" s="4504">
        <f t="shared" si="69"/>
        <v>0</v>
      </c>
      <c r="BZ27" s="4504">
        <f t="shared" si="70"/>
        <v>0</v>
      </c>
      <c r="CA27" s="4504">
        <f t="shared" si="71"/>
        <v>0</v>
      </c>
      <c r="CB27" s="4504">
        <f t="shared" si="72"/>
        <v>0</v>
      </c>
      <c r="CC27" s="4504">
        <f t="shared" si="73"/>
        <v>0</v>
      </c>
      <c r="CD27" s="4504">
        <f t="shared" si="74"/>
        <v>0</v>
      </c>
    </row>
    <row r="28" spans="1:82" s="669" customFormat="1">
      <c r="A28" s="2892"/>
      <c r="B28" s="2612">
        <v>2030503</v>
      </c>
      <c r="C28" s="2906">
        <v>0.1</v>
      </c>
      <c r="D28" s="2904" t="s">
        <v>713</v>
      </c>
      <c r="E28" s="4453">
        <f>SUMIF('11.3. ДА Базова година'!$B$12:$B$39,$B28,'11.3. ДА Базова година'!F$12:F$39)+SUMIF('11.3. ДА Базова година'!$B$92:$B$110,$B28,'11.3. ДА Базова година'!F$92:F$110)</f>
        <v>0</v>
      </c>
      <c r="F28" s="415"/>
      <c r="G28" s="413"/>
      <c r="H28" s="413"/>
      <c r="I28" s="413"/>
      <c r="J28" s="413"/>
      <c r="K28" s="271"/>
      <c r="L28" s="4453">
        <f>SUMIF('11.3. ДА Базова година'!$B$12:$B$39,$B28,'11.3. ДА Базова година'!J$12:J$39)+SUMIF('11.3. ДА Базова година'!$B$92:$B$110,$B28,'11.3. ДА Базова година'!J$92:J$110)</f>
        <v>0</v>
      </c>
      <c r="M28" s="415"/>
      <c r="N28" s="413"/>
      <c r="O28" s="413"/>
      <c r="P28" s="413"/>
      <c r="Q28" s="413"/>
      <c r="R28" s="271"/>
      <c r="S28" s="4453">
        <f>SUMIF('11.3. ДА Базова година'!$B$12:$B$39,$B28,'11.3. ДА Базова година'!N$12:N$39)+SUMIF('11.3. ДА Базова година'!$B$92:$B$110,$B28,'11.3. ДА Базова година'!N$92:N$110)</f>
        <v>0</v>
      </c>
      <c r="T28" s="415"/>
      <c r="U28" s="413"/>
      <c r="V28" s="413"/>
      <c r="W28" s="413"/>
      <c r="X28" s="413"/>
      <c r="Y28" s="414"/>
      <c r="Z28" s="4453">
        <f>SUMIF('11.3. ДА Базова година'!$B$12:$B$39,$B28,'11.3. ДА Базова година'!R$12:R$39)+SUMIF('11.3. ДА Базова година'!$B$92:$B$110,$B28,'11.3. ДА Базова година'!R$92:R$110)</f>
        <v>0</v>
      </c>
      <c r="AA28" s="415"/>
      <c r="AB28" s="413"/>
      <c r="AC28" s="413"/>
      <c r="AD28" s="413"/>
      <c r="AE28" s="413"/>
      <c r="AF28" s="414"/>
      <c r="AG28" s="4453">
        <f>SUMIF('11.3. ДА Базова година'!$B$12:$B$39,$B28,'11.3. ДА Базова година'!V$12:V$39)+SUMIF('11.3. ДА Базова година'!$B$92:$B$110,$B28,'11.3. ДА Базова година'!V$92:V$110)</f>
        <v>0</v>
      </c>
      <c r="AH28" s="415"/>
      <c r="AI28" s="413"/>
      <c r="AJ28" s="413"/>
      <c r="AK28" s="413"/>
      <c r="AL28" s="413"/>
      <c r="AM28" s="271"/>
      <c r="AN28" s="4132"/>
      <c r="AO28" s="3026"/>
      <c r="AP28" s="3027"/>
      <c r="AQ28" s="3027"/>
      <c r="AR28" s="3027"/>
      <c r="AS28" s="3027"/>
      <c r="AT28" s="3028"/>
      <c r="AU28" s="4488"/>
      <c r="AV28" s="4504">
        <f t="shared" si="40"/>
        <v>0</v>
      </c>
      <c r="AW28" s="4504">
        <f t="shared" si="41"/>
        <v>0</v>
      </c>
      <c r="AX28" s="4504">
        <f t="shared" si="42"/>
        <v>0</v>
      </c>
      <c r="AY28" s="4504">
        <f t="shared" si="43"/>
        <v>0</v>
      </c>
      <c r="AZ28" s="4504">
        <f t="shared" si="44"/>
        <v>0</v>
      </c>
      <c r="BA28" s="4504">
        <f t="shared" si="45"/>
        <v>0</v>
      </c>
      <c r="BB28" s="4504">
        <f t="shared" si="46"/>
        <v>0</v>
      </c>
      <c r="BC28" s="4504">
        <f t="shared" si="47"/>
        <v>0</v>
      </c>
      <c r="BD28" s="4504">
        <f t="shared" si="48"/>
        <v>0</v>
      </c>
      <c r="BE28" s="4504">
        <f t="shared" si="49"/>
        <v>0</v>
      </c>
      <c r="BF28" s="4504">
        <f t="shared" si="50"/>
        <v>0</v>
      </c>
      <c r="BG28" s="4504">
        <f t="shared" si="51"/>
        <v>0</v>
      </c>
      <c r="BH28" s="4504">
        <f t="shared" si="52"/>
        <v>0</v>
      </c>
      <c r="BI28" s="4504">
        <f t="shared" si="53"/>
        <v>0</v>
      </c>
      <c r="BJ28" s="4504">
        <f t="shared" si="54"/>
        <v>0</v>
      </c>
      <c r="BK28" s="4504">
        <f t="shared" si="55"/>
        <v>0</v>
      </c>
      <c r="BL28" s="4504">
        <f t="shared" si="56"/>
        <v>0</v>
      </c>
      <c r="BM28" s="4504">
        <f t="shared" si="57"/>
        <v>0</v>
      </c>
      <c r="BN28" s="4504">
        <f t="shared" si="58"/>
        <v>0</v>
      </c>
      <c r="BO28" s="4504">
        <f t="shared" si="59"/>
        <v>0</v>
      </c>
      <c r="BP28" s="4504">
        <f t="shared" si="60"/>
        <v>0</v>
      </c>
      <c r="BQ28" s="4504">
        <f t="shared" si="61"/>
        <v>0</v>
      </c>
      <c r="BR28" s="4504">
        <f t="shared" si="62"/>
        <v>0</v>
      </c>
      <c r="BS28" s="4504">
        <f t="shared" si="63"/>
        <v>0</v>
      </c>
      <c r="BT28" s="4504">
        <f t="shared" si="64"/>
        <v>0</v>
      </c>
      <c r="BU28" s="4504">
        <f t="shared" si="65"/>
        <v>0</v>
      </c>
      <c r="BV28" s="4504">
        <f t="shared" si="66"/>
        <v>0</v>
      </c>
      <c r="BW28" s="4504">
        <f t="shared" si="67"/>
        <v>0</v>
      </c>
      <c r="BX28" s="4504">
        <f t="shared" si="68"/>
        <v>0</v>
      </c>
      <c r="BY28" s="4504">
        <f t="shared" si="69"/>
        <v>0</v>
      </c>
      <c r="BZ28" s="4504">
        <f t="shared" si="70"/>
        <v>0</v>
      </c>
      <c r="CA28" s="4504">
        <f t="shared" si="71"/>
        <v>0</v>
      </c>
      <c r="CB28" s="4504">
        <f t="shared" si="72"/>
        <v>0</v>
      </c>
      <c r="CC28" s="4504">
        <f t="shared" si="73"/>
        <v>0</v>
      </c>
      <c r="CD28" s="4504">
        <f t="shared" si="74"/>
        <v>0</v>
      </c>
    </row>
    <row r="29" spans="1:82" s="669" customFormat="1">
      <c r="A29" s="2892"/>
      <c r="B29" s="2612">
        <v>20306</v>
      </c>
      <c r="C29" s="2893">
        <v>0.1</v>
      </c>
      <c r="D29" s="2896" t="s">
        <v>409</v>
      </c>
      <c r="E29" s="4453">
        <f>SUMIF('11.3. ДА Базова година'!$B$12:$B$39,$B29,'11.3. ДА Базова година'!F$12:F$39)+SUMIF('11.3. ДА Базова година'!$B$92:$B$110,$B29,'11.3. ДА Базова година'!F$92:F$110)</f>
        <v>0.61173180082035017</v>
      </c>
      <c r="F29" s="415"/>
      <c r="G29" s="413"/>
      <c r="H29" s="413"/>
      <c r="I29" s="413"/>
      <c r="J29" s="413"/>
      <c r="K29" s="271"/>
      <c r="L29" s="4453">
        <f>SUMIF('11.3. ДА Базова година'!$B$12:$B$39,$B29,'11.3. ДА Базова година'!J$12:J$39)+SUMIF('11.3. ДА Базова година'!$B$92:$B$110,$B29,'11.3. ДА Базова година'!J$92:J$110)</f>
        <v>0.44294187622399184</v>
      </c>
      <c r="M29" s="415"/>
      <c r="N29" s="413"/>
      <c r="O29" s="413"/>
      <c r="P29" s="413"/>
      <c r="Q29" s="413"/>
      <c r="R29" s="271"/>
      <c r="S29" s="4453">
        <f>SUMIF('11.3. ДА Базова година'!$B$12:$B$39,$B29,'11.3. ДА Базова година'!N$12:N$39)+SUMIF('11.3. ДА Базова година'!$B$92:$B$110,$B29,'11.3. ДА Базова година'!N$92:N$110)</f>
        <v>0.54046993558037837</v>
      </c>
      <c r="T29" s="415"/>
      <c r="U29" s="413"/>
      <c r="V29" s="413"/>
      <c r="W29" s="413"/>
      <c r="X29" s="413"/>
      <c r="Y29" s="414"/>
      <c r="Z29" s="4453">
        <f>SUMIF('11.3. ДА Базова година'!$B$12:$B$39,$B29,'11.3. ДА Базова година'!R$12:R$39)+SUMIF('11.3. ДА Базова година'!$B$92:$B$110,$B29,'11.3. ДА Базова година'!R$92:R$110)</f>
        <v>0</v>
      </c>
      <c r="AA29" s="415"/>
      <c r="AB29" s="413"/>
      <c r="AC29" s="413"/>
      <c r="AD29" s="413"/>
      <c r="AE29" s="413"/>
      <c r="AF29" s="414"/>
      <c r="AG29" s="4453">
        <f>SUMIF('11.3. ДА Базова година'!$B$12:$B$39,$B29,'11.3. ДА Базова година'!V$12:V$39)+SUMIF('11.3. ДА Базова година'!$B$92:$B$110,$B29,'11.3. ДА Базова година'!V$92:V$110)</f>
        <v>2.5320644091142347E-2</v>
      </c>
      <c r="AH29" s="415"/>
      <c r="AI29" s="413"/>
      <c r="AJ29" s="413"/>
      <c r="AK29" s="413"/>
      <c r="AL29" s="413"/>
      <c r="AM29" s="271"/>
      <c r="AN29" s="4132"/>
      <c r="AO29" s="3026"/>
      <c r="AP29" s="3027"/>
      <c r="AQ29" s="3027"/>
      <c r="AR29" s="3027"/>
      <c r="AS29" s="3027"/>
      <c r="AT29" s="3028"/>
      <c r="AU29" s="4488"/>
      <c r="AV29" s="4504">
        <f t="shared" si="40"/>
        <v>0.31277350322898728</v>
      </c>
      <c r="AW29" s="4504">
        <f t="shared" si="41"/>
        <v>0</v>
      </c>
      <c r="AX29" s="4504">
        <f t="shared" si="42"/>
        <v>0</v>
      </c>
      <c r="AY29" s="4504">
        <f t="shared" si="43"/>
        <v>0</v>
      </c>
      <c r="AZ29" s="4504">
        <f t="shared" si="44"/>
        <v>0</v>
      </c>
      <c r="BA29" s="4504">
        <f t="shared" si="45"/>
        <v>0</v>
      </c>
      <c r="BB29" s="4504">
        <f t="shared" si="46"/>
        <v>0</v>
      </c>
      <c r="BC29" s="4504">
        <f t="shared" si="47"/>
        <v>0.22647258515514734</v>
      </c>
      <c r="BD29" s="4504">
        <f t="shared" si="48"/>
        <v>0</v>
      </c>
      <c r="BE29" s="4504">
        <f t="shared" si="49"/>
        <v>0</v>
      </c>
      <c r="BF29" s="4504">
        <f t="shared" si="50"/>
        <v>0</v>
      </c>
      <c r="BG29" s="4504">
        <f t="shared" si="51"/>
        <v>0</v>
      </c>
      <c r="BH29" s="4504">
        <f t="shared" si="52"/>
        <v>0</v>
      </c>
      <c r="BI29" s="4504">
        <f t="shared" si="53"/>
        <v>0</v>
      </c>
      <c r="BJ29" s="4504">
        <f t="shared" si="54"/>
        <v>0.27633789009289067</v>
      </c>
      <c r="BK29" s="4504">
        <f t="shared" si="55"/>
        <v>0</v>
      </c>
      <c r="BL29" s="4504">
        <f t="shared" si="56"/>
        <v>0</v>
      </c>
      <c r="BM29" s="4504">
        <f t="shared" si="57"/>
        <v>0</v>
      </c>
      <c r="BN29" s="4504">
        <f t="shared" si="58"/>
        <v>0</v>
      </c>
      <c r="BO29" s="4504">
        <f t="shared" si="59"/>
        <v>0</v>
      </c>
      <c r="BP29" s="4504">
        <f t="shared" si="60"/>
        <v>0</v>
      </c>
      <c r="BQ29" s="4504">
        <f t="shared" si="61"/>
        <v>0</v>
      </c>
      <c r="BR29" s="4504">
        <f t="shared" si="62"/>
        <v>0</v>
      </c>
      <c r="BS29" s="4504">
        <f t="shared" si="63"/>
        <v>0</v>
      </c>
      <c r="BT29" s="4504">
        <f t="shared" si="64"/>
        <v>0</v>
      </c>
      <c r="BU29" s="4504">
        <f t="shared" si="65"/>
        <v>0</v>
      </c>
      <c r="BV29" s="4504">
        <f t="shared" si="66"/>
        <v>0</v>
      </c>
      <c r="BW29" s="4504">
        <f t="shared" si="67"/>
        <v>0</v>
      </c>
      <c r="BX29" s="4504">
        <f t="shared" si="68"/>
        <v>1.2946239750460085E-2</v>
      </c>
      <c r="BY29" s="4504">
        <f t="shared" si="69"/>
        <v>0</v>
      </c>
      <c r="BZ29" s="4504">
        <f t="shared" si="70"/>
        <v>0</v>
      </c>
      <c r="CA29" s="4504">
        <f t="shared" si="71"/>
        <v>0</v>
      </c>
      <c r="CB29" s="4504">
        <f t="shared" si="72"/>
        <v>0</v>
      </c>
      <c r="CC29" s="4504">
        <f t="shared" si="73"/>
        <v>0</v>
      </c>
      <c r="CD29" s="4504">
        <f t="shared" si="74"/>
        <v>0</v>
      </c>
    </row>
    <row r="30" spans="1:82" s="669" customFormat="1" ht="14.25" customHeight="1">
      <c r="A30" s="2883">
        <v>4</v>
      </c>
      <c r="B30" s="2884">
        <v>204</v>
      </c>
      <c r="C30" s="2885"/>
      <c r="D30" s="2907" t="s">
        <v>211</v>
      </c>
      <c r="E30" s="2887">
        <f>E31+E34+E43+E44</f>
        <v>580.32797581283057</v>
      </c>
      <c r="F30" s="2888">
        <f t="shared" ref="F30:K30" si="83">F31+F34+F43+F44</f>
        <v>0</v>
      </c>
      <c r="G30" s="2889">
        <f t="shared" si="83"/>
        <v>0</v>
      </c>
      <c r="H30" s="2889">
        <f t="shared" si="83"/>
        <v>0</v>
      </c>
      <c r="I30" s="2889">
        <f t="shared" si="83"/>
        <v>0</v>
      </c>
      <c r="J30" s="2889">
        <f t="shared" si="83"/>
        <v>0</v>
      </c>
      <c r="K30" s="2890">
        <f t="shared" si="83"/>
        <v>0</v>
      </c>
      <c r="L30" s="2887">
        <f>L31+L34+L43+L44</f>
        <v>9.1790699999999994</v>
      </c>
      <c r="M30" s="2888">
        <f t="shared" ref="M30:R30" si="84">M31+M34+M43+M44</f>
        <v>0</v>
      </c>
      <c r="N30" s="2889">
        <f t="shared" si="84"/>
        <v>0</v>
      </c>
      <c r="O30" s="2889">
        <f t="shared" si="84"/>
        <v>0</v>
      </c>
      <c r="P30" s="2889">
        <f t="shared" si="84"/>
        <v>0</v>
      </c>
      <c r="Q30" s="2889">
        <f t="shared" si="84"/>
        <v>0</v>
      </c>
      <c r="R30" s="2890">
        <f t="shared" si="84"/>
        <v>0</v>
      </c>
      <c r="S30" s="2887">
        <f>S31+S34+S43+S44</f>
        <v>0</v>
      </c>
      <c r="T30" s="2888">
        <f t="shared" ref="T30:AN30" si="85">T31+T34+T43+T44</f>
        <v>0</v>
      </c>
      <c r="U30" s="2889">
        <f t="shared" si="85"/>
        <v>0</v>
      </c>
      <c r="V30" s="2889">
        <f t="shared" si="85"/>
        <v>0</v>
      </c>
      <c r="W30" s="2889">
        <f t="shared" si="85"/>
        <v>0</v>
      </c>
      <c r="X30" s="2889">
        <f t="shared" si="85"/>
        <v>0</v>
      </c>
      <c r="Y30" s="2891">
        <f t="shared" si="85"/>
        <v>0</v>
      </c>
      <c r="Z30" s="2887">
        <f>Z31+Z34+Z43+Z44</f>
        <v>0</v>
      </c>
      <c r="AA30" s="2888">
        <f t="shared" ref="AA30:AF30" si="86">AA31+AA34+AA43+AA44</f>
        <v>0</v>
      </c>
      <c r="AB30" s="2889">
        <f t="shared" si="86"/>
        <v>0</v>
      </c>
      <c r="AC30" s="2889">
        <f t="shared" si="86"/>
        <v>0</v>
      </c>
      <c r="AD30" s="2889">
        <f t="shared" si="86"/>
        <v>0</v>
      </c>
      <c r="AE30" s="2889">
        <f t="shared" si="86"/>
        <v>0</v>
      </c>
      <c r="AF30" s="2891">
        <f t="shared" si="86"/>
        <v>0</v>
      </c>
      <c r="AG30" s="2887">
        <f>AG31+AG34+AG43+AG44</f>
        <v>29.204694187169277</v>
      </c>
      <c r="AH30" s="2888">
        <f t="shared" ref="AH30:AM30" si="87">AH31+AH34+AH43+AH44</f>
        <v>0</v>
      </c>
      <c r="AI30" s="2889">
        <f t="shared" si="87"/>
        <v>0</v>
      </c>
      <c r="AJ30" s="2889">
        <f t="shared" si="87"/>
        <v>0</v>
      </c>
      <c r="AK30" s="2889">
        <f t="shared" si="87"/>
        <v>0</v>
      </c>
      <c r="AL30" s="2889">
        <f t="shared" si="87"/>
        <v>0</v>
      </c>
      <c r="AM30" s="2890">
        <f t="shared" si="87"/>
        <v>0</v>
      </c>
      <c r="AN30" s="4133">
        <f t="shared" si="85"/>
        <v>0</v>
      </c>
      <c r="AO30" s="3026"/>
      <c r="AP30" s="3027"/>
      <c r="AQ30" s="3027"/>
      <c r="AR30" s="3027"/>
      <c r="AS30" s="3027"/>
      <c r="AT30" s="3028"/>
      <c r="AU30" s="4488"/>
      <c r="AV30" s="4504">
        <f t="shared" si="40"/>
        <v>296.71698246413575</v>
      </c>
      <c r="AW30" s="4504">
        <f t="shared" si="41"/>
        <v>0</v>
      </c>
      <c r="AX30" s="4504">
        <f t="shared" si="42"/>
        <v>0</v>
      </c>
      <c r="AY30" s="4504">
        <f t="shared" si="43"/>
        <v>0</v>
      </c>
      <c r="AZ30" s="4504">
        <f t="shared" si="44"/>
        <v>0</v>
      </c>
      <c r="BA30" s="4504">
        <f t="shared" si="45"/>
        <v>0</v>
      </c>
      <c r="BB30" s="4504">
        <f t="shared" si="46"/>
        <v>0</v>
      </c>
      <c r="BC30" s="4504">
        <f t="shared" si="47"/>
        <v>4.6931839679317733</v>
      </c>
      <c r="BD30" s="4504">
        <f t="shared" si="48"/>
        <v>0</v>
      </c>
      <c r="BE30" s="4504">
        <f t="shared" si="49"/>
        <v>0</v>
      </c>
      <c r="BF30" s="4504">
        <f t="shared" si="50"/>
        <v>0</v>
      </c>
      <c r="BG30" s="4504">
        <f t="shared" si="51"/>
        <v>0</v>
      </c>
      <c r="BH30" s="4504">
        <f t="shared" si="52"/>
        <v>0</v>
      </c>
      <c r="BI30" s="4504">
        <f t="shared" si="53"/>
        <v>0</v>
      </c>
      <c r="BJ30" s="4504">
        <f t="shared" si="54"/>
        <v>0</v>
      </c>
      <c r="BK30" s="4504">
        <f t="shared" si="55"/>
        <v>0</v>
      </c>
      <c r="BL30" s="4504">
        <f t="shared" si="56"/>
        <v>0</v>
      </c>
      <c r="BM30" s="4504">
        <f t="shared" si="57"/>
        <v>0</v>
      </c>
      <c r="BN30" s="4504">
        <f t="shared" si="58"/>
        <v>0</v>
      </c>
      <c r="BO30" s="4504">
        <f t="shared" si="59"/>
        <v>0</v>
      </c>
      <c r="BP30" s="4504">
        <f t="shared" si="60"/>
        <v>0</v>
      </c>
      <c r="BQ30" s="4504">
        <f t="shared" si="61"/>
        <v>0</v>
      </c>
      <c r="BR30" s="4504">
        <f t="shared" si="62"/>
        <v>0</v>
      </c>
      <c r="BS30" s="4504">
        <f t="shared" si="63"/>
        <v>0</v>
      </c>
      <c r="BT30" s="4504">
        <f t="shared" si="64"/>
        <v>0</v>
      </c>
      <c r="BU30" s="4504">
        <f t="shared" si="65"/>
        <v>0</v>
      </c>
      <c r="BV30" s="4504">
        <f t="shared" si="66"/>
        <v>0</v>
      </c>
      <c r="BW30" s="4504">
        <f t="shared" si="67"/>
        <v>0</v>
      </c>
      <c r="BX30" s="4504">
        <f t="shared" si="68"/>
        <v>14.932123030718047</v>
      </c>
      <c r="BY30" s="4504">
        <f t="shared" si="69"/>
        <v>0</v>
      </c>
      <c r="BZ30" s="4504">
        <f t="shared" si="70"/>
        <v>0</v>
      </c>
      <c r="CA30" s="4504">
        <f t="shared" si="71"/>
        <v>0</v>
      </c>
      <c r="CB30" s="4504">
        <f t="shared" si="72"/>
        <v>0</v>
      </c>
      <c r="CC30" s="4504">
        <f t="shared" si="73"/>
        <v>0</v>
      </c>
      <c r="CD30" s="4504">
        <f t="shared" si="74"/>
        <v>0</v>
      </c>
    </row>
    <row r="31" spans="1:82" s="669" customFormat="1">
      <c r="A31" s="2892"/>
      <c r="B31" s="2612">
        <v>20401</v>
      </c>
      <c r="C31" s="2905"/>
      <c r="D31" s="2882" t="s">
        <v>417</v>
      </c>
      <c r="E31" s="2897">
        <f t="shared" ref="E31:AN31" si="88">SUM(E32:E33)</f>
        <v>0</v>
      </c>
      <c r="F31" s="2898">
        <f t="shared" si="88"/>
        <v>0</v>
      </c>
      <c r="G31" s="2899">
        <f t="shared" si="88"/>
        <v>0</v>
      </c>
      <c r="H31" s="2899">
        <f t="shared" si="88"/>
        <v>0</v>
      </c>
      <c r="I31" s="2899">
        <f t="shared" si="88"/>
        <v>0</v>
      </c>
      <c r="J31" s="2899">
        <f t="shared" si="88"/>
        <v>0</v>
      </c>
      <c r="K31" s="2900">
        <f t="shared" si="88"/>
        <v>0</v>
      </c>
      <c r="L31" s="2897">
        <f t="shared" si="88"/>
        <v>0</v>
      </c>
      <c r="M31" s="2898">
        <f t="shared" si="88"/>
        <v>0</v>
      </c>
      <c r="N31" s="2899">
        <f t="shared" si="88"/>
        <v>0</v>
      </c>
      <c r="O31" s="2899">
        <f t="shared" si="88"/>
        <v>0</v>
      </c>
      <c r="P31" s="2899">
        <f t="shared" si="88"/>
        <v>0</v>
      </c>
      <c r="Q31" s="2899">
        <f t="shared" si="88"/>
        <v>0</v>
      </c>
      <c r="R31" s="2900">
        <f t="shared" si="88"/>
        <v>0</v>
      </c>
      <c r="S31" s="2897">
        <f t="shared" si="88"/>
        <v>0</v>
      </c>
      <c r="T31" s="2898">
        <f t="shared" si="88"/>
        <v>0</v>
      </c>
      <c r="U31" s="2899">
        <f t="shared" si="88"/>
        <v>0</v>
      </c>
      <c r="V31" s="2899">
        <f t="shared" si="88"/>
        <v>0</v>
      </c>
      <c r="W31" s="2899">
        <f t="shared" si="88"/>
        <v>0</v>
      </c>
      <c r="X31" s="2899">
        <f t="shared" si="88"/>
        <v>0</v>
      </c>
      <c r="Y31" s="2901">
        <f t="shared" si="88"/>
        <v>0</v>
      </c>
      <c r="Z31" s="2897">
        <f t="shared" ref="Z31:AM31" si="89">SUM(Z32:Z33)</f>
        <v>0</v>
      </c>
      <c r="AA31" s="2898">
        <f t="shared" si="89"/>
        <v>0</v>
      </c>
      <c r="AB31" s="2899">
        <f t="shared" si="89"/>
        <v>0</v>
      </c>
      <c r="AC31" s="2899">
        <f t="shared" si="89"/>
        <v>0</v>
      </c>
      <c r="AD31" s="2899">
        <f t="shared" si="89"/>
        <v>0</v>
      </c>
      <c r="AE31" s="2899">
        <f t="shared" si="89"/>
        <v>0</v>
      </c>
      <c r="AF31" s="2901">
        <f t="shared" si="89"/>
        <v>0</v>
      </c>
      <c r="AG31" s="2897">
        <f t="shared" si="89"/>
        <v>0</v>
      </c>
      <c r="AH31" s="2898">
        <f t="shared" si="89"/>
        <v>0</v>
      </c>
      <c r="AI31" s="2899">
        <f t="shared" si="89"/>
        <v>0</v>
      </c>
      <c r="AJ31" s="2899">
        <f t="shared" si="89"/>
        <v>0</v>
      </c>
      <c r="AK31" s="2899">
        <f t="shared" si="89"/>
        <v>0</v>
      </c>
      <c r="AL31" s="2899">
        <f t="shared" si="89"/>
        <v>0</v>
      </c>
      <c r="AM31" s="2900">
        <f t="shared" si="89"/>
        <v>0</v>
      </c>
      <c r="AN31" s="4134">
        <f t="shared" si="88"/>
        <v>0</v>
      </c>
      <c r="AO31" s="3026"/>
      <c r="AP31" s="3027"/>
      <c r="AQ31" s="3027"/>
      <c r="AR31" s="3027"/>
      <c r="AS31" s="3027"/>
      <c r="AT31" s="3028"/>
      <c r="AU31" s="4488"/>
      <c r="AV31" s="4504">
        <f t="shared" si="40"/>
        <v>0</v>
      </c>
      <c r="AW31" s="4504">
        <f t="shared" si="41"/>
        <v>0</v>
      </c>
      <c r="AX31" s="4504">
        <f t="shared" si="42"/>
        <v>0</v>
      </c>
      <c r="AY31" s="4504">
        <f t="shared" si="43"/>
        <v>0</v>
      </c>
      <c r="AZ31" s="4504">
        <f t="shared" si="44"/>
        <v>0</v>
      </c>
      <c r="BA31" s="4504">
        <f t="shared" si="45"/>
        <v>0</v>
      </c>
      <c r="BB31" s="4504">
        <f t="shared" si="46"/>
        <v>0</v>
      </c>
      <c r="BC31" s="4504">
        <f t="shared" si="47"/>
        <v>0</v>
      </c>
      <c r="BD31" s="4504">
        <f t="shared" si="48"/>
        <v>0</v>
      </c>
      <c r="BE31" s="4504">
        <f t="shared" si="49"/>
        <v>0</v>
      </c>
      <c r="BF31" s="4504">
        <f t="shared" si="50"/>
        <v>0</v>
      </c>
      <c r="BG31" s="4504">
        <f t="shared" si="51"/>
        <v>0</v>
      </c>
      <c r="BH31" s="4504">
        <f t="shared" si="52"/>
        <v>0</v>
      </c>
      <c r="BI31" s="4504">
        <f t="shared" si="53"/>
        <v>0</v>
      </c>
      <c r="BJ31" s="4504">
        <f t="shared" si="54"/>
        <v>0</v>
      </c>
      <c r="BK31" s="4504">
        <f t="shared" si="55"/>
        <v>0</v>
      </c>
      <c r="BL31" s="4504">
        <f t="shared" si="56"/>
        <v>0</v>
      </c>
      <c r="BM31" s="4504">
        <f t="shared" si="57"/>
        <v>0</v>
      </c>
      <c r="BN31" s="4504">
        <f t="shared" si="58"/>
        <v>0</v>
      </c>
      <c r="BO31" s="4504">
        <f t="shared" si="59"/>
        <v>0</v>
      </c>
      <c r="BP31" s="4504">
        <f t="shared" si="60"/>
        <v>0</v>
      </c>
      <c r="BQ31" s="4504">
        <f t="shared" si="61"/>
        <v>0</v>
      </c>
      <c r="BR31" s="4504">
        <f t="shared" si="62"/>
        <v>0</v>
      </c>
      <c r="BS31" s="4504">
        <f t="shared" si="63"/>
        <v>0</v>
      </c>
      <c r="BT31" s="4504">
        <f t="shared" si="64"/>
        <v>0</v>
      </c>
      <c r="BU31" s="4504">
        <f t="shared" si="65"/>
        <v>0</v>
      </c>
      <c r="BV31" s="4504">
        <f t="shared" si="66"/>
        <v>0</v>
      </c>
      <c r="BW31" s="4504">
        <f t="shared" si="67"/>
        <v>0</v>
      </c>
      <c r="BX31" s="4504">
        <f t="shared" si="68"/>
        <v>0</v>
      </c>
      <c r="BY31" s="4504">
        <f t="shared" si="69"/>
        <v>0</v>
      </c>
      <c r="BZ31" s="4504">
        <f t="shared" si="70"/>
        <v>0</v>
      </c>
      <c r="CA31" s="4504">
        <f t="shared" si="71"/>
        <v>0</v>
      </c>
      <c r="CB31" s="4504">
        <f t="shared" si="72"/>
        <v>0</v>
      </c>
      <c r="CC31" s="4504">
        <f t="shared" si="73"/>
        <v>0</v>
      </c>
      <c r="CD31" s="4504">
        <f t="shared" si="74"/>
        <v>0</v>
      </c>
    </row>
    <row r="32" spans="1:82" s="669" customFormat="1">
      <c r="A32" s="2892"/>
      <c r="B32" s="2902">
        <v>2040101</v>
      </c>
      <c r="C32" s="2903">
        <v>0.1</v>
      </c>
      <c r="D32" s="2908" t="s">
        <v>431</v>
      </c>
      <c r="E32" s="4453">
        <f>SUMIF('11.3. ДА Базова година'!$B$12:$B$39,$B32,'11.3. ДА Базова година'!F$12:F$39)+SUMIF('11.3. ДА Базова година'!$B$92:$B$110,$B32,'11.3. ДА Базова година'!F$92:F$110)</f>
        <v>0</v>
      </c>
      <c r="F32" s="415"/>
      <c r="G32" s="413"/>
      <c r="H32" s="413"/>
      <c r="I32" s="413"/>
      <c r="J32" s="413"/>
      <c r="K32" s="271"/>
      <c r="L32" s="4453">
        <f>SUMIF('11.3. ДА Базова година'!$B$12:$B$39,$B32,'11.3. ДА Базова година'!J$12:J$39)+SUMIF('11.3. ДА Базова година'!$B$92:$B$110,$B32,'11.3. ДА Базова година'!J$92:J$110)</f>
        <v>0</v>
      </c>
      <c r="M32" s="415"/>
      <c r="N32" s="413"/>
      <c r="O32" s="413"/>
      <c r="P32" s="413"/>
      <c r="Q32" s="413"/>
      <c r="R32" s="271"/>
      <c r="S32" s="4453">
        <f>SUMIF('11.3. ДА Базова година'!$B$12:$B$39,$B32,'11.3. ДА Базова година'!N$12:N$39)+SUMIF('11.3. ДА Базова година'!$B$92:$B$110,$B32,'11.3. ДА Базова година'!N$92:N$110)</f>
        <v>0</v>
      </c>
      <c r="T32" s="415"/>
      <c r="U32" s="413"/>
      <c r="V32" s="413"/>
      <c r="W32" s="413"/>
      <c r="X32" s="413"/>
      <c r="Y32" s="414"/>
      <c r="Z32" s="4453">
        <f>SUMIF('11.3. ДА Базова година'!$B$12:$B$39,$B32,'11.3. ДА Базова година'!R$12:R$39)+SUMIF('11.3. ДА Базова година'!$B$92:$B$110,$B32,'11.3. ДА Базова година'!R$92:R$110)</f>
        <v>0</v>
      </c>
      <c r="AA32" s="415"/>
      <c r="AB32" s="413"/>
      <c r="AC32" s="413"/>
      <c r="AD32" s="413"/>
      <c r="AE32" s="413"/>
      <c r="AF32" s="414"/>
      <c r="AG32" s="4453">
        <f>SUMIF('11.3. ДА Базова година'!$B$12:$B$39,$B32,'11.3. ДА Базова година'!V$12:V$39)+SUMIF('11.3. ДА Базова година'!$B$92:$B$110,$B32,'11.3. ДА Базова година'!V$92:V$110)</f>
        <v>0</v>
      </c>
      <c r="AH32" s="415"/>
      <c r="AI32" s="413"/>
      <c r="AJ32" s="413"/>
      <c r="AK32" s="413"/>
      <c r="AL32" s="413"/>
      <c r="AM32" s="271"/>
      <c r="AN32" s="4132"/>
      <c r="AO32" s="3026"/>
      <c r="AP32" s="3027"/>
      <c r="AQ32" s="3027"/>
      <c r="AR32" s="3027"/>
      <c r="AS32" s="3027"/>
      <c r="AT32" s="3028"/>
      <c r="AU32" s="4488"/>
      <c r="AV32" s="4504">
        <f t="shared" si="40"/>
        <v>0</v>
      </c>
      <c r="AW32" s="4504">
        <f t="shared" si="41"/>
        <v>0</v>
      </c>
      <c r="AX32" s="4504">
        <f t="shared" si="42"/>
        <v>0</v>
      </c>
      <c r="AY32" s="4504">
        <f t="shared" si="43"/>
        <v>0</v>
      </c>
      <c r="AZ32" s="4504">
        <f t="shared" si="44"/>
        <v>0</v>
      </c>
      <c r="BA32" s="4504">
        <f t="shared" si="45"/>
        <v>0</v>
      </c>
      <c r="BB32" s="4504">
        <f t="shared" si="46"/>
        <v>0</v>
      </c>
      <c r="BC32" s="4504">
        <f t="shared" si="47"/>
        <v>0</v>
      </c>
      <c r="BD32" s="4504">
        <f t="shared" si="48"/>
        <v>0</v>
      </c>
      <c r="BE32" s="4504">
        <f t="shared" si="49"/>
        <v>0</v>
      </c>
      <c r="BF32" s="4504">
        <f t="shared" si="50"/>
        <v>0</v>
      </c>
      <c r="BG32" s="4504">
        <f t="shared" si="51"/>
        <v>0</v>
      </c>
      <c r="BH32" s="4504">
        <f t="shared" si="52"/>
        <v>0</v>
      </c>
      <c r="BI32" s="4504">
        <f t="shared" si="53"/>
        <v>0</v>
      </c>
      <c r="BJ32" s="4504">
        <f t="shared" si="54"/>
        <v>0</v>
      </c>
      <c r="BK32" s="4504">
        <f t="shared" si="55"/>
        <v>0</v>
      </c>
      <c r="BL32" s="4504">
        <f t="shared" si="56"/>
        <v>0</v>
      </c>
      <c r="BM32" s="4504">
        <f t="shared" si="57"/>
        <v>0</v>
      </c>
      <c r="BN32" s="4504">
        <f t="shared" si="58"/>
        <v>0</v>
      </c>
      <c r="BO32" s="4504">
        <f t="shared" si="59"/>
        <v>0</v>
      </c>
      <c r="BP32" s="4504">
        <f t="shared" si="60"/>
        <v>0</v>
      </c>
      <c r="BQ32" s="4504">
        <f t="shared" si="61"/>
        <v>0</v>
      </c>
      <c r="BR32" s="4504">
        <f t="shared" si="62"/>
        <v>0</v>
      </c>
      <c r="BS32" s="4504">
        <f t="shared" si="63"/>
        <v>0</v>
      </c>
      <c r="BT32" s="4504">
        <f t="shared" si="64"/>
        <v>0</v>
      </c>
      <c r="BU32" s="4504">
        <f t="shared" si="65"/>
        <v>0</v>
      </c>
      <c r="BV32" s="4504">
        <f t="shared" si="66"/>
        <v>0</v>
      </c>
      <c r="BW32" s="4504">
        <f t="shared" si="67"/>
        <v>0</v>
      </c>
      <c r="BX32" s="4504">
        <f t="shared" si="68"/>
        <v>0</v>
      </c>
      <c r="BY32" s="4504">
        <f t="shared" si="69"/>
        <v>0</v>
      </c>
      <c r="BZ32" s="4504">
        <f t="shared" si="70"/>
        <v>0</v>
      </c>
      <c r="CA32" s="4504">
        <f t="shared" si="71"/>
        <v>0</v>
      </c>
      <c r="CB32" s="4504">
        <f t="shared" si="72"/>
        <v>0</v>
      </c>
      <c r="CC32" s="4504">
        <f t="shared" si="73"/>
        <v>0</v>
      </c>
      <c r="CD32" s="4504">
        <f t="shared" si="74"/>
        <v>0</v>
      </c>
    </row>
    <row r="33" spans="1:82" s="669" customFormat="1">
      <c r="A33" s="2892"/>
      <c r="B33" s="2902">
        <v>2040102</v>
      </c>
      <c r="C33" s="2903">
        <v>0.04</v>
      </c>
      <c r="D33" s="2908" t="s">
        <v>432</v>
      </c>
      <c r="E33" s="4453">
        <f>SUMIF('11.3. ДА Базова година'!$B$12:$B$39,$B33,'11.3. ДА Базова година'!F$12:F$39)+SUMIF('11.3. ДА Базова година'!$B$92:$B$110,$B33,'11.3. ДА Базова година'!F$92:F$110)</f>
        <v>0</v>
      </c>
      <c r="F33" s="415"/>
      <c r="G33" s="413"/>
      <c r="H33" s="413"/>
      <c r="I33" s="413"/>
      <c r="J33" s="413"/>
      <c r="K33" s="271"/>
      <c r="L33" s="4453">
        <f>SUMIF('11.3. ДА Базова година'!$B$12:$B$39,$B33,'11.3. ДА Базова година'!J$12:J$39)+SUMIF('11.3. ДА Базова година'!$B$92:$B$110,$B33,'11.3. ДА Базова година'!J$92:J$110)</f>
        <v>0</v>
      </c>
      <c r="M33" s="415"/>
      <c r="N33" s="413"/>
      <c r="O33" s="413"/>
      <c r="P33" s="413"/>
      <c r="Q33" s="413"/>
      <c r="R33" s="271"/>
      <c r="S33" s="4453">
        <f>SUMIF('11.3. ДА Базова година'!$B$12:$B$39,$B33,'11.3. ДА Базова година'!N$12:N$39)+SUMIF('11.3. ДА Базова година'!$B$92:$B$110,$B33,'11.3. ДА Базова година'!N$92:N$110)</f>
        <v>0</v>
      </c>
      <c r="T33" s="415"/>
      <c r="U33" s="413"/>
      <c r="V33" s="413"/>
      <c r="W33" s="413"/>
      <c r="X33" s="413"/>
      <c r="Y33" s="414"/>
      <c r="Z33" s="4453">
        <f>SUMIF('11.3. ДА Базова година'!$B$12:$B$39,$B33,'11.3. ДА Базова година'!R$12:R$39)+SUMIF('11.3. ДА Базова година'!$B$92:$B$110,$B33,'11.3. ДА Базова година'!R$92:R$110)</f>
        <v>0</v>
      </c>
      <c r="AA33" s="415"/>
      <c r="AB33" s="413"/>
      <c r="AC33" s="413"/>
      <c r="AD33" s="413"/>
      <c r="AE33" s="413"/>
      <c r="AF33" s="414"/>
      <c r="AG33" s="4453">
        <f>SUMIF('11.3. ДА Базова година'!$B$12:$B$39,$B33,'11.3. ДА Базова година'!V$12:V$39)+SUMIF('11.3. ДА Базова година'!$B$92:$B$110,$B33,'11.3. ДА Базова година'!V$92:V$110)</f>
        <v>0</v>
      </c>
      <c r="AH33" s="415"/>
      <c r="AI33" s="413"/>
      <c r="AJ33" s="413"/>
      <c r="AK33" s="413"/>
      <c r="AL33" s="413"/>
      <c r="AM33" s="271"/>
      <c r="AN33" s="4132"/>
      <c r="AO33" s="3026"/>
      <c r="AP33" s="3027"/>
      <c r="AQ33" s="3027"/>
      <c r="AR33" s="3027"/>
      <c r="AS33" s="3027"/>
      <c r="AT33" s="3028"/>
      <c r="AU33" s="4488"/>
      <c r="AV33" s="4504">
        <f t="shared" si="40"/>
        <v>0</v>
      </c>
      <c r="AW33" s="4504">
        <f t="shared" si="41"/>
        <v>0</v>
      </c>
      <c r="AX33" s="4504">
        <f t="shared" si="42"/>
        <v>0</v>
      </c>
      <c r="AY33" s="4504">
        <f t="shared" si="43"/>
        <v>0</v>
      </c>
      <c r="AZ33" s="4504">
        <f t="shared" si="44"/>
        <v>0</v>
      </c>
      <c r="BA33" s="4504">
        <f t="shared" si="45"/>
        <v>0</v>
      </c>
      <c r="BB33" s="4504">
        <f t="shared" si="46"/>
        <v>0</v>
      </c>
      <c r="BC33" s="4504">
        <f t="shared" si="47"/>
        <v>0</v>
      </c>
      <c r="BD33" s="4504">
        <f t="shared" si="48"/>
        <v>0</v>
      </c>
      <c r="BE33" s="4504">
        <f t="shared" si="49"/>
        <v>0</v>
      </c>
      <c r="BF33" s="4504">
        <f t="shared" si="50"/>
        <v>0</v>
      </c>
      <c r="BG33" s="4504">
        <f t="shared" si="51"/>
        <v>0</v>
      </c>
      <c r="BH33" s="4504">
        <f t="shared" si="52"/>
        <v>0</v>
      </c>
      <c r="BI33" s="4504">
        <f t="shared" si="53"/>
        <v>0</v>
      </c>
      <c r="BJ33" s="4504">
        <f t="shared" si="54"/>
        <v>0</v>
      </c>
      <c r="BK33" s="4504">
        <f t="shared" si="55"/>
        <v>0</v>
      </c>
      <c r="BL33" s="4504">
        <f t="shared" si="56"/>
        <v>0</v>
      </c>
      <c r="BM33" s="4504">
        <f t="shared" si="57"/>
        <v>0</v>
      </c>
      <c r="BN33" s="4504">
        <f t="shared" si="58"/>
        <v>0</v>
      </c>
      <c r="BO33" s="4504">
        <f t="shared" si="59"/>
        <v>0</v>
      </c>
      <c r="BP33" s="4504">
        <f t="shared" si="60"/>
        <v>0</v>
      </c>
      <c r="BQ33" s="4504">
        <f t="shared" si="61"/>
        <v>0</v>
      </c>
      <c r="BR33" s="4504">
        <f t="shared" si="62"/>
        <v>0</v>
      </c>
      <c r="BS33" s="4504">
        <f t="shared" si="63"/>
        <v>0</v>
      </c>
      <c r="BT33" s="4504">
        <f t="shared" si="64"/>
        <v>0</v>
      </c>
      <c r="BU33" s="4504">
        <f t="shared" si="65"/>
        <v>0</v>
      </c>
      <c r="BV33" s="4504">
        <f t="shared" si="66"/>
        <v>0</v>
      </c>
      <c r="BW33" s="4504">
        <f t="shared" si="67"/>
        <v>0</v>
      </c>
      <c r="BX33" s="4504">
        <f t="shared" si="68"/>
        <v>0</v>
      </c>
      <c r="BY33" s="4504">
        <f t="shared" si="69"/>
        <v>0</v>
      </c>
      <c r="BZ33" s="4504">
        <f t="shared" si="70"/>
        <v>0</v>
      </c>
      <c r="CA33" s="4504">
        <f t="shared" si="71"/>
        <v>0</v>
      </c>
      <c r="CB33" s="4504">
        <f t="shared" si="72"/>
        <v>0</v>
      </c>
      <c r="CC33" s="4504">
        <f t="shared" si="73"/>
        <v>0</v>
      </c>
      <c r="CD33" s="4504">
        <f t="shared" si="74"/>
        <v>0</v>
      </c>
    </row>
    <row r="34" spans="1:82" s="669" customFormat="1">
      <c r="A34" s="2892"/>
      <c r="B34" s="2612">
        <v>20402</v>
      </c>
      <c r="C34" s="2905"/>
      <c r="D34" s="2882" t="s">
        <v>433</v>
      </c>
      <c r="E34" s="2897">
        <f>SUM(E35:E42)</f>
        <v>580.32797581283057</v>
      </c>
      <c r="F34" s="2898">
        <f>SUM(F35:F42)</f>
        <v>0</v>
      </c>
      <c r="G34" s="2899">
        <f t="shared" ref="G34:K34" si="90">SUM(G35:G42)</f>
        <v>0</v>
      </c>
      <c r="H34" s="2899">
        <f t="shared" si="90"/>
        <v>0</v>
      </c>
      <c r="I34" s="2899">
        <f t="shared" si="90"/>
        <v>0</v>
      </c>
      <c r="J34" s="2899">
        <f t="shared" si="90"/>
        <v>0</v>
      </c>
      <c r="K34" s="2900">
        <f t="shared" si="90"/>
        <v>0</v>
      </c>
      <c r="L34" s="2897">
        <f>SUM(L35:L42)</f>
        <v>9.1790699999999994</v>
      </c>
      <c r="M34" s="2898">
        <f t="shared" ref="M34:AN34" si="91">SUM(M35:M42)</f>
        <v>0</v>
      </c>
      <c r="N34" s="2899">
        <f t="shared" si="91"/>
        <v>0</v>
      </c>
      <c r="O34" s="2899">
        <f t="shared" si="91"/>
        <v>0</v>
      </c>
      <c r="P34" s="2899">
        <f t="shared" si="91"/>
        <v>0</v>
      </c>
      <c r="Q34" s="2899">
        <f t="shared" si="91"/>
        <v>0</v>
      </c>
      <c r="R34" s="2900">
        <f t="shared" si="91"/>
        <v>0</v>
      </c>
      <c r="S34" s="2897">
        <f t="shared" si="91"/>
        <v>0</v>
      </c>
      <c r="T34" s="2898">
        <f t="shared" si="91"/>
        <v>0</v>
      </c>
      <c r="U34" s="2899">
        <f t="shared" si="91"/>
        <v>0</v>
      </c>
      <c r="V34" s="2899">
        <f t="shared" si="91"/>
        <v>0</v>
      </c>
      <c r="W34" s="2899">
        <f t="shared" si="91"/>
        <v>0</v>
      </c>
      <c r="X34" s="2899">
        <f t="shared" si="91"/>
        <v>0</v>
      </c>
      <c r="Y34" s="2901">
        <f t="shared" si="91"/>
        <v>0</v>
      </c>
      <c r="Z34" s="2897">
        <f t="shared" si="91"/>
        <v>0</v>
      </c>
      <c r="AA34" s="2898">
        <f t="shared" si="91"/>
        <v>0</v>
      </c>
      <c r="AB34" s="2899">
        <f t="shared" si="91"/>
        <v>0</v>
      </c>
      <c r="AC34" s="2899">
        <f t="shared" si="91"/>
        <v>0</v>
      </c>
      <c r="AD34" s="2899">
        <f t="shared" si="91"/>
        <v>0</v>
      </c>
      <c r="AE34" s="2899">
        <f t="shared" si="91"/>
        <v>0</v>
      </c>
      <c r="AF34" s="2901">
        <f t="shared" si="91"/>
        <v>0</v>
      </c>
      <c r="AG34" s="2897">
        <f>SUM(AG35:AG42)</f>
        <v>29.204694187169277</v>
      </c>
      <c r="AH34" s="2898">
        <f>SUM(AH35:AH42)</f>
        <v>0</v>
      </c>
      <c r="AI34" s="2899">
        <f t="shared" ref="AI34:AM34" si="92">SUM(AI35:AI42)</f>
        <v>0</v>
      </c>
      <c r="AJ34" s="2899">
        <f t="shared" si="92"/>
        <v>0</v>
      </c>
      <c r="AK34" s="2899">
        <f t="shared" si="92"/>
        <v>0</v>
      </c>
      <c r="AL34" s="2899">
        <f t="shared" si="92"/>
        <v>0</v>
      </c>
      <c r="AM34" s="2900">
        <f t="shared" si="92"/>
        <v>0</v>
      </c>
      <c r="AN34" s="4134">
        <f t="shared" si="91"/>
        <v>0</v>
      </c>
      <c r="AO34" s="3026"/>
      <c r="AP34" s="3027"/>
      <c r="AQ34" s="3027"/>
      <c r="AR34" s="3027"/>
      <c r="AS34" s="3027"/>
      <c r="AT34" s="3028"/>
      <c r="AU34" s="4488"/>
      <c r="AV34" s="4504">
        <f t="shared" si="40"/>
        <v>296.71698246413575</v>
      </c>
      <c r="AW34" s="4504">
        <f t="shared" si="41"/>
        <v>0</v>
      </c>
      <c r="AX34" s="4504">
        <f t="shared" si="42"/>
        <v>0</v>
      </c>
      <c r="AY34" s="4504">
        <f t="shared" si="43"/>
        <v>0</v>
      </c>
      <c r="AZ34" s="4504">
        <f t="shared" si="44"/>
        <v>0</v>
      </c>
      <c r="BA34" s="4504">
        <f t="shared" si="45"/>
        <v>0</v>
      </c>
      <c r="BB34" s="4504">
        <f t="shared" si="46"/>
        <v>0</v>
      </c>
      <c r="BC34" s="4504">
        <f t="shared" si="47"/>
        <v>4.6931839679317733</v>
      </c>
      <c r="BD34" s="4504">
        <f t="shared" si="48"/>
        <v>0</v>
      </c>
      <c r="BE34" s="4504">
        <f t="shared" si="49"/>
        <v>0</v>
      </c>
      <c r="BF34" s="4504">
        <f t="shared" si="50"/>
        <v>0</v>
      </c>
      <c r="BG34" s="4504">
        <f t="shared" si="51"/>
        <v>0</v>
      </c>
      <c r="BH34" s="4504">
        <f t="shared" si="52"/>
        <v>0</v>
      </c>
      <c r="BI34" s="4504">
        <f t="shared" si="53"/>
        <v>0</v>
      </c>
      <c r="BJ34" s="4504">
        <f t="shared" si="54"/>
        <v>0</v>
      </c>
      <c r="BK34" s="4504">
        <f t="shared" si="55"/>
        <v>0</v>
      </c>
      <c r="BL34" s="4504">
        <f t="shared" si="56"/>
        <v>0</v>
      </c>
      <c r="BM34" s="4504">
        <f t="shared" si="57"/>
        <v>0</v>
      </c>
      <c r="BN34" s="4504">
        <f t="shared" si="58"/>
        <v>0</v>
      </c>
      <c r="BO34" s="4504">
        <f t="shared" si="59"/>
        <v>0</v>
      </c>
      <c r="BP34" s="4504">
        <f t="shared" si="60"/>
        <v>0</v>
      </c>
      <c r="BQ34" s="4504">
        <f t="shared" si="61"/>
        <v>0</v>
      </c>
      <c r="BR34" s="4504">
        <f t="shared" si="62"/>
        <v>0</v>
      </c>
      <c r="BS34" s="4504">
        <f t="shared" si="63"/>
        <v>0</v>
      </c>
      <c r="BT34" s="4504">
        <f t="shared" si="64"/>
        <v>0</v>
      </c>
      <c r="BU34" s="4504">
        <f t="shared" si="65"/>
        <v>0</v>
      </c>
      <c r="BV34" s="4504">
        <f t="shared" si="66"/>
        <v>0</v>
      </c>
      <c r="BW34" s="4504">
        <f t="shared" si="67"/>
        <v>0</v>
      </c>
      <c r="BX34" s="4504">
        <f t="shared" si="68"/>
        <v>14.932123030718047</v>
      </c>
      <c r="BY34" s="4504">
        <f t="shared" si="69"/>
        <v>0</v>
      </c>
      <c r="BZ34" s="4504">
        <f t="shared" si="70"/>
        <v>0</v>
      </c>
      <c r="CA34" s="4504">
        <f t="shared" si="71"/>
        <v>0</v>
      </c>
      <c r="CB34" s="4504">
        <f t="shared" si="72"/>
        <v>0</v>
      </c>
      <c r="CC34" s="4504">
        <f t="shared" si="73"/>
        <v>0</v>
      </c>
      <c r="CD34" s="4504">
        <f t="shared" si="74"/>
        <v>0</v>
      </c>
    </row>
    <row r="35" spans="1:82" s="669" customFormat="1">
      <c r="A35" s="2892"/>
      <c r="B35" s="2612">
        <v>2040201</v>
      </c>
      <c r="C35" s="2893">
        <v>0.02</v>
      </c>
      <c r="D35" s="2904" t="s">
        <v>738</v>
      </c>
      <c r="E35" s="4453">
        <f>SUMIF('11.3. ДА Базова година'!$B$12:$B$39,$B35,'11.3. ДА Базова година'!F$12:F$39)+SUMIF('11.3. ДА Базова година'!$B$92:$B$110,$B35,'11.3. ДА Базова година'!F$92:F$110)</f>
        <v>0</v>
      </c>
      <c r="F35" s="415"/>
      <c r="G35" s="413"/>
      <c r="H35" s="413"/>
      <c r="I35" s="413"/>
      <c r="J35" s="413"/>
      <c r="K35" s="271"/>
      <c r="L35" s="4453">
        <f>SUMIF('11.3. ДА Базова година'!$B$12:$B$39,$B35,'11.3. ДА Базова година'!J$12:J$39)+SUMIF('11.3. ДА Базова година'!$B$92:$B$110,$B35,'11.3. ДА Базова година'!J$92:J$110)</f>
        <v>0</v>
      </c>
      <c r="M35" s="415"/>
      <c r="N35" s="413"/>
      <c r="O35" s="413"/>
      <c r="P35" s="413"/>
      <c r="Q35" s="413"/>
      <c r="R35" s="271"/>
      <c r="S35" s="4453">
        <f>SUMIF('11.3. ДА Базова година'!$B$12:$B$39,$B35,'11.3. ДА Базова година'!N$12:N$39)+SUMIF('11.3. ДА Базова година'!$B$92:$B$110,$B35,'11.3. ДА Базова година'!N$92:N$110)</f>
        <v>0</v>
      </c>
      <c r="T35" s="415"/>
      <c r="U35" s="413"/>
      <c r="V35" s="413"/>
      <c r="W35" s="413"/>
      <c r="X35" s="413"/>
      <c r="Y35" s="414"/>
      <c r="Z35" s="4453">
        <f>SUMIF('11.3. ДА Базова година'!$B$12:$B$39,$B35,'11.3. ДА Базова година'!R$12:R$39)+SUMIF('11.3. ДА Базова година'!$B$92:$B$110,$B35,'11.3. ДА Базова година'!R$92:R$110)</f>
        <v>0</v>
      </c>
      <c r="AA35" s="415"/>
      <c r="AB35" s="413"/>
      <c r="AC35" s="413"/>
      <c r="AD35" s="413"/>
      <c r="AE35" s="413"/>
      <c r="AF35" s="414"/>
      <c r="AG35" s="4453">
        <f>SUMIF('11.3. ДА Базова година'!$B$12:$B$39,$B35,'11.3. ДА Базова година'!V$12:V$39)+SUMIF('11.3. ДА Базова година'!$B$92:$B$110,$B35,'11.3. ДА Базова година'!V$92:V$110)</f>
        <v>0</v>
      </c>
      <c r="AH35" s="415"/>
      <c r="AI35" s="413"/>
      <c r="AJ35" s="413"/>
      <c r="AK35" s="413"/>
      <c r="AL35" s="413"/>
      <c r="AM35" s="271"/>
      <c r="AN35" s="4132"/>
      <c r="AO35" s="3026"/>
      <c r="AP35" s="3027"/>
      <c r="AQ35" s="3027"/>
      <c r="AR35" s="3027"/>
      <c r="AS35" s="3027"/>
      <c r="AT35" s="3028"/>
      <c r="AU35" s="4488"/>
      <c r="AV35" s="4504">
        <f t="shared" si="40"/>
        <v>0</v>
      </c>
      <c r="AW35" s="4504">
        <f t="shared" si="41"/>
        <v>0</v>
      </c>
      <c r="AX35" s="4504">
        <f t="shared" si="42"/>
        <v>0</v>
      </c>
      <c r="AY35" s="4504">
        <f t="shared" si="43"/>
        <v>0</v>
      </c>
      <c r="AZ35" s="4504">
        <f t="shared" si="44"/>
        <v>0</v>
      </c>
      <c r="BA35" s="4504">
        <f t="shared" si="45"/>
        <v>0</v>
      </c>
      <c r="BB35" s="4504">
        <f t="shared" si="46"/>
        <v>0</v>
      </c>
      <c r="BC35" s="4504">
        <f t="shared" si="47"/>
        <v>0</v>
      </c>
      <c r="BD35" s="4504">
        <f t="shared" si="48"/>
        <v>0</v>
      </c>
      <c r="BE35" s="4504">
        <f t="shared" si="49"/>
        <v>0</v>
      </c>
      <c r="BF35" s="4504">
        <f t="shared" si="50"/>
        <v>0</v>
      </c>
      <c r="BG35" s="4504">
        <f t="shared" si="51"/>
        <v>0</v>
      </c>
      <c r="BH35" s="4504">
        <f t="shared" si="52"/>
        <v>0</v>
      </c>
      <c r="BI35" s="4504">
        <f t="shared" si="53"/>
        <v>0</v>
      </c>
      <c r="BJ35" s="4504">
        <f t="shared" si="54"/>
        <v>0</v>
      </c>
      <c r="BK35" s="4504">
        <f t="shared" si="55"/>
        <v>0</v>
      </c>
      <c r="BL35" s="4504">
        <f t="shared" si="56"/>
        <v>0</v>
      </c>
      <c r="BM35" s="4504">
        <f t="shared" si="57"/>
        <v>0</v>
      </c>
      <c r="BN35" s="4504">
        <f t="shared" si="58"/>
        <v>0</v>
      </c>
      <c r="BO35" s="4504">
        <f t="shared" si="59"/>
        <v>0</v>
      </c>
      <c r="BP35" s="4504">
        <f t="shared" si="60"/>
        <v>0</v>
      </c>
      <c r="BQ35" s="4504">
        <f t="shared" si="61"/>
        <v>0</v>
      </c>
      <c r="BR35" s="4504">
        <f t="shared" si="62"/>
        <v>0</v>
      </c>
      <c r="BS35" s="4504">
        <f t="shared" si="63"/>
        <v>0</v>
      </c>
      <c r="BT35" s="4504">
        <f t="shared" si="64"/>
        <v>0</v>
      </c>
      <c r="BU35" s="4504">
        <f t="shared" si="65"/>
        <v>0</v>
      </c>
      <c r="BV35" s="4504">
        <f t="shared" si="66"/>
        <v>0</v>
      </c>
      <c r="BW35" s="4504">
        <f t="shared" si="67"/>
        <v>0</v>
      </c>
      <c r="BX35" s="4504">
        <f t="shared" si="68"/>
        <v>0</v>
      </c>
      <c r="BY35" s="4504">
        <f t="shared" si="69"/>
        <v>0</v>
      </c>
      <c r="BZ35" s="4504">
        <f t="shared" si="70"/>
        <v>0</v>
      </c>
      <c r="CA35" s="4504">
        <f t="shared" si="71"/>
        <v>0</v>
      </c>
      <c r="CB35" s="4504">
        <f t="shared" si="72"/>
        <v>0</v>
      </c>
      <c r="CC35" s="4504">
        <f t="shared" si="73"/>
        <v>0</v>
      </c>
      <c r="CD35" s="4504">
        <f t="shared" si="74"/>
        <v>0</v>
      </c>
    </row>
    <row r="36" spans="1:82" s="669" customFormat="1">
      <c r="A36" s="2892"/>
      <c r="B36" s="2612">
        <v>2040202</v>
      </c>
      <c r="C36" s="2893">
        <v>0.02</v>
      </c>
      <c r="D36" s="2904" t="s">
        <v>739</v>
      </c>
      <c r="E36" s="4453">
        <f>SUMIF('11.3. ДА Базова година'!$B$12:$B$39,$B36,'11.3. ДА Базова година'!F$12:F$39)+SUMIF('11.3. ДА Базова година'!$B$92:$B$110,$B36,'11.3. ДА Базова година'!F$92:F$110)</f>
        <v>0</v>
      </c>
      <c r="F36" s="415"/>
      <c r="G36" s="413"/>
      <c r="H36" s="413"/>
      <c r="I36" s="413"/>
      <c r="J36" s="413"/>
      <c r="K36" s="271"/>
      <c r="L36" s="4453">
        <f>SUMIF('11.3. ДА Базова година'!$B$12:$B$39,$B36,'11.3. ДА Базова година'!J$12:J$39)+SUMIF('11.3. ДА Базова година'!$B$92:$B$110,$B36,'11.3. ДА Базова година'!J$92:J$110)</f>
        <v>0</v>
      </c>
      <c r="M36" s="415"/>
      <c r="N36" s="413"/>
      <c r="O36" s="413"/>
      <c r="P36" s="413"/>
      <c r="Q36" s="413"/>
      <c r="R36" s="271"/>
      <c r="S36" s="4453">
        <f>SUMIF('11.3. ДА Базова година'!$B$12:$B$39,$B36,'11.3. ДА Базова година'!N$12:N$39)+SUMIF('11.3. ДА Базова година'!$B$92:$B$110,$B36,'11.3. ДА Базова година'!N$92:N$110)</f>
        <v>0</v>
      </c>
      <c r="T36" s="415"/>
      <c r="U36" s="413"/>
      <c r="V36" s="413"/>
      <c r="W36" s="413"/>
      <c r="X36" s="413"/>
      <c r="Y36" s="414"/>
      <c r="Z36" s="4453">
        <f>SUMIF('11.3. ДА Базова година'!$B$12:$B$39,$B36,'11.3. ДА Базова година'!R$12:R$39)+SUMIF('11.3. ДА Базова година'!$B$92:$B$110,$B36,'11.3. ДА Базова година'!R$92:R$110)</f>
        <v>0</v>
      </c>
      <c r="AA36" s="415"/>
      <c r="AB36" s="413"/>
      <c r="AC36" s="413"/>
      <c r="AD36" s="413"/>
      <c r="AE36" s="413"/>
      <c r="AF36" s="414"/>
      <c r="AG36" s="4453">
        <f>SUMIF('11.3. ДА Базова година'!$B$12:$B$39,$B36,'11.3. ДА Базова година'!V$12:V$39)+SUMIF('11.3. ДА Базова година'!$B$92:$B$110,$B36,'11.3. ДА Базова година'!V$92:V$110)</f>
        <v>0</v>
      </c>
      <c r="AH36" s="415"/>
      <c r="AI36" s="413"/>
      <c r="AJ36" s="413"/>
      <c r="AK36" s="413"/>
      <c r="AL36" s="413"/>
      <c r="AM36" s="271"/>
      <c r="AN36" s="4132"/>
      <c r="AO36" s="3026"/>
      <c r="AP36" s="3027"/>
      <c r="AQ36" s="3027"/>
      <c r="AR36" s="3027"/>
      <c r="AS36" s="3027"/>
      <c r="AT36" s="3028"/>
      <c r="AU36" s="4488"/>
      <c r="AV36" s="4504">
        <f t="shared" si="40"/>
        <v>0</v>
      </c>
      <c r="AW36" s="4504">
        <f t="shared" si="41"/>
        <v>0</v>
      </c>
      <c r="AX36" s="4504">
        <f t="shared" si="42"/>
        <v>0</v>
      </c>
      <c r="AY36" s="4504">
        <f t="shared" si="43"/>
        <v>0</v>
      </c>
      <c r="AZ36" s="4504">
        <f t="shared" si="44"/>
        <v>0</v>
      </c>
      <c r="BA36" s="4504">
        <f t="shared" si="45"/>
        <v>0</v>
      </c>
      <c r="BB36" s="4504">
        <f t="shared" si="46"/>
        <v>0</v>
      </c>
      <c r="BC36" s="4504">
        <f t="shared" si="47"/>
        <v>0</v>
      </c>
      <c r="BD36" s="4504">
        <f t="shared" si="48"/>
        <v>0</v>
      </c>
      <c r="BE36" s="4504">
        <f t="shared" si="49"/>
        <v>0</v>
      </c>
      <c r="BF36" s="4504">
        <f t="shared" si="50"/>
        <v>0</v>
      </c>
      <c r="BG36" s="4504">
        <f t="shared" si="51"/>
        <v>0</v>
      </c>
      <c r="BH36" s="4504">
        <f t="shared" si="52"/>
        <v>0</v>
      </c>
      <c r="BI36" s="4504">
        <f t="shared" si="53"/>
        <v>0</v>
      </c>
      <c r="BJ36" s="4504">
        <f t="shared" si="54"/>
        <v>0</v>
      </c>
      <c r="BK36" s="4504">
        <f t="shared" si="55"/>
        <v>0</v>
      </c>
      <c r="BL36" s="4504">
        <f t="shared" si="56"/>
        <v>0</v>
      </c>
      <c r="BM36" s="4504">
        <f t="shared" si="57"/>
        <v>0</v>
      </c>
      <c r="BN36" s="4504">
        <f t="shared" si="58"/>
        <v>0</v>
      </c>
      <c r="BO36" s="4504">
        <f t="shared" si="59"/>
        <v>0</v>
      </c>
      <c r="BP36" s="4504">
        <f t="shared" si="60"/>
        <v>0</v>
      </c>
      <c r="BQ36" s="4504">
        <f t="shared" si="61"/>
        <v>0</v>
      </c>
      <c r="BR36" s="4504">
        <f t="shared" si="62"/>
        <v>0</v>
      </c>
      <c r="BS36" s="4504">
        <f t="shared" si="63"/>
        <v>0</v>
      </c>
      <c r="BT36" s="4504">
        <f t="shared" si="64"/>
        <v>0</v>
      </c>
      <c r="BU36" s="4504">
        <f t="shared" si="65"/>
        <v>0</v>
      </c>
      <c r="BV36" s="4504">
        <f t="shared" si="66"/>
        <v>0</v>
      </c>
      <c r="BW36" s="4504">
        <f t="shared" si="67"/>
        <v>0</v>
      </c>
      <c r="BX36" s="4504">
        <f t="shared" si="68"/>
        <v>0</v>
      </c>
      <c r="BY36" s="4504">
        <f t="shared" si="69"/>
        <v>0</v>
      </c>
      <c r="BZ36" s="4504">
        <f t="shared" si="70"/>
        <v>0</v>
      </c>
      <c r="CA36" s="4504">
        <f t="shared" si="71"/>
        <v>0</v>
      </c>
      <c r="CB36" s="4504">
        <f t="shared" si="72"/>
        <v>0</v>
      </c>
      <c r="CC36" s="4504">
        <f t="shared" si="73"/>
        <v>0</v>
      </c>
      <c r="CD36" s="4504">
        <f t="shared" si="74"/>
        <v>0</v>
      </c>
    </row>
    <row r="37" spans="1:82" s="669" customFormat="1">
      <c r="A37" s="2892"/>
      <c r="B37" s="2612">
        <v>2040203</v>
      </c>
      <c r="C37" s="2893">
        <v>0.02</v>
      </c>
      <c r="D37" s="2904" t="s">
        <v>418</v>
      </c>
      <c r="E37" s="4453">
        <f>SUMIF('11.3. ДА Базова година'!$B$12:$B$39,$B37,'11.3. ДА Базова година'!F$12:F$39)+SUMIF('11.3. ДА Базова година'!$B$92:$B$110,$B37,'11.3. ДА Базова година'!F$92:F$110)</f>
        <v>0</v>
      </c>
      <c r="F37" s="415"/>
      <c r="G37" s="413"/>
      <c r="H37" s="413"/>
      <c r="I37" s="413"/>
      <c r="J37" s="413"/>
      <c r="K37" s="271"/>
      <c r="L37" s="4453">
        <f>SUMIF('11.3. ДА Базова година'!$B$12:$B$39,$B37,'11.3. ДА Базова година'!J$12:J$39)+SUMIF('11.3. ДА Базова година'!$B$92:$B$110,$B37,'11.3. ДА Базова година'!J$92:J$110)</f>
        <v>0</v>
      </c>
      <c r="M37" s="415"/>
      <c r="N37" s="413"/>
      <c r="O37" s="413"/>
      <c r="P37" s="413"/>
      <c r="Q37" s="413"/>
      <c r="R37" s="271"/>
      <c r="S37" s="4453">
        <f>SUMIF('11.3. ДА Базова година'!$B$12:$B$39,$B37,'11.3. ДА Базова година'!N$12:N$39)+SUMIF('11.3. ДА Базова година'!$B$92:$B$110,$B37,'11.3. ДА Базова година'!N$92:N$110)</f>
        <v>0</v>
      </c>
      <c r="T37" s="415"/>
      <c r="U37" s="413"/>
      <c r="V37" s="413"/>
      <c r="W37" s="413"/>
      <c r="X37" s="413"/>
      <c r="Y37" s="414"/>
      <c r="Z37" s="4453">
        <f>SUMIF('11.3. ДА Базова година'!$B$12:$B$39,$B37,'11.3. ДА Базова година'!R$12:R$39)+SUMIF('11.3. ДА Базова година'!$B$92:$B$110,$B37,'11.3. ДА Базова година'!R$92:R$110)</f>
        <v>0</v>
      </c>
      <c r="AA37" s="415"/>
      <c r="AB37" s="413"/>
      <c r="AC37" s="413"/>
      <c r="AD37" s="413"/>
      <c r="AE37" s="413"/>
      <c r="AF37" s="414"/>
      <c r="AG37" s="4453">
        <f>SUMIF('11.3. ДА Базова година'!$B$12:$B$39,$B37,'11.3. ДА Базова година'!V$12:V$39)+SUMIF('11.3. ДА Базова година'!$B$92:$B$110,$B37,'11.3. ДА Базова година'!V$92:V$110)</f>
        <v>0</v>
      </c>
      <c r="AH37" s="415"/>
      <c r="AI37" s="413"/>
      <c r="AJ37" s="413"/>
      <c r="AK37" s="413"/>
      <c r="AL37" s="413"/>
      <c r="AM37" s="271"/>
      <c r="AN37" s="4132"/>
      <c r="AO37" s="3026"/>
      <c r="AP37" s="3027"/>
      <c r="AQ37" s="3027"/>
      <c r="AR37" s="3027"/>
      <c r="AS37" s="3027"/>
      <c r="AT37" s="3028"/>
      <c r="AU37" s="4488"/>
      <c r="AV37" s="4504">
        <f t="shared" si="40"/>
        <v>0</v>
      </c>
      <c r="AW37" s="4504">
        <f t="shared" si="41"/>
        <v>0</v>
      </c>
      <c r="AX37" s="4504">
        <f t="shared" si="42"/>
        <v>0</v>
      </c>
      <c r="AY37" s="4504">
        <f t="shared" si="43"/>
        <v>0</v>
      </c>
      <c r="AZ37" s="4504">
        <f t="shared" si="44"/>
        <v>0</v>
      </c>
      <c r="BA37" s="4504">
        <f t="shared" si="45"/>
        <v>0</v>
      </c>
      <c r="BB37" s="4504">
        <f t="shared" si="46"/>
        <v>0</v>
      </c>
      <c r="BC37" s="4504">
        <f t="shared" si="47"/>
        <v>0</v>
      </c>
      <c r="BD37" s="4504">
        <f t="shared" si="48"/>
        <v>0</v>
      </c>
      <c r="BE37" s="4504">
        <f t="shared" si="49"/>
        <v>0</v>
      </c>
      <c r="BF37" s="4504">
        <f t="shared" si="50"/>
        <v>0</v>
      </c>
      <c r="BG37" s="4504">
        <f t="shared" si="51"/>
        <v>0</v>
      </c>
      <c r="BH37" s="4504">
        <f t="shared" si="52"/>
        <v>0</v>
      </c>
      <c r="BI37" s="4504">
        <f t="shared" si="53"/>
        <v>0</v>
      </c>
      <c r="BJ37" s="4504">
        <f t="shared" si="54"/>
        <v>0</v>
      </c>
      <c r="BK37" s="4504">
        <f t="shared" si="55"/>
        <v>0</v>
      </c>
      <c r="BL37" s="4504">
        <f t="shared" si="56"/>
        <v>0</v>
      </c>
      <c r="BM37" s="4504">
        <f t="shared" si="57"/>
        <v>0</v>
      </c>
      <c r="BN37" s="4504">
        <f t="shared" si="58"/>
        <v>0</v>
      </c>
      <c r="BO37" s="4504">
        <f t="shared" si="59"/>
        <v>0</v>
      </c>
      <c r="BP37" s="4504">
        <f t="shared" si="60"/>
        <v>0</v>
      </c>
      <c r="BQ37" s="4504">
        <f t="shared" si="61"/>
        <v>0</v>
      </c>
      <c r="BR37" s="4504">
        <f t="shared" si="62"/>
        <v>0</v>
      </c>
      <c r="BS37" s="4504">
        <f t="shared" si="63"/>
        <v>0</v>
      </c>
      <c r="BT37" s="4504">
        <f t="shared" si="64"/>
        <v>0</v>
      </c>
      <c r="BU37" s="4504">
        <f t="shared" si="65"/>
        <v>0</v>
      </c>
      <c r="BV37" s="4504">
        <f t="shared" si="66"/>
        <v>0</v>
      </c>
      <c r="BW37" s="4504">
        <f t="shared" si="67"/>
        <v>0</v>
      </c>
      <c r="BX37" s="4504">
        <f t="shared" si="68"/>
        <v>0</v>
      </c>
      <c r="BY37" s="4504">
        <f t="shared" si="69"/>
        <v>0</v>
      </c>
      <c r="BZ37" s="4504">
        <f t="shared" si="70"/>
        <v>0</v>
      </c>
      <c r="CA37" s="4504">
        <f t="shared" si="71"/>
        <v>0</v>
      </c>
      <c r="CB37" s="4504">
        <f t="shared" si="72"/>
        <v>0</v>
      </c>
      <c r="CC37" s="4504">
        <f t="shared" si="73"/>
        <v>0</v>
      </c>
      <c r="CD37" s="4504">
        <f t="shared" si="74"/>
        <v>0</v>
      </c>
    </row>
    <row r="38" spans="1:82" s="669" customFormat="1">
      <c r="A38" s="2892"/>
      <c r="B38" s="2612">
        <v>2040204</v>
      </c>
      <c r="C38" s="2893">
        <v>0.02</v>
      </c>
      <c r="D38" s="2908" t="s">
        <v>419</v>
      </c>
      <c r="E38" s="4453">
        <f>SUMIF('11.3. ДА Базова година'!$B$12:$B$39,$B38,'11.3. ДА Базова година'!F$12:F$39)+SUMIF('11.3. ДА Базова година'!$B$92:$B$110,$B38,'11.3. ДА Базова година'!F$92:F$110)</f>
        <v>0</v>
      </c>
      <c r="F38" s="415"/>
      <c r="G38" s="413"/>
      <c r="H38" s="413"/>
      <c r="I38" s="413"/>
      <c r="J38" s="413"/>
      <c r="K38" s="271"/>
      <c r="L38" s="4453">
        <f>SUMIF('11.3. ДА Базова година'!$B$12:$B$39,$B38,'11.3. ДА Базова година'!J$12:J$39)+SUMIF('11.3. ДА Базова година'!$B$92:$B$110,$B38,'11.3. ДА Базова година'!J$92:J$110)</f>
        <v>0</v>
      </c>
      <c r="M38" s="415"/>
      <c r="N38" s="413"/>
      <c r="O38" s="413"/>
      <c r="P38" s="413"/>
      <c r="Q38" s="413"/>
      <c r="R38" s="271"/>
      <c r="S38" s="4453">
        <f>SUMIF('11.3. ДА Базова година'!$B$12:$B$39,$B38,'11.3. ДА Базова година'!N$12:N$39)+SUMIF('11.3. ДА Базова година'!$B$92:$B$110,$B38,'11.3. ДА Базова година'!N$92:N$110)</f>
        <v>0</v>
      </c>
      <c r="T38" s="415"/>
      <c r="U38" s="413"/>
      <c r="V38" s="413"/>
      <c r="W38" s="413"/>
      <c r="X38" s="413"/>
      <c r="Y38" s="414"/>
      <c r="Z38" s="4453">
        <f>SUMIF('11.3. ДА Базова година'!$B$12:$B$39,$B38,'11.3. ДА Базова година'!R$12:R$39)+SUMIF('11.3. ДА Базова година'!$B$92:$B$110,$B38,'11.3. ДА Базова година'!R$92:R$110)</f>
        <v>0</v>
      </c>
      <c r="AA38" s="415"/>
      <c r="AB38" s="413"/>
      <c r="AC38" s="413"/>
      <c r="AD38" s="413"/>
      <c r="AE38" s="413"/>
      <c r="AF38" s="414"/>
      <c r="AG38" s="4453">
        <f>SUMIF('11.3. ДА Базова година'!$B$12:$B$39,$B38,'11.3. ДА Базова година'!V$12:V$39)+SUMIF('11.3. ДА Базова година'!$B$92:$B$110,$B38,'11.3. ДА Базова година'!V$92:V$110)</f>
        <v>0</v>
      </c>
      <c r="AH38" s="415"/>
      <c r="AI38" s="413"/>
      <c r="AJ38" s="413"/>
      <c r="AK38" s="413"/>
      <c r="AL38" s="413"/>
      <c r="AM38" s="271"/>
      <c r="AN38" s="4132"/>
      <c r="AO38" s="3026"/>
      <c r="AP38" s="3027"/>
      <c r="AQ38" s="3027"/>
      <c r="AR38" s="3027"/>
      <c r="AS38" s="3027"/>
      <c r="AT38" s="3028"/>
      <c r="AU38" s="4488"/>
      <c r="AV38" s="4504">
        <f t="shared" si="40"/>
        <v>0</v>
      </c>
      <c r="AW38" s="4504">
        <f t="shared" si="41"/>
        <v>0</v>
      </c>
      <c r="AX38" s="4504">
        <f t="shared" si="42"/>
        <v>0</v>
      </c>
      <c r="AY38" s="4504">
        <f t="shared" si="43"/>
        <v>0</v>
      </c>
      <c r="AZ38" s="4504">
        <f t="shared" si="44"/>
        <v>0</v>
      </c>
      <c r="BA38" s="4504">
        <f t="shared" si="45"/>
        <v>0</v>
      </c>
      <c r="BB38" s="4504">
        <f t="shared" si="46"/>
        <v>0</v>
      </c>
      <c r="BC38" s="4504">
        <f t="shared" si="47"/>
        <v>0</v>
      </c>
      <c r="BD38" s="4504">
        <f t="shared" si="48"/>
        <v>0</v>
      </c>
      <c r="BE38" s="4504">
        <f t="shared" si="49"/>
        <v>0</v>
      </c>
      <c r="BF38" s="4504">
        <f t="shared" si="50"/>
        <v>0</v>
      </c>
      <c r="BG38" s="4504">
        <f t="shared" si="51"/>
        <v>0</v>
      </c>
      <c r="BH38" s="4504">
        <f t="shared" si="52"/>
        <v>0</v>
      </c>
      <c r="BI38" s="4504">
        <f t="shared" si="53"/>
        <v>0</v>
      </c>
      <c r="BJ38" s="4504">
        <f t="shared" si="54"/>
        <v>0</v>
      </c>
      <c r="BK38" s="4504">
        <f t="shared" si="55"/>
        <v>0</v>
      </c>
      <c r="BL38" s="4504">
        <f t="shared" si="56"/>
        <v>0</v>
      </c>
      <c r="BM38" s="4504">
        <f t="shared" si="57"/>
        <v>0</v>
      </c>
      <c r="BN38" s="4504">
        <f t="shared" si="58"/>
        <v>0</v>
      </c>
      <c r="BO38" s="4504">
        <f t="shared" si="59"/>
        <v>0</v>
      </c>
      <c r="BP38" s="4504">
        <f t="shared" si="60"/>
        <v>0</v>
      </c>
      <c r="BQ38" s="4504">
        <f t="shared" si="61"/>
        <v>0</v>
      </c>
      <c r="BR38" s="4504">
        <f t="shared" si="62"/>
        <v>0</v>
      </c>
      <c r="BS38" s="4504">
        <f t="shared" si="63"/>
        <v>0</v>
      </c>
      <c r="BT38" s="4504">
        <f t="shared" si="64"/>
        <v>0</v>
      </c>
      <c r="BU38" s="4504">
        <f t="shared" si="65"/>
        <v>0</v>
      </c>
      <c r="BV38" s="4504">
        <f t="shared" si="66"/>
        <v>0</v>
      </c>
      <c r="BW38" s="4504">
        <f t="shared" si="67"/>
        <v>0</v>
      </c>
      <c r="BX38" s="4504">
        <f t="shared" si="68"/>
        <v>0</v>
      </c>
      <c r="BY38" s="4504">
        <f t="shared" si="69"/>
        <v>0</v>
      </c>
      <c r="BZ38" s="4504">
        <f t="shared" si="70"/>
        <v>0</v>
      </c>
      <c r="CA38" s="4504">
        <f t="shared" si="71"/>
        <v>0</v>
      </c>
      <c r="CB38" s="4504">
        <f t="shared" si="72"/>
        <v>0</v>
      </c>
      <c r="CC38" s="4504">
        <f t="shared" si="73"/>
        <v>0</v>
      </c>
      <c r="CD38" s="4504">
        <f t="shared" si="74"/>
        <v>0</v>
      </c>
    </row>
    <row r="39" spans="1:82" s="669" customFormat="1">
      <c r="A39" s="2892"/>
      <c r="B39" s="2612">
        <v>2040205</v>
      </c>
      <c r="C39" s="2893">
        <v>0.02</v>
      </c>
      <c r="D39" s="2904" t="s">
        <v>420</v>
      </c>
      <c r="E39" s="4453">
        <f>SUMIF('11.3. ДА Базова година'!$B$12:$B$39,$B39,'11.3. ДА Базова година'!F$12:F$39)+SUMIF('11.3. ДА Базова година'!$B$92:$B$110,$B39,'11.3. ДА Базова година'!F$92:F$110)</f>
        <v>580.32797581283057</v>
      </c>
      <c r="F39" s="415"/>
      <c r="G39" s="413"/>
      <c r="H39" s="413"/>
      <c r="I39" s="413"/>
      <c r="J39" s="413"/>
      <c r="K39" s="271"/>
      <c r="L39" s="4453">
        <f>SUMIF('11.3. ДА Базова година'!$B$12:$B$39,$B39,'11.3. ДА Базова година'!J$12:J$39)+SUMIF('11.3. ДА Базова година'!$B$92:$B$110,$B39,'11.3. ДА Базова година'!J$92:J$110)</f>
        <v>0</v>
      </c>
      <c r="M39" s="415"/>
      <c r="N39" s="413"/>
      <c r="O39" s="413"/>
      <c r="P39" s="413"/>
      <c r="Q39" s="413"/>
      <c r="R39" s="271"/>
      <c r="S39" s="4453">
        <f>SUMIF('11.3. ДА Базова година'!$B$12:$B$39,$B39,'11.3. ДА Базова година'!N$12:N$39)+SUMIF('11.3. ДА Базова година'!$B$92:$B$110,$B39,'11.3. ДА Базова година'!N$92:N$110)</f>
        <v>0</v>
      </c>
      <c r="T39" s="415"/>
      <c r="U39" s="413"/>
      <c r="V39" s="413"/>
      <c r="W39" s="413"/>
      <c r="X39" s="413"/>
      <c r="Y39" s="414"/>
      <c r="Z39" s="4453">
        <f>SUMIF('11.3. ДА Базова година'!$B$12:$B$39,$B39,'11.3. ДА Базова година'!R$12:R$39)+SUMIF('11.3. ДА Базова година'!$B$92:$B$110,$B39,'11.3. ДА Базова година'!R$92:R$110)</f>
        <v>0</v>
      </c>
      <c r="AA39" s="415"/>
      <c r="AB39" s="413"/>
      <c r="AC39" s="413"/>
      <c r="AD39" s="413"/>
      <c r="AE39" s="413"/>
      <c r="AF39" s="414"/>
      <c r="AG39" s="4453">
        <f>SUMIF('11.3. ДА Базова година'!$B$12:$B$39,$B39,'11.3. ДА Базова година'!V$12:V$39)+SUMIF('11.3. ДА Базова година'!$B$92:$B$110,$B39,'11.3. ДА Базова година'!V$92:V$110)</f>
        <v>29.204694187169277</v>
      </c>
      <c r="AH39" s="415"/>
      <c r="AI39" s="413"/>
      <c r="AJ39" s="413"/>
      <c r="AK39" s="413"/>
      <c r="AL39" s="413"/>
      <c r="AM39" s="271"/>
      <c r="AN39" s="4132"/>
      <c r="AO39" s="3026"/>
      <c r="AP39" s="3027"/>
      <c r="AQ39" s="3027"/>
      <c r="AR39" s="3027"/>
      <c r="AS39" s="3027"/>
      <c r="AT39" s="3028"/>
      <c r="AU39" s="4488"/>
      <c r="AV39" s="4504">
        <f t="shared" si="40"/>
        <v>296.71698246413575</v>
      </c>
      <c r="AW39" s="4504">
        <f t="shared" si="41"/>
        <v>0</v>
      </c>
      <c r="AX39" s="4504">
        <f t="shared" si="42"/>
        <v>0</v>
      </c>
      <c r="AY39" s="4504">
        <f t="shared" si="43"/>
        <v>0</v>
      </c>
      <c r="AZ39" s="4504">
        <f t="shared" si="44"/>
        <v>0</v>
      </c>
      <c r="BA39" s="4504">
        <f t="shared" si="45"/>
        <v>0</v>
      </c>
      <c r="BB39" s="4504">
        <f t="shared" si="46"/>
        <v>0</v>
      </c>
      <c r="BC39" s="4504">
        <f t="shared" si="47"/>
        <v>0</v>
      </c>
      <c r="BD39" s="4504">
        <f t="shared" si="48"/>
        <v>0</v>
      </c>
      <c r="BE39" s="4504">
        <f t="shared" si="49"/>
        <v>0</v>
      </c>
      <c r="BF39" s="4504">
        <f t="shared" si="50"/>
        <v>0</v>
      </c>
      <c r="BG39" s="4504">
        <f t="shared" si="51"/>
        <v>0</v>
      </c>
      <c r="BH39" s="4504">
        <f t="shared" si="52"/>
        <v>0</v>
      </c>
      <c r="BI39" s="4504">
        <f t="shared" si="53"/>
        <v>0</v>
      </c>
      <c r="BJ39" s="4504">
        <f t="shared" si="54"/>
        <v>0</v>
      </c>
      <c r="BK39" s="4504">
        <f t="shared" si="55"/>
        <v>0</v>
      </c>
      <c r="BL39" s="4504">
        <f t="shared" si="56"/>
        <v>0</v>
      </c>
      <c r="BM39" s="4504">
        <f t="shared" si="57"/>
        <v>0</v>
      </c>
      <c r="BN39" s="4504">
        <f t="shared" si="58"/>
        <v>0</v>
      </c>
      <c r="BO39" s="4504">
        <f t="shared" si="59"/>
        <v>0</v>
      </c>
      <c r="BP39" s="4504">
        <f t="shared" si="60"/>
        <v>0</v>
      </c>
      <c r="BQ39" s="4504">
        <f t="shared" si="61"/>
        <v>0</v>
      </c>
      <c r="BR39" s="4504">
        <f t="shared" si="62"/>
        <v>0</v>
      </c>
      <c r="BS39" s="4504">
        <f t="shared" si="63"/>
        <v>0</v>
      </c>
      <c r="BT39" s="4504">
        <f t="shared" si="64"/>
        <v>0</v>
      </c>
      <c r="BU39" s="4504">
        <f t="shared" si="65"/>
        <v>0</v>
      </c>
      <c r="BV39" s="4504">
        <f t="shared" si="66"/>
        <v>0</v>
      </c>
      <c r="BW39" s="4504">
        <f t="shared" si="67"/>
        <v>0</v>
      </c>
      <c r="BX39" s="4504">
        <f t="shared" si="68"/>
        <v>14.932123030718047</v>
      </c>
      <c r="BY39" s="4504">
        <f t="shared" si="69"/>
        <v>0</v>
      </c>
      <c r="BZ39" s="4504">
        <f t="shared" si="70"/>
        <v>0</v>
      </c>
      <c r="CA39" s="4504">
        <f t="shared" si="71"/>
        <v>0</v>
      </c>
      <c r="CB39" s="4504">
        <f t="shared" si="72"/>
        <v>0</v>
      </c>
      <c r="CC39" s="4504">
        <f t="shared" si="73"/>
        <v>0</v>
      </c>
      <c r="CD39" s="4504">
        <f t="shared" si="74"/>
        <v>0</v>
      </c>
    </row>
    <row r="40" spans="1:82" s="669" customFormat="1">
      <c r="A40" s="2892"/>
      <c r="B40" s="2612">
        <v>2040206</v>
      </c>
      <c r="C40" s="2893">
        <v>0.02</v>
      </c>
      <c r="D40" s="2904" t="s">
        <v>421</v>
      </c>
      <c r="E40" s="4453">
        <f>SUMIF('11.3. ДА Базова година'!$B$12:$B$39,$B40,'11.3. ДА Базова година'!F$12:F$39)+SUMIF('11.3. ДА Базова година'!$B$92:$B$110,$B40,'11.3. ДА Базова година'!F$92:F$110)</f>
        <v>0</v>
      </c>
      <c r="F40" s="415"/>
      <c r="G40" s="413"/>
      <c r="H40" s="413"/>
      <c r="I40" s="413"/>
      <c r="J40" s="413"/>
      <c r="K40" s="271"/>
      <c r="L40" s="4453">
        <f>SUMIF('11.3. ДА Базова година'!$B$12:$B$39,$B40,'11.3. ДА Базова година'!J$12:J$39)+SUMIF('11.3. ДА Базова година'!$B$92:$B$110,$B40,'11.3. ДА Базова година'!J$92:J$110)</f>
        <v>9.1790699999999994</v>
      </c>
      <c r="M40" s="415"/>
      <c r="N40" s="413"/>
      <c r="O40" s="413"/>
      <c r="P40" s="413"/>
      <c r="Q40" s="413"/>
      <c r="R40" s="271"/>
      <c r="S40" s="4453">
        <f>SUMIF('11.3. ДА Базова година'!$B$12:$B$39,$B40,'11.3. ДА Базова година'!N$12:N$39)+SUMIF('11.3. ДА Базова година'!$B$92:$B$110,$B40,'11.3. ДА Базова година'!N$92:N$110)</f>
        <v>0</v>
      </c>
      <c r="T40" s="415"/>
      <c r="U40" s="413"/>
      <c r="V40" s="413"/>
      <c r="W40" s="413"/>
      <c r="X40" s="413"/>
      <c r="Y40" s="414"/>
      <c r="Z40" s="4453">
        <f>SUMIF('11.3. ДА Базова година'!$B$12:$B$39,$B40,'11.3. ДА Базова година'!R$12:R$39)+SUMIF('11.3. ДА Базова година'!$B$92:$B$110,$B40,'11.3. ДА Базова година'!R$92:R$110)</f>
        <v>0</v>
      </c>
      <c r="AA40" s="415"/>
      <c r="AB40" s="413"/>
      <c r="AC40" s="413"/>
      <c r="AD40" s="413"/>
      <c r="AE40" s="413"/>
      <c r="AF40" s="414"/>
      <c r="AG40" s="4453">
        <f>SUMIF('11.3. ДА Базова година'!$B$12:$B$39,$B40,'11.3. ДА Базова година'!V$12:V$39)+SUMIF('11.3. ДА Базова година'!$B$92:$B$110,$B40,'11.3. ДА Базова година'!V$92:V$110)</f>
        <v>0</v>
      </c>
      <c r="AH40" s="415"/>
      <c r="AI40" s="413"/>
      <c r="AJ40" s="413"/>
      <c r="AK40" s="413"/>
      <c r="AL40" s="413"/>
      <c r="AM40" s="271"/>
      <c r="AN40" s="4132"/>
      <c r="AO40" s="3026"/>
      <c r="AP40" s="3027"/>
      <c r="AQ40" s="3027"/>
      <c r="AR40" s="3027"/>
      <c r="AS40" s="3027"/>
      <c r="AT40" s="3028"/>
      <c r="AU40" s="4488"/>
      <c r="AV40" s="4504">
        <f t="shared" si="40"/>
        <v>0</v>
      </c>
      <c r="AW40" s="4504">
        <f t="shared" si="41"/>
        <v>0</v>
      </c>
      <c r="AX40" s="4504">
        <f t="shared" si="42"/>
        <v>0</v>
      </c>
      <c r="AY40" s="4504">
        <f t="shared" si="43"/>
        <v>0</v>
      </c>
      <c r="AZ40" s="4504">
        <f t="shared" si="44"/>
        <v>0</v>
      </c>
      <c r="BA40" s="4504">
        <f t="shared" si="45"/>
        <v>0</v>
      </c>
      <c r="BB40" s="4504">
        <f t="shared" si="46"/>
        <v>0</v>
      </c>
      <c r="BC40" s="4504">
        <f t="shared" si="47"/>
        <v>4.6931839679317733</v>
      </c>
      <c r="BD40" s="4504">
        <f t="shared" si="48"/>
        <v>0</v>
      </c>
      <c r="BE40" s="4504">
        <f t="shared" si="49"/>
        <v>0</v>
      </c>
      <c r="BF40" s="4504">
        <f t="shared" si="50"/>
        <v>0</v>
      </c>
      <c r="BG40" s="4504">
        <f t="shared" si="51"/>
        <v>0</v>
      </c>
      <c r="BH40" s="4504">
        <f t="shared" si="52"/>
        <v>0</v>
      </c>
      <c r="BI40" s="4504">
        <f t="shared" si="53"/>
        <v>0</v>
      </c>
      <c r="BJ40" s="4504">
        <f t="shared" si="54"/>
        <v>0</v>
      </c>
      <c r="BK40" s="4504">
        <f t="shared" si="55"/>
        <v>0</v>
      </c>
      <c r="BL40" s="4504">
        <f t="shared" si="56"/>
        <v>0</v>
      </c>
      <c r="BM40" s="4504">
        <f t="shared" si="57"/>
        <v>0</v>
      </c>
      <c r="BN40" s="4504">
        <f t="shared" si="58"/>
        <v>0</v>
      </c>
      <c r="BO40" s="4504">
        <f t="shared" si="59"/>
        <v>0</v>
      </c>
      <c r="BP40" s="4504">
        <f t="shared" si="60"/>
        <v>0</v>
      </c>
      <c r="BQ40" s="4504">
        <f t="shared" si="61"/>
        <v>0</v>
      </c>
      <c r="BR40" s="4504">
        <f t="shared" si="62"/>
        <v>0</v>
      </c>
      <c r="BS40" s="4504">
        <f t="shared" si="63"/>
        <v>0</v>
      </c>
      <c r="BT40" s="4504">
        <f t="shared" si="64"/>
        <v>0</v>
      </c>
      <c r="BU40" s="4504">
        <f t="shared" si="65"/>
        <v>0</v>
      </c>
      <c r="BV40" s="4504">
        <f t="shared" si="66"/>
        <v>0</v>
      </c>
      <c r="BW40" s="4504">
        <f t="shared" si="67"/>
        <v>0</v>
      </c>
      <c r="BX40" s="4504">
        <f t="shared" si="68"/>
        <v>0</v>
      </c>
      <c r="BY40" s="4504">
        <f t="shared" si="69"/>
        <v>0</v>
      </c>
      <c r="BZ40" s="4504">
        <f t="shared" si="70"/>
        <v>0</v>
      </c>
      <c r="CA40" s="4504">
        <f t="shared" si="71"/>
        <v>0</v>
      </c>
      <c r="CB40" s="4504">
        <f t="shared" si="72"/>
        <v>0</v>
      </c>
      <c r="CC40" s="4504">
        <f t="shared" si="73"/>
        <v>0</v>
      </c>
      <c r="CD40" s="4504">
        <f t="shared" si="74"/>
        <v>0</v>
      </c>
    </row>
    <row r="41" spans="1:82" s="669" customFormat="1" ht="26.4">
      <c r="A41" s="2892"/>
      <c r="B41" s="2612">
        <v>2040207</v>
      </c>
      <c r="C41" s="2893">
        <v>0.04</v>
      </c>
      <c r="D41" s="2904" t="s">
        <v>422</v>
      </c>
      <c r="E41" s="4453">
        <f>SUMIF('11.3. ДА Базова година'!$B$12:$B$39,$B41,'11.3. ДА Базова година'!F$12:F$39)+SUMIF('11.3. ДА Базова година'!$B$92:$B$110,$B41,'11.3. ДА Базова година'!F$92:F$110)</f>
        <v>0</v>
      </c>
      <c r="F41" s="415"/>
      <c r="G41" s="413"/>
      <c r="H41" s="413"/>
      <c r="I41" s="413"/>
      <c r="J41" s="413"/>
      <c r="K41" s="271"/>
      <c r="L41" s="4453">
        <f>SUMIF('11.3. ДА Базова година'!$B$12:$B$39,$B41,'11.3. ДА Базова година'!J$12:J$39)+SUMIF('11.3. ДА Базова година'!$B$92:$B$110,$B41,'11.3. ДА Базова година'!J$92:J$110)</f>
        <v>0</v>
      </c>
      <c r="M41" s="415"/>
      <c r="N41" s="413"/>
      <c r="O41" s="413"/>
      <c r="P41" s="413"/>
      <c r="Q41" s="413"/>
      <c r="R41" s="271"/>
      <c r="S41" s="4453">
        <f>SUMIF('11.3. ДА Базова година'!$B$12:$B$39,$B41,'11.3. ДА Базова година'!N$12:N$39)+SUMIF('11.3. ДА Базова година'!$B$92:$B$110,$B41,'11.3. ДА Базова година'!N$92:N$110)</f>
        <v>0</v>
      </c>
      <c r="T41" s="415"/>
      <c r="U41" s="413"/>
      <c r="V41" s="413"/>
      <c r="W41" s="413"/>
      <c r="X41" s="413"/>
      <c r="Y41" s="414"/>
      <c r="Z41" s="4453">
        <f>SUMIF('11.3. ДА Базова година'!$B$12:$B$39,$B41,'11.3. ДА Базова година'!R$12:R$39)+SUMIF('11.3. ДА Базова година'!$B$92:$B$110,$B41,'11.3. ДА Базова година'!R$92:R$110)</f>
        <v>0</v>
      </c>
      <c r="AA41" s="415"/>
      <c r="AB41" s="413"/>
      <c r="AC41" s="413"/>
      <c r="AD41" s="413"/>
      <c r="AE41" s="413"/>
      <c r="AF41" s="414"/>
      <c r="AG41" s="4453">
        <f>SUMIF('11.3. ДА Базова година'!$B$12:$B$39,$B41,'11.3. ДА Базова година'!V$12:V$39)+SUMIF('11.3. ДА Базова година'!$B$92:$B$110,$B41,'11.3. ДА Базова година'!V$92:V$110)</f>
        <v>0</v>
      </c>
      <c r="AH41" s="415"/>
      <c r="AI41" s="413"/>
      <c r="AJ41" s="413"/>
      <c r="AK41" s="413"/>
      <c r="AL41" s="413"/>
      <c r="AM41" s="271"/>
      <c r="AN41" s="4132"/>
      <c r="AO41" s="3026"/>
      <c r="AP41" s="3027"/>
      <c r="AQ41" s="3027"/>
      <c r="AR41" s="3027"/>
      <c r="AS41" s="3027"/>
      <c r="AT41" s="3028"/>
      <c r="AU41" s="4488"/>
      <c r="AV41" s="4504">
        <f t="shared" si="40"/>
        <v>0</v>
      </c>
      <c r="AW41" s="4504">
        <f t="shared" si="41"/>
        <v>0</v>
      </c>
      <c r="AX41" s="4504">
        <f t="shared" si="42"/>
        <v>0</v>
      </c>
      <c r="AY41" s="4504">
        <f t="shared" si="43"/>
        <v>0</v>
      </c>
      <c r="AZ41" s="4504">
        <f t="shared" si="44"/>
        <v>0</v>
      </c>
      <c r="BA41" s="4504">
        <f t="shared" si="45"/>
        <v>0</v>
      </c>
      <c r="BB41" s="4504">
        <f t="shared" si="46"/>
        <v>0</v>
      </c>
      <c r="BC41" s="4504">
        <f t="shared" si="47"/>
        <v>0</v>
      </c>
      <c r="BD41" s="4504">
        <f t="shared" si="48"/>
        <v>0</v>
      </c>
      <c r="BE41" s="4504">
        <f t="shared" si="49"/>
        <v>0</v>
      </c>
      <c r="BF41" s="4504">
        <f t="shared" si="50"/>
        <v>0</v>
      </c>
      <c r="BG41" s="4504">
        <f t="shared" si="51"/>
        <v>0</v>
      </c>
      <c r="BH41" s="4504">
        <f t="shared" si="52"/>
        <v>0</v>
      </c>
      <c r="BI41" s="4504">
        <f t="shared" si="53"/>
        <v>0</v>
      </c>
      <c r="BJ41" s="4504">
        <f t="shared" si="54"/>
        <v>0</v>
      </c>
      <c r="BK41" s="4504">
        <f t="shared" si="55"/>
        <v>0</v>
      </c>
      <c r="BL41" s="4504">
        <f t="shared" si="56"/>
        <v>0</v>
      </c>
      <c r="BM41" s="4504">
        <f t="shared" si="57"/>
        <v>0</v>
      </c>
      <c r="BN41" s="4504">
        <f t="shared" si="58"/>
        <v>0</v>
      </c>
      <c r="BO41" s="4504">
        <f t="shared" si="59"/>
        <v>0</v>
      </c>
      <c r="BP41" s="4504">
        <f t="shared" si="60"/>
        <v>0</v>
      </c>
      <c r="BQ41" s="4504">
        <f t="shared" si="61"/>
        <v>0</v>
      </c>
      <c r="BR41" s="4504">
        <f t="shared" si="62"/>
        <v>0</v>
      </c>
      <c r="BS41" s="4504">
        <f t="shared" si="63"/>
        <v>0</v>
      </c>
      <c r="BT41" s="4504">
        <f t="shared" si="64"/>
        <v>0</v>
      </c>
      <c r="BU41" s="4504">
        <f t="shared" si="65"/>
        <v>0</v>
      </c>
      <c r="BV41" s="4504">
        <f t="shared" si="66"/>
        <v>0</v>
      </c>
      <c r="BW41" s="4504">
        <f t="shared" si="67"/>
        <v>0</v>
      </c>
      <c r="BX41" s="4504">
        <f t="shared" si="68"/>
        <v>0</v>
      </c>
      <c r="BY41" s="4504">
        <f t="shared" si="69"/>
        <v>0</v>
      </c>
      <c r="BZ41" s="4504">
        <f t="shared" si="70"/>
        <v>0</v>
      </c>
      <c r="CA41" s="4504">
        <f t="shared" si="71"/>
        <v>0</v>
      </c>
      <c r="CB41" s="4504">
        <f t="shared" si="72"/>
        <v>0</v>
      </c>
      <c r="CC41" s="4504">
        <f t="shared" si="73"/>
        <v>0</v>
      </c>
      <c r="CD41" s="4504">
        <f t="shared" si="74"/>
        <v>0</v>
      </c>
    </row>
    <row r="42" spans="1:82" s="669" customFormat="1">
      <c r="A42" s="2892"/>
      <c r="B42" s="2612">
        <v>2040208</v>
      </c>
      <c r="C42" s="2893">
        <v>0.04</v>
      </c>
      <c r="D42" s="2904" t="s">
        <v>423</v>
      </c>
      <c r="E42" s="4453">
        <f>SUMIF('11.3. ДА Базова година'!$B$12:$B$39,$B42,'11.3. ДА Базова година'!F$12:F$39)+SUMIF('11.3. ДА Базова година'!$B$92:$B$110,$B42,'11.3. ДА Базова година'!F$92:F$110)</f>
        <v>0</v>
      </c>
      <c r="F42" s="415"/>
      <c r="G42" s="413"/>
      <c r="H42" s="413"/>
      <c r="I42" s="413"/>
      <c r="J42" s="413"/>
      <c r="K42" s="271"/>
      <c r="L42" s="4453">
        <f>SUMIF('11.3. ДА Базова година'!$B$12:$B$39,$B42,'11.3. ДА Базова година'!J$12:J$39)+SUMIF('11.3. ДА Базова година'!$B$92:$B$110,$B42,'11.3. ДА Базова година'!J$92:J$110)</f>
        <v>0</v>
      </c>
      <c r="M42" s="415"/>
      <c r="N42" s="413"/>
      <c r="O42" s="413"/>
      <c r="P42" s="413"/>
      <c r="Q42" s="413"/>
      <c r="R42" s="271"/>
      <c r="S42" s="4453">
        <f>SUMIF('11.3. ДА Базова година'!$B$12:$B$39,$B42,'11.3. ДА Базова година'!N$12:N$39)+SUMIF('11.3. ДА Базова година'!$B$92:$B$110,$B42,'11.3. ДА Базова година'!N$92:N$110)</f>
        <v>0</v>
      </c>
      <c r="T42" s="415"/>
      <c r="U42" s="413"/>
      <c r="V42" s="413"/>
      <c r="W42" s="413"/>
      <c r="X42" s="413"/>
      <c r="Y42" s="414"/>
      <c r="Z42" s="4453">
        <f>SUMIF('11.3. ДА Базова година'!$B$12:$B$39,$B42,'11.3. ДА Базова година'!R$12:R$39)+SUMIF('11.3. ДА Базова година'!$B$92:$B$110,$B42,'11.3. ДА Базова година'!R$92:R$110)</f>
        <v>0</v>
      </c>
      <c r="AA42" s="415"/>
      <c r="AB42" s="413"/>
      <c r="AC42" s="413"/>
      <c r="AD42" s="413"/>
      <c r="AE42" s="413"/>
      <c r="AF42" s="414"/>
      <c r="AG42" s="4453">
        <f>SUMIF('11.3. ДА Базова година'!$B$12:$B$39,$B42,'11.3. ДА Базова година'!V$12:V$39)+SUMIF('11.3. ДА Базова година'!$B$92:$B$110,$B42,'11.3. ДА Базова година'!V$92:V$110)</f>
        <v>0</v>
      </c>
      <c r="AH42" s="415"/>
      <c r="AI42" s="413"/>
      <c r="AJ42" s="413"/>
      <c r="AK42" s="413"/>
      <c r="AL42" s="413"/>
      <c r="AM42" s="271"/>
      <c r="AN42" s="4132"/>
      <c r="AO42" s="3026"/>
      <c r="AP42" s="3027"/>
      <c r="AQ42" s="3027"/>
      <c r="AR42" s="3027"/>
      <c r="AS42" s="3027"/>
      <c r="AT42" s="3028"/>
      <c r="AU42" s="4488"/>
      <c r="AV42" s="4504">
        <f t="shared" si="40"/>
        <v>0</v>
      </c>
      <c r="AW42" s="4504">
        <f t="shared" si="41"/>
        <v>0</v>
      </c>
      <c r="AX42" s="4504">
        <f t="shared" si="42"/>
        <v>0</v>
      </c>
      <c r="AY42" s="4504">
        <f t="shared" si="43"/>
        <v>0</v>
      </c>
      <c r="AZ42" s="4504">
        <f t="shared" si="44"/>
        <v>0</v>
      </c>
      <c r="BA42" s="4504">
        <f t="shared" si="45"/>
        <v>0</v>
      </c>
      <c r="BB42" s="4504">
        <f t="shared" si="46"/>
        <v>0</v>
      </c>
      <c r="BC42" s="4504">
        <f t="shared" si="47"/>
        <v>0</v>
      </c>
      <c r="BD42" s="4504">
        <f t="shared" si="48"/>
        <v>0</v>
      </c>
      <c r="BE42" s="4504">
        <f t="shared" si="49"/>
        <v>0</v>
      </c>
      <c r="BF42" s="4504">
        <f t="shared" si="50"/>
        <v>0</v>
      </c>
      <c r="BG42" s="4504">
        <f t="shared" si="51"/>
        <v>0</v>
      </c>
      <c r="BH42" s="4504">
        <f t="shared" si="52"/>
        <v>0</v>
      </c>
      <c r="BI42" s="4504">
        <f t="shared" si="53"/>
        <v>0</v>
      </c>
      <c r="BJ42" s="4504">
        <f t="shared" si="54"/>
        <v>0</v>
      </c>
      <c r="BK42" s="4504">
        <f t="shared" si="55"/>
        <v>0</v>
      </c>
      <c r="BL42" s="4504">
        <f t="shared" si="56"/>
        <v>0</v>
      </c>
      <c r="BM42" s="4504">
        <f t="shared" si="57"/>
        <v>0</v>
      </c>
      <c r="BN42" s="4504">
        <f t="shared" si="58"/>
        <v>0</v>
      </c>
      <c r="BO42" s="4504">
        <f t="shared" si="59"/>
        <v>0</v>
      </c>
      <c r="BP42" s="4504">
        <f t="shared" si="60"/>
        <v>0</v>
      </c>
      <c r="BQ42" s="4504">
        <f t="shared" si="61"/>
        <v>0</v>
      </c>
      <c r="BR42" s="4504">
        <f t="shared" si="62"/>
        <v>0</v>
      </c>
      <c r="BS42" s="4504">
        <f t="shared" si="63"/>
        <v>0</v>
      </c>
      <c r="BT42" s="4504">
        <f t="shared" si="64"/>
        <v>0</v>
      </c>
      <c r="BU42" s="4504">
        <f t="shared" si="65"/>
        <v>0</v>
      </c>
      <c r="BV42" s="4504">
        <f t="shared" si="66"/>
        <v>0</v>
      </c>
      <c r="BW42" s="4504">
        <f t="shared" si="67"/>
        <v>0</v>
      </c>
      <c r="BX42" s="4504">
        <f t="shared" si="68"/>
        <v>0</v>
      </c>
      <c r="BY42" s="4504">
        <f t="shared" si="69"/>
        <v>0</v>
      </c>
      <c r="BZ42" s="4504">
        <f t="shared" si="70"/>
        <v>0</v>
      </c>
      <c r="CA42" s="4504">
        <f t="shared" si="71"/>
        <v>0</v>
      </c>
      <c r="CB42" s="4504">
        <f t="shared" si="72"/>
        <v>0</v>
      </c>
      <c r="CC42" s="4504">
        <f t="shared" si="73"/>
        <v>0</v>
      </c>
      <c r="CD42" s="4504">
        <f t="shared" si="74"/>
        <v>0</v>
      </c>
    </row>
    <row r="43" spans="1:82" s="669" customFormat="1">
      <c r="A43" s="2892"/>
      <c r="B43" s="2612">
        <v>20403</v>
      </c>
      <c r="C43" s="2893">
        <v>0.04</v>
      </c>
      <c r="D43" s="2909" t="s">
        <v>1050</v>
      </c>
      <c r="E43" s="4453">
        <f>SUMIF('11.3. ДА Базова година'!$B$12:$B$39,$B43,'11.3. ДА Базова година'!F$12:F$39)+SUMIF('11.3. ДА Базова година'!$B$92:$B$110,$B43,'11.3. ДА Базова година'!F$92:F$110)</f>
        <v>0</v>
      </c>
      <c r="F43" s="415"/>
      <c r="G43" s="413"/>
      <c r="H43" s="413"/>
      <c r="I43" s="413"/>
      <c r="J43" s="413"/>
      <c r="K43" s="271"/>
      <c r="L43" s="4453">
        <f>SUMIF('11.3. ДА Базова година'!$B$12:$B$39,$B43,'11.3. ДА Базова година'!J$12:J$39)+SUMIF('11.3. ДА Базова година'!$B$92:$B$110,$B43,'11.3. ДА Базова година'!J$92:J$110)</f>
        <v>0</v>
      </c>
      <c r="M43" s="415"/>
      <c r="N43" s="413"/>
      <c r="O43" s="413"/>
      <c r="P43" s="413"/>
      <c r="Q43" s="413"/>
      <c r="R43" s="271"/>
      <c r="S43" s="4453">
        <f>SUMIF('11.3. ДА Базова година'!$B$12:$B$39,$B43,'11.3. ДА Базова година'!N$12:N$39)+SUMIF('11.3. ДА Базова година'!$B$92:$B$110,$B43,'11.3. ДА Базова година'!N$92:N$110)</f>
        <v>0</v>
      </c>
      <c r="T43" s="415"/>
      <c r="U43" s="413"/>
      <c r="V43" s="413"/>
      <c r="W43" s="413"/>
      <c r="X43" s="413"/>
      <c r="Y43" s="414"/>
      <c r="Z43" s="4453">
        <f>SUMIF('11.3. ДА Базова година'!$B$12:$B$39,$B43,'11.3. ДА Базова година'!R$12:R$39)+SUMIF('11.3. ДА Базова година'!$B$92:$B$110,$B43,'11.3. ДА Базова година'!R$92:R$110)</f>
        <v>0</v>
      </c>
      <c r="AA43" s="415"/>
      <c r="AB43" s="413"/>
      <c r="AC43" s="413"/>
      <c r="AD43" s="413"/>
      <c r="AE43" s="413"/>
      <c r="AF43" s="414"/>
      <c r="AG43" s="4453">
        <f>SUMIF('11.3. ДА Базова година'!$B$12:$B$39,$B43,'11.3. ДА Базова година'!V$12:V$39)+SUMIF('11.3. ДА Базова година'!$B$92:$B$110,$B43,'11.3. ДА Базова година'!V$92:V$110)</f>
        <v>0</v>
      </c>
      <c r="AH43" s="415"/>
      <c r="AI43" s="413"/>
      <c r="AJ43" s="413"/>
      <c r="AK43" s="413"/>
      <c r="AL43" s="413"/>
      <c r="AM43" s="271"/>
      <c r="AN43" s="4132"/>
      <c r="AO43" s="3026"/>
      <c r="AP43" s="3027"/>
      <c r="AQ43" s="3027"/>
      <c r="AR43" s="3027"/>
      <c r="AS43" s="3027"/>
      <c r="AT43" s="3028"/>
      <c r="AU43" s="4488"/>
      <c r="AV43" s="4504">
        <f t="shared" si="40"/>
        <v>0</v>
      </c>
      <c r="AW43" s="4504">
        <f t="shared" si="41"/>
        <v>0</v>
      </c>
      <c r="AX43" s="4504">
        <f t="shared" si="42"/>
        <v>0</v>
      </c>
      <c r="AY43" s="4504">
        <f t="shared" si="43"/>
        <v>0</v>
      </c>
      <c r="AZ43" s="4504">
        <f t="shared" si="44"/>
        <v>0</v>
      </c>
      <c r="BA43" s="4504">
        <f t="shared" si="45"/>
        <v>0</v>
      </c>
      <c r="BB43" s="4504">
        <f t="shared" si="46"/>
        <v>0</v>
      </c>
      <c r="BC43" s="4504">
        <f t="shared" si="47"/>
        <v>0</v>
      </c>
      <c r="BD43" s="4504">
        <f t="shared" si="48"/>
        <v>0</v>
      </c>
      <c r="BE43" s="4504">
        <f t="shared" si="49"/>
        <v>0</v>
      </c>
      <c r="BF43" s="4504">
        <f t="shared" si="50"/>
        <v>0</v>
      </c>
      <c r="BG43" s="4504">
        <f t="shared" si="51"/>
        <v>0</v>
      </c>
      <c r="BH43" s="4504">
        <f t="shared" si="52"/>
        <v>0</v>
      </c>
      <c r="BI43" s="4504">
        <f t="shared" si="53"/>
        <v>0</v>
      </c>
      <c r="BJ43" s="4504">
        <f t="shared" si="54"/>
        <v>0</v>
      </c>
      <c r="BK43" s="4504">
        <f t="shared" si="55"/>
        <v>0</v>
      </c>
      <c r="BL43" s="4504">
        <f t="shared" si="56"/>
        <v>0</v>
      </c>
      <c r="BM43" s="4504">
        <f t="shared" si="57"/>
        <v>0</v>
      </c>
      <c r="BN43" s="4504">
        <f t="shared" si="58"/>
        <v>0</v>
      </c>
      <c r="BO43" s="4504">
        <f t="shared" si="59"/>
        <v>0</v>
      </c>
      <c r="BP43" s="4504">
        <f t="shared" si="60"/>
        <v>0</v>
      </c>
      <c r="BQ43" s="4504">
        <f t="shared" si="61"/>
        <v>0</v>
      </c>
      <c r="BR43" s="4504">
        <f t="shared" si="62"/>
        <v>0</v>
      </c>
      <c r="BS43" s="4504">
        <f t="shared" si="63"/>
        <v>0</v>
      </c>
      <c r="BT43" s="4504">
        <f t="shared" si="64"/>
        <v>0</v>
      </c>
      <c r="BU43" s="4504">
        <f t="shared" si="65"/>
        <v>0</v>
      </c>
      <c r="BV43" s="4504">
        <f t="shared" si="66"/>
        <v>0</v>
      </c>
      <c r="BW43" s="4504">
        <f t="shared" si="67"/>
        <v>0</v>
      </c>
      <c r="BX43" s="4504">
        <f t="shared" si="68"/>
        <v>0</v>
      </c>
      <c r="BY43" s="4504">
        <f t="shared" si="69"/>
        <v>0</v>
      </c>
      <c r="BZ43" s="4504">
        <f t="shared" si="70"/>
        <v>0</v>
      </c>
      <c r="CA43" s="4504">
        <f t="shared" si="71"/>
        <v>0</v>
      </c>
      <c r="CB43" s="4504">
        <f t="shared" si="72"/>
        <v>0</v>
      </c>
      <c r="CC43" s="4504">
        <f t="shared" si="73"/>
        <v>0</v>
      </c>
      <c r="CD43" s="4504">
        <f t="shared" si="74"/>
        <v>0</v>
      </c>
    </row>
    <row r="44" spans="1:82" s="669" customFormat="1" ht="26.4">
      <c r="A44" s="2892"/>
      <c r="B44" s="2612" t="s">
        <v>1051</v>
      </c>
      <c r="C44" s="2893">
        <v>0.04</v>
      </c>
      <c r="D44" s="2909" t="s">
        <v>1052</v>
      </c>
      <c r="E44" s="4453">
        <f>SUMIF('11.3. ДА Базова година'!$B$12:$B$39,$B44,'11.3. ДА Базова година'!F$12:F$39)+SUMIF('11.3. ДА Базова година'!$B$92:$B$110,$B44,'11.3. ДА Базова година'!F$92:F$110)</f>
        <v>0</v>
      </c>
      <c r="F44" s="415"/>
      <c r="G44" s="413"/>
      <c r="H44" s="413"/>
      <c r="I44" s="413"/>
      <c r="J44" s="413"/>
      <c r="K44" s="271"/>
      <c r="L44" s="4453">
        <f>SUMIF('11.3. ДА Базова година'!$B$12:$B$39,$B44,'11.3. ДА Базова година'!J$12:J$39)+SUMIF('11.3. ДА Базова година'!$B$92:$B$110,$B44,'11.3. ДА Базова година'!J$92:J$110)</f>
        <v>0</v>
      </c>
      <c r="M44" s="415"/>
      <c r="N44" s="413"/>
      <c r="O44" s="413"/>
      <c r="P44" s="413"/>
      <c r="Q44" s="413"/>
      <c r="R44" s="271"/>
      <c r="S44" s="4453">
        <f>SUMIF('11.3. ДА Базова година'!$B$12:$B$39,$B44,'11.3. ДА Базова година'!N$12:N$39)+SUMIF('11.3. ДА Базова година'!$B$92:$B$110,$B44,'11.3. ДА Базова година'!N$92:N$110)</f>
        <v>0</v>
      </c>
      <c r="T44" s="415"/>
      <c r="U44" s="413"/>
      <c r="V44" s="413"/>
      <c r="W44" s="413"/>
      <c r="X44" s="413"/>
      <c r="Y44" s="414"/>
      <c r="Z44" s="4453">
        <f>SUMIF('11.3. ДА Базова година'!$B$12:$B$39,$B44,'11.3. ДА Базова година'!R$12:R$39)+SUMIF('11.3. ДА Базова година'!$B$92:$B$110,$B44,'11.3. ДА Базова година'!R$92:R$110)</f>
        <v>0</v>
      </c>
      <c r="AA44" s="415"/>
      <c r="AB44" s="413"/>
      <c r="AC44" s="413"/>
      <c r="AD44" s="413"/>
      <c r="AE44" s="413"/>
      <c r="AF44" s="414"/>
      <c r="AG44" s="4453">
        <f>SUMIF('11.3. ДА Базова година'!$B$12:$B$39,$B44,'11.3. ДА Базова година'!V$12:V$39)+SUMIF('11.3. ДА Базова година'!$B$92:$B$110,$B44,'11.3. ДА Базова година'!V$92:V$110)</f>
        <v>0</v>
      </c>
      <c r="AH44" s="415"/>
      <c r="AI44" s="413"/>
      <c r="AJ44" s="413"/>
      <c r="AK44" s="413"/>
      <c r="AL44" s="413"/>
      <c r="AM44" s="271"/>
      <c r="AN44" s="4132"/>
      <c r="AO44" s="3026"/>
      <c r="AP44" s="3027"/>
      <c r="AQ44" s="3027"/>
      <c r="AR44" s="3027"/>
      <c r="AS44" s="3027"/>
      <c r="AT44" s="3028"/>
      <c r="AU44" s="4488"/>
      <c r="AV44" s="4504">
        <f t="shared" si="40"/>
        <v>0</v>
      </c>
      <c r="AW44" s="4504">
        <f t="shared" si="41"/>
        <v>0</v>
      </c>
      <c r="AX44" s="4504">
        <f t="shared" si="42"/>
        <v>0</v>
      </c>
      <c r="AY44" s="4504">
        <f t="shared" si="43"/>
        <v>0</v>
      </c>
      <c r="AZ44" s="4504">
        <f t="shared" si="44"/>
        <v>0</v>
      </c>
      <c r="BA44" s="4504">
        <f t="shared" si="45"/>
        <v>0</v>
      </c>
      <c r="BB44" s="4504">
        <f t="shared" si="46"/>
        <v>0</v>
      </c>
      <c r="BC44" s="4504">
        <f t="shared" si="47"/>
        <v>0</v>
      </c>
      <c r="BD44" s="4504">
        <f t="shared" si="48"/>
        <v>0</v>
      </c>
      <c r="BE44" s="4504">
        <f t="shared" si="49"/>
        <v>0</v>
      </c>
      <c r="BF44" s="4504">
        <f t="shared" si="50"/>
        <v>0</v>
      </c>
      <c r="BG44" s="4504">
        <f t="shared" si="51"/>
        <v>0</v>
      </c>
      <c r="BH44" s="4504">
        <f t="shared" si="52"/>
        <v>0</v>
      </c>
      <c r="BI44" s="4504">
        <f t="shared" si="53"/>
        <v>0</v>
      </c>
      <c r="BJ44" s="4504">
        <f t="shared" si="54"/>
        <v>0</v>
      </c>
      <c r="BK44" s="4504">
        <f t="shared" si="55"/>
        <v>0</v>
      </c>
      <c r="BL44" s="4504">
        <f t="shared" si="56"/>
        <v>0</v>
      </c>
      <c r="BM44" s="4504">
        <f t="shared" si="57"/>
        <v>0</v>
      </c>
      <c r="BN44" s="4504">
        <f t="shared" si="58"/>
        <v>0</v>
      </c>
      <c r="BO44" s="4504">
        <f t="shared" si="59"/>
        <v>0</v>
      </c>
      <c r="BP44" s="4504">
        <f t="shared" si="60"/>
        <v>0</v>
      </c>
      <c r="BQ44" s="4504">
        <f t="shared" si="61"/>
        <v>0</v>
      </c>
      <c r="BR44" s="4504">
        <f t="shared" si="62"/>
        <v>0</v>
      </c>
      <c r="BS44" s="4504">
        <f t="shared" si="63"/>
        <v>0</v>
      </c>
      <c r="BT44" s="4504">
        <f t="shared" si="64"/>
        <v>0</v>
      </c>
      <c r="BU44" s="4504">
        <f t="shared" si="65"/>
        <v>0</v>
      </c>
      <c r="BV44" s="4504">
        <f t="shared" si="66"/>
        <v>0</v>
      </c>
      <c r="BW44" s="4504">
        <f t="shared" si="67"/>
        <v>0</v>
      </c>
      <c r="BX44" s="4504">
        <f t="shared" si="68"/>
        <v>0</v>
      </c>
      <c r="BY44" s="4504">
        <f t="shared" si="69"/>
        <v>0</v>
      </c>
      <c r="BZ44" s="4504">
        <f t="shared" si="70"/>
        <v>0</v>
      </c>
      <c r="CA44" s="4504">
        <f t="shared" si="71"/>
        <v>0</v>
      </c>
      <c r="CB44" s="4504">
        <f t="shared" si="72"/>
        <v>0</v>
      </c>
      <c r="CC44" s="4504">
        <f t="shared" si="73"/>
        <v>0</v>
      </c>
      <c r="CD44" s="4504">
        <f t="shared" si="74"/>
        <v>0</v>
      </c>
    </row>
    <row r="45" spans="1:82" s="669" customFormat="1">
      <c r="A45" s="2883">
        <v>5</v>
      </c>
      <c r="B45" s="2884">
        <v>205</v>
      </c>
      <c r="C45" s="2884"/>
      <c r="D45" s="2895" t="s">
        <v>212</v>
      </c>
      <c r="E45" s="2910">
        <f>SUM(E46:E49)</f>
        <v>200.12713509787073</v>
      </c>
      <c r="F45" s="2911">
        <f>SUM(F46:F49)</f>
        <v>0</v>
      </c>
      <c r="G45" s="2912">
        <f>SUM(G46:G49)</f>
        <v>0</v>
      </c>
      <c r="H45" s="2912">
        <f t="shared" ref="H45:K45" si="93">SUM(H46:H49)</f>
        <v>0</v>
      </c>
      <c r="I45" s="2912">
        <f t="shared" si="93"/>
        <v>0</v>
      </c>
      <c r="J45" s="2912">
        <f t="shared" si="93"/>
        <v>0</v>
      </c>
      <c r="K45" s="2913">
        <f t="shared" si="93"/>
        <v>0</v>
      </c>
      <c r="L45" s="2910">
        <f>SUM(L46:L49)</f>
        <v>31.651113593385851</v>
      </c>
      <c r="M45" s="2888">
        <f>SUM(M46:M49)</f>
        <v>0</v>
      </c>
      <c r="N45" s="2889">
        <f>SUM(N46:N49)</f>
        <v>0</v>
      </c>
      <c r="O45" s="2889">
        <f t="shared" ref="O45:R45" si="94">SUM(O46:O49)</f>
        <v>0</v>
      </c>
      <c r="P45" s="2889">
        <f t="shared" si="94"/>
        <v>0</v>
      </c>
      <c r="Q45" s="2889">
        <f t="shared" si="94"/>
        <v>0</v>
      </c>
      <c r="R45" s="2890">
        <f t="shared" si="94"/>
        <v>0</v>
      </c>
      <c r="S45" s="2910">
        <f>SUM(S46:S49)</f>
        <v>38.620135604911496</v>
      </c>
      <c r="T45" s="2911">
        <f>SUM(T46:T49)</f>
        <v>0</v>
      </c>
      <c r="U45" s="2912">
        <f>SUM(U46:U49)</f>
        <v>0</v>
      </c>
      <c r="V45" s="2912">
        <f t="shared" ref="V45:Y45" si="95">SUM(V46:V49)</f>
        <v>0</v>
      </c>
      <c r="W45" s="2912">
        <f t="shared" si="95"/>
        <v>0</v>
      </c>
      <c r="X45" s="2912">
        <f t="shared" si="95"/>
        <v>0</v>
      </c>
      <c r="Y45" s="2914">
        <f t="shared" si="95"/>
        <v>0</v>
      </c>
      <c r="Z45" s="2910">
        <f>SUM(Z46:Z49)</f>
        <v>0</v>
      </c>
      <c r="AA45" s="2911">
        <f>SUM(AA46:AA49)</f>
        <v>0</v>
      </c>
      <c r="AB45" s="2912">
        <f>SUM(AB46:AB49)</f>
        <v>0</v>
      </c>
      <c r="AC45" s="2912">
        <f t="shared" ref="AC45:AF45" si="96">SUM(AC46:AC49)</f>
        <v>0</v>
      </c>
      <c r="AD45" s="2912">
        <f t="shared" si="96"/>
        <v>0</v>
      </c>
      <c r="AE45" s="2912">
        <f t="shared" si="96"/>
        <v>0</v>
      </c>
      <c r="AF45" s="2914">
        <f t="shared" si="96"/>
        <v>0</v>
      </c>
      <c r="AG45" s="2910">
        <f>SUM(AG46:AG49)</f>
        <v>1.8093267433155638</v>
      </c>
      <c r="AH45" s="2911">
        <f>SUM(AH46:AH49)</f>
        <v>0</v>
      </c>
      <c r="AI45" s="2912">
        <f>SUM(AI46:AI49)</f>
        <v>0</v>
      </c>
      <c r="AJ45" s="2912">
        <f t="shared" ref="AJ45:AM45" si="97">SUM(AJ46:AJ49)</f>
        <v>0</v>
      </c>
      <c r="AK45" s="2912">
        <f t="shared" si="97"/>
        <v>0</v>
      </c>
      <c r="AL45" s="2912">
        <f t="shared" si="97"/>
        <v>0</v>
      </c>
      <c r="AM45" s="2913">
        <f t="shared" si="97"/>
        <v>0</v>
      </c>
      <c r="AN45" s="4135">
        <f>SUM(AN46:AN49)</f>
        <v>0</v>
      </c>
      <c r="AO45" s="3026"/>
      <c r="AP45" s="3027"/>
      <c r="AQ45" s="3027"/>
      <c r="AR45" s="3027"/>
      <c r="AS45" s="3027"/>
      <c r="AT45" s="3028"/>
      <c r="AU45" s="4488"/>
      <c r="AV45" s="4504">
        <f t="shared" si="40"/>
        <v>102.32337938260009</v>
      </c>
      <c r="AW45" s="4504">
        <f t="shared" si="41"/>
        <v>0</v>
      </c>
      <c r="AX45" s="4504">
        <f t="shared" si="42"/>
        <v>0</v>
      </c>
      <c r="AY45" s="4504">
        <f t="shared" si="43"/>
        <v>0</v>
      </c>
      <c r="AZ45" s="4504">
        <f t="shared" si="44"/>
        <v>0</v>
      </c>
      <c r="BA45" s="4504">
        <f t="shared" si="45"/>
        <v>0</v>
      </c>
      <c r="BB45" s="4504">
        <f t="shared" si="46"/>
        <v>0</v>
      </c>
      <c r="BC45" s="4504">
        <f t="shared" si="47"/>
        <v>16.182957411117457</v>
      </c>
      <c r="BD45" s="4504">
        <f t="shared" si="48"/>
        <v>0</v>
      </c>
      <c r="BE45" s="4504">
        <f t="shared" si="49"/>
        <v>0</v>
      </c>
      <c r="BF45" s="4504">
        <f t="shared" si="50"/>
        <v>0</v>
      </c>
      <c r="BG45" s="4504">
        <f t="shared" si="51"/>
        <v>0</v>
      </c>
      <c r="BH45" s="4504">
        <f t="shared" si="52"/>
        <v>0</v>
      </c>
      <c r="BI45" s="4504">
        <f t="shared" si="53"/>
        <v>0</v>
      </c>
      <c r="BJ45" s="4504">
        <f t="shared" si="54"/>
        <v>19.746161785488258</v>
      </c>
      <c r="BK45" s="4504">
        <f t="shared" si="55"/>
        <v>0</v>
      </c>
      <c r="BL45" s="4504">
        <f t="shared" si="56"/>
        <v>0</v>
      </c>
      <c r="BM45" s="4504">
        <f t="shared" si="57"/>
        <v>0</v>
      </c>
      <c r="BN45" s="4504">
        <f t="shared" si="58"/>
        <v>0</v>
      </c>
      <c r="BO45" s="4504">
        <f t="shared" si="59"/>
        <v>0</v>
      </c>
      <c r="BP45" s="4504">
        <f t="shared" si="60"/>
        <v>0</v>
      </c>
      <c r="BQ45" s="4504">
        <f t="shared" si="61"/>
        <v>0</v>
      </c>
      <c r="BR45" s="4504">
        <f t="shared" si="62"/>
        <v>0</v>
      </c>
      <c r="BS45" s="4504">
        <f t="shared" si="63"/>
        <v>0</v>
      </c>
      <c r="BT45" s="4504">
        <f t="shared" si="64"/>
        <v>0</v>
      </c>
      <c r="BU45" s="4504">
        <f t="shared" si="65"/>
        <v>0</v>
      </c>
      <c r="BV45" s="4504">
        <f t="shared" si="66"/>
        <v>0</v>
      </c>
      <c r="BW45" s="4504">
        <f t="shared" si="67"/>
        <v>0</v>
      </c>
      <c r="BX45" s="4504">
        <f t="shared" si="68"/>
        <v>0.92509407428844215</v>
      </c>
      <c r="BY45" s="4504">
        <f t="shared" si="69"/>
        <v>0</v>
      </c>
      <c r="BZ45" s="4504">
        <f t="shared" si="70"/>
        <v>0</v>
      </c>
      <c r="CA45" s="4504">
        <f t="shared" si="71"/>
        <v>0</v>
      </c>
      <c r="CB45" s="4504">
        <f t="shared" si="72"/>
        <v>0</v>
      </c>
      <c r="CC45" s="4504">
        <f t="shared" si="73"/>
        <v>0</v>
      </c>
      <c r="CD45" s="4504">
        <f t="shared" si="74"/>
        <v>0</v>
      </c>
    </row>
    <row r="46" spans="1:82" s="669" customFormat="1">
      <c r="A46" s="2915"/>
      <c r="B46" s="2916">
        <v>20501</v>
      </c>
      <c r="C46" s="2917">
        <v>0.08</v>
      </c>
      <c r="D46" s="2918" t="s">
        <v>563</v>
      </c>
      <c r="E46" s="4453">
        <f>SUMIF('11.3. ДА Базова година'!$B$12:$B$39,$B46,'11.3. ДА Базова година'!F$12:F$39)+SUMIF('11.3. ДА Базова година'!$B$92:$B$110,$B46,'11.3. ДА Базова година'!F$92:F$110)</f>
        <v>0</v>
      </c>
      <c r="F46" s="415"/>
      <c r="G46" s="413"/>
      <c r="H46" s="413"/>
      <c r="I46" s="413"/>
      <c r="J46" s="413"/>
      <c r="K46" s="271"/>
      <c r="L46" s="4453">
        <f>SUMIF('11.3. ДА Базова година'!$B$12:$B$39,$B46,'11.3. ДА Базова година'!J$12:J$39)+SUMIF('11.3. ДА Базова година'!$B$92:$B$110,$B46,'11.3. ДА Базова година'!J$92:J$110)</f>
        <v>0</v>
      </c>
      <c r="M46" s="415"/>
      <c r="N46" s="413"/>
      <c r="O46" s="413"/>
      <c r="P46" s="413"/>
      <c r="Q46" s="413"/>
      <c r="R46" s="271"/>
      <c r="S46" s="4453">
        <f>SUMIF('11.3. ДА Базова година'!$B$12:$B$39,$B46,'11.3. ДА Базова година'!N$12:N$39)+SUMIF('11.3. ДА Базова година'!$B$92:$B$110,$B46,'11.3. ДА Базова година'!N$92:N$110)</f>
        <v>0</v>
      </c>
      <c r="T46" s="415"/>
      <c r="U46" s="413"/>
      <c r="V46" s="413"/>
      <c r="W46" s="413"/>
      <c r="X46" s="413"/>
      <c r="Y46" s="414"/>
      <c r="Z46" s="4453">
        <f>SUMIF('11.3. ДА Базова година'!$B$12:$B$39,$B46,'11.3. ДА Базова година'!R$12:R$39)+SUMIF('11.3. ДА Базова година'!$B$92:$B$110,$B46,'11.3. ДА Базова година'!R$92:R$110)</f>
        <v>0</v>
      </c>
      <c r="AA46" s="415"/>
      <c r="AB46" s="413"/>
      <c r="AC46" s="413"/>
      <c r="AD46" s="413"/>
      <c r="AE46" s="413"/>
      <c r="AF46" s="414"/>
      <c r="AG46" s="4453">
        <f>SUMIF('11.3. ДА Базова година'!$B$12:$B$39,$B46,'11.3. ДА Базова година'!V$12:V$39)+SUMIF('11.3. ДА Базова година'!$B$92:$B$110,$B46,'11.3. ДА Базова година'!V$92:V$110)</f>
        <v>0</v>
      </c>
      <c r="AH46" s="415"/>
      <c r="AI46" s="413"/>
      <c r="AJ46" s="413"/>
      <c r="AK46" s="413"/>
      <c r="AL46" s="413"/>
      <c r="AM46" s="271"/>
      <c r="AN46" s="4132"/>
      <c r="AO46" s="3026"/>
      <c r="AP46" s="3027"/>
      <c r="AQ46" s="3027"/>
      <c r="AR46" s="3027"/>
      <c r="AS46" s="3027"/>
      <c r="AT46" s="3028"/>
      <c r="AU46" s="4488"/>
      <c r="AV46" s="4504">
        <f t="shared" si="40"/>
        <v>0</v>
      </c>
      <c r="AW46" s="4504">
        <f t="shared" si="41"/>
        <v>0</v>
      </c>
      <c r="AX46" s="4504">
        <f t="shared" si="42"/>
        <v>0</v>
      </c>
      <c r="AY46" s="4504">
        <f t="shared" si="43"/>
        <v>0</v>
      </c>
      <c r="AZ46" s="4504">
        <f t="shared" si="44"/>
        <v>0</v>
      </c>
      <c r="BA46" s="4504">
        <f t="shared" si="45"/>
        <v>0</v>
      </c>
      <c r="BB46" s="4504">
        <f t="shared" si="46"/>
        <v>0</v>
      </c>
      <c r="BC46" s="4504">
        <f t="shared" si="47"/>
        <v>0</v>
      </c>
      <c r="BD46" s="4504">
        <f t="shared" si="48"/>
        <v>0</v>
      </c>
      <c r="BE46" s="4504">
        <f t="shared" si="49"/>
        <v>0</v>
      </c>
      <c r="BF46" s="4504">
        <f t="shared" si="50"/>
        <v>0</v>
      </c>
      <c r="BG46" s="4504">
        <f t="shared" si="51"/>
        <v>0</v>
      </c>
      <c r="BH46" s="4504">
        <f t="shared" si="52"/>
        <v>0</v>
      </c>
      <c r="BI46" s="4504">
        <f t="shared" si="53"/>
        <v>0</v>
      </c>
      <c r="BJ46" s="4504">
        <f t="shared" si="54"/>
        <v>0</v>
      </c>
      <c r="BK46" s="4504">
        <f t="shared" si="55"/>
        <v>0</v>
      </c>
      <c r="BL46" s="4504">
        <f t="shared" si="56"/>
        <v>0</v>
      </c>
      <c r="BM46" s="4504">
        <f t="shared" si="57"/>
        <v>0</v>
      </c>
      <c r="BN46" s="4504">
        <f t="shared" si="58"/>
        <v>0</v>
      </c>
      <c r="BO46" s="4504">
        <f t="shared" si="59"/>
        <v>0</v>
      </c>
      <c r="BP46" s="4504">
        <f t="shared" si="60"/>
        <v>0</v>
      </c>
      <c r="BQ46" s="4504">
        <f t="shared" si="61"/>
        <v>0</v>
      </c>
      <c r="BR46" s="4504">
        <f t="shared" si="62"/>
        <v>0</v>
      </c>
      <c r="BS46" s="4504">
        <f t="shared" si="63"/>
        <v>0</v>
      </c>
      <c r="BT46" s="4504">
        <f t="shared" si="64"/>
        <v>0</v>
      </c>
      <c r="BU46" s="4504">
        <f t="shared" si="65"/>
        <v>0</v>
      </c>
      <c r="BV46" s="4504">
        <f t="shared" si="66"/>
        <v>0</v>
      </c>
      <c r="BW46" s="4504">
        <f t="shared" si="67"/>
        <v>0</v>
      </c>
      <c r="BX46" s="4504">
        <f t="shared" si="68"/>
        <v>0</v>
      </c>
      <c r="BY46" s="4504">
        <f t="shared" si="69"/>
        <v>0</v>
      </c>
      <c r="BZ46" s="4504">
        <f t="shared" si="70"/>
        <v>0</v>
      </c>
      <c r="CA46" s="4504">
        <f t="shared" si="71"/>
        <v>0</v>
      </c>
      <c r="CB46" s="4504">
        <f t="shared" si="72"/>
        <v>0</v>
      </c>
      <c r="CC46" s="4504">
        <f t="shared" si="73"/>
        <v>0</v>
      </c>
      <c r="CD46" s="4504">
        <f t="shared" si="74"/>
        <v>0</v>
      </c>
    </row>
    <row r="47" spans="1:82" s="669" customFormat="1">
      <c r="A47" s="2915"/>
      <c r="B47" s="2916">
        <v>20502</v>
      </c>
      <c r="C47" s="2917">
        <v>0.1</v>
      </c>
      <c r="D47" s="2918" t="s">
        <v>411</v>
      </c>
      <c r="E47" s="4453">
        <f>SUMIF('11.3. ДА Базова година'!$B$12:$B$39,$B47,'11.3. ДА Базова година'!F$12:F$39)+SUMIF('11.3. ДА Базова година'!$B$92:$B$110,$B47,'11.3. ДА Базова година'!F$92:F$110)</f>
        <v>192.02713509787074</v>
      </c>
      <c r="F47" s="415"/>
      <c r="G47" s="413"/>
      <c r="H47" s="413"/>
      <c r="I47" s="413"/>
      <c r="J47" s="413"/>
      <c r="K47" s="271"/>
      <c r="L47" s="4453">
        <f>SUMIF('11.3. ДА Базова година'!$B$12:$B$39,$B47,'11.3. ДА Базова година'!J$12:J$39)+SUMIF('11.3. ДА Базова година'!$B$92:$B$110,$B47,'11.3. ДА Базова година'!J$92:J$110)</f>
        <v>31.651113593385851</v>
      </c>
      <c r="M47" s="415"/>
      <c r="N47" s="413"/>
      <c r="O47" s="413"/>
      <c r="P47" s="413"/>
      <c r="Q47" s="413"/>
      <c r="R47" s="271"/>
      <c r="S47" s="4453">
        <f>SUMIF('11.3. ДА Базова година'!$B$12:$B$39,$B47,'11.3. ДА Базова година'!N$12:N$39)+SUMIF('11.3. ДА Базова година'!$B$92:$B$110,$B47,'11.3. ДА Базова година'!N$92:N$110)</f>
        <v>38.620135604911496</v>
      </c>
      <c r="T47" s="415"/>
      <c r="U47" s="413"/>
      <c r="V47" s="413"/>
      <c r="W47" s="413"/>
      <c r="X47" s="413"/>
      <c r="Y47" s="414"/>
      <c r="Z47" s="4453">
        <f>SUMIF('11.3. ДА Базова година'!$B$12:$B$39,$B47,'11.3. ДА Базова година'!R$12:R$39)+SUMIF('11.3. ДА Базова година'!$B$92:$B$110,$B47,'11.3. ДА Базова година'!R$92:R$110)</f>
        <v>0</v>
      </c>
      <c r="AA47" s="415"/>
      <c r="AB47" s="413"/>
      <c r="AC47" s="413"/>
      <c r="AD47" s="413"/>
      <c r="AE47" s="413"/>
      <c r="AF47" s="414"/>
      <c r="AG47" s="4453">
        <f>SUMIF('11.3. ДА Базова година'!$B$12:$B$39,$B47,'11.3. ДА Базова година'!V$12:V$39)+SUMIF('11.3. ДА Базова година'!$B$92:$B$110,$B47,'11.3. ДА Базова година'!V$92:V$110)</f>
        <v>1.8093267433155638</v>
      </c>
      <c r="AH47" s="415"/>
      <c r="AI47" s="413"/>
      <c r="AJ47" s="413"/>
      <c r="AK47" s="413"/>
      <c r="AL47" s="413"/>
      <c r="AM47" s="271"/>
      <c r="AN47" s="4132"/>
      <c r="AO47" s="3026"/>
      <c r="AP47" s="3027"/>
      <c r="AQ47" s="3027"/>
      <c r="AR47" s="3027"/>
      <c r="AS47" s="3027"/>
      <c r="AT47" s="3028"/>
      <c r="AU47" s="4488"/>
      <c r="AV47" s="4504">
        <f t="shared" si="40"/>
        <v>98.181915144910732</v>
      </c>
      <c r="AW47" s="4504">
        <f t="shared" si="41"/>
        <v>0</v>
      </c>
      <c r="AX47" s="4504">
        <f t="shared" si="42"/>
        <v>0</v>
      </c>
      <c r="AY47" s="4504">
        <f t="shared" si="43"/>
        <v>0</v>
      </c>
      <c r="AZ47" s="4504">
        <f t="shared" si="44"/>
        <v>0</v>
      </c>
      <c r="BA47" s="4504">
        <f t="shared" si="45"/>
        <v>0</v>
      </c>
      <c r="BB47" s="4504">
        <f t="shared" si="46"/>
        <v>0</v>
      </c>
      <c r="BC47" s="4504">
        <f t="shared" si="47"/>
        <v>16.182957411117457</v>
      </c>
      <c r="BD47" s="4504">
        <f t="shared" si="48"/>
        <v>0</v>
      </c>
      <c r="BE47" s="4504">
        <f t="shared" si="49"/>
        <v>0</v>
      </c>
      <c r="BF47" s="4504">
        <f t="shared" si="50"/>
        <v>0</v>
      </c>
      <c r="BG47" s="4504">
        <f t="shared" si="51"/>
        <v>0</v>
      </c>
      <c r="BH47" s="4504">
        <f t="shared" si="52"/>
        <v>0</v>
      </c>
      <c r="BI47" s="4504">
        <f t="shared" si="53"/>
        <v>0</v>
      </c>
      <c r="BJ47" s="4504">
        <f t="shared" si="54"/>
        <v>19.746161785488258</v>
      </c>
      <c r="BK47" s="4504">
        <f t="shared" si="55"/>
        <v>0</v>
      </c>
      <c r="BL47" s="4504">
        <f t="shared" si="56"/>
        <v>0</v>
      </c>
      <c r="BM47" s="4504">
        <f t="shared" si="57"/>
        <v>0</v>
      </c>
      <c r="BN47" s="4504">
        <f t="shared" si="58"/>
        <v>0</v>
      </c>
      <c r="BO47" s="4504">
        <f t="shared" si="59"/>
        <v>0</v>
      </c>
      <c r="BP47" s="4504">
        <f t="shared" si="60"/>
        <v>0</v>
      </c>
      <c r="BQ47" s="4504">
        <f t="shared" si="61"/>
        <v>0</v>
      </c>
      <c r="BR47" s="4504">
        <f t="shared" si="62"/>
        <v>0</v>
      </c>
      <c r="BS47" s="4504">
        <f t="shared" si="63"/>
        <v>0</v>
      </c>
      <c r="BT47" s="4504">
        <f t="shared" si="64"/>
        <v>0</v>
      </c>
      <c r="BU47" s="4504">
        <f t="shared" si="65"/>
        <v>0</v>
      </c>
      <c r="BV47" s="4504">
        <f t="shared" si="66"/>
        <v>0</v>
      </c>
      <c r="BW47" s="4504">
        <f t="shared" si="67"/>
        <v>0</v>
      </c>
      <c r="BX47" s="4504">
        <f t="shared" si="68"/>
        <v>0.92509407428844215</v>
      </c>
      <c r="BY47" s="4504">
        <f t="shared" si="69"/>
        <v>0</v>
      </c>
      <c r="BZ47" s="4504">
        <f t="shared" si="70"/>
        <v>0</v>
      </c>
      <c r="CA47" s="4504">
        <f t="shared" si="71"/>
        <v>0</v>
      </c>
      <c r="CB47" s="4504">
        <f t="shared" si="72"/>
        <v>0</v>
      </c>
      <c r="CC47" s="4504">
        <f t="shared" si="73"/>
        <v>0</v>
      </c>
      <c r="CD47" s="4504">
        <f t="shared" si="74"/>
        <v>0</v>
      </c>
    </row>
    <row r="48" spans="1:82" s="669" customFormat="1">
      <c r="A48" s="2915"/>
      <c r="B48" s="2916">
        <v>20503</v>
      </c>
      <c r="C48" s="2917">
        <v>0.1</v>
      </c>
      <c r="D48" s="2896" t="s">
        <v>412</v>
      </c>
      <c r="E48" s="4453">
        <f>SUMIF('11.3. ДА Базова година'!$B$12:$B$39,$B48,'11.3. ДА Базова година'!F$12:F$39)+SUMIF('11.3. ДА Базова година'!$B$92:$B$110,$B48,'11.3. ДА Базова година'!F$92:F$110)</f>
        <v>8.1</v>
      </c>
      <c r="F48" s="415"/>
      <c r="G48" s="413"/>
      <c r="H48" s="413"/>
      <c r="I48" s="413"/>
      <c r="J48" s="413"/>
      <c r="K48" s="271"/>
      <c r="L48" s="4453">
        <f>SUMIF('11.3. ДА Базова година'!$B$12:$B$39,$B48,'11.3. ДА Базова година'!J$12:J$39)+SUMIF('11.3. ДА Базова година'!$B$92:$B$110,$B48,'11.3. ДА Базова година'!J$92:J$110)</f>
        <v>0</v>
      </c>
      <c r="M48" s="415"/>
      <c r="N48" s="413"/>
      <c r="O48" s="413"/>
      <c r="P48" s="413"/>
      <c r="Q48" s="413"/>
      <c r="R48" s="271"/>
      <c r="S48" s="4453">
        <f>SUMIF('11.3. ДА Базова година'!$B$12:$B$39,$B48,'11.3. ДА Базова година'!N$12:N$39)+SUMIF('11.3. ДА Базова година'!$B$92:$B$110,$B48,'11.3. ДА Базова година'!N$92:N$110)</f>
        <v>0</v>
      </c>
      <c r="T48" s="415"/>
      <c r="U48" s="413"/>
      <c r="V48" s="413"/>
      <c r="W48" s="413"/>
      <c r="X48" s="413"/>
      <c r="Y48" s="414"/>
      <c r="Z48" s="4453">
        <f>SUMIF('11.3. ДА Базова година'!$B$12:$B$39,$B48,'11.3. ДА Базова година'!R$12:R$39)+SUMIF('11.3. ДА Базова година'!$B$92:$B$110,$B48,'11.3. ДА Базова година'!R$92:R$110)</f>
        <v>0</v>
      </c>
      <c r="AA48" s="415"/>
      <c r="AB48" s="413"/>
      <c r="AC48" s="413"/>
      <c r="AD48" s="413"/>
      <c r="AE48" s="413"/>
      <c r="AF48" s="414"/>
      <c r="AG48" s="4453">
        <f>SUMIF('11.3. ДА Базова година'!$B$12:$B$39,$B48,'11.3. ДА Базова година'!V$12:V$39)+SUMIF('11.3. ДА Базова година'!$B$92:$B$110,$B48,'11.3. ДА Базова година'!V$92:V$110)</f>
        <v>0</v>
      </c>
      <c r="AH48" s="415"/>
      <c r="AI48" s="413"/>
      <c r="AJ48" s="413"/>
      <c r="AK48" s="413"/>
      <c r="AL48" s="413"/>
      <c r="AM48" s="271"/>
      <c r="AN48" s="4132"/>
      <c r="AO48" s="3026"/>
      <c r="AP48" s="3027"/>
      <c r="AQ48" s="3027"/>
      <c r="AR48" s="3027"/>
      <c r="AS48" s="3027"/>
      <c r="AT48" s="3028"/>
      <c r="AU48" s="4488"/>
      <c r="AV48" s="4504">
        <f t="shared" si="40"/>
        <v>4.1414642376893696</v>
      </c>
      <c r="AW48" s="4504">
        <f t="shared" si="41"/>
        <v>0</v>
      </c>
      <c r="AX48" s="4504">
        <f t="shared" si="42"/>
        <v>0</v>
      </c>
      <c r="AY48" s="4504">
        <f t="shared" si="43"/>
        <v>0</v>
      </c>
      <c r="AZ48" s="4504">
        <f t="shared" si="44"/>
        <v>0</v>
      </c>
      <c r="BA48" s="4504">
        <f t="shared" si="45"/>
        <v>0</v>
      </c>
      <c r="BB48" s="4504">
        <f t="shared" si="46"/>
        <v>0</v>
      </c>
      <c r="BC48" s="4504">
        <f t="shared" si="47"/>
        <v>0</v>
      </c>
      <c r="BD48" s="4504">
        <f t="shared" si="48"/>
        <v>0</v>
      </c>
      <c r="BE48" s="4504">
        <f t="shared" si="49"/>
        <v>0</v>
      </c>
      <c r="BF48" s="4504">
        <f t="shared" si="50"/>
        <v>0</v>
      </c>
      <c r="BG48" s="4504">
        <f t="shared" si="51"/>
        <v>0</v>
      </c>
      <c r="BH48" s="4504">
        <f t="shared" si="52"/>
        <v>0</v>
      </c>
      <c r="BI48" s="4504">
        <f t="shared" si="53"/>
        <v>0</v>
      </c>
      <c r="BJ48" s="4504">
        <f t="shared" si="54"/>
        <v>0</v>
      </c>
      <c r="BK48" s="4504">
        <f t="shared" si="55"/>
        <v>0</v>
      </c>
      <c r="BL48" s="4504">
        <f t="shared" si="56"/>
        <v>0</v>
      </c>
      <c r="BM48" s="4504">
        <f t="shared" si="57"/>
        <v>0</v>
      </c>
      <c r="BN48" s="4504">
        <f t="shared" si="58"/>
        <v>0</v>
      </c>
      <c r="BO48" s="4504">
        <f t="shared" si="59"/>
        <v>0</v>
      </c>
      <c r="BP48" s="4504">
        <f t="shared" si="60"/>
        <v>0</v>
      </c>
      <c r="BQ48" s="4504">
        <f t="shared" si="61"/>
        <v>0</v>
      </c>
      <c r="BR48" s="4504">
        <f t="shared" si="62"/>
        <v>0</v>
      </c>
      <c r="BS48" s="4504">
        <f t="shared" si="63"/>
        <v>0</v>
      </c>
      <c r="BT48" s="4504">
        <f t="shared" si="64"/>
        <v>0</v>
      </c>
      <c r="BU48" s="4504">
        <f t="shared" si="65"/>
        <v>0</v>
      </c>
      <c r="BV48" s="4504">
        <f t="shared" si="66"/>
        <v>0</v>
      </c>
      <c r="BW48" s="4504">
        <f t="shared" si="67"/>
        <v>0</v>
      </c>
      <c r="BX48" s="4504">
        <f t="shared" si="68"/>
        <v>0</v>
      </c>
      <c r="BY48" s="4504">
        <f t="shared" si="69"/>
        <v>0</v>
      </c>
      <c r="BZ48" s="4504">
        <f t="shared" si="70"/>
        <v>0</v>
      </c>
      <c r="CA48" s="4504">
        <f t="shared" si="71"/>
        <v>0</v>
      </c>
      <c r="CB48" s="4504">
        <f t="shared" si="72"/>
        <v>0</v>
      </c>
      <c r="CC48" s="4504">
        <f t="shared" si="73"/>
        <v>0</v>
      </c>
      <c r="CD48" s="4504">
        <f t="shared" si="74"/>
        <v>0</v>
      </c>
    </row>
    <row r="49" spans="1:82" s="669" customFormat="1">
      <c r="A49" s="2915"/>
      <c r="B49" s="2916">
        <v>20504</v>
      </c>
      <c r="C49" s="2917">
        <v>0.1</v>
      </c>
      <c r="D49" s="2896" t="s">
        <v>557</v>
      </c>
      <c r="E49" s="4453">
        <f>SUMIF('11.3. ДА Базова година'!$B$12:$B$39,$B49,'11.3. ДА Базова година'!F$12:F$39)+SUMIF('11.3. ДА Базова година'!$B$92:$B$110,$B49,'11.3. ДА Базова година'!F$92:F$110)</f>
        <v>0</v>
      </c>
      <c r="F49" s="415"/>
      <c r="G49" s="413"/>
      <c r="H49" s="413"/>
      <c r="I49" s="413"/>
      <c r="J49" s="413"/>
      <c r="K49" s="271"/>
      <c r="L49" s="4453">
        <f>SUMIF('11.3. ДА Базова година'!$B$12:$B$39,$B49,'11.3. ДА Базова година'!J$12:J$39)+SUMIF('11.3. ДА Базова година'!$B$92:$B$110,$B49,'11.3. ДА Базова година'!J$92:J$110)</f>
        <v>0</v>
      </c>
      <c r="M49" s="415"/>
      <c r="N49" s="413"/>
      <c r="O49" s="413"/>
      <c r="P49" s="413"/>
      <c r="Q49" s="413"/>
      <c r="R49" s="271"/>
      <c r="S49" s="4453">
        <f>SUMIF('11.3. ДА Базова година'!$B$12:$B$39,$B49,'11.3. ДА Базова година'!N$12:N$39)+SUMIF('11.3. ДА Базова година'!$B$92:$B$110,$B49,'11.3. ДА Базова година'!N$92:N$110)</f>
        <v>0</v>
      </c>
      <c r="T49" s="415"/>
      <c r="U49" s="413"/>
      <c r="V49" s="413"/>
      <c r="W49" s="413"/>
      <c r="X49" s="413"/>
      <c r="Y49" s="414"/>
      <c r="Z49" s="4453">
        <f>SUMIF('11.3. ДА Базова година'!$B$12:$B$39,$B49,'11.3. ДА Базова година'!R$12:R$39)+SUMIF('11.3. ДА Базова година'!$B$92:$B$110,$B49,'11.3. ДА Базова година'!R$92:R$110)</f>
        <v>0</v>
      </c>
      <c r="AA49" s="415"/>
      <c r="AB49" s="413"/>
      <c r="AC49" s="413"/>
      <c r="AD49" s="413"/>
      <c r="AE49" s="413"/>
      <c r="AF49" s="414"/>
      <c r="AG49" s="4453">
        <f>SUMIF('11.3. ДА Базова година'!$B$12:$B$39,$B49,'11.3. ДА Базова година'!V$12:V$39)+SUMIF('11.3. ДА Базова година'!$B$92:$B$110,$B49,'11.3. ДА Базова година'!V$92:V$110)</f>
        <v>0</v>
      </c>
      <c r="AH49" s="415"/>
      <c r="AI49" s="413"/>
      <c r="AJ49" s="413"/>
      <c r="AK49" s="413"/>
      <c r="AL49" s="413"/>
      <c r="AM49" s="271"/>
      <c r="AN49" s="4132"/>
      <c r="AO49" s="3026"/>
      <c r="AP49" s="3027"/>
      <c r="AQ49" s="3027"/>
      <c r="AR49" s="3027"/>
      <c r="AS49" s="3027"/>
      <c r="AT49" s="3028"/>
      <c r="AU49" s="4488"/>
      <c r="AV49" s="4504">
        <f t="shared" si="40"/>
        <v>0</v>
      </c>
      <c r="AW49" s="4504">
        <f t="shared" si="41"/>
        <v>0</v>
      </c>
      <c r="AX49" s="4504">
        <f t="shared" si="42"/>
        <v>0</v>
      </c>
      <c r="AY49" s="4504">
        <f t="shared" si="43"/>
        <v>0</v>
      </c>
      <c r="AZ49" s="4504">
        <f t="shared" si="44"/>
        <v>0</v>
      </c>
      <c r="BA49" s="4504">
        <f t="shared" si="45"/>
        <v>0</v>
      </c>
      <c r="BB49" s="4504">
        <f t="shared" si="46"/>
        <v>0</v>
      </c>
      <c r="BC49" s="4504">
        <f t="shared" si="47"/>
        <v>0</v>
      </c>
      <c r="BD49" s="4504">
        <f t="shared" si="48"/>
        <v>0</v>
      </c>
      <c r="BE49" s="4504">
        <f t="shared" si="49"/>
        <v>0</v>
      </c>
      <c r="BF49" s="4504">
        <f t="shared" si="50"/>
        <v>0</v>
      </c>
      <c r="BG49" s="4504">
        <f t="shared" si="51"/>
        <v>0</v>
      </c>
      <c r="BH49" s="4504">
        <f t="shared" si="52"/>
        <v>0</v>
      </c>
      <c r="BI49" s="4504">
        <f t="shared" si="53"/>
        <v>0</v>
      </c>
      <c r="BJ49" s="4504">
        <f t="shared" si="54"/>
        <v>0</v>
      </c>
      <c r="BK49" s="4504">
        <f t="shared" si="55"/>
        <v>0</v>
      </c>
      <c r="BL49" s="4504">
        <f t="shared" si="56"/>
        <v>0</v>
      </c>
      <c r="BM49" s="4504">
        <f t="shared" si="57"/>
        <v>0</v>
      </c>
      <c r="BN49" s="4504">
        <f t="shared" si="58"/>
        <v>0</v>
      </c>
      <c r="BO49" s="4504">
        <f t="shared" si="59"/>
        <v>0</v>
      </c>
      <c r="BP49" s="4504">
        <f t="shared" si="60"/>
        <v>0</v>
      </c>
      <c r="BQ49" s="4504">
        <f t="shared" si="61"/>
        <v>0</v>
      </c>
      <c r="BR49" s="4504">
        <f t="shared" si="62"/>
        <v>0</v>
      </c>
      <c r="BS49" s="4504">
        <f t="shared" si="63"/>
        <v>0</v>
      </c>
      <c r="BT49" s="4504">
        <f t="shared" si="64"/>
        <v>0</v>
      </c>
      <c r="BU49" s="4504">
        <f t="shared" si="65"/>
        <v>0</v>
      </c>
      <c r="BV49" s="4504">
        <f t="shared" si="66"/>
        <v>0</v>
      </c>
      <c r="BW49" s="4504">
        <f t="shared" si="67"/>
        <v>0</v>
      </c>
      <c r="BX49" s="4504">
        <f t="shared" si="68"/>
        <v>0</v>
      </c>
      <c r="BY49" s="4504">
        <f t="shared" si="69"/>
        <v>0</v>
      </c>
      <c r="BZ49" s="4504">
        <f t="shared" si="70"/>
        <v>0</v>
      </c>
      <c r="CA49" s="4504">
        <f t="shared" si="71"/>
        <v>0</v>
      </c>
      <c r="CB49" s="4504">
        <f t="shared" si="72"/>
        <v>0</v>
      </c>
      <c r="CC49" s="4504">
        <f t="shared" si="73"/>
        <v>0</v>
      </c>
      <c r="CD49" s="4504">
        <f t="shared" si="74"/>
        <v>0</v>
      </c>
    </row>
    <row r="50" spans="1:82" s="669" customFormat="1">
      <c r="A50" s="2919">
        <v>6</v>
      </c>
      <c r="B50" s="2920">
        <v>206</v>
      </c>
      <c r="C50" s="2921">
        <v>0.1</v>
      </c>
      <c r="D50" s="2907" t="s">
        <v>394</v>
      </c>
      <c r="E50" s="2910">
        <f>SUM(E51:E53)</f>
        <v>1.4268779796955062</v>
      </c>
      <c r="F50" s="2911">
        <f>SUM(F51:F53)</f>
        <v>0</v>
      </c>
      <c r="G50" s="2912">
        <f t="shared" ref="G50:AN50" si="98">SUM(G51:G53)</f>
        <v>0</v>
      </c>
      <c r="H50" s="2912">
        <f t="shared" si="98"/>
        <v>0</v>
      </c>
      <c r="I50" s="2912">
        <f>SUM(I51:I53)</f>
        <v>0</v>
      </c>
      <c r="J50" s="2912">
        <f t="shared" si="98"/>
        <v>0</v>
      </c>
      <c r="K50" s="2913">
        <f t="shared" si="98"/>
        <v>0</v>
      </c>
      <c r="L50" s="2910">
        <f t="shared" si="98"/>
        <v>0.2487557234971644</v>
      </c>
      <c r="M50" s="2888">
        <f t="shared" si="98"/>
        <v>0</v>
      </c>
      <c r="N50" s="2889">
        <f t="shared" si="98"/>
        <v>0</v>
      </c>
      <c r="O50" s="2889">
        <f t="shared" si="98"/>
        <v>0</v>
      </c>
      <c r="P50" s="2889">
        <f t="shared" si="98"/>
        <v>0</v>
      </c>
      <c r="Q50" s="2889">
        <f t="shared" si="98"/>
        <v>0</v>
      </c>
      <c r="R50" s="2890">
        <f t="shared" si="98"/>
        <v>0</v>
      </c>
      <c r="S50" s="2910">
        <f t="shared" si="98"/>
        <v>0.30352738603061136</v>
      </c>
      <c r="T50" s="2888">
        <f t="shared" si="98"/>
        <v>0</v>
      </c>
      <c r="U50" s="2889">
        <f t="shared" si="98"/>
        <v>0</v>
      </c>
      <c r="V50" s="2889">
        <f t="shared" si="98"/>
        <v>0</v>
      </c>
      <c r="W50" s="2889">
        <f t="shared" si="98"/>
        <v>0</v>
      </c>
      <c r="X50" s="2889">
        <f t="shared" si="98"/>
        <v>0</v>
      </c>
      <c r="Y50" s="2891">
        <f t="shared" si="98"/>
        <v>0</v>
      </c>
      <c r="Z50" s="2910">
        <f t="shared" si="98"/>
        <v>0</v>
      </c>
      <c r="AA50" s="2888">
        <f t="shared" si="98"/>
        <v>0</v>
      </c>
      <c r="AB50" s="2889">
        <f t="shared" si="98"/>
        <v>0</v>
      </c>
      <c r="AC50" s="2889">
        <f t="shared" si="98"/>
        <v>0</v>
      </c>
      <c r="AD50" s="2889">
        <f t="shared" si="98"/>
        <v>0</v>
      </c>
      <c r="AE50" s="2889">
        <f t="shared" si="98"/>
        <v>0</v>
      </c>
      <c r="AF50" s="2891">
        <f t="shared" si="98"/>
        <v>0</v>
      </c>
      <c r="AG50" s="2910">
        <f>SUM(AG51:AG53)</f>
        <v>1.4220048901226806E-2</v>
      </c>
      <c r="AH50" s="2911">
        <f>SUM(AH51:AH53)</f>
        <v>0</v>
      </c>
      <c r="AI50" s="2912">
        <f t="shared" ref="AI50:AM50" si="99">SUM(AI51:AI53)</f>
        <v>0</v>
      </c>
      <c r="AJ50" s="2912">
        <f t="shared" si="99"/>
        <v>0</v>
      </c>
      <c r="AK50" s="2912">
        <f>SUM(AK51:AK53)</f>
        <v>0</v>
      </c>
      <c r="AL50" s="2912">
        <f t="shared" si="99"/>
        <v>0</v>
      </c>
      <c r="AM50" s="2913">
        <f t="shared" si="99"/>
        <v>0</v>
      </c>
      <c r="AN50" s="4135">
        <f t="shared" si="98"/>
        <v>0</v>
      </c>
      <c r="AO50" s="3026"/>
      <c r="AP50" s="3027"/>
      <c r="AQ50" s="3027"/>
      <c r="AR50" s="3027"/>
      <c r="AS50" s="3027"/>
      <c r="AT50" s="3028"/>
      <c r="AU50" s="4488"/>
      <c r="AV50" s="4504">
        <f t="shared" si="40"/>
        <v>0.72955112647597509</v>
      </c>
      <c r="AW50" s="4504">
        <f t="shared" si="41"/>
        <v>0</v>
      </c>
      <c r="AX50" s="4504">
        <f t="shared" si="42"/>
        <v>0</v>
      </c>
      <c r="AY50" s="4504">
        <f t="shared" si="43"/>
        <v>0</v>
      </c>
      <c r="AZ50" s="4504">
        <f t="shared" si="44"/>
        <v>0</v>
      </c>
      <c r="BA50" s="4504">
        <f t="shared" si="45"/>
        <v>0</v>
      </c>
      <c r="BB50" s="4504">
        <f t="shared" si="46"/>
        <v>0</v>
      </c>
      <c r="BC50" s="4504">
        <f t="shared" si="47"/>
        <v>0.12718678182519155</v>
      </c>
      <c r="BD50" s="4504">
        <f t="shared" si="48"/>
        <v>0</v>
      </c>
      <c r="BE50" s="4504">
        <f t="shared" si="49"/>
        <v>0</v>
      </c>
      <c r="BF50" s="4504">
        <f t="shared" si="50"/>
        <v>0</v>
      </c>
      <c r="BG50" s="4504">
        <f t="shared" si="51"/>
        <v>0</v>
      </c>
      <c r="BH50" s="4504">
        <f t="shared" si="52"/>
        <v>0</v>
      </c>
      <c r="BI50" s="4504">
        <f t="shared" si="53"/>
        <v>0</v>
      </c>
      <c r="BJ50" s="4504">
        <f t="shared" si="54"/>
        <v>0.1551910881981621</v>
      </c>
      <c r="BK50" s="4504">
        <f t="shared" si="55"/>
        <v>0</v>
      </c>
      <c r="BL50" s="4504">
        <f t="shared" si="56"/>
        <v>0</v>
      </c>
      <c r="BM50" s="4504">
        <f t="shared" si="57"/>
        <v>0</v>
      </c>
      <c r="BN50" s="4504">
        <f t="shared" si="58"/>
        <v>0</v>
      </c>
      <c r="BO50" s="4504">
        <f t="shared" si="59"/>
        <v>0</v>
      </c>
      <c r="BP50" s="4504">
        <f t="shared" si="60"/>
        <v>0</v>
      </c>
      <c r="BQ50" s="4504">
        <f t="shared" si="61"/>
        <v>0</v>
      </c>
      <c r="BR50" s="4504">
        <f t="shared" si="62"/>
        <v>0</v>
      </c>
      <c r="BS50" s="4504">
        <f t="shared" si="63"/>
        <v>0</v>
      </c>
      <c r="BT50" s="4504">
        <f t="shared" si="64"/>
        <v>0</v>
      </c>
      <c r="BU50" s="4504">
        <f t="shared" si="65"/>
        <v>0</v>
      </c>
      <c r="BV50" s="4504">
        <f t="shared" si="66"/>
        <v>0</v>
      </c>
      <c r="BW50" s="4504">
        <f t="shared" si="67"/>
        <v>0</v>
      </c>
      <c r="BX50" s="4504">
        <f t="shared" si="68"/>
        <v>7.2705955534104732E-3</v>
      </c>
      <c r="BY50" s="4504">
        <f t="shared" si="69"/>
        <v>0</v>
      </c>
      <c r="BZ50" s="4504">
        <f t="shared" si="70"/>
        <v>0</v>
      </c>
      <c r="CA50" s="4504">
        <f t="shared" si="71"/>
        <v>0</v>
      </c>
      <c r="CB50" s="4504">
        <f t="shared" si="72"/>
        <v>0</v>
      </c>
      <c r="CC50" s="4504">
        <f t="shared" si="73"/>
        <v>0</v>
      </c>
      <c r="CD50" s="4504">
        <f t="shared" si="74"/>
        <v>0</v>
      </c>
    </row>
    <row r="51" spans="1:82" s="669" customFormat="1">
      <c r="A51" s="2919"/>
      <c r="B51" s="2916">
        <v>20601</v>
      </c>
      <c r="C51" s="2917">
        <v>0.1</v>
      </c>
      <c r="D51" s="2896" t="s">
        <v>564</v>
      </c>
      <c r="E51" s="4453">
        <f>SUMIF('11.3. ДА Базова година'!$B$12:$B$39,$B51,'11.3. ДА Базова година'!F$12:F$39)+SUMIF('11.3. ДА Базова година'!$B$92:$B$110,$B51,'11.3. ДА Базова година'!F$92:F$110)</f>
        <v>1.4268779796955062</v>
      </c>
      <c r="F51" s="415"/>
      <c r="G51" s="413"/>
      <c r="H51" s="413"/>
      <c r="I51" s="413"/>
      <c r="J51" s="413"/>
      <c r="K51" s="271"/>
      <c r="L51" s="4453">
        <f>SUMIF('11.3. ДА Базова година'!$B$12:$B$39,$B51,'11.3. ДА Базова година'!J$12:J$39)+SUMIF('11.3. ДА Базова година'!$B$92:$B$110,$B51,'11.3. ДА Базова година'!J$92:J$110)</f>
        <v>0.2487557234971644</v>
      </c>
      <c r="M51" s="415"/>
      <c r="N51" s="413"/>
      <c r="O51" s="413"/>
      <c r="P51" s="413"/>
      <c r="Q51" s="413"/>
      <c r="R51" s="271"/>
      <c r="S51" s="4453">
        <f>SUMIF('11.3. ДА Базова година'!$B$12:$B$39,$B51,'11.3. ДА Базова година'!N$12:N$39)+SUMIF('11.3. ДА Базова година'!$B$92:$B$110,$B51,'11.3. ДА Базова година'!N$92:N$110)</f>
        <v>0.30352738603061136</v>
      </c>
      <c r="T51" s="415"/>
      <c r="U51" s="413"/>
      <c r="V51" s="413"/>
      <c r="W51" s="413"/>
      <c r="X51" s="413"/>
      <c r="Y51" s="414"/>
      <c r="Z51" s="4453">
        <f>SUMIF('11.3. ДА Базова година'!$B$12:$B$39,$B51,'11.3. ДА Базова година'!R$12:R$39)+SUMIF('11.3. ДА Базова година'!$B$92:$B$110,$B51,'11.3. ДА Базова година'!R$92:R$110)</f>
        <v>0</v>
      </c>
      <c r="AA51" s="415"/>
      <c r="AB51" s="413"/>
      <c r="AC51" s="413"/>
      <c r="AD51" s="413"/>
      <c r="AE51" s="413"/>
      <c r="AF51" s="414"/>
      <c r="AG51" s="4453">
        <f>SUMIF('11.3. ДА Базова година'!$B$12:$B$39,$B51,'11.3. ДА Базова година'!V$12:V$39)+SUMIF('11.3. ДА Базова година'!$B$92:$B$110,$B51,'11.3. ДА Базова година'!V$92:V$110)</f>
        <v>1.4220048901226806E-2</v>
      </c>
      <c r="AH51" s="415"/>
      <c r="AI51" s="413"/>
      <c r="AJ51" s="413"/>
      <c r="AK51" s="413"/>
      <c r="AL51" s="413"/>
      <c r="AM51" s="271"/>
      <c r="AN51" s="4132"/>
      <c r="AO51" s="3026"/>
      <c r="AP51" s="3027"/>
      <c r="AQ51" s="3027"/>
      <c r="AR51" s="3027"/>
      <c r="AS51" s="3027"/>
      <c r="AT51" s="3028"/>
      <c r="AU51" s="4488"/>
      <c r="AV51" s="4504">
        <f t="shared" si="40"/>
        <v>0.72955112647597509</v>
      </c>
      <c r="AW51" s="4504">
        <f t="shared" si="41"/>
        <v>0</v>
      </c>
      <c r="AX51" s="4504">
        <f t="shared" si="42"/>
        <v>0</v>
      </c>
      <c r="AY51" s="4504">
        <f t="shared" si="43"/>
        <v>0</v>
      </c>
      <c r="AZ51" s="4504">
        <f t="shared" si="44"/>
        <v>0</v>
      </c>
      <c r="BA51" s="4504">
        <f t="shared" si="45"/>
        <v>0</v>
      </c>
      <c r="BB51" s="4504">
        <f t="shared" si="46"/>
        <v>0</v>
      </c>
      <c r="BC51" s="4504">
        <f t="shared" si="47"/>
        <v>0.12718678182519155</v>
      </c>
      <c r="BD51" s="4504">
        <f t="shared" si="48"/>
        <v>0</v>
      </c>
      <c r="BE51" s="4504">
        <f t="shared" si="49"/>
        <v>0</v>
      </c>
      <c r="BF51" s="4504">
        <f t="shared" si="50"/>
        <v>0</v>
      </c>
      <c r="BG51" s="4504">
        <f t="shared" si="51"/>
        <v>0</v>
      </c>
      <c r="BH51" s="4504">
        <f t="shared" si="52"/>
        <v>0</v>
      </c>
      <c r="BI51" s="4504">
        <f t="shared" si="53"/>
        <v>0</v>
      </c>
      <c r="BJ51" s="4504">
        <f t="shared" si="54"/>
        <v>0.1551910881981621</v>
      </c>
      <c r="BK51" s="4504">
        <f t="shared" si="55"/>
        <v>0</v>
      </c>
      <c r="BL51" s="4504">
        <f t="shared" si="56"/>
        <v>0</v>
      </c>
      <c r="BM51" s="4504">
        <f t="shared" si="57"/>
        <v>0</v>
      </c>
      <c r="BN51" s="4504">
        <f t="shared" si="58"/>
        <v>0</v>
      </c>
      <c r="BO51" s="4504">
        <f t="shared" si="59"/>
        <v>0</v>
      </c>
      <c r="BP51" s="4504">
        <f t="shared" si="60"/>
        <v>0</v>
      </c>
      <c r="BQ51" s="4504">
        <f t="shared" si="61"/>
        <v>0</v>
      </c>
      <c r="BR51" s="4504">
        <f t="shared" si="62"/>
        <v>0</v>
      </c>
      <c r="BS51" s="4504">
        <f t="shared" si="63"/>
        <v>0</v>
      </c>
      <c r="BT51" s="4504">
        <f t="shared" si="64"/>
        <v>0</v>
      </c>
      <c r="BU51" s="4504">
        <f t="shared" si="65"/>
        <v>0</v>
      </c>
      <c r="BV51" s="4504">
        <f t="shared" si="66"/>
        <v>0</v>
      </c>
      <c r="BW51" s="4504">
        <f t="shared" si="67"/>
        <v>0</v>
      </c>
      <c r="BX51" s="4504">
        <f t="shared" si="68"/>
        <v>7.2705955534104732E-3</v>
      </c>
      <c r="BY51" s="4504">
        <f t="shared" si="69"/>
        <v>0</v>
      </c>
      <c r="BZ51" s="4504">
        <f t="shared" si="70"/>
        <v>0</v>
      </c>
      <c r="CA51" s="4504">
        <f t="shared" si="71"/>
        <v>0</v>
      </c>
      <c r="CB51" s="4504">
        <f t="shared" si="72"/>
        <v>0</v>
      </c>
      <c r="CC51" s="4504">
        <f t="shared" si="73"/>
        <v>0</v>
      </c>
      <c r="CD51" s="4504">
        <f t="shared" si="74"/>
        <v>0</v>
      </c>
    </row>
    <row r="52" spans="1:82" s="669" customFormat="1">
      <c r="A52" s="2919"/>
      <c r="B52" s="2916">
        <v>20602</v>
      </c>
      <c r="C52" s="2917">
        <v>0.1</v>
      </c>
      <c r="D52" s="2896" t="s">
        <v>435</v>
      </c>
      <c r="E52" s="4453">
        <f>SUMIF('11.3. ДА Базова година'!$B$12:$B$39,$B52,'11.3. ДА Базова година'!F$12:F$39)+SUMIF('11.3. ДА Базова година'!$B$92:$B$110,$B52,'11.3. ДА Базова година'!F$92:F$110)</f>
        <v>0</v>
      </c>
      <c r="F52" s="415"/>
      <c r="G52" s="413"/>
      <c r="H52" s="413"/>
      <c r="I52" s="413"/>
      <c r="J52" s="413"/>
      <c r="K52" s="271"/>
      <c r="L52" s="4453">
        <f>SUMIF('11.3. ДА Базова година'!$B$12:$B$39,$B52,'11.3. ДА Базова година'!J$12:J$39)+SUMIF('11.3. ДА Базова година'!$B$92:$B$110,$B52,'11.3. ДА Базова година'!J$92:J$110)</f>
        <v>0</v>
      </c>
      <c r="M52" s="415"/>
      <c r="N52" s="413"/>
      <c r="O52" s="413"/>
      <c r="P52" s="413"/>
      <c r="Q52" s="413"/>
      <c r="R52" s="271"/>
      <c r="S52" s="4453">
        <f>SUMIF('11.3. ДА Базова година'!$B$12:$B$39,$B52,'11.3. ДА Базова година'!N$12:N$39)+SUMIF('11.3. ДА Базова година'!$B$92:$B$110,$B52,'11.3. ДА Базова година'!N$92:N$110)</f>
        <v>0</v>
      </c>
      <c r="T52" s="415"/>
      <c r="U52" s="413"/>
      <c r="V52" s="413"/>
      <c r="W52" s="413"/>
      <c r="X52" s="413"/>
      <c r="Y52" s="414"/>
      <c r="Z52" s="4453">
        <f>SUMIF('11.3. ДА Базова година'!$B$12:$B$39,$B52,'11.3. ДА Базова година'!R$12:R$39)+SUMIF('11.3. ДА Базова година'!$B$92:$B$110,$B52,'11.3. ДА Базова година'!R$92:R$110)</f>
        <v>0</v>
      </c>
      <c r="AA52" s="415"/>
      <c r="AB52" s="413"/>
      <c r="AC52" s="413"/>
      <c r="AD52" s="413"/>
      <c r="AE52" s="413"/>
      <c r="AF52" s="414"/>
      <c r="AG52" s="4453">
        <f>SUMIF('11.3. ДА Базова година'!$B$12:$B$39,$B52,'11.3. ДА Базова година'!V$12:V$39)+SUMIF('11.3. ДА Базова година'!$B$92:$B$110,$B52,'11.3. ДА Базова година'!V$92:V$110)</f>
        <v>0</v>
      </c>
      <c r="AH52" s="415"/>
      <c r="AI52" s="413"/>
      <c r="AJ52" s="413"/>
      <c r="AK52" s="413"/>
      <c r="AL52" s="413"/>
      <c r="AM52" s="271"/>
      <c r="AN52" s="4132"/>
      <c r="AO52" s="3026"/>
      <c r="AP52" s="3027"/>
      <c r="AQ52" s="3027"/>
      <c r="AR52" s="3027"/>
      <c r="AS52" s="3027"/>
      <c r="AT52" s="3028"/>
      <c r="AU52" s="4488"/>
      <c r="AV52" s="4504">
        <f t="shared" si="40"/>
        <v>0</v>
      </c>
      <c r="AW52" s="4504">
        <f t="shared" si="41"/>
        <v>0</v>
      </c>
      <c r="AX52" s="4504">
        <f t="shared" si="42"/>
        <v>0</v>
      </c>
      <c r="AY52" s="4504">
        <f t="shared" si="43"/>
        <v>0</v>
      </c>
      <c r="AZ52" s="4504">
        <f t="shared" si="44"/>
        <v>0</v>
      </c>
      <c r="BA52" s="4504">
        <f t="shared" si="45"/>
        <v>0</v>
      </c>
      <c r="BB52" s="4504">
        <f t="shared" si="46"/>
        <v>0</v>
      </c>
      <c r="BC52" s="4504">
        <f t="shared" si="47"/>
        <v>0</v>
      </c>
      <c r="BD52" s="4504">
        <f t="shared" si="48"/>
        <v>0</v>
      </c>
      <c r="BE52" s="4504">
        <f t="shared" si="49"/>
        <v>0</v>
      </c>
      <c r="BF52" s="4504">
        <f t="shared" si="50"/>
        <v>0</v>
      </c>
      <c r="BG52" s="4504">
        <f t="shared" si="51"/>
        <v>0</v>
      </c>
      <c r="BH52" s="4504">
        <f t="shared" si="52"/>
        <v>0</v>
      </c>
      <c r="BI52" s="4504">
        <f t="shared" si="53"/>
        <v>0</v>
      </c>
      <c r="BJ52" s="4504">
        <f t="shared" si="54"/>
        <v>0</v>
      </c>
      <c r="BK52" s="4504">
        <f t="shared" si="55"/>
        <v>0</v>
      </c>
      <c r="BL52" s="4504">
        <f t="shared" si="56"/>
        <v>0</v>
      </c>
      <c r="BM52" s="4504">
        <f t="shared" si="57"/>
        <v>0</v>
      </c>
      <c r="BN52" s="4504">
        <f t="shared" si="58"/>
        <v>0</v>
      </c>
      <c r="BO52" s="4504">
        <f t="shared" si="59"/>
        <v>0</v>
      </c>
      <c r="BP52" s="4504">
        <f t="shared" si="60"/>
        <v>0</v>
      </c>
      <c r="BQ52" s="4504">
        <f t="shared" si="61"/>
        <v>0</v>
      </c>
      <c r="BR52" s="4504">
        <f t="shared" si="62"/>
        <v>0</v>
      </c>
      <c r="BS52" s="4504">
        <f t="shared" si="63"/>
        <v>0</v>
      </c>
      <c r="BT52" s="4504">
        <f t="shared" si="64"/>
        <v>0</v>
      </c>
      <c r="BU52" s="4504">
        <f t="shared" si="65"/>
        <v>0</v>
      </c>
      <c r="BV52" s="4504">
        <f t="shared" si="66"/>
        <v>0</v>
      </c>
      <c r="BW52" s="4504">
        <f t="shared" si="67"/>
        <v>0</v>
      </c>
      <c r="BX52" s="4504">
        <f t="shared" si="68"/>
        <v>0</v>
      </c>
      <c r="BY52" s="4504">
        <f t="shared" si="69"/>
        <v>0</v>
      </c>
      <c r="BZ52" s="4504">
        <f t="shared" si="70"/>
        <v>0</v>
      </c>
      <c r="CA52" s="4504">
        <f t="shared" si="71"/>
        <v>0</v>
      </c>
      <c r="CB52" s="4504">
        <f t="shared" si="72"/>
        <v>0</v>
      </c>
      <c r="CC52" s="4504">
        <f t="shared" si="73"/>
        <v>0</v>
      </c>
      <c r="CD52" s="4504">
        <f t="shared" si="74"/>
        <v>0</v>
      </c>
    </row>
    <row r="53" spans="1:82" s="669" customFormat="1">
      <c r="A53" s="2919"/>
      <c r="B53" s="2916">
        <v>20603</v>
      </c>
      <c r="C53" s="2917">
        <v>0.5</v>
      </c>
      <c r="D53" s="2896" t="s">
        <v>1015</v>
      </c>
      <c r="E53" s="4453">
        <f>SUMIF('11.3. ДА Базова година'!$B$12:$B$39,$B53,'11.3. ДА Базова година'!F$12:F$39)+SUMIF('11.3. ДА Базова година'!$B$92:$B$110,$B53,'11.3. ДА Базова година'!F$92:F$110)</f>
        <v>0</v>
      </c>
      <c r="F53" s="415"/>
      <c r="G53" s="413"/>
      <c r="H53" s="413"/>
      <c r="I53" s="413"/>
      <c r="J53" s="413"/>
      <c r="K53" s="271"/>
      <c r="L53" s="4453">
        <f>SUMIF('11.3. ДА Базова година'!$B$12:$B$39,$B53,'11.3. ДА Базова година'!J$12:J$39)+SUMIF('11.3. ДА Базова година'!$B$92:$B$110,$B53,'11.3. ДА Базова година'!J$92:J$110)</f>
        <v>0</v>
      </c>
      <c r="M53" s="415"/>
      <c r="N53" s="413"/>
      <c r="O53" s="413"/>
      <c r="P53" s="413"/>
      <c r="Q53" s="413"/>
      <c r="R53" s="271"/>
      <c r="S53" s="4453">
        <f>SUMIF('11.3. ДА Базова година'!$B$12:$B$39,$B53,'11.3. ДА Базова година'!N$12:N$39)+SUMIF('11.3. ДА Базова година'!$B$92:$B$110,$B53,'11.3. ДА Базова година'!N$92:N$110)</f>
        <v>0</v>
      </c>
      <c r="T53" s="415"/>
      <c r="U53" s="413"/>
      <c r="V53" s="413"/>
      <c r="W53" s="413"/>
      <c r="X53" s="413"/>
      <c r="Y53" s="414"/>
      <c r="Z53" s="4453">
        <f>SUMIF('11.3. ДА Базова година'!$B$12:$B$39,$B53,'11.3. ДА Базова година'!R$12:R$39)+SUMIF('11.3. ДА Базова година'!$B$92:$B$110,$B53,'11.3. ДА Базова година'!R$92:R$110)</f>
        <v>0</v>
      </c>
      <c r="AA53" s="415"/>
      <c r="AB53" s="413"/>
      <c r="AC53" s="413"/>
      <c r="AD53" s="413"/>
      <c r="AE53" s="413"/>
      <c r="AF53" s="414"/>
      <c r="AG53" s="4453">
        <f>SUMIF('11.3. ДА Базова година'!$B$12:$B$39,$B53,'11.3. ДА Базова година'!V$12:V$39)+SUMIF('11.3. ДА Базова година'!$B$92:$B$110,$B53,'11.3. ДА Базова година'!V$92:V$110)</f>
        <v>0</v>
      </c>
      <c r="AH53" s="415"/>
      <c r="AI53" s="413"/>
      <c r="AJ53" s="413"/>
      <c r="AK53" s="413"/>
      <c r="AL53" s="413"/>
      <c r="AM53" s="271"/>
      <c r="AN53" s="4132"/>
      <c r="AO53" s="3026"/>
      <c r="AP53" s="3027"/>
      <c r="AQ53" s="3027"/>
      <c r="AR53" s="3027"/>
      <c r="AS53" s="3027"/>
      <c r="AT53" s="3028"/>
      <c r="AU53" s="4488"/>
      <c r="AV53" s="4504">
        <f t="shared" si="40"/>
        <v>0</v>
      </c>
      <c r="AW53" s="4504">
        <f t="shared" si="41"/>
        <v>0</v>
      </c>
      <c r="AX53" s="4504">
        <f t="shared" si="42"/>
        <v>0</v>
      </c>
      <c r="AY53" s="4504">
        <f t="shared" si="43"/>
        <v>0</v>
      </c>
      <c r="AZ53" s="4504">
        <f t="shared" si="44"/>
        <v>0</v>
      </c>
      <c r="BA53" s="4504">
        <f t="shared" si="45"/>
        <v>0</v>
      </c>
      <c r="BB53" s="4504">
        <f t="shared" si="46"/>
        <v>0</v>
      </c>
      <c r="BC53" s="4504">
        <f t="shared" si="47"/>
        <v>0</v>
      </c>
      <c r="BD53" s="4504">
        <f t="shared" si="48"/>
        <v>0</v>
      </c>
      <c r="BE53" s="4504">
        <f t="shared" si="49"/>
        <v>0</v>
      </c>
      <c r="BF53" s="4504">
        <f t="shared" si="50"/>
        <v>0</v>
      </c>
      <c r="BG53" s="4504">
        <f t="shared" si="51"/>
        <v>0</v>
      </c>
      <c r="BH53" s="4504">
        <f t="shared" si="52"/>
        <v>0</v>
      </c>
      <c r="BI53" s="4504">
        <f t="shared" si="53"/>
        <v>0</v>
      </c>
      <c r="BJ53" s="4504">
        <f t="shared" si="54"/>
        <v>0</v>
      </c>
      <c r="BK53" s="4504">
        <f t="shared" si="55"/>
        <v>0</v>
      </c>
      <c r="BL53" s="4504">
        <f t="shared" si="56"/>
        <v>0</v>
      </c>
      <c r="BM53" s="4504">
        <f t="shared" si="57"/>
        <v>0</v>
      </c>
      <c r="BN53" s="4504">
        <f t="shared" si="58"/>
        <v>0</v>
      </c>
      <c r="BO53" s="4504">
        <f t="shared" si="59"/>
        <v>0</v>
      </c>
      <c r="BP53" s="4504">
        <f t="shared" si="60"/>
        <v>0</v>
      </c>
      <c r="BQ53" s="4504">
        <f t="shared" si="61"/>
        <v>0</v>
      </c>
      <c r="BR53" s="4504">
        <f t="shared" si="62"/>
        <v>0</v>
      </c>
      <c r="BS53" s="4504">
        <f t="shared" si="63"/>
        <v>0</v>
      </c>
      <c r="BT53" s="4504">
        <f t="shared" si="64"/>
        <v>0</v>
      </c>
      <c r="BU53" s="4504">
        <f t="shared" si="65"/>
        <v>0</v>
      </c>
      <c r="BV53" s="4504">
        <f t="shared" si="66"/>
        <v>0</v>
      </c>
      <c r="BW53" s="4504">
        <f t="shared" si="67"/>
        <v>0</v>
      </c>
      <c r="BX53" s="4504">
        <f t="shared" si="68"/>
        <v>0</v>
      </c>
      <c r="BY53" s="4504">
        <f t="shared" si="69"/>
        <v>0</v>
      </c>
      <c r="BZ53" s="4504">
        <f t="shared" si="70"/>
        <v>0</v>
      </c>
      <c r="CA53" s="4504">
        <f t="shared" si="71"/>
        <v>0</v>
      </c>
      <c r="CB53" s="4504">
        <f t="shared" si="72"/>
        <v>0</v>
      </c>
      <c r="CC53" s="4504">
        <f t="shared" si="73"/>
        <v>0</v>
      </c>
      <c r="CD53" s="4504">
        <f t="shared" si="74"/>
        <v>0</v>
      </c>
    </row>
    <row r="54" spans="1:82" s="40" customFormat="1">
      <c r="A54" s="2919">
        <v>7</v>
      </c>
      <c r="B54" s="2920">
        <v>208</v>
      </c>
      <c r="C54" s="2921">
        <v>0.2</v>
      </c>
      <c r="D54" s="2907" t="s">
        <v>413</v>
      </c>
      <c r="E54" s="4453">
        <f>SUMIF('11.3. ДА Базова година'!$B$12:$B$39,$B54,'11.3. ДА Базова година'!F$12:F$39)+SUMIF('11.3. ДА Базова година'!$B$92:$B$110,$B54,'11.3. ДА Базова година'!F$92:F$110)</f>
        <v>2.08</v>
      </c>
      <c r="F54" s="415"/>
      <c r="G54" s="413"/>
      <c r="H54" s="413"/>
      <c r="I54" s="413"/>
      <c r="J54" s="413"/>
      <c r="K54" s="271"/>
      <c r="L54" s="4453">
        <f>SUMIF('11.3. ДА Базова година'!$B$12:$B$39,$B54,'11.3. ДА Базова година'!J$12:J$39)+SUMIF('11.3. ДА Базова година'!$B$92:$B$110,$B54,'11.3. ДА Базова година'!J$92:J$110)</f>
        <v>0</v>
      </c>
      <c r="M54" s="415"/>
      <c r="N54" s="413"/>
      <c r="O54" s="413"/>
      <c r="P54" s="413"/>
      <c r="Q54" s="413"/>
      <c r="R54" s="271"/>
      <c r="S54" s="4453">
        <f>SUMIF('11.3. ДА Базова година'!$B$12:$B$39,$B54,'11.3. ДА Базова година'!N$12:N$39)+SUMIF('11.3. ДА Базова година'!$B$92:$B$110,$B54,'11.3. ДА Базова година'!N$92:N$110)</f>
        <v>0</v>
      </c>
      <c r="T54" s="415"/>
      <c r="U54" s="413"/>
      <c r="V54" s="413"/>
      <c r="W54" s="413"/>
      <c r="X54" s="413"/>
      <c r="Y54" s="414"/>
      <c r="Z54" s="4453">
        <f>SUMIF('11.3. ДА Базова година'!$B$12:$B$39,$B54,'11.3. ДА Базова година'!R$12:R$39)+SUMIF('11.3. ДА Базова година'!$B$92:$B$110,$B54,'11.3. ДА Базова година'!R$92:R$110)</f>
        <v>0</v>
      </c>
      <c r="AA54" s="415"/>
      <c r="AB54" s="413"/>
      <c r="AC54" s="413"/>
      <c r="AD54" s="413"/>
      <c r="AE54" s="413"/>
      <c r="AF54" s="414"/>
      <c r="AG54" s="4453">
        <f>SUMIF('11.3. ДА Базова година'!$B$12:$B$39,$B54,'11.3. ДА Базова година'!V$12:V$39)+SUMIF('11.3. ДА Базова година'!$B$92:$B$110,$B54,'11.3. ДА Базова година'!V$92:V$110)</f>
        <v>0</v>
      </c>
      <c r="AH54" s="415"/>
      <c r="AI54" s="413"/>
      <c r="AJ54" s="413"/>
      <c r="AK54" s="413"/>
      <c r="AL54" s="413"/>
      <c r="AM54" s="271"/>
      <c r="AN54" s="4132"/>
      <c r="AO54" s="3026"/>
      <c r="AP54" s="3027"/>
      <c r="AQ54" s="3027"/>
      <c r="AR54" s="3027"/>
      <c r="AS54" s="3027"/>
      <c r="AT54" s="3028"/>
      <c r="AU54" s="4488"/>
      <c r="AV54" s="4504">
        <f t="shared" si="40"/>
        <v>1.0634871128881345</v>
      </c>
      <c r="AW54" s="4504">
        <f t="shared" si="41"/>
        <v>0</v>
      </c>
      <c r="AX54" s="4504">
        <f t="shared" si="42"/>
        <v>0</v>
      </c>
      <c r="AY54" s="4504">
        <f t="shared" si="43"/>
        <v>0</v>
      </c>
      <c r="AZ54" s="4504">
        <f t="shared" si="44"/>
        <v>0</v>
      </c>
      <c r="BA54" s="4504">
        <f t="shared" si="45"/>
        <v>0</v>
      </c>
      <c r="BB54" s="4504">
        <f t="shared" si="46"/>
        <v>0</v>
      </c>
      <c r="BC54" s="4504">
        <f t="shared" si="47"/>
        <v>0</v>
      </c>
      <c r="BD54" s="4504">
        <f t="shared" si="48"/>
        <v>0</v>
      </c>
      <c r="BE54" s="4504">
        <f t="shared" si="49"/>
        <v>0</v>
      </c>
      <c r="BF54" s="4504">
        <f t="shared" si="50"/>
        <v>0</v>
      </c>
      <c r="BG54" s="4504">
        <f t="shared" si="51"/>
        <v>0</v>
      </c>
      <c r="BH54" s="4504">
        <f t="shared" si="52"/>
        <v>0</v>
      </c>
      <c r="BI54" s="4504">
        <f t="shared" si="53"/>
        <v>0</v>
      </c>
      <c r="BJ54" s="4504">
        <f t="shared" si="54"/>
        <v>0</v>
      </c>
      <c r="BK54" s="4504">
        <f t="shared" si="55"/>
        <v>0</v>
      </c>
      <c r="BL54" s="4504">
        <f t="shared" si="56"/>
        <v>0</v>
      </c>
      <c r="BM54" s="4504">
        <f t="shared" si="57"/>
        <v>0</v>
      </c>
      <c r="BN54" s="4504">
        <f t="shared" si="58"/>
        <v>0</v>
      </c>
      <c r="BO54" s="4504">
        <f t="shared" si="59"/>
        <v>0</v>
      </c>
      <c r="BP54" s="4504">
        <f t="shared" si="60"/>
        <v>0</v>
      </c>
      <c r="BQ54" s="4504">
        <f t="shared" si="61"/>
        <v>0</v>
      </c>
      <c r="BR54" s="4504">
        <f t="shared" si="62"/>
        <v>0</v>
      </c>
      <c r="BS54" s="4504">
        <f t="shared" si="63"/>
        <v>0</v>
      </c>
      <c r="BT54" s="4504">
        <f t="shared" si="64"/>
        <v>0</v>
      </c>
      <c r="BU54" s="4504">
        <f t="shared" si="65"/>
        <v>0</v>
      </c>
      <c r="BV54" s="4504">
        <f t="shared" si="66"/>
        <v>0</v>
      </c>
      <c r="BW54" s="4504">
        <f t="shared" si="67"/>
        <v>0</v>
      </c>
      <c r="BX54" s="4504">
        <f t="shared" si="68"/>
        <v>0</v>
      </c>
      <c r="BY54" s="4504">
        <f t="shared" si="69"/>
        <v>0</v>
      </c>
      <c r="BZ54" s="4504">
        <f t="shared" si="70"/>
        <v>0</v>
      </c>
      <c r="CA54" s="4504">
        <f t="shared" si="71"/>
        <v>0</v>
      </c>
      <c r="CB54" s="4504">
        <f t="shared" si="72"/>
        <v>0</v>
      </c>
      <c r="CC54" s="4504">
        <f t="shared" si="73"/>
        <v>0</v>
      </c>
      <c r="CD54" s="4504">
        <f t="shared" si="74"/>
        <v>0</v>
      </c>
    </row>
    <row r="55" spans="1:82" s="40" customFormat="1">
      <c r="A55" s="2919">
        <v>8</v>
      </c>
      <c r="B55" s="2920">
        <v>209</v>
      </c>
      <c r="C55" s="2921">
        <v>0.1</v>
      </c>
      <c r="D55" s="2907" t="s">
        <v>213</v>
      </c>
      <c r="E55" s="4453">
        <f>SUMIF('11.3. ДА Базова година'!$B$12:$B$39,$B55,'11.3. ДА Базова година'!F$12:F$39)+SUMIF('11.3. ДА Базова година'!$B$92:$B$110,$B55,'11.3. ДА Базова година'!F$92:F$110)</f>
        <v>0</v>
      </c>
      <c r="F55" s="415"/>
      <c r="G55" s="413"/>
      <c r="H55" s="413"/>
      <c r="I55" s="413"/>
      <c r="J55" s="413"/>
      <c r="K55" s="271"/>
      <c r="L55" s="4453">
        <f>SUMIF('11.3. ДА Базова година'!$B$12:$B$39,$B55,'11.3. ДА Базова година'!J$12:J$39)+SUMIF('11.3. ДА Базова година'!$B$92:$B$110,$B55,'11.3. ДА Базова година'!J$92:J$110)</f>
        <v>0</v>
      </c>
      <c r="M55" s="415"/>
      <c r="N55" s="413"/>
      <c r="O55" s="413"/>
      <c r="P55" s="413"/>
      <c r="Q55" s="413"/>
      <c r="R55" s="271"/>
      <c r="S55" s="4453">
        <f>SUMIF('11.3. ДА Базова година'!$B$12:$B$39,$B55,'11.3. ДА Базова година'!N$12:N$39)+SUMIF('11.3. ДА Базова година'!$B$92:$B$110,$B55,'11.3. ДА Базова година'!N$92:N$110)</f>
        <v>0</v>
      </c>
      <c r="T55" s="415"/>
      <c r="U55" s="413"/>
      <c r="V55" s="413"/>
      <c r="W55" s="413"/>
      <c r="X55" s="413"/>
      <c r="Y55" s="414"/>
      <c r="Z55" s="4453">
        <f>SUMIF('11.3. ДА Базова година'!$B$12:$B$39,$B55,'11.3. ДА Базова година'!R$12:R$39)+SUMIF('11.3. ДА Базова година'!$B$92:$B$110,$B55,'11.3. ДА Базова година'!R$92:R$110)</f>
        <v>0</v>
      </c>
      <c r="AA55" s="415"/>
      <c r="AB55" s="413"/>
      <c r="AC55" s="413"/>
      <c r="AD55" s="413"/>
      <c r="AE55" s="413"/>
      <c r="AF55" s="414"/>
      <c r="AG55" s="4453">
        <f>SUMIF('11.3. ДА Базова година'!$B$12:$B$39,$B55,'11.3. ДА Базова година'!V$12:V$39)+SUMIF('11.3. ДА Базова година'!$B$92:$B$110,$B55,'11.3. ДА Базова година'!V$92:V$110)</f>
        <v>0</v>
      </c>
      <c r="AH55" s="415"/>
      <c r="AI55" s="413"/>
      <c r="AJ55" s="413"/>
      <c r="AK55" s="413"/>
      <c r="AL55" s="413"/>
      <c r="AM55" s="271"/>
      <c r="AN55" s="4132"/>
      <c r="AO55" s="3026"/>
      <c r="AP55" s="3027"/>
      <c r="AQ55" s="3027"/>
      <c r="AR55" s="3027"/>
      <c r="AS55" s="3027"/>
      <c r="AT55" s="3028"/>
      <c r="AU55" s="4488"/>
      <c r="AV55" s="4504">
        <f t="shared" si="40"/>
        <v>0</v>
      </c>
      <c r="AW55" s="4504">
        <f t="shared" si="41"/>
        <v>0</v>
      </c>
      <c r="AX55" s="4504">
        <f t="shared" si="42"/>
        <v>0</v>
      </c>
      <c r="AY55" s="4504">
        <f t="shared" si="43"/>
        <v>0</v>
      </c>
      <c r="AZ55" s="4504">
        <f t="shared" si="44"/>
        <v>0</v>
      </c>
      <c r="BA55" s="4504">
        <f t="shared" si="45"/>
        <v>0</v>
      </c>
      <c r="BB55" s="4504">
        <f t="shared" si="46"/>
        <v>0</v>
      </c>
      <c r="BC55" s="4504">
        <f t="shared" si="47"/>
        <v>0</v>
      </c>
      <c r="BD55" s="4504">
        <f t="shared" si="48"/>
        <v>0</v>
      </c>
      <c r="BE55" s="4504">
        <f t="shared" si="49"/>
        <v>0</v>
      </c>
      <c r="BF55" s="4504">
        <f t="shared" si="50"/>
        <v>0</v>
      </c>
      <c r="BG55" s="4504">
        <f t="shared" si="51"/>
        <v>0</v>
      </c>
      <c r="BH55" s="4504">
        <f t="shared" si="52"/>
        <v>0</v>
      </c>
      <c r="BI55" s="4504">
        <f t="shared" si="53"/>
        <v>0</v>
      </c>
      <c r="BJ55" s="4504">
        <f t="shared" si="54"/>
        <v>0</v>
      </c>
      <c r="BK55" s="4504">
        <f t="shared" si="55"/>
        <v>0</v>
      </c>
      <c r="BL55" s="4504">
        <f t="shared" si="56"/>
        <v>0</v>
      </c>
      <c r="BM55" s="4504">
        <f t="shared" si="57"/>
        <v>0</v>
      </c>
      <c r="BN55" s="4504">
        <f t="shared" si="58"/>
        <v>0</v>
      </c>
      <c r="BO55" s="4504">
        <f t="shared" si="59"/>
        <v>0</v>
      </c>
      <c r="BP55" s="4504">
        <f t="shared" si="60"/>
        <v>0</v>
      </c>
      <c r="BQ55" s="4504">
        <f t="shared" si="61"/>
        <v>0</v>
      </c>
      <c r="BR55" s="4504">
        <f t="shared" si="62"/>
        <v>0</v>
      </c>
      <c r="BS55" s="4504">
        <f t="shared" si="63"/>
        <v>0</v>
      </c>
      <c r="BT55" s="4504">
        <f t="shared" si="64"/>
        <v>0</v>
      </c>
      <c r="BU55" s="4504">
        <f t="shared" si="65"/>
        <v>0</v>
      </c>
      <c r="BV55" s="4504">
        <f t="shared" si="66"/>
        <v>0</v>
      </c>
      <c r="BW55" s="4504">
        <f t="shared" si="67"/>
        <v>0</v>
      </c>
      <c r="BX55" s="4504">
        <f t="shared" si="68"/>
        <v>0</v>
      </c>
      <c r="BY55" s="4504">
        <f t="shared" si="69"/>
        <v>0</v>
      </c>
      <c r="BZ55" s="4504">
        <f t="shared" si="70"/>
        <v>0</v>
      </c>
      <c r="CA55" s="4504">
        <f t="shared" si="71"/>
        <v>0</v>
      </c>
      <c r="CB55" s="4504">
        <f t="shared" si="72"/>
        <v>0</v>
      </c>
      <c r="CC55" s="4504">
        <f t="shared" si="73"/>
        <v>0</v>
      </c>
      <c r="CD55" s="4504">
        <f t="shared" si="74"/>
        <v>0</v>
      </c>
    </row>
    <row r="56" spans="1:82" s="40" customFormat="1">
      <c r="A56" s="2919">
        <v>9</v>
      </c>
      <c r="B56" s="2920">
        <v>212</v>
      </c>
      <c r="C56" s="2921">
        <v>0.2</v>
      </c>
      <c r="D56" s="2922" t="s">
        <v>214</v>
      </c>
      <c r="E56" s="4453">
        <f>SUMIF('11.3. ДА Базова година'!$B$12:$B$39,$B56,'11.3. ДА Базова година'!F$12:F$39)+SUMIF('11.3. ДА Базова година'!$B$92:$B$110,$B56,'11.3. ДА Базова година'!F$92:F$110)</f>
        <v>0</v>
      </c>
      <c r="F56" s="415"/>
      <c r="G56" s="413"/>
      <c r="H56" s="413"/>
      <c r="I56" s="413"/>
      <c r="J56" s="413"/>
      <c r="K56" s="271"/>
      <c r="L56" s="4453">
        <f>SUMIF('11.3. ДА Базова година'!$B$12:$B$39,$B56,'11.3. ДА Базова година'!J$12:J$39)+SUMIF('11.3. ДА Базова година'!$B$92:$B$110,$B56,'11.3. ДА Базова година'!J$92:J$110)</f>
        <v>0</v>
      </c>
      <c r="M56" s="415"/>
      <c r="N56" s="413"/>
      <c r="O56" s="413"/>
      <c r="P56" s="413"/>
      <c r="Q56" s="413"/>
      <c r="R56" s="271"/>
      <c r="S56" s="4453">
        <f>SUMIF('11.3. ДА Базова година'!$B$12:$B$39,$B56,'11.3. ДА Базова година'!N$12:N$39)+SUMIF('11.3. ДА Базова година'!$B$92:$B$110,$B56,'11.3. ДА Базова година'!N$92:N$110)</f>
        <v>0</v>
      </c>
      <c r="T56" s="415"/>
      <c r="U56" s="413"/>
      <c r="V56" s="413"/>
      <c r="W56" s="413"/>
      <c r="X56" s="413"/>
      <c r="Y56" s="414"/>
      <c r="Z56" s="4453">
        <f>SUMIF('11.3. ДА Базова година'!$B$12:$B$39,$B56,'11.3. ДА Базова година'!R$12:R$39)+SUMIF('11.3. ДА Базова година'!$B$92:$B$110,$B56,'11.3. ДА Базова година'!R$92:R$110)</f>
        <v>0</v>
      </c>
      <c r="AA56" s="415"/>
      <c r="AB56" s="413"/>
      <c r="AC56" s="413"/>
      <c r="AD56" s="413"/>
      <c r="AE56" s="413"/>
      <c r="AF56" s="414"/>
      <c r="AG56" s="4453">
        <f>SUMIF('11.3. ДА Базова година'!$B$12:$B$39,$B56,'11.3. ДА Базова година'!V$12:V$39)+SUMIF('11.3. ДА Базова година'!$B$92:$B$110,$B56,'11.3. ДА Базова година'!V$92:V$110)</f>
        <v>0</v>
      </c>
      <c r="AH56" s="415"/>
      <c r="AI56" s="413"/>
      <c r="AJ56" s="413"/>
      <c r="AK56" s="413"/>
      <c r="AL56" s="413"/>
      <c r="AM56" s="271"/>
      <c r="AN56" s="4132"/>
      <c r="AO56" s="3026"/>
      <c r="AP56" s="3027"/>
      <c r="AQ56" s="3027"/>
      <c r="AR56" s="3027"/>
      <c r="AS56" s="3027"/>
      <c r="AT56" s="3028"/>
      <c r="AU56" s="4488"/>
      <c r="AV56" s="4504">
        <f t="shared" si="40"/>
        <v>0</v>
      </c>
      <c r="AW56" s="4504">
        <f t="shared" si="41"/>
        <v>0</v>
      </c>
      <c r="AX56" s="4504">
        <f t="shared" si="42"/>
        <v>0</v>
      </c>
      <c r="AY56" s="4504">
        <f t="shared" si="43"/>
        <v>0</v>
      </c>
      <c r="AZ56" s="4504">
        <f t="shared" si="44"/>
        <v>0</v>
      </c>
      <c r="BA56" s="4504">
        <f t="shared" si="45"/>
        <v>0</v>
      </c>
      <c r="BB56" s="4504">
        <f t="shared" si="46"/>
        <v>0</v>
      </c>
      <c r="BC56" s="4504">
        <f t="shared" si="47"/>
        <v>0</v>
      </c>
      <c r="BD56" s="4504">
        <f t="shared" si="48"/>
        <v>0</v>
      </c>
      <c r="BE56" s="4504">
        <f t="shared" si="49"/>
        <v>0</v>
      </c>
      <c r="BF56" s="4504">
        <f t="shared" si="50"/>
        <v>0</v>
      </c>
      <c r="BG56" s="4504">
        <f t="shared" si="51"/>
        <v>0</v>
      </c>
      <c r="BH56" s="4504">
        <f t="shared" si="52"/>
        <v>0</v>
      </c>
      <c r="BI56" s="4504">
        <f t="shared" si="53"/>
        <v>0</v>
      </c>
      <c r="BJ56" s="4504">
        <f t="shared" si="54"/>
        <v>0</v>
      </c>
      <c r="BK56" s="4504">
        <f t="shared" si="55"/>
        <v>0</v>
      </c>
      <c r="BL56" s="4504">
        <f t="shared" si="56"/>
        <v>0</v>
      </c>
      <c r="BM56" s="4504">
        <f t="shared" si="57"/>
        <v>0</v>
      </c>
      <c r="BN56" s="4504">
        <f t="shared" si="58"/>
        <v>0</v>
      </c>
      <c r="BO56" s="4504">
        <f t="shared" si="59"/>
        <v>0</v>
      </c>
      <c r="BP56" s="4504">
        <f t="shared" si="60"/>
        <v>0</v>
      </c>
      <c r="BQ56" s="4504">
        <f t="shared" si="61"/>
        <v>0</v>
      </c>
      <c r="BR56" s="4504">
        <f t="shared" si="62"/>
        <v>0</v>
      </c>
      <c r="BS56" s="4504">
        <f t="shared" si="63"/>
        <v>0</v>
      </c>
      <c r="BT56" s="4504">
        <f t="shared" si="64"/>
        <v>0</v>
      </c>
      <c r="BU56" s="4504">
        <f t="shared" si="65"/>
        <v>0</v>
      </c>
      <c r="BV56" s="4504">
        <f t="shared" si="66"/>
        <v>0</v>
      </c>
      <c r="BW56" s="4504">
        <f t="shared" si="67"/>
        <v>0</v>
      </c>
      <c r="BX56" s="4504">
        <f t="shared" si="68"/>
        <v>0</v>
      </c>
      <c r="BY56" s="4504">
        <f t="shared" si="69"/>
        <v>0</v>
      </c>
      <c r="BZ56" s="4504">
        <f t="shared" si="70"/>
        <v>0</v>
      </c>
      <c r="CA56" s="4504">
        <f t="shared" si="71"/>
        <v>0</v>
      </c>
      <c r="CB56" s="4504">
        <f t="shared" si="72"/>
        <v>0</v>
      </c>
      <c r="CC56" s="4504">
        <f t="shared" si="73"/>
        <v>0</v>
      </c>
      <c r="CD56" s="4504">
        <f t="shared" si="74"/>
        <v>0</v>
      </c>
    </row>
    <row r="57" spans="1:82" s="40" customFormat="1">
      <c r="A57" s="2919">
        <v>10</v>
      </c>
      <c r="B57" s="2920">
        <v>213</v>
      </c>
      <c r="C57" s="2921">
        <v>0.2</v>
      </c>
      <c r="D57" s="2895" t="s">
        <v>215</v>
      </c>
      <c r="E57" s="4453">
        <f>SUMIF('11.3. ДА Базова година'!$B$12:$B$39,$B57,'11.3. ДА Базова година'!F$12:F$39)+SUMIF('11.3. ДА Базова година'!$B$92:$B$110,$B57,'11.3. ДА Базова година'!F$92:F$110)</f>
        <v>0</v>
      </c>
      <c r="F57" s="415"/>
      <c r="G57" s="413"/>
      <c r="H57" s="413"/>
      <c r="I57" s="413"/>
      <c r="J57" s="413"/>
      <c r="K57" s="271"/>
      <c r="L57" s="4453">
        <f>SUMIF('11.3. ДА Базова година'!$B$12:$B$39,$B57,'11.3. ДА Базова година'!J$12:J$39)+SUMIF('11.3. ДА Базова година'!$B$92:$B$110,$B57,'11.3. ДА Базова година'!J$92:J$110)</f>
        <v>0</v>
      </c>
      <c r="M57" s="415"/>
      <c r="N57" s="413"/>
      <c r="O57" s="413"/>
      <c r="P57" s="413"/>
      <c r="Q57" s="413"/>
      <c r="R57" s="271"/>
      <c r="S57" s="4453">
        <f>SUMIF('11.3. ДА Базова година'!$B$12:$B$39,$B57,'11.3. ДА Базова година'!N$12:N$39)+SUMIF('11.3. ДА Базова година'!$B$92:$B$110,$B57,'11.3. ДА Базова година'!N$92:N$110)</f>
        <v>0</v>
      </c>
      <c r="T57" s="415"/>
      <c r="U57" s="413"/>
      <c r="V57" s="413"/>
      <c r="W57" s="413"/>
      <c r="X57" s="413"/>
      <c r="Y57" s="414"/>
      <c r="Z57" s="4453">
        <f>SUMIF('11.3. ДА Базова година'!$B$12:$B$39,$B57,'11.3. ДА Базова година'!R$12:R$39)+SUMIF('11.3. ДА Базова година'!$B$92:$B$110,$B57,'11.3. ДА Базова година'!R$92:R$110)</f>
        <v>0</v>
      </c>
      <c r="AA57" s="415"/>
      <c r="AB57" s="413"/>
      <c r="AC57" s="413"/>
      <c r="AD57" s="413"/>
      <c r="AE57" s="413"/>
      <c r="AF57" s="414"/>
      <c r="AG57" s="4453">
        <f>SUMIF('11.3. ДА Базова година'!$B$12:$B$39,$B57,'11.3. ДА Базова година'!V$12:V$39)+SUMIF('11.3. ДА Базова година'!$B$92:$B$110,$B57,'11.3. ДА Базова година'!V$92:V$110)</f>
        <v>0</v>
      </c>
      <c r="AH57" s="415"/>
      <c r="AI57" s="413"/>
      <c r="AJ57" s="413"/>
      <c r="AK57" s="413"/>
      <c r="AL57" s="413"/>
      <c r="AM57" s="271"/>
      <c r="AN57" s="4132"/>
      <c r="AO57" s="3026"/>
      <c r="AP57" s="3027"/>
      <c r="AQ57" s="3027"/>
      <c r="AR57" s="3027"/>
      <c r="AS57" s="3027"/>
      <c r="AT57" s="3028"/>
      <c r="AU57" s="4488"/>
      <c r="AV57" s="4504">
        <f t="shared" si="40"/>
        <v>0</v>
      </c>
      <c r="AW57" s="4504">
        <f t="shared" si="41"/>
        <v>0</v>
      </c>
      <c r="AX57" s="4504">
        <f t="shared" si="42"/>
        <v>0</v>
      </c>
      <c r="AY57" s="4504">
        <f t="shared" si="43"/>
        <v>0</v>
      </c>
      <c r="AZ57" s="4504">
        <f t="shared" si="44"/>
        <v>0</v>
      </c>
      <c r="BA57" s="4504">
        <f t="shared" si="45"/>
        <v>0</v>
      </c>
      <c r="BB57" s="4504">
        <f t="shared" si="46"/>
        <v>0</v>
      </c>
      <c r="BC57" s="4504">
        <f t="shared" si="47"/>
        <v>0</v>
      </c>
      <c r="BD57" s="4504">
        <f t="shared" si="48"/>
        <v>0</v>
      </c>
      <c r="BE57" s="4504">
        <f t="shared" si="49"/>
        <v>0</v>
      </c>
      <c r="BF57" s="4504">
        <f t="shared" si="50"/>
        <v>0</v>
      </c>
      <c r="BG57" s="4504">
        <f t="shared" si="51"/>
        <v>0</v>
      </c>
      <c r="BH57" s="4504">
        <f t="shared" si="52"/>
        <v>0</v>
      </c>
      <c r="BI57" s="4504">
        <f t="shared" si="53"/>
        <v>0</v>
      </c>
      <c r="BJ57" s="4504">
        <f t="shared" si="54"/>
        <v>0</v>
      </c>
      <c r="BK57" s="4504">
        <f t="shared" si="55"/>
        <v>0</v>
      </c>
      <c r="BL57" s="4504">
        <f t="shared" si="56"/>
        <v>0</v>
      </c>
      <c r="BM57" s="4504">
        <f t="shared" si="57"/>
        <v>0</v>
      </c>
      <c r="BN57" s="4504">
        <f t="shared" si="58"/>
        <v>0</v>
      </c>
      <c r="BO57" s="4504">
        <f t="shared" si="59"/>
        <v>0</v>
      </c>
      <c r="BP57" s="4504">
        <f t="shared" si="60"/>
        <v>0</v>
      </c>
      <c r="BQ57" s="4504">
        <f t="shared" si="61"/>
        <v>0</v>
      </c>
      <c r="BR57" s="4504">
        <f t="shared" si="62"/>
        <v>0</v>
      </c>
      <c r="BS57" s="4504">
        <f t="shared" si="63"/>
        <v>0</v>
      </c>
      <c r="BT57" s="4504">
        <f t="shared" si="64"/>
        <v>0</v>
      </c>
      <c r="BU57" s="4504">
        <f t="shared" si="65"/>
        <v>0</v>
      </c>
      <c r="BV57" s="4504">
        <f t="shared" si="66"/>
        <v>0</v>
      </c>
      <c r="BW57" s="4504">
        <f t="shared" si="67"/>
        <v>0</v>
      </c>
      <c r="BX57" s="4504">
        <f t="shared" si="68"/>
        <v>0</v>
      </c>
      <c r="BY57" s="4504">
        <f t="shared" si="69"/>
        <v>0</v>
      </c>
      <c r="BZ57" s="4504">
        <f t="shared" si="70"/>
        <v>0</v>
      </c>
      <c r="CA57" s="4504">
        <f t="shared" si="71"/>
        <v>0</v>
      </c>
      <c r="CB57" s="4504">
        <f t="shared" si="72"/>
        <v>0</v>
      </c>
      <c r="CC57" s="4504">
        <f t="shared" si="73"/>
        <v>0</v>
      </c>
      <c r="CD57" s="4504">
        <f t="shared" si="74"/>
        <v>0</v>
      </c>
    </row>
    <row r="58" spans="1:82" s="40" customFormat="1" ht="26.4">
      <c r="A58" s="2919">
        <v>11</v>
      </c>
      <c r="B58" s="2920">
        <v>215</v>
      </c>
      <c r="C58" s="2921">
        <v>0.2</v>
      </c>
      <c r="D58" s="2895" t="s">
        <v>679</v>
      </c>
      <c r="E58" s="4453">
        <f>SUMIF('11.3. ДА Базова година'!$B$12:$B$39,$B58,'11.3. ДА Базова година'!F$12:F$39)+SUMIF('11.3. ДА Базова година'!$B$92:$B$110,$B58,'11.3. ДА Базова година'!F$92:F$110)</f>
        <v>48</v>
      </c>
      <c r="F58" s="415"/>
      <c r="G58" s="413"/>
      <c r="H58" s="413"/>
      <c r="I58" s="413"/>
      <c r="J58" s="413"/>
      <c r="K58" s="271"/>
      <c r="L58" s="4453">
        <f>SUMIF('11.3. ДА Базова година'!$B$12:$B$39,$B58,'11.3. ДА Базова година'!J$12:J$39)+SUMIF('11.3. ДА Базова година'!$B$92:$B$110,$B58,'11.3. ДА Базова година'!J$92:J$110)</f>
        <v>0</v>
      </c>
      <c r="M58" s="415"/>
      <c r="N58" s="413"/>
      <c r="O58" s="413"/>
      <c r="P58" s="413"/>
      <c r="Q58" s="413"/>
      <c r="R58" s="271"/>
      <c r="S58" s="4453">
        <f>SUMIF('11.3. ДА Базова година'!$B$12:$B$39,$B58,'11.3. ДА Базова година'!N$12:N$39)+SUMIF('11.3. ДА Базова година'!$B$92:$B$110,$B58,'11.3. ДА Базова година'!N$92:N$110)</f>
        <v>0</v>
      </c>
      <c r="T58" s="415"/>
      <c r="U58" s="413"/>
      <c r="V58" s="413"/>
      <c r="W58" s="413"/>
      <c r="X58" s="413"/>
      <c r="Y58" s="414"/>
      <c r="Z58" s="4453">
        <f>SUMIF('11.3. ДА Базова година'!$B$12:$B$39,$B58,'11.3. ДА Базова година'!R$12:R$39)+SUMIF('11.3. ДА Базова година'!$B$92:$B$110,$B58,'11.3. ДА Базова година'!R$92:R$110)</f>
        <v>0</v>
      </c>
      <c r="AA58" s="415"/>
      <c r="AB58" s="413"/>
      <c r="AC58" s="413"/>
      <c r="AD58" s="413"/>
      <c r="AE58" s="413"/>
      <c r="AF58" s="414"/>
      <c r="AG58" s="4453">
        <f>SUMIF('11.3. ДА Базова година'!$B$12:$B$39,$B58,'11.3. ДА Базова година'!V$12:V$39)+SUMIF('11.3. ДА Базова година'!$B$92:$B$110,$B58,'11.3. ДА Базова година'!V$92:V$110)</f>
        <v>0</v>
      </c>
      <c r="AH58" s="415"/>
      <c r="AI58" s="413"/>
      <c r="AJ58" s="413"/>
      <c r="AK58" s="413"/>
      <c r="AL58" s="413"/>
      <c r="AM58" s="271"/>
      <c r="AN58" s="4132"/>
      <c r="AO58" s="3026"/>
      <c r="AP58" s="3027"/>
      <c r="AQ58" s="3027"/>
      <c r="AR58" s="3027"/>
      <c r="AS58" s="3027"/>
      <c r="AT58" s="3028"/>
      <c r="AU58" s="4488"/>
      <c r="AV58" s="4504">
        <f t="shared" si="40"/>
        <v>24.542010297418489</v>
      </c>
      <c r="AW58" s="4504">
        <f t="shared" si="41"/>
        <v>0</v>
      </c>
      <c r="AX58" s="4504">
        <f t="shared" si="42"/>
        <v>0</v>
      </c>
      <c r="AY58" s="4504">
        <f t="shared" si="43"/>
        <v>0</v>
      </c>
      <c r="AZ58" s="4504">
        <f t="shared" si="44"/>
        <v>0</v>
      </c>
      <c r="BA58" s="4504">
        <f t="shared" si="45"/>
        <v>0</v>
      </c>
      <c r="BB58" s="4504">
        <f t="shared" si="46"/>
        <v>0</v>
      </c>
      <c r="BC58" s="4504">
        <f t="shared" si="47"/>
        <v>0</v>
      </c>
      <c r="BD58" s="4504">
        <f t="shared" si="48"/>
        <v>0</v>
      </c>
      <c r="BE58" s="4504">
        <f t="shared" si="49"/>
        <v>0</v>
      </c>
      <c r="BF58" s="4504">
        <f t="shared" si="50"/>
        <v>0</v>
      </c>
      <c r="BG58" s="4504">
        <f t="shared" si="51"/>
        <v>0</v>
      </c>
      <c r="BH58" s="4504">
        <f t="shared" si="52"/>
        <v>0</v>
      </c>
      <c r="BI58" s="4504">
        <f t="shared" si="53"/>
        <v>0</v>
      </c>
      <c r="BJ58" s="4504">
        <f t="shared" si="54"/>
        <v>0</v>
      </c>
      <c r="BK58" s="4504">
        <f t="shared" si="55"/>
        <v>0</v>
      </c>
      <c r="BL58" s="4504">
        <f t="shared" si="56"/>
        <v>0</v>
      </c>
      <c r="BM58" s="4504">
        <f t="shared" si="57"/>
        <v>0</v>
      </c>
      <c r="BN58" s="4504">
        <f t="shared" si="58"/>
        <v>0</v>
      </c>
      <c r="BO58" s="4504">
        <f t="shared" si="59"/>
        <v>0</v>
      </c>
      <c r="BP58" s="4504">
        <f t="shared" si="60"/>
        <v>0</v>
      </c>
      <c r="BQ58" s="4504">
        <f t="shared" si="61"/>
        <v>0</v>
      </c>
      <c r="BR58" s="4504">
        <f t="shared" si="62"/>
        <v>0</v>
      </c>
      <c r="BS58" s="4504">
        <f t="shared" si="63"/>
        <v>0</v>
      </c>
      <c r="BT58" s="4504">
        <f t="shared" si="64"/>
        <v>0</v>
      </c>
      <c r="BU58" s="4504">
        <f t="shared" si="65"/>
        <v>0</v>
      </c>
      <c r="BV58" s="4504">
        <f t="shared" si="66"/>
        <v>0</v>
      </c>
      <c r="BW58" s="4504">
        <f t="shared" si="67"/>
        <v>0</v>
      </c>
      <c r="BX58" s="4504">
        <f t="shared" si="68"/>
        <v>0</v>
      </c>
      <c r="BY58" s="4504">
        <f t="shared" si="69"/>
        <v>0</v>
      </c>
      <c r="BZ58" s="4504">
        <f t="shared" si="70"/>
        <v>0</v>
      </c>
      <c r="CA58" s="4504">
        <f t="shared" si="71"/>
        <v>0</v>
      </c>
      <c r="CB58" s="4504">
        <f t="shared" si="72"/>
        <v>0</v>
      </c>
      <c r="CC58" s="4504">
        <f t="shared" si="73"/>
        <v>0</v>
      </c>
      <c r="CD58" s="4504">
        <f t="shared" si="74"/>
        <v>0</v>
      </c>
    </row>
    <row r="59" spans="1:82" s="40" customFormat="1" ht="13.8" thickBot="1">
      <c r="A59" s="2919">
        <v>12</v>
      </c>
      <c r="B59" s="2923">
        <v>219</v>
      </c>
      <c r="C59" s="2924">
        <v>0.1</v>
      </c>
      <c r="D59" s="2925" t="s">
        <v>216</v>
      </c>
      <c r="E59" s="4454">
        <f>SUMIF('11.3. ДА Базова година'!$B$12:$B$39,$B59,'11.3. ДА Базова година'!F$12:F$39)+SUMIF('11.3. ДА Базова година'!$B$92:$B$110,$B59,'11.3. ДА Базова година'!F$92:F$110)</f>
        <v>14.178372893741042</v>
      </c>
      <c r="F59" s="415"/>
      <c r="G59" s="413"/>
      <c r="H59" s="413"/>
      <c r="I59" s="413"/>
      <c r="J59" s="413"/>
      <c r="K59" s="271"/>
      <c r="L59" s="4454">
        <f>SUMIF('11.3. ДА Базова година'!$B$12:$B$39,$B59,'11.3. ДА Базова година'!J$12:J$39)+SUMIF('11.3. ДА Базова година'!$B$92:$B$110,$B59,'11.3. ДА Базова година'!J$92:J$110)</f>
        <v>0</v>
      </c>
      <c r="M59" s="415"/>
      <c r="N59" s="413"/>
      <c r="O59" s="413"/>
      <c r="P59" s="413"/>
      <c r="Q59" s="413"/>
      <c r="R59" s="271"/>
      <c r="S59" s="4454">
        <f>SUMIF('11.3. ДА Базова година'!$B$12:$B$39,$B59,'11.3. ДА Базова година'!N$12:N$39)+SUMIF('11.3. ДА Базова година'!$B$92:$B$110,$B59,'11.3. ДА Базова година'!N$92:N$110)</f>
        <v>0</v>
      </c>
      <c r="T59" s="415"/>
      <c r="U59" s="413"/>
      <c r="V59" s="413"/>
      <c r="W59" s="413"/>
      <c r="X59" s="413"/>
      <c r="Y59" s="414"/>
      <c r="Z59" s="4454">
        <f>SUMIF('11.3. ДА Базова година'!$B$12:$B$39,$B59,'11.3. ДА Базова година'!R$12:R$39)+SUMIF('11.3. ДА Базова година'!$B$92:$B$110,$B59,'11.3. ДА Базова година'!R$92:R$110)</f>
        <v>0</v>
      </c>
      <c r="AA59" s="415"/>
      <c r="AB59" s="413"/>
      <c r="AC59" s="413"/>
      <c r="AD59" s="413"/>
      <c r="AE59" s="413"/>
      <c r="AF59" s="414"/>
      <c r="AG59" s="4454">
        <f>SUMIF('11.3. ДА Базова година'!$B$12:$B$39,$B59,'11.3. ДА Базова година'!V$12:V$39)+SUMIF('11.3. ДА Базова година'!$B$92:$B$110,$B59,'11.3. ДА Базова година'!V$92:V$110)</f>
        <v>0.82162710625895996</v>
      </c>
      <c r="AH59" s="415"/>
      <c r="AI59" s="413"/>
      <c r="AJ59" s="413"/>
      <c r="AK59" s="413"/>
      <c r="AL59" s="413"/>
      <c r="AM59" s="271"/>
      <c r="AN59" s="4136"/>
      <c r="AO59" s="3029"/>
      <c r="AP59" s="3030"/>
      <c r="AQ59" s="3030"/>
      <c r="AR59" s="3030"/>
      <c r="AS59" s="3030"/>
      <c r="AT59" s="3031"/>
      <c r="AU59" s="4488"/>
      <c r="AV59" s="4504">
        <f t="shared" si="40"/>
        <v>7.2492869491423289</v>
      </c>
      <c r="AW59" s="4504">
        <f t="shared" si="41"/>
        <v>0</v>
      </c>
      <c r="AX59" s="4504">
        <f t="shared" si="42"/>
        <v>0</v>
      </c>
      <c r="AY59" s="4504">
        <f t="shared" si="43"/>
        <v>0</v>
      </c>
      <c r="AZ59" s="4504">
        <f t="shared" si="44"/>
        <v>0</v>
      </c>
      <c r="BA59" s="4504">
        <f t="shared" si="45"/>
        <v>0</v>
      </c>
      <c r="BB59" s="4504">
        <f t="shared" si="46"/>
        <v>0</v>
      </c>
      <c r="BC59" s="4504">
        <f t="shared" si="47"/>
        <v>0</v>
      </c>
      <c r="BD59" s="4504">
        <f t="shared" si="48"/>
        <v>0</v>
      </c>
      <c r="BE59" s="4504">
        <f t="shared" si="49"/>
        <v>0</v>
      </c>
      <c r="BF59" s="4504">
        <f t="shared" si="50"/>
        <v>0</v>
      </c>
      <c r="BG59" s="4504">
        <f t="shared" si="51"/>
        <v>0</v>
      </c>
      <c r="BH59" s="4504">
        <f t="shared" si="52"/>
        <v>0</v>
      </c>
      <c r="BI59" s="4504">
        <f t="shared" si="53"/>
        <v>0</v>
      </c>
      <c r="BJ59" s="4504">
        <f t="shared" si="54"/>
        <v>0</v>
      </c>
      <c r="BK59" s="4504">
        <f t="shared" si="55"/>
        <v>0</v>
      </c>
      <c r="BL59" s="4504">
        <f t="shared" si="56"/>
        <v>0</v>
      </c>
      <c r="BM59" s="4504">
        <f t="shared" si="57"/>
        <v>0</v>
      </c>
      <c r="BN59" s="4504">
        <f t="shared" si="58"/>
        <v>0</v>
      </c>
      <c r="BO59" s="4504">
        <f t="shared" si="59"/>
        <v>0</v>
      </c>
      <c r="BP59" s="4504">
        <f t="shared" si="60"/>
        <v>0</v>
      </c>
      <c r="BQ59" s="4504">
        <f t="shared" si="61"/>
        <v>0</v>
      </c>
      <c r="BR59" s="4504">
        <f t="shared" si="62"/>
        <v>0</v>
      </c>
      <c r="BS59" s="4504">
        <f t="shared" si="63"/>
        <v>0</v>
      </c>
      <c r="BT59" s="4504">
        <f t="shared" si="64"/>
        <v>0</v>
      </c>
      <c r="BU59" s="4504">
        <f t="shared" si="65"/>
        <v>0</v>
      </c>
      <c r="BV59" s="4504">
        <f t="shared" si="66"/>
        <v>0</v>
      </c>
      <c r="BW59" s="4504">
        <f t="shared" si="67"/>
        <v>0</v>
      </c>
      <c r="BX59" s="4504">
        <f t="shared" si="68"/>
        <v>0.42009126880094894</v>
      </c>
      <c r="BY59" s="4504">
        <f t="shared" si="69"/>
        <v>0</v>
      </c>
      <c r="BZ59" s="4504">
        <f t="shared" si="70"/>
        <v>0</v>
      </c>
      <c r="CA59" s="4504">
        <f t="shared" si="71"/>
        <v>0</v>
      </c>
      <c r="CB59" s="4504">
        <f t="shared" si="72"/>
        <v>0</v>
      </c>
      <c r="CC59" s="4504">
        <f t="shared" si="73"/>
        <v>0</v>
      </c>
      <c r="CD59" s="4504">
        <f t="shared" si="74"/>
        <v>0</v>
      </c>
    </row>
    <row r="60" spans="1:82" s="668" customFormat="1" ht="14.4" thickBot="1">
      <c r="A60" s="2926" t="s">
        <v>206</v>
      </c>
      <c r="B60" s="2927"/>
      <c r="C60" s="2927"/>
      <c r="D60" s="2928" t="s">
        <v>218</v>
      </c>
      <c r="E60" s="2929">
        <f t="shared" ref="E60:AT60" si="100">E61+E64+E67+E79+E94+E99+SUM(E103:E108)</f>
        <v>66.378279767355082</v>
      </c>
      <c r="F60" s="2929">
        <f t="shared" si="100"/>
        <v>132.75655953471016</v>
      </c>
      <c r="G60" s="2866">
        <f t="shared" si="100"/>
        <v>132.75655953471016</v>
      </c>
      <c r="H60" s="2866">
        <f t="shared" si="100"/>
        <v>132.75655953471016</v>
      </c>
      <c r="I60" s="2866">
        <f t="shared" si="100"/>
        <v>132.75655953471016</v>
      </c>
      <c r="J60" s="2866">
        <f t="shared" si="100"/>
        <v>132.75655953471016</v>
      </c>
      <c r="K60" s="2867">
        <f t="shared" si="100"/>
        <v>132.75655953471016</v>
      </c>
      <c r="L60" s="2929">
        <f t="shared" ref="L60" si="101">L61+L64+L67+L79+L94+L99+SUM(L103:L108)</f>
        <v>2.0640516685117274</v>
      </c>
      <c r="M60" s="2930">
        <f t="shared" si="100"/>
        <v>4.1281033370234548</v>
      </c>
      <c r="N60" s="2866">
        <f t="shared" si="100"/>
        <v>4.1281033370234548</v>
      </c>
      <c r="O60" s="2866">
        <f t="shared" si="100"/>
        <v>4.1281033370234548</v>
      </c>
      <c r="P60" s="2866">
        <f t="shared" si="100"/>
        <v>4.1281033370234548</v>
      </c>
      <c r="Q60" s="2866">
        <f t="shared" si="100"/>
        <v>4.1281033370234548</v>
      </c>
      <c r="R60" s="2869">
        <f t="shared" si="100"/>
        <v>4.1281033370234548</v>
      </c>
      <c r="S60" s="2868">
        <f t="shared" ref="S60" si="102">S61+S64+S67+S79+S94+S99+SUM(S103:S108)</f>
        <v>4.5236460739951534</v>
      </c>
      <c r="T60" s="2865">
        <f t="shared" si="100"/>
        <v>9.0472921479903068</v>
      </c>
      <c r="U60" s="2866">
        <f t="shared" si="100"/>
        <v>9.0472921479903068</v>
      </c>
      <c r="V60" s="2866">
        <f t="shared" si="100"/>
        <v>9.0472921479903068</v>
      </c>
      <c r="W60" s="2866">
        <f t="shared" si="100"/>
        <v>9.0472921479903068</v>
      </c>
      <c r="X60" s="2866">
        <f t="shared" si="100"/>
        <v>9.0472921479903068</v>
      </c>
      <c r="Y60" s="2869">
        <f t="shared" si="100"/>
        <v>9.0472921479903068</v>
      </c>
      <c r="Z60" s="2868">
        <f t="shared" si="100"/>
        <v>0</v>
      </c>
      <c r="AA60" s="2865">
        <f t="shared" ref="AA60:AF60" si="103">AA61+AA64+AA67+AA79+AA94+AA99+SUM(AA103:AA108)</f>
        <v>0</v>
      </c>
      <c r="AB60" s="2866">
        <f t="shared" si="103"/>
        <v>0</v>
      </c>
      <c r="AC60" s="2866">
        <f t="shared" si="103"/>
        <v>0</v>
      </c>
      <c r="AD60" s="2866">
        <f t="shared" si="103"/>
        <v>0</v>
      </c>
      <c r="AE60" s="2866">
        <f t="shared" si="103"/>
        <v>0</v>
      </c>
      <c r="AF60" s="2869">
        <f t="shared" si="103"/>
        <v>0</v>
      </c>
      <c r="AG60" s="2868">
        <f t="shared" ref="AG60" si="104">AG61+AG64+AG67+AG79+AG94+AG99+SUM(AG103:AG108)</f>
        <v>10.592983861854242</v>
      </c>
      <c r="AH60" s="2865">
        <f t="shared" ref="AH60:AM60" si="105">AH61+AH64+AH67+AH79+AH94+AH99+SUM(AH103:AH108)</f>
        <v>21.185967723708483</v>
      </c>
      <c r="AI60" s="2866">
        <f t="shared" si="105"/>
        <v>21.185967723708483</v>
      </c>
      <c r="AJ60" s="2866">
        <f t="shared" si="105"/>
        <v>21.185967723708483</v>
      </c>
      <c r="AK60" s="2866">
        <f t="shared" si="105"/>
        <v>21.185967723708483</v>
      </c>
      <c r="AL60" s="2866">
        <f t="shared" si="105"/>
        <v>21.185967723708483</v>
      </c>
      <c r="AM60" s="2869">
        <f t="shared" si="105"/>
        <v>21.185967723708483</v>
      </c>
      <c r="AN60" s="4130">
        <f t="shared" si="100"/>
        <v>0</v>
      </c>
      <c r="AO60" s="2865">
        <f t="shared" si="100"/>
        <v>0</v>
      </c>
      <c r="AP60" s="2866">
        <f t="shared" si="100"/>
        <v>0</v>
      </c>
      <c r="AQ60" s="2866">
        <f t="shared" si="100"/>
        <v>0</v>
      </c>
      <c r="AR60" s="2866">
        <f t="shared" si="100"/>
        <v>0</v>
      </c>
      <c r="AS60" s="2866">
        <f t="shared" si="100"/>
        <v>0</v>
      </c>
      <c r="AT60" s="2869">
        <f t="shared" si="100"/>
        <v>0</v>
      </c>
      <c r="AU60" s="4488"/>
      <c r="AV60" s="4504">
        <f t="shared" si="40"/>
        <v>33.938675532819872</v>
      </c>
      <c r="AW60" s="4504">
        <f t="shared" si="41"/>
        <v>67.877351065639743</v>
      </c>
      <c r="AX60" s="4504">
        <f t="shared" si="42"/>
        <v>67.877351065639743</v>
      </c>
      <c r="AY60" s="4504">
        <f t="shared" si="43"/>
        <v>67.877351065639743</v>
      </c>
      <c r="AZ60" s="4504">
        <f t="shared" si="44"/>
        <v>67.877351065639743</v>
      </c>
      <c r="BA60" s="4504">
        <f t="shared" si="45"/>
        <v>67.877351065639743</v>
      </c>
      <c r="BB60" s="4504">
        <f t="shared" si="46"/>
        <v>67.877351065639743</v>
      </c>
      <c r="BC60" s="4504">
        <f t="shared" si="47"/>
        <v>1.0553328604795547</v>
      </c>
      <c r="BD60" s="4504">
        <f t="shared" si="48"/>
        <v>2.1106657209591093</v>
      </c>
      <c r="BE60" s="4504">
        <f t="shared" si="49"/>
        <v>2.1106657209591093</v>
      </c>
      <c r="BF60" s="4504">
        <f t="shared" si="50"/>
        <v>2.1106657209591093</v>
      </c>
      <c r="BG60" s="4504">
        <f t="shared" si="51"/>
        <v>2.1106657209591093</v>
      </c>
      <c r="BH60" s="4504">
        <f t="shared" si="52"/>
        <v>2.1106657209591093</v>
      </c>
      <c r="BI60" s="4504">
        <f t="shared" si="53"/>
        <v>2.1106657209591093</v>
      </c>
      <c r="BJ60" s="4504">
        <f t="shared" si="54"/>
        <v>2.3129035110388703</v>
      </c>
      <c r="BK60" s="4504">
        <f t="shared" si="55"/>
        <v>4.6258070220777405</v>
      </c>
      <c r="BL60" s="4504">
        <f t="shared" si="56"/>
        <v>4.6258070220777405</v>
      </c>
      <c r="BM60" s="4504">
        <f t="shared" si="57"/>
        <v>4.6258070220777405</v>
      </c>
      <c r="BN60" s="4504">
        <f t="shared" si="58"/>
        <v>4.6258070220777405</v>
      </c>
      <c r="BO60" s="4504">
        <f t="shared" si="59"/>
        <v>4.6258070220777405</v>
      </c>
      <c r="BP60" s="4504">
        <f t="shared" si="60"/>
        <v>4.6258070220777405</v>
      </c>
      <c r="BQ60" s="4504">
        <f t="shared" si="61"/>
        <v>0</v>
      </c>
      <c r="BR60" s="4504">
        <f t="shared" si="62"/>
        <v>0</v>
      </c>
      <c r="BS60" s="4504">
        <f t="shared" si="63"/>
        <v>0</v>
      </c>
      <c r="BT60" s="4504">
        <f t="shared" si="64"/>
        <v>0</v>
      </c>
      <c r="BU60" s="4504">
        <f t="shared" si="65"/>
        <v>0</v>
      </c>
      <c r="BV60" s="4504">
        <f t="shared" si="66"/>
        <v>0</v>
      </c>
      <c r="BW60" s="4504">
        <f t="shared" si="67"/>
        <v>0</v>
      </c>
      <c r="BX60" s="4504">
        <f t="shared" si="68"/>
        <v>5.4161066462086387</v>
      </c>
      <c r="BY60" s="4504">
        <f t="shared" si="69"/>
        <v>10.832213292417277</v>
      </c>
      <c r="BZ60" s="4504">
        <f t="shared" si="70"/>
        <v>10.832213292417277</v>
      </c>
      <c r="CA60" s="4504">
        <f t="shared" si="71"/>
        <v>10.832213292417277</v>
      </c>
      <c r="CB60" s="4504">
        <f t="shared" si="72"/>
        <v>10.832213292417277</v>
      </c>
      <c r="CC60" s="4504">
        <f t="shared" si="73"/>
        <v>10.832213292417277</v>
      </c>
      <c r="CD60" s="4504">
        <f t="shared" si="74"/>
        <v>10.832213292417277</v>
      </c>
    </row>
    <row r="61" spans="1:82" s="40" customFormat="1">
      <c r="A61" s="2870">
        <v>1</v>
      </c>
      <c r="B61" s="2870">
        <v>201</v>
      </c>
      <c r="C61" s="2871">
        <v>0</v>
      </c>
      <c r="D61" s="2931" t="s">
        <v>217</v>
      </c>
      <c r="E61" s="4231">
        <f>SUM(E62:E63)</f>
        <v>0</v>
      </c>
      <c r="F61" s="2932">
        <f>SUM(F62:F63)</f>
        <v>0</v>
      </c>
      <c r="G61" s="2933">
        <f t="shared" ref="G61:J61" si="106">SUM(G62:G63)</f>
        <v>0</v>
      </c>
      <c r="H61" s="2933">
        <f t="shared" si="106"/>
        <v>0</v>
      </c>
      <c r="I61" s="2933">
        <f t="shared" si="106"/>
        <v>0</v>
      </c>
      <c r="J61" s="2933">
        <f t="shared" si="106"/>
        <v>0</v>
      </c>
      <c r="K61" s="2934">
        <f>SUM(K62:K63)</f>
        <v>0</v>
      </c>
      <c r="L61" s="4231">
        <f>SUM(L62:L63)</f>
        <v>0</v>
      </c>
      <c r="M61" s="2935">
        <f>SUM(M62:M63)</f>
        <v>0</v>
      </c>
      <c r="N61" s="2933">
        <f t="shared" ref="N61:Q61" si="107">SUM(N62:N63)</f>
        <v>0</v>
      </c>
      <c r="O61" s="2933">
        <f t="shared" si="107"/>
        <v>0</v>
      </c>
      <c r="P61" s="2933">
        <f t="shared" si="107"/>
        <v>0</v>
      </c>
      <c r="Q61" s="2933">
        <f t="shared" si="107"/>
        <v>0</v>
      </c>
      <c r="R61" s="2936">
        <f>SUM(R62:R63)</f>
        <v>0</v>
      </c>
      <c r="S61" s="4239">
        <f>SUM(S62:S63)</f>
        <v>0</v>
      </c>
      <c r="T61" s="4234">
        <f>SUM(T62:T63)</f>
        <v>0</v>
      </c>
      <c r="U61" s="2933">
        <f t="shared" ref="U61:X61" si="108">SUM(U62:U63)</f>
        <v>0</v>
      </c>
      <c r="V61" s="2933">
        <f t="shared" si="108"/>
        <v>0</v>
      </c>
      <c r="W61" s="2933">
        <f t="shared" si="108"/>
        <v>0</v>
      </c>
      <c r="X61" s="2933">
        <f t="shared" si="108"/>
        <v>0</v>
      </c>
      <c r="Y61" s="2936">
        <f>SUM(Y62:Y63)</f>
        <v>0</v>
      </c>
      <c r="Z61" s="4239">
        <f>SUM(Z62:Z63)</f>
        <v>0</v>
      </c>
      <c r="AA61" s="4234">
        <f>SUM(AA62:AA63)</f>
        <v>0</v>
      </c>
      <c r="AB61" s="2933">
        <f t="shared" ref="AB61:AE61" si="109">SUM(AB62:AB63)</f>
        <v>0</v>
      </c>
      <c r="AC61" s="2933">
        <f t="shared" si="109"/>
        <v>0</v>
      </c>
      <c r="AD61" s="2933">
        <f t="shared" si="109"/>
        <v>0</v>
      </c>
      <c r="AE61" s="2933">
        <f t="shared" si="109"/>
        <v>0</v>
      </c>
      <c r="AF61" s="2936">
        <f>SUM(AF62:AF63)</f>
        <v>0</v>
      </c>
      <c r="AG61" s="4239">
        <f>SUM(AG62:AG63)</f>
        <v>0</v>
      </c>
      <c r="AH61" s="4234">
        <f>SUM(AH62:AH63)</f>
        <v>0</v>
      </c>
      <c r="AI61" s="2933">
        <f t="shared" ref="AI61:AL61" si="110">SUM(AI62:AI63)</f>
        <v>0</v>
      </c>
      <c r="AJ61" s="2933">
        <f t="shared" si="110"/>
        <v>0</v>
      </c>
      <c r="AK61" s="2933">
        <f t="shared" si="110"/>
        <v>0</v>
      </c>
      <c r="AL61" s="2933">
        <f t="shared" si="110"/>
        <v>0</v>
      </c>
      <c r="AM61" s="2936">
        <f>SUM(AM62:AM63)</f>
        <v>0</v>
      </c>
      <c r="AN61" s="4131">
        <f>SUM(AN62:AN63)</f>
        <v>0</v>
      </c>
      <c r="AO61" s="3023"/>
      <c r="AP61" s="3024"/>
      <c r="AQ61" s="3024"/>
      <c r="AR61" s="3024"/>
      <c r="AS61" s="3024"/>
      <c r="AT61" s="3025"/>
      <c r="AU61" s="4488"/>
      <c r="AV61" s="4504">
        <f t="shared" si="40"/>
        <v>0</v>
      </c>
      <c r="AW61" s="4504">
        <f t="shared" si="41"/>
        <v>0</v>
      </c>
      <c r="AX61" s="4504">
        <f t="shared" si="42"/>
        <v>0</v>
      </c>
      <c r="AY61" s="4504">
        <f t="shared" si="43"/>
        <v>0</v>
      </c>
      <c r="AZ61" s="4504">
        <f t="shared" si="44"/>
        <v>0</v>
      </c>
      <c r="BA61" s="4504">
        <f t="shared" si="45"/>
        <v>0</v>
      </c>
      <c r="BB61" s="4504">
        <f t="shared" si="46"/>
        <v>0</v>
      </c>
      <c r="BC61" s="4504">
        <f t="shared" si="47"/>
        <v>0</v>
      </c>
      <c r="BD61" s="4504">
        <f t="shared" si="48"/>
        <v>0</v>
      </c>
      <c r="BE61" s="4504">
        <f t="shared" si="49"/>
        <v>0</v>
      </c>
      <c r="BF61" s="4504">
        <f t="shared" si="50"/>
        <v>0</v>
      </c>
      <c r="BG61" s="4504">
        <f t="shared" si="51"/>
        <v>0</v>
      </c>
      <c r="BH61" s="4504">
        <f t="shared" si="52"/>
        <v>0</v>
      </c>
      <c r="BI61" s="4504">
        <f t="shared" si="53"/>
        <v>0</v>
      </c>
      <c r="BJ61" s="4504">
        <f t="shared" si="54"/>
        <v>0</v>
      </c>
      <c r="BK61" s="4504">
        <f t="shared" si="55"/>
        <v>0</v>
      </c>
      <c r="BL61" s="4504">
        <f t="shared" si="56"/>
        <v>0</v>
      </c>
      <c r="BM61" s="4504">
        <f t="shared" si="57"/>
        <v>0</v>
      </c>
      <c r="BN61" s="4504">
        <f t="shared" si="58"/>
        <v>0</v>
      </c>
      <c r="BO61" s="4504">
        <f t="shared" si="59"/>
        <v>0</v>
      </c>
      <c r="BP61" s="4504">
        <f t="shared" si="60"/>
        <v>0</v>
      </c>
      <c r="BQ61" s="4504">
        <f t="shared" si="61"/>
        <v>0</v>
      </c>
      <c r="BR61" s="4504">
        <f t="shared" si="62"/>
        <v>0</v>
      </c>
      <c r="BS61" s="4504">
        <f t="shared" si="63"/>
        <v>0</v>
      </c>
      <c r="BT61" s="4504">
        <f t="shared" si="64"/>
        <v>0</v>
      </c>
      <c r="BU61" s="4504">
        <f t="shared" si="65"/>
        <v>0</v>
      </c>
      <c r="BV61" s="4504">
        <f t="shared" si="66"/>
        <v>0</v>
      </c>
      <c r="BW61" s="4504">
        <f t="shared" si="67"/>
        <v>0</v>
      </c>
      <c r="BX61" s="4504">
        <f t="shared" si="68"/>
        <v>0</v>
      </c>
      <c r="BY61" s="4504">
        <f t="shared" si="69"/>
        <v>0</v>
      </c>
      <c r="BZ61" s="4504">
        <f t="shared" si="70"/>
        <v>0</v>
      </c>
      <c r="CA61" s="4504">
        <f t="shared" si="71"/>
        <v>0</v>
      </c>
      <c r="CB61" s="4504">
        <f t="shared" si="72"/>
        <v>0</v>
      </c>
      <c r="CC61" s="4504">
        <f t="shared" si="73"/>
        <v>0</v>
      </c>
      <c r="CD61" s="4504">
        <f t="shared" si="74"/>
        <v>0</v>
      </c>
    </row>
    <row r="62" spans="1:82" s="684" customFormat="1">
      <c r="A62" s="2878"/>
      <c r="B62" s="2878">
        <v>20101</v>
      </c>
      <c r="C62" s="2937">
        <v>0</v>
      </c>
      <c r="D62" s="2938" t="s">
        <v>556</v>
      </c>
      <c r="E62" s="4453">
        <f>+E13*$C62/2</f>
        <v>0</v>
      </c>
      <c r="F62" s="2939">
        <f>($E13*$C62)-(F13*$C62)</f>
        <v>0</v>
      </c>
      <c r="G62" s="2940">
        <f t="shared" ref="G62:K63" si="111">F62-(G13*$C62)</f>
        <v>0</v>
      </c>
      <c r="H62" s="2941">
        <f t="shared" si="111"/>
        <v>0</v>
      </c>
      <c r="I62" s="2941">
        <f t="shared" si="111"/>
        <v>0</v>
      </c>
      <c r="J62" s="2941">
        <f t="shared" si="111"/>
        <v>0</v>
      </c>
      <c r="K62" s="2942">
        <f t="shared" si="111"/>
        <v>0</v>
      </c>
      <c r="L62" s="4453">
        <f>+L13*$C62/2</f>
        <v>0</v>
      </c>
      <c r="M62" s="2943">
        <f>($L13*$C62)-(M13*$C62)</f>
        <v>0</v>
      </c>
      <c r="N62" s="2940">
        <f t="shared" ref="N62:R63" si="112">M62-(N13*$C62)</f>
        <v>0</v>
      </c>
      <c r="O62" s="2941">
        <f t="shared" si="112"/>
        <v>0</v>
      </c>
      <c r="P62" s="2941">
        <f t="shared" si="112"/>
        <v>0</v>
      </c>
      <c r="Q62" s="2941">
        <f t="shared" si="112"/>
        <v>0</v>
      </c>
      <c r="R62" s="2944">
        <f t="shared" si="112"/>
        <v>0</v>
      </c>
      <c r="S62" s="4453">
        <f>+S13*$C62/2</f>
        <v>0</v>
      </c>
      <c r="T62" s="4235">
        <f>($S13*$C62)-(T13*$C62)</f>
        <v>0</v>
      </c>
      <c r="U62" s="2940">
        <f t="shared" ref="U62:Y63" si="113">T62-(U13*$C62)</f>
        <v>0</v>
      </c>
      <c r="V62" s="2941">
        <f t="shared" si="113"/>
        <v>0</v>
      </c>
      <c r="W62" s="2941">
        <f t="shared" si="113"/>
        <v>0</v>
      </c>
      <c r="X62" s="2941">
        <f t="shared" si="113"/>
        <v>0</v>
      </c>
      <c r="Y62" s="2944">
        <f t="shared" si="113"/>
        <v>0</v>
      </c>
      <c r="Z62" s="4453">
        <f>+Z13*$C62/2</f>
        <v>0</v>
      </c>
      <c r="AA62" s="4235">
        <f>($Z13*$C62)-(AA13*$C62)</f>
        <v>0</v>
      </c>
      <c r="AB62" s="2940">
        <f t="shared" ref="AB62:AF63" si="114">AA62-(AB13*$C62)</f>
        <v>0</v>
      </c>
      <c r="AC62" s="2941">
        <f t="shared" si="114"/>
        <v>0</v>
      </c>
      <c r="AD62" s="2941">
        <f t="shared" si="114"/>
        <v>0</v>
      </c>
      <c r="AE62" s="2941">
        <f t="shared" si="114"/>
        <v>0</v>
      </c>
      <c r="AF62" s="2944">
        <f t="shared" si="114"/>
        <v>0</v>
      </c>
      <c r="AG62" s="4453">
        <f>+AG13*$C62/2</f>
        <v>0</v>
      </c>
      <c r="AH62" s="4235">
        <f>($AG13*$C62)-(AH13*$C62)</f>
        <v>0</v>
      </c>
      <c r="AI62" s="2940">
        <f t="shared" ref="AI62:AM63" si="115">AH62-(AI13*$C62)</f>
        <v>0</v>
      </c>
      <c r="AJ62" s="2941">
        <f t="shared" si="115"/>
        <v>0</v>
      </c>
      <c r="AK62" s="2941">
        <f t="shared" si="115"/>
        <v>0</v>
      </c>
      <c r="AL62" s="2941">
        <f t="shared" si="115"/>
        <v>0</v>
      </c>
      <c r="AM62" s="2944">
        <f t="shared" si="115"/>
        <v>0</v>
      </c>
      <c r="AN62" s="4132"/>
      <c r="AO62" s="3026"/>
      <c r="AP62" s="3027"/>
      <c r="AQ62" s="3027"/>
      <c r="AR62" s="3027"/>
      <c r="AS62" s="3027"/>
      <c r="AT62" s="3028"/>
      <c r="AU62" s="4488"/>
      <c r="AV62" s="4504">
        <f t="shared" si="40"/>
        <v>0</v>
      </c>
      <c r="AW62" s="4504">
        <f t="shared" si="41"/>
        <v>0</v>
      </c>
      <c r="AX62" s="4504">
        <f t="shared" si="42"/>
        <v>0</v>
      </c>
      <c r="AY62" s="4504">
        <f t="shared" si="43"/>
        <v>0</v>
      </c>
      <c r="AZ62" s="4504">
        <f t="shared" si="44"/>
        <v>0</v>
      </c>
      <c r="BA62" s="4504">
        <f t="shared" si="45"/>
        <v>0</v>
      </c>
      <c r="BB62" s="4504">
        <f t="shared" si="46"/>
        <v>0</v>
      </c>
      <c r="BC62" s="4504">
        <f t="shared" si="47"/>
        <v>0</v>
      </c>
      <c r="BD62" s="4504">
        <f t="shared" si="48"/>
        <v>0</v>
      </c>
      <c r="BE62" s="4504">
        <f t="shared" si="49"/>
        <v>0</v>
      </c>
      <c r="BF62" s="4504">
        <f t="shared" si="50"/>
        <v>0</v>
      </c>
      <c r="BG62" s="4504">
        <f t="shared" si="51"/>
        <v>0</v>
      </c>
      <c r="BH62" s="4504">
        <f t="shared" si="52"/>
        <v>0</v>
      </c>
      <c r="BI62" s="4504">
        <f t="shared" si="53"/>
        <v>0</v>
      </c>
      <c r="BJ62" s="4504">
        <f t="shared" si="54"/>
        <v>0</v>
      </c>
      <c r="BK62" s="4504">
        <f t="shared" si="55"/>
        <v>0</v>
      </c>
      <c r="BL62" s="4504">
        <f t="shared" si="56"/>
        <v>0</v>
      </c>
      <c r="BM62" s="4504">
        <f t="shared" si="57"/>
        <v>0</v>
      </c>
      <c r="BN62" s="4504">
        <f t="shared" si="58"/>
        <v>0</v>
      </c>
      <c r="BO62" s="4504">
        <f t="shared" si="59"/>
        <v>0</v>
      </c>
      <c r="BP62" s="4504">
        <f t="shared" si="60"/>
        <v>0</v>
      </c>
      <c r="BQ62" s="4504">
        <f t="shared" si="61"/>
        <v>0</v>
      </c>
      <c r="BR62" s="4504">
        <f t="shared" si="62"/>
        <v>0</v>
      </c>
      <c r="BS62" s="4504">
        <f t="shared" si="63"/>
        <v>0</v>
      </c>
      <c r="BT62" s="4504">
        <f t="shared" si="64"/>
        <v>0</v>
      </c>
      <c r="BU62" s="4504">
        <f t="shared" si="65"/>
        <v>0</v>
      </c>
      <c r="BV62" s="4504">
        <f t="shared" si="66"/>
        <v>0</v>
      </c>
      <c r="BW62" s="4504">
        <f t="shared" si="67"/>
        <v>0</v>
      </c>
      <c r="BX62" s="4504">
        <f t="shared" si="68"/>
        <v>0</v>
      </c>
      <c r="BY62" s="4504">
        <f t="shared" si="69"/>
        <v>0</v>
      </c>
      <c r="BZ62" s="4504">
        <f t="shared" si="70"/>
        <v>0</v>
      </c>
      <c r="CA62" s="4504">
        <f t="shared" si="71"/>
        <v>0</v>
      </c>
      <c r="CB62" s="4504">
        <f t="shared" si="72"/>
        <v>0</v>
      </c>
      <c r="CC62" s="4504">
        <f t="shared" si="73"/>
        <v>0</v>
      </c>
      <c r="CD62" s="4504">
        <f t="shared" si="74"/>
        <v>0</v>
      </c>
    </row>
    <row r="63" spans="1:82" s="684" customFormat="1">
      <c r="A63" s="2878"/>
      <c r="B63" s="2878">
        <v>20102</v>
      </c>
      <c r="C63" s="2937">
        <v>0</v>
      </c>
      <c r="D63" s="2945" t="s">
        <v>558</v>
      </c>
      <c r="E63" s="4453">
        <f>+E14*$C63/2</f>
        <v>0</v>
      </c>
      <c r="F63" s="2943">
        <f>($E14*$C63)-(F14*$C63)</f>
        <v>0</v>
      </c>
      <c r="G63" s="2941">
        <f t="shared" si="111"/>
        <v>0</v>
      </c>
      <c r="H63" s="2941">
        <f t="shared" si="111"/>
        <v>0</v>
      </c>
      <c r="I63" s="2941">
        <f t="shared" si="111"/>
        <v>0</v>
      </c>
      <c r="J63" s="2941">
        <f t="shared" si="111"/>
        <v>0</v>
      </c>
      <c r="K63" s="2942">
        <f t="shared" si="111"/>
        <v>0</v>
      </c>
      <c r="L63" s="4453">
        <f>+L14*$C63/2</f>
        <v>0</v>
      </c>
      <c r="M63" s="2943">
        <f>($L14*$C63)-(M14*$C63)</f>
        <v>0</v>
      </c>
      <c r="N63" s="2941">
        <f t="shared" si="112"/>
        <v>0</v>
      </c>
      <c r="O63" s="2941">
        <f t="shared" si="112"/>
        <v>0</v>
      </c>
      <c r="P63" s="2941">
        <f t="shared" si="112"/>
        <v>0</v>
      </c>
      <c r="Q63" s="2941">
        <f t="shared" si="112"/>
        <v>0</v>
      </c>
      <c r="R63" s="2944">
        <f t="shared" si="112"/>
        <v>0</v>
      </c>
      <c r="S63" s="4453">
        <f>+S14*$C63/2</f>
        <v>0</v>
      </c>
      <c r="T63" s="4235">
        <f>($S14*$C63)-(T14*$C63)</f>
        <v>0</v>
      </c>
      <c r="U63" s="2941">
        <f t="shared" si="113"/>
        <v>0</v>
      </c>
      <c r="V63" s="2941">
        <f t="shared" si="113"/>
        <v>0</v>
      </c>
      <c r="W63" s="2941">
        <f t="shared" si="113"/>
        <v>0</v>
      </c>
      <c r="X63" s="2941">
        <f t="shared" si="113"/>
        <v>0</v>
      </c>
      <c r="Y63" s="2944">
        <f t="shared" si="113"/>
        <v>0</v>
      </c>
      <c r="Z63" s="4453">
        <f>+Z14*$C63/2</f>
        <v>0</v>
      </c>
      <c r="AA63" s="4235">
        <f>($Z14*$C63)-(AA14*$C63)</f>
        <v>0</v>
      </c>
      <c r="AB63" s="2941">
        <f t="shared" si="114"/>
        <v>0</v>
      </c>
      <c r="AC63" s="2941">
        <f t="shared" si="114"/>
        <v>0</v>
      </c>
      <c r="AD63" s="2941">
        <f t="shared" si="114"/>
        <v>0</v>
      </c>
      <c r="AE63" s="2941">
        <f t="shared" si="114"/>
        <v>0</v>
      </c>
      <c r="AF63" s="2944">
        <f t="shared" si="114"/>
        <v>0</v>
      </c>
      <c r="AG63" s="4453">
        <f>+AG14*$C63/2</f>
        <v>0</v>
      </c>
      <c r="AH63" s="4235">
        <f>($AG14*$C63)-(AH14*$C63)</f>
        <v>0</v>
      </c>
      <c r="AI63" s="2941">
        <f t="shared" si="115"/>
        <v>0</v>
      </c>
      <c r="AJ63" s="2941">
        <f t="shared" si="115"/>
        <v>0</v>
      </c>
      <c r="AK63" s="2941">
        <f t="shared" si="115"/>
        <v>0</v>
      </c>
      <c r="AL63" s="2941">
        <f t="shared" si="115"/>
        <v>0</v>
      </c>
      <c r="AM63" s="2944">
        <f t="shared" si="115"/>
        <v>0</v>
      </c>
      <c r="AN63" s="4132"/>
      <c r="AO63" s="3026"/>
      <c r="AP63" s="3027"/>
      <c r="AQ63" s="3027"/>
      <c r="AR63" s="3027"/>
      <c r="AS63" s="3027"/>
      <c r="AT63" s="3028"/>
      <c r="AU63" s="4488"/>
      <c r="AV63" s="4504">
        <f t="shared" si="40"/>
        <v>0</v>
      </c>
      <c r="AW63" s="4504">
        <f t="shared" si="41"/>
        <v>0</v>
      </c>
      <c r="AX63" s="4504">
        <f t="shared" si="42"/>
        <v>0</v>
      </c>
      <c r="AY63" s="4504">
        <f t="shared" si="43"/>
        <v>0</v>
      </c>
      <c r="AZ63" s="4504">
        <f t="shared" si="44"/>
        <v>0</v>
      </c>
      <c r="BA63" s="4504">
        <f t="shared" si="45"/>
        <v>0</v>
      </c>
      <c r="BB63" s="4504">
        <f t="shared" si="46"/>
        <v>0</v>
      </c>
      <c r="BC63" s="4504">
        <f t="shared" si="47"/>
        <v>0</v>
      </c>
      <c r="BD63" s="4504">
        <f t="shared" si="48"/>
        <v>0</v>
      </c>
      <c r="BE63" s="4504">
        <f t="shared" si="49"/>
        <v>0</v>
      </c>
      <c r="BF63" s="4504">
        <f t="shared" si="50"/>
        <v>0</v>
      </c>
      <c r="BG63" s="4504">
        <f t="shared" si="51"/>
        <v>0</v>
      </c>
      <c r="BH63" s="4504">
        <f t="shared" si="52"/>
        <v>0</v>
      </c>
      <c r="BI63" s="4504">
        <f t="shared" si="53"/>
        <v>0</v>
      </c>
      <c r="BJ63" s="4504">
        <f t="shared" si="54"/>
        <v>0</v>
      </c>
      <c r="BK63" s="4504">
        <f t="shared" si="55"/>
        <v>0</v>
      </c>
      <c r="BL63" s="4504">
        <f t="shared" si="56"/>
        <v>0</v>
      </c>
      <c r="BM63" s="4504">
        <f t="shared" si="57"/>
        <v>0</v>
      </c>
      <c r="BN63" s="4504">
        <f t="shared" si="58"/>
        <v>0</v>
      </c>
      <c r="BO63" s="4504">
        <f t="shared" si="59"/>
        <v>0</v>
      </c>
      <c r="BP63" s="4504">
        <f t="shared" si="60"/>
        <v>0</v>
      </c>
      <c r="BQ63" s="4504">
        <f t="shared" si="61"/>
        <v>0</v>
      </c>
      <c r="BR63" s="4504">
        <f t="shared" si="62"/>
        <v>0</v>
      </c>
      <c r="BS63" s="4504">
        <f t="shared" si="63"/>
        <v>0</v>
      </c>
      <c r="BT63" s="4504">
        <f t="shared" si="64"/>
        <v>0</v>
      </c>
      <c r="BU63" s="4504">
        <f t="shared" si="65"/>
        <v>0</v>
      </c>
      <c r="BV63" s="4504">
        <f t="shared" si="66"/>
        <v>0</v>
      </c>
      <c r="BW63" s="4504">
        <f t="shared" si="67"/>
        <v>0</v>
      </c>
      <c r="BX63" s="4504">
        <f t="shared" si="68"/>
        <v>0</v>
      </c>
      <c r="BY63" s="4504">
        <f t="shared" si="69"/>
        <v>0</v>
      </c>
      <c r="BZ63" s="4504">
        <f t="shared" si="70"/>
        <v>0</v>
      </c>
      <c r="CA63" s="4504">
        <f t="shared" si="71"/>
        <v>0</v>
      </c>
      <c r="CB63" s="4504">
        <f t="shared" si="72"/>
        <v>0</v>
      </c>
      <c r="CC63" s="4504">
        <f t="shared" si="73"/>
        <v>0</v>
      </c>
      <c r="CD63" s="4504">
        <f t="shared" si="74"/>
        <v>0</v>
      </c>
    </row>
    <row r="64" spans="1:82" s="40" customFormat="1">
      <c r="A64" s="2883">
        <v>2</v>
      </c>
      <c r="B64" s="2883">
        <v>202</v>
      </c>
      <c r="C64" s="2946">
        <v>0.03</v>
      </c>
      <c r="D64" s="2947" t="s">
        <v>404</v>
      </c>
      <c r="E64" s="4232">
        <f>SUM(E65:E66)</f>
        <v>4.5238408533003115E-2</v>
      </c>
      <c r="F64" s="2948">
        <f>SUM(F65:F66)</f>
        <v>9.0476817066006229E-2</v>
      </c>
      <c r="G64" s="2889">
        <f t="shared" ref="G64:AN64" si="116">SUM(G65:G66)</f>
        <v>9.0476817066006229E-2</v>
      </c>
      <c r="H64" s="2889">
        <f t="shared" si="116"/>
        <v>9.0476817066006229E-2</v>
      </c>
      <c r="I64" s="2889">
        <f t="shared" si="116"/>
        <v>9.0476817066006229E-2</v>
      </c>
      <c r="J64" s="2889">
        <f t="shared" si="116"/>
        <v>9.0476817066006229E-2</v>
      </c>
      <c r="K64" s="2890">
        <f t="shared" si="116"/>
        <v>9.0476817066006229E-2</v>
      </c>
      <c r="L64" s="4232">
        <f>SUM(L65:L66)</f>
        <v>9.8924035526274118E-3</v>
      </c>
      <c r="M64" s="2949">
        <f t="shared" si="116"/>
        <v>1.9784807105254824E-2</v>
      </c>
      <c r="N64" s="2889">
        <f t="shared" si="116"/>
        <v>1.9784807105254824E-2</v>
      </c>
      <c r="O64" s="2889">
        <f t="shared" si="116"/>
        <v>1.9784807105254824E-2</v>
      </c>
      <c r="P64" s="2889">
        <f t="shared" si="116"/>
        <v>1.9784807105254824E-2</v>
      </c>
      <c r="Q64" s="2889">
        <f t="shared" si="116"/>
        <v>1.9784807105254824E-2</v>
      </c>
      <c r="R64" s="2891">
        <f t="shared" si="116"/>
        <v>1.9784807105254824E-2</v>
      </c>
      <c r="S64" s="4237">
        <f>SUM(S65:S66)</f>
        <v>6.2977837914369478E-2</v>
      </c>
      <c r="T64" s="2888">
        <f t="shared" si="116"/>
        <v>0.12595567582873896</v>
      </c>
      <c r="U64" s="2889">
        <f t="shared" si="116"/>
        <v>0.12595567582873896</v>
      </c>
      <c r="V64" s="2889">
        <f t="shared" si="116"/>
        <v>0.12595567582873896</v>
      </c>
      <c r="W64" s="2889">
        <f t="shared" si="116"/>
        <v>0.12595567582873896</v>
      </c>
      <c r="X64" s="2889">
        <f t="shared" si="116"/>
        <v>0.12595567582873896</v>
      </c>
      <c r="Y64" s="2891">
        <f t="shared" si="116"/>
        <v>0.12595567582873896</v>
      </c>
      <c r="Z64" s="4237">
        <f>SUM(Z65:Z66)</f>
        <v>0</v>
      </c>
      <c r="AA64" s="2888">
        <f t="shared" si="116"/>
        <v>0</v>
      </c>
      <c r="AB64" s="2889">
        <f t="shared" si="116"/>
        <v>0</v>
      </c>
      <c r="AC64" s="2889">
        <f t="shared" si="116"/>
        <v>0</v>
      </c>
      <c r="AD64" s="2889">
        <f t="shared" si="116"/>
        <v>0</v>
      </c>
      <c r="AE64" s="2889">
        <f t="shared" si="116"/>
        <v>0</v>
      </c>
      <c r="AF64" s="2891">
        <f t="shared" si="116"/>
        <v>0</v>
      </c>
      <c r="AG64" s="4237">
        <f>SUM(AG65:AG66)</f>
        <v>0</v>
      </c>
      <c r="AH64" s="2888">
        <f t="shared" si="116"/>
        <v>0</v>
      </c>
      <c r="AI64" s="2889">
        <f t="shared" si="116"/>
        <v>0</v>
      </c>
      <c r="AJ64" s="2889">
        <f t="shared" si="116"/>
        <v>0</v>
      </c>
      <c r="AK64" s="2889">
        <f t="shared" si="116"/>
        <v>0</v>
      </c>
      <c r="AL64" s="2889">
        <f t="shared" si="116"/>
        <v>0</v>
      </c>
      <c r="AM64" s="2891">
        <f t="shared" si="116"/>
        <v>0</v>
      </c>
      <c r="AN64" s="4133">
        <f t="shared" si="116"/>
        <v>0</v>
      </c>
      <c r="AO64" s="3026"/>
      <c r="AP64" s="3027"/>
      <c r="AQ64" s="3027"/>
      <c r="AR64" s="3027"/>
      <c r="AS64" s="3027"/>
      <c r="AT64" s="3028"/>
      <c r="AU64" s="4488"/>
      <c r="AV64" s="4504">
        <f t="shared" si="40"/>
        <v>2.3130031001162225E-2</v>
      </c>
      <c r="AW64" s="4504">
        <f t="shared" si="41"/>
        <v>4.6260062002324451E-2</v>
      </c>
      <c r="AX64" s="4504">
        <f t="shared" si="42"/>
        <v>4.6260062002324451E-2</v>
      </c>
      <c r="AY64" s="4504">
        <f t="shared" si="43"/>
        <v>4.6260062002324451E-2</v>
      </c>
      <c r="AZ64" s="4504">
        <f t="shared" si="44"/>
        <v>4.6260062002324451E-2</v>
      </c>
      <c r="BA64" s="4504">
        <f t="shared" si="45"/>
        <v>4.6260062002324451E-2</v>
      </c>
      <c r="BB64" s="4504">
        <f t="shared" si="46"/>
        <v>4.6260062002324451E-2</v>
      </c>
      <c r="BC64" s="4504">
        <f t="shared" si="47"/>
        <v>5.0579056219750241E-3</v>
      </c>
      <c r="BD64" s="4504">
        <f t="shared" si="48"/>
        <v>1.0115811243950048E-2</v>
      </c>
      <c r="BE64" s="4504">
        <f t="shared" si="49"/>
        <v>1.0115811243950048E-2</v>
      </c>
      <c r="BF64" s="4504">
        <f t="shared" si="50"/>
        <v>1.0115811243950048E-2</v>
      </c>
      <c r="BG64" s="4504">
        <f t="shared" si="51"/>
        <v>1.0115811243950048E-2</v>
      </c>
      <c r="BH64" s="4504">
        <f t="shared" si="52"/>
        <v>1.0115811243950048E-2</v>
      </c>
      <c r="BI64" s="4504">
        <f t="shared" si="53"/>
        <v>1.0115811243950048E-2</v>
      </c>
      <c r="BJ64" s="4504">
        <f t="shared" si="54"/>
        <v>3.2200057220908504E-2</v>
      </c>
      <c r="BK64" s="4504">
        <f t="shared" si="55"/>
        <v>6.4400114441817008E-2</v>
      </c>
      <c r="BL64" s="4504">
        <f t="shared" si="56"/>
        <v>6.4400114441817008E-2</v>
      </c>
      <c r="BM64" s="4504">
        <f t="shared" si="57"/>
        <v>6.4400114441817008E-2</v>
      </c>
      <c r="BN64" s="4504">
        <f t="shared" si="58"/>
        <v>6.4400114441817008E-2</v>
      </c>
      <c r="BO64" s="4504">
        <f t="shared" si="59"/>
        <v>6.4400114441817008E-2</v>
      </c>
      <c r="BP64" s="4504">
        <f t="shared" si="60"/>
        <v>6.4400114441817008E-2</v>
      </c>
      <c r="BQ64" s="4504">
        <f t="shared" si="61"/>
        <v>0</v>
      </c>
      <c r="BR64" s="4504">
        <f t="shared" si="62"/>
        <v>0</v>
      </c>
      <c r="BS64" s="4504">
        <f t="shared" si="63"/>
        <v>0</v>
      </c>
      <c r="BT64" s="4504">
        <f t="shared" si="64"/>
        <v>0</v>
      </c>
      <c r="BU64" s="4504">
        <f t="shared" si="65"/>
        <v>0</v>
      </c>
      <c r="BV64" s="4504">
        <f t="shared" si="66"/>
        <v>0</v>
      </c>
      <c r="BW64" s="4504">
        <f t="shared" si="67"/>
        <v>0</v>
      </c>
      <c r="BX64" s="4504">
        <f t="shared" si="68"/>
        <v>0</v>
      </c>
      <c r="BY64" s="4504">
        <f t="shared" si="69"/>
        <v>0</v>
      </c>
      <c r="BZ64" s="4504">
        <f t="shared" si="70"/>
        <v>0</v>
      </c>
      <c r="CA64" s="4504">
        <f t="shared" si="71"/>
        <v>0</v>
      </c>
      <c r="CB64" s="4504">
        <f t="shared" si="72"/>
        <v>0</v>
      </c>
      <c r="CC64" s="4504">
        <f t="shared" si="73"/>
        <v>0</v>
      </c>
      <c r="CD64" s="4504">
        <f t="shared" si="74"/>
        <v>0</v>
      </c>
    </row>
    <row r="65" spans="1:82" s="669" customFormat="1">
      <c r="A65" s="2892"/>
      <c r="B65" s="2892">
        <v>20201</v>
      </c>
      <c r="C65" s="2950">
        <v>0.03</v>
      </c>
      <c r="D65" s="2951" t="s">
        <v>425</v>
      </c>
      <c r="E65" s="4453">
        <f t="shared" ref="E65:E66" si="117">+E16*$C65/2</f>
        <v>4.5238408533003115E-2</v>
      </c>
      <c r="F65" s="2943">
        <f>($E16*$C65)-(F16*$C65)</f>
        <v>9.0476817066006229E-2</v>
      </c>
      <c r="G65" s="2941">
        <f t="shared" ref="G65:K66" si="118">F65-(G16*$C65)</f>
        <v>9.0476817066006229E-2</v>
      </c>
      <c r="H65" s="2941">
        <f t="shared" si="118"/>
        <v>9.0476817066006229E-2</v>
      </c>
      <c r="I65" s="2941">
        <f t="shared" si="118"/>
        <v>9.0476817066006229E-2</v>
      </c>
      <c r="J65" s="2941">
        <f t="shared" si="118"/>
        <v>9.0476817066006229E-2</v>
      </c>
      <c r="K65" s="2942">
        <f t="shared" si="118"/>
        <v>9.0476817066006229E-2</v>
      </c>
      <c r="L65" s="4453">
        <f t="shared" ref="L65:L66" si="119">+L16*$C65/2</f>
        <v>9.8924035526274118E-3</v>
      </c>
      <c r="M65" s="2943">
        <f>($L16*$C65)-(M16*$C65)</f>
        <v>1.9784807105254824E-2</v>
      </c>
      <c r="N65" s="2941">
        <f t="shared" ref="N65:R66" si="120">M65-(N16*$C65)</f>
        <v>1.9784807105254824E-2</v>
      </c>
      <c r="O65" s="2941">
        <f t="shared" si="120"/>
        <v>1.9784807105254824E-2</v>
      </c>
      <c r="P65" s="2941">
        <f t="shared" si="120"/>
        <v>1.9784807105254824E-2</v>
      </c>
      <c r="Q65" s="2941">
        <f t="shared" si="120"/>
        <v>1.9784807105254824E-2</v>
      </c>
      <c r="R65" s="2944">
        <f t="shared" si="120"/>
        <v>1.9784807105254824E-2</v>
      </c>
      <c r="S65" s="4453">
        <f t="shared" ref="S65:S66" si="121">+S16*$C65/2</f>
        <v>1.2070537914369473E-2</v>
      </c>
      <c r="T65" s="4235">
        <f>($S16*$C65)-(T16*$C65)</f>
        <v>2.4141075828738947E-2</v>
      </c>
      <c r="U65" s="2941">
        <f t="shared" ref="U65:Y66" si="122">T65-(U16*$C65)</f>
        <v>2.4141075828738947E-2</v>
      </c>
      <c r="V65" s="2941">
        <f t="shared" si="122"/>
        <v>2.4141075828738947E-2</v>
      </c>
      <c r="W65" s="2941">
        <f t="shared" si="122"/>
        <v>2.4141075828738947E-2</v>
      </c>
      <c r="X65" s="2941">
        <f t="shared" si="122"/>
        <v>2.4141075828738947E-2</v>
      </c>
      <c r="Y65" s="2944">
        <f t="shared" si="122"/>
        <v>2.4141075828738947E-2</v>
      </c>
      <c r="Z65" s="4453">
        <f t="shared" ref="Z65:Z66" si="123">+Z16*$C65/2</f>
        <v>0</v>
      </c>
      <c r="AA65" s="4235">
        <f t="shared" ref="AA65:AA66" si="124">($Z16*$C65)-(AA16*$C65)</f>
        <v>0</v>
      </c>
      <c r="AB65" s="2941">
        <f t="shared" ref="AB65:AF66" si="125">AA65-(AB16*$C65)</f>
        <v>0</v>
      </c>
      <c r="AC65" s="2941">
        <f t="shared" si="125"/>
        <v>0</v>
      </c>
      <c r="AD65" s="2941">
        <f t="shared" si="125"/>
        <v>0</v>
      </c>
      <c r="AE65" s="2941">
        <f t="shared" si="125"/>
        <v>0</v>
      </c>
      <c r="AF65" s="2944">
        <f t="shared" si="125"/>
        <v>0</v>
      </c>
      <c r="AG65" s="4453">
        <f t="shared" ref="AG65:AG66" si="126">+AG16*$C65/2</f>
        <v>0</v>
      </c>
      <c r="AH65" s="4235">
        <f t="shared" ref="AH65:AH66" si="127">($AG16*$C65)-(AH16*$C65)</f>
        <v>0</v>
      </c>
      <c r="AI65" s="2941">
        <f t="shared" ref="AI65:AM66" si="128">AH65-(AI16*$C65)</f>
        <v>0</v>
      </c>
      <c r="AJ65" s="2941">
        <f t="shared" si="128"/>
        <v>0</v>
      </c>
      <c r="AK65" s="2941">
        <f t="shared" si="128"/>
        <v>0</v>
      </c>
      <c r="AL65" s="2941">
        <f t="shared" si="128"/>
        <v>0</v>
      </c>
      <c r="AM65" s="2944">
        <f t="shared" si="128"/>
        <v>0</v>
      </c>
      <c r="AN65" s="4132"/>
      <c r="AO65" s="3026"/>
      <c r="AP65" s="3027"/>
      <c r="AQ65" s="3027"/>
      <c r="AR65" s="3027"/>
      <c r="AS65" s="3027"/>
      <c r="AT65" s="3028"/>
      <c r="AU65" s="4488"/>
      <c r="AV65" s="4504">
        <f t="shared" si="40"/>
        <v>2.3130031001162225E-2</v>
      </c>
      <c r="AW65" s="4504">
        <f t="shared" si="41"/>
        <v>4.6260062002324451E-2</v>
      </c>
      <c r="AX65" s="4504">
        <f t="shared" si="42"/>
        <v>4.6260062002324451E-2</v>
      </c>
      <c r="AY65" s="4504">
        <f t="shared" si="43"/>
        <v>4.6260062002324451E-2</v>
      </c>
      <c r="AZ65" s="4504">
        <f t="shared" si="44"/>
        <v>4.6260062002324451E-2</v>
      </c>
      <c r="BA65" s="4504">
        <f t="shared" si="45"/>
        <v>4.6260062002324451E-2</v>
      </c>
      <c r="BB65" s="4504">
        <f t="shared" si="46"/>
        <v>4.6260062002324451E-2</v>
      </c>
      <c r="BC65" s="4504">
        <f t="shared" si="47"/>
        <v>5.0579056219750241E-3</v>
      </c>
      <c r="BD65" s="4504">
        <f t="shared" si="48"/>
        <v>1.0115811243950048E-2</v>
      </c>
      <c r="BE65" s="4504">
        <f t="shared" si="49"/>
        <v>1.0115811243950048E-2</v>
      </c>
      <c r="BF65" s="4504">
        <f t="shared" si="50"/>
        <v>1.0115811243950048E-2</v>
      </c>
      <c r="BG65" s="4504">
        <f t="shared" si="51"/>
        <v>1.0115811243950048E-2</v>
      </c>
      <c r="BH65" s="4504">
        <f t="shared" si="52"/>
        <v>1.0115811243950048E-2</v>
      </c>
      <c r="BI65" s="4504">
        <f t="shared" si="53"/>
        <v>1.0115811243950048E-2</v>
      </c>
      <c r="BJ65" s="4504">
        <f t="shared" si="54"/>
        <v>6.1715680372882477E-3</v>
      </c>
      <c r="BK65" s="4504">
        <f t="shared" si="55"/>
        <v>1.2343136074576495E-2</v>
      </c>
      <c r="BL65" s="4504">
        <f t="shared" si="56"/>
        <v>1.2343136074576495E-2</v>
      </c>
      <c r="BM65" s="4504">
        <f t="shared" si="57"/>
        <v>1.2343136074576495E-2</v>
      </c>
      <c r="BN65" s="4504">
        <f t="shared" si="58"/>
        <v>1.2343136074576495E-2</v>
      </c>
      <c r="BO65" s="4504">
        <f t="shared" si="59"/>
        <v>1.2343136074576495E-2</v>
      </c>
      <c r="BP65" s="4504">
        <f t="shared" si="60"/>
        <v>1.2343136074576495E-2</v>
      </c>
      <c r="BQ65" s="4504">
        <f t="shared" si="61"/>
        <v>0</v>
      </c>
      <c r="BR65" s="4504">
        <f t="shared" si="62"/>
        <v>0</v>
      </c>
      <c r="BS65" s="4504">
        <f t="shared" si="63"/>
        <v>0</v>
      </c>
      <c r="BT65" s="4504">
        <f t="shared" si="64"/>
        <v>0</v>
      </c>
      <c r="BU65" s="4504">
        <f t="shared" si="65"/>
        <v>0</v>
      </c>
      <c r="BV65" s="4504">
        <f t="shared" si="66"/>
        <v>0</v>
      </c>
      <c r="BW65" s="4504">
        <f t="shared" si="67"/>
        <v>0</v>
      </c>
      <c r="BX65" s="4504">
        <f t="shared" si="68"/>
        <v>0</v>
      </c>
      <c r="BY65" s="4504">
        <f t="shared" si="69"/>
        <v>0</v>
      </c>
      <c r="BZ65" s="4504">
        <f t="shared" si="70"/>
        <v>0</v>
      </c>
      <c r="CA65" s="4504">
        <f t="shared" si="71"/>
        <v>0</v>
      </c>
      <c r="CB65" s="4504">
        <f t="shared" si="72"/>
        <v>0</v>
      </c>
      <c r="CC65" s="4504">
        <f t="shared" si="73"/>
        <v>0</v>
      </c>
      <c r="CD65" s="4504">
        <f t="shared" si="74"/>
        <v>0</v>
      </c>
    </row>
    <row r="66" spans="1:82" s="669" customFormat="1">
      <c r="A66" s="2892"/>
      <c r="B66" s="2892">
        <v>20202</v>
      </c>
      <c r="C66" s="2950">
        <v>0.03</v>
      </c>
      <c r="D66" s="2951" t="s">
        <v>426</v>
      </c>
      <c r="E66" s="4453">
        <f t="shared" si="117"/>
        <v>0</v>
      </c>
      <c r="F66" s="2943">
        <f>($E17*$C66)-(F17*$C66)</f>
        <v>0</v>
      </c>
      <c r="G66" s="2941">
        <f t="shared" si="118"/>
        <v>0</v>
      </c>
      <c r="H66" s="2941">
        <f t="shared" si="118"/>
        <v>0</v>
      </c>
      <c r="I66" s="2941">
        <f t="shared" si="118"/>
        <v>0</v>
      </c>
      <c r="J66" s="2941">
        <f t="shared" si="118"/>
        <v>0</v>
      </c>
      <c r="K66" s="2942">
        <f t="shared" si="118"/>
        <v>0</v>
      </c>
      <c r="L66" s="4453">
        <f t="shared" si="119"/>
        <v>0</v>
      </c>
      <c r="M66" s="2943">
        <f>($L17*$C66)-(M17*$C66)</f>
        <v>0</v>
      </c>
      <c r="N66" s="2941">
        <f t="shared" si="120"/>
        <v>0</v>
      </c>
      <c r="O66" s="2941">
        <f t="shared" si="120"/>
        <v>0</v>
      </c>
      <c r="P66" s="2941">
        <f t="shared" si="120"/>
        <v>0</v>
      </c>
      <c r="Q66" s="2941">
        <f t="shared" si="120"/>
        <v>0</v>
      </c>
      <c r="R66" s="2944">
        <f t="shared" si="120"/>
        <v>0</v>
      </c>
      <c r="S66" s="4453">
        <f t="shared" si="121"/>
        <v>5.0907300000000003E-2</v>
      </c>
      <c r="T66" s="4235">
        <f>($S17*$C66)-(T17*$C66)</f>
        <v>0.10181460000000001</v>
      </c>
      <c r="U66" s="2941">
        <f t="shared" si="122"/>
        <v>0.10181460000000001</v>
      </c>
      <c r="V66" s="2941">
        <f t="shared" si="122"/>
        <v>0.10181460000000001</v>
      </c>
      <c r="W66" s="2941">
        <f t="shared" si="122"/>
        <v>0.10181460000000001</v>
      </c>
      <c r="X66" s="2941">
        <f t="shared" si="122"/>
        <v>0.10181460000000001</v>
      </c>
      <c r="Y66" s="2944">
        <f t="shared" si="122"/>
        <v>0.10181460000000001</v>
      </c>
      <c r="Z66" s="4453">
        <f t="shared" si="123"/>
        <v>0</v>
      </c>
      <c r="AA66" s="4235">
        <f t="shared" si="124"/>
        <v>0</v>
      </c>
      <c r="AB66" s="2941">
        <f t="shared" si="125"/>
        <v>0</v>
      </c>
      <c r="AC66" s="2941">
        <f t="shared" si="125"/>
        <v>0</v>
      </c>
      <c r="AD66" s="2941">
        <f t="shared" si="125"/>
        <v>0</v>
      </c>
      <c r="AE66" s="2941">
        <f t="shared" si="125"/>
        <v>0</v>
      </c>
      <c r="AF66" s="2944">
        <f t="shared" si="125"/>
        <v>0</v>
      </c>
      <c r="AG66" s="4453">
        <f t="shared" si="126"/>
        <v>0</v>
      </c>
      <c r="AH66" s="4235">
        <f t="shared" si="127"/>
        <v>0</v>
      </c>
      <c r="AI66" s="2941">
        <f t="shared" si="128"/>
        <v>0</v>
      </c>
      <c r="AJ66" s="2941">
        <f t="shared" si="128"/>
        <v>0</v>
      </c>
      <c r="AK66" s="2941">
        <f t="shared" si="128"/>
        <v>0</v>
      </c>
      <c r="AL66" s="2941">
        <f t="shared" si="128"/>
        <v>0</v>
      </c>
      <c r="AM66" s="2944">
        <f t="shared" si="128"/>
        <v>0</v>
      </c>
      <c r="AN66" s="4132"/>
      <c r="AO66" s="3026"/>
      <c r="AP66" s="3027"/>
      <c r="AQ66" s="3027"/>
      <c r="AR66" s="3027"/>
      <c r="AS66" s="3027"/>
      <c r="AT66" s="3028"/>
      <c r="AU66" s="4488"/>
      <c r="AV66" s="4504">
        <f t="shared" si="40"/>
        <v>0</v>
      </c>
      <c r="AW66" s="4504">
        <f t="shared" si="41"/>
        <v>0</v>
      </c>
      <c r="AX66" s="4504">
        <f t="shared" si="42"/>
        <v>0</v>
      </c>
      <c r="AY66" s="4504">
        <f t="shared" si="43"/>
        <v>0</v>
      </c>
      <c r="AZ66" s="4504">
        <f t="shared" si="44"/>
        <v>0</v>
      </c>
      <c r="BA66" s="4504">
        <f t="shared" si="45"/>
        <v>0</v>
      </c>
      <c r="BB66" s="4504">
        <f t="shared" si="46"/>
        <v>0</v>
      </c>
      <c r="BC66" s="4504">
        <f t="shared" si="47"/>
        <v>0</v>
      </c>
      <c r="BD66" s="4504">
        <f t="shared" si="48"/>
        <v>0</v>
      </c>
      <c r="BE66" s="4504">
        <f t="shared" si="49"/>
        <v>0</v>
      </c>
      <c r="BF66" s="4504">
        <f t="shared" si="50"/>
        <v>0</v>
      </c>
      <c r="BG66" s="4504">
        <f t="shared" si="51"/>
        <v>0</v>
      </c>
      <c r="BH66" s="4504">
        <f t="shared" si="52"/>
        <v>0</v>
      </c>
      <c r="BI66" s="4504">
        <f t="shared" si="53"/>
        <v>0</v>
      </c>
      <c r="BJ66" s="4504">
        <f t="shared" si="54"/>
        <v>2.6028489183620256E-2</v>
      </c>
      <c r="BK66" s="4504">
        <f t="shared" si="55"/>
        <v>5.2056978367240513E-2</v>
      </c>
      <c r="BL66" s="4504">
        <f t="shared" si="56"/>
        <v>5.2056978367240513E-2</v>
      </c>
      <c r="BM66" s="4504">
        <f t="shared" si="57"/>
        <v>5.2056978367240513E-2</v>
      </c>
      <c r="BN66" s="4504">
        <f t="shared" si="58"/>
        <v>5.2056978367240513E-2</v>
      </c>
      <c r="BO66" s="4504">
        <f t="shared" si="59"/>
        <v>5.2056978367240513E-2</v>
      </c>
      <c r="BP66" s="4504">
        <f t="shared" si="60"/>
        <v>5.2056978367240513E-2</v>
      </c>
      <c r="BQ66" s="4504">
        <f t="shared" si="61"/>
        <v>0</v>
      </c>
      <c r="BR66" s="4504">
        <f t="shared" si="62"/>
        <v>0</v>
      </c>
      <c r="BS66" s="4504">
        <f t="shared" si="63"/>
        <v>0</v>
      </c>
      <c r="BT66" s="4504">
        <f t="shared" si="64"/>
        <v>0</v>
      </c>
      <c r="BU66" s="4504">
        <f t="shared" si="65"/>
        <v>0</v>
      </c>
      <c r="BV66" s="4504">
        <f t="shared" si="66"/>
        <v>0</v>
      </c>
      <c r="BW66" s="4504">
        <f t="shared" si="67"/>
        <v>0</v>
      </c>
      <c r="BX66" s="4504">
        <f t="shared" si="68"/>
        <v>0</v>
      </c>
      <c r="BY66" s="4504">
        <f t="shared" si="69"/>
        <v>0</v>
      </c>
      <c r="BZ66" s="4504">
        <f t="shared" si="70"/>
        <v>0</v>
      </c>
      <c r="CA66" s="4504">
        <f t="shared" si="71"/>
        <v>0</v>
      </c>
      <c r="CB66" s="4504">
        <f t="shared" si="72"/>
        <v>0</v>
      </c>
      <c r="CC66" s="4504">
        <f t="shared" si="73"/>
        <v>0</v>
      </c>
      <c r="CD66" s="4504">
        <f t="shared" si="74"/>
        <v>0</v>
      </c>
    </row>
    <row r="67" spans="1:82" s="40" customFormat="1" ht="12.75" customHeight="1">
      <c r="A67" s="2883">
        <v>3</v>
      </c>
      <c r="B67" s="2883">
        <v>203</v>
      </c>
      <c r="C67" s="2946"/>
      <c r="D67" s="2952" t="s">
        <v>405</v>
      </c>
      <c r="E67" s="4232">
        <f t="shared" ref="E67" si="129">SUM(E68:E78)-E71-E74</f>
        <v>44.735142302128409</v>
      </c>
      <c r="F67" s="2948">
        <f t="shared" ref="F67:AN67" si="130">SUM(F68:F78)-F71-F74</f>
        <v>89.470284604256818</v>
      </c>
      <c r="G67" s="2889">
        <f t="shared" si="130"/>
        <v>89.470284604256818</v>
      </c>
      <c r="H67" s="2889">
        <f t="shared" si="130"/>
        <v>89.470284604256818</v>
      </c>
      <c r="I67" s="2889">
        <f t="shared" si="130"/>
        <v>89.470284604256818</v>
      </c>
      <c r="J67" s="2889">
        <f t="shared" si="130"/>
        <v>89.470284604256818</v>
      </c>
      <c r="K67" s="2890">
        <f t="shared" si="130"/>
        <v>89.470284604256818</v>
      </c>
      <c r="L67" s="4232">
        <f t="shared" ref="L67" si="131">SUM(L68:L78)-L71-L74</f>
        <v>0.36737509911494903</v>
      </c>
      <c r="M67" s="2949">
        <f t="shared" si="130"/>
        <v>0.73475019822989807</v>
      </c>
      <c r="N67" s="2889">
        <f t="shared" si="130"/>
        <v>0.73475019822989807</v>
      </c>
      <c r="O67" s="2889">
        <f t="shared" si="130"/>
        <v>0.73475019822989807</v>
      </c>
      <c r="P67" s="2889">
        <f t="shared" si="130"/>
        <v>0.73475019822989807</v>
      </c>
      <c r="Q67" s="2889">
        <f t="shared" si="130"/>
        <v>0.73475019822989807</v>
      </c>
      <c r="R67" s="2891">
        <f t="shared" si="130"/>
        <v>0.73475019822989807</v>
      </c>
      <c r="S67" s="4237">
        <f t="shared" ref="S67" si="132">SUM(S68:S78)-S71-S74</f>
        <v>2.5144850865336785</v>
      </c>
      <c r="T67" s="2888">
        <f t="shared" si="130"/>
        <v>5.0289701730673571</v>
      </c>
      <c r="U67" s="2889">
        <f t="shared" si="130"/>
        <v>5.0289701730673571</v>
      </c>
      <c r="V67" s="2889">
        <f t="shared" si="130"/>
        <v>5.0289701730673571</v>
      </c>
      <c r="W67" s="2889">
        <f t="shared" si="130"/>
        <v>5.0289701730673571</v>
      </c>
      <c r="X67" s="2889">
        <f t="shared" si="130"/>
        <v>5.0289701730673571</v>
      </c>
      <c r="Y67" s="2891">
        <f t="shared" si="130"/>
        <v>5.0289701730673571</v>
      </c>
      <c r="Z67" s="4237">
        <f t="shared" ref="Z67" si="133">SUM(Z68:Z78)-Z71-Z74</f>
        <v>0</v>
      </c>
      <c r="AA67" s="2888">
        <f t="shared" ref="AA67:AM67" si="134">SUM(AA68:AA78)-AA71-AA74</f>
        <v>0</v>
      </c>
      <c r="AB67" s="2889">
        <f t="shared" si="134"/>
        <v>0</v>
      </c>
      <c r="AC67" s="2889">
        <f t="shared" si="134"/>
        <v>0</v>
      </c>
      <c r="AD67" s="2889">
        <f t="shared" si="134"/>
        <v>0</v>
      </c>
      <c r="AE67" s="2889">
        <f t="shared" si="134"/>
        <v>0</v>
      </c>
      <c r="AF67" s="2891">
        <f t="shared" si="134"/>
        <v>0</v>
      </c>
      <c r="AG67" s="4237">
        <f t="shared" ref="AG67" si="135">SUM(AG68:AG78)-AG71-AG74</f>
        <v>10.168678225058761</v>
      </c>
      <c r="AH67" s="2888">
        <f t="shared" si="134"/>
        <v>20.337356450117522</v>
      </c>
      <c r="AI67" s="2889">
        <f t="shared" si="134"/>
        <v>20.337356450117522</v>
      </c>
      <c r="AJ67" s="2889">
        <f t="shared" si="134"/>
        <v>20.337356450117522</v>
      </c>
      <c r="AK67" s="2889">
        <f t="shared" si="134"/>
        <v>20.337356450117522</v>
      </c>
      <c r="AL67" s="2889">
        <f t="shared" si="134"/>
        <v>20.337356450117522</v>
      </c>
      <c r="AM67" s="2891">
        <f t="shared" si="134"/>
        <v>20.337356450117522</v>
      </c>
      <c r="AN67" s="4133">
        <f t="shared" si="130"/>
        <v>0</v>
      </c>
      <c r="AO67" s="3026"/>
      <c r="AP67" s="3027"/>
      <c r="AQ67" s="3027"/>
      <c r="AR67" s="3027"/>
      <c r="AS67" s="3027"/>
      <c r="AT67" s="3028"/>
      <c r="AU67" s="4488"/>
      <c r="AV67" s="4504">
        <f t="shared" si="40"/>
        <v>22.872715063235766</v>
      </c>
      <c r="AW67" s="4504">
        <f t="shared" si="41"/>
        <v>45.745430126471533</v>
      </c>
      <c r="AX67" s="4504">
        <f t="shared" si="42"/>
        <v>45.745430126471533</v>
      </c>
      <c r="AY67" s="4504">
        <f t="shared" si="43"/>
        <v>45.745430126471533</v>
      </c>
      <c r="AZ67" s="4504">
        <f t="shared" si="44"/>
        <v>45.745430126471533</v>
      </c>
      <c r="BA67" s="4504">
        <f t="shared" si="45"/>
        <v>45.745430126471533</v>
      </c>
      <c r="BB67" s="4504">
        <f t="shared" si="46"/>
        <v>45.745430126471533</v>
      </c>
      <c r="BC67" s="4504">
        <f t="shared" si="47"/>
        <v>0.18783590553112953</v>
      </c>
      <c r="BD67" s="4504">
        <f t="shared" si="48"/>
        <v>0.37567181106225905</v>
      </c>
      <c r="BE67" s="4504">
        <f t="shared" si="49"/>
        <v>0.37567181106225905</v>
      </c>
      <c r="BF67" s="4504">
        <f t="shared" si="50"/>
        <v>0.37567181106225905</v>
      </c>
      <c r="BG67" s="4504">
        <f t="shared" si="51"/>
        <v>0.37567181106225905</v>
      </c>
      <c r="BH67" s="4504">
        <f t="shared" si="52"/>
        <v>0.37567181106225905</v>
      </c>
      <c r="BI67" s="4504">
        <f t="shared" si="53"/>
        <v>0.37567181106225905</v>
      </c>
      <c r="BJ67" s="4504">
        <f t="shared" si="54"/>
        <v>1.2856358101336407</v>
      </c>
      <c r="BK67" s="4504">
        <f t="shared" si="55"/>
        <v>2.5712716202672814</v>
      </c>
      <c r="BL67" s="4504">
        <f t="shared" si="56"/>
        <v>2.5712716202672814</v>
      </c>
      <c r="BM67" s="4504">
        <f t="shared" si="57"/>
        <v>2.5712716202672814</v>
      </c>
      <c r="BN67" s="4504">
        <f t="shared" si="58"/>
        <v>2.5712716202672814</v>
      </c>
      <c r="BO67" s="4504">
        <f t="shared" si="59"/>
        <v>2.5712716202672814</v>
      </c>
      <c r="BP67" s="4504">
        <f t="shared" si="60"/>
        <v>2.5712716202672814</v>
      </c>
      <c r="BQ67" s="4504">
        <f t="shared" si="61"/>
        <v>0</v>
      </c>
      <c r="BR67" s="4504">
        <f t="shared" si="62"/>
        <v>0</v>
      </c>
      <c r="BS67" s="4504">
        <f t="shared" si="63"/>
        <v>0</v>
      </c>
      <c r="BT67" s="4504">
        <f t="shared" si="64"/>
        <v>0</v>
      </c>
      <c r="BU67" s="4504">
        <f t="shared" si="65"/>
        <v>0</v>
      </c>
      <c r="BV67" s="4504">
        <f t="shared" si="66"/>
        <v>0</v>
      </c>
      <c r="BW67" s="4504">
        <f t="shared" si="67"/>
        <v>0</v>
      </c>
      <c r="BX67" s="4504">
        <f t="shared" si="68"/>
        <v>5.1991626189693179</v>
      </c>
      <c r="BY67" s="4504">
        <f t="shared" si="69"/>
        <v>10.398325237938636</v>
      </c>
      <c r="BZ67" s="4504">
        <f t="shared" si="70"/>
        <v>10.398325237938636</v>
      </c>
      <c r="CA67" s="4504">
        <f t="shared" si="71"/>
        <v>10.398325237938636</v>
      </c>
      <c r="CB67" s="4504">
        <f t="shared" si="72"/>
        <v>10.398325237938636</v>
      </c>
      <c r="CC67" s="4504">
        <f t="shared" si="73"/>
        <v>10.398325237938636</v>
      </c>
      <c r="CD67" s="4504">
        <f t="shared" si="74"/>
        <v>10.398325237938636</v>
      </c>
    </row>
    <row r="68" spans="1:82" s="669" customFormat="1">
      <c r="A68" s="2892"/>
      <c r="B68" s="2892">
        <v>20301</v>
      </c>
      <c r="C68" s="2950">
        <v>0.1</v>
      </c>
      <c r="D68" s="2953" t="s">
        <v>427</v>
      </c>
      <c r="E68" s="4453">
        <f t="shared" ref="E68:E70" si="136">+E19*$C68/2</f>
        <v>1.3404915000000002</v>
      </c>
      <c r="F68" s="2943">
        <f>($E19*$C68)-(F19*$C68)</f>
        <v>2.6809830000000003</v>
      </c>
      <c r="G68" s="2941">
        <f t="shared" ref="G68:K70" si="137">F68-(G19*$C68)</f>
        <v>2.6809830000000003</v>
      </c>
      <c r="H68" s="2941">
        <f t="shared" si="137"/>
        <v>2.6809830000000003</v>
      </c>
      <c r="I68" s="2941">
        <f t="shared" si="137"/>
        <v>2.6809830000000003</v>
      </c>
      <c r="J68" s="2941">
        <f t="shared" si="137"/>
        <v>2.6809830000000003</v>
      </c>
      <c r="K68" s="2942">
        <f t="shared" si="137"/>
        <v>2.6809830000000003</v>
      </c>
      <c r="L68" s="4453">
        <f t="shared" ref="L68:L70" si="138">+L19*$C68/2</f>
        <v>0</v>
      </c>
      <c r="M68" s="2943">
        <f>($L19*$C68)-(M19*$C68)</f>
        <v>0</v>
      </c>
      <c r="N68" s="2941">
        <f t="shared" ref="N68:R70" si="139">M68-(N19*$C68)</f>
        <v>0</v>
      </c>
      <c r="O68" s="2941">
        <f t="shared" si="139"/>
        <v>0</v>
      </c>
      <c r="P68" s="2941">
        <f t="shared" si="139"/>
        <v>0</v>
      </c>
      <c r="Q68" s="2941">
        <f t="shared" si="139"/>
        <v>0</v>
      </c>
      <c r="R68" s="2944">
        <f t="shared" si="139"/>
        <v>0</v>
      </c>
      <c r="S68" s="4453">
        <f t="shared" ref="S68:S70" si="140">+S19*$C68/2</f>
        <v>0</v>
      </c>
      <c r="T68" s="4235">
        <f>($S19*$C68)-(T19*$C68)</f>
        <v>0</v>
      </c>
      <c r="U68" s="2941">
        <f t="shared" ref="U68:Y70" si="141">T68-(U19*$C68)</f>
        <v>0</v>
      </c>
      <c r="V68" s="2941">
        <f t="shared" si="141"/>
        <v>0</v>
      </c>
      <c r="W68" s="2941">
        <f t="shared" si="141"/>
        <v>0</v>
      </c>
      <c r="X68" s="2941">
        <f t="shared" si="141"/>
        <v>0</v>
      </c>
      <c r="Y68" s="2944">
        <f t="shared" si="141"/>
        <v>0</v>
      </c>
      <c r="Z68" s="4453">
        <f t="shared" ref="Z68:Z70" si="142">+Z19*$C68/2</f>
        <v>0</v>
      </c>
      <c r="AA68" s="4235">
        <f t="shared" ref="AA68:AA70" si="143">($Z19*$C68)-(AA19*$C68)</f>
        <v>0</v>
      </c>
      <c r="AB68" s="2941">
        <f t="shared" ref="AB68:AF70" si="144">AA68-(AB19*$C68)</f>
        <v>0</v>
      </c>
      <c r="AC68" s="2941">
        <f t="shared" si="144"/>
        <v>0</v>
      </c>
      <c r="AD68" s="2941">
        <f t="shared" si="144"/>
        <v>0</v>
      </c>
      <c r="AE68" s="2941">
        <f t="shared" si="144"/>
        <v>0</v>
      </c>
      <c r="AF68" s="2944">
        <f t="shared" si="144"/>
        <v>0</v>
      </c>
      <c r="AG68" s="4453">
        <f t="shared" ref="AG68:AG70" si="145">+AG19*$C68/2</f>
        <v>0</v>
      </c>
      <c r="AH68" s="4235">
        <f t="shared" ref="AH68:AH70" si="146">($AG19*$C68)-(AH19*$C68)</f>
        <v>0</v>
      </c>
      <c r="AI68" s="2941">
        <f t="shared" ref="AI68:AM70" si="147">AH68-(AI19*$C68)</f>
        <v>0</v>
      </c>
      <c r="AJ68" s="2941">
        <f t="shared" si="147"/>
        <v>0</v>
      </c>
      <c r="AK68" s="2941">
        <f t="shared" si="147"/>
        <v>0</v>
      </c>
      <c r="AL68" s="2941">
        <f t="shared" si="147"/>
        <v>0</v>
      </c>
      <c r="AM68" s="2944">
        <f t="shared" si="147"/>
        <v>0</v>
      </c>
      <c r="AN68" s="4132"/>
      <c r="AO68" s="3026"/>
      <c r="AP68" s="3027"/>
      <c r="AQ68" s="3027"/>
      <c r="AR68" s="3027"/>
      <c r="AS68" s="3027"/>
      <c r="AT68" s="3028"/>
      <c r="AU68" s="4488"/>
      <c r="AV68" s="4504">
        <f t="shared" si="40"/>
        <v>0.68538242076254086</v>
      </c>
      <c r="AW68" s="4504">
        <f t="shared" si="41"/>
        <v>1.3707648415250817</v>
      </c>
      <c r="AX68" s="4504">
        <f t="shared" si="42"/>
        <v>1.3707648415250817</v>
      </c>
      <c r="AY68" s="4504">
        <f t="shared" si="43"/>
        <v>1.3707648415250817</v>
      </c>
      <c r="AZ68" s="4504">
        <f t="shared" si="44"/>
        <v>1.3707648415250817</v>
      </c>
      <c r="BA68" s="4504">
        <f t="shared" si="45"/>
        <v>1.3707648415250817</v>
      </c>
      <c r="BB68" s="4504">
        <f t="shared" si="46"/>
        <v>1.3707648415250817</v>
      </c>
      <c r="BC68" s="4504">
        <f t="shared" si="47"/>
        <v>0</v>
      </c>
      <c r="BD68" s="4504">
        <f t="shared" si="48"/>
        <v>0</v>
      </c>
      <c r="BE68" s="4504">
        <f t="shared" si="49"/>
        <v>0</v>
      </c>
      <c r="BF68" s="4504">
        <f t="shared" si="50"/>
        <v>0</v>
      </c>
      <c r="BG68" s="4504">
        <f t="shared" si="51"/>
        <v>0</v>
      </c>
      <c r="BH68" s="4504">
        <f t="shared" si="52"/>
        <v>0</v>
      </c>
      <c r="BI68" s="4504">
        <f t="shared" si="53"/>
        <v>0</v>
      </c>
      <c r="BJ68" s="4504">
        <f t="shared" si="54"/>
        <v>0</v>
      </c>
      <c r="BK68" s="4504">
        <f t="shared" si="55"/>
        <v>0</v>
      </c>
      <c r="BL68" s="4504">
        <f t="shared" si="56"/>
        <v>0</v>
      </c>
      <c r="BM68" s="4504">
        <f t="shared" si="57"/>
        <v>0</v>
      </c>
      <c r="BN68" s="4504">
        <f t="shared" si="58"/>
        <v>0</v>
      </c>
      <c r="BO68" s="4504">
        <f t="shared" si="59"/>
        <v>0</v>
      </c>
      <c r="BP68" s="4504">
        <f t="shared" si="60"/>
        <v>0</v>
      </c>
      <c r="BQ68" s="4504">
        <f t="shared" si="61"/>
        <v>0</v>
      </c>
      <c r="BR68" s="4504">
        <f t="shared" si="62"/>
        <v>0</v>
      </c>
      <c r="BS68" s="4504">
        <f t="shared" si="63"/>
        <v>0</v>
      </c>
      <c r="BT68" s="4504">
        <f t="shared" si="64"/>
        <v>0</v>
      </c>
      <c r="BU68" s="4504">
        <f t="shared" si="65"/>
        <v>0</v>
      </c>
      <c r="BV68" s="4504">
        <f t="shared" si="66"/>
        <v>0</v>
      </c>
      <c r="BW68" s="4504">
        <f t="shared" si="67"/>
        <v>0</v>
      </c>
      <c r="BX68" s="4504">
        <f t="shared" si="68"/>
        <v>0</v>
      </c>
      <c r="BY68" s="4504">
        <f t="shared" si="69"/>
        <v>0</v>
      </c>
      <c r="BZ68" s="4504">
        <f t="shared" si="70"/>
        <v>0</v>
      </c>
      <c r="CA68" s="4504">
        <f t="shared" si="71"/>
        <v>0</v>
      </c>
      <c r="CB68" s="4504">
        <f t="shared" si="72"/>
        <v>0</v>
      </c>
      <c r="CC68" s="4504">
        <f t="shared" si="73"/>
        <v>0</v>
      </c>
      <c r="CD68" s="4504">
        <f t="shared" si="74"/>
        <v>0</v>
      </c>
    </row>
    <row r="69" spans="1:82" s="669" customFormat="1">
      <c r="A69" s="2892"/>
      <c r="B69" s="2892">
        <v>20302</v>
      </c>
      <c r="C69" s="2950">
        <v>0.1</v>
      </c>
      <c r="D69" s="2953" t="s">
        <v>428</v>
      </c>
      <c r="E69" s="4453">
        <f t="shared" si="136"/>
        <v>0.32197308403101232</v>
      </c>
      <c r="F69" s="2943">
        <f>($E20*$C69)-(F20*$C69)</f>
        <v>0.64394616806202465</v>
      </c>
      <c r="G69" s="2941">
        <f t="shared" si="137"/>
        <v>0.64394616806202465</v>
      </c>
      <c r="H69" s="2941">
        <f t="shared" si="137"/>
        <v>0.64394616806202465</v>
      </c>
      <c r="I69" s="2941">
        <f t="shared" si="137"/>
        <v>0.64394616806202465</v>
      </c>
      <c r="J69" s="2941">
        <f t="shared" si="137"/>
        <v>0.64394616806202465</v>
      </c>
      <c r="K69" s="2942">
        <f t="shared" si="137"/>
        <v>0.64394616806202465</v>
      </c>
      <c r="L69" s="4453">
        <f t="shared" si="138"/>
        <v>5.6340005303749434E-2</v>
      </c>
      <c r="M69" s="2943">
        <f>($L20*$C69)-(M20*$C69)</f>
        <v>0.11268001060749887</v>
      </c>
      <c r="N69" s="2941">
        <f t="shared" si="139"/>
        <v>0.11268001060749887</v>
      </c>
      <c r="O69" s="2941">
        <f t="shared" si="139"/>
        <v>0.11268001060749887</v>
      </c>
      <c r="P69" s="2941">
        <f t="shared" si="139"/>
        <v>0.11268001060749887</v>
      </c>
      <c r="Q69" s="2941">
        <f t="shared" si="139"/>
        <v>0.11268001060749887</v>
      </c>
      <c r="R69" s="2944">
        <f t="shared" si="139"/>
        <v>0.11268001060749887</v>
      </c>
      <c r="S69" s="4453">
        <f t="shared" si="140"/>
        <v>6.874508975465958E-2</v>
      </c>
      <c r="T69" s="4235">
        <f>($S20*$C69)-(T20*$C69)</f>
        <v>0.13749017950931916</v>
      </c>
      <c r="U69" s="2941">
        <f t="shared" si="141"/>
        <v>0.13749017950931916</v>
      </c>
      <c r="V69" s="2941">
        <f t="shared" si="141"/>
        <v>0.13749017950931916</v>
      </c>
      <c r="W69" s="2941">
        <f t="shared" si="141"/>
        <v>0.13749017950931916</v>
      </c>
      <c r="X69" s="2941">
        <f t="shared" si="141"/>
        <v>0.13749017950931916</v>
      </c>
      <c r="Y69" s="2944">
        <f t="shared" si="141"/>
        <v>0.13749017950931916</v>
      </c>
      <c r="Z69" s="4453">
        <f t="shared" si="142"/>
        <v>0</v>
      </c>
      <c r="AA69" s="4235">
        <f t="shared" si="143"/>
        <v>0</v>
      </c>
      <c r="AB69" s="2941">
        <f t="shared" si="144"/>
        <v>0</v>
      </c>
      <c r="AC69" s="2941">
        <f t="shared" si="144"/>
        <v>0</v>
      </c>
      <c r="AD69" s="2941">
        <f t="shared" si="144"/>
        <v>0</v>
      </c>
      <c r="AE69" s="2941">
        <f t="shared" si="144"/>
        <v>0</v>
      </c>
      <c r="AF69" s="2944">
        <f t="shared" si="144"/>
        <v>0</v>
      </c>
      <c r="AG69" s="4453">
        <f t="shared" si="145"/>
        <v>0.17128682091057873</v>
      </c>
      <c r="AH69" s="4235">
        <f t="shared" si="146"/>
        <v>0.34257364182115746</v>
      </c>
      <c r="AI69" s="2941">
        <f t="shared" si="147"/>
        <v>0.34257364182115746</v>
      </c>
      <c r="AJ69" s="2941">
        <f t="shared" si="147"/>
        <v>0.34257364182115746</v>
      </c>
      <c r="AK69" s="2941">
        <f t="shared" si="147"/>
        <v>0.34257364182115746</v>
      </c>
      <c r="AL69" s="2941">
        <f t="shared" si="147"/>
        <v>0.34257364182115746</v>
      </c>
      <c r="AM69" s="2944">
        <f t="shared" si="147"/>
        <v>0.34257364182115746</v>
      </c>
      <c r="AN69" s="4132"/>
      <c r="AO69" s="3026"/>
      <c r="AP69" s="3027"/>
      <c r="AQ69" s="3027"/>
      <c r="AR69" s="3027"/>
      <c r="AS69" s="3027"/>
      <c r="AT69" s="3028"/>
      <c r="AU69" s="4488"/>
      <c r="AV69" s="4504">
        <f t="shared" si="40"/>
        <v>0.16462222382876443</v>
      </c>
      <c r="AW69" s="4504">
        <f t="shared" si="41"/>
        <v>0.32924444765752886</v>
      </c>
      <c r="AX69" s="4504">
        <f t="shared" si="42"/>
        <v>0.32924444765752886</v>
      </c>
      <c r="AY69" s="4504">
        <f t="shared" si="43"/>
        <v>0.32924444765752886</v>
      </c>
      <c r="AZ69" s="4504">
        <f t="shared" si="44"/>
        <v>0.32924444765752886</v>
      </c>
      <c r="BA69" s="4504">
        <f t="shared" si="45"/>
        <v>0.32924444765752886</v>
      </c>
      <c r="BB69" s="4504">
        <f t="shared" si="46"/>
        <v>0.32924444765752886</v>
      </c>
      <c r="BC69" s="4504">
        <f t="shared" si="47"/>
        <v>2.8806187298358977E-2</v>
      </c>
      <c r="BD69" s="4504">
        <f t="shared" si="48"/>
        <v>5.7612374596717954E-2</v>
      </c>
      <c r="BE69" s="4504">
        <f t="shared" si="49"/>
        <v>5.7612374596717954E-2</v>
      </c>
      <c r="BF69" s="4504">
        <f t="shared" si="50"/>
        <v>5.7612374596717954E-2</v>
      </c>
      <c r="BG69" s="4504">
        <f t="shared" si="51"/>
        <v>5.7612374596717954E-2</v>
      </c>
      <c r="BH69" s="4504">
        <f t="shared" si="52"/>
        <v>5.7612374596717954E-2</v>
      </c>
      <c r="BI69" s="4504">
        <f t="shared" si="53"/>
        <v>5.7612374596717954E-2</v>
      </c>
      <c r="BJ69" s="4504">
        <f t="shared" si="54"/>
        <v>3.5148806263662784E-2</v>
      </c>
      <c r="BK69" s="4504">
        <f t="shared" si="55"/>
        <v>7.0297612527325568E-2</v>
      </c>
      <c r="BL69" s="4504">
        <f t="shared" si="56"/>
        <v>7.0297612527325568E-2</v>
      </c>
      <c r="BM69" s="4504">
        <f t="shared" si="57"/>
        <v>7.0297612527325568E-2</v>
      </c>
      <c r="BN69" s="4504">
        <f t="shared" si="58"/>
        <v>7.0297612527325568E-2</v>
      </c>
      <c r="BO69" s="4504">
        <f t="shared" si="59"/>
        <v>7.0297612527325568E-2</v>
      </c>
      <c r="BP69" s="4504">
        <f t="shared" si="60"/>
        <v>7.0297612527325568E-2</v>
      </c>
      <c r="BQ69" s="4504">
        <f t="shared" si="61"/>
        <v>0</v>
      </c>
      <c r="BR69" s="4504">
        <f t="shared" si="62"/>
        <v>0</v>
      </c>
      <c r="BS69" s="4504">
        <f t="shared" si="63"/>
        <v>0</v>
      </c>
      <c r="BT69" s="4504">
        <f t="shared" si="64"/>
        <v>0</v>
      </c>
      <c r="BU69" s="4504">
        <f t="shared" si="65"/>
        <v>0</v>
      </c>
      <c r="BV69" s="4504">
        <f t="shared" si="66"/>
        <v>0</v>
      </c>
      <c r="BW69" s="4504">
        <f t="shared" si="67"/>
        <v>0</v>
      </c>
      <c r="BX69" s="4504">
        <f t="shared" si="68"/>
        <v>8.7577560887489581E-2</v>
      </c>
      <c r="BY69" s="4504">
        <f t="shared" si="69"/>
        <v>0.17515512177497916</v>
      </c>
      <c r="BZ69" s="4504">
        <f t="shared" si="70"/>
        <v>0.17515512177497916</v>
      </c>
      <c r="CA69" s="4504">
        <f t="shared" si="71"/>
        <v>0.17515512177497916</v>
      </c>
      <c r="CB69" s="4504">
        <f t="shared" si="72"/>
        <v>0.17515512177497916</v>
      </c>
      <c r="CC69" s="4504">
        <f t="shared" si="73"/>
        <v>0.17515512177497916</v>
      </c>
      <c r="CD69" s="4504">
        <f t="shared" si="74"/>
        <v>0.17515512177497916</v>
      </c>
    </row>
    <row r="70" spans="1:82" s="669" customFormat="1">
      <c r="A70" s="2892"/>
      <c r="B70" s="2892">
        <v>20303</v>
      </c>
      <c r="C70" s="2950">
        <v>0.1</v>
      </c>
      <c r="D70" s="2953" t="s">
        <v>406</v>
      </c>
      <c r="E70" s="4453">
        <f t="shared" si="136"/>
        <v>32.724331172494949</v>
      </c>
      <c r="F70" s="2943">
        <f>($E21*$C70)-(F21*$C70)</f>
        <v>65.448662344989899</v>
      </c>
      <c r="G70" s="2941">
        <f t="shared" si="137"/>
        <v>65.448662344989899</v>
      </c>
      <c r="H70" s="2941">
        <f t="shared" si="137"/>
        <v>65.448662344989899</v>
      </c>
      <c r="I70" s="2941">
        <f t="shared" si="137"/>
        <v>65.448662344989899</v>
      </c>
      <c r="J70" s="2941">
        <f t="shared" si="137"/>
        <v>65.448662344989899</v>
      </c>
      <c r="K70" s="2942">
        <f t="shared" si="137"/>
        <v>65.448662344989899</v>
      </c>
      <c r="L70" s="4453">
        <f t="shared" si="138"/>
        <v>0.28888799999999998</v>
      </c>
      <c r="M70" s="2943">
        <f>($L21*$C70)-(M21*$C70)</f>
        <v>0.57777599999999996</v>
      </c>
      <c r="N70" s="2941">
        <f t="shared" si="139"/>
        <v>0.57777599999999996</v>
      </c>
      <c r="O70" s="2941">
        <f t="shared" si="139"/>
        <v>0.57777599999999996</v>
      </c>
      <c r="P70" s="2941">
        <f t="shared" si="139"/>
        <v>0.57777599999999996</v>
      </c>
      <c r="Q70" s="2941">
        <f t="shared" si="139"/>
        <v>0.57777599999999996</v>
      </c>
      <c r="R70" s="2944">
        <f t="shared" si="139"/>
        <v>0.57777599999999996</v>
      </c>
      <c r="S70" s="4453">
        <f t="shared" si="140"/>
        <v>0.22149750000000001</v>
      </c>
      <c r="T70" s="4235">
        <f>($S21*$C70)-(T21*$C70)</f>
        <v>0.44299500000000003</v>
      </c>
      <c r="U70" s="2941">
        <f t="shared" si="141"/>
        <v>0.44299500000000003</v>
      </c>
      <c r="V70" s="2941">
        <f t="shared" si="141"/>
        <v>0.44299500000000003</v>
      </c>
      <c r="W70" s="2941">
        <f t="shared" si="141"/>
        <v>0.44299500000000003</v>
      </c>
      <c r="X70" s="2941">
        <f t="shared" si="141"/>
        <v>0.44299500000000003</v>
      </c>
      <c r="Y70" s="2944">
        <f t="shared" si="141"/>
        <v>0.44299500000000003</v>
      </c>
      <c r="Z70" s="4453">
        <f t="shared" si="142"/>
        <v>0</v>
      </c>
      <c r="AA70" s="4235">
        <f t="shared" si="143"/>
        <v>0</v>
      </c>
      <c r="AB70" s="2941">
        <f t="shared" si="144"/>
        <v>0</v>
      </c>
      <c r="AC70" s="2941">
        <f t="shared" si="144"/>
        <v>0</v>
      </c>
      <c r="AD70" s="2941">
        <f t="shared" si="144"/>
        <v>0</v>
      </c>
      <c r="AE70" s="2941">
        <f t="shared" si="144"/>
        <v>0</v>
      </c>
      <c r="AF70" s="2944">
        <f t="shared" si="144"/>
        <v>0</v>
      </c>
      <c r="AG70" s="4453">
        <f t="shared" si="145"/>
        <v>8.9795188275050535</v>
      </c>
      <c r="AH70" s="4235">
        <f t="shared" si="146"/>
        <v>17.959037655010107</v>
      </c>
      <c r="AI70" s="2941">
        <f t="shared" si="147"/>
        <v>17.959037655010107</v>
      </c>
      <c r="AJ70" s="2941">
        <f t="shared" si="147"/>
        <v>17.959037655010107</v>
      </c>
      <c r="AK70" s="2941">
        <f t="shared" si="147"/>
        <v>17.959037655010107</v>
      </c>
      <c r="AL70" s="2941">
        <f t="shared" si="147"/>
        <v>17.959037655010107</v>
      </c>
      <c r="AM70" s="2944">
        <f t="shared" si="147"/>
        <v>17.959037655010107</v>
      </c>
      <c r="AN70" s="4132"/>
      <c r="AO70" s="3026"/>
      <c r="AP70" s="3027"/>
      <c r="AQ70" s="3027"/>
      <c r="AR70" s="3027"/>
      <c r="AS70" s="3027"/>
      <c r="AT70" s="3028"/>
      <c r="AU70" s="4488"/>
      <c r="AV70" s="4504">
        <f t="shared" si="40"/>
        <v>16.731684846072998</v>
      </c>
      <c r="AW70" s="4504">
        <f t="shared" si="41"/>
        <v>33.463369692145996</v>
      </c>
      <c r="AX70" s="4504">
        <f t="shared" si="42"/>
        <v>33.463369692145996</v>
      </c>
      <c r="AY70" s="4504">
        <f t="shared" si="43"/>
        <v>33.463369692145996</v>
      </c>
      <c r="AZ70" s="4504">
        <f t="shared" si="44"/>
        <v>33.463369692145996</v>
      </c>
      <c r="BA70" s="4504">
        <f t="shared" si="45"/>
        <v>33.463369692145996</v>
      </c>
      <c r="BB70" s="4504">
        <f t="shared" si="46"/>
        <v>33.463369692145996</v>
      </c>
      <c r="BC70" s="4504">
        <f t="shared" si="47"/>
        <v>0.14770608897501317</v>
      </c>
      <c r="BD70" s="4504">
        <f t="shared" si="48"/>
        <v>0.29541217795002633</v>
      </c>
      <c r="BE70" s="4504">
        <f t="shared" si="49"/>
        <v>0.29541217795002633</v>
      </c>
      <c r="BF70" s="4504">
        <f t="shared" si="50"/>
        <v>0.29541217795002633</v>
      </c>
      <c r="BG70" s="4504">
        <f t="shared" si="51"/>
        <v>0.29541217795002633</v>
      </c>
      <c r="BH70" s="4504">
        <f t="shared" si="52"/>
        <v>0.29541217795002633</v>
      </c>
      <c r="BI70" s="4504">
        <f t="shared" si="53"/>
        <v>0.29541217795002633</v>
      </c>
      <c r="BJ70" s="4504">
        <f t="shared" si="54"/>
        <v>0.11324987345525941</v>
      </c>
      <c r="BK70" s="4504">
        <f t="shared" si="55"/>
        <v>0.22649974691051883</v>
      </c>
      <c r="BL70" s="4504">
        <f t="shared" si="56"/>
        <v>0.22649974691051883</v>
      </c>
      <c r="BM70" s="4504">
        <f t="shared" si="57"/>
        <v>0.22649974691051883</v>
      </c>
      <c r="BN70" s="4504">
        <f t="shared" si="58"/>
        <v>0.22649974691051883</v>
      </c>
      <c r="BO70" s="4504">
        <f t="shared" si="59"/>
        <v>0.22649974691051883</v>
      </c>
      <c r="BP70" s="4504">
        <f t="shared" si="60"/>
        <v>0.22649974691051883</v>
      </c>
      <c r="BQ70" s="4504">
        <f t="shared" si="61"/>
        <v>0</v>
      </c>
      <c r="BR70" s="4504">
        <f t="shared" si="62"/>
        <v>0</v>
      </c>
      <c r="BS70" s="4504">
        <f t="shared" si="63"/>
        <v>0</v>
      </c>
      <c r="BT70" s="4504">
        <f t="shared" si="64"/>
        <v>0</v>
      </c>
      <c r="BU70" s="4504">
        <f t="shared" si="65"/>
        <v>0</v>
      </c>
      <c r="BV70" s="4504">
        <f t="shared" si="66"/>
        <v>0</v>
      </c>
      <c r="BW70" s="4504">
        <f t="shared" si="67"/>
        <v>0</v>
      </c>
      <c r="BX70" s="4504">
        <f t="shared" si="68"/>
        <v>4.5911550735519207</v>
      </c>
      <c r="BY70" s="4504">
        <f t="shared" si="69"/>
        <v>9.1823101471038413</v>
      </c>
      <c r="BZ70" s="4504">
        <f t="shared" si="70"/>
        <v>9.1823101471038413</v>
      </c>
      <c r="CA70" s="4504">
        <f t="shared" si="71"/>
        <v>9.1823101471038413</v>
      </c>
      <c r="CB70" s="4504">
        <f t="shared" si="72"/>
        <v>9.1823101471038413</v>
      </c>
      <c r="CC70" s="4504">
        <f t="shared" si="73"/>
        <v>9.1823101471038413</v>
      </c>
      <c r="CD70" s="4504">
        <f t="shared" si="74"/>
        <v>9.1823101471038413</v>
      </c>
    </row>
    <row r="71" spans="1:82" s="669" customFormat="1">
      <c r="A71" s="2892"/>
      <c r="B71" s="2892">
        <v>20304</v>
      </c>
      <c r="C71" s="2954">
        <v>0.1</v>
      </c>
      <c r="D71" s="2953" t="s">
        <v>407</v>
      </c>
      <c r="E71" s="4233">
        <f t="shared" ref="E71" si="148">SUM(E72:E73)</f>
        <v>2.3335998110334821</v>
      </c>
      <c r="F71" s="2955">
        <f t="shared" ref="F71:AN71" si="149">SUM(F72:F73)</f>
        <v>4.6671996220669643</v>
      </c>
      <c r="G71" s="2899">
        <f t="shared" si="149"/>
        <v>4.6671996220669643</v>
      </c>
      <c r="H71" s="2899">
        <f t="shared" si="149"/>
        <v>4.6671996220669643</v>
      </c>
      <c r="I71" s="2899">
        <f t="shared" si="149"/>
        <v>4.6671996220669643</v>
      </c>
      <c r="J71" s="2899">
        <f t="shared" si="149"/>
        <v>4.6671996220669643</v>
      </c>
      <c r="K71" s="2900">
        <f t="shared" si="149"/>
        <v>4.6671996220669643</v>
      </c>
      <c r="L71" s="4233">
        <f t="shared" ref="L71" si="150">SUM(L72:L73)</f>
        <v>0</v>
      </c>
      <c r="M71" s="2956">
        <f t="shared" si="149"/>
        <v>0</v>
      </c>
      <c r="N71" s="2899">
        <f t="shared" si="149"/>
        <v>0</v>
      </c>
      <c r="O71" s="2899">
        <f t="shared" si="149"/>
        <v>0</v>
      </c>
      <c r="P71" s="2899">
        <f t="shared" si="149"/>
        <v>0</v>
      </c>
      <c r="Q71" s="2899">
        <f t="shared" si="149"/>
        <v>0</v>
      </c>
      <c r="R71" s="2901">
        <f t="shared" si="149"/>
        <v>0</v>
      </c>
      <c r="S71" s="4238">
        <f t="shared" ref="S71" si="151">SUM(S72:S73)</f>
        <v>0.57516950000000011</v>
      </c>
      <c r="T71" s="2898">
        <f t="shared" si="149"/>
        <v>1.1503390000000002</v>
      </c>
      <c r="U71" s="2899">
        <f t="shared" si="149"/>
        <v>1.1503390000000002</v>
      </c>
      <c r="V71" s="2899">
        <f t="shared" si="149"/>
        <v>1.1503390000000002</v>
      </c>
      <c r="W71" s="2899">
        <f t="shared" si="149"/>
        <v>1.1503390000000002</v>
      </c>
      <c r="X71" s="2899">
        <f t="shared" si="149"/>
        <v>1.1503390000000002</v>
      </c>
      <c r="Y71" s="2901">
        <f t="shared" si="149"/>
        <v>1.1503390000000002</v>
      </c>
      <c r="Z71" s="4238">
        <f t="shared" ref="Z71" si="152">SUM(Z72:Z73)</f>
        <v>0</v>
      </c>
      <c r="AA71" s="2898">
        <f t="shared" si="149"/>
        <v>0</v>
      </c>
      <c r="AB71" s="2899">
        <f t="shared" si="149"/>
        <v>0</v>
      </c>
      <c r="AC71" s="2899">
        <f t="shared" si="149"/>
        <v>0</v>
      </c>
      <c r="AD71" s="2899">
        <f t="shared" si="149"/>
        <v>0</v>
      </c>
      <c r="AE71" s="2899">
        <f t="shared" si="149"/>
        <v>0</v>
      </c>
      <c r="AF71" s="2901">
        <f t="shared" si="149"/>
        <v>0</v>
      </c>
      <c r="AG71" s="4238">
        <f t="shared" ref="AG71" si="153">SUM(AG72:AG73)</f>
        <v>0.41580968896651838</v>
      </c>
      <c r="AH71" s="2898">
        <f t="shared" si="149"/>
        <v>0.83161937793303675</v>
      </c>
      <c r="AI71" s="2899">
        <f t="shared" si="149"/>
        <v>0.83161937793303675</v>
      </c>
      <c r="AJ71" s="2899">
        <f t="shared" si="149"/>
        <v>0.83161937793303675</v>
      </c>
      <c r="AK71" s="2899">
        <f t="shared" si="149"/>
        <v>0.83161937793303675</v>
      </c>
      <c r="AL71" s="2899">
        <f t="shared" si="149"/>
        <v>0.83161937793303675</v>
      </c>
      <c r="AM71" s="2901">
        <f t="shared" si="149"/>
        <v>0.83161937793303675</v>
      </c>
      <c r="AN71" s="4134">
        <f t="shared" si="149"/>
        <v>0</v>
      </c>
      <c r="AO71" s="3026"/>
      <c r="AP71" s="3027"/>
      <c r="AQ71" s="3027"/>
      <c r="AR71" s="3027"/>
      <c r="AS71" s="3027"/>
      <c r="AT71" s="3028"/>
      <c r="AU71" s="4488"/>
      <c r="AV71" s="4504">
        <f t="shared" si="40"/>
        <v>1.193150637342449</v>
      </c>
      <c r="AW71" s="4504">
        <f t="shared" si="41"/>
        <v>2.3863012746848979</v>
      </c>
      <c r="AX71" s="4504">
        <f t="shared" si="42"/>
        <v>2.3863012746848979</v>
      </c>
      <c r="AY71" s="4504">
        <f t="shared" si="43"/>
        <v>2.3863012746848979</v>
      </c>
      <c r="AZ71" s="4504">
        <f t="shared" si="44"/>
        <v>2.3863012746848979</v>
      </c>
      <c r="BA71" s="4504">
        <f t="shared" si="45"/>
        <v>2.3863012746848979</v>
      </c>
      <c r="BB71" s="4504">
        <f t="shared" si="46"/>
        <v>2.3863012746848979</v>
      </c>
      <c r="BC71" s="4504">
        <f t="shared" si="47"/>
        <v>0</v>
      </c>
      <c r="BD71" s="4504">
        <f t="shared" si="48"/>
        <v>0</v>
      </c>
      <c r="BE71" s="4504">
        <f t="shared" si="49"/>
        <v>0</v>
      </c>
      <c r="BF71" s="4504">
        <f t="shared" si="50"/>
        <v>0</v>
      </c>
      <c r="BG71" s="4504">
        <f t="shared" si="51"/>
        <v>0</v>
      </c>
      <c r="BH71" s="4504">
        <f t="shared" si="52"/>
        <v>0</v>
      </c>
      <c r="BI71" s="4504">
        <f t="shared" si="53"/>
        <v>0</v>
      </c>
      <c r="BJ71" s="4504">
        <f t="shared" si="54"/>
        <v>0.29407949566168845</v>
      </c>
      <c r="BK71" s="4504">
        <f t="shared" si="55"/>
        <v>0.5881589913233769</v>
      </c>
      <c r="BL71" s="4504">
        <f t="shared" si="56"/>
        <v>0.5881589913233769</v>
      </c>
      <c r="BM71" s="4504">
        <f t="shared" si="57"/>
        <v>0.5881589913233769</v>
      </c>
      <c r="BN71" s="4504">
        <f t="shared" si="58"/>
        <v>0.5881589913233769</v>
      </c>
      <c r="BO71" s="4504">
        <f t="shared" si="59"/>
        <v>0.5881589913233769</v>
      </c>
      <c r="BP71" s="4504">
        <f t="shared" si="60"/>
        <v>0.5881589913233769</v>
      </c>
      <c r="BQ71" s="4504">
        <f t="shared" si="61"/>
        <v>0</v>
      </c>
      <c r="BR71" s="4504">
        <f t="shared" si="62"/>
        <v>0</v>
      </c>
      <c r="BS71" s="4504">
        <f t="shared" si="63"/>
        <v>0</v>
      </c>
      <c r="BT71" s="4504">
        <f t="shared" si="64"/>
        <v>0</v>
      </c>
      <c r="BU71" s="4504">
        <f t="shared" si="65"/>
        <v>0</v>
      </c>
      <c r="BV71" s="4504">
        <f t="shared" si="66"/>
        <v>0</v>
      </c>
      <c r="BW71" s="4504">
        <f t="shared" si="67"/>
        <v>0</v>
      </c>
      <c r="BX71" s="4504">
        <f t="shared" si="68"/>
        <v>0.21260011809130569</v>
      </c>
      <c r="BY71" s="4504">
        <f t="shared" si="69"/>
        <v>0.42520023618261138</v>
      </c>
      <c r="BZ71" s="4504">
        <f t="shared" si="70"/>
        <v>0.42520023618261138</v>
      </c>
      <c r="CA71" s="4504">
        <f t="shared" si="71"/>
        <v>0.42520023618261138</v>
      </c>
      <c r="CB71" s="4504">
        <f t="shared" si="72"/>
        <v>0.42520023618261138</v>
      </c>
      <c r="CC71" s="4504">
        <f t="shared" si="73"/>
        <v>0.42520023618261138</v>
      </c>
      <c r="CD71" s="4504">
        <f t="shared" si="74"/>
        <v>0.42520023618261138</v>
      </c>
    </row>
    <row r="72" spans="1:82" s="669" customFormat="1">
      <c r="A72" s="2892"/>
      <c r="B72" s="2957">
        <v>2030401</v>
      </c>
      <c r="C72" s="2958">
        <v>0.1</v>
      </c>
      <c r="D72" s="2959" t="s">
        <v>991</v>
      </c>
      <c r="E72" s="4453">
        <f t="shared" ref="E72:E73" si="154">+E23*$C72/2</f>
        <v>2.3335998110334821</v>
      </c>
      <c r="F72" s="2943">
        <f>($E23*$C72)-(F23*$C72)</f>
        <v>4.6671996220669643</v>
      </c>
      <c r="G72" s="2941">
        <f t="shared" ref="G72:K73" si="155">F72-(G23*$C72)</f>
        <v>4.6671996220669643</v>
      </c>
      <c r="H72" s="2941">
        <f t="shared" si="155"/>
        <v>4.6671996220669643</v>
      </c>
      <c r="I72" s="2941">
        <f t="shared" si="155"/>
        <v>4.6671996220669643</v>
      </c>
      <c r="J72" s="2941">
        <f t="shared" si="155"/>
        <v>4.6671996220669643</v>
      </c>
      <c r="K72" s="2942">
        <f t="shared" si="155"/>
        <v>4.6671996220669643</v>
      </c>
      <c r="L72" s="4453">
        <f t="shared" ref="L72:L73" si="156">+L23*$C72/2</f>
        <v>0</v>
      </c>
      <c r="M72" s="2943">
        <f>($L23*$C72)-(M23*$C72)</f>
        <v>0</v>
      </c>
      <c r="N72" s="2941">
        <f t="shared" ref="N72:R73" si="157">M72-(N23*$C72)</f>
        <v>0</v>
      </c>
      <c r="O72" s="2941">
        <f t="shared" si="157"/>
        <v>0</v>
      </c>
      <c r="P72" s="2941">
        <f t="shared" si="157"/>
        <v>0</v>
      </c>
      <c r="Q72" s="2941">
        <f t="shared" si="157"/>
        <v>0</v>
      </c>
      <c r="R72" s="2944">
        <f t="shared" si="157"/>
        <v>0</v>
      </c>
      <c r="S72" s="4453">
        <f t="shared" ref="S72:S73" si="158">+S23*$C72/2</f>
        <v>0.57516950000000011</v>
      </c>
      <c r="T72" s="4235">
        <f>($S23*$C72)-(T23*$C72)</f>
        <v>1.1503390000000002</v>
      </c>
      <c r="U72" s="2941">
        <f t="shared" ref="U72:Y73" si="159">T72-(U23*$C72)</f>
        <v>1.1503390000000002</v>
      </c>
      <c r="V72" s="2941">
        <f t="shared" si="159"/>
        <v>1.1503390000000002</v>
      </c>
      <c r="W72" s="2941">
        <f t="shared" si="159"/>
        <v>1.1503390000000002</v>
      </c>
      <c r="X72" s="2941">
        <f t="shared" si="159"/>
        <v>1.1503390000000002</v>
      </c>
      <c r="Y72" s="2944">
        <f t="shared" si="159"/>
        <v>1.1503390000000002</v>
      </c>
      <c r="Z72" s="4453">
        <f t="shared" ref="Z72:Z73" si="160">+Z23*$C72/2</f>
        <v>0</v>
      </c>
      <c r="AA72" s="4235">
        <f t="shared" ref="AA72:AA73" si="161">($Z23*$C72)-(AA23*$C72)</f>
        <v>0</v>
      </c>
      <c r="AB72" s="2941">
        <f t="shared" ref="AB72:AF73" si="162">AA72-(AB23*$C72)</f>
        <v>0</v>
      </c>
      <c r="AC72" s="2941">
        <f t="shared" si="162"/>
        <v>0</v>
      </c>
      <c r="AD72" s="2941">
        <f t="shared" si="162"/>
        <v>0</v>
      </c>
      <c r="AE72" s="2941">
        <f t="shared" si="162"/>
        <v>0</v>
      </c>
      <c r="AF72" s="2944">
        <f t="shared" si="162"/>
        <v>0</v>
      </c>
      <c r="AG72" s="4453">
        <f t="shared" ref="AG72:AG73" si="163">+AG23*$C72/2</f>
        <v>0.41580968896651838</v>
      </c>
      <c r="AH72" s="4235">
        <f t="shared" ref="AH72:AH73" si="164">($AG23*$C72)-(AH23*$C72)</f>
        <v>0.83161937793303675</v>
      </c>
      <c r="AI72" s="2941">
        <f t="shared" ref="AI72:AM73" si="165">AH72-(AI23*$C72)</f>
        <v>0.83161937793303675</v>
      </c>
      <c r="AJ72" s="2941">
        <f t="shared" si="165"/>
        <v>0.83161937793303675</v>
      </c>
      <c r="AK72" s="2941">
        <f t="shared" si="165"/>
        <v>0.83161937793303675</v>
      </c>
      <c r="AL72" s="2941">
        <f t="shared" si="165"/>
        <v>0.83161937793303675</v>
      </c>
      <c r="AM72" s="2944">
        <f t="shared" si="165"/>
        <v>0.83161937793303675</v>
      </c>
      <c r="AN72" s="4132"/>
      <c r="AO72" s="3026"/>
      <c r="AP72" s="3027"/>
      <c r="AQ72" s="3027"/>
      <c r="AR72" s="3027"/>
      <c r="AS72" s="3027"/>
      <c r="AT72" s="3028"/>
      <c r="AU72" s="4488"/>
      <c r="AV72" s="4504">
        <f t="shared" si="40"/>
        <v>1.193150637342449</v>
      </c>
      <c r="AW72" s="4504">
        <f t="shared" si="41"/>
        <v>2.3863012746848979</v>
      </c>
      <c r="AX72" s="4504">
        <f t="shared" si="42"/>
        <v>2.3863012746848979</v>
      </c>
      <c r="AY72" s="4504">
        <f t="shared" si="43"/>
        <v>2.3863012746848979</v>
      </c>
      <c r="AZ72" s="4504">
        <f t="shared" si="44"/>
        <v>2.3863012746848979</v>
      </c>
      <c r="BA72" s="4504">
        <f t="shared" si="45"/>
        <v>2.3863012746848979</v>
      </c>
      <c r="BB72" s="4504">
        <f t="shared" si="46"/>
        <v>2.3863012746848979</v>
      </c>
      <c r="BC72" s="4504">
        <f t="shared" si="47"/>
        <v>0</v>
      </c>
      <c r="BD72" s="4504">
        <f t="shared" si="48"/>
        <v>0</v>
      </c>
      <c r="BE72" s="4504">
        <f t="shared" si="49"/>
        <v>0</v>
      </c>
      <c r="BF72" s="4504">
        <f t="shared" si="50"/>
        <v>0</v>
      </c>
      <c r="BG72" s="4504">
        <f t="shared" si="51"/>
        <v>0</v>
      </c>
      <c r="BH72" s="4504">
        <f t="shared" si="52"/>
        <v>0</v>
      </c>
      <c r="BI72" s="4504">
        <f t="shared" si="53"/>
        <v>0</v>
      </c>
      <c r="BJ72" s="4504">
        <f t="shared" si="54"/>
        <v>0.29407949566168845</v>
      </c>
      <c r="BK72" s="4504">
        <f t="shared" si="55"/>
        <v>0.5881589913233769</v>
      </c>
      <c r="BL72" s="4504">
        <f t="shared" si="56"/>
        <v>0.5881589913233769</v>
      </c>
      <c r="BM72" s="4504">
        <f t="shared" si="57"/>
        <v>0.5881589913233769</v>
      </c>
      <c r="BN72" s="4504">
        <f t="shared" si="58"/>
        <v>0.5881589913233769</v>
      </c>
      <c r="BO72" s="4504">
        <f t="shared" si="59"/>
        <v>0.5881589913233769</v>
      </c>
      <c r="BP72" s="4504">
        <f t="shared" si="60"/>
        <v>0.5881589913233769</v>
      </c>
      <c r="BQ72" s="4504">
        <f t="shared" si="61"/>
        <v>0</v>
      </c>
      <c r="BR72" s="4504">
        <f t="shared" si="62"/>
        <v>0</v>
      </c>
      <c r="BS72" s="4504">
        <f t="shared" si="63"/>
        <v>0</v>
      </c>
      <c r="BT72" s="4504">
        <f t="shared" si="64"/>
        <v>0</v>
      </c>
      <c r="BU72" s="4504">
        <f t="shared" si="65"/>
        <v>0</v>
      </c>
      <c r="BV72" s="4504">
        <f t="shared" si="66"/>
        <v>0</v>
      </c>
      <c r="BW72" s="4504">
        <f t="shared" si="67"/>
        <v>0</v>
      </c>
      <c r="BX72" s="4504">
        <f t="shared" si="68"/>
        <v>0.21260011809130569</v>
      </c>
      <c r="BY72" s="4504">
        <f t="shared" si="69"/>
        <v>0.42520023618261138</v>
      </c>
      <c r="BZ72" s="4504">
        <f t="shared" si="70"/>
        <v>0.42520023618261138</v>
      </c>
      <c r="CA72" s="4504">
        <f t="shared" si="71"/>
        <v>0.42520023618261138</v>
      </c>
      <c r="CB72" s="4504">
        <f t="shared" si="72"/>
        <v>0.42520023618261138</v>
      </c>
      <c r="CC72" s="4504">
        <f t="shared" si="73"/>
        <v>0.42520023618261138</v>
      </c>
      <c r="CD72" s="4504">
        <f t="shared" si="74"/>
        <v>0.42520023618261138</v>
      </c>
    </row>
    <row r="73" spans="1:82" s="669" customFormat="1">
      <c r="A73" s="2892"/>
      <c r="B73" s="2957">
        <v>2030402</v>
      </c>
      <c r="C73" s="2958">
        <v>0.1</v>
      </c>
      <c r="D73" s="2959" t="s">
        <v>429</v>
      </c>
      <c r="E73" s="4453">
        <f t="shared" si="154"/>
        <v>0</v>
      </c>
      <c r="F73" s="2943">
        <f>($E24*$C73)-(F24*$C73)</f>
        <v>0</v>
      </c>
      <c r="G73" s="2941">
        <f t="shared" si="155"/>
        <v>0</v>
      </c>
      <c r="H73" s="2941">
        <f t="shared" si="155"/>
        <v>0</v>
      </c>
      <c r="I73" s="2941">
        <f t="shared" si="155"/>
        <v>0</v>
      </c>
      <c r="J73" s="2941">
        <f t="shared" si="155"/>
        <v>0</v>
      </c>
      <c r="K73" s="2942">
        <f t="shared" si="155"/>
        <v>0</v>
      </c>
      <c r="L73" s="4453">
        <f t="shared" si="156"/>
        <v>0</v>
      </c>
      <c r="M73" s="2943">
        <f>($L24*$C73)-(M24*$C73)</f>
        <v>0</v>
      </c>
      <c r="N73" s="2941">
        <f t="shared" si="157"/>
        <v>0</v>
      </c>
      <c r="O73" s="2941">
        <f t="shared" si="157"/>
        <v>0</v>
      </c>
      <c r="P73" s="2941">
        <f t="shared" si="157"/>
        <v>0</v>
      </c>
      <c r="Q73" s="2941">
        <f t="shared" si="157"/>
        <v>0</v>
      </c>
      <c r="R73" s="2944">
        <f t="shared" si="157"/>
        <v>0</v>
      </c>
      <c r="S73" s="4453">
        <f t="shared" si="158"/>
        <v>0</v>
      </c>
      <c r="T73" s="4235">
        <f>($S24*$C73)-(T24*$C73)</f>
        <v>0</v>
      </c>
      <c r="U73" s="2941">
        <f t="shared" si="159"/>
        <v>0</v>
      </c>
      <c r="V73" s="2941">
        <f t="shared" si="159"/>
        <v>0</v>
      </c>
      <c r="W73" s="2941">
        <f t="shared" si="159"/>
        <v>0</v>
      </c>
      <c r="X73" s="2941">
        <f t="shared" si="159"/>
        <v>0</v>
      </c>
      <c r="Y73" s="2944">
        <f t="shared" si="159"/>
        <v>0</v>
      </c>
      <c r="Z73" s="4453">
        <f t="shared" si="160"/>
        <v>0</v>
      </c>
      <c r="AA73" s="4235">
        <f t="shared" si="161"/>
        <v>0</v>
      </c>
      <c r="AB73" s="2941">
        <f t="shared" si="162"/>
        <v>0</v>
      </c>
      <c r="AC73" s="2941">
        <f t="shared" si="162"/>
        <v>0</v>
      </c>
      <c r="AD73" s="2941">
        <f t="shared" si="162"/>
        <v>0</v>
      </c>
      <c r="AE73" s="2941">
        <f t="shared" si="162"/>
        <v>0</v>
      </c>
      <c r="AF73" s="2944">
        <f t="shared" si="162"/>
        <v>0</v>
      </c>
      <c r="AG73" s="4453">
        <f t="shared" si="163"/>
        <v>0</v>
      </c>
      <c r="AH73" s="4235">
        <f t="shared" si="164"/>
        <v>0</v>
      </c>
      <c r="AI73" s="2941">
        <f t="shared" si="165"/>
        <v>0</v>
      </c>
      <c r="AJ73" s="2941">
        <f t="shared" si="165"/>
        <v>0</v>
      </c>
      <c r="AK73" s="2941">
        <f t="shared" si="165"/>
        <v>0</v>
      </c>
      <c r="AL73" s="2941">
        <f t="shared" si="165"/>
        <v>0</v>
      </c>
      <c r="AM73" s="2944">
        <f t="shared" si="165"/>
        <v>0</v>
      </c>
      <c r="AN73" s="4132"/>
      <c r="AO73" s="3026"/>
      <c r="AP73" s="3027"/>
      <c r="AQ73" s="3027"/>
      <c r="AR73" s="3027"/>
      <c r="AS73" s="3027"/>
      <c r="AT73" s="3028"/>
      <c r="AU73" s="4488"/>
      <c r="AV73" s="4504">
        <f t="shared" si="40"/>
        <v>0</v>
      </c>
      <c r="AW73" s="4504">
        <f t="shared" si="41"/>
        <v>0</v>
      </c>
      <c r="AX73" s="4504">
        <f t="shared" si="42"/>
        <v>0</v>
      </c>
      <c r="AY73" s="4504">
        <f t="shared" si="43"/>
        <v>0</v>
      </c>
      <c r="AZ73" s="4504">
        <f t="shared" si="44"/>
        <v>0</v>
      </c>
      <c r="BA73" s="4504">
        <f t="shared" si="45"/>
        <v>0</v>
      </c>
      <c r="BB73" s="4504">
        <f t="shared" si="46"/>
        <v>0</v>
      </c>
      <c r="BC73" s="4504">
        <f t="shared" si="47"/>
        <v>0</v>
      </c>
      <c r="BD73" s="4504">
        <f t="shared" si="48"/>
        <v>0</v>
      </c>
      <c r="BE73" s="4504">
        <f t="shared" si="49"/>
        <v>0</v>
      </c>
      <c r="BF73" s="4504">
        <f t="shared" si="50"/>
        <v>0</v>
      </c>
      <c r="BG73" s="4504">
        <f t="shared" si="51"/>
        <v>0</v>
      </c>
      <c r="BH73" s="4504">
        <f t="shared" si="52"/>
        <v>0</v>
      </c>
      <c r="BI73" s="4504">
        <f t="shared" si="53"/>
        <v>0</v>
      </c>
      <c r="BJ73" s="4504">
        <f t="shared" si="54"/>
        <v>0</v>
      </c>
      <c r="BK73" s="4504">
        <f t="shared" si="55"/>
        <v>0</v>
      </c>
      <c r="BL73" s="4504">
        <f t="shared" si="56"/>
        <v>0</v>
      </c>
      <c r="BM73" s="4504">
        <f t="shared" si="57"/>
        <v>0</v>
      </c>
      <c r="BN73" s="4504">
        <f t="shared" si="58"/>
        <v>0</v>
      </c>
      <c r="BO73" s="4504">
        <f t="shared" si="59"/>
        <v>0</v>
      </c>
      <c r="BP73" s="4504">
        <f t="shared" si="60"/>
        <v>0</v>
      </c>
      <c r="BQ73" s="4504">
        <f t="shared" si="61"/>
        <v>0</v>
      </c>
      <c r="BR73" s="4504">
        <f t="shared" si="62"/>
        <v>0</v>
      </c>
      <c r="BS73" s="4504">
        <f t="shared" si="63"/>
        <v>0</v>
      </c>
      <c r="BT73" s="4504">
        <f t="shared" si="64"/>
        <v>0</v>
      </c>
      <c r="BU73" s="4504">
        <f t="shared" si="65"/>
        <v>0</v>
      </c>
      <c r="BV73" s="4504">
        <f t="shared" si="66"/>
        <v>0</v>
      </c>
      <c r="BW73" s="4504">
        <f t="shared" si="67"/>
        <v>0</v>
      </c>
      <c r="BX73" s="4504">
        <f t="shared" si="68"/>
        <v>0</v>
      </c>
      <c r="BY73" s="4504">
        <f t="shared" si="69"/>
        <v>0</v>
      </c>
      <c r="BZ73" s="4504">
        <f t="shared" si="70"/>
        <v>0</v>
      </c>
      <c r="CA73" s="4504">
        <f t="shared" si="71"/>
        <v>0</v>
      </c>
      <c r="CB73" s="4504">
        <f t="shared" si="72"/>
        <v>0</v>
      </c>
      <c r="CC73" s="4504">
        <f t="shared" si="73"/>
        <v>0</v>
      </c>
      <c r="CD73" s="4504">
        <f t="shared" si="74"/>
        <v>0</v>
      </c>
    </row>
    <row r="74" spans="1:82" s="669" customFormat="1">
      <c r="A74" s="2892"/>
      <c r="B74" s="2892">
        <v>20305</v>
      </c>
      <c r="C74" s="2954"/>
      <c r="D74" s="2953" t="s">
        <v>430</v>
      </c>
      <c r="E74" s="4233">
        <f>SUM(E75:E77)</f>
        <v>7.984160144527948</v>
      </c>
      <c r="F74" s="2955">
        <f t="shared" ref="F74:AN74" si="166">SUM(F75:F77)</f>
        <v>15.968320289055896</v>
      </c>
      <c r="G74" s="2899">
        <f t="shared" si="166"/>
        <v>15.968320289055896</v>
      </c>
      <c r="H74" s="2899">
        <f t="shared" si="166"/>
        <v>15.968320289055896</v>
      </c>
      <c r="I74" s="2899">
        <f t="shared" si="166"/>
        <v>15.968320289055896</v>
      </c>
      <c r="J74" s="2899">
        <f t="shared" si="166"/>
        <v>15.968320289055896</v>
      </c>
      <c r="K74" s="2900">
        <f t="shared" si="166"/>
        <v>15.968320289055896</v>
      </c>
      <c r="L74" s="4233">
        <f>SUM(L75:L77)</f>
        <v>0</v>
      </c>
      <c r="M74" s="2956">
        <f t="shared" si="166"/>
        <v>0</v>
      </c>
      <c r="N74" s="2899">
        <f t="shared" si="166"/>
        <v>0</v>
      </c>
      <c r="O74" s="2899">
        <f t="shared" si="166"/>
        <v>0</v>
      </c>
      <c r="P74" s="2899">
        <f t="shared" si="166"/>
        <v>0</v>
      </c>
      <c r="Q74" s="2899">
        <f t="shared" si="166"/>
        <v>0</v>
      </c>
      <c r="R74" s="2901">
        <f t="shared" si="166"/>
        <v>0</v>
      </c>
      <c r="S74" s="4238">
        <f>SUM(S75:S77)</f>
        <v>1.6220495000000001</v>
      </c>
      <c r="T74" s="2898">
        <f t="shared" si="166"/>
        <v>3.2440990000000003</v>
      </c>
      <c r="U74" s="2899">
        <f t="shared" si="166"/>
        <v>3.2440990000000003</v>
      </c>
      <c r="V74" s="2899">
        <f t="shared" si="166"/>
        <v>3.2440990000000003</v>
      </c>
      <c r="W74" s="2899">
        <f t="shared" si="166"/>
        <v>3.2440990000000003</v>
      </c>
      <c r="X74" s="2899">
        <f t="shared" si="166"/>
        <v>3.2440990000000003</v>
      </c>
      <c r="Y74" s="2901">
        <f t="shared" si="166"/>
        <v>3.2440990000000003</v>
      </c>
      <c r="Z74" s="4238">
        <f>SUM(Z75:Z77)</f>
        <v>0</v>
      </c>
      <c r="AA74" s="2898">
        <f t="shared" si="166"/>
        <v>0</v>
      </c>
      <c r="AB74" s="2899">
        <f t="shared" si="166"/>
        <v>0</v>
      </c>
      <c r="AC74" s="2899">
        <f t="shared" si="166"/>
        <v>0</v>
      </c>
      <c r="AD74" s="2899">
        <f t="shared" si="166"/>
        <v>0</v>
      </c>
      <c r="AE74" s="2899">
        <f t="shared" si="166"/>
        <v>0</v>
      </c>
      <c r="AF74" s="2901">
        <f t="shared" si="166"/>
        <v>0</v>
      </c>
      <c r="AG74" s="4238">
        <f>SUM(AG75:AG77)</f>
        <v>0.6007968554720533</v>
      </c>
      <c r="AH74" s="2898">
        <f t="shared" si="166"/>
        <v>1.2015937109441066</v>
      </c>
      <c r="AI74" s="2899">
        <f t="shared" si="166"/>
        <v>1.2015937109441066</v>
      </c>
      <c r="AJ74" s="2899">
        <f t="shared" si="166"/>
        <v>1.2015937109441066</v>
      </c>
      <c r="AK74" s="2899">
        <f t="shared" si="166"/>
        <v>1.2015937109441066</v>
      </c>
      <c r="AL74" s="2899">
        <f t="shared" si="166"/>
        <v>1.2015937109441066</v>
      </c>
      <c r="AM74" s="2901">
        <f t="shared" si="166"/>
        <v>1.2015937109441066</v>
      </c>
      <c r="AN74" s="4134">
        <f t="shared" si="166"/>
        <v>0</v>
      </c>
      <c r="AO74" s="3026"/>
      <c r="AP74" s="3027"/>
      <c r="AQ74" s="3027"/>
      <c r="AR74" s="3027"/>
      <c r="AS74" s="3027"/>
      <c r="AT74" s="3028"/>
      <c r="AU74" s="4488"/>
      <c r="AV74" s="4504">
        <f t="shared" si="40"/>
        <v>4.0822362600675666</v>
      </c>
      <c r="AW74" s="4504">
        <f t="shared" si="41"/>
        <v>8.1644725201351331</v>
      </c>
      <c r="AX74" s="4504">
        <f t="shared" si="42"/>
        <v>8.1644725201351331</v>
      </c>
      <c r="AY74" s="4504">
        <f t="shared" si="43"/>
        <v>8.1644725201351331</v>
      </c>
      <c r="AZ74" s="4504">
        <f t="shared" si="44"/>
        <v>8.1644725201351331</v>
      </c>
      <c r="BA74" s="4504">
        <f t="shared" si="45"/>
        <v>8.1644725201351331</v>
      </c>
      <c r="BB74" s="4504">
        <f t="shared" si="46"/>
        <v>8.1644725201351331</v>
      </c>
      <c r="BC74" s="4504">
        <f t="shared" si="47"/>
        <v>0</v>
      </c>
      <c r="BD74" s="4504">
        <f t="shared" si="48"/>
        <v>0</v>
      </c>
      <c r="BE74" s="4504">
        <f t="shared" si="49"/>
        <v>0</v>
      </c>
      <c r="BF74" s="4504">
        <f t="shared" si="50"/>
        <v>0</v>
      </c>
      <c r="BG74" s="4504">
        <f t="shared" si="51"/>
        <v>0</v>
      </c>
      <c r="BH74" s="4504">
        <f t="shared" si="52"/>
        <v>0</v>
      </c>
      <c r="BI74" s="4504">
        <f t="shared" si="53"/>
        <v>0</v>
      </c>
      <c r="BJ74" s="4504">
        <f t="shared" si="54"/>
        <v>0.82934074024838567</v>
      </c>
      <c r="BK74" s="4504">
        <f t="shared" si="55"/>
        <v>1.6586814804967713</v>
      </c>
      <c r="BL74" s="4504">
        <f t="shared" si="56"/>
        <v>1.6586814804967713</v>
      </c>
      <c r="BM74" s="4504">
        <f t="shared" si="57"/>
        <v>1.6586814804967713</v>
      </c>
      <c r="BN74" s="4504">
        <f t="shared" si="58"/>
        <v>1.6586814804967713</v>
      </c>
      <c r="BO74" s="4504">
        <f t="shared" si="59"/>
        <v>1.6586814804967713</v>
      </c>
      <c r="BP74" s="4504">
        <f t="shared" si="60"/>
        <v>1.6586814804967713</v>
      </c>
      <c r="BQ74" s="4504">
        <f t="shared" si="61"/>
        <v>0</v>
      </c>
      <c r="BR74" s="4504">
        <f t="shared" si="62"/>
        <v>0</v>
      </c>
      <c r="BS74" s="4504">
        <f t="shared" si="63"/>
        <v>0</v>
      </c>
      <c r="BT74" s="4504">
        <f t="shared" si="64"/>
        <v>0</v>
      </c>
      <c r="BU74" s="4504">
        <f t="shared" si="65"/>
        <v>0</v>
      </c>
      <c r="BV74" s="4504">
        <f t="shared" si="66"/>
        <v>0</v>
      </c>
      <c r="BW74" s="4504">
        <f t="shared" si="67"/>
        <v>0</v>
      </c>
      <c r="BX74" s="4504">
        <f t="shared" si="68"/>
        <v>0.30718255445107873</v>
      </c>
      <c r="BY74" s="4504">
        <f t="shared" si="69"/>
        <v>0.61436510890215745</v>
      </c>
      <c r="BZ74" s="4504">
        <f t="shared" si="70"/>
        <v>0.61436510890215745</v>
      </c>
      <c r="CA74" s="4504">
        <f t="shared" si="71"/>
        <v>0.61436510890215745</v>
      </c>
      <c r="CB74" s="4504">
        <f t="shared" si="72"/>
        <v>0.61436510890215745</v>
      </c>
      <c r="CC74" s="4504">
        <f t="shared" si="73"/>
        <v>0.61436510890215745</v>
      </c>
      <c r="CD74" s="4504">
        <f t="shared" si="74"/>
        <v>0.61436510890215745</v>
      </c>
    </row>
    <row r="75" spans="1:82" s="669" customFormat="1">
      <c r="A75" s="2892"/>
      <c r="B75" s="2892">
        <v>2030501</v>
      </c>
      <c r="C75" s="2960">
        <v>0.1</v>
      </c>
      <c r="D75" s="2959" t="s">
        <v>1001</v>
      </c>
      <c r="E75" s="4453">
        <f t="shared" ref="E75:E78" si="167">+E26*$C75/2</f>
        <v>6.7940278034893211</v>
      </c>
      <c r="F75" s="2943">
        <f>($E26*$C75)-(F26*$C75)</f>
        <v>13.588055606978642</v>
      </c>
      <c r="G75" s="2941">
        <f t="shared" ref="G75:K78" si="168">F75-(G26*$C75)</f>
        <v>13.588055606978642</v>
      </c>
      <c r="H75" s="2941">
        <f t="shared" si="168"/>
        <v>13.588055606978642</v>
      </c>
      <c r="I75" s="2941">
        <f t="shared" si="168"/>
        <v>13.588055606978642</v>
      </c>
      <c r="J75" s="2941">
        <f t="shared" si="168"/>
        <v>13.588055606978642</v>
      </c>
      <c r="K75" s="2942">
        <f t="shared" si="168"/>
        <v>13.588055606978642</v>
      </c>
      <c r="L75" s="4453">
        <f t="shared" ref="L75:L78" si="169">+L26*$C75/2</f>
        <v>0</v>
      </c>
      <c r="M75" s="2943">
        <f>($L26*$C75)-(M26*$C75)</f>
        <v>0</v>
      </c>
      <c r="N75" s="2941">
        <f t="shared" ref="N75:R78" si="170">M75-(N26*$C75)</f>
        <v>0</v>
      </c>
      <c r="O75" s="2941">
        <f t="shared" si="170"/>
        <v>0</v>
      </c>
      <c r="P75" s="2941">
        <f t="shared" si="170"/>
        <v>0</v>
      </c>
      <c r="Q75" s="2941">
        <f t="shared" si="170"/>
        <v>0</v>
      </c>
      <c r="R75" s="2944">
        <f t="shared" si="170"/>
        <v>0</v>
      </c>
      <c r="S75" s="4453">
        <f t="shared" ref="S75:S78" si="171">+S26*$C75/2</f>
        <v>0.19626100000000002</v>
      </c>
      <c r="T75" s="4235">
        <f>($S26*$C75)-(T26*$C75)</f>
        <v>0.39252200000000004</v>
      </c>
      <c r="U75" s="2941">
        <f t="shared" ref="U75:Y78" si="172">T75-(U26*$C75)</f>
        <v>0.39252200000000004</v>
      </c>
      <c r="V75" s="2941">
        <f t="shared" si="172"/>
        <v>0.39252200000000004</v>
      </c>
      <c r="W75" s="2941">
        <f t="shared" si="172"/>
        <v>0.39252200000000004</v>
      </c>
      <c r="X75" s="2941">
        <f t="shared" si="172"/>
        <v>0.39252200000000004</v>
      </c>
      <c r="Y75" s="2944">
        <f t="shared" si="172"/>
        <v>0.39252200000000004</v>
      </c>
      <c r="Z75" s="4453">
        <f t="shared" ref="Z75:Z78" si="173">+Z26*$C75/2</f>
        <v>0</v>
      </c>
      <c r="AA75" s="4235">
        <f t="shared" ref="AA75:AA78" si="174">($Z26*$C75)-(AA26*$C75)</f>
        <v>0</v>
      </c>
      <c r="AB75" s="2941">
        <f t="shared" ref="AB75:AF78" si="175">AA75-(AB26*$C75)</f>
        <v>0</v>
      </c>
      <c r="AC75" s="2941">
        <f t="shared" si="175"/>
        <v>0</v>
      </c>
      <c r="AD75" s="2941">
        <f t="shared" si="175"/>
        <v>0</v>
      </c>
      <c r="AE75" s="2941">
        <f t="shared" si="175"/>
        <v>0</v>
      </c>
      <c r="AF75" s="2944">
        <f t="shared" si="175"/>
        <v>0</v>
      </c>
      <c r="AG75" s="4453">
        <f t="shared" ref="AG75:AG78" si="176">+AG26*$C75/2</f>
        <v>0.33165169651068016</v>
      </c>
      <c r="AH75" s="4235">
        <f t="shared" ref="AH75:AH78" si="177">($AG26*$C75)-(AH26*$C75)</f>
        <v>0.66330339302136032</v>
      </c>
      <c r="AI75" s="2941">
        <f t="shared" ref="AI75:AM78" si="178">AH75-(AI26*$C75)</f>
        <v>0.66330339302136032</v>
      </c>
      <c r="AJ75" s="2941">
        <f t="shared" si="178"/>
        <v>0.66330339302136032</v>
      </c>
      <c r="AK75" s="2941">
        <f t="shared" si="178"/>
        <v>0.66330339302136032</v>
      </c>
      <c r="AL75" s="2941">
        <f t="shared" si="178"/>
        <v>0.66330339302136032</v>
      </c>
      <c r="AM75" s="2944">
        <f t="shared" si="178"/>
        <v>0.66330339302136032</v>
      </c>
      <c r="AN75" s="4132"/>
      <c r="AO75" s="3026"/>
      <c r="AP75" s="3027"/>
      <c r="AQ75" s="3027"/>
      <c r="AR75" s="3027"/>
      <c r="AS75" s="3027"/>
      <c r="AT75" s="3028"/>
      <c r="AU75" s="4488"/>
      <c r="AV75" s="4504">
        <f t="shared" si="40"/>
        <v>3.4737312565454674</v>
      </c>
      <c r="AW75" s="4504">
        <f t="shared" si="41"/>
        <v>6.9474625130909349</v>
      </c>
      <c r="AX75" s="4504">
        <f t="shared" si="42"/>
        <v>6.9474625130909349</v>
      </c>
      <c r="AY75" s="4504">
        <f t="shared" si="43"/>
        <v>6.9474625130909349</v>
      </c>
      <c r="AZ75" s="4504">
        <f t="shared" si="44"/>
        <v>6.9474625130909349</v>
      </c>
      <c r="BA75" s="4504">
        <f t="shared" si="45"/>
        <v>6.9474625130909349</v>
      </c>
      <c r="BB75" s="4504">
        <f t="shared" si="46"/>
        <v>6.9474625130909349</v>
      </c>
      <c r="BC75" s="4504">
        <f t="shared" si="47"/>
        <v>0</v>
      </c>
      <c r="BD75" s="4504">
        <f t="shared" si="48"/>
        <v>0</v>
      </c>
      <c r="BE75" s="4504">
        <f t="shared" si="49"/>
        <v>0</v>
      </c>
      <c r="BF75" s="4504">
        <f t="shared" si="50"/>
        <v>0</v>
      </c>
      <c r="BG75" s="4504">
        <f t="shared" si="51"/>
        <v>0</v>
      </c>
      <c r="BH75" s="4504">
        <f t="shared" si="52"/>
        <v>0</v>
      </c>
      <c r="BI75" s="4504">
        <f t="shared" si="53"/>
        <v>0</v>
      </c>
      <c r="BJ75" s="4504">
        <f t="shared" si="54"/>
        <v>0.10034665589545105</v>
      </c>
      <c r="BK75" s="4504">
        <f t="shared" si="55"/>
        <v>0.20069331179090211</v>
      </c>
      <c r="BL75" s="4504">
        <f t="shared" si="56"/>
        <v>0.20069331179090211</v>
      </c>
      <c r="BM75" s="4504">
        <f t="shared" si="57"/>
        <v>0.20069331179090211</v>
      </c>
      <c r="BN75" s="4504">
        <f t="shared" si="58"/>
        <v>0.20069331179090211</v>
      </c>
      <c r="BO75" s="4504">
        <f t="shared" si="59"/>
        <v>0.20069331179090211</v>
      </c>
      <c r="BP75" s="4504">
        <f t="shared" si="60"/>
        <v>0.20069331179090211</v>
      </c>
      <c r="BQ75" s="4504">
        <f t="shared" si="61"/>
        <v>0</v>
      </c>
      <c r="BR75" s="4504">
        <f t="shared" si="62"/>
        <v>0</v>
      </c>
      <c r="BS75" s="4504">
        <f t="shared" si="63"/>
        <v>0</v>
      </c>
      <c r="BT75" s="4504">
        <f t="shared" si="64"/>
        <v>0</v>
      </c>
      <c r="BU75" s="4504">
        <f t="shared" si="65"/>
        <v>0</v>
      </c>
      <c r="BV75" s="4504">
        <f t="shared" si="66"/>
        <v>0</v>
      </c>
      <c r="BW75" s="4504">
        <f t="shared" si="67"/>
        <v>0</v>
      </c>
      <c r="BX75" s="4504">
        <f t="shared" si="68"/>
        <v>0.169570819810863</v>
      </c>
      <c r="BY75" s="4504">
        <f t="shared" si="69"/>
        <v>0.339141639621726</v>
      </c>
      <c r="BZ75" s="4504">
        <f t="shared" si="70"/>
        <v>0.339141639621726</v>
      </c>
      <c r="CA75" s="4504">
        <f t="shared" si="71"/>
        <v>0.339141639621726</v>
      </c>
      <c r="CB75" s="4504">
        <f t="shared" si="72"/>
        <v>0.339141639621726</v>
      </c>
      <c r="CC75" s="4504">
        <f t="shared" si="73"/>
        <v>0.339141639621726</v>
      </c>
      <c r="CD75" s="4504">
        <f t="shared" si="74"/>
        <v>0.339141639621726</v>
      </c>
    </row>
    <row r="76" spans="1:82" s="669" customFormat="1" ht="26.4">
      <c r="A76" s="2892"/>
      <c r="B76" s="2612">
        <v>2030502</v>
      </c>
      <c r="C76" s="2906">
        <v>0.1</v>
      </c>
      <c r="D76" s="2961" t="s">
        <v>695</v>
      </c>
      <c r="E76" s="4453">
        <f t="shared" si="167"/>
        <v>1.1901323410386269</v>
      </c>
      <c r="F76" s="2943">
        <f>($E27*$C76)-(F27*$C76)</f>
        <v>2.3802646820772537</v>
      </c>
      <c r="G76" s="2941">
        <f t="shared" si="168"/>
        <v>2.3802646820772537</v>
      </c>
      <c r="H76" s="2941">
        <f t="shared" si="168"/>
        <v>2.3802646820772537</v>
      </c>
      <c r="I76" s="2941">
        <f t="shared" si="168"/>
        <v>2.3802646820772537</v>
      </c>
      <c r="J76" s="2941">
        <f t="shared" si="168"/>
        <v>2.3802646820772537</v>
      </c>
      <c r="K76" s="2942">
        <f t="shared" si="168"/>
        <v>2.3802646820772537</v>
      </c>
      <c r="L76" s="4453">
        <f t="shared" si="169"/>
        <v>0</v>
      </c>
      <c r="M76" s="2943">
        <f>($L27*$C76)-(M27*$C76)</f>
        <v>0</v>
      </c>
      <c r="N76" s="2941">
        <f t="shared" si="170"/>
        <v>0</v>
      </c>
      <c r="O76" s="2941">
        <f t="shared" si="170"/>
        <v>0</v>
      </c>
      <c r="P76" s="2941">
        <f t="shared" si="170"/>
        <v>0</v>
      </c>
      <c r="Q76" s="2941">
        <f t="shared" si="170"/>
        <v>0</v>
      </c>
      <c r="R76" s="2944">
        <f t="shared" si="170"/>
        <v>0</v>
      </c>
      <c r="S76" s="4453">
        <f t="shared" si="171"/>
        <v>1.4257885000000001</v>
      </c>
      <c r="T76" s="4235">
        <f>($S27*$C76)-(T27*$C76)</f>
        <v>2.8515770000000003</v>
      </c>
      <c r="U76" s="2941">
        <f t="shared" si="172"/>
        <v>2.8515770000000003</v>
      </c>
      <c r="V76" s="2941">
        <f t="shared" si="172"/>
        <v>2.8515770000000003</v>
      </c>
      <c r="W76" s="2941">
        <f t="shared" si="172"/>
        <v>2.8515770000000003</v>
      </c>
      <c r="X76" s="2941">
        <f t="shared" si="172"/>
        <v>2.8515770000000003</v>
      </c>
      <c r="Y76" s="2944">
        <f t="shared" si="172"/>
        <v>2.8515770000000003</v>
      </c>
      <c r="Z76" s="4453">
        <f t="shared" si="173"/>
        <v>0</v>
      </c>
      <c r="AA76" s="4235">
        <f t="shared" si="174"/>
        <v>0</v>
      </c>
      <c r="AB76" s="2941">
        <f t="shared" si="175"/>
        <v>0</v>
      </c>
      <c r="AC76" s="2941">
        <f t="shared" si="175"/>
        <v>0</v>
      </c>
      <c r="AD76" s="2941">
        <f t="shared" si="175"/>
        <v>0</v>
      </c>
      <c r="AE76" s="2941">
        <f t="shared" si="175"/>
        <v>0</v>
      </c>
      <c r="AF76" s="2944">
        <f t="shared" si="175"/>
        <v>0</v>
      </c>
      <c r="AG76" s="4453">
        <f t="shared" si="176"/>
        <v>0.26914515896137309</v>
      </c>
      <c r="AH76" s="4235">
        <f t="shared" si="177"/>
        <v>0.53829031792274618</v>
      </c>
      <c r="AI76" s="2941">
        <f t="shared" si="178"/>
        <v>0.53829031792274618</v>
      </c>
      <c r="AJ76" s="2941">
        <f t="shared" si="178"/>
        <v>0.53829031792274618</v>
      </c>
      <c r="AK76" s="2941">
        <f t="shared" si="178"/>
        <v>0.53829031792274618</v>
      </c>
      <c r="AL76" s="2941">
        <f t="shared" si="178"/>
        <v>0.53829031792274618</v>
      </c>
      <c r="AM76" s="2944">
        <f t="shared" si="178"/>
        <v>0.53829031792274618</v>
      </c>
      <c r="AN76" s="4132"/>
      <c r="AO76" s="3026"/>
      <c r="AP76" s="3027"/>
      <c r="AQ76" s="3027"/>
      <c r="AR76" s="3027"/>
      <c r="AS76" s="3027"/>
      <c r="AT76" s="3028"/>
      <c r="AU76" s="4488"/>
      <c r="AV76" s="4504">
        <f t="shared" ref="AV76:AV108" si="179">IFERROR(E76/$D$1,0)</f>
        <v>0.60850500352209902</v>
      </c>
      <c r="AW76" s="4504">
        <f t="shared" ref="AW76:AW108" si="180">IFERROR(F76/$D$1,0)</f>
        <v>1.217010007044198</v>
      </c>
      <c r="AX76" s="4504">
        <f t="shared" ref="AX76:AX108" si="181">IFERROR(G76/$D$1,0)</f>
        <v>1.217010007044198</v>
      </c>
      <c r="AY76" s="4504">
        <f t="shared" ref="AY76:AY108" si="182">IFERROR(H76/$D$1,0)</f>
        <v>1.217010007044198</v>
      </c>
      <c r="AZ76" s="4504">
        <f t="shared" ref="AZ76:AZ108" si="183">IFERROR(I76/$D$1,0)</f>
        <v>1.217010007044198</v>
      </c>
      <c r="BA76" s="4504">
        <f t="shared" ref="BA76:BA108" si="184">IFERROR(J76/$D$1,0)</f>
        <v>1.217010007044198</v>
      </c>
      <c r="BB76" s="4504">
        <f t="shared" ref="BB76:BB108" si="185">IFERROR(K76/$D$1,0)</f>
        <v>1.217010007044198</v>
      </c>
      <c r="BC76" s="4504">
        <f t="shared" ref="BC76:BC108" si="186">IFERROR(L76/$D$1,0)</f>
        <v>0</v>
      </c>
      <c r="BD76" s="4504">
        <f t="shared" ref="BD76:BD108" si="187">IFERROR(M76/$D$1,0)</f>
        <v>0</v>
      </c>
      <c r="BE76" s="4504">
        <f t="shared" ref="BE76:BE108" si="188">IFERROR(N76/$D$1,0)</f>
        <v>0</v>
      </c>
      <c r="BF76" s="4504">
        <f t="shared" ref="BF76:BF108" si="189">IFERROR(O76/$D$1,0)</f>
        <v>0</v>
      </c>
      <c r="BG76" s="4504">
        <f t="shared" ref="BG76:BG108" si="190">IFERROR(P76/$D$1,0)</f>
        <v>0</v>
      </c>
      <c r="BH76" s="4504">
        <f t="shared" ref="BH76:BH108" si="191">IFERROR(Q76/$D$1,0)</f>
        <v>0</v>
      </c>
      <c r="BI76" s="4504">
        <f t="shared" ref="BI76:BI108" si="192">IFERROR(R76/$D$1,0)</f>
        <v>0</v>
      </c>
      <c r="BJ76" s="4504">
        <f t="shared" ref="BJ76:BJ108" si="193">IFERROR(S76/$D$1,0)</f>
        <v>0.72899408435293467</v>
      </c>
      <c r="BK76" s="4504">
        <f t="shared" ref="BK76:BK108" si="194">IFERROR(T76/$D$1,0)</f>
        <v>1.4579881687058693</v>
      </c>
      <c r="BL76" s="4504">
        <f t="shared" ref="BL76:BL108" si="195">IFERROR(U76/$D$1,0)</f>
        <v>1.4579881687058693</v>
      </c>
      <c r="BM76" s="4504">
        <f t="shared" ref="BM76:BM108" si="196">IFERROR(V76/$D$1,0)</f>
        <v>1.4579881687058693</v>
      </c>
      <c r="BN76" s="4504">
        <f t="shared" ref="BN76:BN108" si="197">IFERROR(W76/$D$1,0)</f>
        <v>1.4579881687058693</v>
      </c>
      <c r="BO76" s="4504">
        <f t="shared" ref="BO76:BO108" si="198">IFERROR(X76/$D$1,0)</f>
        <v>1.4579881687058693</v>
      </c>
      <c r="BP76" s="4504">
        <f t="shared" ref="BP76:BP108" si="199">IFERROR(Y76/$D$1,0)</f>
        <v>1.4579881687058693</v>
      </c>
      <c r="BQ76" s="4504">
        <f t="shared" ref="BQ76:BQ108" si="200">IFERROR(Z76/$D$1,0)</f>
        <v>0</v>
      </c>
      <c r="BR76" s="4504">
        <f t="shared" ref="BR76:BR108" si="201">IFERROR(AA76/$D$1,0)</f>
        <v>0</v>
      </c>
      <c r="BS76" s="4504">
        <f t="shared" ref="BS76:BS108" si="202">IFERROR(AB76/$D$1,0)</f>
        <v>0</v>
      </c>
      <c r="BT76" s="4504">
        <f t="shared" ref="BT76:BT108" si="203">IFERROR(AC76/$D$1,0)</f>
        <v>0</v>
      </c>
      <c r="BU76" s="4504">
        <f t="shared" ref="BU76:BU108" si="204">IFERROR(AD76/$D$1,0)</f>
        <v>0</v>
      </c>
      <c r="BV76" s="4504">
        <f t="shared" ref="BV76:BV108" si="205">IFERROR(AE76/$D$1,0)</f>
        <v>0</v>
      </c>
      <c r="BW76" s="4504">
        <f t="shared" ref="BW76:BW108" si="206">IFERROR(AF76/$D$1,0)</f>
        <v>0</v>
      </c>
      <c r="BX76" s="4504">
        <f t="shared" ref="BX76:BX108" si="207">IFERROR(AG76/$D$1,0)</f>
        <v>0.1376117346402157</v>
      </c>
      <c r="BY76" s="4504">
        <f t="shared" ref="BY76:BY108" si="208">IFERROR(AH76/$D$1,0)</f>
        <v>0.2752234692804314</v>
      </c>
      <c r="BZ76" s="4504">
        <f t="shared" ref="BZ76:BZ108" si="209">IFERROR(AI76/$D$1,0)</f>
        <v>0.2752234692804314</v>
      </c>
      <c r="CA76" s="4504">
        <f t="shared" ref="CA76:CA108" si="210">IFERROR(AJ76/$D$1,0)</f>
        <v>0.2752234692804314</v>
      </c>
      <c r="CB76" s="4504">
        <f t="shared" ref="CB76:CB108" si="211">IFERROR(AK76/$D$1,0)</f>
        <v>0.2752234692804314</v>
      </c>
      <c r="CC76" s="4504">
        <f t="shared" ref="CC76:CC108" si="212">IFERROR(AL76/$D$1,0)</f>
        <v>0.2752234692804314</v>
      </c>
      <c r="CD76" s="4504">
        <f t="shared" ref="CD76:CD108" si="213">IFERROR(AM76/$D$1,0)</f>
        <v>0.2752234692804314</v>
      </c>
    </row>
    <row r="77" spans="1:82" s="669" customFormat="1">
      <c r="A77" s="2892"/>
      <c r="B77" s="2612">
        <v>2030503</v>
      </c>
      <c r="C77" s="2906">
        <v>0.1</v>
      </c>
      <c r="D77" s="2961" t="s">
        <v>713</v>
      </c>
      <c r="E77" s="4453">
        <f t="shared" si="167"/>
        <v>0</v>
      </c>
      <c r="F77" s="2943">
        <f>($E28*$C77)-(F28*$C77)</f>
        <v>0</v>
      </c>
      <c r="G77" s="2941">
        <f t="shared" si="168"/>
        <v>0</v>
      </c>
      <c r="H77" s="2941">
        <f t="shared" si="168"/>
        <v>0</v>
      </c>
      <c r="I77" s="2941">
        <f t="shared" si="168"/>
        <v>0</v>
      </c>
      <c r="J77" s="2941">
        <f t="shared" si="168"/>
        <v>0</v>
      </c>
      <c r="K77" s="2942">
        <f t="shared" si="168"/>
        <v>0</v>
      </c>
      <c r="L77" s="4453">
        <f t="shared" si="169"/>
        <v>0</v>
      </c>
      <c r="M77" s="2943">
        <f>($L28*$C77)-(M28*$C77)</f>
        <v>0</v>
      </c>
      <c r="N77" s="2941">
        <f t="shared" si="170"/>
        <v>0</v>
      </c>
      <c r="O77" s="2941">
        <f t="shared" si="170"/>
        <v>0</v>
      </c>
      <c r="P77" s="2941">
        <f t="shared" si="170"/>
        <v>0</v>
      </c>
      <c r="Q77" s="2941">
        <f t="shared" si="170"/>
        <v>0</v>
      </c>
      <c r="R77" s="2944">
        <f t="shared" si="170"/>
        <v>0</v>
      </c>
      <c r="S77" s="4453">
        <f t="shared" si="171"/>
        <v>0</v>
      </c>
      <c r="T77" s="4235">
        <f>($S28*$C77)-(T28*$C77)</f>
        <v>0</v>
      </c>
      <c r="U77" s="2941">
        <f t="shared" si="172"/>
        <v>0</v>
      </c>
      <c r="V77" s="2941">
        <f t="shared" si="172"/>
        <v>0</v>
      </c>
      <c r="W77" s="2941">
        <f t="shared" si="172"/>
        <v>0</v>
      </c>
      <c r="X77" s="2941">
        <f t="shared" si="172"/>
        <v>0</v>
      </c>
      <c r="Y77" s="2944">
        <f t="shared" si="172"/>
        <v>0</v>
      </c>
      <c r="Z77" s="4453">
        <f t="shared" si="173"/>
        <v>0</v>
      </c>
      <c r="AA77" s="4235">
        <f t="shared" si="174"/>
        <v>0</v>
      </c>
      <c r="AB77" s="2941">
        <f t="shared" si="175"/>
        <v>0</v>
      </c>
      <c r="AC77" s="2941">
        <f t="shared" si="175"/>
        <v>0</v>
      </c>
      <c r="AD77" s="2941">
        <f t="shared" si="175"/>
        <v>0</v>
      </c>
      <c r="AE77" s="2941">
        <f t="shared" si="175"/>
        <v>0</v>
      </c>
      <c r="AF77" s="2944">
        <f t="shared" si="175"/>
        <v>0</v>
      </c>
      <c r="AG77" s="4453">
        <f t="shared" si="176"/>
        <v>0</v>
      </c>
      <c r="AH77" s="4235">
        <f t="shared" si="177"/>
        <v>0</v>
      </c>
      <c r="AI77" s="2941">
        <f t="shared" si="178"/>
        <v>0</v>
      </c>
      <c r="AJ77" s="2941">
        <f t="shared" si="178"/>
        <v>0</v>
      </c>
      <c r="AK77" s="2941">
        <f t="shared" si="178"/>
        <v>0</v>
      </c>
      <c r="AL77" s="2941">
        <f t="shared" si="178"/>
        <v>0</v>
      </c>
      <c r="AM77" s="2944">
        <f t="shared" si="178"/>
        <v>0</v>
      </c>
      <c r="AN77" s="4132"/>
      <c r="AO77" s="3026"/>
      <c r="AP77" s="3027"/>
      <c r="AQ77" s="3027"/>
      <c r="AR77" s="3027"/>
      <c r="AS77" s="3027"/>
      <c r="AT77" s="3028"/>
      <c r="AU77" s="4488"/>
      <c r="AV77" s="4504">
        <f t="shared" si="179"/>
        <v>0</v>
      </c>
      <c r="AW77" s="4504">
        <f t="shared" si="180"/>
        <v>0</v>
      </c>
      <c r="AX77" s="4504">
        <f t="shared" si="181"/>
        <v>0</v>
      </c>
      <c r="AY77" s="4504">
        <f t="shared" si="182"/>
        <v>0</v>
      </c>
      <c r="AZ77" s="4504">
        <f t="shared" si="183"/>
        <v>0</v>
      </c>
      <c r="BA77" s="4504">
        <f t="shared" si="184"/>
        <v>0</v>
      </c>
      <c r="BB77" s="4504">
        <f t="shared" si="185"/>
        <v>0</v>
      </c>
      <c r="BC77" s="4504">
        <f t="shared" si="186"/>
        <v>0</v>
      </c>
      <c r="BD77" s="4504">
        <f t="shared" si="187"/>
        <v>0</v>
      </c>
      <c r="BE77" s="4504">
        <f t="shared" si="188"/>
        <v>0</v>
      </c>
      <c r="BF77" s="4504">
        <f t="shared" si="189"/>
        <v>0</v>
      </c>
      <c r="BG77" s="4504">
        <f t="shared" si="190"/>
        <v>0</v>
      </c>
      <c r="BH77" s="4504">
        <f t="shared" si="191"/>
        <v>0</v>
      </c>
      <c r="BI77" s="4504">
        <f t="shared" si="192"/>
        <v>0</v>
      </c>
      <c r="BJ77" s="4504">
        <f t="shared" si="193"/>
        <v>0</v>
      </c>
      <c r="BK77" s="4504">
        <f t="shared" si="194"/>
        <v>0</v>
      </c>
      <c r="BL77" s="4504">
        <f t="shared" si="195"/>
        <v>0</v>
      </c>
      <c r="BM77" s="4504">
        <f t="shared" si="196"/>
        <v>0</v>
      </c>
      <c r="BN77" s="4504">
        <f t="shared" si="197"/>
        <v>0</v>
      </c>
      <c r="BO77" s="4504">
        <f t="shared" si="198"/>
        <v>0</v>
      </c>
      <c r="BP77" s="4504">
        <f t="shared" si="199"/>
        <v>0</v>
      </c>
      <c r="BQ77" s="4504">
        <f t="shared" si="200"/>
        <v>0</v>
      </c>
      <c r="BR77" s="4504">
        <f t="shared" si="201"/>
        <v>0</v>
      </c>
      <c r="BS77" s="4504">
        <f t="shared" si="202"/>
        <v>0</v>
      </c>
      <c r="BT77" s="4504">
        <f t="shared" si="203"/>
        <v>0</v>
      </c>
      <c r="BU77" s="4504">
        <f t="shared" si="204"/>
        <v>0</v>
      </c>
      <c r="BV77" s="4504">
        <f t="shared" si="205"/>
        <v>0</v>
      </c>
      <c r="BW77" s="4504">
        <f t="shared" si="206"/>
        <v>0</v>
      </c>
      <c r="BX77" s="4504">
        <f t="shared" si="207"/>
        <v>0</v>
      </c>
      <c r="BY77" s="4504">
        <f t="shared" si="208"/>
        <v>0</v>
      </c>
      <c r="BZ77" s="4504">
        <f t="shared" si="209"/>
        <v>0</v>
      </c>
      <c r="CA77" s="4504">
        <f t="shared" si="210"/>
        <v>0</v>
      </c>
      <c r="CB77" s="4504">
        <f t="shared" si="211"/>
        <v>0</v>
      </c>
      <c r="CC77" s="4504">
        <f t="shared" si="212"/>
        <v>0</v>
      </c>
      <c r="CD77" s="4504">
        <f t="shared" si="213"/>
        <v>0</v>
      </c>
    </row>
    <row r="78" spans="1:82" s="669" customFormat="1">
      <c r="A78" s="2892"/>
      <c r="B78" s="2612">
        <v>20306</v>
      </c>
      <c r="C78" s="2893">
        <v>0.1</v>
      </c>
      <c r="D78" s="2909" t="s">
        <v>409</v>
      </c>
      <c r="E78" s="4453">
        <f t="shared" si="167"/>
        <v>3.0586590041017509E-2</v>
      </c>
      <c r="F78" s="2943">
        <f>($E29*$C78)-(F29*$C78)</f>
        <v>6.1173180082035018E-2</v>
      </c>
      <c r="G78" s="2941">
        <f t="shared" si="168"/>
        <v>6.1173180082035018E-2</v>
      </c>
      <c r="H78" s="2941">
        <f t="shared" si="168"/>
        <v>6.1173180082035018E-2</v>
      </c>
      <c r="I78" s="2941">
        <f t="shared" si="168"/>
        <v>6.1173180082035018E-2</v>
      </c>
      <c r="J78" s="2941">
        <f t="shared" si="168"/>
        <v>6.1173180082035018E-2</v>
      </c>
      <c r="K78" s="2942">
        <f t="shared" si="168"/>
        <v>6.1173180082035018E-2</v>
      </c>
      <c r="L78" s="4453">
        <f t="shared" si="169"/>
        <v>2.2147093811199593E-2</v>
      </c>
      <c r="M78" s="2943">
        <f>($L29*$C78)-(M29*$C78)</f>
        <v>4.4294187622399186E-2</v>
      </c>
      <c r="N78" s="2941">
        <f t="shared" si="170"/>
        <v>4.4294187622399186E-2</v>
      </c>
      <c r="O78" s="2941">
        <f t="shared" si="170"/>
        <v>4.4294187622399186E-2</v>
      </c>
      <c r="P78" s="2941">
        <f t="shared" si="170"/>
        <v>4.4294187622399186E-2</v>
      </c>
      <c r="Q78" s="2941">
        <f t="shared" si="170"/>
        <v>4.4294187622399186E-2</v>
      </c>
      <c r="R78" s="2944">
        <f t="shared" si="170"/>
        <v>4.4294187622399186E-2</v>
      </c>
      <c r="S78" s="4453">
        <f t="shared" si="171"/>
        <v>2.702349677901892E-2</v>
      </c>
      <c r="T78" s="4235">
        <f>($S29*$C78)-(T29*$C78)</f>
        <v>5.404699355803784E-2</v>
      </c>
      <c r="U78" s="2941">
        <f t="shared" si="172"/>
        <v>5.404699355803784E-2</v>
      </c>
      <c r="V78" s="2941">
        <f t="shared" si="172"/>
        <v>5.404699355803784E-2</v>
      </c>
      <c r="W78" s="2941">
        <f t="shared" si="172"/>
        <v>5.404699355803784E-2</v>
      </c>
      <c r="X78" s="2941">
        <f t="shared" si="172"/>
        <v>5.404699355803784E-2</v>
      </c>
      <c r="Y78" s="2944">
        <f t="shared" si="172"/>
        <v>5.404699355803784E-2</v>
      </c>
      <c r="Z78" s="4453">
        <f t="shared" si="173"/>
        <v>0</v>
      </c>
      <c r="AA78" s="4235">
        <f t="shared" si="174"/>
        <v>0</v>
      </c>
      <c r="AB78" s="2941">
        <f t="shared" si="175"/>
        <v>0</v>
      </c>
      <c r="AC78" s="2941">
        <f t="shared" si="175"/>
        <v>0</v>
      </c>
      <c r="AD78" s="2941">
        <f t="shared" si="175"/>
        <v>0</v>
      </c>
      <c r="AE78" s="2941">
        <f t="shared" si="175"/>
        <v>0</v>
      </c>
      <c r="AF78" s="2944">
        <f t="shared" si="175"/>
        <v>0</v>
      </c>
      <c r="AG78" s="4453">
        <f t="shared" si="176"/>
        <v>1.2660322045571174E-3</v>
      </c>
      <c r="AH78" s="4235">
        <f t="shared" si="177"/>
        <v>2.5320644091142348E-3</v>
      </c>
      <c r="AI78" s="2941">
        <f t="shared" si="178"/>
        <v>2.5320644091142348E-3</v>
      </c>
      <c r="AJ78" s="2941">
        <f t="shared" si="178"/>
        <v>2.5320644091142348E-3</v>
      </c>
      <c r="AK78" s="2941">
        <f t="shared" si="178"/>
        <v>2.5320644091142348E-3</v>
      </c>
      <c r="AL78" s="2941">
        <f t="shared" si="178"/>
        <v>2.5320644091142348E-3</v>
      </c>
      <c r="AM78" s="2944">
        <f t="shared" si="178"/>
        <v>2.5320644091142348E-3</v>
      </c>
      <c r="AN78" s="4132"/>
      <c r="AO78" s="3026"/>
      <c r="AP78" s="3027"/>
      <c r="AQ78" s="3027"/>
      <c r="AR78" s="3027"/>
      <c r="AS78" s="3027"/>
      <c r="AT78" s="3028"/>
      <c r="AU78" s="4488"/>
      <c r="AV78" s="4504">
        <f t="shared" si="179"/>
        <v>1.5638675161449365E-2</v>
      </c>
      <c r="AW78" s="4504">
        <f t="shared" si="180"/>
        <v>3.1277350322898731E-2</v>
      </c>
      <c r="AX78" s="4504">
        <f t="shared" si="181"/>
        <v>3.1277350322898731E-2</v>
      </c>
      <c r="AY78" s="4504">
        <f t="shared" si="182"/>
        <v>3.1277350322898731E-2</v>
      </c>
      <c r="AZ78" s="4504">
        <f t="shared" si="183"/>
        <v>3.1277350322898731E-2</v>
      </c>
      <c r="BA78" s="4504">
        <f t="shared" si="184"/>
        <v>3.1277350322898731E-2</v>
      </c>
      <c r="BB78" s="4504">
        <f t="shared" si="185"/>
        <v>3.1277350322898731E-2</v>
      </c>
      <c r="BC78" s="4504">
        <f t="shared" si="186"/>
        <v>1.1323629257757368E-2</v>
      </c>
      <c r="BD78" s="4504">
        <f t="shared" si="187"/>
        <v>2.2647258515514735E-2</v>
      </c>
      <c r="BE78" s="4504">
        <f t="shared" si="188"/>
        <v>2.2647258515514735E-2</v>
      </c>
      <c r="BF78" s="4504">
        <f t="shared" si="189"/>
        <v>2.2647258515514735E-2</v>
      </c>
      <c r="BG78" s="4504">
        <f t="shared" si="190"/>
        <v>2.2647258515514735E-2</v>
      </c>
      <c r="BH78" s="4504">
        <f t="shared" si="191"/>
        <v>2.2647258515514735E-2</v>
      </c>
      <c r="BI78" s="4504">
        <f t="shared" si="192"/>
        <v>2.2647258515514735E-2</v>
      </c>
      <c r="BJ78" s="4504">
        <f t="shared" si="193"/>
        <v>1.3816894504644534E-2</v>
      </c>
      <c r="BK78" s="4504">
        <f t="shared" si="194"/>
        <v>2.7633789009289068E-2</v>
      </c>
      <c r="BL78" s="4504">
        <f t="shared" si="195"/>
        <v>2.7633789009289068E-2</v>
      </c>
      <c r="BM78" s="4504">
        <f t="shared" si="196"/>
        <v>2.7633789009289068E-2</v>
      </c>
      <c r="BN78" s="4504">
        <f t="shared" si="197"/>
        <v>2.7633789009289068E-2</v>
      </c>
      <c r="BO78" s="4504">
        <f t="shared" si="198"/>
        <v>2.7633789009289068E-2</v>
      </c>
      <c r="BP78" s="4504">
        <f t="shared" si="199"/>
        <v>2.7633789009289068E-2</v>
      </c>
      <c r="BQ78" s="4504">
        <f t="shared" si="200"/>
        <v>0</v>
      </c>
      <c r="BR78" s="4504">
        <f t="shared" si="201"/>
        <v>0</v>
      </c>
      <c r="BS78" s="4504">
        <f t="shared" si="202"/>
        <v>0</v>
      </c>
      <c r="BT78" s="4504">
        <f t="shared" si="203"/>
        <v>0</v>
      </c>
      <c r="BU78" s="4504">
        <f t="shared" si="204"/>
        <v>0</v>
      </c>
      <c r="BV78" s="4504">
        <f t="shared" si="205"/>
        <v>0</v>
      </c>
      <c r="BW78" s="4504">
        <f t="shared" si="206"/>
        <v>0</v>
      </c>
      <c r="BX78" s="4504">
        <f t="shared" si="207"/>
        <v>6.4731198752300426E-4</v>
      </c>
      <c r="BY78" s="4504">
        <f t="shared" si="208"/>
        <v>1.2946239750460085E-3</v>
      </c>
      <c r="BZ78" s="4504">
        <f t="shared" si="209"/>
        <v>1.2946239750460085E-3</v>
      </c>
      <c r="CA78" s="4504">
        <f t="shared" si="210"/>
        <v>1.2946239750460085E-3</v>
      </c>
      <c r="CB78" s="4504">
        <f t="shared" si="211"/>
        <v>1.2946239750460085E-3</v>
      </c>
      <c r="CC78" s="4504">
        <f t="shared" si="212"/>
        <v>1.2946239750460085E-3</v>
      </c>
      <c r="CD78" s="4504">
        <f t="shared" si="213"/>
        <v>1.2946239750460085E-3</v>
      </c>
    </row>
    <row r="79" spans="1:82" s="669" customFormat="1" ht="14.25" customHeight="1">
      <c r="A79" s="2883">
        <v>4</v>
      </c>
      <c r="B79" s="2884">
        <v>204</v>
      </c>
      <c r="C79" s="2885"/>
      <c r="D79" s="2962" t="s">
        <v>211</v>
      </c>
      <c r="E79" s="4232">
        <f>E80+E83+E92+E93</f>
        <v>5.8032797581283058</v>
      </c>
      <c r="F79" s="2948">
        <f t="shared" ref="F79:AN79" si="214">F80+F83+F92+F93</f>
        <v>11.606559516256612</v>
      </c>
      <c r="G79" s="2889">
        <f t="shared" si="214"/>
        <v>11.606559516256612</v>
      </c>
      <c r="H79" s="2889">
        <f t="shared" si="214"/>
        <v>11.606559516256612</v>
      </c>
      <c r="I79" s="2889">
        <f t="shared" si="214"/>
        <v>11.606559516256612</v>
      </c>
      <c r="J79" s="2889">
        <f t="shared" si="214"/>
        <v>11.606559516256612</v>
      </c>
      <c r="K79" s="2890">
        <f t="shared" si="214"/>
        <v>11.606559516256612</v>
      </c>
      <c r="L79" s="4232">
        <f>L80+L83+L92+L93</f>
        <v>9.1790699999999989E-2</v>
      </c>
      <c r="M79" s="2949">
        <f t="shared" si="214"/>
        <v>0.18358139999999998</v>
      </c>
      <c r="N79" s="2889">
        <f t="shared" si="214"/>
        <v>0.18358139999999998</v>
      </c>
      <c r="O79" s="2889">
        <f t="shared" si="214"/>
        <v>0.18358139999999998</v>
      </c>
      <c r="P79" s="2889">
        <f t="shared" si="214"/>
        <v>0.18358139999999998</v>
      </c>
      <c r="Q79" s="2889">
        <f t="shared" si="214"/>
        <v>0.18358139999999998</v>
      </c>
      <c r="R79" s="2891">
        <f t="shared" si="214"/>
        <v>0.18358139999999998</v>
      </c>
      <c r="S79" s="4237">
        <f>S80+S83+S92+S93</f>
        <v>0</v>
      </c>
      <c r="T79" s="2888">
        <f t="shared" si="214"/>
        <v>0</v>
      </c>
      <c r="U79" s="2889">
        <f t="shared" si="214"/>
        <v>0</v>
      </c>
      <c r="V79" s="2889">
        <f t="shared" si="214"/>
        <v>0</v>
      </c>
      <c r="W79" s="2889">
        <f t="shared" si="214"/>
        <v>0</v>
      </c>
      <c r="X79" s="2889">
        <f t="shared" si="214"/>
        <v>0</v>
      </c>
      <c r="Y79" s="2891">
        <f t="shared" si="214"/>
        <v>0</v>
      </c>
      <c r="Z79" s="4237">
        <f>Z80+Z83+Z92+Z93</f>
        <v>0</v>
      </c>
      <c r="AA79" s="2888">
        <f t="shared" si="214"/>
        <v>0</v>
      </c>
      <c r="AB79" s="2889">
        <f t="shared" si="214"/>
        <v>0</v>
      </c>
      <c r="AC79" s="2889">
        <f t="shared" si="214"/>
        <v>0</v>
      </c>
      <c r="AD79" s="2889">
        <f t="shared" si="214"/>
        <v>0</v>
      </c>
      <c r="AE79" s="2889">
        <f t="shared" si="214"/>
        <v>0</v>
      </c>
      <c r="AF79" s="2891">
        <f t="shared" si="214"/>
        <v>0</v>
      </c>
      <c r="AG79" s="4237">
        <f>AG80+AG83+AG92+AG93</f>
        <v>0.29204694187169278</v>
      </c>
      <c r="AH79" s="2888">
        <f t="shared" si="214"/>
        <v>0.58409388374338556</v>
      </c>
      <c r="AI79" s="2889">
        <f t="shared" si="214"/>
        <v>0.58409388374338556</v>
      </c>
      <c r="AJ79" s="2889">
        <f t="shared" si="214"/>
        <v>0.58409388374338556</v>
      </c>
      <c r="AK79" s="2889">
        <f t="shared" si="214"/>
        <v>0.58409388374338556</v>
      </c>
      <c r="AL79" s="2889">
        <f t="shared" si="214"/>
        <v>0.58409388374338556</v>
      </c>
      <c r="AM79" s="2891">
        <f t="shared" si="214"/>
        <v>0.58409388374338556</v>
      </c>
      <c r="AN79" s="4133">
        <f t="shared" si="214"/>
        <v>0</v>
      </c>
      <c r="AO79" s="3026"/>
      <c r="AP79" s="3027"/>
      <c r="AQ79" s="3027"/>
      <c r="AR79" s="3027"/>
      <c r="AS79" s="3027"/>
      <c r="AT79" s="3028"/>
      <c r="AU79" s="4488"/>
      <c r="AV79" s="4504">
        <f t="shared" si="179"/>
        <v>2.9671698246413571</v>
      </c>
      <c r="AW79" s="4504">
        <f t="shared" si="180"/>
        <v>5.9343396492827143</v>
      </c>
      <c r="AX79" s="4504">
        <f t="shared" si="181"/>
        <v>5.9343396492827143</v>
      </c>
      <c r="AY79" s="4504">
        <f t="shared" si="182"/>
        <v>5.9343396492827143</v>
      </c>
      <c r="AZ79" s="4504">
        <f t="shared" si="183"/>
        <v>5.9343396492827143</v>
      </c>
      <c r="BA79" s="4504">
        <f t="shared" si="184"/>
        <v>5.9343396492827143</v>
      </c>
      <c r="BB79" s="4504">
        <f t="shared" si="185"/>
        <v>5.9343396492827143</v>
      </c>
      <c r="BC79" s="4504">
        <f t="shared" si="186"/>
        <v>4.693183967931773E-2</v>
      </c>
      <c r="BD79" s="4504">
        <f t="shared" si="187"/>
        <v>9.386367935863546E-2</v>
      </c>
      <c r="BE79" s="4504">
        <f t="shared" si="188"/>
        <v>9.386367935863546E-2</v>
      </c>
      <c r="BF79" s="4504">
        <f t="shared" si="189"/>
        <v>9.386367935863546E-2</v>
      </c>
      <c r="BG79" s="4504">
        <f t="shared" si="190"/>
        <v>9.386367935863546E-2</v>
      </c>
      <c r="BH79" s="4504">
        <f t="shared" si="191"/>
        <v>9.386367935863546E-2</v>
      </c>
      <c r="BI79" s="4504">
        <f t="shared" si="192"/>
        <v>9.386367935863546E-2</v>
      </c>
      <c r="BJ79" s="4504">
        <f t="shared" si="193"/>
        <v>0</v>
      </c>
      <c r="BK79" s="4504">
        <f t="shared" si="194"/>
        <v>0</v>
      </c>
      <c r="BL79" s="4504">
        <f t="shared" si="195"/>
        <v>0</v>
      </c>
      <c r="BM79" s="4504">
        <f t="shared" si="196"/>
        <v>0</v>
      </c>
      <c r="BN79" s="4504">
        <f t="shared" si="197"/>
        <v>0</v>
      </c>
      <c r="BO79" s="4504">
        <f t="shared" si="198"/>
        <v>0</v>
      </c>
      <c r="BP79" s="4504">
        <f t="shared" si="199"/>
        <v>0</v>
      </c>
      <c r="BQ79" s="4504">
        <f t="shared" si="200"/>
        <v>0</v>
      </c>
      <c r="BR79" s="4504">
        <f t="shared" si="201"/>
        <v>0</v>
      </c>
      <c r="BS79" s="4504">
        <f t="shared" si="202"/>
        <v>0</v>
      </c>
      <c r="BT79" s="4504">
        <f t="shared" si="203"/>
        <v>0</v>
      </c>
      <c r="BU79" s="4504">
        <f t="shared" si="204"/>
        <v>0</v>
      </c>
      <c r="BV79" s="4504">
        <f t="shared" si="205"/>
        <v>0</v>
      </c>
      <c r="BW79" s="4504">
        <f t="shared" si="206"/>
        <v>0</v>
      </c>
      <c r="BX79" s="4504">
        <f t="shared" si="207"/>
        <v>0.14932123030718047</v>
      </c>
      <c r="BY79" s="4504">
        <f t="shared" si="208"/>
        <v>0.29864246061436095</v>
      </c>
      <c r="BZ79" s="4504">
        <f t="shared" si="209"/>
        <v>0.29864246061436095</v>
      </c>
      <c r="CA79" s="4504">
        <f t="shared" si="210"/>
        <v>0.29864246061436095</v>
      </c>
      <c r="CB79" s="4504">
        <f t="shared" si="211"/>
        <v>0.29864246061436095</v>
      </c>
      <c r="CC79" s="4504">
        <f t="shared" si="212"/>
        <v>0.29864246061436095</v>
      </c>
      <c r="CD79" s="4504">
        <f t="shared" si="213"/>
        <v>0.29864246061436095</v>
      </c>
    </row>
    <row r="80" spans="1:82" s="669" customFormat="1">
      <c r="A80" s="2892"/>
      <c r="B80" s="2612">
        <v>20401</v>
      </c>
      <c r="C80" s="2905"/>
      <c r="D80" s="2963" t="s">
        <v>417</v>
      </c>
      <c r="E80" s="4233">
        <f t="shared" ref="E80:E82" si="215">+E31*$C80/2</f>
        <v>0</v>
      </c>
      <c r="F80" s="2955">
        <f t="shared" ref="F80:AN80" si="216">SUM(F81:F82)</f>
        <v>0</v>
      </c>
      <c r="G80" s="2899">
        <f t="shared" si="216"/>
        <v>0</v>
      </c>
      <c r="H80" s="2899">
        <f t="shared" si="216"/>
        <v>0</v>
      </c>
      <c r="I80" s="2899">
        <f t="shared" si="216"/>
        <v>0</v>
      </c>
      <c r="J80" s="2899">
        <f t="shared" si="216"/>
        <v>0</v>
      </c>
      <c r="K80" s="2900">
        <f t="shared" si="216"/>
        <v>0</v>
      </c>
      <c r="L80" s="4233">
        <f t="shared" ref="L80:L82" si="217">+L31*$C80/2</f>
        <v>0</v>
      </c>
      <c r="M80" s="2956">
        <f t="shared" si="216"/>
        <v>0</v>
      </c>
      <c r="N80" s="2899">
        <f t="shared" si="216"/>
        <v>0</v>
      </c>
      <c r="O80" s="2899">
        <f t="shared" si="216"/>
        <v>0</v>
      </c>
      <c r="P80" s="2899">
        <f t="shared" si="216"/>
        <v>0</v>
      </c>
      <c r="Q80" s="2899">
        <f t="shared" si="216"/>
        <v>0</v>
      </c>
      <c r="R80" s="2901">
        <f t="shared" si="216"/>
        <v>0</v>
      </c>
      <c r="S80" s="4238">
        <f t="shared" ref="S80:S82" si="218">+S31*$C80/2</f>
        <v>0</v>
      </c>
      <c r="T80" s="2898">
        <f t="shared" si="216"/>
        <v>0</v>
      </c>
      <c r="U80" s="2899">
        <f t="shared" si="216"/>
        <v>0</v>
      </c>
      <c r="V80" s="2899">
        <f t="shared" si="216"/>
        <v>0</v>
      </c>
      <c r="W80" s="2899">
        <f t="shared" si="216"/>
        <v>0</v>
      </c>
      <c r="X80" s="2899">
        <f t="shared" si="216"/>
        <v>0</v>
      </c>
      <c r="Y80" s="2901">
        <f t="shared" si="216"/>
        <v>0</v>
      </c>
      <c r="Z80" s="4238">
        <f t="shared" ref="Z80:Z82" si="219">+Z31*$C80/2</f>
        <v>0</v>
      </c>
      <c r="AA80" s="2898">
        <f t="shared" si="216"/>
        <v>0</v>
      </c>
      <c r="AB80" s="2899">
        <f t="shared" si="216"/>
        <v>0</v>
      </c>
      <c r="AC80" s="2899">
        <f t="shared" si="216"/>
        <v>0</v>
      </c>
      <c r="AD80" s="2899">
        <f t="shared" si="216"/>
        <v>0</v>
      </c>
      <c r="AE80" s="2899">
        <f t="shared" si="216"/>
        <v>0</v>
      </c>
      <c r="AF80" s="2901">
        <f t="shared" si="216"/>
        <v>0</v>
      </c>
      <c r="AG80" s="4238">
        <f t="shared" ref="AG80:AG82" si="220">+AG31*$C80/2</f>
        <v>0</v>
      </c>
      <c r="AH80" s="2898">
        <f t="shared" si="216"/>
        <v>0</v>
      </c>
      <c r="AI80" s="2899">
        <f t="shared" si="216"/>
        <v>0</v>
      </c>
      <c r="AJ80" s="2899">
        <f t="shared" si="216"/>
        <v>0</v>
      </c>
      <c r="AK80" s="2899">
        <f t="shared" si="216"/>
        <v>0</v>
      </c>
      <c r="AL80" s="2899">
        <f t="shared" si="216"/>
        <v>0</v>
      </c>
      <c r="AM80" s="2901">
        <f t="shared" si="216"/>
        <v>0</v>
      </c>
      <c r="AN80" s="4134">
        <f t="shared" si="216"/>
        <v>0</v>
      </c>
      <c r="AO80" s="3026"/>
      <c r="AP80" s="3027"/>
      <c r="AQ80" s="3027"/>
      <c r="AR80" s="3027"/>
      <c r="AS80" s="3027"/>
      <c r="AT80" s="3028"/>
      <c r="AU80" s="4488"/>
      <c r="AV80" s="4504">
        <f t="shared" si="179"/>
        <v>0</v>
      </c>
      <c r="AW80" s="4504">
        <f t="shared" si="180"/>
        <v>0</v>
      </c>
      <c r="AX80" s="4504">
        <f t="shared" si="181"/>
        <v>0</v>
      </c>
      <c r="AY80" s="4504">
        <f t="shared" si="182"/>
        <v>0</v>
      </c>
      <c r="AZ80" s="4504">
        <f t="shared" si="183"/>
        <v>0</v>
      </c>
      <c r="BA80" s="4504">
        <f t="shared" si="184"/>
        <v>0</v>
      </c>
      <c r="BB80" s="4504">
        <f t="shared" si="185"/>
        <v>0</v>
      </c>
      <c r="BC80" s="4504">
        <f t="shared" si="186"/>
        <v>0</v>
      </c>
      <c r="BD80" s="4504">
        <f t="shared" si="187"/>
        <v>0</v>
      </c>
      <c r="BE80" s="4504">
        <f t="shared" si="188"/>
        <v>0</v>
      </c>
      <c r="BF80" s="4504">
        <f t="shared" si="189"/>
        <v>0</v>
      </c>
      <c r="BG80" s="4504">
        <f t="shared" si="190"/>
        <v>0</v>
      </c>
      <c r="BH80" s="4504">
        <f t="shared" si="191"/>
        <v>0</v>
      </c>
      <c r="BI80" s="4504">
        <f t="shared" si="192"/>
        <v>0</v>
      </c>
      <c r="BJ80" s="4504">
        <f t="shared" si="193"/>
        <v>0</v>
      </c>
      <c r="BK80" s="4504">
        <f t="shared" si="194"/>
        <v>0</v>
      </c>
      <c r="BL80" s="4504">
        <f t="shared" si="195"/>
        <v>0</v>
      </c>
      <c r="BM80" s="4504">
        <f t="shared" si="196"/>
        <v>0</v>
      </c>
      <c r="BN80" s="4504">
        <f t="shared" si="197"/>
        <v>0</v>
      </c>
      <c r="BO80" s="4504">
        <f t="shared" si="198"/>
        <v>0</v>
      </c>
      <c r="BP80" s="4504">
        <f t="shared" si="199"/>
        <v>0</v>
      </c>
      <c r="BQ80" s="4504">
        <f t="shared" si="200"/>
        <v>0</v>
      </c>
      <c r="BR80" s="4504">
        <f t="shared" si="201"/>
        <v>0</v>
      </c>
      <c r="BS80" s="4504">
        <f t="shared" si="202"/>
        <v>0</v>
      </c>
      <c r="BT80" s="4504">
        <f t="shared" si="203"/>
        <v>0</v>
      </c>
      <c r="BU80" s="4504">
        <f t="shared" si="204"/>
        <v>0</v>
      </c>
      <c r="BV80" s="4504">
        <f t="shared" si="205"/>
        <v>0</v>
      </c>
      <c r="BW80" s="4504">
        <f t="shared" si="206"/>
        <v>0</v>
      </c>
      <c r="BX80" s="4504">
        <f t="shared" si="207"/>
        <v>0</v>
      </c>
      <c r="BY80" s="4504">
        <f t="shared" si="208"/>
        <v>0</v>
      </c>
      <c r="BZ80" s="4504">
        <f t="shared" si="209"/>
        <v>0</v>
      </c>
      <c r="CA80" s="4504">
        <f t="shared" si="210"/>
        <v>0</v>
      </c>
      <c r="CB80" s="4504">
        <f t="shared" si="211"/>
        <v>0</v>
      </c>
      <c r="CC80" s="4504">
        <f t="shared" si="212"/>
        <v>0</v>
      </c>
      <c r="CD80" s="4504">
        <f t="shared" si="213"/>
        <v>0</v>
      </c>
    </row>
    <row r="81" spans="1:82" s="669" customFormat="1">
      <c r="A81" s="2892"/>
      <c r="B81" s="2902">
        <v>2040101</v>
      </c>
      <c r="C81" s="2903">
        <v>0.1</v>
      </c>
      <c r="D81" s="2964" t="s">
        <v>431</v>
      </c>
      <c r="E81" s="4453">
        <f t="shared" si="215"/>
        <v>0</v>
      </c>
      <c r="F81" s="2943">
        <f>($E32*$C81)-(F32*$C81)</f>
        <v>0</v>
      </c>
      <c r="G81" s="2941">
        <f t="shared" ref="G81:K82" si="221">F81-(G32*$C81)</f>
        <v>0</v>
      </c>
      <c r="H81" s="2941">
        <f t="shared" si="221"/>
        <v>0</v>
      </c>
      <c r="I81" s="2941">
        <f t="shared" si="221"/>
        <v>0</v>
      </c>
      <c r="J81" s="2941">
        <f t="shared" si="221"/>
        <v>0</v>
      </c>
      <c r="K81" s="2942">
        <f t="shared" si="221"/>
        <v>0</v>
      </c>
      <c r="L81" s="4453">
        <f t="shared" si="217"/>
        <v>0</v>
      </c>
      <c r="M81" s="2943">
        <f>($L32*$C81)-(M32*$C81)</f>
        <v>0</v>
      </c>
      <c r="N81" s="2941">
        <f t="shared" ref="N81:R82" si="222">M81-(N32*$C81)</f>
        <v>0</v>
      </c>
      <c r="O81" s="2941">
        <f t="shared" si="222"/>
        <v>0</v>
      </c>
      <c r="P81" s="2941">
        <f t="shared" si="222"/>
        <v>0</v>
      </c>
      <c r="Q81" s="2941">
        <f t="shared" si="222"/>
        <v>0</v>
      </c>
      <c r="R81" s="2944">
        <f t="shared" si="222"/>
        <v>0</v>
      </c>
      <c r="S81" s="4453">
        <f t="shared" si="218"/>
        <v>0</v>
      </c>
      <c r="T81" s="4235">
        <f>($S32*$C81)-(T32*$C81)</f>
        <v>0</v>
      </c>
      <c r="U81" s="2941">
        <f t="shared" ref="U81:Y82" si="223">T81-(U32*$C81)</f>
        <v>0</v>
      </c>
      <c r="V81" s="2941">
        <f t="shared" si="223"/>
        <v>0</v>
      </c>
      <c r="W81" s="2941">
        <f t="shared" si="223"/>
        <v>0</v>
      </c>
      <c r="X81" s="2941">
        <f t="shared" si="223"/>
        <v>0</v>
      </c>
      <c r="Y81" s="2944">
        <f t="shared" si="223"/>
        <v>0</v>
      </c>
      <c r="Z81" s="4453">
        <f t="shared" si="219"/>
        <v>0</v>
      </c>
      <c r="AA81" s="4235">
        <f t="shared" ref="AA81:AA82" si="224">($Z32*$C81)-(AA32*$C81)</f>
        <v>0</v>
      </c>
      <c r="AB81" s="2941">
        <f t="shared" ref="AB81:AF82" si="225">AA81-(AB32*$C81)</f>
        <v>0</v>
      </c>
      <c r="AC81" s="2941">
        <f t="shared" si="225"/>
        <v>0</v>
      </c>
      <c r="AD81" s="2941">
        <f t="shared" si="225"/>
        <v>0</v>
      </c>
      <c r="AE81" s="2941">
        <f t="shared" si="225"/>
        <v>0</v>
      </c>
      <c r="AF81" s="2944">
        <f t="shared" si="225"/>
        <v>0</v>
      </c>
      <c r="AG81" s="4453">
        <f t="shared" si="220"/>
        <v>0</v>
      </c>
      <c r="AH81" s="4235">
        <f t="shared" ref="AH81:AH82" si="226">($AG32*$C81)-(AH32*$C81)</f>
        <v>0</v>
      </c>
      <c r="AI81" s="2941">
        <f t="shared" ref="AI81:AM82" si="227">AH81-(AI32*$C81)</f>
        <v>0</v>
      </c>
      <c r="AJ81" s="2941">
        <f t="shared" si="227"/>
        <v>0</v>
      </c>
      <c r="AK81" s="2941">
        <f t="shared" si="227"/>
        <v>0</v>
      </c>
      <c r="AL81" s="2941">
        <f t="shared" si="227"/>
        <v>0</v>
      </c>
      <c r="AM81" s="2944">
        <f t="shared" si="227"/>
        <v>0</v>
      </c>
      <c r="AN81" s="4132"/>
      <c r="AO81" s="3026"/>
      <c r="AP81" s="3027"/>
      <c r="AQ81" s="3027"/>
      <c r="AR81" s="3027"/>
      <c r="AS81" s="3027"/>
      <c r="AT81" s="3028"/>
      <c r="AU81" s="4488"/>
      <c r="AV81" s="4504">
        <f t="shared" si="179"/>
        <v>0</v>
      </c>
      <c r="AW81" s="4504">
        <f t="shared" si="180"/>
        <v>0</v>
      </c>
      <c r="AX81" s="4504">
        <f t="shared" si="181"/>
        <v>0</v>
      </c>
      <c r="AY81" s="4504">
        <f t="shared" si="182"/>
        <v>0</v>
      </c>
      <c r="AZ81" s="4504">
        <f t="shared" si="183"/>
        <v>0</v>
      </c>
      <c r="BA81" s="4504">
        <f t="shared" si="184"/>
        <v>0</v>
      </c>
      <c r="BB81" s="4504">
        <f t="shared" si="185"/>
        <v>0</v>
      </c>
      <c r="BC81" s="4504">
        <f t="shared" si="186"/>
        <v>0</v>
      </c>
      <c r="BD81" s="4504">
        <f t="shared" si="187"/>
        <v>0</v>
      </c>
      <c r="BE81" s="4504">
        <f t="shared" si="188"/>
        <v>0</v>
      </c>
      <c r="BF81" s="4504">
        <f t="shared" si="189"/>
        <v>0</v>
      </c>
      <c r="BG81" s="4504">
        <f t="shared" si="190"/>
        <v>0</v>
      </c>
      <c r="BH81" s="4504">
        <f t="shared" si="191"/>
        <v>0</v>
      </c>
      <c r="BI81" s="4504">
        <f t="shared" si="192"/>
        <v>0</v>
      </c>
      <c r="BJ81" s="4504">
        <f t="shared" si="193"/>
        <v>0</v>
      </c>
      <c r="BK81" s="4504">
        <f t="shared" si="194"/>
        <v>0</v>
      </c>
      <c r="BL81" s="4504">
        <f t="shared" si="195"/>
        <v>0</v>
      </c>
      <c r="BM81" s="4504">
        <f t="shared" si="196"/>
        <v>0</v>
      </c>
      <c r="BN81" s="4504">
        <f t="shared" si="197"/>
        <v>0</v>
      </c>
      <c r="BO81" s="4504">
        <f t="shared" si="198"/>
        <v>0</v>
      </c>
      <c r="BP81" s="4504">
        <f t="shared" si="199"/>
        <v>0</v>
      </c>
      <c r="BQ81" s="4504">
        <f t="shared" si="200"/>
        <v>0</v>
      </c>
      <c r="BR81" s="4504">
        <f t="shared" si="201"/>
        <v>0</v>
      </c>
      <c r="BS81" s="4504">
        <f t="shared" si="202"/>
        <v>0</v>
      </c>
      <c r="BT81" s="4504">
        <f t="shared" si="203"/>
        <v>0</v>
      </c>
      <c r="BU81" s="4504">
        <f t="shared" si="204"/>
        <v>0</v>
      </c>
      <c r="BV81" s="4504">
        <f t="shared" si="205"/>
        <v>0</v>
      </c>
      <c r="BW81" s="4504">
        <f t="shared" si="206"/>
        <v>0</v>
      </c>
      <c r="BX81" s="4504">
        <f t="shared" si="207"/>
        <v>0</v>
      </c>
      <c r="BY81" s="4504">
        <f t="shared" si="208"/>
        <v>0</v>
      </c>
      <c r="BZ81" s="4504">
        <f t="shared" si="209"/>
        <v>0</v>
      </c>
      <c r="CA81" s="4504">
        <f t="shared" si="210"/>
        <v>0</v>
      </c>
      <c r="CB81" s="4504">
        <f t="shared" si="211"/>
        <v>0</v>
      </c>
      <c r="CC81" s="4504">
        <f t="shared" si="212"/>
        <v>0</v>
      </c>
      <c r="CD81" s="4504">
        <f t="shared" si="213"/>
        <v>0</v>
      </c>
    </row>
    <row r="82" spans="1:82" s="669" customFormat="1">
      <c r="A82" s="2892"/>
      <c r="B82" s="2902">
        <v>2040102</v>
      </c>
      <c r="C82" s="2903">
        <v>0.04</v>
      </c>
      <c r="D82" s="2964" t="s">
        <v>432</v>
      </c>
      <c r="E82" s="4453">
        <f t="shared" si="215"/>
        <v>0</v>
      </c>
      <c r="F82" s="2943">
        <f>($E33*$C82)-(F33*$C82)</f>
        <v>0</v>
      </c>
      <c r="G82" s="2941">
        <f t="shared" si="221"/>
        <v>0</v>
      </c>
      <c r="H82" s="2941">
        <f t="shared" si="221"/>
        <v>0</v>
      </c>
      <c r="I82" s="2941">
        <f t="shared" si="221"/>
        <v>0</v>
      </c>
      <c r="J82" s="2941">
        <f t="shared" si="221"/>
        <v>0</v>
      </c>
      <c r="K82" s="2942">
        <f t="shared" si="221"/>
        <v>0</v>
      </c>
      <c r="L82" s="4453">
        <f t="shared" si="217"/>
        <v>0</v>
      </c>
      <c r="M82" s="2943">
        <f>($L33*$C82)-(M33*$C82)</f>
        <v>0</v>
      </c>
      <c r="N82" s="2941">
        <f t="shared" si="222"/>
        <v>0</v>
      </c>
      <c r="O82" s="2941">
        <f t="shared" si="222"/>
        <v>0</v>
      </c>
      <c r="P82" s="2941">
        <f t="shared" si="222"/>
        <v>0</v>
      </c>
      <c r="Q82" s="2941">
        <f t="shared" si="222"/>
        <v>0</v>
      </c>
      <c r="R82" s="2944">
        <f t="shared" si="222"/>
        <v>0</v>
      </c>
      <c r="S82" s="4453">
        <f t="shared" si="218"/>
        <v>0</v>
      </c>
      <c r="T82" s="4235">
        <f>($S33*$C82)-(T33*$C82)</f>
        <v>0</v>
      </c>
      <c r="U82" s="2941">
        <f t="shared" si="223"/>
        <v>0</v>
      </c>
      <c r="V82" s="2941">
        <f t="shared" si="223"/>
        <v>0</v>
      </c>
      <c r="W82" s="2941">
        <f t="shared" si="223"/>
        <v>0</v>
      </c>
      <c r="X82" s="2941">
        <f t="shared" si="223"/>
        <v>0</v>
      </c>
      <c r="Y82" s="2944">
        <f t="shared" si="223"/>
        <v>0</v>
      </c>
      <c r="Z82" s="4453">
        <f t="shared" si="219"/>
        <v>0</v>
      </c>
      <c r="AA82" s="4235">
        <f t="shared" si="224"/>
        <v>0</v>
      </c>
      <c r="AB82" s="2941">
        <f t="shared" si="225"/>
        <v>0</v>
      </c>
      <c r="AC82" s="2941">
        <f t="shared" si="225"/>
        <v>0</v>
      </c>
      <c r="AD82" s="2941">
        <f t="shared" si="225"/>
        <v>0</v>
      </c>
      <c r="AE82" s="2941">
        <f t="shared" si="225"/>
        <v>0</v>
      </c>
      <c r="AF82" s="2944">
        <f t="shared" si="225"/>
        <v>0</v>
      </c>
      <c r="AG82" s="4453">
        <f t="shared" si="220"/>
        <v>0</v>
      </c>
      <c r="AH82" s="4235">
        <f t="shared" si="226"/>
        <v>0</v>
      </c>
      <c r="AI82" s="2941">
        <f t="shared" si="227"/>
        <v>0</v>
      </c>
      <c r="AJ82" s="2941">
        <f t="shared" si="227"/>
        <v>0</v>
      </c>
      <c r="AK82" s="2941">
        <f t="shared" si="227"/>
        <v>0</v>
      </c>
      <c r="AL82" s="2941">
        <f t="shared" si="227"/>
        <v>0</v>
      </c>
      <c r="AM82" s="2944">
        <f t="shared" si="227"/>
        <v>0</v>
      </c>
      <c r="AN82" s="4132"/>
      <c r="AO82" s="3026"/>
      <c r="AP82" s="3027"/>
      <c r="AQ82" s="3027"/>
      <c r="AR82" s="3027"/>
      <c r="AS82" s="3027"/>
      <c r="AT82" s="3028"/>
      <c r="AU82" s="4488"/>
      <c r="AV82" s="4504">
        <f t="shared" si="179"/>
        <v>0</v>
      </c>
      <c r="AW82" s="4504">
        <f t="shared" si="180"/>
        <v>0</v>
      </c>
      <c r="AX82" s="4504">
        <f t="shared" si="181"/>
        <v>0</v>
      </c>
      <c r="AY82" s="4504">
        <f t="shared" si="182"/>
        <v>0</v>
      </c>
      <c r="AZ82" s="4504">
        <f t="shared" si="183"/>
        <v>0</v>
      </c>
      <c r="BA82" s="4504">
        <f t="shared" si="184"/>
        <v>0</v>
      </c>
      <c r="BB82" s="4504">
        <f t="shared" si="185"/>
        <v>0</v>
      </c>
      <c r="BC82" s="4504">
        <f t="shared" si="186"/>
        <v>0</v>
      </c>
      <c r="BD82" s="4504">
        <f t="shared" si="187"/>
        <v>0</v>
      </c>
      <c r="BE82" s="4504">
        <f t="shared" si="188"/>
        <v>0</v>
      </c>
      <c r="BF82" s="4504">
        <f t="shared" si="189"/>
        <v>0</v>
      </c>
      <c r="BG82" s="4504">
        <f t="shared" si="190"/>
        <v>0</v>
      </c>
      <c r="BH82" s="4504">
        <f t="shared" si="191"/>
        <v>0</v>
      </c>
      <c r="BI82" s="4504">
        <f t="shared" si="192"/>
        <v>0</v>
      </c>
      <c r="BJ82" s="4504">
        <f t="shared" si="193"/>
        <v>0</v>
      </c>
      <c r="BK82" s="4504">
        <f t="shared" si="194"/>
        <v>0</v>
      </c>
      <c r="BL82" s="4504">
        <f t="shared" si="195"/>
        <v>0</v>
      </c>
      <c r="BM82" s="4504">
        <f t="shared" si="196"/>
        <v>0</v>
      </c>
      <c r="BN82" s="4504">
        <f t="shared" si="197"/>
        <v>0</v>
      </c>
      <c r="BO82" s="4504">
        <f t="shared" si="198"/>
        <v>0</v>
      </c>
      <c r="BP82" s="4504">
        <f t="shared" si="199"/>
        <v>0</v>
      </c>
      <c r="BQ82" s="4504">
        <f t="shared" si="200"/>
        <v>0</v>
      </c>
      <c r="BR82" s="4504">
        <f t="shared" si="201"/>
        <v>0</v>
      </c>
      <c r="BS82" s="4504">
        <f t="shared" si="202"/>
        <v>0</v>
      </c>
      <c r="BT82" s="4504">
        <f t="shared" si="203"/>
        <v>0</v>
      </c>
      <c r="BU82" s="4504">
        <f t="shared" si="204"/>
        <v>0</v>
      </c>
      <c r="BV82" s="4504">
        <f t="shared" si="205"/>
        <v>0</v>
      </c>
      <c r="BW82" s="4504">
        <f t="shared" si="206"/>
        <v>0</v>
      </c>
      <c r="BX82" s="4504">
        <f t="shared" si="207"/>
        <v>0</v>
      </c>
      <c r="BY82" s="4504">
        <f t="shared" si="208"/>
        <v>0</v>
      </c>
      <c r="BZ82" s="4504">
        <f t="shared" si="209"/>
        <v>0</v>
      </c>
      <c r="CA82" s="4504">
        <f t="shared" si="210"/>
        <v>0</v>
      </c>
      <c r="CB82" s="4504">
        <f t="shared" si="211"/>
        <v>0</v>
      </c>
      <c r="CC82" s="4504">
        <f t="shared" si="212"/>
        <v>0</v>
      </c>
      <c r="CD82" s="4504">
        <f t="shared" si="213"/>
        <v>0</v>
      </c>
    </row>
    <row r="83" spans="1:82" s="669" customFormat="1">
      <c r="A83" s="2892"/>
      <c r="B83" s="2612">
        <v>20402</v>
      </c>
      <c r="C83" s="2905"/>
      <c r="D83" s="2963" t="s">
        <v>433</v>
      </c>
      <c r="E83" s="4233">
        <f>SUM(E84:E91)</f>
        <v>5.8032797581283058</v>
      </c>
      <c r="F83" s="2955">
        <f t="shared" ref="F83:K83" si="228">SUM(F84:F91)</f>
        <v>11.606559516256612</v>
      </c>
      <c r="G83" s="2899">
        <f t="shared" si="228"/>
        <v>11.606559516256612</v>
      </c>
      <c r="H83" s="2899">
        <f t="shared" si="228"/>
        <v>11.606559516256612</v>
      </c>
      <c r="I83" s="2899">
        <f t="shared" si="228"/>
        <v>11.606559516256612</v>
      </c>
      <c r="J83" s="2899">
        <f t="shared" si="228"/>
        <v>11.606559516256612</v>
      </c>
      <c r="K83" s="2900">
        <f t="shared" si="228"/>
        <v>11.606559516256612</v>
      </c>
      <c r="L83" s="4233">
        <f>SUM(L84:L91)</f>
        <v>9.1790699999999989E-2</v>
      </c>
      <c r="M83" s="2956">
        <f t="shared" ref="M83:R83" si="229">SUM(M84:M91)</f>
        <v>0.18358139999999998</v>
      </c>
      <c r="N83" s="2899">
        <f t="shared" si="229"/>
        <v>0.18358139999999998</v>
      </c>
      <c r="O83" s="2899">
        <f t="shared" si="229"/>
        <v>0.18358139999999998</v>
      </c>
      <c r="P83" s="2899">
        <f t="shared" si="229"/>
        <v>0.18358139999999998</v>
      </c>
      <c r="Q83" s="2899">
        <f t="shared" si="229"/>
        <v>0.18358139999999998</v>
      </c>
      <c r="R83" s="2901">
        <f t="shared" si="229"/>
        <v>0.18358139999999998</v>
      </c>
      <c r="S83" s="4238">
        <f>SUM(S84:S91)</f>
        <v>0</v>
      </c>
      <c r="T83" s="2898">
        <f t="shared" ref="T83:Y83" si="230">SUM(T84:T91)</f>
        <v>0</v>
      </c>
      <c r="U83" s="2899">
        <f t="shared" si="230"/>
        <v>0</v>
      </c>
      <c r="V83" s="2899">
        <f t="shared" si="230"/>
        <v>0</v>
      </c>
      <c r="W83" s="2899">
        <f t="shared" si="230"/>
        <v>0</v>
      </c>
      <c r="X83" s="2899">
        <f t="shared" si="230"/>
        <v>0</v>
      </c>
      <c r="Y83" s="2901">
        <f t="shared" si="230"/>
        <v>0</v>
      </c>
      <c r="Z83" s="4238">
        <f>SUM(Z84:Z91)</f>
        <v>0</v>
      </c>
      <c r="AA83" s="2898">
        <f t="shared" ref="AA83:AF83" si="231">SUM(AA84:AA91)</f>
        <v>0</v>
      </c>
      <c r="AB83" s="2899">
        <f t="shared" si="231"/>
        <v>0</v>
      </c>
      <c r="AC83" s="2899">
        <f t="shared" si="231"/>
        <v>0</v>
      </c>
      <c r="AD83" s="2899">
        <f t="shared" si="231"/>
        <v>0</v>
      </c>
      <c r="AE83" s="2899">
        <f t="shared" si="231"/>
        <v>0</v>
      </c>
      <c r="AF83" s="2901">
        <f t="shared" si="231"/>
        <v>0</v>
      </c>
      <c r="AG83" s="4238">
        <f>SUM(AG84:AG91)</f>
        <v>0.29204694187169278</v>
      </c>
      <c r="AH83" s="2898">
        <f t="shared" ref="AH83:AM83" si="232">SUM(AH84:AH91)</f>
        <v>0.58409388374338556</v>
      </c>
      <c r="AI83" s="2899">
        <f t="shared" si="232"/>
        <v>0.58409388374338556</v>
      </c>
      <c r="AJ83" s="2899">
        <f t="shared" si="232"/>
        <v>0.58409388374338556</v>
      </c>
      <c r="AK83" s="2899">
        <f t="shared" si="232"/>
        <v>0.58409388374338556</v>
      </c>
      <c r="AL83" s="2899">
        <f t="shared" si="232"/>
        <v>0.58409388374338556</v>
      </c>
      <c r="AM83" s="2901">
        <f t="shared" si="232"/>
        <v>0.58409388374338556</v>
      </c>
      <c r="AN83" s="4134">
        <f>SUM(AN84:AN91)</f>
        <v>0</v>
      </c>
      <c r="AO83" s="3026"/>
      <c r="AP83" s="3027"/>
      <c r="AQ83" s="3027"/>
      <c r="AR83" s="3027"/>
      <c r="AS83" s="3027"/>
      <c r="AT83" s="3028"/>
      <c r="AU83" s="4488"/>
      <c r="AV83" s="4504">
        <f t="shared" si="179"/>
        <v>2.9671698246413571</v>
      </c>
      <c r="AW83" s="4504">
        <f t="shared" si="180"/>
        <v>5.9343396492827143</v>
      </c>
      <c r="AX83" s="4504">
        <f t="shared" si="181"/>
        <v>5.9343396492827143</v>
      </c>
      <c r="AY83" s="4504">
        <f t="shared" si="182"/>
        <v>5.9343396492827143</v>
      </c>
      <c r="AZ83" s="4504">
        <f t="shared" si="183"/>
        <v>5.9343396492827143</v>
      </c>
      <c r="BA83" s="4504">
        <f t="shared" si="184"/>
        <v>5.9343396492827143</v>
      </c>
      <c r="BB83" s="4504">
        <f t="shared" si="185"/>
        <v>5.9343396492827143</v>
      </c>
      <c r="BC83" s="4504">
        <f t="shared" si="186"/>
        <v>4.693183967931773E-2</v>
      </c>
      <c r="BD83" s="4504">
        <f t="shared" si="187"/>
        <v>9.386367935863546E-2</v>
      </c>
      <c r="BE83" s="4504">
        <f t="shared" si="188"/>
        <v>9.386367935863546E-2</v>
      </c>
      <c r="BF83" s="4504">
        <f t="shared" si="189"/>
        <v>9.386367935863546E-2</v>
      </c>
      <c r="BG83" s="4504">
        <f t="shared" si="190"/>
        <v>9.386367935863546E-2</v>
      </c>
      <c r="BH83" s="4504">
        <f t="shared" si="191"/>
        <v>9.386367935863546E-2</v>
      </c>
      <c r="BI83" s="4504">
        <f t="shared" si="192"/>
        <v>9.386367935863546E-2</v>
      </c>
      <c r="BJ83" s="4504">
        <f t="shared" si="193"/>
        <v>0</v>
      </c>
      <c r="BK83" s="4504">
        <f t="shared" si="194"/>
        <v>0</v>
      </c>
      <c r="BL83" s="4504">
        <f t="shared" si="195"/>
        <v>0</v>
      </c>
      <c r="BM83" s="4504">
        <f t="shared" si="196"/>
        <v>0</v>
      </c>
      <c r="BN83" s="4504">
        <f t="shared" si="197"/>
        <v>0</v>
      </c>
      <c r="BO83" s="4504">
        <f t="shared" si="198"/>
        <v>0</v>
      </c>
      <c r="BP83" s="4504">
        <f t="shared" si="199"/>
        <v>0</v>
      </c>
      <c r="BQ83" s="4504">
        <f t="shared" si="200"/>
        <v>0</v>
      </c>
      <c r="BR83" s="4504">
        <f t="shared" si="201"/>
        <v>0</v>
      </c>
      <c r="BS83" s="4504">
        <f t="shared" si="202"/>
        <v>0</v>
      </c>
      <c r="BT83" s="4504">
        <f t="shared" si="203"/>
        <v>0</v>
      </c>
      <c r="BU83" s="4504">
        <f t="shared" si="204"/>
        <v>0</v>
      </c>
      <c r="BV83" s="4504">
        <f t="shared" si="205"/>
        <v>0</v>
      </c>
      <c r="BW83" s="4504">
        <f t="shared" si="206"/>
        <v>0</v>
      </c>
      <c r="BX83" s="4504">
        <f t="shared" si="207"/>
        <v>0.14932123030718047</v>
      </c>
      <c r="BY83" s="4504">
        <f t="shared" si="208"/>
        <v>0.29864246061436095</v>
      </c>
      <c r="BZ83" s="4504">
        <f t="shared" si="209"/>
        <v>0.29864246061436095</v>
      </c>
      <c r="CA83" s="4504">
        <f t="shared" si="210"/>
        <v>0.29864246061436095</v>
      </c>
      <c r="CB83" s="4504">
        <f t="shared" si="211"/>
        <v>0.29864246061436095</v>
      </c>
      <c r="CC83" s="4504">
        <f t="shared" si="212"/>
        <v>0.29864246061436095</v>
      </c>
      <c r="CD83" s="4504">
        <f t="shared" si="213"/>
        <v>0.29864246061436095</v>
      </c>
    </row>
    <row r="84" spans="1:82" s="669" customFormat="1">
      <c r="A84" s="2892"/>
      <c r="B84" s="2612">
        <v>2040201</v>
      </c>
      <c r="C84" s="2893">
        <v>0.02</v>
      </c>
      <c r="D84" s="2961" t="s">
        <v>738</v>
      </c>
      <c r="E84" s="4453">
        <f t="shared" ref="E84:E93" si="233">+E35*$C84/2</f>
        <v>0</v>
      </c>
      <c r="F84" s="2943">
        <f t="shared" ref="F84:F93" si="234">($E35*$C84)-(F35*$C84)</f>
        <v>0</v>
      </c>
      <c r="G84" s="2941">
        <f t="shared" ref="G84:K93" si="235">F84-(G35*$C84)</f>
        <v>0</v>
      </c>
      <c r="H84" s="2941">
        <f t="shared" si="235"/>
        <v>0</v>
      </c>
      <c r="I84" s="2941">
        <f t="shared" si="235"/>
        <v>0</v>
      </c>
      <c r="J84" s="2941">
        <f t="shared" si="235"/>
        <v>0</v>
      </c>
      <c r="K84" s="2942">
        <f t="shared" si="235"/>
        <v>0</v>
      </c>
      <c r="L84" s="4453">
        <f t="shared" ref="L84:L93" si="236">+L35*$C84/2</f>
        <v>0</v>
      </c>
      <c r="M84" s="2943">
        <f t="shared" ref="M84:M93" si="237">($L35*$C84)-(M35*$C84)</f>
        <v>0</v>
      </c>
      <c r="N84" s="2941">
        <f t="shared" ref="N84:R93" si="238">M84-(N35*$C84)</f>
        <v>0</v>
      </c>
      <c r="O84" s="2941">
        <f t="shared" si="238"/>
        <v>0</v>
      </c>
      <c r="P84" s="2941">
        <f t="shared" si="238"/>
        <v>0</v>
      </c>
      <c r="Q84" s="2941">
        <f t="shared" si="238"/>
        <v>0</v>
      </c>
      <c r="R84" s="2944">
        <f t="shared" si="238"/>
        <v>0</v>
      </c>
      <c r="S84" s="4453">
        <f t="shared" ref="S84:S93" si="239">+S35*$C84/2</f>
        <v>0</v>
      </c>
      <c r="T84" s="4235">
        <f t="shared" ref="T84:T93" si="240">($S35*$C84)-(T35*$C84)</f>
        <v>0</v>
      </c>
      <c r="U84" s="2941">
        <f t="shared" ref="U84:Y93" si="241">T84-(U35*$C84)</f>
        <v>0</v>
      </c>
      <c r="V84" s="2941">
        <f t="shared" si="241"/>
        <v>0</v>
      </c>
      <c r="W84" s="2941">
        <f t="shared" si="241"/>
        <v>0</v>
      </c>
      <c r="X84" s="2941">
        <f t="shared" si="241"/>
        <v>0</v>
      </c>
      <c r="Y84" s="2944">
        <f t="shared" si="241"/>
        <v>0</v>
      </c>
      <c r="Z84" s="4453">
        <f t="shared" ref="Z84:Z93" si="242">+Z35*$C84/2</f>
        <v>0</v>
      </c>
      <c r="AA84" s="4235">
        <f t="shared" ref="AA84:AA108" si="243">($Z35*$C84)-(AA35*$C84)</f>
        <v>0</v>
      </c>
      <c r="AB84" s="2941">
        <f t="shared" ref="AB84:AF93" si="244">AA84-(AB35*$C84)</f>
        <v>0</v>
      </c>
      <c r="AC84" s="2941">
        <f t="shared" si="244"/>
        <v>0</v>
      </c>
      <c r="AD84" s="2941">
        <f t="shared" si="244"/>
        <v>0</v>
      </c>
      <c r="AE84" s="2941">
        <f t="shared" si="244"/>
        <v>0</v>
      </c>
      <c r="AF84" s="2944">
        <f t="shared" si="244"/>
        <v>0</v>
      </c>
      <c r="AG84" s="4453">
        <f t="shared" ref="AG84:AG93" si="245">+AG35*$C84/2</f>
        <v>0</v>
      </c>
      <c r="AH84" s="4235">
        <f t="shared" ref="AH84:AH93" si="246">($AG35*$C84)-(AH35*$C84)</f>
        <v>0</v>
      </c>
      <c r="AI84" s="2941">
        <f t="shared" ref="AI84:AM93" si="247">AH84-(AI35*$C84)</f>
        <v>0</v>
      </c>
      <c r="AJ84" s="2941">
        <f t="shared" si="247"/>
        <v>0</v>
      </c>
      <c r="AK84" s="2941">
        <f t="shared" si="247"/>
        <v>0</v>
      </c>
      <c r="AL84" s="2941">
        <f t="shared" si="247"/>
        <v>0</v>
      </c>
      <c r="AM84" s="2944">
        <f t="shared" si="247"/>
        <v>0</v>
      </c>
      <c r="AN84" s="4132"/>
      <c r="AO84" s="3026"/>
      <c r="AP84" s="3027"/>
      <c r="AQ84" s="3027"/>
      <c r="AR84" s="3027"/>
      <c r="AS84" s="3027"/>
      <c r="AT84" s="3028"/>
      <c r="AU84" s="4488"/>
      <c r="AV84" s="4504">
        <f t="shared" si="179"/>
        <v>0</v>
      </c>
      <c r="AW84" s="4504">
        <f t="shared" si="180"/>
        <v>0</v>
      </c>
      <c r="AX84" s="4504">
        <f t="shared" si="181"/>
        <v>0</v>
      </c>
      <c r="AY84" s="4504">
        <f t="shared" si="182"/>
        <v>0</v>
      </c>
      <c r="AZ84" s="4504">
        <f t="shared" si="183"/>
        <v>0</v>
      </c>
      <c r="BA84" s="4504">
        <f t="shared" si="184"/>
        <v>0</v>
      </c>
      <c r="BB84" s="4504">
        <f t="shared" si="185"/>
        <v>0</v>
      </c>
      <c r="BC84" s="4504">
        <f t="shared" si="186"/>
        <v>0</v>
      </c>
      <c r="BD84" s="4504">
        <f t="shared" si="187"/>
        <v>0</v>
      </c>
      <c r="BE84" s="4504">
        <f t="shared" si="188"/>
        <v>0</v>
      </c>
      <c r="BF84" s="4504">
        <f t="shared" si="189"/>
        <v>0</v>
      </c>
      <c r="BG84" s="4504">
        <f t="shared" si="190"/>
        <v>0</v>
      </c>
      <c r="BH84" s="4504">
        <f t="shared" si="191"/>
        <v>0</v>
      </c>
      <c r="BI84" s="4504">
        <f t="shared" si="192"/>
        <v>0</v>
      </c>
      <c r="BJ84" s="4504">
        <f t="shared" si="193"/>
        <v>0</v>
      </c>
      <c r="BK84" s="4504">
        <f t="shared" si="194"/>
        <v>0</v>
      </c>
      <c r="BL84" s="4504">
        <f t="shared" si="195"/>
        <v>0</v>
      </c>
      <c r="BM84" s="4504">
        <f t="shared" si="196"/>
        <v>0</v>
      </c>
      <c r="BN84" s="4504">
        <f t="shared" si="197"/>
        <v>0</v>
      </c>
      <c r="BO84" s="4504">
        <f t="shared" si="198"/>
        <v>0</v>
      </c>
      <c r="BP84" s="4504">
        <f t="shared" si="199"/>
        <v>0</v>
      </c>
      <c r="BQ84" s="4504">
        <f t="shared" si="200"/>
        <v>0</v>
      </c>
      <c r="BR84" s="4504">
        <f t="shared" si="201"/>
        <v>0</v>
      </c>
      <c r="BS84" s="4504">
        <f t="shared" si="202"/>
        <v>0</v>
      </c>
      <c r="BT84" s="4504">
        <f t="shared" si="203"/>
        <v>0</v>
      </c>
      <c r="BU84" s="4504">
        <f t="shared" si="204"/>
        <v>0</v>
      </c>
      <c r="BV84" s="4504">
        <f t="shared" si="205"/>
        <v>0</v>
      </c>
      <c r="BW84" s="4504">
        <f t="shared" si="206"/>
        <v>0</v>
      </c>
      <c r="BX84" s="4504">
        <f t="shared" si="207"/>
        <v>0</v>
      </c>
      <c r="BY84" s="4504">
        <f t="shared" si="208"/>
        <v>0</v>
      </c>
      <c r="BZ84" s="4504">
        <f t="shared" si="209"/>
        <v>0</v>
      </c>
      <c r="CA84" s="4504">
        <f t="shared" si="210"/>
        <v>0</v>
      </c>
      <c r="CB84" s="4504">
        <f t="shared" si="211"/>
        <v>0</v>
      </c>
      <c r="CC84" s="4504">
        <f t="shared" si="212"/>
        <v>0</v>
      </c>
      <c r="CD84" s="4504">
        <f t="shared" si="213"/>
        <v>0</v>
      </c>
    </row>
    <row r="85" spans="1:82" s="669" customFormat="1">
      <c r="A85" s="2892"/>
      <c r="B85" s="2612">
        <v>2040202</v>
      </c>
      <c r="C85" s="2893">
        <v>0.02</v>
      </c>
      <c r="D85" s="2961" t="s">
        <v>739</v>
      </c>
      <c r="E85" s="4453">
        <f t="shared" si="233"/>
        <v>0</v>
      </c>
      <c r="F85" s="2943">
        <f t="shared" si="234"/>
        <v>0</v>
      </c>
      <c r="G85" s="2941">
        <f t="shared" si="235"/>
        <v>0</v>
      </c>
      <c r="H85" s="2941">
        <f t="shared" si="235"/>
        <v>0</v>
      </c>
      <c r="I85" s="2941">
        <f t="shared" si="235"/>
        <v>0</v>
      </c>
      <c r="J85" s="2941">
        <f t="shared" si="235"/>
        <v>0</v>
      </c>
      <c r="K85" s="2942">
        <f t="shared" si="235"/>
        <v>0</v>
      </c>
      <c r="L85" s="4453">
        <f t="shared" si="236"/>
        <v>0</v>
      </c>
      <c r="M85" s="2943">
        <f t="shared" si="237"/>
        <v>0</v>
      </c>
      <c r="N85" s="2941">
        <f t="shared" si="238"/>
        <v>0</v>
      </c>
      <c r="O85" s="2941">
        <f t="shared" si="238"/>
        <v>0</v>
      </c>
      <c r="P85" s="2941">
        <f t="shared" si="238"/>
        <v>0</v>
      </c>
      <c r="Q85" s="2941">
        <f t="shared" si="238"/>
        <v>0</v>
      </c>
      <c r="R85" s="2944">
        <f t="shared" si="238"/>
        <v>0</v>
      </c>
      <c r="S85" s="4453">
        <f t="shared" si="239"/>
        <v>0</v>
      </c>
      <c r="T85" s="4235">
        <f t="shared" si="240"/>
        <v>0</v>
      </c>
      <c r="U85" s="2941">
        <f t="shared" si="241"/>
        <v>0</v>
      </c>
      <c r="V85" s="2941">
        <f t="shared" si="241"/>
        <v>0</v>
      </c>
      <c r="W85" s="2941">
        <f t="shared" si="241"/>
        <v>0</v>
      </c>
      <c r="X85" s="2941">
        <f t="shared" si="241"/>
        <v>0</v>
      </c>
      <c r="Y85" s="2944">
        <f t="shared" si="241"/>
        <v>0</v>
      </c>
      <c r="Z85" s="4453">
        <f t="shared" si="242"/>
        <v>0</v>
      </c>
      <c r="AA85" s="4235">
        <f t="shared" si="243"/>
        <v>0</v>
      </c>
      <c r="AB85" s="2941">
        <f t="shared" si="244"/>
        <v>0</v>
      </c>
      <c r="AC85" s="2941">
        <f t="shared" si="244"/>
        <v>0</v>
      </c>
      <c r="AD85" s="2941">
        <f t="shared" si="244"/>
        <v>0</v>
      </c>
      <c r="AE85" s="2941">
        <f t="shared" si="244"/>
        <v>0</v>
      </c>
      <c r="AF85" s="2944">
        <f t="shared" si="244"/>
        <v>0</v>
      </c>
      <c r="AG85" s="4453">
        <f t="shared" si="245"/>
        <v>0</v>
      </c>
      <c r="AH85" s="4235">
        <f t="shared" si="246"/>
        <v>0</v>
      </c>
      <c r="AI85" s="2941">
        <f t="shared" si="247"/>
        <v>0</v>
      </c>
      <c r="AJ85" s="2941">
        <f t="shared" si="247"/>
        <v>0</v>
      </c>
      <c r="AK85" s="2941">
        <f t="shared" si="247"/>
        <v>0</v>
      </c>
      <c r="AL85" s="2941">
        <f t="shared" si="247"/>
        <v>0</v>
      </c>
      <c r="AM85" s="2944">
        <f t="shared" si="247"/>
        <v>0</v>
      </c>
      <c r="AN85" s="4132"/>
      <c r="AO85" s="3026"/>
      <c r="AP85" s="3027"/>
      <c r="AQ85" s="3027"/>
      <c r="AR85" s="3027"/>
      <c r="AS85" s="3027"/>
      <c r="AT85" s="3028"/>
      <c r="AU85" s="4488"/>
      <c r="AV85" s="4504">
        <f t="shared" si="179"/>
        <v>0</v>
      </c>
      <c r="AW85" s="4504">
        <f t="shared" si="180"/>
        <v>0</v>
      </c>
      <c r="AX85" s="4504">
        <f t="shared" si="181"/>
        <v>0</v>
      </c>
      <c r="AY85" s="4504">
        <f t="shared" si="182"/>
        <v>0</v>
      </c>
      <c r="AZ85" s="4504">
        <f t="shared" si="183"/>
        <v>0</v>
      </c>
      <c r="BA85" s="4504">
        <f t="shared" si="184"/>
        <v>0</v>
      </c>
      <c r="BB85" s="4504">
        <f t="shared" si="185"/>
        <v>0</v>
      </c>
      <c r="BC85" s="4504">
        <f t="shared" si="186"/>
        <v>0</v>
      </c>
      <c r="BD85" s="4504">
        <f t="shared" si="187"/>
        <v>0</v>
      </c>
      <c r="BE85" s="4504">
        <f t="shared" si="188"/>
        <v>0</v>
      </c>
      <c r="BF85" s="4504">
        <f t="shared" si="189"/>
        <v>0</v>
      </c>
      <c r="BG85" s="4504">
        <f t="shared" si="190"/>
        <v>0</v>
      </c>
      <c r="BH85" s="4504">
        <f t="shared" si="191"/>
        <v>0</v>
      </c>
      <c r="BI85" s="4504">
        <f t="shared" si="192"/>
        <v>0</v>
      </c>
      <c r="BJ85" s="4504">
        <f t="shared" si="193"/>
        <v>0</v>
      </c>
      <c r="BK85" s="4504">
        <f t="shared" si="194"/>
        <v>0</v>
      </c>
      <c r="BL85" s="4504">
        <f t="shared" si="195"/>
        <v>0</v>
      </c>
      <c r="BM85" s="4504">
        <f t="shared" si="196"/>
        <v>0</v>
      </c>
      <c r="BN85" s="4504">
        <f t="shared" si="197"/>
        <v>0</v>
      </c>
      <c r="BO85" s="4504">
        <f t="shared" si="198"/>
        <v>0</v>
      </c>
      <c r="BP85" s="4504">
        <f t="shared" si="199"/>
        <v>0</v>
      </c>
      <c r="BQ85" s="4504">
        <f t="shared" si="200"/>
        <v>0</v>
      </c>
      <c r="BR85" s="4504">
        <f t="shared" si="201"/>
        <v>0</v>
      </c>
      <c r="BS85" s="4504">
        <f t="shared" si="202"/>
        <v>0</v>
      </c>
      <c r="BT85" s="4504">
        <f t="shared" si="203"/>
        <v>0</v>
      </c>
      <c r="BU85" s="4504">
        <f t="shared" si="204"/>
        <v>0</v>
      </c>
      <c r="BV85" s="4504">
        <f t="shared" si="205"/>
        <v>0</v>
      </c>
      <c r="BW85" s="4504">
        <f t="shared" si="206"/>
        <v>0</v>
      </c>
      <c r="BX85" s="4504">
        <f t="shared" si="207"/>
        <v>0</v>
      </c>
      <c r="BY85" s="4504">
        <f t="shared" si="208"/>
        <v>0</v>
      </c>
      <c r="BZ85" s="4504">
        <f t="shared" si="209"/>
        <v>0</v>
      </c>
      <c r="CA85" s="4504">
        <f t="shared" si="210"/>
        <v>0</v>
      </c>
      <c r="CB85" s="4504">
        <f t="shared" si="211"/>
        <v>0</v>
      </c>
      <c r="CC85" s="4504">
        <f t="shared" si="212"/>
        <v>0</v>
      </c>
      <c r="CD85" s="4504">
        <f t="shared" si="213"/>
        <v>0</v>
      </c>
    </row>
    <row r="86" spans="1:82" s="669" customFormat="1">
      <c r="A86" s="2892"/>
      <c r="B86" s="2612">
        <v>2040203</v>
      </c>
      <c r="C86" s="2893">
        <v>0.02</v>
      </c>
      <c r="D86" s="2961" t="s">
        <v>418</v>
      </c>
      <c r="E86" s="4453">
        <f t="shared" si="233"/>
        <v>0</v>
      </c>
      <c r="F86" s="2943">
        <f t="shared" si="234"/>
        <v>0</v>
      </c>
      <c r="G86" s="2941">
        <f t="shared" si="235"/>
        <v>0</v>
      </c>
      <c r="H86" s="2941">
        <f t="shared" si="235"/>
        <v>0</v>
      </c>
      <c r="I86" s="2941">
        <f t="shared" si="235"/>
        <v>0</v>
      </c>
      <c r="J86" s="2941">
        <f t="shared" si="235"/>
        <v>0</v>
      </c>
      <c r="K86" s="2942">
        <f t="shared" si="235"/>
        <v>0</v>
      </c>
      <c r="L86" s="4453">
        <f t="shared" si="236"/>
        <v>0</v>
      </c>
      <c r="M86" s="2943">
        <f t="shared" si="237"/>
        <v>0</v>
      </c>
      <c r="N86" s="2941">
        <f t="shared" si="238"/>
        <v>0</v>
      </c>
      <c r="O86" s="2941">
        <f t="shared" si="238"/>
        <v>0</v>
      </c>
      <c r="P86" s="2941">
        <f t="shared" si="238"/>
        <v>0</v>
      </c>
      <c r="Q86" s="2941">
        <f t="shared" si="238"/>
        <v>0</v>
      </c>
      <c r="R86" s="2944">
        <f t="shared" si="238"/>
        <v>0</v>
      </c>
      <c r="S86" s="4453">
        <f t="shared" si="239"/>
        <v>0</v>
      </c>
      <c r="T86" s="4235">
        <f t="shared" si="240"/>
        <v>0</v>
      </c>
      <c r="U86" s="2941">
        <f t="shared" si="241"/>
        <v>0</v>
      </c>
      <c r="V86" s="2941">
        <f t="shared" si="241"/>
        <v>0</v>
      </c>
      <c r="W86" s="2941">
        <f t="shared" si="241"/>
        <v>0</v>
      </c>
      <c r="X86" s="2941">
        <f t="shared" si="241"/>
        <v>0</v>
      </c>
      <c r="Y86" s="2944">
        <f t="shared" si="241"/>
        <v>0</v>
      </c>
      <c r="Z86" s="4453">
        <f t="shared" si="242"/>
        <v>0</v>
      </c>
      <c r="AA86" s="4235">
        <f t="shared" si="243"/>
        <v>0</v>
      </c>
      <c r="AB86" s="2941">
        <f t="shared" si="244"/>
        <v>0</v>
      </c>
      <c r="AC86" s="2941">
        <f t="shared" si="244"/>
        <v>0</v>
      </c>
      <c r="AD86" s="2941">
        <f t="shared" si="244"/>
        <v>0</v>
      </c>
      <c r="AE86" s="2941">
        <f t="shared" si="244"/>
        <v>0</v>
      </c>
      <c r="AF86" s="2944">
        <f t="shared" si="244"/>
        <v>0</v>
      </c>
      <c r="AG86" s="4453">
        <f t="shared" si="245"/>
        <v>0</v>
      </c>
      <c r="AH86" s="4235">
        <f t="shared" si="246"/>
        <v>0</v>
      </c>
      <c r="AI86" s="2941">
        <f t="shared" si="247"/>
        <v>0</v>
      </c>
      <c r="AJ86" s="2941">
        <f t="shared" si="247"/>
        <v>0</v>
      </c>
      <c r="AK86" s="2941">
        <f t="shared" si="247"/>
        <v>0</v>
      </c>
      <c r="AL86" s="2941">
        <f t="shared" si="247"/>
        <v>0</v>
      </c>
      <c r="AM86" s="2944">
        <f t="shared" si="247"/>
        <v>0</v>
      </c>
      <c r="AN86" s="4132"/>
      <c r="AO86" s="3026"/>
      <c r="AP86" s="3027"/>
      <c r="AQ86" s="3027"/>
      <c r="AR86" s="3027"/>
      <c r="AS86" s="3027"/>
      <c r="AT86" s="3028"/>
      <c r="AU86" s="4488"/>
      <c r="AV86" s="4504">
        <f t="shared" si="179"/>
        <v>0</v>
      </c>
      <c r="AW86" s="4504">
        <f t="shared" si="180"/>
        <v>0</v>
      </c>
      <c r="AX86" s="4504">
        <f t="shared" si="181"/>
        <v>0</v>
      </c>
      <c r="AY86" s="4504">
        <f t="shared" si="182"/>
        <v>0</v>
      </c>
      <c r="AZ86" s="4504">
        <f t="shared" si="183"/>
        <v>0</v>
      </c>
      <c r="BA86" s="4504">
        <f t="shared" si="184"/>
        <v>0</v>
      </c>
      <c r="BB86" s="4504">
        <f t="shared" si="185"/>
        <v>0</v>
      </c>
      <c r="BC86" s="4504">
        <f t="shared" si="186"/>
        <v>0</v>
      </c>
      <c r="BD86" s="4504">
        <f t="shared" si="187"/>
        <v>0</v>
      </c>
      <c r="BE86" s="4504">
        <f t="shared" si="188"/>
        <v>0</v>
      </c>
      <c r="BF86" s="4504">
        <f t="shared" si="189"/>
        <v>0</v>
      </c>
      <c r="BG86" s="4504">
        <f t="shared" si="190"/>
        <v>0</v>
      </c>
      <c r="BH86" s="4504">
        <f t="shared" si="191"/>
        <v>0</v>
      </c>
      <c r="BI86" s="4504">
        <f t="shared" si="192"/>
        <v>0</v>
      </c>
      <c r="BJ86" s="4504">
        <f t="shared" si="193"/>
        <v>0</v>
      </c>
      <c r="BK86" s="4504">
        <f t="shared" si="194"/>
        <v>0</v>
      </c>
      <c r="BL86" s="4504">
        <f t="shared" si="195"/>
        <v>0</v>
      </c>
      <c r="BM86" s="4504">
        <f t="shared" si="196"/>
        <v>0</v>
      </c>
      <c r="BN86" s="4504">
        <f t="shared" si="197"/>
        <v>0</v>
      </c>
      <c r="BO86" s="4504">
        <f t="shared" si="198"/>
        <v>0</v>
      </c>
      <c r="BP86" s="4504">
        <f t="shared" si="199"/>
        <v>0</v>
      </c>
      <c r="BQ86" s="4504">
        <f t="shared" si="200"/>
        <v>0</v>
      </c>
      <c r="BR86" s="4504">
        <f t="shared" si="201"/>
        <v>0</v>
      </c>
      <c r="BS86" s="4504">
        <f t="shared" si="202"/>
        <v>0</v>
      </c>
      <c r="BT86" s="4504">
        <f t="shared" si="203"/>
        <v>0</v>
      </c>
      <c r="BU86" s="4504">
        <f t="shared" si="204"/>
        <v>0</v>
      </c>
      <c r="BV86" s="4504">
        <f t="shared" si="205"/>
        <v>0</v>
      </c>
      <c r="BW86" s="4504">
        <f t="shared" si="206"/>
        <v>0</v>
      </c>
      <c r="BX86" s="4504">
        <f t="shared" si="207"/>
        <v>0</v>
      </c>
      <c r="BY86" s="4504">
        <f t="shared" si="208"/>
        <v>0</v>
      </c>
      <c r="BZ86" s="4504">
        <f t="shared" si="209"/>
        <v>0</v>
      </c>
      <c r="CA86" s="4504">
        <f t="shared" si="210"/>
        <v>0</v>
      </c>
      <c r="CB86" s="4504">
        <f t="shared" si="211"/>
        <v>0</v>
      </c>
      <c r="CC86" s="4504">
        <f t="shared" si="212"/>
        <v>0</v>
      </c>
      <c r="CD86" s="4504">
        <f t="shared" si="213"/>
        <v>0</v>
      </c>
    </row>
    <row r="87" spans="1:82" s="669" customFormat="1">
      <c r="A87" s="2892"/>
      <c r="B87" s="2612">
        <v>2040204</v>
      </c>
      <c r="C87" s="2893">
        <v>0.02</v>
      </c>
      <c r="D87" s="2964" t="s">
        <v>419</v>
      </c>
      <c r="E87" s="4453">
        <f t="shared" si="233"/>
        <v>0</v>
      </c>
      <c r="F87" s="2943">
        <f t="shared" si="234"/>
        <v>0</v>
      </c>
      <c r="G87" s="2941">
        <f t="shared" si="235"/>
        <v>0</v>
      </c>
      <c r="H87" s="2941">
        <f t="shared" si="235"/>
        <v>0</v>
      </c>
      <c r="I87" s="2941">
        <f t="shared" si="235"/>
        <v>0</v>
      </c>
      <c r="J87" s="2941">
        <f t="shared" si="235"/>
        <v>0</v>
      </c>
      <c r="K87" s="2942">
        <f t="shared" si="235"/>
        <v>0</v>
      </c>
      <c r="L87" s="4453">
        <f t="shared" si="236"/>
        <v>0</v>
      </c>
      <c r="M87" s="2943">
        <f t="shared" si="237"/>
        <v>0</v>
      </c>
      <c r="N87" s="2941">
        <f t="shared" si="238"/>
        <v>0</v>
      </c>
      <c r="O87" s="2941">
        <f t="shared" si="238"/>
        <v>0</v>
      </c>
      <c r="P87" s="2941">
        <f t="shared" si="238"/>
        <v>0</v>
      </c>
      <c r="Q87" s="2941">
        <f t="shared" si="238"/>
        <v>0</v>
      </c>
      <c r="R87" s="2944">
        <f t="shared" si="238"/>
        <v>0</v>
      </c>
      <c r="S87" s="4453">
        <f t="shared" si="239"/>
        <v>0</v>
      </c>
      <c r="T87" s="4235">
        <f t="shared" si="240"/>
        <v>0</v>
      </c>
      <c r="U87" s="2941">
        <f t="shared" si="241"/>
        <v>0</v>
      </c>
      <c r="V87" s="2941">
        <f t="shared" si="241"/>
        <v>0</v>
      </c>
      <c r="W87" s="2941">
        <f t="shared" si="241"/>
        <v>0</v>
      </c>
      <c r="X87" s="2941">
        <f t="shared" si="241"/>
        <v>0</v>
      </c>
      <c r="Y87" s="2944">
        <f t="shared" si="241"/>
        <v>0</v>
      </c>
      <c r="Z87" s="4453">
        <f t="shared" si="242"/>
        <v>0</v>
      </c>
      <c r="AA87" s="4235">
        <f t="shared" si="243"/>
        <v>0</v>
      </c>
      <c r="AB87" s="2941">
        <f t="shared" si="244"/>
        <v>0</v>
      </c>
      <c r="AC87" s="2941">
        <f t="shared" si="244"/>
        <v>0</v>
      </c>
      <c r="AD87" s="2941">
        <f t="shared" si="244"/>
        <v>0</v>
      </c>
      <c r="AE87" s="2941">
        <f t="shared" si="244"/>
        <v>0</v>
      </c>
      <c r="AF87" s="2944">
        <f t="shared" si="244"/>
        <v>0</v>
      </c>
      <c r="AG87" s="4453">
        <f t="shared" si="245"/>
        <v>0</v>
      </c>
      <c r="AH87" s="4235">
        <f t="shared" si="246"/>
        <v>0</v>
      </c>
      <c r="AI87" s="2941">
        <f t="shared" si="247"/>
        <v>0</v>
      </c>
      <c r="AJ87" s="2941">
        <f t="shared" si="247"/>
        <v>0</v>
      </c>
      <c r="AK87" s="2941">
        <f t="shared" si="247"/>
        <v>0</v>
      </c>
      <c r="AL87" s="2941">
        <f t="shared" si="247"/>
        <v>0</v>
      </c>
      <c r="AM87" s="2944">
        <f t="shared" si="247"/>
        <v>0</v>
      </c>
      <c r="AN87" s="4132"/>
      <c r="AO87" s="3026"/>
      <c r="AP87" s="3027"/>
      <c r="AQ87" s="3027"/>
      <c r="AR87" s="3027"/>
      <c r="AS87" s="3027"/>
      <c r="AT87" s="3028"/>
      <c r="AU87" s="4488"/>
      <c r="AV87" s="4504">
        <f t="shared" si="179"/>
        <v>0</v>
      </c>
      <c r="AW87" s="4504">
        <f t="shared" si="180"/>
        <v>0</v>
      </c>
      <c r="AX87" s="4504">
        <f t="shared" si="181"/>
        <v>0</v>
      </c>
      <c r="AY87" s="4504">
        <f t="shared" si="182"/>
        <v>0</v>
      </c>
      <c r="AZ87" s="4504">
        <f t="shared" si="183"/>
        <v>0</v>
      </c>
      <c r="BA87" s="4504">
        <f t="shared" si="184"/>
        <v>0</v>
      </c>
      <c r="BB87" s="4504">
        <f t="shared" si="185"/>
        <v>0</v>
      </c>
      <c r="BC87" s="4504">
        <f t="shared" si="186"/>
        <v>0</v>
      </c>
      <c r="BD87" s="4504">
        <f t="shared" si="187"/>
        <v>0</v>
      </c>
      <c r="BE87" s="4504">
        <f t="shared" si="188"/>
        <v>0</v>
      </c>
      <c r="BF87" s="4504">
        <f t="shared" si="189"/>
        <v>0</v>
      </c>
      <c r="BG87" s="4504">
        <f t="shared" si="190"/>
        <v>0</v>
      </c>
      <c r="BH87" s="4504">
        <f t="shared" si="191"/>
        <v>0</v>
      </c>
      <c r="BI87" s="4504">
        <f t="shared" si="192"/>
        <v>0</v>
      </c>
      <c r="BJ87" s="4504">
        <f t="shared" si="193"/>
        <v>0</v>
      </c>
      <c r="BK87" s="4504">
        <f t="shared" si="194"/>
        <v>0</v>
      </c>
      <c r="BL87" s="4504">
        <f t="shared" si="195"/>
        <v>0</v>
      </c>
      <c r="BM87" s="4504">
        <f t="shared" si="196"/>
        <v>0</v>
      </c>
      <c r="BN87" s="4504">
        <f t="shared" si="197"/>
        <v>0</v>
      </c>
      <c r="BO87" s="4504">
        <f t="shared" si="198"/>
        <v>0</v>
      </c>
      <c r="BP87" s="4504">
        <f t="shared" si="199"/>
        <v>0</v>
      </c>
      <c r="BQ87" s="4504">
        <f t="shared" si="200"/>
        <v>0</v>
      </c>
      <c r="BR87" s="4504">
        <f t="shared" si="201"/>
        <v>0</v>
      </c>
      <c r="BS87" s="4504">
        <f t="shared" si="202"/>
        <v>0</v>
      </c>
      <c r="BT87" s="4504">
        <f t="shared" si="203"/>
        <v>0</v>
      </c>
      <c r="BU87" s="4504">
        <f t="shared" si="204"/>
        <v>0</v>
      </c>
      <c r="BV87" s="4504">
        <f t="shared" si="205"/>
        <v>0</v>
      </c>
      <c r="BW87" s="4504">
        <f t="shared" si="206"/>
        <v>0</v>
      </c>
      <c r="BX87" s="4504">
        <f t="shared" si="207"/>
        <v>0</v>
      </c>
      <c r="BY87" s="4504">
        <f t="shared" si="208"/>
        <v>0</v>
      </c>
      <c r="BZ87" s="4504">
        <f t="shared" si="209"/>
        <v>0</v>
      </c>
      <c r="CA87" s="4504">
        <f t="shared" si="210"/>
        <v>0</v>
      </c>
      <c r="CB87" s="4504">
        <f t="shared" si="211"/>
        <v>0</v>
      </c>
      <c r="CC87" s="4504">
        <f t="shared" si="212"/>
        <v>0</v>
      </c>
      <c r="CD87" s="4504">
        <f t="shared" si="213"/>
        <v>0</v>
      </c>
    </row>
    <row r="88" spans="1:82" s="669" customFormat="1">
      <c r="A88" s="2892"/>
      <c r="B88" s="2612">
        <v>2040205</v>
      </c>
      <c r="C88" s="2893">
        <v>0.02</v>
      </c>
      <c r="D88" s="2961" t="s">
        <v>420</v>
      </c>
      <c r="E88" s="4453">
        <f t="shared" si="233"/>
        <v>5.8032797581283058</v>
      </c>
      <c r="F88" s="2943">
        <f t="shared" si="234"/>
        <v>11.606559516256612</v>
      </c>
      <c r="G88" s="2941">
        <f t="shared" si="235"/>
        <v>11.606559516256612</v>
      </c>
      <c r="H88" s="2941">
        <f t="shared" si="235"/>
        <v>11.606559516256612</v>
      </c>
      <c r="I88" s="2941">
        <f t="shared" si="235"/>
        <v>11.606559516256612</v>
      </c>
      <c r="J88" s="2941">
        <f t="shared" si="235"/>
        <v>11.606559516256612</v>
      </c>
      <c r="K88" s="2942">
        <f t="shared" si="235"/>
        <v>11.606559516256612</v>
      </c>
      <c r="L88" s="4453">
        <f t="shared" si="236"/>
        <v>0</v>
      </c>
      <c r="M88" s="2943">
        <f t="shared" si="237"/>
        <v>0</v>
      </c>
      <c r="N88" s="2941">
        <f t="shared" si="238"/>
        <v>0</v>
      </c>
      <c r="O88" s="2941">
        <f t="shared" si="238"/>
        <v>0</v>
      </c>
      <c r="P88" s="2941">
        <f t="shared" si="238"/>
        <v>0</v>
      </c>
      <c r="Q88" s="2941">
        <f t="shared" si="238"/>
        <v>0</v>
      </c>
      <c r="R88" s="2944">
        <f t="shared" si="238"/>
        <v>0</v>
      </c>
      <c r="S88" s="4453">
        <f t="shared" si="239"/>
        <v>0</v>
      </c>
      <c r="T88" s="4235">
        <f t="shared" si="240"/>
        <v>0</v>
      </c>
      <c r="U88" s="2941">
        <f t="shared" si="241"/>
        <v>0</v>
      </c>
      <c r="V88" s="2941">
        <f t="shared" si="241"/>
        <v>0</v>
      </c>
      <c r="W88" s="2941">
        <f t="shared" si="241"/>
        <v>0</v>
      </c>
      <c r="X88" s="2941">
        <f t="shared" si="241"/>
        <v>0</v>
      </c>
      <c r="Y88" s="2944">
        <f t="shared" si="241"/>
        <v>0</v>
      </c>
      <c r="Z88" s="4453">
        <f t="shared" si="242"/>
        <v>0</v>
      </c>
      <c r="AA88" s="4235">
        <f t="shared" si="243"/>
        <v>0</v>
      </c>
      <c r="AB88" s="2941">
        <f t="shared" si="244"/>
        <v>0</v>
      </c>
      <c r="AC88" s="2941">
        <f t="shared" si="244"/>
        <v>0</v>
      </c>
      <c r="AD88" s="2941">
        <f t="shared" si="244"/>
        <v>0</v>
      </c>
      <c r="AE88" s="2941">
        <f t="shared" si="244"/>
        <v>0</v>
      </c>
      <c r="AF88" s="2944">
        <f t="shared" si="244"/>
        <v>0</v>
      </c>
      <c r="AG88" s="4453">
        <f t="shared" si="245"/>
        <v>0.29204694187169278</v>
      </c>
      <c r="AH88" s="4235">
        <f t="shared" si="246"/>
        <v>0.58409388374338556</v>
      </c>
      <c r="AI88" s="2941">
        <f t="shared" si="247"/>
        <v>0.58409388374338556</v>
      </c>
      <c r="AJ88" s="2941">
        <f t="shared" si="247"/>
        <v>0.58409388374338556</v>
      </c>
      <c r="AK88" s="2941">
        <f t="shared" si="247"/>
        <v>0.58409388374338556</v>
      </c>
      <c r="AL88" s="2941">
        <f t="shared" si="247"/>
        <v>0.58409388374338556</v>
      </c>
      <c r="AM88" s="2944">
        <f t="shared" si="247"/>
        <v>0.58409388374338556</v>
      </c>
      <c r="AN88" s="4132"/>
      <c r="AO88" s="3026"/>
      <c r="AP88" s="3027"/>
      <c r="AQ88" s="3027"/>
      <c r="AR88" s="3027"/>
      <c r="AS88" s="3027"/>
      <c r="AT88" s="3028"/>
      <c r="AU88" s="4488"/>
      <c r="AV88" s="4504">
        <f t="shared" si="179"/>
        <v>2.9671698246413571</v>
      </c>
      <c r="AW88" s="4504">
        <f t="shared" si="180"/>
        <v>5.9343396492827143</v>
      </c>
      <c r="AX88" s="4504">
        <f t="shared" si="181"/>
        <v>5.9343396492827143</v>
      </c>
      <c r="AY88" s="4504">
        <f t="shared" si="182"/>
        <v>5.9343396492827143</v>
      </c>
      <c r="AZ88" s="4504">
        <f t="shared" si="183"/>
        <v>5.9343396492827143</v>
      </c>
      <c r="BA88" s="4504">
        <f t="shared" si="184"/>
        <v>5.9343396492827143</v>
      </c>
      <c r="BB88" s="4504">
        <f t="shared" si="185"/>
        <v>5.9343396492827143</v>
      </c>
      <c r="BC88" s="4504">
        <f t="shared" si="186"/>
        <v>0</v>
      </c>
      <c r="BD88" s="4504">
        <f t="shared" si="187"/>
        <v>0</v>
      </c>
      <c r="BE88" s="4504">
        <f t="shared" si="188"/>
        <v>0</v>
      </c>
      <c r="BF88" s="4504">
        <f t="shared" si="189"/>
        <v>0</v>
      </c>
      <c r="BG88" s="4504">
        <f t="shared" si="190"/>
        <v>0</v>
      </c>
      <c r="BH88" s="4504">
        <f t="shared" si="191"/>
        <v>0</v>
      </c>
      <c r="BI88" s="4504">
        <f t="shared" si="192"/>
        <v>0</v>
      </c>
      <c r="BJ88" s="4504">
        <f t="shared" si="193"/>
        <v>0</v>
      </c>
      <c r="BK88" s="4504">
        <f t="shared" si="194"/>
        <v>0</v>
      </c>
      <c r="BL88" s="4504">
        <f t="shared" si="195"/>
        <v>0</v>
      </c>
      <c r="BM88" s="4504">
        <f t="shared" si="196"/>
        <v>0</v>
      </c>
      <c r="BN88" s="4504">
        <f t="shared" si="197"/>
        <v>0</v>
      </c>
      <c r="BO88" s="4504">
        <f t="shared" si="198"/>
        <v>0</v>
      </c>
      <c r="BP88" s="4504">
        <f t="shared" si="199"/>
        <v>0</v>
      </c>
      <c r="BQ88" s="4504">
        <f t="shared" si="200"/>
        <v>0</v>
      </c>
      <c r="BR88" s="4504">
        <f t="shared" si="201"/>
        <v>0</v>
      </c>
      <c r="BS88" s="4504">
        <f t="shared" si="202"/>
        <v>0</v>
      </c>
      <c r="BT88" s="4504">
        <f t="shared" si="203"/>
        <v>0</v>
      </c>
      <c r="BU88" s="4504">
        <f t="shared" si="204"/>
        <v>0</v>
      </c>
      <c r="BV88" s="4504">
        <f t="shared" si="205"/>
        <v>0</v>
      </c>
      <c r="BW88" s="4504">
        <f t="shared" si="206"/>
        <v>0</v>
      </c>
      <c r="BX88" s="4504">
        <f t="shared" si="207"/>
        <v>0.14932123030718047</v>
      </c>
      <c r="BY88" s="4504">
        <f t="shared" si="208"/>
        <v>0.29864246061436095</v>
      </c>
      <c r="BZ88" s="4504">
        <f t="shared" si="209"/>
        <v>0.29864246061436095</v>
      </c>
      <c r="CA88" s="4504">
        <f t="shared" si="210"/>
        <v>0.29864246061436095</v>
      </c>
      <c r="CB88" s="4504">
        <f t="shared" si="211"/>
        <v>0.29864246061436095</v>
      </c>
      <c r="CC88" s="4504">
        <f t="shared" si="212"/>
        <v>0.29864246061436095</v>
      </c>
      <c r="CD88" s="4504">
        <f t="shared" si="213"/>
        <v>0.29864246061436095</v>
      </c>
    </row>
    <row r="89" spans="1:82" s="669" customFormat="1">
      <c r="A89" s="2892"/>
      <c r="B89" s="2612">
        <v>2040206</v>
      </c>
      <c r="C89" s="2893">
        <v>0.02</v>
      </c>
      <c r="D89" s="2961" t="s">
        <v>421</v>
      </c>
      <c r="E89" s="4453">
        <f t="shared" si="233"/>
        <v>0</v>
      </c>
      <c r="F89" s="2943">
        <f t="shared" si="234"/>
        <v>0</v>
      </c>
      <c r="G89" s="2941">
        <f t="shared" si="235"/>
        <v>0</v>
      </c>
      <c r="H89" s="2941">
        <f t="shared" si="235"/>
        <v>0</v>
      </c>
      <c r="I89" s="2941">
        <f t="shared" si="235"/>
        <v>0</v>
      </c>
      <c r="J89" s="2941">
        <f t="shared" si="235"/>
        <v>0</v>
      </c>
      <c r="K89" s="2942">
        <f t="shared" si="235"/>
        <v>0</v>
      </c>
      <c r="L89" s="4453">
        <f t="shared" si="236"/>
        <v>9.1790699999999989E-2</v>
      </c>
      <c r="M89" s="2943">
        <f t="shared" si="237"/>
        <v>0.18358139999999998</v>
      </c>
      <c r="N89" s="2941">
        <f t="shared" si="238"/>
        <v>0.18358139999999998</v>
      </c>
      <c r="O89" s="2941">
        <f t="shared" si="238"/>
        <v>0.18358139999999998</v>
      </c>
      <c r="P89" s="2941">
        <f t="shared" si="238"/>
        <v>0.18358139999999998</v>
      </c>
      <c r="Q89" s="2941">
        <f t="shared" si="238"/>
        <v>0.18358139999999998</v>
      </c>
      <c r="R89" s="2944">
        <f t="shared" si="238"/>
        <v>0.18358139999999998</v>
      </c>
      <c r="S89" s="4453">
        <f t="shared" si="239"/>
        <v>0</v>
      </c>
      <c r="T89" s="4235">
        <f t="shared" si="240"/>
        <v>0</v>
      </c>
      <c r="U89" s="2941">
        <f t="shared" si="241"/>
        <v>0</v>
      </c>
      <c r="V89" s="2941">
        <f t="shared" si="241"/>
        <v>0</v>
      </c>
      <c r="W89" s="2941">
        <f t="shared" si="241"/>
        <v>0</v>
      </c>
      <c r="X89" s="2941">
        <f t="shared" si="241"/>
        <v>0</v>
      </c>
      <c r="Y89" s="2944">
        <f t="shared" si="241"/>
        <v>0</v>
      </c>
      <c r="Z89" s="4453">
        <f t="shared" si="242"/>
        <v>0</v>
      </c>
      <c r="AA89" s="4235">
        <f t="shared" si="243"/>
        <v>0</v>
      </c>
      <c r="AB89" s="2941">
        <f t="shared" si="244"/>
        <v>0</v>
      </c>
      <c r="AC89" s="2941">
        <f t="shared" si="244"/>
        <v>0</v>
      </c>
      <c r="AD89" s="2941">
        <f t="shared" si="244"/>
        <v>0</v>
      </c>
      <c r="AE89" s="2941">
        <f t="shared" si="244"/>
        <v>0</v>
      </c>
      <c r="AF89" s="2944">
        <f t="shared" si="244"/>
        <v>0</v>
      </c>
      <c r="AG89" s="4453">
        <f t="shared" si="245"/>
        <v>0</v>
      </c>
      <c r="AH89" s="4235">
        <f t="shared" si="246"/>
        <v>0</v>
      </c>
      <c r="AI89" s="2941">
        <f t="shared" si="247"/>
        <v>0</v>
      </c>
      <c r="AJ89" s="2941">
        <f t="shared" si="247"/>
        <v>0</v>
      </c>
      <c r="AK89" s="2941">
        <f t="shared" si="247"/>
        <v>0</v>
      </c>
      <c r="AL89" s="2941">
        <f t="shared" si="247"/>
        <v>0</v>
      </c>
      <c r="AM89" s="2944">
        <f t="shared" si="247"/>
        <v>0</v>
      </c>
      <c r="AN89" s="4132"/>
      <c r="AO89" s="3026"/>
      <c r="AP89" s="3027"/>
      <c r="AQ89" s="3027"/>
      <c r="AR89" s="3027"/>
      <c r="AS89" s="3027"/>
      <c r="AT89" s="3028"/>
      <c r="AU89" s="4488"/>
      <c r="AV89" s="4504">
        <f t="shared" si="179"/>
        <v>0</v>
      </c>
      <c r="AW89" s="4504">
        <f t="shared" si="180"/>
        <v>0</v>
      </c>
      <c r="AX89" s="4504">
        <f t="shared" si="181"/>
        <v>0</v>
      </c>
      <c r="AY89" s="4504">
        <f t="shared" si="182"/>
        <v>0</v>
      </c>
      <c r="AZ89" s="4504">
        <f t="shared" si="183"/>
        <v>0</v>
      </c>
      <c r="BA89" s="4504">
        <f t="shared" si="184"/>
        <v>0</v>
      </c>
      <c r="BB89" s="4504">
        <f t="shared" si="185"/>
        <v>0</v>
      </c>
      <c r="BC89" s="4504">
        <f t="shared" si="186"/>
        <v>4.693183967931773E-2</v>
      </c>
      <c r="BD89" s="4504">
        <f t="shared" si="187"/>
        <v>9.386367935863546E-2</v>
      </c>
      <c r="BE89" s="4504">
        <f t="shared" si="188"/>
        <v>9.386367935863546E-2</v>
      </c>
      <c r="BF89" s="4504">
        <f t="shared" si="189"/>
        <v>9.386367935863546E-2</v>
      </c>
      <c r="BG89" s="4504">
        <f t="shared" si="190"/>
        <v>9.386367935863546E-2</v>
      </c>
      <c r="BH89" s="4504">
        <f t="shared" si="191"/>
        <v>9.386367935863546E-2</v>
      </c>
      <c r="BI89" s="4504">
        <f t="shared" si="192"/>
        <v>9.386367935863546E-2</v>
      </c>
      <c r="BJ89" s="4504">
        <f t="shared" si="193"/>
        <v>0</v>
      </c>
      <c r="BK89" s="4504">
        <f t="shared" si="194"/>
        <v>0</v>
      </c>
      <c r="BL89" s="4504">
        <f t="shared" si="195"/>
        <v>0</v>
      </c>
      <c r="BM89" s="4504">
        <f t="shared" si="196"/>
        <v>0</v>
      </c>
      <c r="BN89" s="4504">
        <f t="shared" si="197"/>
        <v>0</v>
      </c>
      <c r="BO89" s="4504">
        <f t="shared" si="198"/>
        <v>0</v>
      </c>
      <c r="BP89" s="4504">
        <f t="shared" si="199"/>
        <v>0</v>
      </c>
      <c r="BQ89" s="4504">
        <f t="shared" si="200"/>
        <v>0</v>
      </c>
      <c r="BR89" s="4504">
        <f t="shared" si="201"/>
        <v>0</v>
      </c>
      <c r="BS89" s="4504">
        <f t="shared" si="202"/>
        <v>0</v>
      </c>
      <c r="BT89" s="4504">
        <f t="shared" si="203"/>
        <v>0</v>
      </c>
      <c r="BU89" s="4504">
        <f t="shared" si="204"/>
        <v>0</v>
      </c>
      <c r="BV89" s="4504">
        <f t="shared" si="205"/>
        <v>0</v>
      </c>
      <c r="BW89" s="4504">
        <f t="shared" si="206"/>
        <v>0</v>
      </c>
      <c r="BX89" s="4504">
        <f t="shared" si="207"/>
        <v>0</v>
      </c>
      <c r="BY89" s="4504">
        <f t="shared" si="208"/>
        <v>0</v>
      </c>
      <c r="BZ89" s="4504">
        <f t="shared" si="209"/>
        <v>0</v>
      </c>
      <c r="CA89" s="4504">
        <f t="shared" si="210"/>
        <v>0</v>
      </c>
      <c r="CB89" s="4504">
        <f t="shared" si="211"/>
        <v>0</v>
      </c>
      <c r="CC89" s="4504">
        <f t="shared" si="212"/>
        <v>0</v>
      </c>
      <c r="CD89" s="4504">
        <f t="shared" si="213"/>
        <v>0</v>
      </c>
    </row>
    <row r="90" spans="1:82" s="669" customFormat="1" ht="26.4">
      <c r="A90" s="2892"/>
      <c r="B90" s="2612">
        <v>2040207</v>
      </c>
      <c r="C90" s="2893">
        <v>0.04</v>
      </c>
      <c r="D90" s="2961" t="s">
        <v>422</v>
      </c>
      <c r="E90" s="4453">
        <f t="shared" si="233"/>
        <v>0</v>
      </c>
      <c r="F90" s="2943">
        <f t="shared" si="234"/>
        <v>0</v>
      </c>
      <c r="G90" s="2941">
        <f t="shared" si="235"/>
        <v>0</v>
      </c>
      <c r="H90" s="2941">
        <f t="shared" si="235"/>
        <v>0</v>
      </c>
      <c r="I90" s="2941">
        <f t="shared" si="235"/>
        <v>0</v>
      </c>
      <c r="J90" s="2941">
        <f t="shared" si="235"/>
        <v>0</v>
      </c>
      <c r="K90" s="2942">
        <f t="shared" si="235"/>
        <v>0</v>
      </c>
      <c r="L90" s="4453">
        <f t="shared" si="236"/>
        <v>0</v>
      </c>
      <c r="M90" s="2943">
        <f t="shared" si="237"/>
        <v>0</v>
      </c>
      <c r="N90" s="2941">
        <f t="shared" si="238"/>
        <v>0</v>
      </c>
      <c r="O90" s="2941">
        <f t="shared" si="238"/>
        <v>0</v>
      </c>
      <c r="P90" s="2941">
        <f t="shared" si="238"/>
        <v>0</v>
      </c>
      <c r="Q90" s="2941">
        <f t="shared" si="238"/>
        <v>0</v>
      </c>
      <c r="R90" s="2944">
        <f t="shared" si="238"/>
        <v>0</v>
      </c>
      <c r="S90" s="4453">
        <f t="shared" si="239"/>
        <v>0</v>
      </c>
      <c r="T90" s="4235">
        <f t="shared" si="240"/>
        <v>0</v>
      </c>
      <c r="U90" s="2941">
        <f t="shared" si="241"/>
        <v>0</v>
      </c>
      <c r="V90" s="2941">
        <f t="shared" si="241"/>
        <v>0</v>
      </c>
      <c r="W90" s="2941">
        <f t="shared" si="241"/>
        <v>0</v>
      </c>
      <c r="X90" s="2941">
        <f t="shared" si="241"/>
        <v>0</v>
      </c>
      <c r="Y90" s="2944">
        <f t="shared" si="241"/>
        <v>0</v>
      </c>
      <c r="Z90" s="4453">
        <f t="shared" si="242"/>
        <v>0</v>
      </c>
      <c r="AA90" s="4235">
        <f t="shared" si="243"/>
        <v>0</v>
      </c>
      <c r="AB90" s="2941">
        <f t="shared" si="244"/>
        <v>0</v>
      </c>
      <c r="AC90" s="2941">
        <f t="shared" si="244"/>
        <v>0</v>
      </c>
      <c r="AD90" s="2941">
        <f t="shared" si="244"/>
        <v>0</v>
      </c>
      <c r="AE90" s="2941">
        <f t="shared" si="244"/>
        <v>0</v>
      </c>
      <c r="AF90" s="2944">
        <f t="shared" si="244"/>
        <v>0</v>
      </c>
      <c r="AG90" s="4453">
        <f t="shared" si="245"/>
        <v>0</v>
      </c>
      <c r="AH90" s="4235">
        <f t="shared" si="246"/>
        <v>0</v>
      </c>
      <c r="AI90" s="2941">
        <f t="shared" si="247"/>
        <v>0</v>
      </c>
      <c r="AJ90" s="2941">
        <f t="shared" si="247"/>
        <v>0</v>
      </c>
      <c r="AK90" s="2941">
        <f t="shared" si="247"/>
        <v>0</v>
      </c>
      <c r="AL90" s="2941">
        <f t="shared" si="247"/>
        <v>0</v>
      </c>
      <c r="AM90" s="2944">
        <f t="shared" si="247"/>
        <v>0</v>
      </c>
      <c r="AN90" s="4132"/>
      <c r="AO90" s="3026"/>
      <c r="AP90" s="3027"/>
      <c r="AQ90" s="3027"/>
      <c r="AR90" s="3027"/>
      <c r="AS90" s="3027"/>
      <c r="AT90" s="3028"/>
      <c r="AU90" s="4488"/>
      <c r="AV90" s="4504">
        <f t="shared" si="179"/>
        <v>0</v>
      </c>
      <c r="AW90" s="4504">
        <f t="shared" si="180"/>
        <v>0</v>
      </c>
      <c r="AX90" s="4504">
        <f t="shared" si="181"/>
        <v>0</v>
      </c>
      <c r="AY90" s="4504">
        <f t="shared" si="182"/>
        <v>0</v>
      </c>
      <c r="AZ90" s="4504">
        <f t="shared" si="183"/>
        <v>0</v>
      </c>
      <c r="BA90" s="4504">
        <f t="shared" si="184"/>
        <v>0</v>
      </c>
      <c r="BB90" s="4504">
        <f t="shared" si="185"/>
        <v>0</v>
      </c>
      <c r="BC90" s="4504">
        <f t="shared" si="186"/>
        <v>0</v>
      </c>
      <c r="BD90" s="4504">
        <f t="shared" si="187"/>
        <v>0</v>
      </c>
      <c r="BE90" s="4504">
        <f t="shared" si="188"/>
        <v>0</v>
      </c>
      <c r="BF90" s="4504">
        <f t="shared" si="189"/>
        <v>0</v>
      </c>
      <c r="BG90" s="4504">
        <f t="shared" si="190"/>
        <v>0</v>
      </c>
      <c r="BH90" s="4504">
        <f t="shared" si="191"/>
        <v>0</v>
      </c>
      <c r="BI90" s="4504">
        <f t="shared" si="192"/>
        <v>0</v>
      </c>
      <c r="BJ90" s="4504">
        <f t="shared" si="193"/>
        <v>0</v>
      </c>
      <c r="BK90" s="4504">
        <f t="shared" si="194"/>
        <v>0</v>
      </c>
      <c r="BL90" s="4504">
        <f t="shared" si="195"/>
        <v>0</v>
      </c>
      <c r="BM90" s="4504">
        <f t="shared" si="196"/>
        <v>0</v>
      </c>
      <c r="BN90" s="4504">
        <f t="shared" si="197"/>
        <v>0</v>
      </c>
      <c r="BO90" s="4504">
        <f t="shared" si="198"/>
        <v>0</v>
      </c>
      <c r="BP90" s="4504">
        <f t="shared" si="199"/>
        <v>0</v>
      </c>
      <c r="BQ90" s="4504">
        <f t="shared" si="200"/>
        <v>0</v>
      </c>
      <c r="BR90" s="4504">
        <f t="shared" si="201"/>
        <v>0</v>
      </c>
      <c r="BS90" s="4504">
        <f t="shared" si="202"/>
        <v>0</v>
      </c>
      <c r="BT90" s="4504">
        <f t="shared" si="203"/>
        <v>0</v>
      </c>
      <c r="BU90" s="4504">
        <f t="shared" si="204"/>
        <v>0</v>
      </c>
      <c r="BV90" s="4504">
        <f t="shared" si="205"/>
        <v>0</v>
      </c>
      <c r="BW90" s="4504">
        <f t="shared" si="206"/>
        <v>0</v>
      </c>
      <c r="BX90" s="4504">
        <f t="shared" si="207"/>
        <v>0</v>
      </c>
      <c r="BY90" s="4504">
        <f t="shared" si="208"/>
        <v>0</v>
      </c>
      <c r="BZ90" s="4504">
        <f t="shared" si="209"/>
        <v>0</v>
      </c>
      <c r="CA90" s="4504">
        <f t="shared" si="210"/>
        <v>0</v>
      </c>
      <c r="CB90" s="4504">
        <f t="shared" si="211"/>
        <v>0</v>
      </c>
      <c r="CC90" s="4504">
        <f t="shared" si="212"/>
        <v>0</v>
      </c>
      <c r="CD90" s="4504">
        <f t="shared" si="213"/>
        <v>0</v>
      </c>
    </row>
    <row r="91" spans="1:82" s="669" customFormat="1">
      <c r="A91" s="2892"/>
      <c r="B91" s="2612">
        <v>2040208</v>
      </c>
      <c r="C91" s="2893">
        <v>0.04</v>
      </c>
      <c r="D91" s="2961" t="s">
        <v>423</v>
      </c>
      <c r="E91" s="4453">
        <f t="shared" si="233"/>
        <v>0</v>
      </c>
      <c r="F91" s="2943">
        <f t="shared" si="234"/>
        <v>0</v>
      </c>
      <c r="G91" s="2941">
        <f t="shared" si="235"/>
        <v>0</v>
      </c>
      <c r="H91" s="2941">
        <f t="shared" si="235"/>
        <v>0</v>
      </c>
      <c r="I91" s="2941">
        <f t="shared" si="235"/>
        <v>0</v>
      </c>
      <c r="J91" s="2941">
        <f t="shared" si="235"/>
        <v>0</v>
      </c>
      <c r="K91" s="2942">
        <f t="shared" si="235"/>
        <v>0</v>
      </c>
      <c r="L91" s="4453">
        <f t="shared" si="236"/>
        <v>0</v>
      </c>
      <c r="M91" s="2943">
        <f t="shared" si="237"/>
        <v>0</v>
      </c>
      <c r="N91" s="2941">
        <f t="shared" si="238"/>
        <v>0</v>
      </c>
      <c r="O91" s="2941">
        <f t="shared" si="238"/>
        <v>0</v>
      </c>
      <c r="P91" s="2941">
        <f t="shared" si="238"/>
        <v>0</v>
      </c>
      <c r="Q91" s="2941">
        <f t="shared" si="238"/>
        <v>0</v>
      </c>
      <c r="R91" s="2944">
        <f t="shared" si="238"/>
        <v>0</v>
      </c>
      <c r="S91" s="4453">
        <f t="shared" si="239"/>
        <v>0</v>
      </c>
      <c r="T91" s="4235">
        <f t="shared" si="240"/>
        <v>0</v>
      </c>
      <c r="U91" s="2941">
        <f t="shared" si="241"/>
        <v>0</v>
      </c>
      <c r="V91" s="2941">
        <f t="shared" si="241"/>
        <v>0</v>
      </c>
      <c r="W91" s="2941">
        <f t="shared" si="241"/>
        <v>0</v>
      </c>
      <c r="X91" s="2941">
        <f t="shared" si="241"/>
        <v>0</v>
      </c>
      <c r="Y91" s="2944">
        <f t="shared" si="241"/>
        <v>0</v>
      </c>
      <c r="Z91" s="4453">
        <f t="shared" si="242"/>
        <v>0</v>
      </c>
      <c r="AA91" s="4235">
        <f t="shared" si="243"/>
        <v>0</v>
      </c>
      <c r="AB91" s="2941">
        <f t="shared" si="244"/>
        <v>0</v>
      </c>
      <c r="AC91" s="2941">
        <f t="shared" si="244"/>
        <v>0</v>
      </c>
      <c r="AD91" s="2941">
        <f t="shared" si="244"/>
        <v>0</v>
      </c>
      <c r="AE91" s="2941">
        <f t="shared" si="244"/>
        <v>0</v>
      </c>
      <c r="AF91" s="2944">
        <f t="shared" si="244"/>
        <v>0</v>
      </c>
      <c r="AG91" s="4453">
        <f t="shared" si="245"/>
        <v>0</v>
      </c>
      <c r="AH91" s="4235">
        <f t="shared" si="246"/>
        <v>0</v>
      </c>
      <c r="AI91" s="2941">
        <f t="shared" si="247"/>
        <v>0</v>
      </c>
      <c r="AJ91" s="2941">
        <f t="shared" si="247"/>
        <v>0</v>
      </c>
      <c r="AK91" s="2941">
        <f t="shared" si="247"/>
        <v>0</v>
      </c>
      <c r="AL91" s="2941">
        <f t="shared" si="247"/>
        <v>0</v>
      </c>
      <c r="AM91" s="2944">
        <f t="shared" si="247"/>
        <v>0</v>
      </c>
      <c r="AN91" s="4132"/>
      <c r="AO91" s="3026"/>
      <c r="AP91" s="3027"/>
      <c r="AQ91" s="3027"/>
      <c r="AR91" s="3027"/>
      <c r="AS91" s="3027"/>
      <c r="AT91" s="3028"/>
      <c r="AU91" s="4488"/>
      <c r="AV91" s="4504">
        <f t="shared" si="179"/>
        <v>0</v>
      </c>
      <c r="AW91" s="4504">
        <f t="shared" si="180"/>
        <v>0</v>
      </c>
      <c r="AX91" s="4504">
        <f t="shared" si="181"/>
        <v>0</v>
      </c>
      <c r="AY91" s="4504">
        <f t="shared" si="182"/>
        <v>0</v>
      </c>
      <c r="AZ91" s="4504">
        <f t="shared" si="183"/>
        <v>0</v>
      </c>
      <c r="BA91" s="4504">
        <f t="shared" si="184"/>
        <v>0</v>
      </c>
      <c r="BB91" s="4504">
        <f t="shared" si="185"/>
        <v>0</v>
      </c>
      <c r="BC91" s="4504">
        <f t="shared" si="186"/>
        <v>0</v>
      </c>
      <c r="BD91" s="4504">
        <f t="shared" si="187"/>
        <v>0</v>
      </c>
      <c r="BE91" s="4504">
        <f t="shared" si="188"/>
        <v>0</v>
      </c>
      <c r="BF91" s="4504">
        <f t="shared" si="189"/>
        <v>0</v>
      </c>
      <c r="BG91" s="4504">
        <f t="shared" si="190"/>
        <v>0</v>
      </c>
      <c r="BH91" s="4504">
        <f t="shared" si="191"/>
        <v>0</v>
      </c>
      <c r="BI91" s="4504">
        <f t="shared" si="192"/>
        <v>0</v>
      </c>
      <c r="BJ91" s="4504">
        <f t="shared" si="193"/>
        <v>0</v>
      </c>
      <c r="BK91" s="4504">
        <f t="shared" si="194"/>
        <v>0</v>
      </c>
      <c r="BL91" s="4504">
        <f t="shared" si="195"/>
        <v>0</v>
      </c>
      <c r="BM91" s="4504">
        <f t="shared" si="196"/>
        <v>0</v>
      </c>
      <c r="BN91" s="4504">
        <f t="shared" si="197"/>
        <v>0</v>
      </c>
      <c r="BO91" s="4504">
        <f t="shared" si="198"/>
        <v>0</v>
      </c>
      <c r="BP91" s="4504">
        <f t="shared" si="199"/>
        <v>0</v>
      </c>
      <c r="BQ91" s="4504">
        <f t="shared" si="200"/>
        <v>0</v>
      </c>
      <c r="BR91" s="4504">
        <f t="shared" si="201"/>
        <v>0</v>
      </c>
      <c r="BS91" s="4504">
        <f t="shared" si="202"/>
        <v>0</v>
      </c>
      <c r="BT91" s="4504">
        <f t="shared" si="203"/>
        <v>0</v>
      </c>
      <c r="BU91" s="4504">
        <f t="shared" si="204"/>
        <v>0</v>
      </c>
      <c r="BV91" s="4504">
        <f t="shared" si="205"/>
        <v>0</v>
      </c>
      <c r="BW91" s="4504">
        <f t="shared" si="206"/>
        <v>0</v>
      </c>
      <c r="BX91" s="4504">
        <f t="shared" si="207"/>
        <v>0</v>
      </c>
      <c r="BY91" s="4504">
        <f t="shared" si="208"/>
        <v>0</v>
      </c>
      <c r="BZ91" s="4504">
        <f t="shared" si="209"/>
        <v>0</v>
      </c>
      <c r="CA91" s="4504">
        <f t="shared" si="210"/>
        <v>0</v>
      </c>
      <c r="CB91" s="4504">
        <f t="shared" si="211"/>
        <v>0</v>
      </c>
      <c r="CC91" s="4504">
        <f t="shared" si="212"/>
        <v>0</v>
      </c>
      <c r="CD91" s="4504">
        <f t="shared" si="213"/>
        <v>0</v>
      </c>
    </row>
    <row r="92" spans="1:82" s="669" customFormat="1">
      <c r="A92" s="2892"/>
      <c r="B92" s="2612">
        <v>20403</v>
      </c>
      <c r="C92" s="2893">
        <v>0.04</v>
      </c>
      <c r="D92" s="2909" t="s">
        <v>1050</v>
      </c>
      <c r="E92" s="4453">
        <f t="shared" si="233"/>
        <v>0</v>
      </c>
      <c r="F92" s="2943">
        <f t="shared" si="234"/>
        <v>0</v>
      </c>
      <c r="G92" s="2941">
        <f t="shared" si="235"/>
        <v>0</v>
      </c>
      <c r="H92" s="2941">
        <f t="shared" si="235"/>
        <v>0</v>
      </c>
      <c r="I92" s="2941">
        <f t="shared" si="235"/>
        <v>0</v>
      </c>
      <c r="J92" s="2941">
        <f t="shared" si="235"/>
        <v>0</v>
      </c>
      <c r="K92" s="2942">
        <f t="shared" si="235"/>
        <v>0</v>
      </c>
      <c r="L92" s="4453">
        <f t="shared" si="236"/>
        <v>0</v>
      </c>
      <c r="M92" s="2943">
        <f t="shared" si="237"/>
        <v>0</v>
      </c>
      <c r="N92" s="2941">
        <f t="shared" si="238"/>
        <v>0</v>
      </c>
      <c r="O92" s="2941">
        <f t="shared" si="238"/>
        <v>0</v>
      </c>
      <c r="P92" s="2941">
        <f t="shared" si="238"/>
        <v>0</v>
      </c>
      <c r="Q92" s="2941">
        <f t="shared" si="238"/>
        <v>0</v>
      </c>
      <c r="R92" s="2944">
        <f t="shared" si="238"/>
        <v>0</v>
      </c>
      <c r="S92" s="4453">
        <f t="shared" si="239"/>
        <v>0</v>
      </c>
      <c r="T92" s="4235">
        <f t="shared" si="240"/>
        <v>0</v>
      </c>
      <c r="U92" s="2941">
        <f t="shared" si="241"/>
        <v>0</v>
      </c>
      <c r="V92" s="2941">
        <f t="shared" si="241"/>
        <v>0</v>
      </c>
      <c r="W92" s="2941">
        <f t="shared" si="241"/>
        <v>0</v>
      </c>
      <c r="X92" s="2941">
        <f t="shared" si="241"/>
        <v>0</v>
      </c>
      <c r="Y92" s="2944">
        <f t="shared" si="241"/>
        <v>0</v>
      </c>
      <c r="Z92" s="4453">
        <f t="shared" si="242"/>
        <v>0</v>
      </c>
      <c r="AA92" s="4235">
        <f t="shared" si="243"/>
        <v>0</v>
      </c>
      <c r="AB92" s="2941">
        <f t="shared" si="244"/>
        <v>0</v>
      </c>
      <c r="AC92" s="2941">
        <f t="shared" si="244"/>
        <v>0</v>
      </c>
      <c r="AD92" s="2941">
        <f t="shared" si="244"/>
        <v>0</v>
      </c>
      <c r="AE92" s="2941">
        <f t="shared" si="244"/>
        <v>0</v>
      </c>
      <c r="AF92" s="2944">
        <f t="shared" si="244"/>
        <v>0</v>
      </c>
      <c r="AG92" s="4453">
        <f t="shared" si="245"/>
        <v>0</v>
      </c>
      <c r="AH92" s="4235">
        <f t="shared" si="246"/>
        <v>0</v>
      </c>
      <c r="AI92" s="2941">
        <f t="shared" si="247"/>
        <v>0</v>
      </c>
      <c r="AJ92" s="2941">
        <f t="shared" si="247"/>
        <v>0</v>
      </c>
      <c r="AK92" s="2941">
        <f t="shared" si="247"/>
        <v>0</v>
      </c>
      <c r="AL92" s="2941">
        <f t="shared" si="247"/>
        <v>0</v>
      </c>
      <c r="AM92" s="2944">
        <f t="shared" si="247"/>
        <v>0</v>
      </c>
      <c r="AN92" s="4132"/>
      <c r="AO92" s="3026"/>
      <c r="AP92" s="3027"/>
      <c r="AQ92" s="3027"/>
      <c r="AR92" s="3027"/>
      <c r="AS92" s="3027"/>
      <c r="AT92" s="3028"/>
      <c r="AU92" s="4488"/>
      <c r="AV92" s="4504">
        <f t="shared" si="179"/>
        <v>0</v>
      </c>
      <c r="AW92" s="4504">
        <f t="shared" si="180"/>
        <v>0</v>
      </c>
      <c r="AX92" s="4504">
        <f t="shared" si="181"/>
        <v>0</v>
      </c>
      <c r="AY92" s="4504">
        <f t="shared" si="182"/>
        <v>0</v>
      </c>
      <c r="AZ92" s="4504">
        <f t="shared" si="183"/>
        <v>0</v>
      </c>
      <c r="BA92" s="4504">
        <f t="shared" si="184"/>
        <v>0</v>
      </c>
      <c r="BB92" s="4504">
        <f t="shared" si="185"/>
        <v>0</v>
      </c>
      <c r="BC92" s="4504">
        <f t="shared" si="186"/>
        <v>0</v>
      </c>
      <c r="BD92" s="4504">
        <f t="shared" si="187"/>
        <v>0</v>
      </c>
      <c r="BE92" s="4504">
        <f t="shared" si="188"/>
        <v>0</v>
      </c>
      <c r="BF92" s="4504">
        <f t="shared" si="189"/>
        <v>0</v>
      </c>
      <c r="BG92" s="4504">
        <f t="shared" si="190"/>
        <v>0</v>
      </c>
      <c r="BH92" s="4504">
        <f t="shared" si="191"/>
        <v>0</v>
      </c>
      <c r="BI92" s="4504">
        <f t="shared" si="192"/>
        <v>0</v>
      </c>
      <c r="BJ92" s="4504">
        <f t="shared" si="193"/>
        <v>0</v>
      </c>
      <c r="BK92" s="4504">
        <f t="shared" si="194"/>
        <v>0</v>
      </c>
      <c r="BL92" s="4504">
        <f t="shared" si="195"/>
        <v>0</v>
      </c>
      <c r="BM92" s="4504">
        <f t="shared" si="196"/>
        <v>0</v>
      </c>
      <c r="BN92" s="4504">
        <f t="shared" si="197"/>
        <v>0</v>
      </c>
      <c r="BO92" s="4504">
        <f t="shared" si="198"/>
        <v>0</v>
      </c>
      <c r="BP92" s="4504">
        <f t="shared" si="199"/>
        <v>0</v>
      </c>
      <c r="BQ92" s="4504">
        <f t="shared" si="200"/>
        <v>0</v>
      </c>
      <c r="BR92" s="4504">
        <f t="shared" si="201"/>
        <v>0</v>
      </c>
      <c r="BS92" s="4504">
        <f t="shared" si="202"/>
        <v>0</v>
      </c>
      <c r="BT92" s="4504">
        <f t="shared" si="203"/>
        <v>0</v>
      </c>
      <c r="BU92" s="4504">
        <f t="shared" si="204"/>
        <v>0</v>
      </c>
      <c r="BV92" s="4504">
        <f t="shared" si="205"/>
        <v>0</v>
      </c>
      <c r="BW92" s="4504">
        <f t="shared" si="206"/>
        <v>0</v>
      </c>
      <c r="BX92" s="4504">
        <f t="shared" si="207"/>
        <v>0</v>
      </c>
      <c r="BY92" s="4504">
        <f t="shared" si="208"/>
        <v>0</v>
      </c>
      <c r="BZ92" s="4504">
        <f t="shared" si="209"/>
        <v>0</v>
      </c>
      <c r="CA92" s="4504">
        <f t="shared" si="210"/>
        <v>0</v>
      </c>
      <c r="CB92" s="4504">
        <f t="shared" si="211"/>
        <v>0</v>
      </c>
      <c r="CC92" s="4504">
        <f t="shared" si="212"/>
        <v>0</v>
      </c>
      <c r="CD92" s="4504">
        <f t="shared" si="213"/>
        <v>0</v>
      </c>
    </row>
    <row r="93" spans="1:82" s="669" customFormat="1" ht="26.4">
      <c r="A93" s="2892"/>
      <c r="B93" s="2612" t="s">
        <v>1051</v>
      </c>
      <c r="C93" s="2893">
        <v>0.04</v>
      </c>
      <c r="D93" s="2909" t="s">
        <v>1052</v>
      </c>
      <c r="E93" s="4453">
        <f t="shared" si="233"/>
        <v>0</v>
      </c>
      <c r="F93" s="2943">
        <f t="shared" si="234"/>
        <v>0</v>
      </c>
      <c r="G93" s="2941">
        <f t="shared" si="235"/>
        <v>0</v>
      </c>
      <c r="H93" s="2941">
        <f t="shared" si="235"/>
        <v>0</v>
      </c>
      <c r="I93" s="2941">
        <f t="shared" si="235"/>
        <v>0</v>
      </c>
      <c r="J93" s="2941">
        <f t="shared" si="235"/>
        <v>0</v>
      </c>
      <c r="K93" s="2942">
        <f t="shared" si="235"/>
        <v>0</v>
      </c>
      <c r="L93" s="4453">
        <f t="shared" si="236"/>
        <v>0</v>
      </c>
      <c r="M93" s="2943">
        <f t="shared" si="237"/>
        <v>0</v>
      </c>
      <c r="N93" s="2941">
        <f t="shared" si="238"/>
        <v>0</v>
      </c>
      <c r="O93" s="2941">
        <f t="shared" si="238"/>
        <v>0</v>
      </c>
      <c r="P93" s="2941">
        <f t="shared" si="238"/>
        <v>0</v>
      </c>
      <c r="Q93" s="2941">
        <f t="shared" si="238"/>
        <v>0</v>
      </c>
      <c r="R93" s="2944">
        <f t="shared" si="238"/>
        <v>0</v>
      </c>
      <c r="S93" s="4453">
        <f t="shared" si="239"/>
        <v>0</v>
      </c>
      <c r="T93" s="4235">
        <f t="shared" si="240"/>
        <v>0</v>
      </c>
      <c r="U93" s="2941">
        <f t="shared" si="241"/>
        <v>0</v>
      </c>
      <c r="V93" s="2941">
        <f t="shared" si="241"/>
        <v>0</v>
      </c>
      <c r="W93" s="2941">
        <f t="shared" si="241"/>
        <v>0</v>
      </c>
      <c r="X93" s="2941">
        <f t="shared" si="241"/>
        <v>0</v>
      </c>
      <c r="Y93" s="2944">
        <f t="shared" si="241"/>
        <v>0</v>
      </c>
      <c r="Z93" s="4453">
        <f t="shared" si="242"/>
        <v>0</v>
      </c>
      <c r="AA93" s="4235">
        <f t="shared" si="243"/>
        <v>0</v>
      </c>
      <c r="AB93" s="2941">
        <f t="shared" si="244"/>
        <v>0</v>
      </c>
      <c r="AC93" s="2941">
        <f t="shared" si="244"/>
        <v>0</v>
      </c>
      <c r="AD93" s="2941">
        <f t="shared" si="244"/>
        <v>0</v>
      </c>
      <c r="AE93" s="2941">
        <f t="shared" si="244"/>
        <v>0</v>
      </c>
      <c r="AF93" s="2944">
        <f t="shared" si="244"/>
        <v>0</v>
      </c>
      <c r="AG93" s="4453">
        <f t="shared" si="245"/>
        <v>0</v>
      </c>
      <c r="AH93" s="4235">
        <f t="shared" si="246"/>
        <v>0</v>
      </c>
      <c r="AI93" s="2941">
        <f t="shared" si="247"/>
        <v>0</v>
      </c>
      <c r="AJ93" s="2941">
        <f t="shared" si="247"/>
        <v>0</v>
      </c>
      <c r="AK93" s="2941">
        <f t="shared" si="247"/>
        <v>0</v>
      </c>
      <c r="AL93" s="2941">
        <f t="shared" si="247"/>
        <v>0</v>
      </c>
      <c r="AM93" s="2944">
        <f t="shared" si="247"/>
        <v>0</v>
      </c>
      <c r="AN93" s="4132"/>
      <c r="AO93" s="3026"/>
      <c r="AP93" s="3027"/>
      <c r="AQ93" s="3027"/>
      <c r="AR93" s="3027"/>
      <c r="AS93" s="3027"/>
      <c r="AT93" s="3028"/>
      <c r="AU93" s="4488"/>
      <c r="AV93" s="4504">
        <f t="shared" si="179"/>
        <v>0</v>
      </c>
      <c r="AW93" s="4504">
        <f t="shared" si="180"/>
        <v>0</v>
      </c>
      <c r="AX93" s="4504">
        <f t="shared" si="181"/>
        <v>0</v>
      </c>
      <c r="AY93" s="4504">
        <f t="shared" si="182"/>
        <v>0</v>
      </c>
      <c r="AZ93" s="4504">
        <f t="shared" si="183"/>
        <v>0</v>
      </c>
      <c r="BA93" s="4504">
        <f t="shared" si="184"/>
        <v>0</v>
      </c>
      <c r="BB93" s="4504">
        <f t="shared" si="185"/>
        <v>0</v>
      </c>
      <c r="BC93" s="4504">
        <f t="shared" si="186"/>
        <v>0</v>
      </c>
      <c r="BD93" s="4504">
        <f t="shared" si="187"/>
        <v>0</v>
      </c>
      <c r="BE93" s="4504">
        <f t="shared" si="188"/>
        <v>0</v>
      </c>
      <c r="BF93" s="4504">
        <f t="shared" si="189"/>
        <v>0</v>
      </c>
      <c r="BG93" s="4504">
        <f t="shared" si="190"/>
        <v>0</v>
      </c>
      <c r="BH93" s="4504">
        <f t="shared" si="191"/>
        <v>0</v>
      </c>
      <c r="BI93" s="4504">
        <f t="shared" si="192"/>
        <v>0</v>
      </c>
      <c r="BJ93" s="4504">
        <f t="shared" si="193"/>
        <v>0</v>
      </c>
      <c r="BK93" s="4504">
        <f t="shared" si="194"/>
        <v>0</v>
      </c>
      <c r="BL93" s="4504">
        <f t="shared" si="195"/>
        <v>0</v>
      </c>
      <c r="BM93" s="4504">
        <f t="shared" si="196"/>
        <v>0</v>
      </c>
      <c r="BN93" s="4504">
        <f t="shared" si="197"/>
        <v>0</v>
      </c>
      <c r="BO93" s="4504">
        <f t="shared" si="198"/>
        <v>0</v>
      </c>
      <c r="BP93" s="4504">
        <f t="shared" si="199"/>
        <v>0</v>
      </c>
      <c r="BQ93" s="4504">
        <f t="shared" si="200"/>
        <v>0</v>
      </c>
      <c r="BR93" s="4504">
        <f t="shared" si="201"/>
        <v>0</v>
      </c>
      <c r="BS93" s="4504">
        <f t="shared" si="202"/>
        <v>0</v>
      </c>
      <c r="BT93" s="4504">
        <f t="shared" si="203"/>
        <v>0</v>
      </c>
      <c r="BU93" s="4504">
        <f t="shared" si="204"/>
        <v>0</v>
      </c>
      <c r="BV93" s="4504">
        <f t="shared" si="205"/>
        <v>0</v>
      </c>
      <c r="BW93" s="4504">
        <f t="shared" si="206"/>
        <v>0</v>
      </c>
      <c r="BX93" s="4504">
        <f t="shared" si="207"/>
        <v>0</v>
      </c>
      <c r="BY93" s="4504">
        <f t="shared" si="208"/>
        <v>0</v>
      </c>
      <c r="BZ93" s="4504">
        <f t="shared" si="209"/>
        <v>0</v>
      </c>
      <c r="CA93" s="4504">
        <f t="shared" si="210"/>
        <v>0</v>
      </c>
      <c r="CB93" s="4504">
        <f t="shared" si="211"/>
        <v>0</v>
      </c>
      <c r="CC93" s="4504">
        <f t="shared" si="212"/>
        <v>0</v>
      </c>
      <c r="CD93" s="4504">
        <f t="shared" si="213"/>
        <v>0</v>
      </c>
    </row>
    <row r="94" spans="1:82" s="669" customFormat="1">
      <c r="A94" s="2883">
        <v>5</v>
      </c>
      <c r="B94" s="2884">
        <v>205</v>
      </c>
      <c r="C94" s="2884"/>
      <c r="D94" s="2965" t="s">
        <v>212</v>
      </c>
      <c r="E94" s="4232">
        <f>SUM(E95:E98)</f>
        <v>10.006356754893536</v>
      </c>
      <c r="F94" s="2966">
        <f>SUM(F95:F98)</f>
        <v>20.012713509787073</v>
      </c>
      <c r="G94" s="2967">
        <f>SUM(G95:G98)</f>
        <v>20.012713509787073</v>
      </c>
      <c r="H94" s="2967">
        <f t="shared" ref="H94:K94" si="248">SUM(H95:H98)</f>
        <v>20.012713509787073</v>
      </c>
      <c r="I94" s="2967">
        <f t="shared" si="248"/>
        <v>20.012713509787073</v>
      </c>
      <c r="J94" s="2967">
        <f t="shared" si="248"/>
        <v>20.012713509787073</v>
      </c>
      <c r="K94" s="2968">
        <f t="shared" si="248"/>
        <v>20.012713509787073</v>
      </c>
      <c r="L94" s="4232">
        <f>SUM(L95:L98)</f>
        <v>1.5825556796692926</v>
      </c>
      <c r="M94" s="2969">
        <f>SUM(M95:M98)</f>
        <v>3.1651113593385851</v>
      </c>
      <c r="N94" s="2967">
        <f>SUM(N95:N98)</f>
        <v>3.1651113593385851</v>
      </c>
      <c r="O94" s="2967">
        <f t="shared" ref="O94:R94" si="249">SUM(O95:O98)</f>
        <v>3.1651113593385851</v>
      </c>
      <c r="P94" s="2967">
        <f t="shared" si="249"/>
        <v>3.1651113593385851</v>
      </c>
      <c r="Q94" s="2967">
        <f t="shared" si="249"/>
        <v>3.1651113593385851</v>
      </c>
      <c r="R94" s="2970">
        <f t="shared" si="249"/>
        <v>3.1651113593385851</v>
      </c>
      <c r="S94" s="4237">
        <f>SUM(S95:S98)</f>
        <v>1.9310067802455748</v>
      </c>
      <c r="T94" s="2971">
        <f>SUM(T95:T98)</f>
        <v>3.8620135604911496</v>
      </c>
      <c r="U94" s="2967">
        <f>SUM(U95:U98)</f>
        <v>3.8620135604911496</v>
      </c>
      <c r="V94" s="2967">
        <f t="shared" ref="V94:Y94" si="250">SUM(V95:V98)</f>
        <v>3.8620135604911496</v>
      </c>
      <c r="W94" s="2967">
        <f t="shared" si="250"/>
        <v>3.8620135604911496</v>
      </c>
      <c r="X94" s="2967">
        <f t="shared" si="250"/>
        <v>3.8620135604911496</v>
      </c>
      <c r="Y94" s="2970">
        <f t="shared" si="250"/>
        <v>3.8620135604911496</v>
      </c>
      <c r="Z94" s="4237">
        <f>SUM(Z95:Z98)</f>
        <v>0</v>
      </c>
      <c r="AA94" s="2971">
        <f>SUM(AA95:AA98)</f>
        <v>0</v>
      </c>
      <c r="AB94" s="2967">
        <f>SUM(AB95:AB98)</f>
        <v>0</v>
      </c>
      <c r="AC94" s="2967">
        <f t="shared" ref="AC94:AF94" si="251">SUM(AC95:AC98)</f>
        <v>0</v>
      </c>
      <c r="AD94" s="2967">
        <f t="shared" si="251"/>
        <v>0</v>
      </c>
      <c r="AE94" s="2967">
        <f t="shared" si="251"/>
        <v>0</v>
      </c>
      <c r="AF94" s="2970">
        <f t="shared" si="251"/>
        <v>0</v>
      </c>
      <c r="AG94" s="4237">
        <f>SUM(AG95:AG98)</f>
        <v>9.0466337165778191E-2</v>
      </c>
      <c r="AH94" s="2971">
        <f>SUM(AH95:AH98)</f>
        <v>0.18093267433155638</v>
      </c>
      <c r="AI94" s="2967">
        <f>SUM(AI95:AI98)</f>
        <v>0.18093267433155638</v>
      </c>
      <c r="AJ94" s="2967">
        <f t="shared" ref="AJ94:AM94" si="252">SUM(AJ95:AJ98)</f>
        <v>0.18093267433155638</v>
      </c>
      <c r="AK94" s="2967">
        <f t="shared" si="252"/>
        <v>0.18093267433155638</v>
      </c>
      <c r="AL94" s="2967">
        <f t="shared" si="252"/>
        <v>0.18093267433155638</v>
      </c>
      <c r="AM94" s="2970">
        <f t="shared" si="252"/>
        <v>0.18093267433155638</v>
      </c>
      <c r="AN94" s="4137">
        <f>SUM(AN95:AN98)</f>
        <v>0</v>
      </c>
      <c r="AO94" s="3026"/>
      <c r="AP94" s="3027"/>
      <c r="AQ94" s="3027"/>
      <c r="AR94" s="3027"/>
      <c r="AS94" s="3027"/>
      <c r="AT94" s="3028"/>
      <c r="AU94" s="4488"/>
      <c r="AV94" s="4504">
        <f t="shared" si="179"/>
        <v>5.1161689691300047</v>
      </c>
      <c r="AW94" s="4504">
        <f t="shared" si="180"/>
        <v>10.232337938260009</v>
      </c>
      <c r="AX94" s="4504">
        <f t="shared" si="181"/>
        <v>10.232337938260009</v>
      </c>
      <c r="AY94" s="4504">
        <f t="shared" si="182"/>
        <v>10.232337938260009</v>
      </c>
      <c r="AZ94" s="4504">
        <f t="shared" si="183"/>
        <v>10.232337938260009</v>
      </c>
      <c r="BA94" s="4504">
        <f t="shared" si="184"/>
        <v>10.232337938260009</v>
      </c>
      <c r="BB94" s="4504">
        <f t="shared" si="185"/>
        <v>10.232337938260009</v>
      </c>
      <c r="BC94" s="4504">
        <f t="shared" si="186"/>
        <v>0.80914787055587278</v>
      </c>
      <c r="BD94" s="4504">
        <f t="shared" si="187"/>
        <v>1.6182957411117456</v>
      </c>
      <c r="BE94" s="4504">
        <f t="shared" si="188"/>
        <v>1.6182957411117456</v>
      </c>
      <c r="BF94" s="4504">
        <f t="shared" si="189"/>
        <v>1.6182957411117456</v>
      </c>
      <c r="BG94" s="4504">
        <f t="shared" si="190"/>
        <v>1.6182957411117456</v>
      </c>
      <c r="BH94" s="4504">
        <f t="shared" si="191"/>
        <v>1.6182957411117456</v>
      </c>
      <c r="BI94" s="4504">
        <f t="shared" si="192"/>
        <v>1.6182957411117456</v>
      </c>
      <c r="BJ94" s="4504">
        <f t="shared" si="193"/>
        <v>0.98730808927441283</v>
      </c>
      <c r="BK94" s="4504">
        <f t="shared" si="194"/>
        <v>1.9746161785488257</v>
      </c>
      <c r="BL94" s="4504">
        <f t="shared" si="195"/>
        <v>1.9746161785488257</v>
      </c>
      <c r="BM94" s="4504">
        <f t="shared" si="196"/>
        <v>1.9746161785488257</v>
      </c>
      <c r="BN94" s="4504">
        <f t="shared" si="197"/>
        <v>1.9746161785488257</v>
      </c>
      <c r="BO94" s="4504">
        <f t="shared" si="198"/>
        <v>1.9746161785488257</v>
      </c>
      <c r="BP94" s="4504">
        <f t="shared" si="199"/>
        <v>1.9746161785488257</v>
      </c>
      <c r="BQ94" s="4504">
        <f t="shared" si="200"/>
        <v>0</v>
      </c>
      <c r="BR94" s="4504">
        <f t="shared" si="201"/>
        <v>0</v>
      </c>
      <c r="BS94" s="4504">
        <f t="shared" si="202"/>
        <v>0</v>
      </c>
      <c r="BT94" s="4504">
        <f t="shared" si="203"/>
        <v>0</v>
      </c>
      <c r="BU94" s="4504">
        <f t="shared" si="204"/>
        <v>0</v>
      </c>
      <c r="BV94" s="4504">
        <f t="shared" si="205"/>
        <v>0</v>
      </c>
      <c r="BW94" s="4504">
        <f t="shared" si="206"/>
        <v>0</v>
      </c>
      <c r="BX94" s="4504">
        <f t="shared" si="207"/>
        <v>4.6254703714422106E-2</v>
      </c>
      <c r="BY94" s="4504">
        <f t="shared" si="208"/>
        <v>9.2509407428844212E-2</v>
      </c>
      <c r="BZ94" s="4504">
        <f t="shared" si="209"/>
        <v>9.2509407428844212E-2</v>
      </c>
      <c r="CA94" s="4504">
        <f t="shared" si="210"/>
        <v>9.2509407428844212E-2</v>
      </c>
      <c r="CB94" s="4504">
        <f t="shared" si="211"/>
        <v>9.2509407428844212E-2</v>
      </c>
      <c r="CC94" s="4504">
        <f t="shared" si="212"/>
        <v>9.2509407428844212E-2</v>
      </c>
      <c r="CD94" s="4504">
        <f t="shared" si="213"/>
        <v>9.2509407428844212E-2</v>
      </c>
    </row>
    <row r="95" spans="1:82" s="669" customFormat="1">
      <c r="A95" s="2915"/>
      <c r="B95" s="2916">
        <v>20501</v>
      </c>
      <c r="C95" s="2917">
        <v>0.08</v>
      </c>
      <c r="D95" s="2972" t="s">
        <v>563</v>
      </c>
      <c r="E95" s="4453">
        <f t="shared" ref="E95:E98" si="253">+E46*$C95/2</f>
        <v>0</v>
      </c>
      <c r="F95" s="2943">
        <f>($E46*$C95)-(F46*$C95)</f>
        <v>0</v>
      </c>
      <c r="G95" s="2941">
        <f t="shared" ref="G95:K98" si="254">F95-(G46*$C95)</f>
        <v>0</v>
      </c>
      <c r="H95" s="2941">
        <f t="shared" si="254"/>
        <v>0</v>
      </c>
      <c r="I95" s="2941">
        <f t="shared" si="254"/>
        <v>0</v>
      </c>
      <c r="J95" s="2941">
        <f t="shared" si="254"/>
        <v>0</v>
      </c>
      <c r="K95" s="2942">
        <f t="shared" si="254"/>
        <v>0</v>
      </c>
      <c r="L95" s="4453">
        <f t="shared" ref="L95:L98" si="255">+L46*$C95/2</f>
        <v>0</v>
      </c>
      <c r="M95" s="2943">
        <f>($L46*$C95)-(M46*$C95)</f>
        <v>0</v>
      </c>
      <c r="N95" s="2941">
        <f t="shared" ref="N95:R98" si="256">M95-(N46*$C95)</f>
        <v>0</v>
      </c>
      <c r="O95" s="2941">
        <f t="shared" si="256"/>
        <v>0</v>
      </c>
      <c r="P95" s="2941">
        <f t="shared" si="256"/>
        <v>0</v>
      </c>
      <c r="Q95" s="2941">
        <f t="shared" si="256"/>
        <v>0</v>
      </c>
      <c r="R95" s="2944">
        <f t="shared" si="256"/>
        <v>0</v>
      </c>
      <c r="S95" s="4453">
        <f t="shared" ref="S95:S98" si="257">+S46*$C95/2</f>
        <v>0</v>
      </c>
      <c r="T95" s="4235">
        <f>($S46*$C95)-(T46*$C95)</f>
        <v>0</v>
      </c>
      <c r="U95" s="2941">
        <f t="shared" ref="U95:Y98" si="258">T95-(U46*$C95)</f>
        <v>0</v>
      </c>
      <c r="V95" s="2941">
        <f t="shared" si="258"/>
        <v>0</v>
      </c>
      <c r="W95" s="2941">
        <f t="shared" si="258"/>
        <v>0</v>
      </c>
      <c r="X95" s="2941">
        <f t="shared" si="258"/>
        <v>0</v>
      </c>
      <c r="Y95" s="2944">
        <f t="shared" si="258"/>
        <v>0</v>
      </c>
      <c r="Z95" s="4453">
        <f t="shared" ref="Z95:Z98" si="259">+Z46*$C95/2</f>
        <v>0</v>
      </c>
      <c r="AA95" s="4235">
        <f t="shared" si="243"/>
        <v>0</v>
      </c>
      <c r="AB95" s="2941">
        <f t="shared" ref="AB95:AF98" si="260">AA95-(AB46*$C95)</f>
        <v>0</v>
      </c>
      <c r="AC95" s="2941">
        <f t="shared" si="260"/>
        <v>0</v>
      </c>
      <c r="AD95" s="2941">
        <f t="shared" si="260"/>
        <v>0</v>
      </c>
      <c r="AE95" s="2941">
        <f t="shared" si="260"/>
        <v>0</v>
      </c>
      <c r="AF95" s="2944">
        <f t="shared" si="260"/>
        <v>0</v>
      </c>
      <c r="AG95" s="4453">
        <f t="shared" ref="AG95:AG98" si="261">+AG46*$C95/2</f>
        <v>0</v>
      </c>
      <c r="AH95" s="4235">
        <f t="shared" ref="AH95:AH98" si="262">($AG46*$C95)-(AH46*$C95)</f>
        <v>0</v>
      </c>
      <c r="AI95" s="2941">
        <f t="shared" ref="AI95:AM98" si="263">AH95-(AI46*$C95)</f>
        <v>0</v>
      </c>
      <c r="AJ95" s="2941">
        <f t="shared" si="263"/>
        <v>0</v>
      </c>
      <c r="AK95" s="2941">
        <f t="shared" si="263"/>
        <v>0</v>
      </c>
      <c r="AL95" s="2941">
        <f t="shared" si="263"/>
        <v>0</v>
      </c>
      <c r="AM95" s="2944">
        <f t="shared" si="263"/>
        <v>0</v>
      </c>
      <c r="AN95" s="4132"/>
      <c r="AO95" s="3026"/>
      <c r="AP95" s="3027"/>
      <c r="AQ95" s="3027"/>
      <c r="AR95" s="3027"/>
      <c r="AS95" s="3027"/>
      <c r="AT95" s="3028"/>
      <c r="AU95" s="4488"/>
      <c r="AV95" s="4504">
        <f t="shared" si="179"/>
        <v>0</v>
      </c>
      <c r="AW95" s="4504">
        <f t="shared" si="180"/>
        <v>0</v>
      </c>
      <c r="AX95" s="4504">
        <f t="shared" si="181"/>
        <v>0</v>
      </c>
      <c r="AY95" s="4504">
        <f t="shared" si="182"/>
        <v>0</v>
      </c>
      <c r="AZ95" s="4504">
        <f t="shared" si="183"/>
        <v>0</v>
      </c>
      <c r="BA95" s="4504">
        <f t="shared" si="184"/>
        <v>0</v>
      </c>
      <c r="BB95" s="4504">
        <f t="shared" si="185"/>
        <v>0</v>
      </c>
      <c r="BC95" s="4504">
        <f t="shared" si="186"/>
        <v>0</v>
      </c>
      <c r="BD95" s="4504">
        <f t="shared" si="187"/>
        <v>0</v>
      </c>
      <c r="BE95" s="4504">
        <f t="shared" si="188"/>
        <v>0</v>
      </c>
      <c r="BF95" s="4504">
        <f t="shared" si="189"/>
        <v>0</v>
      </c>
      <c r="BG95" s="4504">
        <f t="shared" si="190"/>
        <v>0</v>
      </c>
      <c r="BH95" s="4504">
        <f t="shared" si="191"/>
        <v>0</v>
      </c>
      <c r="BI95" s="4504">
        <f t="shared" si="192"/>
        <v>0</v>
      </c>
      <c r="BJ95" s="4504">
        <f t="shared" si="193"/>
        <v>0</v>
      </c>
      <c r="BK95" s="4504">
        <f t="shared" si="194"/>
        <v>0</v>
      </c>
      <c r="BL95" s="4504">
        <f t="shared" si="195"/>
        <v>0</v>
      </c>
      <c r="BM95" s="4504">
        <f t="shared" si="196"/>
        <v>0</v>
      </c>
      <c r="BN95" s="4504">
        <f t="shared" si="197"/>
        <v>0</v>
      </c>
      <c r="BO95" s="4504">
        <f t="shared" si="198"/>
        <v>0</v>
      </c>
      <c r="BP95" s="4504">
        <f t="shared" si="199"/>
        <v>0</v>
      </c>
      <c r="BQ95" s="4504">
        <f t="shared" si="200"/>
        <v>0</v>
      </c>
      <c r="BR95" s="4504">
        <f t="shared" si="201"/>
        <v>0</v>
      </c>
      <c r="BS95" s="4504">
        <f t="shared" si="202"/>
        <v>0</v>
      </c>
      <c r="BT95" s="4504">
        <f t="shared" si="203"/>
        <v>0</v>
      </c>
      <c r="BU95" s="4504">
        <f t="shared" si="204"/>
        <v>0</v>
      </c>
      <c r="BV95" s="4504">
        <f t="shared" si="205"/>
        <v>0</v>
      </c>
      <c r="BW95" s="4504">
        <f t="shared" si="206"/>
        <v>0</v>
      </c>
      <c r="BX95" s="4504">
        <f t="shared" si="207"/>
        <v>0</v>
      </c>
      <c r="BY95" s="4504">
        <f t="shared" si="208"/>
        <v>0</v>
      </c>
      <c r="BZ95" s="4504">
        <f t="shared" si="209"/>
        <v>0</v>
      </c>
      <c r="CA95" s="4504">
        <f t="shared" si="210"/>
        <v>0</v>
      </c>
      <c r="CB95" s="4504">
        <f t="shared" si="211"/>
        <v>0</v>
      </c>
      <c r="CC95" s="4504">
        <f t="shared" si="212"/>
        <v>0</v>
      </c>
      <c r="CD95" s="4504">
        <f t="shared" si="213"/>
        <v>0</v>
      </c>
    </row>
    <row r="96" spans="1:82" s="669" customFormat="1">
      <c r="A96" s="2915"/>
      <c r="B96" s="2916">
        <v>20502</v>
      </c>
      <c r="C96" s="2917">
        <v>0.1</v>
      </c>
      <c r="D96" s="2972" t="s">
        <v>411</v>
      </c>
      <c r="E96" s="4453">
        <f t="shared" si="253"/>
        <v>9.601356754893537</v>
      </c>
      <c r="F96" s="2943">
        <f>($E47*$C96)-(F47*$C96)</f>
        <v>19.202713509787074</v>
      </c>
      <c r="G96" s="2941">
        <f t="shared" si="254"/>
        <v>19.202713509787074</v>
      </c>
      <c r="H96" s="2941">
        <f t="shared" si="254"/>
        <v>19.202713509787074</v>
      </c>
      <c r="I96" s="2941">
        <f t="shared" si="254"/>
        <v>19.202713509787074</v>
      </c>
      <c r="J96" s="2941">
        <f t="shared" si="254"/>
        <v>19.202713509787074</v>
      </c>
      <c r="K96" s="2942">
        <f t="shared" si="254"/>
        <v>19.202713509787074</v>
      </c>
      <c r="L96" s="4453">
        <f t="shared" si="255"/>
        <v>1.5825556796692926</v>
      </c>
      <c r="M96" s="2943">
        <f>($L47*$C96)-(M47*$C96)</f>
        <v>3.1651113593385851</v>
      </c>
      <c r="N96" s="2941">
        <f t="shared" si="256"/>
        <v>3.1651113593385851</v>
      </c>
      <c r="O96" s="2941">
        <f t="shared" si="256"/>
        <v>3.1651113593385851</v>
      </c>
      <c r="P96" s="2941">
        <f t="shared" si="256"/>
        <v>3.1651113593385851</v>
      </c>
      <c r="Q96" s="2941">
        <f t="shared" si="256"/>
        <v>3.1651113593385851</v>
      </c>
      <c r="R96" s="2944">
        <f t="shared" si="256"/>
        <v>3.1651113593385851</v>
      </c>
      <c r="S96" s="4453">
        <f t="shared" si="257"/>
        <v>1.9310067802455748</v>
      </c>
      <c r="T96" s="4235">
        <f>($S47*$C96)-(T47*$C96)</f>
        <v>3.8620135604911496</v>
      </c>
      <c r="U96" s="2941">
        <f t="shared" si="258"/>
        <v>3.8620135604911496</v>
      </c>
      <c r="V96" s="2941">
        <f t="shared" si="258"/>
        <v>3.8620135604911496</v>
      </c>
      <c r="W96" s="2941">
        <f t="shared" si="258"/>
        <v>3.8620135604911496</v>
      </c>
      <c r="X96" s="2941">
        <f t="shared" si="258"/>
        <v>3.8620135604911496</v>
      </c>
      <c r="Y96" s="2944">
        <f t="shared" si="258"/>
        <v>3.8620135604911496</v>
      </c>
      <c r="Z96" s="4453">
        <f t="shared" si="259"/>
        <v>0</v>
      </c>
      <c r="AA96" s="4235">
        <f t="shared" si="243"/>
        <v>0</v>
      </c>
      <c r="AB96" s="2941">
        <f t="shared" si="260"/>
        <v>0</v>
      </c>
      <c r="AC96" s="2941">
        <f t="shared" si="260"/>
        <v>0</v>
      </c>
      <c r="AD96" s="2941">
        <f t="shared" si="260"/>
        <v>0</v>
      </c>
      <c r="AE96" s="2941">
        <f t="shared" si="260"/>
        <v>0</v>
      </c>
      <c r="AF96" s="2944">
        <f t="shared" si="260"/>
        <v>0</v>
      </c>
      <c r="AG96" s="4453">
        <f t="shared" si="261"/>
        <v>9.0466337165778191E-2</v>
      </c>
      <c r="AH96" s="4235">
        <f t="shared" si="262"/>
        <v>0.18093267433155638</v>
      </c>
      <c r="AI96" s="2941">
        <f t="shared" si="263"/>
        <v>0.18093267433155638</v>
      </c>
      <c r="AJ96" s="2941">
        <f t="shared" si="263"/>
        <v>0.18093267433155638</v>
      </c>
      <c r="AK96" s="2941">
        <f t="shared" si="263"/>
        <v>0.18093267433155638</v>
      </c>
      <c r="AL96" s="2941">
        <f t="shared" si="263"/>
        <v>0.18093267433155638</v>
      </c>
      <c r="AM96" s="2944">
        <f t="shared" si="263"/>
        <v>0.18093267433155638</v>
      </c>
      <c r="AN96" s="4132"/>
      <c r="AO96" s="3026"/>
      <c r="AP96" s="3027"/>
      <c r="AQ96" s="3027"/>
      <c r="AR96" s="3027"/>
      <c r="AS96" s="3027"/>
      <c r="AT96" s="3028"/>
      <c r="AU96" s="4488"/>
      <c r="AV96" s="4504">
        <f t="shared" si="179"/>
        <v>4.9090957572455363</v>
      </c>
      <c r="AW96" s="4504">
        <f t="shared" si="180"/>
        <v>9.8181915144910725</v>
      </c>
      <c r="AX96" s="4504">
        <f t="shared" si="181"/>
        <v>9.8181915144910725</v>
      </c>
      <c r="AY96" s="4504">
        <f t="shared" si="182"/>
        <v>9.8181915144910725</v>
      </c>
      <c r="AZ96" s="4504">
        <f t="shared" si="183"/>
        <v>9.8181915144910725</v>
      </c>
      <c r="BA96" s="4504">
        <f t="shared" si="184"/>
        <v>9.8181915144910725</v>
      </c>
      <c r="BB96" s="4504">
        <f t="shared" si="185"/>
        <v>9.8181915144910725</v>
      </c>
      <c r="BC96" s="4504">
        <f t="shared" si="186"/>
        <v>0.80914787055587278</v>
      </c>
      <c r="BD96" s="4504">
        <f t="shared" si="187"/>
        <v>1.6182957411117456</v>
      </c>
      <c r="BE96" s="4504">
        <f t="shared" si="188"/>
        <v>1.6182957411117456</v>
      </c>
      <c r="BF96" s="4504">
        <f t="shared" si="189"/>
        <v>1.6182957411117456</v>
      </c>
      <c r="BG96" s="4504">
        <f t="shared" si="190"/>
        <v>1.6182957411117456</v>
      </c>
      <c r="BH96" s="4504">
        <f t="shared" si="191"/>
        <v>1.6182957411117456</v>
      </c>
      <c r="BI96" s="4504">
        <f t="shared" si="192"/>
        <v>1.6182957411117456</v>
      </c>
      <c r="BJ96" s="4504">
        <f t="shared" si="193"/>
        <v>0.98730808927441283</v>
      </c>
      <c r="BK96" s="4504">
        <f t="shared" si="194"/>
        <v>1.9746161785488257</v>
      </c>
      <c r="BL96" s="4504">
        <f t="shared" si="195"/>
        <v>1.9746161785488257</v>
      </c>
      <c r="BM96" s="4504">
        <f t="shared" si="196"/>
        <v>1.9746161785488257</v>
      </c>
      <c r="BN96" s="4504">
        <f t="shared" si="197"/>
        <v>1.9746161785488257</v>
      </c>
      <c r="BO96" s="4504">
        <f t="shared" si="198"/>
        <v>1.9746161785488257</v>
      </c>
      <c r="BP96" s="4504">
        <f t="shared" si="199"/>
        <v>1.9746161785488257</v>
      </c>
      <c r="BQ96" s="4504">
        <f t="shared" si="200"/>
        <v>0</v>
      </c>
      <c r="BR96" s="4504">
        <f t="shared" si="201"/>
        <v>0</v>
      </c>
      <c r="BS96" s="4504">
        <f t="shared" si="202"/>
        <v>0</v>
      </c>
      <c r="BT96" s="4504">
        <f t="shared" si="203"/>
        <v>0</v>
      </c>
      <c r="BU96" s="4504">
        <f t="shared" si="204"/>
        <v>0</v>
      </c>
      <c r="BV96" s="4504">
        <f t="shared" si="205"/>
        <v>0</v>
      </c>
      <c r="BW96" s="4504">
        <f t="shared" si="206"/>
        <v>0</v>
      </c>
      <c r="BX96" s="4504">
        <f t="shared" si="207"/>
        <v>4.6254703714422106E-2</v>
      </c>
      <c r="BY96" s="4504">
        <f t="shared" si="208"/>
        <v>9.2509407428844212E-2</v>
      </c>
      <c r="BZ96" s="4504">
        <f t="shared" si="209"/>
        <v>9.2509407428844212E-2</v>
      </c>
      <c r="CA96" s="4504">
        <f t="shared" si="210"/>
        <v>9.2509407428844212E-2</v>
      </c>
      <c r="CB96" s="4504">
        <f t="shared" si="211"/>
        <v>9.2509407428844212E-2</v>
      </c>
      <c r="CC96" s="4504">
        <f t="shared" si="212"/>
        <v>9.2509407428844212E-2</v>
      </c>
      <c r="CD96" s="4504">
        <f t="shared" si="213"/>
        <v>9.2509407428844212E-2</v>
      </c>
    </row>
    <row r="97" spans="1:82" s="669" customFormat="1">
      <c r="A97" s="2915"/>
      <c r="B97" s="2916">
        <v>20503</v>
      </c>
      <c r="C97" s="2917">
        <v>0.1</v>
      </c>
      <c r="D97" s="2909" t="s">
        <v>412</v>
      </c>
      <c r="E97" s="4453">
        <f t="shared" si="253"/>
        <v>0.40500000000000003</v>
      </c>
      <c r="F97" s="2943">
        <f>($E48*$C97)-(F48*$C97)</f>
        <v>0.81</v>
      </c>
      <c r="G97" s="2941">
        <f t="shared" si="254"/>
        <v>0.81</v>
      </c>
      <c r="H97" s="2941">
        <f t="shared" si="254"/>
        <v>0.81</v>
      </c>
      <c r="I97" s="2941">
        <f t="shared" si="254"/>
        <v>0.81</v>
      </c>
      <c r="J97" s="2941">
        <f t="shared" si="254"/>
        <v>0.81</v>
      </c>
      <c r="K97" s="2942">
        <f t="shared" si="254"/>
        <v>0.81</v>
      </c>
      <c r="L97" s="4453">
        <f t="shared" si="255"/>
        <v>0</v>
      </c>
      <c r="M97" s="2943">
        <f>($L48*$C97)-(M48*$C97)</f>
        <v>0</v>
      </c>
      <c r="N97" s="2941">
        <f t="shared" si="256"/>
        <v>0</v>
      </c>
      <c r="O97" s="2941">
        <f t="shared" si="256"/>
        <v>0</v>
      </c>
      <c r="P97" s="2941">
        <f t="shared" si="256"/>
        <v>0</v>
      </c>
      <c r="Q97" s="2941">
        <f t="shared" si="256"/>
        <v>0</v>
      </c>
      <c r="R97" s="2944">
        <f t="shared" si="256"/>
        <v>0</v>
      </c>
      <c r="S97" s="4453">
        <f t="shared" si="257"/>
        <v>0</v>
      </c>
      <c r="T97" s="4235">
        <f>($S48*$C97)-(T48*$C97)</f>
        <v>0</v>
      </c>
      <c r="U97" s="2941">
        <f t="shared" si="258"/>
        <v>0</v>
      </c>
      <c r="V97" s="2941">
        <f t="shared" si="258"/>
        <v>0</v>
      </c>
      <c r="W97" s="2941">
        <f t="shared" si="258"/>
        <v>0</v>
      </c>
      <c r="X97" s="2941">
        <f t="shared" si="258"/>
        <v>0</v>
      </c>
      <c r="Y97" s="2944">
        <f t="shared" si="258"/>
        <v>0</v>
      </c>
      <c r="Z97" s="4453">
        <f t="shared" si="259"/>
        <v>0</v>
      </c>
      <c r="AA97" s="4235">
        <f t="shared" si="243"/>
        <v>0</v>
      </c>
      <c r="AB97" s="2941">
        <f t="shared" si="260"/>
        <v>0</v>
      </c>
      <c r="AC97" s="2941">
        <f t="shared" si="260"/>
        <v>0</v>
      </c>
      <c r="AD97" s="2941">
        <f t="shared" si="260"/>
        <v>0</v>
      </c>
      <c r="AE97" s="2941">
        <f t="shared" si="260"/>
        <v>0</v>
      </c>
      <c r="AF97" s="2944">
        <f t="shared" si="260"/>
        <v>0</v>
      </c>
      <c r="AG97" s="4453">
        <f t="shared" si="261"/>
        <v>0</v>
      </c>
      <c r="AH97" s="4235">
        <f t="shared" si="262"/>
        <v>0</v>
      </c>
      <c r="AI97" s="2941">
        <f t="shared" si="263"/>
        <v>0</v>
      </c>
      <c r="AJ97" s="2941">
        <f t="shared" si="263"/>
        <v>0</v>
      </c>
      <c r="AK97" s="2941">
        <f t="shared" si="263"/>
        <v>0</v>
      </c>
      <c r="AL97" s="2941">
        <f t="shared" si="263"/>
        <v>0</v>
      </c>
      <c r="AM97" s="2944">
        <f t="shared" si="263"/>
        <v>0</v>
      </c>
      <c r="AN97" s="4132"/>
      <c r="AO97" s="3026"/>
      <c r="AP97" s="3027"/>
      <c r="AQ97" s="3027"/>
      <c r="AR97" s="3027"/>
      <c r="AS97" s="3027"/>
      <c r="AT97" s="3028"/>
      <c r="AU97" s="4488"/>
      <c r="AV97" s="4504">
        <f t="shared" si="179"/>
        <v>0.20707321188446851</v>
      </c>
      <c r="AW97" s="4504">
        <f t="shared" si="180"/>
        <v>0.41414642376893701</v>
      </c>
      <c r="AX97" s="4504">
        <f t="shared" si="181"/>
        <v>0.41414642376893701</v>
      </c>
      <c r="AY97" s="4504">
        <f t="shared" si="182"/>
        <v>0.41414642376893701</v>
      </c>
      <c r="AZ97" s="4504">
        <f t="shared" si="183"/>
        <v>0.41414642376893701</v>
      </c>
      <c r="BA97" s="4504">
        <f t="shared" si="184"/>
        <v>0.41414642376893701</v>
      </c>
      <c r="BB97" s="4504">
        <f t="shared" si="185"/>
        <v>0.41414642376893701</v>
      </c>
      <c r="BC97" s="4504">
        <f t="shared" si="186"/>
        <v>0</v>
      </c>
      <c r="BD97" s="4504">
        <f t="shared" si="187"/>
        <v>0</v>
      </c>
      <c r="BE97" s="4504">
        <f t="shared" si="188"/>
        <v>0</v>
      </c>
      <c r="BF97" s="4504">
        <f t="shared" si="189"/>
        <v>0</v>
      </c>
      <c r="BG97" s="4504">
        <f t="shared" si="190"/>
        <v>0</v>
      </c>
      <c r="BH97" s="4504">
        <f t="shared" si="191"/>
        <v>0</v>
      </c>
      <c r="BI97" s="4504">
        <f t="shared" si="192"/>
        <v>0</v>
      </c>
      <c r="BJ97" s="4504">
        <f t="shared" si="193"/>
        <v>0</v>
      </c>
      <c r="BK97" s="4504">
        <f t="shared" si="194"/>
        <v>0</v>
      </c>
      <c r="BL97" s="4504">
        <f t="shared" si="195"/>
        <v>0</v>
      </c>
      <c r="BM97" s="4504">
        <f t="shared" si="196"/>
        <v>0</v>
      </c>
      <c r="BN97" s="4504">
        <f t="shared" si="197"/>
        <v>0</v>
      </c>
      <c r="BO97" s="4504">
        <f t="shared" si="198"/>
        <v>0</v>
      </c>
      <c r="BP97" s="4504">
        <f t="shared" si="199"/>
        <v>0</v>
      </c>
      <c r="BQ97" s="4504">
        <f t="shared" si="200"/>
        <v>0</v>
      </c>
      <c r="BR97" s="4504">
        <f t="shared" si="201"/>
        <v>0</v>
      </c>
      <c r="BS97" s="4504">
        <f t="shared" si="202"/>
        <v>0</v>
      </c>
      <c r="BT97" s="4504">
        <f t="shared" si="203"/>
        <v>0</v>
      </c>
      <c r="BU97" s="4504">
        <f t="shared" si="204"/>
        <v>0</v>
      </c>
      <c r="BV97" s="4504">
        <f t="shared" si="205"/>
        <v>0</v>
      </c>
      <c r="BW97" s="4504">
        <f t="shared" si="206"/>
        <v>0</v>
      </c>
      <c r="BX97" s="4504">
        <f t="shared" si="207"/>
        <v>0</v>
      </c>
      <c r="BY97" s="4504">
        <f t="shared" si="208"/>
        <v>0</v>
      </c>
      <c r="BZ97" s="4504">
        <f t="shared" si="209"/>
        <v>0</v>
      </c>
      <c r="CA97" s="4504">
        <f t="shared" si="210"/>
        <v>0</v>
      </c>
      <c r="CB97" s="4504">
        <f t="shared" si="211"/>
        <v>0</v>
      </c>
      <c r="CC97" s="4504">
        <f t="shared" si="212"/>
        <v>0</v>
      </c>
      <c r="CD97" s="4504">
        <f t="shared" si="213"/>
        <v>0</v>
      </c>
    </row>
    <row r="98" spans="1:82" s="669" customFormat="1">
      <c r="A98" s="2915"/>
      <c r="B98" s="2916">
        <v>20504</v>
      </c>
      <c r="C98" s="2917">
        <v>0.1</v>
      </c>
      <c r="D98" s="2909" t="s">
        <v>557</v>
      </c>
      <c r="E98" s="4453">
        <f t="shared" si="253"/>
        <v>0</v>
      </c>
      <c r="F98" s="2943">
        <f>($E49*$C98)-(F49*$C98)</f>
        <v>0</v>
      </c>
      <c r="G98" s="2941">
        <f t="shared" si="254"/>
        <v>0</v>
      </c>
      <c r="H98" s="2941">
        <f t="shared" si="254"/>
        <v>0</v>
      </c>
      <c r="I98" s="2941">
        <f t="shared" si="254"/>
        <v>0</v>
      </c>
      <c r="J98" s="2941">
        <f t="shared" si="254"/>
        <v>0</v>
      </c>
      <c r="K98" s="2942">
        <f t="shared" si="254"/>
        <v>0</v>
      </c>
      <c r="L98" s="4453">
        <f t="shared" si="255"/>
        <v>0</v>
      </c>
      <c r="M98" s="2943">
        <f>($L49*$C98)-(M49*$C98)</f>
        <v>0</v>
      </c>
      <c r="N98" s="2941">
        <f t="shared" si="256"/>
        <v>0</v>
      </c>
      <c r="O98" s="2941">
        <f t="shared" si="256"/>
        <v>0</v>
      </c>
      <c r="P98" s="2941">
        <f t="shared" si="256"/>
        <v>0</v>
      </c>
      <c r="Q98" s="2941">
        <f t="shared" si="256"/>
        <v>0</v>
      </c>
      <c r="R98" s="2944">
        <f t="shared" si="256"/>
        <v>0</v>
      </c>
      <c r="S98" s="4453">
        <f t="shared" si="257"/>
        <v>0</v>
      </c>
      <c r="T98" s="4235">
        <f>($S49*$C98)-(T49*$C98)</f>
        <v>0</v>
      </c>
      <c r="U98" s="2941">
        <f t="shared" si="258"/>
        <v>0</v>
      </c>
      <c r="V98" s="2941">
        <f t="shared" si="258"/>
        <v>0</v>
      </c>
      <c r="W98" s="2941">
        <f t="shared" si="258"/>
        <v>0</v>
      </c>
      <c r="X98" s="2941">
        <f t="shared" si="258"/>
        <v>0</v>
      </c>
      <c r="Y98" s="2944">
        <f t="shared" si="258"/>
        <v>0</v>
      </c>
      <c r="Z98" s="4453">
        <f t="shared" si="259"/>
        <v>0</v>
      </c>
      <c r="AA98" s="4235">
        <f t="shared" si="243"/>
        <v>0</v>
      </c>
      <c r="AB98" s="2941">
        <f t="shared" si="260"/>
        <v>0</v>
      </c>
      <c r="AC98" s="2941">
        <f t="shared" si="260"/>
        <v>0</v>
      </c>
      <c r="AD98" s="2941">
        <f t="shared" si="260"/>
        <v>0</v>
      </c>
      <c r="AE98" s="2941">
        <f t="shared" si="260"/>
        <v>0</v>
      </c>
      <c r="AF98" s="2944">
        <f t="shared" si="260"/>
        <v>0</v>
      </c>
      <c r="AG98" s="4453">
        <f t="shared" si="261"/>
        <v>0</v>
      </c>
      <c r="AH98" s="4235">
        <f t="shared" si="262"/>
        <v>0</v>
      </c>
      <c r="AI98" s="2941">
        <f t="shared" si="263"/>
        <v>0</v>
      </c>
      <c r="AJ98" s="2941">
        <f t="shared" si="263"/>
        <v>0</v>
      </c>
      <c r="AK98" s="2941">
        <f t="shared" si="263"/>
        <v>0</v>
      </c>
      <c r="AL98" s="2941">
        <f t="shared" si="263"/>
        <v>0</v>
      </c>
      <c r="AM98" s="2944">
        <f t="shared" si="263"/>
        <v>0</v>
      </c>
      <c r="AN98" s="4132"/>
      <c r="AO98" s="3026"/>
      <c r="AP98" s="3027"/>
      <c r="AQ98" s="3027"/>
      <c r="AR98" s="3027"/>
      <c r="AS98" s="3027"/>
      <c r="AT98" s="3028"/>
      <c r="AU98" s="4488"/>
      <c r="AV98" s="4504">
        <f t="shared" si="179"/>
        <v>0</v>
      </c>
      <c r="AW98" s="4504">
        <f t="shared" si="180"/>
        <v>0</v>
      </c>
      <c r="AX98" s="4504">
        <f t="shared" si="181"/>
        <v>0</v>
      </c>
      <c r="AY98" s="4504">
        <f t="shared" si="182"/>
        <v>0</v>
      </c>
      <c r="AZ98" s="4504">
        <f t="shared" si="183"/>
        <v>0</v>
      </c>
      <c r="BA98" s="4504">
        <f t="shared" si="184"/>
        <v>0</v>
      </c>
      <c r="BB98" s="4504">
        <f t="shared" si="185"/>
        <v>0</v>
      </c>
      <c r="BC98" s="4504">
        <f t="shared" si="186"/>
        <v>0</v>
      </c>
      <c r="BD98" s="4504">
        <f t="shared" si="187"/>
        <v>0</v>
      </c>
      <c r="BE98" s="4504">
        <f t="shared" si="188"/>
        <v>0</v>
      </c>
      <c r="BF98" s="4504">
        <f t="shared" si="189"/>
        <v>0</v>
      </c>
      <c r="BG98" s="4504">
        <f t="shared" si="190"/>
        <v>0</v>
      </c>
      <c r="BH98" s="4504">
        <f t="shared" si="191"/>
        <v>0</v>
      </c>
      <c r="BI98" s="4504">
        <f t="shared" si="192"/>
        <v>0</v>
      </c>
      <c r="BJ98" s="4504">
        <f t="shared" si="193"/>
        <v>0</v>
      </c>
      <c r="BK98" s="4504">
        <f t="shared" si="194"/>
        <v>0</v>
      </c>
      <c r="BL98" s="4504">
        <f t="shared" si="195"/>
        <v>0</v>
      </c>
      <c r="BM98" s="4504">
        <f t="shared" si="196"/>
        <v>0</v>
      </c>
      <c r="BN98" s="4504">
        <f t="shared" si="197"/>
        <v>0</v>
      </c>
      <c r="BO98" s="4504">
        <f t="shared" si="198"/>
        <v>0</v>
      </c>
      <c r="BP98" s="4504">
        <f t="shared" si="199"/>
        <v>0</v>
      </c>
      <c r="BQ98" s="4504">
        <f t="shared" si="200"/>
        <v>0</v>
      </c>
      <c r="BR98" s="4504">
        <f t="shared" si="201"/>
        <v>0</v>
      </c>
      <c r="BS98" s="4504">
        <f t="shared" si="202"/>
        <v>0</v>
      </c>
      <c r="BT98" s="4504">
        <f t="shared" si="203"/>
        <v>0</v>
      </c>
      <c r="BU98" s="4504">
        <f t="shared" si="204"/>
        <v>0</v>
      </c>
      <c r="BV98" s="4504">
        <f t="shared" si="205"/>
        <v>0</v>
      </c>
      <c r="BW98" s="4504">
        <f t="shared" si="206"/>
        <v>0</v>
      </c>
      <c r="BX98" s="4504">
        <f t="shared" si="207"/>
        <v>0</v>
      </c>
      <c r="BY98" s="4504">
        <f t="shared" si="208"/>
        <v>0</v>
      </c>
      <c r="BZ98" s="4504">
        <f t="shared" si="209"/>
        <v>0</v>
      </c>
      <c r="CA98" s="4504">
        <f t="shared" si="210"/>
        <v>0</v>
      </c>
      <c r="CB98" s="4504">
        <f t="shared" si="211"/>
        <v>0</v>
      </c>
      <c r="CC98" s="4504">
        <f t="shared" si="212"/>
        <v>0</v>
      </c>
      <c r="CD98" s="4504">
        <f t="shared" si="213"/>
        <v>0</v>
      </c>
    </row>
    <row r="99" spans="1:82" s="40" customFormat="1">
      <c r="A99" s="2919">
        <v>6</v>
      </c>
      <c r="B99" s="2920">
        <v>206</v>
      </c>
      <c r="C99" s="2921">
        <v>0.1</v>
      </c>
      <c r="D99" s="2962" t="s">
        <v>394</v>
      </c>
      <c r="E99" s="4232">
        <f>SUM(E100:E102)</f>
        <v>7.134389898477532E-2</v>
      </c>
      <c r="F99" s="2966">
        <f>SUM(F100:F102)</f>
        <v>0.14268779796955064</v>
      </c>
      <c r="G99" s="2967">
        <f>SUM(G100:G102)</f>
        <v>0.14268779796955064</v>
      </c>
      <c r="H99" s="2967">
        <f t="shared" ref="H99:AN99" si="264">SUM(H100:H102)</f>
        <v>0.14268779796955064</v>
      </c>
      <c r="I99" s="2967">
        <f t="shared" si="264"/>
        <v>0.14268779796955064</v>
      </c>
      <c r="J99" s="2967">
        <f t="shared" si="264"/>
        <v>0.14268779796955064</v>
      </c>
      <c r="K99" s="2968">
        <f t="shared" si="264"/>
        <v>0.14268779796955064</v>
      </c>
      <c r="L99" s="4232">
        <f>SUM(L100:L102)</f>
        <v>1.2437786174858221E-2</v>
      </c>
      <c r="M99" s="2969">
        <f t="shared" si="264"/>
        <v>2.4875572349716442E-2</v>
      </c>
      <c r="N99" s="2967">
        <f t="shared" si="264"/>
        <v>2.4875572349716442E-2</v>
      </c>
      <c r="O99" s="2967">
        <f t="shared" si="264"/>
        <v>2.4875572349716442E-2</v>
      </c>
      <c r="P99" s="2967">
        <f t="shared" si="264"/>
        <v>2.4875572349716442E-2</v>
      </c>
      <c r="Q99" s="2967">
        <f t="shared" si="264"/>
        <v>2.4875572349716442E-2</v>
      </c>
      <c r="R99" s="2970">
        <f t="shared" si="264"/>
        <v>2.4875572349716442E-2</v>
      </c>
      <c r="S99" s="4237">
        <f>SUM(S100:S102)</f>
        <v>1.5176369301530568E-2</v>
      </c>
      <c r="T99" s="2971">
        <f t="shared" si="264"/>
        <v>3.0352738603061136E-2</v>
      </c>
      <c r="U99" s="2967">
        <f t="shared" si="264"/>
        <v>3.0352738603061136E-2</v>
      </c>
      <c r="V99" s="2967">
        <f t="shared" si="264"/>
        <v>3.0352738603061136E-2</v>
      </c>
      <c r="W99" s="2967">
        <f t="shared" si="264"/>
        <v>3.0352738603061136E-2</v>
      </c>
      <c r="X99" s="2967">
        <f t="shared" si="264"/>
        <v>3.0352738603061136E-2</v>
      </c>
      <c r="Y99" s="2970">
        <f t="shared" si="264"/>
        <v>3.0352738603061136E-2</v>
      </c>
      <c r="Z99" s="4237">
        <f>SUM(Z100:Z102)</f>
        <v>0</v>
      </c>
      <c r="AA99" s="2971">
        <f t="shared" si="264"/>
        <v>0</v>
      </c>
      <c r="AB99" s="2967">
        <f t="shared" si="264"/>
        <v>0</v>
      </c>
      <c r="AC99" s="2967">
        <f t="shared" si="264"/>
        <v>0</v>
      </c>
      <c r="AD99" s="2967">
        <f t="shared" si="264"/>
        <v>0</v>
      </c>
      <c r="AE99" s="2967">
        <f t="shared" si="264"/>
        <v>0</v>
      </c>
      <c r="AF99" s="2970">
        <f t="shared" si="264"/>
        <v>0</v>
      </c>
      <c r="AG99" s="4237">
        <f>SUM(AG100:AG102)</f>
        <v>7.1100244506134029E-4</v>
      </c>
      <c r="AH99" s="2971">
        <f t="shared" si="264"/>
        <v>1.4220048901226806E-3</v>
      </c>
      <c r="AI99" s="2967">
        <f t="shared" si="264"/>
        <v>1.4220048901226806E-3</v>
      </c>
      <c r="AJ99" s="2967">
        <f t="shared" si="264"/>
        <v>1.4220048901226806E-3</v>
      </c>
      <c r="AK99" s="2967">
        <f t="shared" si="264"/>
        <v>1.4220048901226806E-3</v>
      </c>
      <c r="AL99" s="2967">
        <f t="shared" si="264"/>
        <v>1.4220048901226806E-3</v>
      </c>
      <c r="AM99" s="2970">
        <f t="shared" si="264"/>
        <v>1.4220048901226806E-3</v>
      </c>
      <c r="AN99" s="4137">
        <f t="shared" si="264"/>
        <v>0</v>
      </c>
      <c r="AO99" s="3026"/>
      <c r="AP99" s="3027"/>
      <c r="AQ99" s="3027"/>
      <c r="AR99" s="3027"/>
      <c r="AS99" s="3027"/>
      <c r="AT99" s="3028"/>
      <c r="AU99" s="4488"/>
      <c r="AV99" s="4504">
        <f t="shared" si="179"/>
        <v>3.6477556323798753E-2</v>
      </c>
      <c r="AW99" s="4504">
        <f t="shared" si="180"/>
        <v>7.2955112647597506E-2</v>
      </c>
      <c r="AX99" s="4504">
        <f t="shared" si="181"/>
        <v>7.2955112647597506E-2</v>
      </c>
      <c r="AY99" s="4504">
        <f t="shared" si="182"/>
        <v>7.2955112647597506E-2</v>
      </c>
      <c r="AZ99" s="4504">
        <f t="shared" si="183"/>
        <v>7.2955112647597506E-2</v>
      </c>
      <c r="BA99" s="4504">
        <f t="shared" si="184"/>
        <v>7.2955112647597506E-2</v>
      </c>
      <c r="BB99" s="4504">
        <f t="shared" si="185"/>
        <v>7.2955112647597506E-2</v>
      </c>
      <c r="BC99" s="4504">
        <f t="shared" si="186"/>
        <v>6.3593390912595783E-3</v>
      </c>
      <c r="BD99" s="4504">
        <f t="shared" si="187"/>
        <v>1.2718678182519157E-2</v>
      </c>
      <c r="BE99" s="4504">
        <f t="shared" si="188"/>
        <v>1.2718678182519157E-2</v>
      </c>
      <c r="BF99" s="4504">
        <f t="shared" si="189"/>
        <v>1.2718678182519157E-2</v>
      </c>
      <c r="BG99" s="4504">
        <f t="shared" si="190"/>
        <v>1.2718678182519157E-2</v>
      </c>
      <c r="BH99" s="4504">
        <f t="shared" si="191"/>
        <v>1.2718678182519157E-2</v>
      </c>
      <c r="BI99" s="4504">
        <f t="shared" si="192"/>
        <v>1.2718678182519157E-2</v>
      </c>
      <c r="BJ99" s="4504">
        <f t="shared" si="193"/>
        <v>7.759554409908105E-3</v>
      </c>
      <c r="BK99" s="4504">
        <f t="shared" si="194"/>
        <v>1.551910881981621E-2</v>
      </c>
      <c r="BL99" s="4504">
        <f t="shared" si="195"/>
        <v>1.551910881981621E-2</v>
      </c>
      <c r="BM99" s="4504">
        <f t="shared" si="196"/>
        <v>1.551910881981621E-2</v>
      </c>
      <c r="BN99" s="4504">
        <f t="shared" si="197"/>
        <v>1.551910881981621E-2</v>
      </c>
      <c r="BO99" s="4504">
        <f t="shared" si="198"/>
        <v>1.551910881981621E-2</v>
      </c>
      <c r="BP99" s="4504">
        <f t="shared" si="199"/>
        <v>1.551910881981621E-2</v>
      </c>
      <c r="BQ99" s="4504">
        <f t="shared" si="200"/>
        <v>0</v>
      </c>
      <c r="BR99" s="4504">
        <f t="shared" si="201"/>
        <v>0</v>
      </c>
      <c r="BS99" s="4504">
        <f t="shared" si="202"/>
        <v>0</v>
      </c>
      <c r="BT99" s="4504">
        <f t="shared" si="203"/>
        <v>0</v>
      </c>
      <c r="BU99" s="4504">
        <f t="shared" si="204"/>
        <v>0</v>
      </c>
      <c r="BV99" s="4504">
        <f t="shared" si="205"/>
        <v>0</v>
      </c>
      <c r="BW99" s="4504">
        <f t="shared" si="206"/>
        <v>0</v>
      </c>
      <c r="BX99" s="4504">
        <f t="shared" si="207"/>
        <v>3.6352977767052365E-4</v>
      </c>
      <c r="BY99" s="4504">
        <f t="shared" si="208"/>
        <v>7.270595553410473E-4</v>
      </c>
      <c r="BZ99" s="4504">
        <f t="shared" si="209"/>
        <v>7.270595553410473E-4</v>
      </c>
      <c r="CA99" s="4504">
        <f t="shared" si="210"/>
        <v>7.270595553410473E-4</v>
      </c>
      <c r="CB99" s="4504">
        <f t="shared" si="211"/>
        <v>7.270595553410473E-4</v>
      </c>
      <c r="CC99" s="4504">
        <f t="shared" si="212"/>
        <v>7.270595553410473E-4</v>
      </c>
      <c r="CD99" s="4504">
        <f t="shared" si="213"/>
        <v>7.270595553410473E-4</v>
      </c>
    </row>
    <row r="100" spans="1:82" s="669" customFormat="1">
      <c r="A100" s="2919"/>
      <c r="B100" s="2916">
        <v>20601</v>
      </c>
      <c r="C100" s="2917">
        <v>0.1</v>
      </c>
      <c r="D100" s="2909" t="s">
        <v>564</v>
      </c>
      <c r="E100" s="4453">
        <f t="shared" ref="E100:E108" si="265">+E51*$C100/2</f>
        <v>7.134389898477532E-2</v>
      </c>
      <c r="F100" s="2943">
        <f t="shared" ref="F100:F108" si="266">($E51*$C100)-(F51*$C100)</f>
        <v>0.14268779796955064</v>
      </c>
      <c r="G100" s="2941">
        <f t="shared" ref="G100:K108" si="267">F100-(G51*$C100)</f>
        <v>0.14268779796955064</v>
      </c>
      <c r="H100" s="2941">
        <f t="shared" si="267"/>
        <v>0.14268779796955064</v>
      </c>
      <c r="I100" s="2941">
        <f t="shared" si="267"/>
        <v>0.14268779796955064</v>
      </c>
      <c r="J100" s="2941">
        <f t="shared" si="267"/>
        <v>0.14268779796955064</v>
      </c>
      <c r="K100" s="2942">
        <f t="shared" si="267"/>
        <v>0.14268779796955064</v>
      </c>
      <c r="L100" s="4453">
        <f t="shared" ref="L100:L108" si="268">+L51*$C100/2</f>
        <v>1.2437786174858221E-2</v>
      </c>
      <c r="M100" s="2973">
        <f t="shared" ref="M100:M108" si="269">($L51*$C100)-(M51*$C100)</f>
        <v>2.4875572349716442E-2</v>
      </c>
      <c r="N100" s="2941">
        <f t="shared" ref="N100:R108" si="270">M100-(N51*$C100)</f>
        <v>2.4875572349716442E-2</v>
      </c>
      <c r="O100" s="2941">
        <f t="shared" si="270"/>
        <v>2.4875572349716442E-2</v>
      </c>
      <c r="P100" s="2941">
        <f t="shared" si="270"/>
        <v>2.4875572349716442E-2</v>
      </c>
      <c r="Q100" s="2941">
        <f t="shared" si="270"/>
        <v>2.4875572349716442E-2</v>
      </c>
      <c r="R100" s="2944">
        <f t="shared" si="270"/>
        <v>2.4875572349716442E-2</v>
      </c>
      <c r="S100" s="4453">
        <f t="shared" ref="S100:S108" si="271">+S51*$C100/2</f>
        <v>1.5176369301530568E-2</v>
      </c>
      <c r="T100" s="4236">
        <f t="shared" ref="T100:T108" si="272">($S51*$C100)-(T51*$C100)</f>
        <v>3.0352738603061136E-2</v>
      </c>
      <c r="U100" s="2941">
        <f t="shared" ref="U100:Y108" si="273">T100-(U51*$C100)</f>
        <v>3.0352738603061136E-2</v>
      </c>
      <c r="V100" s="2941">
        <f t="shared" si="273"/>
        <v>3.0352738603061136E-2</v>
      </c>
      <c r="W100" s="2941">
        <f t="shared" si="273"/>
        <v>3.0352738603061136E-2</v>
      </c>
      <c r="X100" s="2941">
        <f t="shared" si="273"/>
        <v>3.0352738603061136E-2</v>
      </c>
      <c r="Y100" s="2944">
        <f t="shared" si="273"/>
        <v>3.0352738603061136E-2</v>
      </c>
      <c r="Z100" s="4453">
        <f t="shared" ref="Z100:Z108" si="274">+Z51*$C100/2</f>
        <v>0</v>
      </c>
      <c r="AA100" s="4236">
        <f t="shared" si="243"/>
        <v>0</v>
      </c>
      <c r="AB100" s="2941">
        <f t="shared" ref="AB100:AF108" si="275">AA100-(AB51*$C100)</f>
        <v>0</v>
      </c>
      <c r="AC100" s="2941">
        <f t="shared" si="275"/>
        <v>0</v>
      </c>
      <c r="AD100" s="2941">
        <f t="shared" si="275"/>
        <v>0</v>
      </c>
      <c r="AE100" s="2941">
        <f t="shared" si="275"/>
        <v>0</v>
      </c>
      <c r="AF100" s="2944">
        <f t="shared" si="275"/>
        <v>0</v>
      </c>
      <c r="AG100" s="4453">
        <f t="shared" ref="AG100:AG107" si="276">+AG51*$C100/2</f>
        <v>7.1100244506134029E-4</v>
      </c>
      <c r="AH100" s="4236">
        <f t="shared" ref="AH100:AH108" si="277">($AG51*$C100)-(AH51*$C100)</f>
        <v>1.4220048901226806E-3</v>
      </c>
      <c r="AI100" s="2941">
        <f t="shared" ref="AI100:AM108" si="278">AH100-(AI51*$C100)</f>
        <v>1.4220048901226806E-3</v>
      </c>
      <c r="AJ100" s="2941">
        <f t="shared" si="278"/>
        <v>1.4220048901226806E-3</v>
      </c>
      <c r="AK100" s="2941">
        <f t="shared" si="278"/>
        <v>1.4220048901226806E-3</v>
      </c>
      <c r="AL100" s="2941">
        <f t="shared" si="278"/>
        <v>1.4220048901226806E-3</v>
      </c>
      <c r="AM100" s="2944">
        <f t="shared" si="278"/>
        <v>1.4220048901226806E-3</v>
      </c>
      <c r="AN100" s="4132"/>
      <c r="AO100" s="3026"/>
      <c r="AP100" s="3027"/>
      <c r="AQ100" s="3027"/>
      <c r="AR100" s="3027"/>
      <c r="AS100" s="3027"/>
      <c r="AT100" s="3028"/>
      <c r="AU100" s="4488"/>
      <c r="AV100" s="4504">
        <f t="shared" si="179"/>
        <v>3.6477556323798753E-2</v>
      </c>
      <c r="AW100" s="4504">
        <f t="shared" si="180"/>
        <v>7.2955112647597506E-2</v>
      </c>
      <c r="AX100" s="4504">
        <f t="shared" si="181"/>
        <v>7.2955112647597506E-2</v>
      </c>
      <c r="AY100" s="4504">
        <f t="shared" si="182"/>
        <v>7.2955112647597506E-2</v>
      </c>
      <c r="AZ100" s="4504">
        <f t="shared" si="183"/>
        <v>7.2955112647597506E-2</v>
      </c>
      <c r="BA100" s="4504">
        <f t="shared" si="184"/>
        <v>7.2955112647597506E-2</v>
      </c>
      <c r="BB100" s="4504">
        <f t="shared" si="185"/>
        <v>7.2955112647597506E-2</v>
      </c>
      <c r="BC100" s="4504">
        <f t="shared" si="186"/>
        <v>6.3593390912595783E-3</v>
      </c>
      <c r="BD100" s="4504">
        <f t="shared" si="187"/>
        <v>1.2718678182519157E-2</v>
      </c>
      <c r="BE100" s="4504">
        <f t="shared" si="188"/>
        <v>1.2718678182519157E-2</v>
      </c>
      <c r="BF100" s="4504">
        <f t="shared" si="189"/>
        <v>1.2718678182519157E-2</v>
      </c>
      <c r="BG100" s="4504">
        <f t="shared" si="190"/>
        <v>1.2718678182519157E-2</v>
      </c>
      <c r="BH100" s="4504">
        <f t="shared" si="191"/>
        <v>1.2718678182519157E-2</v>
      </c>
      <c r="BI100" s="4504">
        <f t="shared" si="192"/>
        <v>1.2718678182519157E-2</v>
      </c>
      <c r="BJ100" s="4504">
        <f t="shared" si="193"/>
        <v>7.759554409908105E-3</v>
      </c>
      <c r="BK100" s="4504">
        <f t="shared" si="194"/>
        <v>1.551910881981621E-2</v>
      </c>
      <c r="BL100" s="4504">
        <f t="shared" si="195"/>
        <v>1.551910881981621E-2</v>
      </c>
      <c r="BM100" s="4504">
        <f t="shared" si="196"/>
        <v>1.551910881981621E-2</v>
      </c>
      <c r="BN100" s="4504">
        <f t="shared" si="197"/>
        <v>1.551910881981621E-2</v>
      </c>
      <c r="BO100" s="4504">
        <f t="shared" si="198"/>
        <v>1.551910881981621E-2</v>
      </c>
      <c r="BP100" s="4504">
        <f t="shared" si="199"/>
        <v>1.551910881981621E-2</v>
      </c>
      <c r="BQ100" s="4504">
        <f t="shared" si="200"/>
        <v>0</v>
      </c>
      <c r="BR100" s="4504">
        <f t="shared" si="201"/>
        <v>0</v>
      </c>
      <c r="BS100" s="4504">
        <f t="shared" si="202"/>
        <v>0</v>
      </c>
      <c r="BT100" s="4504">
        <f t="shared" si="203"/>
        <v>0</v>
      </c>
      <c r="BU100" s="4504">
        <f t="shared" si="204"/>
        <v>0</v>
      </c>
      <c r="BV100" s="4504">
        <f t="shared" si="205"/>
        <v>0</v>
      </c>
      <c r="BW100" s="4504">
        <f t="shared" si="206"/>
        <v>0</v>
      </c>
      <c r="BX100" s="4504">
        <f t="shared" si="207"/>
        <v>3.6352977767052365E-4</v>
      </c>
      <c r="BY100" s="4504">
        <f t="shared" si="208"/>
        <v>7.270595553410473E-4</v>
      </c>
      <c r="BZ100" s="4504">
        <f t="shared" si="209"/>
        <v>7.270595553410473E-4</v>
      </c>
      <c r="CA100" s="4504">
        <f t="shared" si="210"/>
        <v>7.270595553410473E-4</v>
      </c>
      <c r="CB100" s="4504">
        <f t="shared" si="211"/>
        <v>7.270595553410473E-4</v>
      </c>
      <c r="CC100" s="4504">
        <f t="shared" si="212"/>
        <v>7.270595553410473E-4</v>
      </c>
      <c r="CD100" s="4504">
        <f t="shared" si="213"/>
        <v>7.270595553410473E-4</v>
      </c>
    </row>
    <row r="101" spans="1:82" s="669" customFormat="1">
      <c r="A101" s="2919"/>
      <c r="B101" s="2916">
        <v>20602</v>
      </c>
      <c r="C101" s="2917">
        <v>0.1</v>
      </c>
      <c r="D101" s="2909" t="s">
        <v>435</v>
      </c>
      <c r="E101" s="4453">
        <f t="shared" si="265"/>
        <v>0</v>
      </c>
      <c r="F101" s="2943">
        <f t="shared" si="266"/>
        <v>0</v>
      </c>
      <c r="G101" s="2941">
        <f t="shared" si="267"/>
        <v>0</v>
      </c>
      <c r="H101" s="2941">
        <f t="shared" si="267"/>
        <v>0</v>
      </c>
      <c r="I101" s="2941">
        <f t="shared" si="267"/>
        <v>0</v>
      </c>
      <c r="J101" s="2941">
        <f t="shared" si="267"/>
        <v>0</v>
      </c>
      <c r="K101" s="2942">
        <f t="shared" si="267"/>
        <v>0</v>
      </c>
      <c r="L101" s="4453">
        <f t="shared" si="268"/>
        <v>0</v>
      </c>
      <c r="M101" s="2973">
        <f t="shared" si="269"/>
        <v>0</v>
      </c>
      <c r="N101" s="2941">
        <f t="shared" si="270"/>
        <v>0</v>
      </c>
      <c r="O101" s="2941">
        <f t="shared" si="270"/>
        <v>0</v>
      </c>
      <c r="P101" s="2941">
        <f t="shared" si="270"/>
        <v>0</v>
      </c>
      <c r="Q101" s="2941">
        <f t="shared" si="270"/>
        <v>0</v>
      </c>
      <c r="R101" s="2944">
        <f t="shared" si="270"/>
        <v>0</v>
      </c>
      <c r="S101" s="4453">
        <f t="shared" si="271"/>
        <v>0</v>
      </c>
      <c r="T101" s="4236">
        <f t="shared" si="272"/>
        <v>0</v>
      </c>
      <c r="U101" s="2941">
        <f t="shared" si="273"/>
        <v>0</v>
      </c>
      <c r="V101" s="2941">
        <f t="shared" si="273"/>
        <v>0</v>
      </c>
      <c r="W101" s="2941">
        <f t="shared" si="273"/>
        <v>0</v>
      </c>
      <c r="X101" s="2941">
        <f t="shared" si="273"/>
        <v>0</v>
      </c>
      <c r="Y101" s="2944">
        <f t="shared" si="273"/>
        <v>0</v>
      </c>
      <c r="Z101" s="4453">
        <f t="shared" si="274"/>
        <v>0</v>
      </c>
      <c r="AA101" s="4236">
        <f t="shared" si="243"/>
        <v>0</v>
      </c>
      <c r="AB101" s="2941">
        <f t="shared" si="275"/>
        <v>0</v>
      </c>
      <c r="AC101" s="2941">
        <f t="shared" si="275"/>
        <v>0</v>
      </c>
      <c r="AD101" s="2941">
        <f t="shared" si="275"/>
        <v>0</v>
      </c>
      <c r="AE101" s="2941">
        <f t="shared" si="275"/>
        <v>0</v>
      </c>
      <c r="AF101" s="2944">
        <f t="shared" si="275"/>
        <v>0</v>
      </c>
      <c r="AG101" s="4453">
        <f t="shared" si="276"/>
        <v>0</v>
      </c>
      <c r="AH101" s="4236">
        <f t="shared" si="277"/>
        <v>0</v>
      </c>
      <c r="AI101" s="2941">
        <f t="shared" si="278"/>
        <v>0</v>
      </c>
      <c r="AJ101" s="2941">
        <f t="shared" si="278"/>
        <v>0</v>
      </c>
      <c r="AK101" s="2941">
        <f t="shared" si="278"/>
        <v>0</v>
      </c>
      <c r="AL101" s="2941">
        <f t="shared" si="278"/>
        <v>0</v>
      </c>
      <c r="AM101" s="2944">
        <f t="shared" si="278"/>
        <v>0</v>
      </c>
      <c r="AN101" s="4132"/>
      <c r="AO101" s="3026"/>
      <c r="AP101" s="3027"/>
      <c r="AQ101" s="3027"/>
      <c r="AR101" s="3027"/>
      <c r="AS101" s="3027"/>
      <c r="AT101" s="3028"/>
      <c r="AU101" s="4488"/>
      <c r="AV101" s="4504">
        <f t="shared" si="179"/>
        <v>0</v>
      </c>
      <c r="AW101" s="4504">
        <f t="shared" si="180"/>
        <v>0</v>
      </c>
      <c r="AX101" s="4504">
        <f t="shared" si="181"/>
        <v>0</v>
      </c>
      <c r="AY101" s="4504">
        <f t="shared" si="182"/>
        <v>0</v>
      </c>
      <c r="AZ101" s="4504">
        <f t="shared" si="183"/>
        <v>0</v>
      </c>
      <c r="BA101" s="4504">
        <f t="shared" si="184"/>
        <v>0</v>
      </c>
      <c r="BB101" s="4504">
        <f t="shared" si="185"/>
        <v>0</v>
      </c>
      <c r="BC101" s="4504">
        <f t="shared" si="186"/>
        <v>0</v>
      </c>
      <c r="BD101" s="4504">
        <f t="shared" si="187"/>
        <v>0</v>
      </c>
      <c r="BE101" s="4504">
        <f t="shared" si="188"/>
        <v>0</v>
      </c>
      <c r="BF101" s="4504">
        <f t="shared" si="189"/>
        <v>0</v>
      </c>
      <c r="BG101" s="4504">
        <f t="shared" si="190"/>
        <v>0</v>
      </c>
      <c r="BH101" s="4504">
        <f t="shared" si="191"/>
        <v>0</v>
      </c>
      <c r="BI101" s="4504">
        <f t="shared" si="192"/>
        <v>0</v>
      </c>
      <c r="BJ101" s="4504">
        <f t="shared" si="193"/>
        <v>0</v>
      </c>
      <c r="BK101" s="4504">
        <f t="shared" si="194"/>
        <v>0</v>
      </c>
      <c r="BL101" s="4504">
        <f t="shared" si="195"/>
        <v>0</v>
      </c>
      <c r="BM101" s="4504">
        <f t="shared" si="196"/>
        <v>0</v>
      </c>
      <c r="BN101" s="4504">
        <f t="shared" si="197"/>
        <v>0</v>
      </c>
      <c r="BO101" s="4504">
        <f t="shared" si="198"/>
        <v>0</v>
      </c>
      <c r="BP101" s="4504">
        <f t="shared" si="199"/>
        <v>0</v>
      </c>
      <c r="BQ101" s="4504">
        <f t="shared" si="200"/>
        <v>0</v>
      </c>
      <c r="BR101" s="4504">
        <f t="shared" si="201"/>
        <v>0</v>
      </c>
      <c r="BS101" s="4504">
        <f t="shared" si="202"/>
        <v>0</v>
      </c>
      <c r="BT101" s="4504">
        <f t="shared" si="203"/>
        <v>0</v>
      </c>
      <c r="BU101" s="4504">
        <f t="shared" si="204"/>
        <v>0</v>
      </c>
      <c r="BV101" s="4504">
        <f t="shared" si="205"/>
        <v>0</v>
      </c>
      <c r="BW101" s="4504">
        <f t="shared" si="206"/>
        <v>0</v>
      </c>
      <c r="BX101" s="4504">
        <f t="shared" si="207"/>
        <v>0</v>
      </c>
      <c r="BY101" s="4504">
        <f t="shared" si="208"/>
        <v>0</v>
      </c>
      <c r="BZ101" s="4504">
        <f t="shared" si="209"/>
        <v>0</v>
      </c>
      <c r="CA101" s="4504">
        <f t="shared" si="210"/>
        <v>0</v>
      </c>
      <c r="CB101" s="4504">
        <f t="shared" si="211"/>
        <v>0</v>
      </c>
      <c r="CC101" s="4504">
        <f t="shared" si="212"/>
        <v>0</v>
      </c>
      <c r="CD101" s="4504">
        <f t="shared" si="213"/>
        <v>0</v>
      </c>
    </row>
    <row r="102" spans="1:82" s="669" customFormat="1">
      <c r="A102" s="2919"/>
      <c r="B102" s="2916">
        <v>20603</v>
      </c>
      <c r="C102" s="2917">
        <v>0.5</v>
      </c>
      <c r="D102" s="2909" t="s">
        <v>1015</v>
      </c>
      <c r="E102" s="4453">
        <f t="shared" si="265"/>
        <v>0</v>
      </c>
      <c r="F102" s="2943">
        <f t="shared" si="266"/>
        <v>0</v>
      </c>
      <c r="G102" s="2941">
        <f t="shared" si="267"/>
        <v>0</v>
      </c>
      <c r="H102" s="2941">
        <f t="shared" si="267"/>
        <v>0</v>
      </c>
      <c r="I102" s="2941">
        <f t="shared" si="267"/>
        <v>0</v>
      </c>
      <c r="J102" s="2941">
        <f t="shared" si="267"/>
        <v>0</v>
      </c>
      <c r="K102" s="2942">
        <f t="shared" si="267"/>
        <v>0</v>
      </c>
      <c r="L102" s="4453">
        <f t="shared" si="268"/>
        <v>0</v>
      </c>
      <c r="M102" s="2973">
        <f t="shared" si="269"/>
        <v>0</v>
      </c>
      <c r="N102" s="2941">
        <f t="shared" si="270"/>
        <v>0</v>
      </c>
      <c r="O102" s="2941">
        <f t="shared" si="270"/>
        <v>0</v>
      </c>
      <c r="P102" s="2941">
        <f t="shared" si="270"/>
        <v>0</v>
      </c>
      <c r="Q102" s="2941">
        <f t="shared" si="270"/>
        <v>0</v>
      </c>
      <c r="R102" s="2944">
        <f t="shared" si="270"/>
        <v>0</v>
      </c>
      <c r="S102" s="4453">
        <f t="shared" si="271"/>
        <v>0</v>
      </c>
      <c r="T102" s="4236">
        <f t="shared" si="272"/>
        <v>0</v>
      </c>
      <c r="U102" s="2941">
        <f t="shared" si="273"/>
        <v>0</v>
      </c>
      <c r="V102" s="2941">
        <f t="shared" si="273"/>
        <v>0</v>
      </c>
      <c r="W102" s="2941">
        <f t="shared" si="273"/>
        <v>0</v>
      </c>
      <c r="X102" s="2941">
        <f t="shared" si="273"/>
        <v>0</v>
      </c>
      <c r="Y102" s="2944">
        <f t="shared" si="273"/>
        <v>0</v>
      </c>
      <c r="Z102" s="4453">
        <f t="shared" si="274"/>
        <v>0</v>
      </c>
      <c r="AA102" s="4236">
        <f t="shared" si="243"/>
        <v>0</v>
      </c>
      <c r="AB102" s="2941">
        <f t="shared" si="275"/>
        <v>0</v>
      </c>
      <c r="AC102" s="2941">
        <f t="shared" si="275"/>
        <v>0</v>
      </c>
      <c r="AD102" s="2941">
        <f t="shared" si="275"/>
        <v>0</v>
      </c>
      <c r="AE102" s="2941">
        <f t="shared" si="275"/>
        <v>0</v>
      </c>
      <c r="AF102" s="2944">
        <f t="shared" si="275"/>
        <v>0</v>
      </c>
      <c r="AG102" s="4453">
        <f t="shared" si="276"/>
        <v>0</v>
      </c>
      <c r="AH102" s="4236">
        <f t="shared" si="277"/>
        <v>0</v>
      </c>
      <c r="AI102" s="2941">
        <f t="shared" si="278"/>
        <v>0</v>
      </c>
      <c r="AJ102" s="2941">
        <f t="shared" si="278"/>
        <v>0</v>
      </c>
      <c r="AK102" s="2941">
        <f t="shared" si="278"/>
        <v>0</v>
      </c>
      <c r="AL102" s="2941">
        <f t="shared" si="278"/>
        <v>0</v>
      </c>
      <c r="AM102" s="2944">
        <f t="shared" si="278"/>
        <v>0</v>
      </c>
      <c r="AN102" s="4132"/>
      <c r="AO102" s="3026"/>
      <c r="AP102" s="3027"/>
      <c r="AQ102" s="3027"/>
      <c r="AR102" s="3027"/>
      <c r="AS102" s="3027"/>
      <c r="AT102" s="3028"/>
      <c r="AU102" s="4488"/>
      <c r="AV102" s="4504">
        <f t="shared" si="179"/>
        <v>0</v>
      </c>
      <c r="AW102" s="4504">
        <f t="shared" si="180"/>
        <v>0</v>
      </c>
      <c r="AX102" s="4504">
        <f t="shared" si="181"/>
        <v>0</v>
      </c>
      <c r="AY102" s="4504">
        <f t="shared" si="182"/>
        <v>0</v>
      </c>
      <c r="AZ102" s="4504">
        <f t="shared" si="183"/>
        <v>0</v>
      </c>
      <c r="BA102" s="4504">
        <f t="shared" si="184"/>
        <v>0</v>
      </c>
      <c r="BB102" s="4504">
        <f t="shared" si="185"/>
        <v>0</v>
      </c>
      <c r="BC102" s="4504">
        <f t="shared" si="186"/>
        <v>0</v>
      </c>
      <c r="BD102" s="4504">
        <f t="shared" si="187"/>
        <v>0</v>
      </c>
      <c r="BE102" s="4504">
        <f t="shared" si="188"/>
        <v>0</v>
      </c>
      <c r="BF102" s="4504">
        <f t="shared" si="189"/>
        <v>0</v>
      </c>
      <c r="BG102" s="4504">
        <f t="shared" si="190"/>
        <v>0</v>
      </c>
      <c r="BH102" s="4504">
        <f t="shared" si="191"/>
        <v>0</v>
      </c>
      <c r="BI102" s="4504">
        <f t="shared" si="192"/>
        <v>0</v>
      </c>
      <c r="BJ102" s="4504">
        <f t="shared" si="193"/>
        <v>0</v>
      </c>
      <c r="BK102" s="4504">
        <f t="shared" si="194"/>
        <v>0</v>
      </c>
      <c r="BL102" s="4504">
        <f t="shared" si="195"/>
        <v>0</v>
      </c>
      <c r="BM102" s="4504">
        <f t="shared" si="196"/>
        <v>0</v>
      </c>
      <c r="BN102" s="4504">
        <f t="shared" si="197"/>
        <v>0</v>
      </c>
      <c r="BO102" s="4504">
        <f t="shared" si="198"/>
        <v>0</v>
      </c>
      <c r="BP102" s="4504">
        <f t="shared" si="199"/>
        <v>0</v>
      </c>
      <c r="BQ102" s="4504">
        <f t="shared" si="200"/>
        <v>0</v>
      </c>
      <c r="BR102" s="4504">
        <f t="shared" si="201"/>
        <v>0</v>
      </c>
      <c r="BS102" s="4504">
        <f t="shared" si="202"/>
        <v>0</v>
      </c>
      <c r="BT102" s="4504">
        <f t="shared" si="203"/>
        <v>0</v>
      </c>
      <c r="BU102" s="4504">
        <f t="shared" si="204"/>
        <v>0</v>
      </c>
      <c r="BV102" s="4504">
        <f t="shared" si="205"/>
        <v>0</v>
      </c>
      <c r="BW102" s="4504">
        <f t="shared" si="206"/>
        <v>0</v>
      </c>
      <c r="BX102" s="4504">
        <f t="shared" si="207"/>
        <v>0</v>
      </c>
      <c r="BY102" s="4504">
        <f t="shared" si="208"/>
        <v>0</v>
      </c>
      <c r="BZ102" s="4504">
        <f t="shared" si="209"/>
        <v>0</v>
      </c>
      <c r="CA102" s="4504">
        <f t="shared" si="210"/>
        <v>0</v>
      </c>
      <c r="CB102" s="4504">
        <f t="shared" si="211"/>
        <v>0</v>
      </c>
      <c r="CC102" s="4504">
        <f t="shared" si="212"/>
        <v>0</v>
      </c>
      <c r="CD102" s="4504">
        <f t="shared" si="213"/>
        <v>0</v>
      </c>
    </row>
    <row r="103" spans="1:82" s="40" customFormat="1">
      <c r="A103" s="2919">
        <v>7</v>
      </c>
      <c r="B103" s="2920">
        <v>208</v>
      </c>
      <c r="C103" s="2921">
        <v>0.2</v>
      </c>
      <c r="D103" s="2962" t="s">
        <v>413</v>
      </c>
      <c r="E103" s="4453">
        <f t="shared" si="265"/>
        <v>0.20800000000000002</v>
      </c>
      <c r="F103" s="2974">
        <f t="shared" si="266"/>
        <v>0.41600000000000004</v>
      </c>
      <c r="G103" s="2975">
        <f t="shared" si="267"/>
        <v>0.41600000000000004</v>
      </c>
      <c r="H103" s="2975">
        <f t="shared" si="267"/>
        <v>0.41600000000000004</v>
      </c>
      <c r="I103" s="2975">
        <f t="shared" si="267"/>
        <v>0.41600000000000004</v>
      </c>
      <c r="J103" s="2975">
        <f t="shared" si="267"/>
        <v>0.41600000000000004</v>
      </c>
      <c r="K103" s="2976">
        <f t="shared" si="267"/>
        <v>0.41600000000000004</v>
      </c>
      <c r="L103" s="4453">
        <f t="shared" si="268"/>
        <v>0</v>
      </c>
      <c r="M103" s="2977">
        <f t="shared" si="269"/>
        <v>0</v>
      </c>
      <c r="N103" s="2975">
        <f t="shared" si="270"/>
        <v>0</v>
      </c>
      <c r="O103" s="2975">
        <f t="shared" si="270"/>
        <v>0</v>
      </c>
      <c r="P103" s="2975">
        <f t="shared" si="270"/>
        <v>0</v>
      </c>
      <c r="Q103" s="2975">
        <f t="shared" si="270"/>
        <v>0</v>
      </c>
      <c r="R103" s="2978">
        <f t="shared" si="270"/>
        <v>0</v>
      </c>
      <c r="S103" s="4453">
        <f t="shared" si="271"/>
        <v>0</v>
      </c>
      <c r="T103" s="2979">
        <f t="shared" si="272"/>
        <v>0</v>
      </c>
      <c r="U103" s="2975">
        <f t="shared" si="273"/>
        <v>0</v>
      </c>
      <c r="V103" s="2975">
        <f t="shared" si="273"/>
        <v>0</v>
      </c>
      <c r="W103" s="2975">
        <f t="shared" si="273"/>
        <v>0</v>
      </c>
      <c r="X103" s="2975">
        <f t="shared" si="273"/>
        <v>0</v>
      </c>
      <c r="Y103" s="2978">
        <f t="shared" si="273"/>
        <v>0</v>
      </c>
      <c r="Z103" s="4453">
        <f t="shared" si="274"/>
        <v>0</v>
      </c>
      <c r="AA103" s="2979">
        <f t="shared" si="243"/>
        <v>0</v>
      </c>
      <c r="AB103" s="2975">
        <f t="shared" si="275"/>
        <v>0</v>
      </c>
      <c r="AC103" s="2975">
        <f t="shared" si="275"/>
        <v>0</v>
      </c>
      <c r="AD103" s="2975">
        <f t="shared" si="275"/>
        <v>0</v>
      </c>
      <c r="AE103" s="2975">
        <f t="shared" si="275"/>
        <v>0</v>
      </c>
      <c r="AF103" s="2978">
        <f t="shared" si="275"/>
        <v>0</v>
      </c>
      <c r="AG103" s="4453">
        <f t="shared" si="276"/>
        <v>0</v>
      </c>
      <c r="AH103" s="2979">
        <f t="shared" si="277"/>
        <v>0</v>
      </c>
      <c r="AI103" s="2975">
        <f t="shared" si="278"/>
        <v>0</v>
      </c>
      <c r="AJ103" s="2975">
        <f t="shared" si="278"/>
        <v>0</v>
      </c>
      <c r="AK103" s="2975">
        <f t="shared" si="278"/>
        <v>0</v>
      </c>
      <c r="AL103" s="2975">
        <f t="shared" si="278"/>
        <v>0</v>
      </c>
      <c r="AM103" s="2978">
        <f t="shared" si="278"/>
        <v>0</v>
      </c>
      <c r="AN103" s="4132"/>
      <c r="AO103" s="3026"/>
      <c r="AP103" s="3027"/>
      <c r="AQ103" s="3027"/>
      <c r="AR103" s="3027"/>
      <c r="AS103" s="3027"/>
      <c r="AT103" s="3028"/>
      <c r="AU103" s="4488"/>
      <c r="AV103" s="4504">
        <f t="shared" si="179"/>
        <v>0.10634871128881346</v>
      </c>
      <c r="AW103" s="4504">
        <f t="shared" si="180"/>
        <v>0.21269742257762692</v>
      </c>
      <c r="AX103" s="4504">
        <f t="shared" si="181"/>
        <v>0.21269742257762692</v>
      </c>
      <c r="AY103" s="4504">
        <f t="shared" si="182"/>
        <v>0.21269742257762692</v>
      </c>
      <c r="AZ103" s="4504">
        <f t="shared" si="183"/>
        <v>0.21269742257762692</v>
      </c>
      <c r="BA103" s="4504">
        <f t="shared" si="184"/>
        <v>0.21269742257762692</v>
      </c>
      <c r="BB103" s="4504">
        <f t="shared" si="185"/>
        <v>0.21269742257762692</v>
      </c>
      <c r="BC103" s="4504">
        <f t="shared" si="186"/>
        <v>0</v>
      </c>
      <c r="BD103" s="4504">
        <f t="shared" si="187"/>
        <v>0</v>
      </c>
      <c r="BE103" s="4504">
        <f t="shared" si="188"/>
        <v>0</v>
      </c>
      <c r="BF103" s="4504">
        <f t="shared" si="189"/>
        <v>0</v>
      </c>
      <c r="BG103" s="4504">
        <f t="shared" si="190"/>
        <v>0</v>
      </c>
      <c r="BH103" s="4504">
        <f t="shared" si="191"/>
        <v>0</v>
      </c>
      <c r="BI103" s="4504">
        <f t="shared" si="192"/>
        <v>0</v>
      </c>
      <c r="BJ103" s="4504">
        <f t="shared" si="193"/>
        <v>0</v>
      </c>
      <c r="BK103" s="4504">
        <f t="shared" si="194"/>
        <v>0</v>
      </c>
      <c r="BL103" s="4504">
        <f t="shared" si="195"/>
        <v>0</v>
      </c>
      <c r="BM103" s="4504">
        <f t="shared" si="196"/>
        <v>0</v>
      </c>
      <c r="BN103" s="4504">
        <f t="shared" si="197"/>
        <v>0</v>
      </c>
      <c r="BO103" s="4504">
        <f t="shared" si="198"/>
        <v>0</v>
      </c>
      <c r="BP103" s="4504">
        <f t="shared" si="199"/>
        <v>0</v>
      </c>
      <c r="BQ103" s="4504">
        <f t="shared" si="200"/>
        <v>0</v>
      </c>
      <c r="BR103" s="4504">
        <f t="shared" si="201"/>
        <v>0</v>
      </c>
      <c r="BS103" s="4504">
        <f t="shared" si="202"/>
        <v>0</v>
      </c>
      <c r="BT103" s="4504">
        <f t="shared" si="203"/>
        <v>0</v>
      </c>
      <c r="BU103" s="4504">
        <f t="shared" si="204"/>
        <v>0</v>
      </c>
      <c r="BV103" s="4504">
        <f t="shared" si="205"/>
        <v>0</v>
      </c>
      <c r="BW103" s="4504">
        <f t="shared" si="206"/>
        <v>0</v>
      </c>
      <c r="BX103" s="4504">
        <f t="shared" si="207"/>
        <v>0</v>
      </c>
      <c r="BY103" s="4504">
        <f t="shared" si="208"/>
        <v>0</v>
      </c>
      <c r="BZ103" s="4504">
        <f t="shared" si="209"/>
        <v>0</v>
      </c>
      <c r="CA103" s="4504">
        <f t="shared" si="210"/>
        <v>0</v>
      </c>
      <c r="CB103" s="4504">
        <f t="shared" si="211"/>
        <v>0</v>
      </c>
      <c r="CC103" s="4504">
        <f t="shared" si="212"/>
        <v>0</v>
      </c>
      <c r="CD103" s="4504">
        <f t="shared" si="213"/>
        <v>0</v>
      </c>
    </row>
    <row r="104" spans="1:82" s="40" customFormat="1">
      <c r="A104" s="2919">
        <v>8</v>
      </c>
      <c r="B104" s="2920">
        <v>209</v>
      </c>
      <c r="C104" s="2921">
        <v>0.1</v>
      </c>
      <c r="D104" s="2962" t="s">
        <v>213</v>
      </c>
      <c r="E104" s="4453">
        <f t="shared" si="265"/>
        <v>0</v>
      </c>
      <c r="F104" s="2974">
        <f t="shared" si="266"/>
        <v>0</v>
      </c>
      <c r="G104" s="2975">
        <f t="shared" si="267"/>
        <v>0</v>
      </c>
      <c r="H104" s="2975">
        <f t="shared" si="267"/>
        <v>0</v>
      </c>
      <c r="I104" s="2975">
        <f t="shared" si="267"/>
        <v>0</v>
      </c>
      <c r="J104" s="2975">
        <f t="shared" si="267"/>
        <v>0</v>
      </c>
      <c r="K104" s="2976">
        <f t="shared" si="267"/>
        <v>0</v>
      </c>
      <c r="L104" s="4453">
        <f t="shared" si="268"/>
        <v>0</v>
      </c>
      <c r="M104" s="2977">
        <f t="shared" si="269"/>
        <v>0</v>
      </c>
      <c r="N104" s="2975">
        <f t="shared" si="270"/>
        <v>0</v>
      </c>
      <c r="O104" s="2975">
        <f t="shared" si="270"/>
        <v>0</v>
      </c>
      <c r="P104" s="2975">
        <f t="shared" si="270"/>
        <v>0</v>
      </c>
      <c r="Q104" s="2975">
        <f t="shared" si="270"/>
        <v>0</v>
      </c>
      <c r="R104" s="2978">
        <f t="shared" si="270"/>
        <v>0</v>
      </c>
      <c r="S104" s="4453">
        <f t="shared" si="271"/>
        <v>0</v>
      </c>
      <c r="T104" s="2979">
        <f t="shared" si="272"/>
        <v>0</v>
      </c>
      <c r="U104" s="2975">
        <f t="shared" si="273"/>
        <v>0</v>
      </c>
      <c r="V104" s="2975">
        <f t="shared" si="273"/>
        <v>0</v>
      </c>
      <c r="W104" s="2975">
        <f t="shared" si="273"/>
        <v>0</v>
      </c>
      <c r="X104" s="2975">
        <f t="shared" si="273"/>
        <v>0</v>
      </c>
      <c r="Y104" s="2978">
        <f t="shared" si="273"/>
        <v>0</v>
      </c>
      <c r="Z104" s="4453">
        <f t="shared" si="274"/>
        <v>0</v>
      </c>
      <c r="AA104" s="2979">
        <f t="shared" si="243"/>
        <v>0</v>
      </c>
      <c r="AB104" s="2975">
        <f t="shared" si="275"/>
        <v>0</v>
      </c>
      <c r="AC104" s="2975">
        <f t="shared" si="275"/>
        <v>0</v>
      </c>
      <c r="AD104" s="2975">
        <f t="shared" si="275"/>
        <v>0</v>
      </c>
      <c r="AE104" s="2975">
        <f t="shared" si="275"/>
        <v>0</v>
      </c>
      <c r="AF104" s="2978">
        <f t="shared" si="275"/>
        <v>0</v>
      </c>
      <c r="AG104" s="4453">
        <f t="shared" si="276"/>
        <v>0</v>
      </c>
      <c r="AH104" s="2979">
        <f t="shared" si="277"/>
        <v>0</v>
      </c>
      <c r="AI104" s="2975">
        <f t="shared" si="278"/>
        <v>0</v>
      </c>
      <c r="AJ104" s="2975">
        <f t="shared" si="278"/>
        <v>0</v>
      </c>
      <c r="AK104" s="2975">
        <f t="shared" si="278"/>
        <v>0</v>
      </c>
      <c r="AL104" s="2975">
        <f t="shared" si="278"/>
        <v>0</v>
      </c>
      <c r="AM104" s="2978">
        <f t="shared" si="278"/>
        <v>0</v>
      </c>
      <c r="AN104" s="4132"/>
      <c r="AO104" s="3026"/>
      <c r="AP104" s="3027"/>
      <c r="AQ104" s="3027"/>
      <c r="AR104" s="3027"/>
      <c r="AS104" s="3027"/>
      <c r="AT104" s="3028"/>
      <c r="AU104" s="4488"/>
      <c r="AV104" s="4504">
        <f t="shared" si="179"/>
        <v>0</v>
      </c>
      <c r="AW104" s="4504">
        <f t="shared" si="180"/>
        <v>0</v>
      </c>
      <c r="AX104" s="4504">
        <f t="shared" si="181"/>
        <v>0</v>
      </c>
      <c r="AY104" s="4504">
        <f t="shared" si="182"/>
        <v>0</v>
      </c>
      <c r="AZ104" s="4504">
        <f t="shared" si="183"/>
        <v>0</v>
      </c>
      <c r="BA104" s="4504">
        <f t="shared" si="184"/>
        <v>0</v>
      </c>
      <c r="BB104" s="4504">
        <f t="shared" si="185"/>
        <v>0</v>
      </c>
      <c r="BC104" s="4504">
        <f t="shared" si="186"/>
        <v>0</v>
      </c>
      <c r="BD104" s="4504">
        <f t="shared" si="187"/>
        <v>0</v>
      </c>
      <c r="BE104" s="4504">
        <f t="shared" si="188"/>
        <v>0</v>
      </c>
      <c r="BF104" s="4504">
        <f t="shared" si="189"/>
        <v>0</v>
      </c>
      <c r="BG104" s="4504">
        <f t="shared" si="190"/>
        <v>0</v>
      </c>
      <c r="BH104" s="4504">
        <f t="shared" si="191"/>
        <v>0</v>
      </c>
      <c r="BI104" s="4504">
        <f t="shared" si="192"/>
        <v>0</v>
      </c>
      <c r="BJ104" s="4504">
        <f t="shared" si="193"/>
        <v>0</v>
      </c>
      <c r="BK104" s="4504">
        <f t="shared" si="194"/>
        <v>0</v>
      </c>
      <c r="BL104" s="4504">
        <f t="shared" si="195"/>
        <v>0</v>
      </c>
      <c r="BM104" s="4504">
        <f t="shared" si="196"/>
        <v>0</v>
      </c>
      <c r="BN104" s="4504">
        <f t="shared" si="197"/>
        <v>0</v>
      </c>
      <c r="BO104" s="4504">
        <f t="shared" si="198"/>
        <v>0</v>
      </c>
      <c r="BP104" s="4504">
        <f t="shared" si="199"/>
        <v>0</v>
      </c>
      <c r="BQ104" s="4504">
        <f t="shared" si="200"/>
        <v>0</v>
      </c>
      <c r="BR104" s="4504">
        <f t="shared" si="201"/>
        <v>0</v>
      </c>
      <c r="BS104" s="4504">
        <f t="shared" si="202"/>
        <v>0</v>
      </c>
      <c r="BT104" s="4504">
        <f t="shared" si="203"/>
        <v>0</v>
      </c>
      <c r="BU104" s="4504">
        <f t="shared" si="204"/>
        <v>0</v>
      </c>
      <c r="BV104" s="4504">
        <f t="shared" si="205"/>
        <v>0</v>
      </c>
      <c r="BW104" s="4504">
        <f t="shared" si="206"/>
        <v>0</v>
      </c>
      <c r="BX104" s="4504">
        <f t="shared" si="207"/>
        <v>0</v>
      </c>
      <c r="BY104" s="4504">
        <f t="shared" si="208"/>
        <v>0</v>
      </c>
      <c r="BZ104" s="4504">
        <f t="shared" si="209"/>
        <v>0</v>
      </c>
      <c r="CA104" s="4504">
        <f t="shared" si="210"/>
        <v>0</v>
      </c>
      <c r="CB104" s="4504">
        <f t="shared" si="211"/>
        <v>0</v>
      </c>
      <c r="CC104" s="4504">
        <f t="shared" si="212"/>
        <v>0</v>
      </c>
      <c r="CD104" s="4504">
        <f t="shared" si="213"/>
        <v>0</v>
      </c>
    </row>
    <row r="105" spans="1:82" s="40" customFormat="1">
      <c r="A105" s="2919">
        <v>9</v>
      </c>
      <c r="B105" s="2920">
        <v>212</v>
      </c>
      <c r="C105" s="2921">
        <v>0.2</v>
      </c>
      <c r="D105" s="2980" t="s">
        <v>214</v>
      </c>
      <c r="E105" s="4453">
        <f t="shared" si="265"/>
        <v>0</v>
      </c>
      <c r="F105" s="2974">
        <f t="shared" si="266"/>
        <v>0</v>
      </c>
      <c r="G105" s="2975">
        <f t="shared" si="267"/>
        <v>0</v>
      </c>
      <c r="H105" s="2975">
        <f t="shared" si="267"/>
        <v>0</v>
      </c>
      <c r="I105" s="2975">
        <f t="shared" si="267"/>
        <v>0</v>
      </c>
      <c r="J105" s="2975">
        <f t="shared" si="267"/>
        <v>0</v>
      </c>
      <c r="K105" s="2976">
        <f t="shared" si="267"/>
        <v>0</v>
      </c>
      <c r="L105" s="4453">
        <f t="shared" si="268"/>
        <v>0</v>
      </c>
      <c r="M105" s="2977">
        <f t="shared" si="269"/>
        <v>0</v>
      </c>
      <c r="N105" s="2975">
        <f t="shared" si="270"/>
        <v>0</v>
      </c>
      <c r="O105" s="2975">
        <f t="shared" si="270"/>
        <v>0</v>
      </c>
      <c r="P105" s="2975">
        <f t="shared" si="270"/>
        <v>0</v>
      </c>
      <c r="Q105" s="2975">
        <f t="shared" si="270"/>
        <v>0</v>
      </c>
      <c r="R105" s="2978">
        <f t="shared" si="270"/>
        <v>0</v>
      </c>
      <c r="S105" s="4453">
        <f t="shared" si="271"/>
        <v>0</v>
      </c>
      <c r="T105" s="2979">
        <f t="shared" si="272"/>
        <v>0</v>
      </c>
      <c r="U105" s="2975">
        <f t="shared" si="273"/>
        <v>0</v>
      </c>
      <c r="V105" s="2975">
        <f t="shared" si="273"/>
        <v>0</v>
      </c>
      <c r="W105" s="2975">
        <f t="shared" si="273"/>
        <v>0</v>
      </c>
      <c r="X105" s="2975">
        <f t="shared" si="273"/>
        <v>0</v>
      </c>
      <c r="Y105" s="2978">
        <f t="shared" si="273"/>
        <v>0</v>
      </c>
      <c r="Z105" s="4453">
        <f t="shared" si="274"/>
        <v>0</v>
      </c>
      <c r="AA105" s="2979">
        <f t="shared" si="243"/>
        <v>0</v>
      </c>
      <c r="AB105" s="2975">
        <f t="shared" si="275"/>
        <v>0</v>
      </c>
      <c r="AC105" s="2975">
        <f t="shared" si="275"/>
        <v>0</v>
      </c>
      <c r="AD105" s="2975">
        <f t="shared" si="275"/>
        <v>0</v>
      </c>
      <c r="AE105" s="2975">
        <f t="shared" si="275"/>
        <v>0</v>
      </c>
      <c r="AF105" s="2978">
        <f t="shared" si="275"/>
        <v>0</v>
      </c>
      <c r="AG105" s="4453">
        <f t="shared" si="276"/>
        <v>0</v>
      </c>
      <c r="AH105" s="2979">
        <f t="shared" si="277"/>
        <v>0</v>
      </c>
      <c r="AI105" s="2975">
        <f t="shared" si="278"/>
        <v>0</v>
      </c>
      <c r="AJ105" s="2975">
        <f t="shared" si="278"/>
        <v>0</v>
      </c>
      <c r="AK105" s="2975">
        <f t="shared" si="278"/>
        <v>0</v>
      </c>
      <c r="AL105" s="2975">
        <f t="shared" si="278"/>
        <v>0</v>
      </c>
      <c r="AM105" s="2978">
        <f t="shared" si="278"/>
        <v>0</v>
      </c>
      <c r="AN105" s="4132"/>
      <c r="AO105" s="3026"/>
      <c r="AP105" s="3027"/>
      <c r="AQ105" s="3027"/>
      <c r="AR105" s="3027"/>
      <c r="AS105" s="3027"/>
      <c r="AT105" s="3028"/>
      <c r="AU105" s="4488"/>
      <c r="AV105" s="4504">
        <f t="shared" si="179"/>
        <v>0</v>
      </c>
      <c r="AW105" s="4504">
        <f t="shared" si="180"/>
        <v>0</v>
      </c>
      <c r="AX105" s="4504">
        <f t="shared" si="181"/>
        <v>0</v>
      </c>
      <c r="AY105" s="4504">
        <f t="shared" si="182"/>
        <v>0</v>
      </c>
      <c r="AZ105" s="4504">
        <f t="shared" si="183"/>
        <v>0</v>
      </c>
      <c r="BA105" s="4504">
        <f t="shared" si="184"/>
        <v>0</v>
      </c>
      <c r="BB105" s="4504">
        <f t="shared" si="185"/>
        <v>0</v>
      </c>
      <c r="BC105" s="4504">
        <f t="shared" si="186"/>
        <v>0</v>
      </c>
      <c r="BD105" s="4504">
        <f t="shared" si="187"/>
        <v>0</v>
      </c>
      <c r="BE105" s="4504">
        <f t="shared" si="188"/>
        <v>0</v>
      </c>
      <c r="BF105" s="4504">
        <f t="shared" si="189"/>
        <v>0</v>
      </c>
      <c r="BG105" s="4504">
        <f t="shared" si="190"/>
        <v>0</v>
      </c>
      <c r="BH105" s="4504">
        <f t="shared" si="191"/>
        <v>0</v>
      </c>
      <c r="BI105" s="4504">
        <f t="shared" si="192"/>
        <v>0</v>
      </c>
      <c r="BJ105" s="4504">
        <f t="shared" si="193"/>
        <v>0</v>
      </c>
      <c r="BK105" s="4504">
        <f t="shared" si="194"/>
        <v>0</v>
      </c>
      <c r="BL105" s="4504">
        <f t="shared" si="195"/>
        <v>0</v>
      </c>
      <c r="BM105" s="4504">
        <f t="shared" si="196"/>
        <v>0</v>
      </c>
      <c r="BN105" s="4504">
        <f t="shared" si="197"/>
        <v>0</v>
      </c>
      <c r="BO105" s="4504">
        <f t="shared" si="198"/>
        <v>0</v>
      </c>
      <c r="BP105" s="4504">
        <f t="shared" si="199"/>
        <v>0</v>
      </c>
      <c r="BQ105" s="4504">
        <f t="shared" si="200"/>
        <v>0</v>
      </c>
      <c r="BR105" s="4504">
        <f t="shared" si="201"/>
        <v>0</v>
      </c>
      <c r="BS105" s="4504">
        <f t="shared" si="202"/>
        <v>0</v>
      </c>
      <c r="BT105" s="4504">
        <f t="shared" si="203"/>
        <v>0</v>
      </c>
      <c r="BU105" s="4504">
        <f t="shared" si="204"/>
        <v>0</v>
      </c>
      <c r="BV105" s="4504">
        <f t="shared" si="205"/>
        <v>0</v>
      </c>
      <c r="BW105" s="4504">
        <f t="shared" si="206"/>
        <v>0</v>
      </c>
      <c r="BX105" s="4504">
        <f t="shared" si="207"/>
        <v>0</v>
      </c>
      <c r="BY105" s="4504">
        <f t="shared" si="208"/>
        <v>0</v>
      </c>
      <c r="BZ105" s="4504">
        <f t="shared" si="209"/>
        <v>0</v>
      </c>
      <c r="CA105" s="4504">
        <f t="shared" si="210"/>
        <v>0</v>
      </c>
      <c r="CB105" s="4504">
        <f t="shared" si="211"/>
        <v>0</v>
      </c>
      <c r="CC105" s="4504">
        <f t="shared" si="212"/>
        <v>0</v>
      </c>
      <c r="CD105" s="4504">
        <f t="shared" si="213"/>
        <v>0</v>
      </c>
    </row>
    <row r="106" spans="1:82" s="40" customFormat="1">
      <c r="A106" s="2919">
        <v>10</v>
      </c>
      <c r="B106" s="2920">
        <v>213</v>
      </c>
      <c r="C106" s="2921">
        <v>0.2</v>
      </c>
      <c r="D106" s="2965" t="s">
        <v>215</v>
      </c>
      <c r="E106" s="4453">
        <f t="shared" si="265"/>
        <v>0</v>
      </c>
      <c r="F106" s="2974">
        <f t="shared" si="266"/>
        <v>0</v>
      </c>
      <c r="G106" s="2975">
        <f t="shared" si="267"/>
        <v>0</v>
      </c>
      <c r="H106" s="2975">
        <f t="shared" si="267"/>
        <v>0</v>
      </c>
      <c r="I106" s="2975">
        <f t="shared" si="267"/>
        <v>0</v>
      </c>
      <c r="J106" s="2975">
        <f t="shared" si="267"/>
        <v>0</v>
      </c>
      <c r="K106" s="2976">
        <f t="shared" si="267"/>
        <v>0</v>
      </c>
      <c r="L106" s="4453">
        <f t="shared" si="268"/>
        <v>0</v>
      </c>
      <c r="M106" s="2977">
        <f t="shared" si="269"/>
        <v>0</v>
      </c>
      <c r="N106" s="2975">
        <f t="shared" si="270"/>
        <v>0</v>
      </c>
      <c r="O106" s="2975">
        <f t="shared" si="270"/>
        <v>0</v>
      </c>
      <c r="P106" s="2975">
        <f t="shared" si="270"/>
        <v>0</v>
      </c>
      <c r="Q106" s="2975">
        <f t="shared" si="270"/>
        <v>0</v>
      </c>
      <c r="R106" s="2978">
        <f t="shared" si="270"/>
        <v>0</v>
      </c>
      <c r="S106" s="4453">
        <f t="shared" si="271"/>
        <v>0</v>
      </c>
      <c r="T106" s="2979">
        <f t="shared" si="272"/>
        <v>0</v>
      </c>
      <c r="U106" s="2975">
        <f t="shared" si="273"/>
        <v>0</v>
      </c>
      <c r="V106" s="2975">
        <f t="shared" si="273"/>
        <v>0</v>
      </c>
      <c r="W106" s="2975">
        <f t="shared" si="273"/>
        <v>0</v>
      </c>
      <c r="X106" s="2975">
        <f t="shared" si="273"/>
        <v>0</v>
      </c>
      <c r="Y106" s="2978">
        <f t="shared" si="273"/>
        <v>0</v>
      </c>
      <c r="Z106" s="4453">
        <f t="shared" si="274"/>
        <v>0</v>
      </c>
      <c r="AA106" s="2979">
        <f t="shared" si="243"/>
        <v>0</v>
      </c>
      <c r="AB106" s="2975">
        <f t="shared" si="275"/>
        <v>0</v>
      </c>
      <c r="AC106" s="2975">
        <f t="shared" si="275"/>
        <v>0</v>
      </c>
      <c r="AD106" s="2975">
        <f t="shared" si="275"/>
        <v>0</v>
      </c>
      <c r="AE106" s="2975">
        <f t="shared" si="275"/>
        <v>0</v>
      </c>
      <c r="AF106" s="2978">
        <f t="shared" si="275"/>
        <v>0</v>
      </c>
      <c r="AG106" s="4453">
        <f t="shared" si="276"/>
        <v>0</v>
      </c>
      <c r="AH106" s="2979">
        <f t="shared" si="277"/>
        <v>0</v>
      </c>
      <c r="AI106" s="2975">
        <f t="shared" si="278"/>
        <v>0</v>
      </c>
      <c r="AJ106" s="2975">
        <f t="shared" si="278"/>
        <v>0</v>
      </c>
      <c r="AK106" s="2975">
        <f t="shared" si="278"/>
        <v>0</v>
      </c>
      <c r="AL106" s="2975">
        <f t="shared" si="278"/>
        <v>0</v>
      </c>
      <c r="AM106" s="2978">
        <f t="shared" si="278"/>
        <v>0</v>
      </c>
      <c r="AN106" s="4132"/>
      <c r="AO106" s="3026"/>
      <c r="AP106" s="3027"/>
      <c r="AQ106" s="3027"/>
      <c r="AR106" s="3027"/>
      <c r="AS106" s="3027"/>
      <c r="AT106" s="3028"/>
      <c r="AU106" s="4488"/>
      <c r="AV106" s="4504">
        <f t="shared" si="179"/>
        <v>0</v>
      </c>
      <c r="AW106" s="4504">
        <f t="shared" si="180"/>
        <v>0</v>
      </c>
      <c r="AX106" s="4504">
        <f t="shared" si="181"/>
        <v>0</v>
      </c>
      <c r="AY106" s="4504">
        <f t="shared" si="182"/>
        <v>0</v>
      </c>
      <c r="AZ106" s="4504">
        <f t="shared" si="183"/>
        <v>0</v>
      </c>
      <c r="BA106" s="4504">
        <f t="shared" si="184"/>
        <v>0</v>
      </c>
      <c r="BB106" s="4504">
        <f t="shared" si="185"/>
        <v>0</v>
      </c>
      <c r="BC106" s="4504">
        <f t="shared" si="186"/>
        <v>0</v>
      </c>
      <c r="BD106" s="4504">
        <f t="shared" si="187"/>
        <v>0</v>
      </c>
      <c r="BE106" s="4504">
        <f t="shared" si="188"/>
        <v>0</v>
      </c>
      <c r="BF106" s="4504">
        <f t="shared" si="189"/>
        <v>0</v>
      </c>
      <c r="BG106" s="4504">
        <f t="shared" si="190"/>
        <v>0</v>
      </c>
      <c r="BH106" s="4504">
        <f t="shared" si="191"/>
        <v>0</v>
      </c>
      <c r="BI106" s="4504">
        <f t="shared" si="192"/>
        <v>0</v>
      </c>
      <c r="BJ106" s="4504">
        <f t="shared" si="193"/>
        <v>0</v>
      </c>
      <c r="BK106" s="4504">
        <f t="shared" si="194"/>
        <v>0</v>
      </c>
      <c r="BL106" s="4504">
        <f t="shared" si="195"/>
        <v>0</v>
      </c>
      <c r="BM106" s="4504">
        <f t="shared" si="196"/>
        <v>0</v>
      </c>
      <c r="BN106" s="4504">
        <f t="shared" si="197"/>
        <v>0</v>
      </c>
      <c r="BO106" s="4504">
        <f t="shared" si="198"/>
        <v>0</v>
      </c>
      <c r="BP106" s="4504">
        <f t="shared" si="199"/>
        <v>0</v>
      </c>
      <c r="BQ106" s="4504">
        <f t="shared" si="200"/>
        <v>0</v>
      </c>
      <c r="BR106" s="4504">
        <f t="shared" si="201"/>
        <v>0</v>
      </c>
      <c r="BS106" s="4504">
        <f t="shared" si="202"/>
        <v>0</v>
      </c>
      <c r="BT106" s="4504">
        <f t="shared" si="203"/>
        <v>0</v>
      </c>
      <c r="BU106" s="4504">
        <f t="shared" si="204"/>
        <v>0</v>
      </c>
      <c r="BV106" s="4504">
        <f t="shared" si="205"/>
        <v>0</v>
      </c>
      <c r="BW106" s="4504">
        <f t="shared" si="206"/>
        <v>0</v>
      </c>
      <c r="BX106" s="4504">
        <f t="shared" si="207"/>
        <v>0</v>
      </c>
      <c r="BY106" s="4504">
        <f t="shared" si="208"/>
        <v>0</v>
      </c>
      <c r="BZ106" s="4504">
        <f t="shared" si="209"/>
        <v>0</v>
      </c>
      <c r="CA106" s="4504">
        <f t="shared" si="210"/>
        <v>0</v>
      </c>
      <c r="CB106" s="4504">
        <f t="shared" si="211"/>
        <v>0</v>
      </c>
      <c r="CC106" s="4504">
        <f t="shared" si="212"/>
        <v>0</v>
      </c>
      <c r="CD106" s="4504">
        <f t="shared" si="213"/>
        <v>0</v>
      </c>
    </row>
    <row r="107" spans="1:82" s="40" customFormat="1" ht="26.4">
      <c r="A107" s="2981">
        <v>11</v>
      </c>
      <c r="B107" s="2920">
        <v>215</v>
      </c>
      <c r="C107" s="2921">
        <v>0.2</v>
      </c>
      <c r="D107" s="2965" t="s">
        <v>679</v>
      </c>
      <c r="E107" s="4453">
        <f t="shared" si="265"/>
        <v>4.8000000000000007</v>
      </c>
      <c r="F107" s="2974">
        <f t="shared" si="266"/>
        <v>9.6000000000000014</v>
      </c>
      <c r="G107" s="2975">
        <f t="shared" si="267"/>
        <v>9.6000000000000014</v>
      </c>
      <c r="H107" s="2975">
        <f t="shared" si="267"/>
        <v>9.6000000000000014</v>
      </c>
      <c r="I107" s="2975">
        <f t="shared" si="267"/>
        <v>9.6000000000000014</v>
      </c>
      <c r="J107" s="2975">
        <f t="shared" si="267"/>
        <v>9.6000000000000014</v>
      </c>
      <c r="K107" s="2976">
        <f t="shared" si="267"/>
        <v>9.6000000000000014</v>
      </c>
      <c r="L107" s="4453">
        <f t="shared" si="268"/>
        <v>0</v>
      </c>
      <c r="M107" s="2977">
        <f t="shared" si="269"/>
        <v>0</v>
      </c>
      <c r="N107" s="2975">
        <f t="shared" si="270"/>
        <v>0</v>
      </c>
      <c r="O107" s="2975">
        <f t="shared" si="270"/>
        <v>0</v>
      </c>
      <c r="P107" s="2975">
        <f t="shared" si="270"/>
        <v>0</v>
      </c>
      <c r="Q107" s="2975">
        <f t="shared" si="270"/>
        <v>0</v>
      </c>
      <c r="R107" s="2978">
        <f t="shared" si="270"/>
        <v>0</v>
      </c>
      <c r="S107" s="4453">
        <f t="shared" si="271"/>
        <v>0</v>
      </c>
      <c r="T107" s="2979">
        <f t="shared" si="272"/>
        <v>0</v>
      </c>
      <c r="U107" s="2975">
        <f t="shared" si="273"/>
        <v>0</v>
      </c>
      <c r="V107" s="2975">
        <f t="shared" si="273"/>
        <v>0</v>
      </c>
      <c r="W107" s="2975">
        <f t="shared" si="273"/>
        <v>0</v>
      </c>
      <c r="X107" s="2975">
        <f t="shared" si="273"/>
        <v>0</v>
      </c>
      <c r="Y107" s="2978">
        <f t="shared" si="273"/>
        <v>0</v>
      </c>
      <c r="Z107" s="4453">
        <f t="shared" si="274"/>
        <v>0</v>
      </c>
      <c r="AA107" s="2979">
        <f t="shared" si="243"/>
        <v>0</v>
      </c>
      <c r="AB107" s="2975">
        <f t="shared" si="275"/>
        <v>0</v>
      </c>
      <c r="AC107" s="2975">
        <f t="shared" si="275"/>
        <v>0</v>
      </c>
      <c r="AD107" s="2975">
        <f t="shared" si="275"/>
        <v>0</v>
      </c>
      <c r="AE107" s="2975">
        <f t="shared" si="275"/>
        <v>0</v>
      </c>
      <c r="AF107" s="2978">
        <f t="shared" si="275"/>
        <v>0</v>
      </c>
      <c r="AG107" s="4453">
        <f t="shared" si="276"/>
        <v>0</v>
      </c>
      <c r="AH107" s="2979">
        <f t="shared" si="277"/>
        <v>0</v>
      </c>
      <c r="AI107" s="2975">
        <f t="shared" si="278"/>
        <v>0</v>
      </c>
      <c r="AJ107" s="2975">
        <f t="shared" si="278"/>
        <v>0</v>
      </c>
      <c r="AK107" s="2975">
        <f t="shared" si="278"/>
        <v>0</v>
      </c>
      <c r="AL107" s="2975">
        <f t="shared" si="278"/>
        <v>0</v>
      </c>
      <c r="AM107" s="2978">
        <f t="shared" si="278"/>
        <v>0</v>
      </c>
      <c r="AN107" s="4132"/>
      <c r="AO107" s="3026"/>
      <c r="AP107" s="3027"/>
      <c r="AQ107" s="3027"/>
      <c r="AR107" s="3027"/>
      <c r="AS107" s="3027"/>
      <c r="AT107" s="3028"/>
      <c r="AU107" s="4488"/>
      <c r="AV107" s="4504">
        <f t="shared" si="179"/>
        <v>2.4542010297418493</v>
      </c>
      <c r="AW107" s="4504">
        <f t="shared" si="180"/>
        <v>4.9084020594836986</v>
      </c>
      <c r="AX107" s="4504">
        <f t="shared" si="181"/>
        <v>4.9084020594836986</v>
      </c>
      <c r="AY107" s="4504">
        <f t="shared" si="182"/>
        <v>4.9084020594836986</v>
      </c>
      <c r="AZ107" s="4504">
        <f t="shared" si="183"/>
        <v>4.9084020594836986</v>
      </c>
      <c r="BA107" s="4504">
        <f t="shared" si="184"/>
        <v>4.9084020594836986</v>
      </c>
      <c r="BB107" s="4504">
        <f t="shared" si="185"/>
        <v>4.9084020594836986</v>
      </c>
      <c r="BC107" s="4504">
        <f t="shared" si="186"/>
        <v>0</v>
      </c>
      <c r="BD107" s="4504">
        <f t="shared" si="187"/>
        <v>0</v>
      </c>
      <c r="BE107" s="4504">
        <f t="shared" si="188"/>
        <v>0</v>
      </c>
      <c r="BF107" s="4504">
        <f t="shared" si="189"/>
        <v>0</v>
      </c>
      <c r="BG107" s="4504">
        <f t="shared" si="190"/>
        <v>0</v>
      </c>
      <c r="BH107" s="4504">
        <f t="shared" si="191"/>
        <v>0</v>
      </c>
      <c r="BI107" s="4504">
        <f t="shared" si="192"/>
        <v>0</v>
      </c>
      <c r="BJ107" s="4504">
        <f t="shared" si="193"/>
        <v>0</v>
      </c>
      <c r="BK107" s="4504">
        <f t="shared" si="194"/>
        <v>0</v>
      </c>
      <c r="BL107" s="4504">
        <f t="shared" si="195"/>
        <v>0</v>
      </c>
      <c r="BM107" s="4504">
        <f t="shared" si="196"/>
        <v>0</v>
      </c>
      <c r="BN107" s="4504">
        <f t="shared" si="197"/>
        <v>0</v>
      </c>
      <c r="BO107" s="4504">
        <f t="shared" si="198"/>
        <v>0</v>
      </c>
      <c r="BP107" s="4504">
        <f t="shared" si="199"/>
        <v>0</v>
      </c>
      <c r="BQ107" s="4504">
        <f t="shared" si="200"/>
        <v>0</v>
      </c>
      <c r="BR107" s="4504">
        <f t="shared" si="201"/>
        <v>0</v>
      </c>
      <c r="BS107" s="4504">
        <f t="shared" si="202"/>
        <v>0</v>
      </c>
      <c r="BT107" s="4504">
        <f t="shared" si="203"/>
        <v>0</v>
      </c>
      <c r="BU107" s="4504">
        <f t="shared" si="204"/>
        <v>0</v>
      </c>
      <c r="BV107" s="4504">
        <f t="shared" si="205"/>
        <v>0</v>
      </c>
      <c r="BW107" s="4504">
        <f t="shared" si="206"/>
        <v>0</v>
      </c>
      <c r="BX107" s="4504">
        <f t="shared" si="207"/>
        <v>0</v>
      </c>
      <c r="BY107" s="4504">
        <f t="shared" si="208"/>
        <v>0</v>
      </c>
      <c r="BZ107" s="4504">
        <f t="shared" si="209"/>
        <v>0</v>
      </c>
      <c r="CA107" s="4504">
        <f t="shared" si="210"/>
        <v>0</v>
      </c>
      <c r="CB107" s="4504">
        <f t="shared" si="211"/>
        <v>0</v>
      </c>
      <c r="CC107" s="4504">
        <f t="shared" si="212"/>
        <v>0</v>
      </c>
      <c r="CD107" s="4504">
        <f t="shared" si="213"/>
        <v>0</v>
      </c>
    </row>
    <row r="108" spans="1:82" s="40" customFormat="1" ht="13.8" thickBot="1">
      <c r="A108" s="2923">
        <v>12</v>
      </c>
      <c r="B108" s="2923">
        <v>219</v>
      </c>
      <c r="C108" s="2924">
        <v>0.1</v>
      </c>
      <c r="D108" s="2982" t="s">
        <v>216</v>
      </c>
      <c r="E108" s="4454">
        <f t="shared" si="265"/>
        <v>0.70891864468705212</v>
      </c>
      <c r="F108" s="2983">
        <f t="shared" si="266"/>
        <v>1.4178372893741042</v>
      </c>
      <c r="G108" s="2984">
        <f t="shared" si="267"/>
        <v>1.4178372893741042</v>
      </c>
      <c r="H108" s="2984">
        <f t="shared" si="267"/>
        <v>1.4178372893741042</v>
      </c>
      <c r="I108" s="2984">
        <f t="shared" si="267"/>
        <v>1.4178372893741042</v>
      </c>
      <c r="J108" s="2984">
        <f t="shared" si="267"/>
        <v>1.4178372893741042</v>
      </c>
      <c r="K108" s="2985">
        <f t="shared" si="267"/>
        <v>1.4178372893741042</v>
      </c>
      <c r="L108" s="4454">
        <f t="shared" si="268"/>
        <v>0</v>
      </c>
      <c r="M108" s="2986">
        <f t="shared" si="269"/>
        <v>0</v>
      </c>
      <c r="N108" s="2984">
        <f t="shared" si="270"/>
        <v>0</v>
      </c>
      <c r="O108" s="2984">
        <f t="shared" si="270"/>
        <v>0</v>
      </c>
      <c r="P108" s="2984">
        <f t="shared" si="270"/>
        <v>0</v>
      </c>
      <c r="Q108" s="2984">
        <f t="shared" si="270"/>
        <v>0</v>
      </c>
      <c r="R108" s="2987">
        <f t="shared" si="270"/>
        <v>0</v>
      </c>
      <c r="S108" s="4454">
        <f t="shared" si="271"/>
        <v>0</v>
      </c>
      <c r="T108" s="2988">
        <f t="shared" si="272"/>
        <v>0</v>
      </c>
      <c r="U108" s="2984">
        <f t="shared" si="273"/>
        <v>0</v>
      </c>
      <c r="V108" s="2984">
        <f t="shared" si="273"/>
        <v>0</v>
      </c>
      <c r="W108" s="2984">
        <f t="shared" si="273"/>
        <v>0</v>
      </c>
      <c r="X108" s="2984">
        <f t="shared" si="273"/>
        <v>0</v>
      </c>
      <c r="Y108" s="2987">
        <f t="shared" si="273"/>
        <v>0</v>
      </c>
      <c r="Z108" s="4454">
        <f t="shared" si="274"/>
        <v>0</v>
      </c>
      <c r="AA108" s="2988">
        <f t="shared" si="243"/>
        <v>0</v>
      </c>
      <c r="AB108" s="2984">
        <f t="shared" si="275"/>
        <v>0</v>
      </c>
      <c r="AC108" s="2984">
        <f t="shared" si="275"/>
        <v>0</v>
      </c>
      <c r="AD108" s="2984">
        <f t="shared" si="275"/>
        <v>0</v>
      </c>
      <c r="AE108" s="2984">
        <f t="shared" si="275"/>
        <v>0</v>
      </c>
      <c r="AF108" s="2987">
        <f t="shared" si="275"/>
        <v>0</v>
      </c>
      <c r="AG108" s="4454">
        <f>+AG59*$C108/2</f>
        <v>4.1081355312948001E-2</v>
      </c>
      <c r="AH108" s="2988">
        <f t="shared" si="277"/>
        <v>8.2162710625896002E-2</v>
      </c>
      <c r="AI108" s="2984">
        <f t="shared" si="278"/>
        <v>8.2162710625896002E-2</v>
      </c>
      <c r="AJ108" s="2984">
        <f t="shared" si="278"/>
        <v>8.2162710625896002E-2</v>
      </c>
      <c r="AK108" s="2984">
        <f t="shared" si="278"/>
        <v>8.2162710625896002E-2</v>
      </c>
      <c r="AL108" s="2984">
        <f t="shared" si="278"/>
        <v>8.2162710625896002E-2</v>
      </c>
      <c r="AM108" s="2987">
        <f t="shared" si="278"/>
        <v>8.2162710625896002E-2</v>
      </c>
      <c r="AN108" s="4136"/>
      <c r="AO108" s="3029"/>
      <c r="AP108" s="3030"/>
      <c r="AQ108" s="3030"/>
      <c r="AR108" s="3030"/>
      <c r="AS108" s="3030"/>
      <c r="AT108" s="3031"/>
      <c r="AU108" s="4488"/>
      <c r="AV108" s="4504">
        <f t="shared" si="179"/>
        <v>0.36246434745711648</v>
      </c>
      <c r="AW108" s="4504">
        <f t="shared" si="180"/>
        <v>0.72492869491423295</v>
      </c>
      <c r="AX108" s="4504">
        <f t="shared" si="181"/>
        <v>0.72492869491423295</v>
      </c>
      <c r="AY108" s="4504">
        <f t="shared" si="182"/>
        <v>0.72492869491423295</v>
      </c>
      <c r="AZ108" s="4504">
        <f t="shared" si="183"/>
        <v>0.72492869491423295</v>
      </c>
      <c r="BA108" s="4504">
        <f t="shared" si="184"/>
        <v>0.72492869491423295</v>
      </c>
      <c r="BB108" s="4504">
        <f t="shared" si="185"/>
        <v>0.72492869491423295</v>
      </c>
      <c r="BC108" s="4504">
        <f t="shared" si="186"/>
        <v>0</v>
      </c>
      <c r="BD108" s="4504">
        <f t="shared" si="187"/>
        <v>0</v>
      </c>
      <c r="BE108" s="4504">
        <f t="shared" si="188"/>
        <v>0</v>
      </c>
      <c r="BF108" s="4504">
        <f t="shared" si="189"/>
        <v>0</v>
      </c>
      <c r="BG108" s="4504">
        <f t="shared" si="190"/>
        <v>0</v>
      </c>
      <c r="BH108" s="4504">
        <f t="shared" si="191"/>
        <v>0</v>
      </c>
      <c r="BI108" s="4504">
        <f t="shared" si="192"/>
        <v>0</v>
      </c>
      <c r="BJ108" s="4504">
        <f t="shared" si="193"/>
        <v>0</v>
      </c>
      <c r="BK108" s="4504">
        <f t="shared" si="194"/>
        <v>0</v>
      </c>
      <c r="BL108" s="4504">
        <f t="shared" si="195"/>
        <v>0</v>
      </c>
      <c r="BM108" s="4504">
        <f t="shared" si="196"/>
        <v>0</v>
      </c>
      <c r="BN108" s="4504">
        <f t="shared" si="197"/>
        <v>0</v>
      </c>
      <c r="BO108" s="4504">
        <f t="shared" si="198"/>
        <v>0</v>
      </c>
      <c r="BP108" s="4504">
        <f t="shared" si="199"/>
        <v>0</v>
      </c>
      <c r="BQ108" s="4504">
        <f t="shared" si="200"/>
        <v>0</v>
      </c>
      <c r="BR108" s="4504">
        <f t="shared" si="201"/>
        <v>0</v>
      </c>
      <c r="BS108" s="4504">
        <f t="shared" si="202"/>
        <v>0</v>
      </c>
      <c r="BT108" s="4504">
        <f t="shared" si="203"/>
        <v>0</v>
      </c>
      <c r="BU108" s="4504">
        <f t="shared" si="204"/>
        <v>0</v>
      </c>
      <c r="BV108" s="4504">
        <f t="shared" si="205"/>
        <v>0</v>
      </c>
      <c r="BW108" s="4504">
        <f t="shared" si="206"/>
        <v>0</v>
      </c>
      <c r="BX108" s="4504">
        <f t="shared" si="207"/>
        <v>2.100456344004745E-2</v>
      </c>
      <c r="BY108" s="4504">
        <f t="shared" si="208"/>
        <v>4.2009126880094901E-2</v>
      </c>
      <c r="BZ108" s="4504">
        <f t="shared" si="209"/>
        <v>4.2009126880094901E-2</v>
      </c>
      <c r="CA108" s="4504">
        <f t="shared" si="210"/>
        <v>4.2009126880094901E-2</v>
      </c>
      <c r="CB108" s="4504">
        <f t="shared" si="211"/>
        <v>4.2009126880094901E-2</v>
      </c>
      <c r="CC108" s="4504">
        <f t="shared" si="212"/>
        <v>4.2009126880094901E-2</v>
      </c>
      <c r="CD108" s="4504">
        <f t="shared" si="213"/>
        <v>4.2009126880094901E-2</v>
      </c>
    </row>
    <row r="109" spans="1:82" s="40" customFormat="1" ht="40.5" customHeight="1" thickBot="1">
      <c r="A109" s="2860" t="s">
        <v>424</v>
      </c>
      <c r="B109" s="2860"/>
      <c r="C109" s="2860"/>
      <c r="D109" s="2989" t="s">
        <v>645</v>
      </c>
      <c r="E109" s="3032"/>
      <c r="F109" s="3033"/>
      <c r="G109" s="3033"/>
      <c r="H109" s="3033"/>
      <c r="I109" s="3033"/>
      <c r="J109" s="3033"/>
      <c r="K109" s="3033"/>
      <c r="L109" s="3032"/>
      <c r="M109" s="3033"/>
      <c r="N109" s="3033"/>
      <c r="O109" s="3033"/>
      <c r="P109" s="3033"/>
      <c r="Q109" s="3033"/>
      <c r="R109" s="3034"/>
      <c r="S109" s="3032"/>
      <c r="T109" s="3033"/>
      <c r="U109" s="3033"/>
      <c r="V109" s="3033"/>
      <c r="W109" s="3033"/>
      <c r="X109" s="3033"/>
      <c r="Y109" s="3034"/>
      <c r="Z109" s="3032"/>
      <c r="AA109" s="3033"/>
      <c r="AB109" s="3033"/>
      <c r="AC109" s="3033"/>
      <c r="AD109" s="3033"/>
      <c r="AE109" s="3033"/>
      <c r="AF109" s="3034"/>
      <c r="AG109" s="3032"/>
      <c r="AH109" s="3033"/>
      <c r="AI109" s="3033"/>
      <c r="AJ109" s="3033"/>
      <c r="AK109" s="3033"/>
      <c r="AL109" s="3033"/>
      <c r="AM109" s="3034"/>
      <c r="AN109" s="3032"/>
      <c r="AO109" s="3033"/>
      <c r="AP109" s="3033"/>
      <c r="AQ109" s="3033"/>
      <c r="AR109" s="3033"/>
      <c r="AS109" s="3033"/>
      <c r="AT109" s="3034"/>
      <c r="AU109" s="4488"/>
    </row>
    <row r="110" spans="1:82" s="40" customFormat="1" ht="19.5" customHeight="1" thickBot="1">
      <c r="A110" s="2863" t="s">
        <v>463</v>
      </c>
      <c r="B110" s="2864"/>
      <c r="C110" s="2864"/>
      <c r="D110" s="2864" t="s">
        <v>1053</v>
      </c>
      <c r="E110" s="2868">
        <f>SUM(E111:E131)</f>
        <v>0</v>
      </c>
      <c r="F110" s="2865">
        <f>SUM(F111:F131)</f>
        <v>9439.0388453999985</v>
      </c>
      <c r="G110" s="2866">
        <f t="shared" ref="G110:AT110" si="279">SUM(G111:G131)</f>
        <v>18602.27348</v>
      </c>
      <c r="H110" s="2866">
        <f t="shared" si="279"/>
        <v>6330.183</v>
      </c>
      <c r="I110" s="2866">
        <f t="shared" si="279"/>
        <v>11863.161889999999</v>
      </c>
      <c r="J110" s="2866">
        <f t="shared" si="279"/>
        <v>629.67499999999995</v>
      </c>
      <c r="K110" s="2867">
        <f t="shared" si="279"/>
        <v>23580.578719999998</v>
      </c>
      <c r="L110" s="2868">
        <f t="shared" si="279"/>
        <v>0</v>
      </c>
      <c r="M110" s="2865">
        <f t="shared" si="279"/>
        <v>473.94398000000001</v>
      </c>
      <c r="N110" s="2866">
        <f t="shared" si="279"/>
        <v>0</v>
      </c>
      <c r="O110" s="2866">
        <f t="shared" si="279"/>
        <v>0</v>
      </c>
      <c r="P110" s="2866">
        <f t="shared" si="279"/>
        <v>0</v>
      </c>
      <c r="Q110" s="2866">
        <f t="shared" si="279"/>
        <v>0</v>
      </c>
      <c r="R110" s="2869">
        <f t="shared" si="279"/>
        <v>0</v>
      </c>
      <c r="S110" s="2868">
        <f t="shared" si="279"/>
        <v>0</v>
      </c>
      <c r="T110" s="2865">
        <f t="shared" si="279"/>
        <v>5400</v>
      </c>
      <c r="U110" s="2866">
        <f t="shared" si="279"/>
        <v>0</v>
      </c>
      <c r="V110" s="2866">
        <f t="shared" si="279"/>
        <v>0</v>
      </c>
      <c r="W110" s="2866">
        <f t="shared" si="279"/>
        <v>0</v>
      </c>
      <c r="X110" s="2866">
        <f t="shared" si="279"/>
        <v>0</v>
      </c>
      <c r="Y110" s="2869">
        <f t="shared" si="279"/>
        <v>0</v>
      </c>
      <c r="Z110" s="2868">
        <f t="shared" si="279"/>
        <v>0</v>
      </c>
      <c r="AA110" s="2865">
        <f t="shared" si="279"/>
        <v>0</v>
      </c>
      <c r="AB110" s="2866">
        <f t="shared" si="279"/>
        <v>0</v>
      </c>
      <c r="AC110" s="2866">
        <f t="shared" si="279"/>
        <v>0</v>
      </c>
      <c r="AD110" s="2866">
        <f t="shared" si="279"/>
        <v>0</v>
      </c>
      <c r="AE110" s="2866">
        <f t="shared" si="279"/>
        <v>0</v>
      </c>
      <c r="AF110" s="2869">
        <f t="shared" si="279"/>
        <v>0</v>
      </c>
      <c r="AG110" s="2868">
        <f t="shared" si="279"/>
        <v>0</v>
      </c>
      <c r="AH110" s="2865">
        <f t="shared" si="279"/>
        <v>0</v>
      </c>
      <c r="AI110" s="2866">
        <f t="shared" si="279"/>
        <v>0</v>
      </c>
      <c r="AJ110" s="2866">
        <f t="shared" si="279"/>
        <v>0</v>
      </c>
      <c r="AK110" s="2866">
        <f t="shared" si="279"/>
        <v>0</v>
      </c>
      <c r="AL110" s="2866">
        <f t="shared" si="279"/>
        <v>0</v>
      </c>
      <c r="AM110" s="2869">
        <f t="shared" si="279"/>
        <v>0</v>
      </c>
      <c r="AN110" s="2868">
        <f t="shared" si="279"/>
        <v>0</v>
      </c>
      <c r="AO110" s="2865">
        <f t="shared" si="279"/>
        <v>0</v>
      </c>
      <c r="AP110" s="2866">
        <f t="shared" si="279"/>
        <v>0</v>
      </c>
      <c r="AQ110" s="2866">
        <f t="shared" si="279"/>
        <v>0</v>
      </c>
      <c r="AR110" s="2866">
        <f t="shared" si="279"/>
        <v>0</v>
      </c>
      <c r="AS110" s="2866">
        <f t="shared" si="279"/>
        <v>0</v>
      </c>
      <c r="AT110" s="2869">
        <f t="shared" si="279"/>
        <v>0</v>
      </c>
      <c r="AU110" s="4488"/>
      <c r="AV110" s="147"/>
      <c r="AW110" s="4504">
        <f>IFERROR(F110/$D$1,0)</f>
        <v>4826.1039279487477</v>
      </c>
      <c r="AX110" s="4504">
        <f t="shared" ref="AX110:AX173" si="280">IFERROR(G110/$D$1,0)</f>
        <v>9511.1914021157263</v>
      </c>
      <c r="AY110" s="4504">
        <f t="shared" ref="AY110:AY173" si="281">IFERROR(H110/$D$1,0)</f>
        <v>3236.5711743863221</v>
      </c>
      <c r="AZ110" s="4504">
        <f t="shared" ref="AZ110:AZ173" si="282">IFERROR(I110/$D$1,0)</f>
        <v>6065.5383596733864</v>
      </c>
      <c r="BA110" s="4504">
        <f t="shared" ref="BA110:BA173" si="283">IFERROR(J110/$D$1,0)</f>
        <v>321.94771529222885</v>
      </c>
      <c r="BB110" s="4504">
        <f t="shared" ref="BB110:BB173" si="284">IFERROR(K110/$D$1,0)</f>
        <v>12056.558453444317</v>
      </c>
      <c r="BC110" s="147"/>
      <c r="BD110" s="4504">
        <f t="shared" ref="BD110:BD173" si="285">IFERROR(M110/$D$1,0)</f>
        <v>242.32370911582296</v>
      </c>
      <c r="BE110" s="4504">
        <f t="shared" ref="BE110:BE173" si="286">IFERROR(N110/$D$1,0)</f>
        <v>0</v>
      </c>
      <c r="BF110" s="4504">
        <f t="shared" ref="BF110:BF173" si="287">IFERROR(O110/$D$1,0)</f>
        <v>0</v>
      </c>
      <c r="BG110" s="4504">
        <f t="shared" ref="BG110:BG173" si="288">IFERROR(P110/$D$1,0)</f>
        <v>0</v>
      </c>
      <c r="BH110" s="4504">
        <f t="shared" ref="BH110:BH173" si="289">IFERROR(Q110/$D$1,0)</f>
        <v>0</v>
      </c>
      <c r="BI110" s="4504">
        <f t="shared" ref="BI110:BI173" si="290">IFERROR(R110/$D$1,0)</f>
        <v>0</v>
      </c>
      <c r="BJ110" s="147"/>
      <c r="BK110" s="4504">
        <f t="shared" ref="BK110:BK173" si="291">IFERROR(T110/$D$1,0)</f>
        <v>2760.9761584595799</v>
      </c>
      <c r="BL110" s="4504">
        <f t="shared" ref="BL110:BL173" si="292">IFERROR(U110/$D$1,0)</f>
        <v>0</v>
      </c>
      <c r="BM110" s="4504">
        <f t="shared" ref="BM110:BM173" si="293">IFERROR(V110/$D$1,0)</f>
        <v>0</v>
      </c>
      <c r="BN110" s="4504">
        <f t="shared" ref="BN110:BN173" si="294">IFERROR(W110/$D$1,0)</f>
        <v>0</v>
      </c>
      <c r="BO110" s="4504">
        <f t="shared" ref="BO110:BO173" si="295">IFERROR(X110/$D$1,0)</f>
        <v>0</v>
      </c>
      <c r="BP110" s="4504">
        <f t="shared" ref="BP110:BP173" si="296">IFERROR(Y110/$D$1,0)</f>
        <v>0</v>
      </c>
      <c r="BQ110" s="147"/>
      <c r="BR110" s="4504">
        <f t="shared" ref="BR110:BR173" si="297">IFERROR(AA110/$D$1,0)</f>
        <v>0</v>
      </c>
      <c r="BS110" s="4504">
        <f t="shared" ref="BS110:BS173" si="298">IFERROR(AB110/$D$1,0)</f>
        <v>0</v>
      </c>
      <c r="BT110" s="4504">
        <f t="shared" ref="BT110:BT173" si="299">IFERROR(AC110/$D$1,0)</f>
        <v>0</v>
      </c>
      <c r="BU110" s="4504">
        <f t="shared" ref="BU110:BU173" si="300">IFERROR(AD110/$D$1,0)</f>
        <v>0</v>
      </c>
      <c r="BV110" s="4504">
        <f t="shared" ref="BV110:BV173" si="301">IFERROR(AE110/$D$1,0)</f>
        <v>0</v>
      </c>
      <c r="BW110" s="4504">
        <f t="shared" ref="BW110:BW173" si="302">IFERROR(AF110/$D$1,0)</f>
        <v>0</v>
      </c>
      <c r="BX110" s="147"/>
      <c r="BY110" s="4504">
        <f t="shared" ref="BY110:BY173" si="303">IFERROR(AH110/$D$1,0)</f>
        <v>0</v>
      </c>
      <c r="BZ110" s="4504">
        <f t="shared" ref="BZ110:BZ173" si="304">IFERROR(AI110/$D$1,0)</f>
        <v>0</v>
      </c>
      <c r="CA110" s="4504">
        <f t="shared" ref="CA110:CA173" si="305">IFERROR(AJ110/$D$1,0)</f>
        <v>0</v>
      </c>
      <c r="CB110" s="4504">
        <f t="shared" ref="CB110:CB173" si="306">IFERROR(AK110/$D$1,0)</f>
        <v>0</v>
      </c>
      <c r="CC110" s="4504">
        <f t="shared" ref="CC110:CC173" si="307">IFERROR(AL110/$D$1,0)</f>
        <v>0</v>
      </c>
      <c r="CD110" s="4504">
        <f t="shared" ref="CD110:CD173" si="308">IFERROR(AM110/$D$1,0)</f>
        <v>0</v>
      </c>
    </row>
    <row r="111" spans="1:82" s="40" customFormat="1">
      <c r="A111" s="2990">
        <v>1</v>
      </c>
      <c r="B111" s="2991" t="s">
        <v>696</v>
      </c>
      <c r="C111" s="2992">
        <v>0</v>
      </c>
      <c r="D111" s="2584" t="s">
        <v>558</v>
      </c>
      <c r="E111" s="3035"/>
      <c r="F111" s="415"/>
      <c r="G111" s="413"/>
      <c r="H111" s="413"/>
      <c r="I111" s="413"/>
      <c r="J111" s="413"/>
      <c r="K111" s="271"/>
      <c r="L111" s="3035"/>
      <c r="M111" s="415"/>
      <c r="N111" s="413"/>
      <c r="O111" s="413"/>
      <c r="P111" s="413"/>
      <c r="Q111" s="413"/>
      <c r="R111" s="271"/>
      <c r="S111" s="3035"/>
      <c r="T111" s="415"/>
      <c r="U111" s="413"/>
      <c r="V111" s="413"/>
      <c r="W111" s="413"/>
      <c r="X111" s="413"/>
      <c r="Y111" s="414"/>
      <c r="Z111" s="3035"/>
      <c r="AA111" s="415"/>
      <c r="AB111" s="413"/>
      <c r="AC111" s="413"/>
      <c r="AD111" s="413"/>
      <c r="AE111" s="413"/>
      <c r="AF111" s="414"/>
      <c r="AG111" s="3035"/>
      <c r="AH111" s="415"/>
      <c r="AI111" s="413"/>
      <c r="AJ111" s="413"/>
      <c r="AK111" s="413"/>
      <c r="AL111" s="413"/>
      <c r="AM111" s="414"/>
      <c r="AN111" s="3036"/>
      <c r="AO111" s="3037"/>
      <c r="AP111" s="3038"/>
      <c r="AQ111" s="3038"/>
      <c r="AR111" s="3038"/>
      <c r="AS111" s="3038"/>
      <c r="AT111" s="3039"/>
      <c r="AU111" s="4488"/>
      <c r="AV111" s="147"/>
      <c r="AW111" s="4504">
        <f t="shared" ref="AW111:AW173" si="309">IFERROR(F111/$D$1,0)</f>
        <v>0</v>
      </c>
      <c r="AX111" s="4504">
        <f t="shared" si="280"/>
        <v>0</v>
      </c>
      <c r="AY111" s="4504">
        <f t="shared" si="281"/>
        <v>0</v>
      </c>
      <c r="AZ111" s="4504">
        <f t="shared" si="282"/>
        <v>0</v>
      </c>
      <c r="BA111" s="4504">
        <f t="shared" si="283"/>
        <v>0</v>
      </c>
      <c r="BB111" s="4504">
        <f t="shared" si="284"/>
        <v>0</v>
      </c>
      <c r="BC111" s="147"/>
      <c r="BD111" s="4504">
        <f t="shared" si="285"/>
        <v>0</v>
      </c>
      <c r="BE111" s="4504">
        <f t="shared" si="286"/>
        <v>0</v>
      </c>
      <c r="BF111" s="4504">
        <f t="shared" si="287"/>
        <v>0</v>
      </c>
      <c r="BG111" s="4504">
        <f t="shared" si="288"/>
        <v>0</v>
      </c>
      <c r="BH111" s="4504">
        <f t="shared" si="289"/>
        <v>0</v>
      </c>
      <c r="BI111" s="4504">
        <f t="shared" si="290"/>
        <v>0</v>
      </c>
      <c r="BJ111" s="147"/>
      <c r="BK111" s="4504">
        <f t="shared" si="291"/>
        <v>0</v>
      </c>
      <c r="BL111" s="4504">
        <f t="shared" si="292"/>
        <v>0</v>
      </c>
      <c r="BM111" s="4504">
        <f t="shared" si="293"/>
        <v>0</v>
      </c>
      <c r="BN111" s="4504">
        <f t="shared" si="294"/>
        <v>0</v>
      </c>
      <c r="BO111" s="4504">
        <f t="shared" si="295"/>
        <v>0</v>
      </c>
      <c r="BP111" s="4504">
        <f t="shared" si="296"/>
        <v>0</v>
      </c>
      <c r="BQ111" s="147"/>
      <c r="BR111" s="4504">
        <f t="shared" si="297"/>
        <v>0</v>
      </c>
      <c r="BS111" s="4504">
        <f t="shared" si="298"/>
        <v>0</v>
      </c>
      <c r="BT111" s="4504">
        <f t="shared" si="299"/>
        <v>0</v>
      </c>
      <c r="BU111" s="4504">
        <f t="shared" si="300"/>
        <v>0</v>
      </c>
      <c r="BV111" s="4504">
        <f t="shared" si="301"/>
        <v>0</v>
      </c>
      <c r="BW111" s="4504">
        <f t="shared" si="302"/>
        <v>0</v>
      </c>
      <c r="BX111" s="147"/>
      <c r="BY111" s="4504">
        <f t="shared" si="303"/>
        <v>0</v>
      </c>
      <c r="BZ111" s="4504">
        <f t="shared" si="304"/>
        <v>0</v>
      </c>
      <c r="CA111" s="4504">
        <f t="shared" si="305"/>
        <v>0</v>
      </c>
      <c r="CB111" s="4504">
        <f t="shared" si="306"/>
        <v>0</v>
      </c>
      <c r="CC111" s="4504">
        <f t="shared" si="307"/>
        <v>0</v>
      </c>
      <c r="CD111" s="4504">
        <f t="shared" si="308"/>
        <v>0</v>
      </c>
    </row>
    <row r="112" spans="1:82" s="40" customFormat="1">
      <c r="A112" s="2990">
        <v>2</v>
      </c>
      <c r="B112" s="2993" t="s">
        <v>697</v>
      </c>
      <c r="C112" s="2992">
        <v>0.03</v>
      </c>
      <c r="D112" s="2994" t="s">
        <v>426</v>
      </c>
      <c r="E112" s="3035"/>
      <c r="F112" s="415"/>
      <c r="G112" s="413"/>
      <c r="H112" s="413"/>
      <c r="I112" s="413"/>
      <c r="J112" s="413"/>
      <c r="K112" s="271"/>
      <c r="L112" s="3035"/>
      <c r="M112" s="415"/>
      <c r="N112" s="413"/>
      <c r="O112" s="413"/>
      <c r="P112" s="413"/>
      <c r="Q112" s="413"/>
      <c r="R112" s="271"/>
      <c r="S112" s="3035"/>
      <c r="T112" s="415"/>
      <c r="U112" s="413"/>
      <c r="V112" s="413"/>
      <c r="W112" s="413"/>
      <c r="X112" s="413"/>
      <c r="Y112" s="414"/>
      <c r="Z112" s="3035"/>
      <c r="AA112" s="415"/>
      <c r="AB112" s="413"/>
      <c r="AC112" s="413"/>
      <c r="AD112" s="413"/>
      <c r="AE112" s="413"/>
      <c r="AF112" s="414"/>
      <c r="AG112" s="3035"/>
      <c r="AH112" s="415"/>
      <c r="AI112" s="413"/>
      <c r="AJ112" s="413"/>
      <c r="AK112" s="413"/>
      <c r="AL112" s="413"/>
      <c r="AM112" s="414"/>
      <c r="AN112" s="3035"/>
      <c r="AO112" s="3040"/>
      <c r="AP112" s="3041"/>
      <c r="AQ112" s="3041"/>
      <c r="AR112" s="3041"/>
      <c r="AS112" s="3041"/>
      <c r="AT112" s="3042"/>
      <c r="AU112" s="4488"/>
      <c r="AV112" s="147"/>
      <c r="AW112" s="4504">
        <f t="shared" si="309"/>
        <v>0</v>
      </c>
      <c r="AX112" s="4504">
        <f t="shared" si="280"/>
        <v>0</v>
      </c>
      <c r="AY112" s="4504">
        <f t="shared" si="281"/>
        <v>0</v>
      </c>
      <c r="AZ112" s="4504">
        <f t="shared" si="282"/>
        <v>0</v>
      </c>
      <c r="BA112" s="4504">
        <f t="shared" si="283"/>
        <v>0</v>
      </c>
      <c r="BB112" s="4504">
        <f t="shared" si="284"/>
        <v>0</v>
      </c>
      <c r="BC112" s="147"/>
      <c r="BD112" s="4504">
        <f t="shared" si="285"/>
        <v>0</v>
      </c>
      <c r="BE112" s="4504">
        <f t="shared" si="286"/>
        <v>0</v>
      </c>
      <c r="BF112" s="4504">
        <f t="shared" si="287"/>
        <v>0</v>
      </c>
      <c r="BG112" s="4504">
        <f t="shared" si="288"/>
        <v>0</v>
      </c>
      <c r="BH112" s="4504">
        <f t="shared" si="289"/>
        <v>0</v>
      </c>
      <c r="BI112" s="4504">
        <f t="shared" si="290"/>
        <v>0</v>
      </c>
      <c r="BJ112" s="147"/>
      <c r="BK112" s="4504">
        <f t="shared" si="291"/>
        <v>0</v>
      </c>
      <c r="BL112" s="4504">
        <f t="shared" si="292"/>
        <v>0</v>
      </c>
      <c r="BM112" s="4504">
        <f t="shared" si="293"/>
        <v>0</v>
      </c>
      <c r="BN112" s="4504">
        <f t="shared" si="294"/>
        <v>0</v>
      </c>
      <c r="BO112" s="4504">
        <f t="shared" si="295"/>
        <v>0</v>
      </c>
      <c r="BP112" s="4504">
        <f t="shared" si="296"/>
        <v>0</v>
      </c>
      <c r="BQ112" s="147"/>
      <c r="BR112" s="4504">
        <f t="shared" si="297"/>
        <v>0</v>
      </c>
      <c r="BS112" s="4504">
        <f t="shared" si="298"/>
        <v>0</v>
      </c>
      <c r="BT112" s="4504">
        <f t="shared" si="299"/>
        <v>0</v>
      </c>
      <c r="BU112" s="4504">
        <f t="shared" si="300"/>
        <v>0</v>
      </c>
      <c r="BV112" s="4504">
        <f t="shared" si="301"/>
        <v>0</v>
      </c>
      <c r="BW112" s="4504">
        <f t="shared" si="302"/>
        <v>0</v>
      </c>
      <c r="BX112" s="147"/>
      <c r="BY112" s="4504">
        <f t="shared" si="303"/>
        <v>0</v>
      </c>
      <c r="BZ112" s="4504">
        <f t="shared" si="304"/>
        <v>0</v>
      </c>
      <c r="CA112" s="4504">
        <f t="shared" si="305"/>
        <v>0</v>
      </c>
      <c r="CB112" s="4504">
        <f t="shared" si="306"/>
        <v>0</v>
      </c>
      <c r="CC112" s="4504">
        <f t="shared" si="307"/>
        <v>0</v>
      </c>
      <c r="CD112" s="4504">
        <f t="shared" si="308"/>
        <v>0</v>
      </c>
    </row>
    <row r="113" spans="1:82" s="40" customFormat="1">
      <c r="A113" s="2990">
        <v>3</v>
      </c>
      <c r="B113" s="2993">
        <v>911301</v>
      </c>
      <c r="C113" s="2995">
        <v>0.1</v>
      </c>
      <c r="D113" s="2994" t="s">
        <v>427</v>
      </c>
      <c r="E113" s="3035"/>
      <c r="F113" s="415"/>
      <c r="G113" s="413"/>
      <c r="H113" s="413"/>
      <c r="I113" s="413"/>
      <c r="J113" s="413"/>
      <c r="K113" s="271"/>
      <c r="L113" s="3035"/>
      <c r="M113" s="415"/>
      <c r="N113" s="413"/>
      <c r="O113" s="413"/>
      <c r="P113" s="413"/>
      <c r="Q113" s="413"/>
      <c r="R113" s="271"/>
      <c r="S113" s="3035"/>
      <c r="T113" s="415"/>
      <c r="U113" s="413"/>
      <c r="V113" s="413"/>
      <c r="W113" s="413"/>
      <c r="X113" s="413"/>
      <c r="Y113" s="414"/>
      <c r="Z113" s="3035"/>
      <c r="AA113" s="415"/>
      <c r="AB113" s="413"/>
      <c r="AC113" s="413"/>
      <c r="AD113" s="413"/>
      <c r="AE113" s="413"/>
      <c r="AF113" s="414"/>
      <c r="AG113" s="3035"/>
      <c r="AH113" s="415"/>
      <c r="AI113" s="413"/>
      <c r="AJ113" s="413"/>
      <c r="AK113" s="413"/>
      <c r="AL113" s="413"/>
      <c r="AM113" s="414"/>
      <c r="AN113" s="3035"/>
      <c r="AO113" s="3040"/>
      <c r="AP113" s="3041"/>
      <c r="AQ113" s="3041"/>
      <c r="AR113" s="3041"/>
      <c r="AS113" s="3041"/>
      <c r="AT113" s="3042"/>
      <c r="AU113" s="4488"/>
      <c r="AV113" s="147"/>
      <c r="AW113" s="4504">
        <f t="shared" si="309"/>
        <v>0</v>
      </c>
      <c r="AX113" s="4504">
        <f t="shared" si="280"/>
        <v>0</v>
      </c>
      <c r="AY113" s="4504">
        <f t="shared" si="281"/>
        <v>0</v>
      </c>
      <c r="AZ113" s="4504">
        <f t="shared" si="282"/>
        <v>0</v>
      </c>
      <c r="BA113" s="4504">
        <f t="shared" si="283"/>
        <v>0</v>
      </c>
      <c r="BB113" s="4504">
        <f t="shared" si="284"/>
        <v>0</v>
      </c>
      <c r="BC113" s="147"/>
      <c r="BD113" s="4504">
        <f t="shared" si="285"/>
        <v>0</v>
      </c>
      <c r="BE113" s="4504">
        <f t="shared" si="286"/>
        <v>0</v>
      </c>
      <c r="BF113" s="4504">
        <f t="shared" si="287"/>
        <v>0</v>
      </c>
      <c r="BG113" s="4504">
        <f t="shared" si="288"/>
        <v>0</v>
      </c>
      <c r="BH113" s="4504">
        <f t="shared" si="289"/>
        <v>0</v>
      </c>
      <c r="BI113" s="4504">
        <f t="shared" si="290"/>
        <v>0</v>
      </c>
      <c r="BJ113" s="147"/>
      <c r="BK113" s="4504">
        <f t="shared" si="291"/>
        <v>0</v>
      </c>
      <c r="BL113" s="4504">
        <f t="shared" si="292"/>
        <v>0</v>
      </c>
      <c r="BM113" s="4504">
        <f t="shared" si="293"/>
        <v>0</v>
      </c>
      <c r="BN113" s="4504">
        <f t="shared" si="294"/>
        <v>0</v>
      </c>
      <c r="BO113" s="4504">
        <f t="shared" si="295"/>
        <v>0</v>
      </c>
      <c r="BP113" s="4504">
        <f t="shared" si="296"/>
        <v>0</v>
      </c>
      <c r="BQ113" s="147"/>
      <c r="BR113" s="4504">
        <f t="shared" si="297"/>
        <v>0</v>
      </c>
      <c r="BS113" s="4504">
        <f t="shared" si="298"/>
        <v>0</v>
      </c>
      <c r="BT113" s="4504">
        <f t="shared" si="299"/>
        <v>0</v>
      </c>
      <c r="BU113" s="4504">
        <f t="shared" si="300"/>
        <v>0</v>
      </c>
      <c r="BV113" s="4504">
        <f t="shared" si="301"/>
        <v>0</v>
      </c>
      <c r="BW113" s="4504">
        <f t="shared" si="302"/>
        <v>0</v>
      </c>
      <c r="BX113" s="147"/>
      <c r="BY113" s="4504">
        <f t="shared" si="303"/>
        <v>0</v>
      </c>
      <c r="BZ113" s="4504">
        <f t="shared" si="304"/>
        <v>0</v>
      </c>
      <c r="CA113" s="4504">
        <f t="shared" si="305"/>
        <v>0</v>
      </c>
      <c r="CB113" s="4504">
        <f t="shared" si="306"/>
        <v>0</v>
      </c>
      <c r="CC113" s="4504">
        <f t="shared" si="307"/>
        <v>0</v>
      </c>
      <c r="CD113" s="4504">
        <f t="shared" si="308"/>
        <v>0</v>
      </c>
    </row>
    <row r="114" spans="1:82" s="40" customFormat="1">
      <c r="A114" s="2990">
        <v>4</v>
      </c>
      <c r="B114" s="2993">
        <v>911302</v>
      </c>
      <c r="C114" s="2995">
        <v>0.1</v>
      </c>
      <c r="D114" s="2994" t="s">
        <v>428</v>
      </c>
      <c r="E114" s="3035"/>
      <c r="F114" s="415"/>
      <c r="G114" s="413"/>
      <c r="H114" s="413"/>
      <c r="I114" s="413"/>
      <c r="J114" s="413"/>
      <c r="K114" s="271"/>
      <c r="L114" s="3035"/>
      <c r="M114" s="415"/>
      <c r="N114" s="413"/>
      <c r="O114" s="413"/>
      <c r="P114" s="413"/>
      <c r="Q114" s="413"/>
      <c r="R114" s="271"/>
      <c r="S114" s="3035"/>
      <c r="T114" s="415"/>
      <c r="U114" s="413"/>
      <c r="V114" s="413"/>
      <c r="W114" s="413"/>
      <c r="X114" s="413"/>
      <c r="Y114" s="414"/>
      <c r="Z114" s="3035"/>
      <c r="AA114" s="415"/>
      <c r="AB114" s="413"/>
      <c r="AC114" s="413"/>
      <c r="AD114" s="413"/>
      <c r="AE114" s="413"/>
      <c r="AF114" s="414"/>
      <c r="AG114" s="3035"/>
      <c r="AH114" s="415"/>
      <c r="AI114" s="413"/>
      <c r="AJ114" s="413"/>
      <c r="AK114" s="413"/>
      <c r="AL114" s="413"/>
      <c r="AM114" s="414"/>
      <c r="AN114" s="3035"/>
      <c r="AO114" s="3040"/>
      <c r="AP114" s="3041"/>
      <c r="AQ114" s="3041"/>
      <c r="AR114" s="3041"/>
      <c r="AS114" s="3041"/>
      <c r="AT114" s="3042"/>
      <c r="AU114" s="4488"/>
      <c r="AV114" s="147"/>
      <c r="AW114" s="4504">
        <f t="shared" si="309"/>
        <v>0</v>
      </c>
      <c r="AX114" s="4504">
        <f t="shared" si="280"/>
        <v>0</v>
      </c>
      <c r="AY114" s="4504">
        <f t="shared" si="281"/>
        <v>0</v>
      </c>
      <c r="AZ114" s="4504">
        <f t="shared" si="282"/>
        <v>0</v>
      </c>
      <c r="BA114" s="4504">
        <f t="shared" si="283"/>
        <v>0</v>
      </c>
      <c r="BB114" s="4504">
        <f t="shared" si="284"/>
        <v>0</v>
      </c>
      <c r="BC114" s="147"/>
      <c r="BD114" s="4504">
        <f t="shared" si="285"/>
        <v>0</v>
      </c>
      <c r="BE114" s="4504">
        <f t="shared" si="286"/>
        <v>0</v>
      </c>
      <c r="BF114" s="4504">
        <f t="shared" si="287"/>
        <v>0</v>
      </c>
      <c r="BG114" s="4504">
        <f t="shared" si="288"/>
        <v>0</v>
      </c>
      <c r="BH114" s="4504">
        <f t="shared" si="289"/>
        <v>0</v>
      </c>
      <c r="BI114" s="4504">
        <f t="shared" si="290"/>
        <v>0</v>
      </c>
      <c r="BJ114" s="147"/>
      <c r="BK114" s="4504">
        <f t="shared" si="291"/>
        <v>0</v>
      </c>
      <c r="BL114" s="4504">
        <f t="shared" si="292"/>
        <v>0</v>
      </c>
      <c r="BM114" s="4504">
        <f t="shared" si="293"/>
        <v>0</v>
      </c>
      <c r="BN114" s="4504">
        <f t="shared" si="294"/>
        <v>0</v>
      </c>
      <c r="BO114" s="4504">
        <f t="shared" si="295"/>
        <v>0</v>
      </c>
      <c r="BP114" s="4504">
        <f t="shared" si="296"/>
        <v>0</v>
      </c>
      <c r="BQ114" s="147"/>
      <c r="BR114" s="4504">
        <f t="shared" si="297"/>
        <v>0</v>
      </c>
      <c r="BS114" s="4504">
        <f t="shared" si="298"/>
        <v>0</v>
      </c>
      <c r="BT114" s="4504">
        <f t="shared" si="299"/>
        <v>0</v>
      </c>
      <c r="BU114" s="4504">
        <f t="shared" si="300"/>
        <v>0</v>
      </c>
      <c r="BV114" s="4504">
        <f t="shared" si="301"/>
        <v>0</v>
      </c>
      <c r="BW114" s="4504">
        <f t="shared" si="302"/>
        <v>0</v>
      </c>
      <c r="BX114" s="147"/>
      <c r="BY114" s="4504">
        <f t="shared" si="303"/>
        <v>0</v>
      </c>
      <c r="BZ114" s="4504">
        <f t="shared" si="304"/>
        <v>0</v>
      </c>
      <c r="CA114" s="4504">
        <f t="shared" si="305"/>
        <v>0</v>
      </c>
      <c r="CB114" s="4504">
        <f t="shared" si="306"/>
        <v>0</v>
      </c>
      <c r="CC114" s="4504">
        <f t="shared" si="307"/>
        <v>0</v>
      </c>
      <c r="CD114" s="4504">
        <f t="shared" si="308"/>
        <v>0</v>
      </c>
    </row>
    <row r="115" spans="1:82" s="40" customFormat="1">
      <c r="A115" s="2990">
        <v>5</v>
      </c>
      <c r="B115" s="2993" t="s">
        <v>714</v>
      </c>
      <c r="C115" s="2995">
        <v>0.1</v>
      </c>
      <c r="D115" s="2590" t="s">
        <v>407</v>
      </c>
      <c r="E115" s="3035"/>
      <c r="F115" s="415"/>
      <c r="G115" s="413"/>
      <c r="H115" s="413"/>
      <c r="I115" s="413"/>
      <c r="J115" s="413"/>
      <c r="K115" s="271"/>
      <c r="L115" s="3035"/>
      <c r="M115" s="415"/>
      <c r="N115" s="413"/>
      <c r="O115" s="413"/>
      <c r="P115" s="413"/>
      <c r="Q115" s="413"/>
      <c r="R115" s="271"/>
      <c r="S115" s="3035"/>
      <c r="T115" s="415"/>
      <c r="U115" s="413"/>
      <c r="V115" s="413"/>
      <c r="W115" s="413"/>
      <c r="X115" s="413"/>
      <c r="Y115" s="414"/>
      <c r="Z115" s="3035"/>
      <c r="AA115" s="415"/>
      <c r="AB115" s="413"/>
      <c r="AC115" s="413"/>
      <c r="AD115" s="413"/>
      <c r="AE115" s="413"/>
      <c r="AF115" s="414"/>
      <c r="AG115" s="3035"/>
      <c r="AH115" s="415"/>
      <c r="AI115" s="413"/>
      <c r="AJ115" s="413"/>
      <c r="AK115" s="413"/>
      <c r="AL115" s="413"/>
      <c r="AM115" s="414"/>
      <c r="AN115" s="3035"/>
      <c r="AO115" s="3040"/>
      <c r="AP115" s="3041"/>
      <c r="AQ115" s="3041"/>
      <c r="AR115" s="3041"/>
      <c r="AS115" s="3041"/>
      <c r="AT115" s="3042"/>
      <c r="AU115" s="4488"/>
      <c r="AV115" s="147"/>
      <c r="AW115" s="4504">
        <f t="shared" si="309"/>
        <v>0</v>
      </c>
      <c r="AX115" s="4504">
        <f t="shared" si="280"/>
        <v>0</v>
      </c>
      <c r="AY115" s="4504">
        <f t="shared" si="281"/>
        <v>0</v>
      </c>
      <c r="AZ115" s="4504">
        <f t="shared" si="282"/>
        <v>0</v>
      </c>
      <c r="BA115" s="4504">
        <f t="shared" si="283"/>
        <v>0</v>
      </c>
      <c r="BB115" s="4504">
        <f t="shared" si="284"/>
        <v>0</v>
      </c>
      <c r="BC115" s="147"/>
      <c r="BD115" s="4504">
        <f t="shared" si="285"/>
        <v>0</v>
      </c>
      <c r="BE115" s="4504">
        <f t="shared" si="286"/>
        <v>0</v>
      </c>
      <c r="BF115" s="4504">
        <f t="shared" si="287"/>
        <v>0</v>
      </c>
      <c r="BG115" s="4504">
        <f t="shared" si="288"/>
        <v>0</v>
      </c>
      <c r="BH115" s="4504">
        <f t="shared" si="289"/>
        <v>0</v>
      </c>
      <c r="BI115" s="4504">
        <f t="shared" si="290"/>
        <v>0</v>
      </c>
      <c r="BJ115" s="147"/>
      <c r="BK115" s="4504">
        <f t="shared" si="291"/>
        <v>0</v>
      </c>
      <c r="BL115" s="4504">
        <f t="shared" si="292"/>
        <v>0</v>
      </c>
      <c r="BM115" s="4504">
        <f t="shared" si="293"/>
        <v>0</v>
      </c>
      <c r="BN115" s="4504">
        <f t="shared" si="294"/>
        <v>0</v>
      </c>
      <c r="BO115" s="4504">
        <f t="shared" si="295"/>
        <v>0</v>
      </c>
      <c r="BP115" s="4504">
        <f t="shared" si="296"/>
        <v>0</v>
      </c>
      <c r="BQ115" s="147"/>
      <c r="BR115" s="4504">
        <f t="shared" si="297"/>
        <v>0</v>
      </c>
      <c r="BS115" s="4504">
        <f t="shared" si="298"/>
        <v>0</v>
      </c>
      <c r="BT115" s="4504">
        <f t="shared" si="299"/>
        <v>0</v>
      </c>
      <c r="BU115" s="4504">
        <f t="shared" si="300"/>
        <v>0</v>
      </c>
      <c r="BV115" s="4504">
        <f t="shared" si="301"/>
        <v>0</v>
      </c>
      <c r="BW115" s="4504">
        <f t="shared" si="302"/>
        <v>0</v>
      </c>
      <c r="BX115" s="147"/>
      <c r="BY115" s="4504">
        <f t="shared" si="303"/>
        <v>0</v>
      </c>
      <c r="BZ115" s="4504">
        <f t="shared" si="304"/>
        <v>0</v>
      </c>
      <c r="CA115" s="4504">
        <f t="shared" si="305"/>
        <v>0</v>
      </c>
      <c r="CB115" s="4504">
        <f t="shared" si="306"/>
        <v>0</v>
      </c>
      <c r="CC115" s="4504">
        <f t="shared" si="307"/>
        <v>0</v>
      </c>
      <c r="CD115" s="4504">
        <f t="shared" si="308"/>
        <v>0</v>
      </c>
    </row>
    <row r="116" spans="1:82" s="40" customFormat="1">
      <c r="A116" s="2990">
        <v>6</v>
      </c>
      <c r="B116" s="2993" t="s">
        <v>715</v>
      </c>
      <c r="C116" s="2995">
        <v>0.1</v>
      </c>
      <c r="D116" s="2590" t="s">
        <v>408</v>
      </c>
      <c r="E116" s="3035"/>
      <c r="F116" s="415"/>
      <c r="G116" s="413"/>
      <c r="H116" s="413"/>
      <c r="I116" s="413"/>
      <c r="J116" s="413"/>
      <c r="K116" s="271"/>
      <c r="L116" s="3035"/>
      <c r="M116" s="415"/>
      <c r="N116" s="413"/>
      <c r="O116" s="413"/>
      <c r="P116" s="413"/>
      <c r="Q116" s="413"/>
      <c r="R116" s="271"/>
      <c r="S116" s="3035"/>
      <c r="T116" s="415"/>
      <c r="U116" s="413"/>
      <c r="V116" s="413"/>
      <c r="W116" s="413"/>
      <c r="X116" s="413"/>
      <c r="Y116" s="414"/>
      <c r="Z116" s="3035"/>
      <c r="AA116" s="415"/>
      <c r="AB116" s="413"/>
      <c r="AC116" s="413"/>
      <c r="AD116" s="413"/>
      <c r="AE116" s="413"/>
      <c r="AF116" s="414"/>
      <c r="AG116" s="3035"/>
      <c r="AH116" s="415"/>
      <c r="AI116" s="413"/>
      <c r="AJ116" s="413"/>
      <c r="AK116" s="413"/>
      <c r="AL116" s="413"/>
      <c r="AM116" s="414"/>
      <c r="AN116" s="3035"/>
      <c r="AO116" s="3040"/>
      <c r="AP116" s="3041"/>
      <c r="AQ116" s="3041"/>
      <c r="AR116" s="3041"/>
      <c r="AS116" s="3041"/>
      <c r="AT116" s="3042"/>
      <c r="AU116" s="4488"/>
      <c r="AV116" s="147"/>
      <c r="AW116" s="4504">
        <f t="shared" si="309"/>
        <v>0</v>
      </c>
      <c r="AX116" s="4504">
        <f t="shared" si="280"/>
        <v>0</v>
      </c>
      <c r="AY116" s="4504">
        <f t="shared" si="281"/>
        <v>0</v>
      </c>
      <c r="AZ116" s="4504">
        <f t="shared" si="282"/>
        <v>0</v>
      </c>
      <c r="BA116" s="4504">
        <f t="shared" si="283"/>
        <v>0</v>
      </c>
      <c r="BB116" s="4504">
        <f t="shared" si="284"/>
        <v>0</v>
      </c>
      <c r="BC116" s="147"/>
      <c r="BD116" s="4504">
        <f t="shared" si="285"/>
        <v>0</v>
      </c>
      <c r="BE116" s="4504">
        <f t="shared" si="286"/>
        <v>0</v>
      </c>
      <c r="BF116" s="4504">
        <f t="shared" si="287"/>
        <v>0</v>
      </c>
      <c r="BG116" s="4504">
        <f t="shared" si="288"/>
        <v>0</v>
      </c>
      <c r="BH116" s="4504">
        <f t="shared" si="289"/>
        <v>0</v>
      </c>
      <c r="BI116" s="4504">
        <f t="shared" si="290"/>
        <v>0</v>
      </c>
      <c r="BJ116" s="147"/>
      <c r="BK116" s="4504">
        <f t="shared" si="291"/>
        <v>0</v>
      </c>
      <c r="BL116" s="4504">
        <f t="shared" si="292"/>
        <v>0</v>
      </c>
      <c r="BM116" s="4504">
        <f t="shared" si="293"/>
        <v>0</v>
      </c>
      <c r="BN116" s="4504">
        <f t="shared" si="294"/>
        <v>0</v>
      </c>
      <c r="BO116" s="4504">
        <f t="shared" si="295"/>
        <v>0</v>
      </c>
      <c r="BP116" s="4504">
        <f t="shared" si="296"/>
        <v>0</v>
      </c>
      <c r="BQ116" s="147"/>
      <c r="BR116" s="4504">
        <f t="shared" si="297"/>
        <v>0</v>
      </c>
      <c r="BS116" s="4504">
        <f t="shared" si="298"/>
        <v>0</v>
      </c>
      <c r="BT116" s="4504">
        <f t="shared" si="299"/>
        <v>0</v>
      </c>
      <c r="BU116" s="4504">
        <f t="shared" si="300"/>
        <v>0</v>
      </c>
      <c r="BV116" s="4504">
        <f t="shared" si="301"/>
        <v>0</v>
      </c>
      <c r="BW116" s="4504">
        <f t="shared" si="302"/>
        <v>0</v>
      </c>
      <c r="BX116" s="147"/>
      <c r="BY116" s="4504">
        <f t="shared" si="303"/>
        <v>0</v>
      </c>
      <c r="BZ116" s="4504">
        <f t="shared" si="304"/>
        <v>0</v>
      </c>
      <c r="CA116" s="4504">
        <f t="shared" si="305"/>
        <v>0</v>
      </c>
      <c r="CB116" s="4504">
        <f t="shared" si="306"/>
        <v>0</v>
      </c>
      <c r="CC116" s="4504">
        <f t="shared" si="307"/>
        <v>0</v>
      </c>
      <c r="CD116" s="4504">
        <f t="shared" si="308"/>
        <v>0</v>
      </c>
    </row>
    <row r="117" spans="1:82" s="40" customFormat="1" ht="24">
      <c r="A117" s="2990">
        <v>7</v>
      </c>
      <c r="B117" s="2993" t="s">
        <v>706</v>
      </c>
      <c r="C117" s="2995">
        <v>0.1</v>
      </c>
      <c r="D117" s="2590" t="s">
        <v>695</v>
      </c>
      <c r="E117" s="3035"/>
      <c r="F117" s="415"/>
      <c r="G117" s="413"/>
      <c r="H117" s="413"/>
      <c r="I117" s="413"/>
      <c r="J117" s="413"/>
      <c r="K117" s="271"/>
      <c r="L117" s="3035"/>
      <c r="M117" s="415"/>
      <c r="N117" s="413"/>
      <c r="O117" s="413"/>
      <c r="P117" s="413"/>
      <c r="Q117" s="413"/>
      <c r="R117" s="271"/>
      <c r="S117" s="3035"/>
      <c r="T117" s="415"/>
      <c r="U117" s="413"/>
      <c r="V117" s="413"/>
      <c r="W117" s="413"/>
      <c r="X117" s="413"/>
      <c r="Y117" s="414"/>
      <c r="Z117" s="3035"/>
      <c r="AA117" s="415"/>
      <c r="AB117" s="413"/>
      <c r="AC117" s="413"/>
      <c r="AD117" s="413"/>
      <c r="AE117" s="413"/>
      <c r="AF117" s="414"/>
      <c r="AG117" s="3035"/>
      <c r="AH117" s="415"/>
      <c r="AI117" s="413"/>
      <c r="AJ117" s="413"/>
      <c r="AK117" s="413"/>
      <c r="AL117" s="413"/>
      <c r="AM117" s="414"/>
      <c r="AN117" s="3035"/>
      <c r="AO117" s="3040"/>
      <c r="AP117" s="3041"/>
      <c r="AQ117" s="3041"/>
      <c r="AR117" s="3041"/>
      <c r="AS117" s="3041"/>
      <c r="AT117" s="3042"/>
      <c r="AU117" s="4488"/>
      <c r="AV117" s="147"/>
      <c r="AW117" s="4504">
        <f t="shared" si="309"/>
        <v>0</v>
      </c>
      <c r="AX117" s="4504">
        <f t="shared" si="280"/>
        <v>0</v>
      </c>
      <c r="AY117" s="4504">
        <f t="shared" si="281"/>
        <v>0</v>
      </c>
      <c r="AZ117" s="4504">
        <f t="shared" si="282"/>
        <v>0</v>
      </c>
      <c r="BA117" s="4504">
        <f t="shared" si="283"/>
        <v>0</v>
      </c>
      <c r="BB117" s="4504">
        <f t="shared" si="284"/>
        <v>0</v>
      </c>
      <c r="BC117" s="147"/>
      <c r="BD117" s="4504">
        <f t="shared" si="285"/>
        <v>0</v>
      </c>
      <c r="BE117" s="4504">
        <f t="shared" si="286"/>
        <v>0</v>
      </c>
      <c r="BF117" s="4504">
        <f t="shared" si="287"/>
        <v>0</v>
      </c>
      <c r="BG117" s="4504">
        <f t="shared" si="288"/>
        <v>0</v>
      </c>
      <c r="BH117" s="4504">
        <f t="shared" si="289"/>
        <v>0</v>
      </c>
      <c r="BI117" s="4504">
        <f t="shared" si="290"/>
        <v>0</v>
      </c>
      <c r="BJ117" s="147"/>
      <c r="BK117" s="4504">
        <f t="shared" si="291"/>
        <v>0</v>
      </c>
      <c r="BL117" s="4504">
        <f t="shared" si="292"/>
        <v>0</v>
      </c>
      <c r="BM117" s="4504">
        <f t="shared" si="293"/>
        <v>0</v>
      </c>
      <c r="BN117" s="4504">
        <f t="shared" si="294"/>
        <v>0</v>
      </c>
      <c r="BO117" s="4504">
        <f t="shared" si="295"/>
        <v>0</v>
      </c>
      <c r="BP117" s="4504">
        <f t="shared" si="296"/>
        <v>0</v>
      </c>
      <c r="BQ117" s="147"/>
      <c r="BR117" s="4504">
        <f t="shared" si="297"/>
        <v>0</v>
      </c>
      <c r="BS117" s="4504">
        <f t="shared" si="298"/>
        <v>0</v>
      </c>
      <c r="BT117" s="4504">
        <f t="shared" si="299"/>
        <v>0</v>
      </c>
      <c r="BU117" s="4504">
        <f t="shared" si="300"/>
        <v>0</v>
      </c>
      <c r="BV117" s="4504">
        <f t="shared" si="301"/>
        <v>0</v>
      </c>
      <c r="BW117" s="4504">
        <f t="shared" si="302"/>
        <v>0</v>
      </c>
      <c r="BX117" s="147"/>
      <c r="BY117" s="4504">
        <f t="shared" si="303"/>
        <v>0</v>
      </c>
      <c r="BZ117" s="4504">
        <f t="shared" si="304"/>
        <v>0</v>
      </c>
      <c r="CA117" s="4504">
        <f t="shared" si="305"/>
        <v>0</v>
      </c>
      <c r="CB117" s="4504">
        <f t="shared" si="306"/>
        <v>0</v>
      </c>
      <c r="CC117" s="4504">
        <f t="shared" si="307"/>
        <v>0</v>
      </c>
      <c r="CD117" s="4504">
        <f t="shared" si="308"/>
        <v>0</v>
      </c>
    </row>
    <row r="118" spans="1:82" s="40" customFormat="1">
      <c r="A118" s="2990">
        <v>8</v>
      </c>
      <c r="B118" s="2993" t="s">
        <v>716</v>
      </c>
      <c r="C118" s="2995">
        <v>0.1</v>
      </c>
      <c r="D118" s="2590" t="s">
        <v>713</v>
      </c>
      <c r="E118" s="3035"/>
      <c r="F118" s="415"/>
      <c r="G118" s="413"/>
      <c r="H118" s="413"/>
      <c r="I118" s="413"/>
      <c r="J118" s="413"/>
      <c r="K118" s="271"/>
      <c r="L118" s="3035"/>
      <c r="M118" s="415"/>
      <c r="N118" s="413"/>
      <c r="O118" s="413"/>
      <c r="P118" s="413"/>
      <c r="Q118" s="413"/>
      <c r="R118" s="271"/>
      <c r="S118" s="3035"/>
      <c r="T118" s="415"/>
      <c r="U118" s="413"/>
      <c r="V118" s="413"/>
      <c r="W118" s="413"/>
      <c r="X118" s="413"/>
      <c r="Y118" s="414"/>
      <c r="Z118" s="3035"/>
      <c r="AA118" s="415"/>
      <c r="AB118" s="413"/>
      <c r="AC118" s="413"/>
      <c r="AD118" s="413"/>
      <c r="AE118" s="413"/>
      <c r="AF118" s="414"/>
      <c r="AG118" s="3035"/>
      <c r="AH118" s="415"/>
      <c r="AI118" s="413"/>
      <c r="AJ118" s="413"/>
      <c r="AK118" s="413"/>
      <c r="AL118" s="413"/>
      <c r="AM118" s="414"/>
      <c r="AN118" s="3035"/>
      <c r="AO118" s="3040"/>
      <c r="AP118" s="3041"/>
      <c r="AQ118" s="3041"/>
      <c r="AR118" s="3041"/>
      <c r="AS118" s="3041"/>
      <c r="AT118" s="3042"/>
      <c r="AU118" s="4488"/>
      <c r="AV118" s="147"/>
      <c r="AW118" s="4504">
        <f t="shared" si="309"/>
        <v>0</v>
      </c>
      <c r="AX118" s="4504">
        <f t="shared" si="280"/>
        <v>0</v>
      </c>
      <c r="AY118" s="4504">
        <f t="shared" si="281"/>
        <v>0</v>
      </c>
      <c r="AZ118" s="4504">
        <f t="shared" si="282"/>
        <v>0</v>
      </c>
      <c r="BA118" s="4504">
        <f t="shared" si="283"/>
        <v>0</v>
      </c>
      <c r="BB118" s="4504">
        <f t="shared" si="284"/>
        <v>0</v>
      </c>
      <c r="BC118" s="147"/>
      <c r="BD118" s="4504">
        <f t="shared" si="285"/>
        <v>0</v>
      </c>
      <c r="BE118" s="4504">
        <f t="shared" si="286"/>
        <v>0</v>
      </c>
      <c r="BF118" s="4504">
        <f t="shared" si="287"/>
        <v>0</v>
      </c>
      <c r="BG118" s="4504">
        <f t="shared" si="288"/>
        <v>0</v>
      </c>
      <c r="BH118" s="4504">
        <f t="shared" si="289"/>
        <v>0</v>
      </c>
      <c r="BI118" s="4504">
        <f t="shared" si="290"/>
        <v>0</v>
      </c>
      <c r="BJ118" s="147"/>
      <c r="BK118" s="4504">
        <f t="shared" si="291"/>
        <v>0</v>
      </c>
      <c r="BL118" s="4504">
        <f t="shared" si="292"/>
        <v>0</v>
      </c>
      <c r="BM118" s="4504">
        <f t="shared" si="293"/>
        <v>0</v>
      </c>
      <c r="BN118" s="4504">
        <f t="shared" si="294"/>
        <v>0</v>
      </c>
      <c r="BO118" s="4504">
        <f t="shared" si="295"/>
        <v>0</v>
      </c>
      <c r="BP118" s="4504">
        <f t="shared" si="296"/>
        <v>0</v>
      </c>
      <c r="BQ118" s="147"/>
      <c r="BR118" s="4504">
        <f t="shared" si="297"/>
        <v>0</v>
      </c>
      <c r="BS118" s="4504">
        <f t="shared" si="298"/>
        <v>0</v>
      </c>
      <c r="BT118" s="4504">
        <f t="shared" si="299"/>
        <v>0</v>
      </c>
      <c r="BU118" s="4504">
        <f t="shared" si="300"/>
        <v>0</v>
      </c>
      <c r="BV118" s="4504">
        <f t="shared" si="301"/>
        <v>0</v>
      </c>
      <c r="BW118" s="4504">
        <f t="shared" si="302"/>
        <v>0</v>
      </c>
      <c r="BX118" s="147"/>
      <c r="BY118" s="4504">
        <f t="shared" si="303"/>
        <v>0</v>
      </c>
      <c r="BZ118" s="4504">
        <f t="shared" si="304"/>
        <v>0</v>
      </c>
      <c r="CA118" s="4504">
        <f t="shared" si="305"/>
        <v>0</v>
      </c>
      <c r="CB118" s="4504">
        <f t="shared" si="306"/>
        <v>0</v>
      </c>
      <c r="CC118" s="4504">
        <f t="shared" si="307"/>
        <v>0</v>
      </c>
      <c r="CD118" s="4504">
        <f t="shared" si="308"/>
        <v>0</v>
      </c>
    </row>
    <row r="119" spans="1:82" s="40" customFormat="1">
      <c r="A119" s="2996">
        <v>9</v>
      </c>
      <c r="B119" s="2993">
        <v>911306</v>
      </c>
      <c r="C119" s="2995">
        <v>0.1</v>
      </c>
      <c r="D119" s="2994" t="s">
        <v>1032</v>
      </c>
      <c r="E119" s="3035"/>
      <c r="F119" s="415"/>
      <c r="G119" s="413"/>
      <c r="H119" s="413"/>
      <c r="I119" s="413"/>
      <c r="J119" s="413"/>
      <c r="K119" s="271"/>
      <c r="L119" s="3035"/>
      <c r="M119" s="415"/>
      <c r="N119" s="413"/>
      <c r="O119" s="413"/>
      <c r="P119" s="413"/>
      <c r="Q119" s="413"/>
      <c r="R119" s="271"/>
      <c r="S119" s="3035"/>
      <c r="T119" s="415"/>
      <c r="U119" s="413"/>
      <c r="V119" s="413"/>
      <c r="W119" s="413"/>
      <c r="X119" s="413"/>
      <c r="Y119" s="414"/>
      <c r="Z119" s="3035"/>
      <c r="AA119" s="415"/>
      <c r="AB119" s="413"/>
      <c r="AC119" s="413"/>
      <c r="AD119" s="413"/>
      <c r="AE119" s="413"/>
      <c r="AF119" s="414"/>
      <c r="AG119" s="3035"/>
      <c r="AH119" s="415"/>
      <c r="AI119" s="413"/>
      <c r="AJ119" s="413"/>
      <c r="AK119" s="413"/>
      <c r="AL119" s="413"/>
      <c r="AM119" s="414"/>
      <c r="AN119" s="3035"/>
      <c r="AO119" s="3040"/>
      <c r="AP119" s="3041"/>
      <c r="AQ119" s="3041"/>
      <c r="AR119" s="3041"/>
      <c r="AS119" s="3041"/>
      <c r="AT119" s="3042"/>
      <c r="AU119" s="4488"/>
      <c r="AV119" s="147"/>
      <c r="AW119" s="4504">
        <f t="shared" si="309"/>
        <v>0</v>
      </c>
      <c r="AX119" s="4504">
        <f t="shared" si="280"/>
        <v>0</v>
      </c>
      <c r="AY119" s="4504">
        <f t="shared" si="281"/>
        <v>0</v>
      </c>
      <c r="AZ119" s="4504">
        <f t="shared" si="282"/>
        <v>0</v>
      </c>
      <c r="BA119" s="4504">
        <f t="shared" si="283"/>
        <v>0</v>
      </c>
      <c r="BB119" s="4504">
        <f t="shared" si="284"/>
        <v>0</v>
      </c>
      <c r="BC119" s="147"/>
      <c r="BD119" s="4504">
        <f t="shared" si="285"/>
        <v>0</v>
      </c>
      <c r="BE119" s="4504">
        <f t="shared" si="286"/>
        <v>0</v>
      </c>
      <c r="BF119" s="4504">
        <f t="shared" si="287"/>
        <v>0</v>
      </c>
      <c r="BG119" s="4504">
        <f t="shared" si="288"/>
        <v>0</v>
      </c>
      <c r="BH119" s="4504">
        <f t="shared" si="289"/>
        <v>0</v>
      </c>
      <c r="BI119" s="4504">
        <f t="shared" si="290"/>
        <v>0</v>
      </c>
      <c r="BJ119" s="147"/>
      <c r="BK119" s="4504">
        <f t="shared" si="291"/>
        <v>0</v>
      </c>
      <c r="BL119" s="4504">
        <f t="shared" si="292"/>
        <v>0</v>
      </c>
      <c r="BM119" s="4504">
        <f t="shared" si="293"/>
        <v>0</v>
      </c>
      <c r="BN119" s="4504">
        <f t="shared" si="294"/>
        <v>0</v>
      </c>
      <c r="BO119" s="4504">
        <f t="shared" si="295"/>
        <v>0</v>
      </c>
      <c r="BP119" s="4504">
        <f t="shared" si="296"/>
        <v>0</v>
      </c>
      <c r="BQ119" s="147"/>
      <c r="BR119" s="4504">
        <f t="shared" si="297"/>
        <v>0</v>
      </c>
      <c r="BS119" s="4504">
        <f t="shared" si="298"/>
        <v>0</v>
      </c>
      <c r="BT119" s="4504">
        <f t="shared" si="299"/>
        <v>0</v>
      </c>
      <c r="BU119" s="4504">
        <f t="shared" si="300"/>
        <v>0</v>
      </c>
      <c r="BV119" s="4504">
        <f t="shared" si="301"/>
        <v>0</v>
      </c>
      <c r="BW119" s="4504">
        <f t="shared" si="302"/>
        <v>0</v>
      </c>
      <c r="BX119" s="147"/>
      <c r="BY119" s="4504">
        <f t="shared" si="303"/>
        <v>0</v>
      </c>
      <c r="BZ119" s="4504">
        <f t="shared" si="304"/>
        <v>0</v>
      </c>
      <c r="CA119" s="4504">
        <f t="shared" si="305"/>
        <v>0</v>
      </c>
      <c r="CB119" s="4504">
        <f t="shared" si="306"/>
        <v>0</v>
      </c>
      <c r="CC119" s="4504">
        <f t="shared" si="307"/>
        <v>0</v>
      </c>
      <c r="CD119" s="4504">
        <f t="shared" si="308"/>
        <v>0</v>
      </c>
    </row>
    <row r="120" spans="1:82" s="40" customFormat="1">
      <c r="A120" s="2996">
        <v>10</v>
      </c>
      <c r="B120" s="2993">
        <v>91140101</v>
      </c>
      <c r="C120" s="2997">
        <v>0.1</v>
      </c>
      <c r="D120" s="2584" t="s">
        <v>1016</v>
      </c>
      <c r="E120" s="3035"/>
      <c r="F120" s="415"/>
      <c r="G120" s="413"/>
      <c r="H120" s="413"/>
      <c r="I120" s="413"/>
      <c r="J120" s="413"/>
      <c r="K120" s="271"/>
      <c r="L120" s="3035"/>
      <c r="M120" s="415"/>
      <c r="N120" s="413"/>
      <c r="O120" s="413"/>
      <c r="P120" s="413"/>
      <c r="Q120" s="413"/>
      <c r="R120" s="271"/>
      <c r="S120" s="3035"/>
      <c r="T120" s="415"/>
      <c r="U120" s="413"/>
      <c r="V120" s="413"/>
      <c r="W120" s="413"/>
      <c r="X120" s="413"/>
      <c r="Y120" s="414"/>
      <c r="Z120" s="3035"/>
      <c r="AA120" s="415"/>
      <c r="AB120" s="413"/>
      <c r="AC120" s="413"/>
      <c r="AD120" s="413"/>
      <c r="AE120" s="413"/>
      <c r="AF120" s="414"/>
      <c r="AG120" s="3035"/>
      <c r="AH120" s="415"/>
      <c r="AI120" s="413"/>
      <c r="AJ120" s="413"/>
      <c r="AK120" s="413"/>
      <c r="AL120" s="413"/>
      <c r="AM120" s="414"/>
      <c r="AN120" s="3035"/>
      <c r="AO120" s="3040"/>
      <c r="AP120" s="3041"/>
      <c r="AQ120" s="3041"/>
      <c r="AR120" s="3041"/>
      <c r="AS120" s="3041"/>
      <c r="AT120" s="3042"/>
      <c r="AU120" s="4488"/>
      <c r="AV120" s="147"/>
      <c r="AW120" s="4504">
        <f t="shared" si="309"/>
        <v>0</v>
      </c>
      <c r="AX120" s="4504">
        <f t="shared" si="280"/>
        <v>0</v>
      </c>
      <c r="AY120" s="4504">
        <f t="shared" si="281"/>
        <v>0</v>
      </c>
      <c r="AZ120" s="4504">
        <f t="shared" si="282"/>
        <v>0</v>
      </c>
      <c r="BA120" s="4504">
        <f t="shared" si="283"/>
        <v>0</v>
      </c>
      <c r="BB120" s="4504">
        <f t="shared" si="284"/>
        <v>0</v>
      </c>
      <c r="BC120" s="147"/>
      <c r="BD120" s="4504">
        <f t="shared" si="285"/>
        <v>0</v>
      </c>
      <c r="BE120" s="4504">
        <f t="shared" si="286"/>
        <v>0</v>
      </c>
      <c r="BF120" s="4504">
        <f t="shared" si="287"/>
        <v>0</v>
      </c>
      <c r="BG120" s="4504">
        <f t="shared" si="288"/>
        <v>0</v>
      </c>
      <c r="BH120" s="4504">
        <f t="shared" si="289"/>
        <v>0</v>
      </c>
      <c r="BI120" s="4504">
        <f t="shared" si="290"/>
        <v>0</v>
      </c>
      <c r="BJ120" s="147"/>
      <c r="BK120" s="4504">
        <f t="shared" si="291"/>
        <v>0</v>
      </c>
      <c r="BL120" s="4504">
        <f t="shared" si="292"/>
        <v>0</v>
      </c>
      <c r="BM120" s="4504">
        <f t="shared" si="293"/>
        <v>0</v>
      </c>
      <c r="BN120" s="4504">
        <f t="shared" si="294"/>
        <v>0</v>
      </c>
      <c r="BO120" s="4504">
        <f t="shared" si="295"/>
        <v>0</v>
      </c>
      <c r="BP120" s="4504">
        <f t="shared" si="296"/>
        <v>0</v>
      </c>
      <c r="BQ120" s="147"/>
      <c r="BR120" s="4504">
        <f t="shared" si="297"/>
        <v>0</v>
      </c>
      <c r="BS120" s="4504">
        <f t="shared" si="298"/>
        <v>0</v>
      </c>
      <c r="BT120" s="4504">
        <f t="shared" si="299"/>
        <v>0</v>
      </c>
      <c r="BU120" s="4504">
        <f t="shared" si="300"/>
        <v>0</v>
      </c>
      <c r="BV120" s="4504">
        <f t="shared" si="301"/>
        <v>0</v>
      </c>
      <c r="BW120" s="4504">
        <f t="shared" si="302"/>
        <v>0</v>
      </c>
      <c r="BX120" s="147"/>
      <c r="BY120" s="4504">
        <f t="shared" si="303"/>
        <v>0</v>
      </c>
      <c r="BZ120" s="4504">
        <f t="shared" si="304"/>
        <v>0</v>
      </c>
      <c r="CA120" s="4504">
        <f t="shared" si="305"/>
        <v>0</v>
      </c>
      <c r="CB120" s="4504">
        <f t="shared" si="306"/>
        <v>0</v>
      </c>
      <c r="CC120" s="4504">
        <f t="shared" si="307"/>
        <v>0</v>
      </c>
      <c r="CD120" s="4504">
        <f t="shared" si="308"/>
        <v>0</v>
      </c>
    </row>
    <row r="121" spans="1:82" s="40" customFormat="1">
      <c r="A121" s="2996">
        <v>11</v>
      </c>
      <c r="B121" s="2993">
        <v>91140102</v>
      </c>
      <c r="C121" s="2997">
        <v>0.04</v>
      </c>
      <c r="D121" s="2584" t="s">
        <v>432</v>
      </c>
      <c r="E121" s="3035"/>
      <c r="F121" s="415"/>
      <c r="G121" s="413"/>
      <c r="H121" s="413"/>
      <c r="I121" s="413"/>
      <c r="J121" s="413"/>
      <c r="K121" s="271"/>
      <c r="L121" s="3035"/>
      <c r="M121" s="415"/>
      <c r="N121" s="413"/>
      <c r="O121" s="413"/>
      <c r="P121" s="413"/>
      <c r="Q121" s="413"/>
      <c r="R121" s="271"/>
      <c r="S121" s="3035"/>
      <c r="T121" s="415"/>
      <c r="U121" s="413"/>
      <c r="V121" s="413"/>
      <c r="W121" s="413"/>
      <c r="X121" s="413"/>
      <c r="Y121" s="414"/>
      <c r="Z121" s="3035"/>
      <c r="AA121" s="415"/>
      <c r="AB121" s="413"/>
      <c r="AC121" s="413"/>
      <c r="AD121" s="413"/>
      <c r="AE121" s="413"/>
      <c r="AF121" s="414"/>
      <c r="AG121" s="3035"/>
      <c r="AH121" s="415"/>
      <c r="AI121" s="413"/>
      <c r="AJ121" s="413"/>
      <c r="AK121" s="413"/>
      <c r="AL121" s="413"/>
      <c r="AM121" s="414"/>
      <c r="AN121" s="3035"/>
      <c r="AO121" s="3040"/>
      <c r="AP121" s="3041"/>
      <c r="AQ121" s="3041"/>
      <c r="AR121" s="3041"/>
      <c r="AS121" s="3041"/>
      <c r="AT121" s="3042"/>
      <c r="AU121" s="4488"/>
      <c r="AV121" s="147"/>
      <c r="AW121" s="4504">
        <f t="shared" si="309"/>
        <v>0</v>
      </c>
      <c r="AX121" s="4504">
        <f t="shared" si="280"/>
        <v>0</v>
      </c>
      <c r="AY121" s="4504">
        <f t="shared" si="281"/>
        <v>0</v>
      </c>
      <c r="AZ121" s="4504">
        <f t="shared" si="282"/>
        <v>0</v>
      </c>
      <c r="BA121" s="4504">
        <f t="shared" si="283"/>
        <v>0</v>
      </c>
      <c r="BB121" s="4504">
        <f t="shared" si="284"/>
        <v>0</v>
      </c>
      <c r="BC121" s="147"/>
      <c r="BD121" s="4504">
        <f t="shared" si="285"/>
        <v>0</v>
      </c>
      <c r="BE121" s="4504">
        <f t="shared" si="286"/>
        <v>0</v>
      </c>
      <c r="BF121" s="4504">
        <f t="shared" si="287"/>
        <v>0</v>
      </c>
      <c r="BG121" s="4504">
        <f t="shared" si="288"/>
        <v>0</v>
      </c>
      <c r="BH121" s="4504">
        <f t="shared" si="289"/>
        <v>0</v>
      </c>
      <c r="BI121" s="4504">
        <f t="shared" si="290"/>
        <v>0</v>
      </c>
      <c r="BJ121" s="147"/>
      <c r="BK121" s="4504">
        <f t="shared" si="291"/>
        <v>0</v>
      </c>
      <c r="BL121" s="4504">
        <f t="shared" si="292"/>
        <v>0</v>
      </c>
      <c r="BM121" s="4504">
        <f t="shared" si="293"/>
        <v>0</v>
      </c>
      <c r="BN121" s="4504">
        <f t="shared" si="294"/>
        <v>0</v>
      </c>
      <c r="BO121" s="4504">
        <f t="shared" si="295"/>
        <v>0</v>
      </c>
      <c r="BP121" s="4504">
        <f t="shared" si="296"/>
        <v>0</v>
      </c>
      <c r="BQ121" s="147"/>
      <c r="BR121" s="4504">
        <f t="shared" si="297"/>
        <v>0</v>
      </c>
      <c r="BS121" s="4504">
        <f t="shared" si="298"/>
        <v>0</v>
      </c>
      <c r="BT121" s="4504">
        <f t="shared" si="299"/>
        <v>0</v>
      </c>
      <c r="BU121" s="4504">
        <f t="shared" si="300"/>
        <v>0</v>
      </c>
      <c r="BV121" s="4504">
        <f t="shared" si="301"/>
        <v>0</v>
      </c>
      <c r="BW121" s="4504">
        <f t="shared" si="302"/>
        <v>0</v>
      </c>
      <c r="BX121" s="147"/>
      <c r="BY121" s="4504">
        <f t="shared" si="303"/>
        <v>0</v>
      </c>
      <c r="BZ121" s="4504">
        <f t="shared" si="304"/>
        <v>0</v>
      </c>
      <c r="CA121" s="4504">
        <f t="shared" si="305"/>
        <v>0</v>
      </c>
      <c r="CB121" s="4504">
        <f t="shared" si="306"/>
        <v>0</v>
      </c>
      <c r="CC121" s="4504">
        <f t="shared" si="307"/>
        <v>0</v>
      </c>
      <c r="CD121" s="4504">
        <f t="shared" si="308"/>
        <v>0</v>
      </c>
    </row>
    <row r="122" spans="1:82" s="40" customFormat="1">
      <c r="A122" s="2996">
        <v>12</v>
      </c>
      <c r="B122" s="2993" t="s">
        <v>698</v>
      </c>
      <c r="C122" s="2995">
        <v>0.02</v>
      </c>
      <c r="D122" s="2585" t="s">
        <v>738</v>
      </c>
      <c r="E122" s="3035"/>
      <c r="F122" s="415"/>
      <c r="G122" s="413"/>
      <c r="H122" s="413"/>
      <c r="I122" s="413"/>
      <c r="J122" s="413"/>
      <c r="K122" s="271"/>
      <c r="L122" s="3035"/>
      <c r="M122" s="415"/>
      <c r="N122" s="413"/>
      <c r="O122" s="413"/>
      <c r="P122" s="413"/>
      <c r="Q122" s="413"/>
      <c r="R122" s="271"/>
      <c r="S122" s="3035"/>
      <c r="T122" s="415"/>
      <c r="U122" s="413"/>
      <c r="V122" s="413"/>
      <c r="W122" s="413"/>
      <c r="X122" s="413"/>
      <c r="Y122" s="414"/>
      <c r="Z122" s="3035"/>
      <c r="AA122" s="415"/>
      <c r="AB122" s="413"/>
      <c r="AC122" s="413"/>
      <c r="AD122" s="413"/>
      <c r="AE122" s="413"/>
      <c r="AF122" s="414"/>
      <c r="AG122" s="3035"/>
      <c r="AH122" s="415"/>
      <c r="AI122" s="413"/>
      <c r="AJ122" s="413"/>
      <c r="AK122" s="413"/>
      <c r="AL122" s="413"/>
      <c r="AM122" s="414"/>
      <c r="AN122" s="3035"/>
      <c r="AO122" s="3040"/>
      <c r="AP122" s="3041"/>
      <c r="AQ122" s="3041"/>
      <c r="AR122" s="3041"/>
      <c r="AS122" s="3041"/>
      <c r="AT122" s="3042"/>
      <c r="AU122" s="4488"/>
      <c r="AV122" s="147"/>
      <c r="AW122" s="4504">
        <f t="shared" si="309"/>
        <v>0</v>
      </c>
      <c r="AX122" s="4504">
        <f t="shared" si="280"/>
        <v>0</v>
      </c>
      <c r="AY122" s="4504">
        <f t="shared" si="281"/>
        <v>0</v>
      </c>
      <c r="AZ122" s="4504">
        <f t="shared" si="282"/>
        <v>0</v>
      </c>
      <c r="BA122" s="4504">
        <f t="shared" si="283"/>
        <v>0</v>
      </c>
      <c r="BB122" s="4504">
        <f t="shared" si="284"/>
        <v>0</v>
      </c>
      <c r="BC122" s="147"/>
      <c r="BD122" s="4504">
        <f t="shared" si="285"/>
        <v>0</v>
      </c>
      <c r="BE122" s="4504">
        <f t="shared" si="286"/>
        <v>0</v>
      </c>
      <c r="BF122" s="4504">
        <f t="shared" si="287"/>
        <v>0</v>
      </c>
      <c r="BG122" s="4504">
        <f t="shared" si="288"/>
        <v>0</v>
      </c>
      <c r="BH122" s="4504">
        <f t="shared" si="289"/>
        <v>0</v>
      </c>
      <c r="BI122" s="4504">
        <f t="shared" si="290"/>
        <v>0</v>
      </c>
      <c r="BJ122" s="147"/>
      <c r="BK122" s="4504">
        <f t="shared" si="291"/>
        <v>0</v>
      </c>
      <c r="BL122" s="4504">
        <f t="shared" si="292"/>
        <v>0</v>
      </c>
      <c r="BM122" s="4504">
        <f t="shared" si="293"/>
        <v>0</v>
      </c>
      <c r="BN122" s="4504">
        <f t="shared" si="294"/>
        <v>0</v>
      </c>
      <c r="BO122" s="4504">
        <f t="shared" si="295"/>
        <v>0</v>
      </c>
      <c r="BP122" s="4504">
        <f t="shared" si="296"/>
        <v>0</v>
      </c>
      <c r="BQ122" s="147"/>
      <c r="BR122" s="4504">
        <f t="shared" si="297"/>
        <v>0</v>
      </c>
      <c r="BS122" s="4504">
        <f t="shared" si="298"/>
        <v>0</v>
      </c>
      <c r="BT122" s="4504">
        <f t="shared" si="299"/>
        <v>0</v>
      </c>
      <c r="BU122" s="4504">
        <f t="shared" si="300"/>
        <v>0</v>
      </c>
      <c r="BV122" s="4504">
        <f t="shared" si="301"/>
        <v>0</v>
      </c>
      <c r="BW122" s="4504">
        <f t="shared" si="302"/>
        <v>0</v>
      </c>
      <c r="BX122" s="147"/>
      <c r="BY122" s="4504">
        <f t="shared" si="303"/>
        <v>0</v>
      </c>
      <c r="BZ122" s="4504">
        <f t="shared" si="304"/>
        <v>0</v>
      </c>
      <c r="CA122" s="4504">
        <f t="shared" si="305"/>
        <v>0</v>
      </c>
      <c r="CB122" s="4504">
        <f t="shared" si="306"/>
        <v>0</v>
      </c>
      <c r="CC122" s="4504">
        <f t="shared" si="307"/>
        <v>0</v>
      </c>
      <c r="CD122" s="4504">
        <f t="shared" si="308"/>
        <v>0</v>
      </c>
    </row>
    <row r="123" spans="1:82" s="40" customFormat="1">
      <c r="A123" s="2996">
        <v>13</v>
      </c>
      <c r="B123" s="2993" t="s">
        <v>699</v>
      </c>
      <c r="C123" s="2995">
        <v>0.02</v>
      </c>
      <c r="D123" s="2585" t="s">
        <v>739</v>
      </c>
      <c r="E123" s="3035"/>
      <c r="F123" s="415"/>
      <c r="G123" s="413"/>
      <c r="H123" s="413"/>
      <c r="I123" s="413"/>
      <c r="J123" s="413"/>
      <c r="K123" s="271">
        <v>338.6</v>
      </c>
      <c r="L123" s="3035"/>
      <c r="M123" s="415"/>
      <c r="N123" s="413"/>
      <c r="O123" s="413"/>
      <c r="P123" s="413"/>
      <c r="Q123" s="413"/>
      <c r="R123" s="271"/>
      <c r="S123" s="3035"/>
      <c r="T123" s="415"/>
      <c r="U123" s="413"/>
      <c r="V123" s="413"/>
      <c r="W123" s="413"/>
      <c r="X123" s="413"/>
      <c r="Y123" s="414"/>
      <c r="Z123" s="3035"/>
      <c r="AA123" s="415"/>
      <c r="AB123" s="413"/>
      <c r="AC123" s="413"/>
      <c r="AD123" s="413"/>
      <c r="AE123" s="413"/>
      <c r="AF123" s="414"/>
      <c r="AG123" s="3035"/>
      <c r="AH123" s="415"/>
      <c r="AI123" s="413"/>
      <c r="AJ123" s="413"/>
      <c r="AK123" s="413"/>
      <c r="AL123" s="413"/>
      <c r="AM123" s="414"/>
      <c r="AN123" s="3035"/>
      <c r="AO123" s="3040"/>
      <c r="AP123" s="3041"/>
      <c r="AQ123" s="3041"/>
      <c r="AR123" s="3041"/>
      <c r="AS123" s="3041"/>
      <c r="AT123" s="3042"/>
      <c r="AU123" s="4488"/>
      <c r="AV123" s="147"/>
      <c r="AW123" s="4504">
        <f t="shared" si="309"/>
        <v>0</v>
      </c>
      <c r="AX123" s="4504">
        <f t="shared" si="280"/>
        <v>0</v>
      </c>
      <c r="AY123" s="4504">
        <f t="shared" si="281"/>
        <v>0</v>
      </c>
      <c r="AZ123" s="4504">
        <f t="shared" si="282"/>
        <v>0</v>
      </c>
      <c r="BA123" s="4504">
        <f t="shared" si="283"/>
        <v>0</v>
      </c>
      <c r="BB123" s="4504">
        <f t="shared" si="284"/>
        <v>173.1234309730396</v>
      </c>
      <c r="BC123" s="147"/>
      <c r="BD123" s="4504">
        <f t="shared" si="285"/>
        <v>0</v>
      </c>
      <c r="BE123" s="4504">
        <f t="shared" si="286"/>
        <v>0</v>
      </c>
      <c r="BF123" s="4504">
        <f t="shared" si="287"/>
        <v>0</v>
      </c>
      <c r="BG123" s="4504">
        <f t="shared" si="288"/>
        <v>0</v>
      </c>
      <c r="BH123" s="4504">
        <f t="shared" si="289"/>
        <v>0</v>
      </c>
      <c r="BI123" s="4504">
        <f t="shared" si="290"/>
        <v>0</v>
      </c>
      <c r="BJ123" s="147"/>
      <c r="BK123" s="4504">
        <f t="shared" si="291"/>
        <v>0</v>
      </c>
      <c r="BL123" s="4504">
        <f t="shared" si="292"/>
        <v>0</v>
      </c>
      <c r="BM123" s="4504">
        <f t="shared" si="293"/>
        <v>0</v>
      </c>
      <c r="BN123" s="4504">
        <f t="shared" si="294"/>
        <v>0</v>
      </c>
      <c r="BO123" s="4504">
        <f t="shared" si="295"/>
        <v>0</v>
      </c>
      <c r="BP123" s="4504">
        <f t="shared" si="296"/>
        <v>0</v>
      </c>
      <c r="BQ123" s="147"/>
      <c r="BR123" s="4504">
        <f t="shared" si="297"/>
        <v>0</v>
      </c>
      <c r="BS123" s="4504">
        <f t="shared" si="298"/>
        <v>0</v>
      </c>
      <c r="BT123" s="4504">
        <f t="shared" si="299"/>
        <v>0</v>
      </c>
      <c r="BU123" s="4504">
        <f t="shared" si="300"/>
        <v>0</v>
      </c>
      <c r="BV123" s="4504">
        <f t="shared" si="301"/>
        <v>0</v>
      </c>
      <c r="BW123" s="4504">
        <f t="shared" si="302"/>
        <v>0</v>
      </c>
      <c r="BX123" s="147"/>
      <c r="BY123" s="4504">
        <f t="shared" si="303"/>
        <v>0</v>
      </c>
      <c r="BZ123" s="4504">
        <f t="shared" si="304"/>
        <v>0</v>
      </c>
      <c r="CA123" s="4504">
        <f t="shared" si="305"/>
        <v>0</v>
      </c>
      <c r="CB123" s="4504">
        <f t="shared" si="306"/>
        <v>0</v>
      </c>
      <c r="CC123" s="4504">
        <f t="shared" si="307"/>
        <v>0</v>
      </c>
      <c r="CD123" s="4504">
        <f t="shared" si="308"/>
        <v>0</v>
      </c>
    </row>
    <row r="124" spans="1:82" s="40" customFormat="1">
      <c r="A124" s="2996">
        <v>14</v>
      </c>
      <c r="B124" s="2993" t="s">
        <v>700</v>
      </c>
      <c r="C124" s="2995">
        <v>0.02</v>
      </c>
      <c r="D124" s="2585" t="s">
        <v>418</v>
      </c>
      <c r="E124" s="3035"/>
      <c r="F124" s="415"/>
      <c r="G124" s="413"/>
      <c r="H124" s="413"/>
      <c r="I124" s="413"/>
      <c r="J124" s="413"/>
      <c r="K124" s="271"/>
      <c r="L124" s="3035"/>
      <c r="M124" s="415"/>
      <c r="N124" s="413"/>
      <c r="O124" s="413"/>
      <c r="P124" s="413"/>
      <c r="Q124" s="413"/>
      <c r="R124" s="271"/>
      <c r="S124" s="3035"/>
      <c r="T124" s="415"/>
      <c r="U124" s="413"/>
      <c r="V124" s="413"/>
      <c r="W124" s="413"/>
      <c r="X124" s="413"/>
      <c r="Y124" s="414"/>
      <c r="Z124" s="3035"/>
      <c r="AA124" s="415"/>
      <c r="AB124" s="413"/>
      <c r="AC124" s="413"/>
      <c r="AD124" s="413"/>
      <c r="AE124" s="413"/>
      <c r="AF124" s="414"/>
      <c r="AG124" s="3035"/>
      <c r="AH124" s="415"/>
      <c r="AI124" s="413"/>
      <c r="AJ124" s="413"/>
      <c r="AK124" s="413"/>
      <c r="AL124" s="413"/>
      <c r="AM124" s="414"/>
      <c r="AN124" s="3035"/>
      <c r="AO124" s="3040"/>
      <c r="AP124" s="3041"/>
      <c r="AQ124" s="3041"/>
      <c r="AR124" s="3041"/>
      <c r="AS124" s="3041"/>
      <c r="AT124" s="3042"/>
      <c r="AU124" s="4488"/>
      <c r="AV124" s="147"/>
      <c r="AW124" s="4504">
        <f t="shared" si="309"/>
        <v>0</v>
      </c>
      <c r="AX124" s="4504">
        <f t="shared" si="280"/>
        <v>0</v>
      </c>
      <c r="AY124" s="4504">
        <f t="shared" si="281"/>
        <v>0</v>
      </c>
      <c r="AZ124" s="4504">
        <f t="shared" si="282"/>
        <v>0</v>
      </c>
      <c r="BA124" s="4504">
        <f t="shared" si="283"/>
        <v>0</v>
      </c>
      <c r="BB124" s="4504">
        <f t="shared" si="284"/>
        <v>0</v>
      </c>
      <c r="BC124" s="147"/>
      <c r="BD124" s="4504">
        <f t="shared" si="285"/>
        <v>0</v>
      </c>
      <c r="BE124" s="4504">
        <f t="shared" si="286"/>
        <v>0</v>
      </c>
      <c r="BF124" s="4504">
        <f t="shared" si="287"/>
        <v>0</v>
      </c>
      <c r="BG124" s="4504">
        <f t="shared" si="288"/>
        <v>0</v>
      </c>
      <c r="BH124" s="4504">
        <f t="shared" si="289"/>
        <v>0</v>
      </c>
      <c r="BI124" s="4504">
        <f t="shared" si="290"/>
        <v>0</v>
      </c>
      <c r="BJ124" s="147"/>
      <c r="BK124" s="4504">
        <f t="shared" si="291"/>
        <v>0</v>
      </c>
      <c r="BL124" s="4504">
        <f t="shared" si="292"/>
        <v>0</v>
      </c>
      <c r="BM124" s="4504">
        <f t="shared" si="293"/>
        <v>0</v>
      </c>
      <c r="BN124" s="4504">
        <f t="shared" si="294"/>
        <v>0</v>
      </c>
      <c r="BO124" s="4504">
        <f t="shared" si="295"/>
        <v>0</v>
      </c>
      <c r="BP124" s="4504">
        <f t="shared" si="296"/>
        <v>0</v>
      </c>
      <c r="BQ124" s="147"/>
      <c r="BR124" s="4504">
        <f t="shared" si="297"/>
        <v>0</v>
      </c>
      <c r="BS124" s="4504">
        <f t="shared" si="298"/>
        <v>0</v>
      </c>
      <c r="BT124" s="4504">
        <f t="shared" si="299"/>
        <v>0</v>
      </c>
      <c r="BU124" s="4504">
        <f t="shared" si="300"/>
        <v>0</v>
      </c>
      <c r="BV124" s="4504">
        <f t="shared" si="301"/>
        <v>0</v>
      </c>
      <c r="BW124" s="4504">
        <f t="shared" si="302"/>
        <v>0</v>
      </c>
      <c r="BX124" s="147"/>
      <c r="BY124" s="4504">
        <f t="shared" si="303"/>
        <v>0</v>
      </c>
      <c r="BZ124" s="4504">
        <f t="shared" si="304"/>
        <v>0</v>
      </c>
      <c r="CA124" s="4504">
        <f t="shared" si="305"/>
        <v>0</v>
      </c>
      <c r="CB124" s="4504">
        <f t="shared" si="306"/>
        <v>0</v>
      </c>
      <c r="CC124" s="4504">
        <f t="shared" si="307"/>
        <v>0</v>
      </c>
      <c r="CD124" s="4504">
        <f t="shared" si="308"/>
        <v>0</v>
      </c>
    </row>
    <row r="125" spans="1:82" s="40" customFormat="1">
      <c r="A125" s="2996">
        <v>15</v>
      </c>
      <c r="B125" s="2993" t="s">
        <v>701</v>
      </c>
      <c r="C125" s="2995">
        <v>0.02</v>
      </c>
      <c r="D125" s="2584" t="s">
        <v>419</v>
      </c>
      <c r="E125" s="3035"/>
      <c r="F125" s="415"/>
      <c r="G125" s="413"/>
      <c r="H125" s="413"/>
      <c r="I125" s="413"/>
      <c r="J125" s="413"/>
      <c r="K125" s="271"/>
      <c r="L125" s="3035"/>
      <c r="M125" s="415"/>
      <c r="N125" s="413"/>
      <c r="O125" s="413"/>
      <c r="P125" s="413"/>
      <c r="Q125" s="413"/>
      <c r="R125" s="271"/>
      <c r="S125" s="3035"/>
      <c r="T125" s="415"/>
      <c r="U125" s="413"/>
      <c r="V125" s="413"/>
      <c r="W125" s="413"/>
      <c r="X125" s="413"/>
      <c r="Y125" s="414"/>
      <c r="Z125" s="3035"/>
      <c r="AA125" s="415"/>
      <c r="AB125" s="413"/>
      <c r="AC125" s="413"/>
      <c r="AD125" s="413"/>
      <c r="AE125" s="413"/>
      <c r="AF125" s="414"/>
      <c r="AG125" s="3035"/>
      <c r="AH125" s="415"/>
      <c r="AI125" s="413"/>
      <c r="AJ125" s="413"/>
      <c r="AK125" s="413"/>
      <c r="AL125" s="413"/>
      <c r="AM125" s="414"/>
      <c r="AN125" s="3035"/>
      <c r="AO125" s="3040"/>
      <c r="AP125" s="3041"/>
      <c r="AQ125" s="3041"/>
      <c r="AR125" s="3041"/>
      <c r="AS125" s="3041"/>
      <c r="AT125" s="3042"/>
      <c r="AU125" s="4488"/>
      <c r="AV125" s="147"/>
      <c r="AW125" s="4504">
        <f t="shared" si="309"/>
        <v>0</v>
      </c>
      <c r="AX125" s="4504">
        <f t="shared" si="280"/>
        <v>0</v>
      </c>
      <c r="AY125" s="4504">
        <f t="shared" si="281"/>
        <v>0</v>
      </c>
      <c r="AZ125" s="4504">
        <f t="shared" si="282"/>
        <v>0</v>
      </c>
      <c r="BA125" s="4504">
        <f t="shared" si="283"/>
        <v>0</v>
      </c>
      <c r="BB125" s="4504">
        <f t="shared" si="284"/>
        <v>0</v>
      </c>
      <c r="BC125" s="147"/>
      <c r="BD125" s="4504">
        <f t="shared" si="285"/>
        <v>0</v>
      </c>
      <c r="BE125" s="4504">
        <f t="shared" si="286"/>
        <v>0</v>
      </c>
      <c r="BF125" s="4504">
        <f t="shared" si="287"/>
        <v>0</v>
      </c>
      <c r="BG125" s="4504">
        <f t="shared" si="288"/>
        <v>0</v>
      </c>
      <c r="BH125" s="4504">
        <f t="shared" si="289"/>
        <v>0</v>
      </c>
      <c r="BI125" s="4504">
        <f t="shared" si="290"/>
        <v>0</v>
      </c>
      <c r="BJ125" s="147"/>
      <c r="BK125" s="4504">
        <f t="shared" si="291"/>
        <v>0</v>
      </c>
      <c r="BL125" s="4504">
        <f t="shared" si="292"/>
        <v>0</v>
      </c>
      <c r="BM125" s="4504">
        <f t="shared" si="293"/>
        <v>0</v>
      </c>
      <c r="BN125" s="4504">
        <f t="shared" si="294"/>
        <v>0</v>
      </c>
      <c r="BO125" s="4504">
        <f t="shared" si="295"/>
        <v>0</v>
      </c>
      <c r="BP125" s="4504">
        <f t="shared" si="296"/>
        <v>0</v>
      </c>
      <c r="BQ125" s="147"/>
      <c r="BR125" s="4504">
        <f t="shared" si="297"/>
        <v>0</v>
      </c>
      <c r="BS125" s="4504">
        <f t="shared" si="298"/>
        <v>0</v>
      </c>
      <c r="BT125" s="4504">
        <f t="shared" si="299"/>
        <v>0</v>
      </c>
      <c r="BU125" s="4504">
        <f t="shared" si="300"/>
        <v>0</v>
      </c>
      <c r="BV125" s="4504">
        <f t="shared" si="301"/>
        <v>0</v>
      </c>
      <c r="BW125" s="4504">
        <f t="shared" si="302"/>
        <v>0</v>
      </c>
      <c r="BX125" s="147"/>
      <c r="BY125" s="4504">
        <f t="shared" si="303"/>
        <v>0</v>
      </c>
      <c r="BZ125" s="4504">
        <f t="shared" si="304"/>
        <v>0</v>
      </c>
      <c r="CA125" s="4504">
        <f t="shared" si="305"/>
        <v>0</v>
      </c>
      <c r="CB125" s="4504">
        <f t="shared" si="306"/>
        <v>0</v>
      </c>
      <c r="CC125" s="4504">
        <f t="shared" si="307"/>
        <v>0</v>
      </c>
      <c r="CD125" s="4504">
        <f t="shared" si="308"/>
        <v>0</v>
      </c>
    </row>
    <row r="126" spans="1:82" s="40" customFormat="1">
      <c r="A126" s="2996">
        <v>16</v>
      </c>
      <c r="B126" s="2993" t="s">
        <v>702</v>
      </c>
      <c r="C126" s="2995">
        <v>0.02</v>
      </c>
      <c r="D126" s="2585" t="s">
        <v>420</v>
      </c>
      <c r="E126" s="3035"/>
      <c r="F126" s="415">
        <v>9439.0388453999985</v>
      </c>
      <c r="G126" s="413">
        <v>18602.27348</v>
      </c>
      <c r="H126" s="413">
        <v>6330.183</v>
      </c>
      <c r="I126" s="413">
        <v>11863.161889999999</v>
      </c>
      <c r="J126" s="413">
        <v>629.67499999999995</v>
      </c>
      <c r="K126" s="271">
        <v>23241.978719999999</v>
      </c>
      <c r="L126" s="3035"/>
      <c r="M126" s="415"/>
      <c r="N126" s="413"/>
      <c r="O126" s="413"/>
      <c r="P126" s="413"/>
      <c r="Q126" s="413"/>
      <c r="R126" s="271"/>
      <c r="S126" s="3035"/>
      <c r="T126" s="415"/>
      <c r="U126" s="413"/>
      <c r="V126" s="413"/>
      <c r="W126" s="413"/>
      <c r="X126" s="413"/>
      <c r="Y126" s="414"/>
      <c r="Z126" s="3035"/>
      <c r="AA126" s="415"/>
      <c r="AB126" s="413"/>
      <c r="AC126" s="413"/>
      <c r="AD126" s="413"/>
      <c r="AE126" s="413"/>
      <c r="AF126" s="414"/>
      <c r="AG126" s="3035"/>
      <c r="AH126" s="415"/>
      <c r="AI126" s="413"/>
      <c r="AJ126" s="413"/>
      <c r="AK126" s="413"/>
      <c r="AL126" s="413"/>
      <c r="AM126" s="414"/>
      <c r="AN126" s="3035"/>
      <c r="AO126" s="3040"/>
      <c r="AP126" s="3041"/>
      <c r="AQ126" s="3041"/>
      <c r="AR126" s="3041"/>
      <c r="AS126" s="3041"/>
      <c r="AT126" s="3042"/>
      <c r="AU126" s="4488"/>
      <c r="AV126" s="147"/>
      <c r="AW126" s="4504">
        <f t="shared" si="309"/>
        <v>4826.1039279487477</v>
      </c>
      <c r="AX126" s="4504">
        <f t="shared" si="280"/>
        <v>9511.1914021157263</v>
      </c>
      <c r="AY126" s="4504">
        <f t="shared" si="281"/>
        <v>3236.5711743863221</v>
      </c>
      <c r="AZ126" s="4504">
        <f t="shared" si="282"/>
        <v>6065.5383596733864</v>
      </c>
      <c r="BA126" s="4504">
        <f t="shared" si="283"/>
        <v>321.94771529222885</v>
      </c>
      <c r="BB126" s="4504">
        <f t="shared" si="284"/>
        <v>11883.435022471278</v>
      </c>
      <c r="BC126" s="147"/>
      <c r="BD126" s="4504">
        <f t="shared" si="285"/>
        <v>0</v>
      </c>
      <c r="BE126" s="4504">
        <f t="shared" si="286"/>
        <v>0</v>
      </c>
      <c r="BF126" s="4504">
        <f t="shared" si="287"/>
        <v>0</v>
      </c>
      <c r="BG126" s="4504">
        <f t="shared" si="288"/>
        <v>0</v>
      </c>
      <c r="BH126" s="4504">
        <f t="shared" si="289"/>
        <v>0</v>
      </c>
      <c r="BI126" s="4504">
        <f t="shared" si="290"/>
        <v>0</v>
      </c>
      <c r="BJ126" s="147"/>
      <c r="BK126" s="4504">
        <f t="shared" si="291"/>
        <v>0</v>
      </c>
      <c r="BL126" s="4504">
        <f t="shared" si="292"/>
        <v>0</v>
      </c>
      <c r="BM126" s="4504">
        <f t="shared" si="293"/>
        <v>0</v>
      </c>
      <c r="BN126" s="4504">
        <f t="shared" si="294"/>
        <v>0</v>
      </c>
      <c r="BO126" s="4504">
        <f t="shared" si="295"/>
        <v>0</v>
      </c>
      <c r="BP126" s="4504">
        <f t="shared" si="296"/>
        <v>0</v>
      </c>
      <c r="BQ126" s="147"/>
      <c r="BR126" s="4504">
        <f t="shared" si="297"/>
        <v>0</v>
      </c>
      <c r="BS126" s="4504">
        <f t="shared" si="298"/>
        <v>0</v>
      </c>
      <c r="BT126" s="4504">
        <f t="shared" si="299"/>
        <v>0</v>
      </c>
      <c r="BU126" s="4504">
        <f t="shared" si="300"/>
        <v>0</v>
      </c>
      <c r="BV126" s="4504">
        <f t="shared" si="301"/>
        <v>0</v>
      </c>
      <c r="BW126" s="4504">
        <f t="shared" si="302"/>
        <v>0</v>
      </c>
      <c r="BX126" s="147"/>
      <c r="BY126" s="4504">
        <f t="shared" si="303"/>
        <v>0</v>
      </c>
      <c r="BZ126" s="4504">
        <f t="shared" si="304"/>
        <v>0</v>
      </c>
      <c r="CA126" s="4504">
        <f t="shared" si="305"/>
        <v>0</v>
      </c>
      <c r="CB126" s="4504">
        <f t="shared" si="306"/>
        <v>0</v>
      </c>
      <c r="CC126" s="4504">
        <f t="shared" si="307"/>
        <v>0</v>
      </c>
      <c r="CD126" s="4504">
        <f t="shared" si="308"/>
        <v>0</v>
      </c>
    </row>
    <row r="127" spans="1:82" s="40" customFormat="1">
      <c r="A127" s="2996">
        <v>17</v>
      </c>
      <c r="B127" s="2993" t="s">
        <v>703</v>
      </c>
      <c r="C127" s="2995">
        <v>0.02</v>
      </c>
      <c r="D127" s="2590" t="s">
        <v>421</v>
      </c>
      <c r="E127" s="3035"/>
      <c r="F127" s="415"/>
      <c r="G127" s="413"/>
      <c r="H127" s="413"/>
      <c r="I127" s="413"/>
      <c r="J127" s="413"/>
      <c r="K127" s="271"/>
      <c r="L127" s="3035"/>
      <c r="M127" s="415">
        <v>473.94398000000001</v>
      </c>
      <c r="N127" s="413"/>
      <c r="O127" s="413"/>
      <c r="P127" s="413"/>
      <c r="Q127" s="413"/>
      <c r="R127" s="271"/>
      <c r="S127" s="3035"/>
      <c r="T127" s="415"/>
      <c r="U127" s="413"/>
      <c r="V127" s="413"/>
      <c r="W127" s="413"/>
      <c r="X127" s="413"/>
      <c r="Y127" s="414"/>
      <c r="Z127" s="3035"/>
      <c r="AA127" s="415"/>
      <c r="AB127" s="413"/>
      <c r="AC127" s="413"/>
      <c r="AD127" s="413"/>
      <c r="AE127" s="413"/>
      <c r="AF127" s="414"/>
      <c r="AG127" s="3035"/>
      <c r="AH127" s="415"/>
      <c r="AI127" s="413"/>
      <c r="AJ127" s="413"/>
      <c r="AK127" s="413"/>
      <c r="AL127" s="413"/>
      <c r="AM127" s="414"/>
      <c r="AN127" s="3035"/>
      <c r="AO127" s="3040"/>
      <c r="AP127" s="3041"/>
      <c r="AQ127" s="3041"/>
      <c r="AR127" s="3041"/>
      <c r="AS127" s="3041"/>
      <c r="AT127" s="3042"/>
      <c r="AU127" s="4488"/>
      <c r="AV127" s="147"/>
      <c r="AW127" s="4504">
        <f t="shared" si="309"/>
        <v>0</v>
      </c>
      <c r="AX127" s="4504">
        <f t="shared" si="280"/>
        <v>0</v>
      </c>
      <c r="AY127" s="4504">
        <f t="shared" si="281"/>
        <v>0</v>
      </c>
      <c r="AZ127" s="4504">
        <f t="shared" si="282"/>
        <v>0</v>
      </c>
      <c r="BA127" s="4504">
        <f t="shared" si="283"/>
        <v>0</v>
      </c>
      <c r="BB127" s="4504">
        <f t="shared" si="284"/>
        <v>0</v>
      </c>
      <c r="BC127" s="147"/>
      <c r="BD127" s="4504">
        <f t="shared" si="285"/>
        <v>242.32370911582296</v>
      </c>
      <c r="BE127" s="4504">
        <f t="shared" si="286"/>
        <v>0</v>
      </c>
      <c r="BF127" s="4504">
        <f t="shared" si="287"/>
        <v>0</v>
      </c>
      <c r="BG127" s="4504">
        <f t="shared" si="288"/>
        <v>0</v>
      </c>
      <c r="BH127" s="4504">
        <f t="shared" si="289"/>
        <v>0</v>
      </c>
      <c r="BI127" s="4504">
        <f t="shared" si="290"/>
        <v>0</v>
      </c>
      <c r="BJ127" s="147"/>
      <c r="BK127" s="4504">
        <f t="shared" si="291"/>
        <v>0</v>
      </c>
      <c r="BL127" s="4504">
        <f t="shared" si="292"/>
        <v>0</v>
      </c>
      <c r="BM127" s="4504">
        <f t="shared" si="293"/>
        <v>0</v>
      </c>
      <c r="BN127" s="4504">
        <f t="shared" si="294"/>
        <v>0</v>
      </c>
      <c r="BO127" s="4504">
        <f t="shared" si="295"/>
        <v>0</v>
      </c>
      <c r="BP127" s="4504">
        <f t="shared" si="296"/>
        <v>0</v>
      </c>
      <c r="BQ127" s="147"/>
      <c r="BR127" s="4504">
        <f t="shared" si="297"/>
        <v>0</v>
      </c>
      <c r="BS127" s="4504">
        <f t="shared" si="298"/>
        <v>0</v>
      </c>
      <c r="BT127" s="4504">
        <f t="shared" si="299"/>
        <v>0</v>
      </c>
      <c r="BU127" s="4504">
        <f t="shared" si="300"/>
        <v>0</v>
      </c>
      <c r="BV127" s="4504">
        <f t="shared" si="301"/>
        <v>0</v>
      </c>
      <c r="BW127" s="4504">
        <f t="shared" si="302"/>
        <v>0</v>
      </c>
      <c r="BX127" s="147"/>
      <c r="BY127" s="4504">
        <f t="shared" si="303"/>
        <v>0</v>
      </c>
      <c r="BZ127" s="4504">
        <f t="shared" si="304"/>
        <v>0</v>
      </c>
      <c r="CA127" s="4504">
        <f t="shared" si="305"/>
        <v>0</v>
      </c>
      <c r="CB127" s="4504">
        <f t="shared" si="306"/>
        <v>0</v>
      </c>
      <c r="CC127" s="4504">
        <f t="shared" si="307"/>
        <v>0</v>
      </c>
      <c r="CD127" s="4504">
        <f t="shared" si="308"/>
        <v>0</v>
      </c>
    </row>
    <row r="128" spans="1:82" s="40" customFormat="1" ht="24">
      <c r="A128" s="2996">
        <v>18</v>
      </c>
      <c r="B128" s="2993" t="s">
        <v>704</v>
      </c>
      <c r="C128" s="2995">
        <v>0.04</v>
      </c>
      <c r="D128" s="2590" t="s">
        <v>422</v>
      </c>
      <c r="E128" s="3035"/>
      <c r="F128" s="415"/>
      <c r="G128" s="413"/>
      <c r="H128" s="413"/>
      <c r="I128" s="413"/>
      <c r="J128" s="413"/>
      <c r="K128" s="271"/>
      <c r="L128" s="3035"/>
      <c r="M128" s="415"/>
      <c r="N128" s="413"/>
      <c r="O128" s="413"/>
      <c r="P128" s="413"/>
      <c r="Q128" s="413"/>
      <c r="R128" s="271"/>
      <c r="S128" s="3035"/>
      <c r="T128" s="415">
        <v>5400</v>
      </c>
      <c r="U128" s="413"/>
      <c r="V128" s="413"/>
      <c r="W128" s="413"/>
      <c r="X128" s="413"/>
      <c r="Y128" s="414"/>
      <c r="Z128" s="3035"/>
      <c r="AA128" s="415"/>
      <c r="AB128" s="413"/>
      <c r="AC128" s="413"/>
      <c r="AD128" s="413"/>
      <c r="AE128" s="413"/>
      <c r="AF128" s="414"/>
      <c r="AG128" s="3035"/>
      <c r="AH128" s="415"/>
      <c r="AI128" s="413"/>
      <c r="AJ128" s="413"/>
      <c r="AK128" s="413"/>
      <c r="AL128" s="413"/>
      <c r="AM128" s="414"/>
      <c r="AN128" s="3035"/>
      <c r="AO128" s="3040"/>
      <c r="AP128" s="3041"/>
      <c r="AQ128" s="3041"/>
      <c r="AR128" s="3041"/>
      <c r="AS128" s="3041"/>
      <c r="AT128" s="3042"/>
      <c r="AU128" s="4488"/>
      <c r="AV128" s="147"/>
      <c r="AW128" s="4504">
        <f t="shared" si="309"/>
        <v>0</v>
      </c>
      <c r="AX128" s="4504">
        <f t="shared" si="280"/>
        <v>0</v>
      </c>
      <c r="AY128" s="4504">
        <f t="shared" si="281"/>
        <v>0</v>
      </c>
      <c r="AZ128" s="4504">
        <f t="shared" si="282"/>
        <v>0</v>
      </c>
      <c r="BA128" s="4504">
        <f t="shared" si="283"/>
        <v>0</v>
      </c>
      <c r="BB128" s="4504">
        <f t="shared" si="284"/>
        <v>0</v>
      </c>
      <c r="BC128" s="147"/>
      <c r="BD128" s="4504">
        <f t="shared" si="285"/>
        <v>0</v>
      </c>
      <c r="BE128" s="4504">
        <f t="shared" si="286"/>
        <v>0</v>
      </c>
      <c r="BF128" s="4504">
        <f t="shared" si="287"/>
        <v>0</v>
      </c>
      <c r="BG128" s="4504">
        <f t="shared" si="288"/>
        <v>0</v>
      </c>
      <c r="BH128" s="4504">
        <f t="shared" si="289"/>
        <v>0</v>
      </c>
      <c r="BI128" s="4504">
        <f t="shared" si="290"/>
        <v>0</v>
      </c>
      <c r="BJ128" s="147"/>
      <c r="BK128" s="4504">
        <f t="shared" si="291"/>
        <v>2760.9761584595799</v>
      </c>
      <c r="BL128" s="4504">
        <f t="shared" si="292"/>
        <v>0</v>
      </c>
      <c r="BM128" s="4504">
        <f t="shared" si="293"/>
        <v>0</v>
      </c>
      <c r="BN128" s="4504">
        <f t="shared" si="294"/>
        <v>0</v>
      </c>
      <c r="BO128" s="4504">
        <f t="shared" si="295"/>
        <v>0</v>
      </c>
      <c r="BP128" s="4504">
        <f t="shared" si="296"/>
        <v>0</v>
      </c>
      <c r="BQ128" s="147"/>
      <c r="BR128" s="4504">
        <f t="shared" si="297"/>
        <v>0</v>
      </c>
      <c r="BS128" s="4504">
        <f t="shared" si="298"/>
        <v>0</v>
      </c>
      <c r="BT128" s="4504">
        <f t="shared" si="299"/>
        <v>0</v>
      </c>
      <c r="BU128" s="4504">
        <f t="shared" si="300"/>
        <v>0</v>
      </c>
      <c r="BV128" s="4504">
        <f t="shared" si="301"/>
        <v>0</v>
      </c>
      <c r="BW128" s="4504">
        <f t="shared" si="302"/>
        <v>0</v>
      </c>
      <c r="BX128" s="147"/>
      <c r="BY128" s="4504">
        <f t="shared" si="303"/>
        <v>0</v>
      </c>
      <c r="BZ128" s="4504">
        <f t="shared" si="304"/>
        <v>0</v>
      </c>
      <c r="CA128" s="4504">
        <f t="shared" si="305"/>
        <v>0</v>
      </c>
      <c r="CB128" s="4504">
        <f t="shared" si="306"/>
        <v>0</v>
      </c>
      <c r="CC128" s="4504">
        <f t="shared" si="307"/>
        <v>0</v>
      </c>
      <c r="CD128" s="4504">
        <f t="shared" si="308"/>
        <v>0</v>
      </c>
    </row>
    <row r="129" spans="1:82" s="40" customFormat="1">
      <c r="A129" s="2996">
        <v>19</v>
      </c>
      <c r="B129" s="2993" t="s">
        <v>705</v>
      </c>
      <c r="C129" s="2995">
        <v>0.04</v>
      </c>
      <c r="D129" s="2590" t="s">
        <v>423</v>
      </c>
      <c r="E129" s="3035"/>
      <c r="F129" s="415"/>
      <c r="G129" s="413"/>
      <c r="H129" s="413"/>
      <c r="I129" s="413"/>
      <c r="J129" s="413"/>
      <c r="K129" s="271"/>
      <c r="L129" s="3035"/>
      <c r="M129" s="415"/>
      <c r="N129" s="413"/>
      <c r="O129" s="413"/>
      <c r="P129" s="413"/>
      <c r="Q129" s="413"/>
      <c r="R129" s="271"/>
      <c r="S129" s="3035"/>
      <c r="T129" s="415"/>
      <c r="U129" s="413"/>
      <c r="V129" s="413"/>
      <c r="W129" s="413"/>
      <c r="X129" s="413"/>
      <c r="Y129" s="414"/>
      <c r="Z129" s="3035"/>
      <c r="AA129" s="415"/>
      <c r="AB129" s="413"/>
      <c r="AC129" s="413"/>
      <c r="AD129" s="413"/>
      <c r="AE129" s="413"/>
      <c r="AF129" s="414"/>
      <c r="AG129" s="3035"/>
      <c r="AH129" s="415"/>
      <c r="AI129" s="413"/>
      <c r="AJ129" s="413"/>
      <c r="AK129" s="413"/>
      <c r="AL129" s="413"/>
      <c r="AM129" s="414"/>
      <c r="AN129" s="3035"/>
      <c r="AO129" s="3040"/>
      <c r="AP129" s="3041"/>
      <c r="AQ129" s="3041"/>
      <c r="AR129" s="3041"/>
      <c r="AS129" s="3041"/>
      <c r="AT129" s="3042"/>
      <c r="AU129" s="4488"/>
      <c r="AV129" s="147"/>
      <c r="AW129" s="4504">
        <f t="shared" si="309"/>
        <v>0</v>
      </c>
      <c r="AX129" s="4504">
        <f t="shared" si="280"/>
        <v>0</v>
      </c>
      <c r="AY129" s="4504">
        <f t="shared" si="281"/>
        <v>0</v>
      </c>
      <c r="AZ129" s="4504">
        <f t="shared" si="282"/>
        <v>0</v>
      </c>
      <c r="BA129" s="4504">
        <f t="shared" si="283"/>
        <v>0</v>
      </c>
      <c r="BB129" s="4504">
        <f t="shared" si="284"/>
        <v>0</v>
      </c>
      <c r="BC129" s="147"/>
      <c r="BD129" s="4504">
        <f t="shared" si="285"/>
        <v>0</v>
      </c>
      <c r="BE129" s="4504">
        <f t="shared" si="286"/>
        <v>0</v>
      </c>
      <c r="BF129" s="4504">
        <f t="shared" si="287"/>
        <v>0</v>
      </c>
      <c r="BG129" s="4504">
        <f t="shared" si="288"/>
        <v>0</v>
      </c>
      <c r="BH129" s="4504">
        <f t="shared" si="289"/>
        <v>0</v>
      </c>
      <c r="BI129" s="4504">
        <f t="shared" si="290"/>
        <v>0</v>
      </c>
      <c r="BJ129" s="147"/>
      <c r="BK129" s="4504">
        <f t="shared" si="291"/>
        <v>0</v>
      </c>
      <c r="BL129" s="4504">
        <f t="shared" si="292"/>
        <v>0</v>
      </c>
      <c r="BM129" s="4504">
        <f t="shared" si="293"/>
        <v>0</v>
      </c>
      <c r="BN129" s="4504">
        <f t="shared" si="294"/>
        <v>0</v>
      </c>
      <c r="BO129" s="4504">
        <f t="shared" si="295"/>
        <v>0</v>
      </c>
      <c r="BP129" s="4504">
        <f t="shared" si="296"/>
        <v>0</v>
      </c>
      <c r="BQ129" s="147"/>
      <c r="BR129" s="4504">
        <f t="shared" si="297"/>
        <v>0</v>
      </c>
      <c r="BS129" s="4504">
        <f t="shared" si="298"/>
        <v>0</v>
      </c>
      <c r="BT129" s="4504">
        <f t="shared" si="299"/>
        <v>0</v>
      </c>
      <c r="BU129" s="4504">
        <f t="shared" si="300"/>
        <v>0</v>
      </c>
      <c r="BV129" s="4504">
        <f t="shared" si="301"/>
        <v>0</v>
      </c>
      <c r="BW129" s="4504">
        <f t="shared" si="302"/>
        <v>0</v>
      </c>
      <c r="BX129" s="147"/>
      <c r="BY129" s="4504">
        <f t="shared" si="303"/>
        <v>0</v>
      </c>
      <c r="BZ129" s="4504">
        <f t="shared" si="304"/>
        <v>0</v>
      </c>
      <c r="CA129" s="4504">
        <f t="shared" si="305"/>
        <v>0</v>
      </c>
      <c r="CB129" s="4504">
        <f t="shared" si="306"/>
        <v>0</v>
      </c>
      <c r="CC129" s="4504">
        <f t="shared" si="307"/>
        <v>0</v>
      </c>
      <c r="CD129" s="4504">
        <f t="shared" si="308"/>
        <v>0</v>
      </c>
    </row>
    <row r="130" spans="1:82" s="40" customFormat="1">
      <c r="A130" s="2996">
        <v>20</v>
      </c>
      <c r="B130" s="2993" t="s">
        <v>717</v>
      </c>
      <c r="C130" s="2995">
        <v>0.04</v>
      </c>
      <c r="D130" s="2994" t="s">
        <v>434</v>
      </c>
      <c r="E130" s="3035"/>
      <c r="F130" s="415"/>
      <c r="G130" s="413"/>
      <c r="H130" s="413"/>
      <c r="I130" s="413"/>
      <c r="J130" s="413"/>
      <c r="K130" s="271"/>
      <c r="L130" s="3035"/>
      <c r="M130" s="415"/>
      <c r="N130" s="413"/>
      <c r="O130" s="413"/>
      <c r="P130" s="413"/>
      <c r="Q130" s="413"/>
      <c r="R130" s="271"/>
      <c r="S130" s="3035"/>
      <c r="T130" s="415"/>
      <c r="U130" s="413"/>
      <c r="V130" s="413"/>
      <c r="W130" s="413"/>
      <c r="X130" s="413"/>
      <c r="Y130" s="414"/>
      <c r="Z130" s="3035"/>
      <c r="AA130" s="415"/>
      <c r="AB130" s="413"/>
      <c r="AC130" s="413"/>
      <c r="AD130" s="413"/>
      <c r="AE130" s="413"/>
      <c r="AF130" s="414"/>
      <c r="AG130" s="3035"/>
      <c r="AH130" s="415"/>
      <c r="AI130" s="413"/>
      <c r="AJ130" s="413"/>
      <c r="AK130" s="413"/>
      <c r="AL130" s="413"/>
      <c r="AM130" s="414"/>
      <c r="AN130" s="3035"/>
      <c r="AO130" s="3040"/>
      <c r="AP130" s="3041"/>
      <c r="AQ130" s="3041"/>
      <c r="AR130" s="3041"/>
      <c r="AS130" s="3041"/>
      <c r="AT130" s="3042"/>
      <c r="AU130" s="4488"/>
      <c r="AV130" s="147"/>
      <c r="AW130" s="4504">
        <f t="shared" si="309"/>
        <v>0</v>
      </c>
      <c r="AX130" s="4504">
        <f t="shared" si="280"/>
        <v>0</v>
      </c>
      <c r="AY130" s="4504">
        <f t="shared" si="281"/>
        <v>0</v>
      </c>
      <c r="AZ130" s="4504">
        <f t="shared" si="282"/>
        <v>0</v>
      </c>
      <c r="BA130" s="4504">
        <f t="shared" si="283"/>
        <v>0</v>
      </c>
      <c r="BB130" s="4504">
        <f t="shared" si="284"/>
        <v>0</v>
      </c>
      <c r="BC130" s="147"/>
      <c r="BD130" s="4504">
        <f t="shared" si="285"/>
        <v>0</v>
      </c>
      <c r="BE130" s="4504">
        <f t="shared" si="286"/>
        <v>0</v>
      </c>
      <c r="BF130" s="4504">
        <f t="shared" si="287"/>
        <v>0</v>
      </c>
      <c r="BG130" s="4504">
        <f t="shared" si="288"/>
        <v>0</v>
      </c>
      <c r="BH130" s="4504">
        <f t="shared" si="289"/>
        <v>0</v>
      </c>
      <c r="BI130" s="4504">
        <f t="shared" si="290"/>
        <v>0</v>
      </c>
      <c r="BJ130" s="147"/>
      <c r="BK130" s="4504">
        <f t="shared" si="291"/>
        <v>0</v>
      </c>
      <c r="BL130" s="4504">
        <f t="shared" si="292"/>
        <v>0</v>
      </c>
      <c r="BM130" s="4504">
        <f t="shared" si="293"/>
        <v>0</v>
      </c>
      <c r="BN130" s="4504">
        <f t="shared" si="294"/>
        <v>0</v>
      </c>
      <c r="BO130" s="4504">
        <f t="shared" si="295"/>
        <v>0</v>
      </c>
      <c r="BP130" s="4504">
        <f t="shared" si="296"/>
        <v>0</v>
      </c>
      <c r="BQ130" s="147"/>
      <c r="BR130" s="4504">
        <f t="shared" si="297"/>
        <v>0</v>
      </c>
      <c r="BS130" s="4504">
        <f t="shared" si="298"/>
        <v>0</v>
      </c>
      <c r="BT130" s="4504">
        <f t="shared" si="299"/>
        <v>0</v>
      </c>
      <c r="BU130" s="4504">
        <f t="shared" si="300"/>
        <v>0</v>
      </c>
      <c r="BV130" s="4504">
        <f t="shared" si="301"/>
        <v>0</v>
      </c>
      <c r="BW130" s="4504">
        <f t="shared" si="302"/>
        <v>0</v>
      </c>
      <c r="BX130" s="147"/>
      <c r="BY130" s="4504">
        <f t="shared" si="303"/>
        <v>0</v>
      </c>
      <c r="BZ130" s="4504">
        <f t="shared" si="304"/>
        <v>0</v>
      </c>
      <c r="CA130" s="4504">
        <f t="shared" si="305"/>
        <v>0</v>
      </c>
      <c r="CB130" s="4504">
        <f t="shared" si="306"/>
        <v>0</v>
      </c>
      <c r="CC130" s="4504">
        <f t="shared" si="307"/>
        <v>0</v>
      </c>
      <c r="CD130" s="4504">
        <f t="shared" si="308"/>
        <v>0</v>
      </c>
    </row>
    <row r="131" spans="1:82" s="40" customFormat="1" ht="24.6" thickBot="1">
      <c r="A131" s="2996">
        <v>21</v>
      </c>
      <c r="B131" s="2993" t="s">
        <v>707</v>
      </c>
      <c r="C131" s="2921">
        <v>0.2</v>
      </c>
      <c r="D131" s="2590" t="s">
        <v>679</v>
      </c>
      <c r="E131" s="3035"/>
      <c r="F131" s="415"/>
      <c r="G131" s="413"/>
      <c r="H131" s="413"/>
      <c r="I131" s="413"/>
      <c r="J131" s="413"/>
      <c r="K131" s="271"/>
      <c r="L131" s="3035"/>
      <c r="M131" s="415"/>
      <c r="N131" s="413"/>
      <c r="O131" s="413"/>
      <c r="P131" s="413"/>
      <c r="Q131" s="413"/>
      <c r="R131" s="271"/>
      <c r="S131" s="3035"/>
      <c r="T131" s="415"/>
      <c r="U131" s="413"/>
      <c r="V131" s="413"/>
      <c r="W131" s="413"/>
      <c r="X131" s="413"/>
      <c r="Y131" s="414"/>
      <c r="Z131" s="3035"/>
      <c r="AA131" s="415"/>
      <c r="AB131" s="413"/>
      <c r="AC131" s="413"/>
      <c r="AD131" s="413"/>
      <c r="AE131" s="413"/>
      <c r="AF131" s="414"/>
      <c r="AG131" s="3035"/>
      <c r="AH131" s="415"/>
      <c r="AI131" s="413"/>
      <c r="AJ131" s="413"/>
      <c r="AK131" s="413"/>
      <c r="AL131" s="413"/>
      <c r="AM131" s="414"/>
      <c r="AN131" s="3043"/>
      <c r="AO131" s="3044"/>
      <c r="AP131" s="3045"/>
      <c r="AQ131" s="3045"/>
      <c r="AR131" s="3045"/>
      <c r="AS131" s="3045"/>
      <c r="AT131" s="3046"/>
      <c r="AU131" s="4488"/>
      <c r="AV131" s="147"/>
      <c r="AW131" s="4504">
        <f t="shared" si="309"/>
        <v>0</v>
      </c>
      <c r="AX131" s="4504">
        <f t="shared" si="280"/>
        <v>0</v>
      </c>
      <c r="AY131" s="4504">
        <f t="shared" si="281"/>
        <v>0</v>
      </c>
      <c r="AZ131" s="4504">
        <f t="shared" si="282"/>
        <v>0</v>
      </c>
      <c r="BA131" s="4504">
        <f t="shared" si="283"/>
        <v>0</v>
      </c>
      <c r="BB131" s="4504">
        <f t="shared" si="284"/>
        <v>0</v>
      </c>
      <c r="BC131" s="147"/>
      <c r="BD131" s="4504">
        <f t="shared" si="285"/>
        <v>0</v>
      </c>
      <c r="BE131" s="4504">
        <f t="shared" si="286"/>
        <v>0</v>
      </c>
      <c r="BF131" s="4504">
        <f t="shared" si="287"/>
        <v>0</v>
      </c>
      <c r="BG131" s="4504">
        <f t="shared" si="288"/>
        <v>0</v>
      </c>
      <c r="BH131" s="4504">
        <f t="shared" si="289"/>
        <v>0</v>
      </c>
      <c r="BI131" s="4504">
        <f t="shared" si="290"/>
        <v>0</v>
      </c>
      <c r="BJ131" s="147"/>
      <c r="BK131" s="4504">
        <f t="shared" si="291"/>
        <v>0</v>
      </c>
      <c r="BL131" s="4504">
        <f t="shared" si="292"/>
        <v>0</v>
      </c>
      <c r="BM131" s="4504">
        <f t="shared" si="293"/>
        <v>0</v>
      </c>
      <c r="BN131" s="4504">
        <f t="shared" si="294"/>
        <v>0</v>
      </c>
      <c r="BO131" s="4504">
        <f t="shared" si="295"/>
        <v>0</v>
      </c>
      <c r="BP131" s="4504">
        <f t="shared" si="296"/>
        <v>0</v>
      </c>
      <c r="BQ131" s="147"/>
      <c r="BR131" s="4504">
        <f t="shared" si="297"/>
        <v>0</v>
      </c>
      <c r="BS131" s="4504">
        <f t="shared" si="298"/>
        <v>0</v>
      </c>
      <c r="BT131" s="4504">
        <f t="shared" si="299"/>
        <v>0</v>
      </c>
      <c r="BU131" s="4504">
        <f t="shared" si="300"/>
        <v>0</v>
      </c>
      <c r="BV131" s="4504">
        <f t="shared" si="301"/>
        <v>0</v>
      </c>
      <c r="BW131" s="4504">
        <f t="shared" si="302"/>
        <v>0</v>
      </c>
      <c r="BX131" s="147"/>
      <c r="BY131" s="4504">
        <f t="shared" si="303"/>
        <v>0</v>
      </c>
      <c r="BZ131" s="4504">
        <f t="shared" si="304"/>
        <v>0</v>
      </c>
      <c r="CA131" s="4504">
        <f t="shared" si="305"/>
        <v>0</v>
      </c>
      <c r="CB131" s="4504">
        <f t="shared" si="306"/>
        <v>0</v>
      </c>
      <c r="CC131" s="4504">
        <f t="shared" si="307"/>
        <v>0</v>
      </c>
      <c r="CD131" s="4504">
        <f t="shared" si="308"/>
        <v>0</v>
      </c>
    </row>
    <row r="132" spans="1:82" s="40" customFormat="1" ht="30" customHeight="1" thickBot="1">
      <c r="A132" s="2863" t="s">
        <v>465</v>
      </c>
      <c r="B132" s="2864"/>
      <c r="C132" s="2864"/>
      <c r="D132" s="2998" t="s">
        <v>1054</v>
      </c>
      <c r="E132" s="2868">
        <f>SUM(E133:E153)</f>
        <v>0</v>
      </c>
      <c r="F132" s="2865">
        <f>SUM(F133:F153)</f>
        <v>0</v>
      </c>
      <c r="G132" s="2866">
        <f t="shared" ref="G132:AT132" si="310">SUM(G133:G153)</f>
        <v>0</v>
      </c>
      <c r="H132" s="2866">
        <f t="shared" si="310"/>
        <v>0</v>
      </c>
      <c r="I132" s="2866">
        <f t="shared" si="310"/>
        <v>0</v>
      </c>
      <c r="J132" s="2866">
        <f t="shared" si="310"/>
        <v>0</v>
      </c>
      <c r="K132" s="2867">
        <f t="shared" si="310"/>
        <v>0</v>
      </c>
      <c r="L132" s="2868">
        <f t="shared" si="310"/>
        <v>0</v>
      </c>
      <c r="M132" s="2865">
        <f t="shared" si="310"/>
        <v>0</v>
      </c>
      <c r="N132" s="2866">
        <f t="shared" si="310"/>
        <v>0</v>
      </c>
      <c r="O132" s="2866">
        <f t="shared" si="310"/>
        <v>0</v>
      </c>
      <c r="P132" s="2866">
        <f t="shared" si="310"/>
        <v>0</v>
      </c>
      <c r="Q132" s="2866">
        <f t="shared" si="310"/>
        <v>0</v>
      </c>
      <c r="R132" s="2869">
        <f t="shared" si="310"/>
        <v>0</v>
      </c>
      <c r="S132" s="2868">
        <f t="shared" si="310"/>
        <v>0</v>
      </c>
      <c r="T132" s="2865">
        <f t="shared" si="310"/>
        <v>0</v>
      </c>
      <c r="U132" s="2866">
        <f t="shared" si="310"/>
        <v>0</v>
      </c>
      <c r="V132" s="2866">
        <f t="shared" si="310"/>
        <v>0</v>
      </c>
      <c r="W132" s="2866">
        <f t="shared" si="310"/>
        <v>0</v>
      </c>
      <c r="X132" s="2866">
        <f t="shared" si="310"/>
        <v>0</v>
      </c>
      <c r="Y132" s="2869">
        <f t="shared" si="310"/>
        <v>0</v>
      </c>
      <c r="Z132" s="2868">
        <f t="shared" si="310"/>
        <v>0</v>
      </c>
      <c r="AA132" s="2865">
        <f t="shared" si="310"/>
        <v>0</v>
      </c>
      <c r="AB132" s="2866">
        <f t="shared" si="310"/>
        <v>0</v>
      </c>
      <c r="AC132" s="2866">
        <f t="shared" si="310"/>
        <v>0</v>
      </c>
      <c r="AD132" s="2866">
        <f t="shared" si="310"/>
        <v>0</v>
      </c>
      <c r="AE132" s="2866">
        <f t="shared" si="310"/>
        <v>0</v>
      </c>
      <c r="AF132" s="2869">
        <f t="shared" si="310"/>
        <v>0</v>
      </c>
      <c r="AG132" s="2868">
        <f t="shared" si="310"/>
        <v>0</v>
      </c>
      <c r="AH132" s="2865">
        <f t="shared" si="310"/>
        <v>0</v>
      </c>
      <c r="AI132" s="2866">
        <f t="shared" si="310"/>
        <v>0</v>
      </c>
      <c r="AJ132" s="2866">
        <f t="shared" si="310"/>
        <v>0</v>
      </c>
      <c r="AK132" s="2866">
        <f t="shared" si="310"/>
        <v>0</v>
      </c>
      <c r="AL132" s="2866">
        <f t="shared" si="310"/>
        <v>0</v>
      </c>
      <c r="AM132" s="2869">
        <f t="shared" si="310"/>
        <v>0</v>
      </c>
      <c r="AN132" s="2868">
        <f t="shared" si="310"/>
        <v>0</v>
      </c>
      <c r="AO132" s="2865">
        <f t="shared" si="310"/>
        <v>0</v>
      </c>
      <c r="AP132" s="2866">
        <f t="shared" si="310"/>
        <v>0</v>
      </c>
      <c r="AQ132" s="2866">
        <f t="shared" si="310"/>
        <v>0</v>
      </c>
      <c r="AR132" s="2866">
        <f t="shared" si="310"/>
        <v>0</v>
      </c>
      <c r="AS132" s="2866">
        <f t="shared" si="310"/>
        <v>0</v>
      </c>
      <c r="AT132" s="2869">
        <f t="shared" si="310"/>
        <v>0</v>
      </c>
      <c r="AU132" s="4488"/>
      <c r="AV132" s="147"/>
      <c r="AW132" s="4504">
        <f t="shared" si="309"/>
        <v>0</v>
      </c>
      <c r="AX132" s="4504">
        <f t="shared" si="280"/>
        <v>0</v>
      </c>
      <c r="AY132" s="4504">
        <f t="shared" si="281"/>
        <v>0</v>
      </c>
      <c r="AZ132" s="4504">
        <f t="shared" si="282"/>
        <v>0</v>
      </c>
      <c r="BA132" s="4504">
        <f t="shared" si="283"/>
        <v>0</v>
      </c>
      <c r="BB132" s="4504">
        <f t="shared" si="284"/>
        <v>0</v>
      </c>
      <c r="BC132" s="147"/>
      <c r="BD132" s="4504">
        <f t="shared" si="285"/>
        <v>0</v>
      </c>
      <c r="BE132" s="4504">
        <f t="shared" si="286"/>
        <v>0</v>
      </c>
      <c r="BF132" s="4504">
        <f t="shared" si="287"/>
        <v>0</v>
      </c>
      <c r="BG132" s="4504">
        <f t="shared" si="288"/>
        <v>0</v>
      </c>
      <c r="BH132" s="4504">
        <f t="shared" si="289"/>
        <v>0</v>
      </c>
      <c r="BI132" s="4504">
        <f t="shared" si="290"/>
        <v>0</v>
      </c>
      <c r="BJ132" s="147"/>
      <c r="BK132" s="4504">
        <f t="shared" si="291"/>
        <v>0</v>
      </c>
      <c r="BL132" s="4504">
        <f t="shared" si="292"/>
        <v>0</v>
      </c>
      <c r="BM132" s="4504">
        <f t="shared" si="293"/>
        <v>0</v>
      </c>
      <c r="BN132" s="4504">
        <f t="shared" si="294"/>
        <v>0</v>
      </c>
      <c r="BO132" s="4504">
        <f t="shared" si="295"/>
        <v>0</v>
      </c>
      <c r="BP132" s="4504">
        <f t="shared" si="296"/>
        <v>0</v>
      </c>
      <c r="BQ132" s="147"/>
      <c r="BR132" s="4504">
        <f t="shared" si="297"/>
        <v>0</v>
      </c>
      <c r="BS132" s="4504">
        <f t="shared" si="298"/>
        <v>0</v>
      </c>
      <c r="BT132" s="4504">
        <f t="shared" si="299"/>
        <v>0</v>
      </c>
      <c r="BU132" s="4504">
        <f t="shared" si="300"/>
        <v>0</v>
      </c>
      <c r="BV132" s="4504">
        <f t="shared" si="301"/>
        <v>0</v>
      </c>
      <c r="BW132" s="4504">
        <f t="shared" si="302"/>
        <v>0</v>
      </c>
      <c r="BX132" s="147"/>
      <c r="BY132" s="4504">
        <f t="shared" si="303"/>
        <v>0</v>
      </c>
      <c r="BZ132" s="4504">
        <f t="shared" si="304"/>
        <v>0</v>
      </c>
      <c r="CA132" s="4504">
        <f t="shared" si="305"/>
        <v>0</v>
      </c>
      <c r="CB132" s="4504">
        <f t="shared" si="306"/>
        <v>0</v>
      </c>
      <c r="CC132" s="4504">
        <f t="shared" si="307"/>
        <v>0</v>
      </c>
      <c r="CD132" s="4504">
        <f t="shared" si="308"/>
        <v>0</v>
      </c>
    </row>
    <row r="133" spans="1:82" s="40" customFormat="1">
      <c r="A133" s="2990">
        <v>1</v>
      </c>
      <c r="B133" s="2991" t="s">
        <v>696</v>
      </c>
      <c r="C133" s="2992">
        <v>0</v>
      </c>
      <c r="D133" s="2584" t="s">
        <v>558</v>
      </c>
      <c r="E133" s="3035"/>
      <c r="F133" s="415"/>
      <c r="G133" s="413"/>
      <c r="H133" s="413"/>
      <c r="I133" s="413"/>
      <c r="J133" s="413"/>
      <c r="K133" s="271"/>
      <c r="L133" s="3035"/>
      <c r="M133" s="415"/>
      <c r="N133" s="413"/>
      <c r="O133" s="413"/>
      <c r="P133" s="413"/>
      <c r="Q133" s="413"/>
      <c r="R133" s="271"/>
      <c r="S133" s="3035"/>
      <c r="T133" s="415"/>
      <c r="U133" s="413"/>
      <c r="V133" s="413"/>
      <c r="W133" s="413"/>
      <c r="X133" s="413"/>
      <c r="Y133" s="414"/>
      <c r="Z133" s="3035"/>
      <c r="AA133" s="415"/>
      <c r="AB133" s="413"/>
      <c r="AC133" s="413"/>
      <c r="AD133" s="413"/>
      <c r="AE133" s="413"/>
      <c r="AF133" s="414"/>
      <c r="AG133" s="3035"/>
      <c r="AH133" s="415"/>
      <c r="AI133" s="413"/>
      <c r="AJ133" s="413"/>
      <c r="AK133" s="413"/>
      <c r="AL133" s="413"/>
      <c r="AM133" s="414"/>
      <c r="AN133" s="3036"/>
      <c r="AO133" s="3037"/>
      <c r="AP133" s="3038"/>
      <c r="AQ133" s="3038"/>
      <c r="AR133" s="3038"/>
      <c r="AS133" s="3038"/>
      <c r="AT133" s="3039"/>
      <c r="AU133" s="4488"/>
      <c r="AV133" s="147"/>
      <c r="AW133" s="4504">
        <f t="shared" si="309"/>
        <v>0</v>
      </c>
      <c r="AX133" s="4504">
        <f t="shared" si="280"/>
        <v>0</v>
      </c>
      <c r="AY133" s="4504">
        <f t="shared" si="281"/>
        <v>0</v>
      </c>
      <c r="AZ133" s="4504">
        <f t="shared" si="282"/>
        <v>0</v>
      </c>
      <c r="BA133" s="4504">
        <f t="shared" si="283"/>
        <v>0</v>
      </c>
      <c r="BB133" s="4504">
        <f t="shared" si="284"/>
        <v>0</v>
      </c>
      <c r="BC133" s="147"/>
      <c r="BD133" s="4504">
        <f t="shared" si="285"/>
        <v>0</v>
      </c>
      <c r="BE133" s="4504">
        <f t="shared" si="286"/>
        <v>0</v>
      </c>
      <c r="BF133" s="4504">
        <f t="shared" si="287"/>
        <v>0</v>
      </c>
      <c r="BG133" s="4504">
        <f t="shared" si="288"/>
        <v>0</v>
      </c>
      <c r="BH133" s="4504">
        <f t="shared" si="289"/>
        <v>0</v>
      </c>
      <c r="BI133" s="4504">
        <f t="shared" si="290"/>
        <v>0</v>
      </c>
      <c r="BJ133" s="147"/>
      <c r="BK133" s="4504">
        <f t="shared" si="291"/>
        <v>0</v>
      </c>
      <c r="BL133" s="4504">
        <f t="shared" si="292"/>
        <v>0</v>
      </c>
      <c r="BM133" s="4504">
        <f t="shared" si="293"/>
        <v>0</v>
      </c>
      <c r="BN133" s="4504">
        <f t="shared" si="294"/>
        <v>0</v>
      </c>
      <c r="BO133" s="4504">
        <f t="shared" si="295"/>
        <v>0</v>
      </c>
      <c r="BP133" s="4504">
        <f t="shared" si="296"/>
        <v>0</v>
      </c>
      <c r="BQ133" s="147"/>
      <c r="BR133" s="4504">
        <f t="shared" si="297"/>
        <v>0</v>
      </c>
      <c r="BS133" s="4504">
        <f t="shared" si="298"/>
        <v>0</v>
      </c>
      <c r="BT133" s="4504">
        <f t="shared" si="299"/>
        <v>0</v>
      </c>
      <c r="BU133" s="4504">
        <f t="shared" si="300"/>
        <v>0</v>
      </c>
      <c r="BV133" s="4504">
        <f t="shared" si="301"/>
        <v>0</v>
      </c>
      <c r="BW133" s="4504">
        <f t="shared" si="302"/>
        <v>0</v>
      </c>
      <c r="BX133" s="147"/>
      <c r="BY133" s="4504">
        <f t="shared" si="303"/>
        <v>0</v>
      </c>
      <c r="BZ133" s="4504">
        <f t="shared" si="304"/>
        <v>0</v>
      </c>
      <c r="CA133" s="4504">
        <f t="shared" si="305"/>
        <v>0</v>
      </c>
      <c r="CB133" s="4504">
        <f t="shared" si="306"/>
        <v>0</v>
      </c>
      <c r="CC133" s="4504">
        <f t="shared" si="307"/>
        <v>0</v>
      </c>
      <c r="CD133" s="4504">
        <f t="shared" si="308"/>
        <v>0</v>
      </c>
    </row>
    <row r="134" spans="1:82" s="40" customFormat="1">
      <c r="A134" s="2990">
        <v>2</v>
      </c>
      <c r="B134" s="2993" t="s">
        <v>697</v>
      </c>
      <c r="C134" s="2992">
        <v>0.03</v>
      </c>
      <c r="D134" s="2994" t="s">
        <v>426</v>
      </c>
      <c r="E134" s="3035"/>
      <c r="F134" s="415"/>
      <c r="G134" s="413"/>
      <c r="H134" s="413"/>
      <c r="I134" s="413"/>
      <c r="J134" s="413"/>
      <c r="K134" s="271"/>
      <c r="L134" s="3035"/>
      <c r="M134" s="415"/>
      <c r="N134" s="413"/>
      <c r="O134" s="413"/>
      <c r="P134" s="413"/>
      <c r="Q134" s="413"/>
      <c r="R134" s="271"/>
      <c r="S134" s="3035"/>
      <c r="T134" s="415"/>
      <c r="U134" s="413"/>
      <c r="V134" s="413"/>
      <c r="W134" s="413"/>
      <c r="X134" s="413"/>
      <c r="Y134" s="414"/>
      <c r="Z134" s="3035"/>
      <c r="AA134" s="415"/>
      <c r="AB134" s="413"/>
      <c r="AC134" s="413"/>
      <c r="AD134" s="413"/>
      <c r="AE134" s="413"/>
      <c r="AF134" s="414"/>
      <c r="AG134" s="3035"/>
      <c r="AH134" s="415"/>
      <c r="AI134" s="413"/>
      <c r="AJ134" s="413"/>
      <c r="AK134" s="413"/>
      <c r="AL134" s="413"/>
      <c r="AM134" s="414"/>
      <c r="AN134" s="3035"/>
      <c r="AO134" s="3040"/>
      <c r="AP134" s="3041"/>
      <c r="AQ134" s="3041"/>
      <c r="AR134" s="3041"/>
      <c r="AS134" s="3041"/>
      <c r="AT134" s="3042"/>
      <c r="AU134" s="4488"/>
      <c r="AV134" s="147"/>
      <c r="AW134" s="4504">
        <f t="shared" si="309"/>
        <v>0</v>
      </c>
      <c r="AX134" s="4504">
        <f t="shared" si="280"/>
        <v>0</v>
      </c>
      <c r="AY134" s="4504">
        <f t="shared" si="281"/>
        <v>0</v>
      </c>
      <c r="AZ134" s="4504">
        <f t="shared" si="282"/>
        <v>0</v>
      </c>
      <c r="BA134" s="4504">
        <f t="shared" si="283"/>
        <v>0</v>
      </c>
      <c r="BB134" s="4504">
        <f t="shared" si="284"/>
        <v>0</v>
      </c>
      <c r="BC134" s="147"/>
      <c r="BD134" s="4504">
        <f t="shared" si="285"/>
        <v>0</v>
      </c>
      <c r="BE134" s="4504">
        <f t="shared" si="286"/>
        <v>0</v>
      </c>
      <c r="BF134" s="4504">
        <f t="shared" si="287"/>
        <v>0</v>
      </c>
      <c r="BG134" s="4504">
        <f t="shared" si="288"/>
        <v>0</v>
      </c>
      <c r="BH134" s="4504">
        <f t="shared" si="289"/>
        <v>0</v>
      </c>
      <c r="BI134" s="4504">
        <f t="shared" si="290"/>
        <v>0</v>
      </c>
      <c r="BJ134" s="147"/>
      <c r="BK134" s="4504">
        <f t="shared" si="291"/>
        <v>0</v>
      </c>
      <c r="BL134" s="4504">
        <f t="shared" si="292"/>
        <v>0</v>
      </c>
      <c r="BM134" s="4504">
        <f t="shared" si="293"/>
        <v>0</v>
      </c>
      <c r="BN134" s="4504">
        <f t="shared" si="294"/>
        <v>0</v>
      </c>
      <c r="BO134" s="4504">
        <f t="shared" si="295"/>
        <v>0</v>
      </c>
      <c r="BP134" s="4504">
        <f t="shared" si="296"/>
        <v>0</v>
      </c>
      <c r="BQ134" s="147"/>
      <c r="BR134" s="4504">
        <f t="shared" si="297"/>
        <v>0</v>
      </c>
      <c r="BS134" s="4504">
        <f t="shared" si="298"/>
        <v>0</v>
      </c>
      <c r="BT134" s="4504">
        <f t="shared" si="299"/>
        <v>0</v>
      </c>
      <c r="BU134" s="4504">
        <f t="shared" si="300"/>
        <v>0</v>
      </c>
      <c r="BV134" s="4504">
        <f t="shared" si="301"/>
        <v>0</v>
      </c>
      <c r="BW134" s="4504">
        <f t="shared" si="302"/>
        <v>0</v>
      </c>
      <c r="BX134" s="147"/>
      <c r="BY134" s="4504">
        <f t="shared" si="303"/>
        <v>0</v>
      </c>
      <c r="BZ134" s="4504">
        <f t="shared" si="304"/>
        <v>0</v>
      </c>
      <c r="CA134" s="4504">
        <f t="shared" si="305"/>
        <v>0</v>
      </c>
      <c r="CB134" s="4504">
        <f t="shared" si="306"/>
        <v>0</v>
      </c>
      <c r="CC134" s="4504">
        <f t="shared" si="307"/>
        <v>0</v>
      </c>
      <c r="CD134" s="4504">
        <f t="shared" si="308"/>
        <v>0</v>
      </c>
    </row>
    <row r="135" spans="1:82" s="40" customFormat="1">
      <c r="A135" s="2990">
        <v>3</v>
      </c>
      <c r="B135" s="2993">
        <v>911301</v>
      </c>
      <c r="C135" s="2995">
        <v>0.1</v>
      </c>
      <c r="D135" s="2994" t="s">
        <v>427</v>
      </c>
      <c r="E135" s="3035"/>
      <c r="F135" s="415"/>
      <c r="G135" s="413"/>
      <c r="H135" s="413"/>
      <c r="I135" s="413"/>
      <c r="J135" s="413"/>
      <c r="K135" s="271"/>
      <c r="L135" s="3035"/>
      <c r="M135" s="415"/>
      <c r="N135" s="413"/>
      <c r="O135" s="413"/>
      <c r="P135" s="413"/>
      <c r="Q135" s="413"/>
      <c r="R135" s="271"/>
      <c r="S135" s="3035"/>
      <c r="T135" s="415"/>
      <c r="U135" s="413"/>
      <c r="V135" s="413"/>
      <c r="W135" s="413"/>
      <c r="X135" s="413"/>
      <c r="Y135" s="414"/>
      <c r="Z135" s="3035"/>
      <c r="AA135" s="415"/>
      <c r="AB135" s="413"/>
      <c r="AC135" s="413"/>
      <c r="AD135" s="413"/>
      <c r="AE135" s="413"/>
      <c r="AF135" s="414"/>
      <c r="AG135" s="3035"/>
      <c r="AH135" s="415"/>
      <c r="AI135" s="413"/>
      <c r="AJ135" s="413"/>
      <c r="AK135" s="413"/>
      <c r="AL135" s="413"/>
      <c r="AM135" s="414"/>
      <c r="AN135" s="3035"/>
      <c r="AO135" s="3040"/>
      <c r="AP135" s="3041"/>
      <c r="AQ135" s="3041"/>
      <c r="AR135" s="3041"/>
      <c r="AS135" s="3041"/>
      <c r="AT135" s="3042"/>
      <c r="AU135" s="4488"/>
      <c r="AV135" s="147"/>
      <c r="AW135" s="4504">
        <f t="shared" si="309"/>
        <v>0</v>
      </c>
      <c r="AX135" s="4504">
        <f t="shared" si="280"/>
        <v>0</v>
      </c>
      <c r="AY135" s="4504">
        <f t="shared" si="281"/>
        <v>0</v>
      </c>
      <c r="AZ135" s="4504">
        <f t="shared" si="282"/>
        <v>0</v>
      </c>
      <c r="BA135" s="4504">
        <f t="shared" si="283"/>
        <v>0</v>
      </c>
      <c r="BB135" s="4504">
        <f t="shared" si="284"/>
        <v>0</v>
      </c>
      <c r="BC135" s="147"/>
      <c r="BD135" s="4504">
        <f t="shared" si="285"/>
        <v>0</v>
      </c>
      <c r="BE135" s="4504">
        <f t="shared" si="286"/>
        <v>0</v>
      </c>
      <c r="BF135" s="4504">
        <f t="shared" si="287"/>
        <v>0</v>
      </c>
      <c r="BG135" s="4504">
        <f t="shared" si="288"/>
        <v>0</v>
      </c>
      <c r="BH135" s="4504">
        <f t="shared" si="289"/>
        <v>0</v>
      </c>
      <c r="BI135" s="4504">
        <f t="shared" si="290"/>
        <v>0</v>
      </c>
      <c r="BJ135" s="147"/>
      <c r="BK135" s="4504">
        <f t="shared" si="291"/>
        <v>0</v>
      </c>
      <c r="BL135" s="4504">
        <f t="shared" si="292"/>
        <v>0</v>
      </c>
      <c r="BM135" s="4504">
        <f t="shared" si="293"/>
        <v>0</v>
      </c>
      <c r="BN135" s="4504">
        <f t="shared" si="294"/>
        <v>0</v>
      </c>
      <c r="BO135" s="4504">
        <f t="shared" si="295"/>
        <v>0</v>
      </c>
      <c r="BP135" s="4504">
        <f t="shared" si="296"/>
        <v>0</v>
      </c>
      <c r="BQ135" s="147"/>
      <c r="BR135" s="4504">
        <f t="shared" si="297"/>
        <v>0</v>
      </c>
      <c r="BS135" s="4504">
        <f t="shared" si="298"/>
        <v>0</v>
      </c>
      <c r="BT135" s="4504">
        <f t="shared" si="299"/>
        <v>0</v>
      </c>
      <c r="BU135" s="4504">
        <f t="shared" si="300"/>
        <v>0</v>
      </c>
      <c r="BV135" s="4504">
        <f t="shared" si="301"/>
        <v>0</v>
      </c>
      <c r="BW135" s="4504">
        <f t="shared" si="302"/>
        <v>0</v>
      </c>
      <c r="BX135" s="147"/>
      <c r="BY135" s="4504">
        <f t="shared" si="303"/>
        <v>0</v>
      </c>
      <c r="BZ135" s="4504">
        <f t="shared" si="304"/>
        <v>0</v>
      </c>
      <c r="CA135" s="4504">
        <f t="shared" si="305"/>
        <v>0</v>
      </c>
      <c r="CB135" s="4504">
        <f t="shared" si="306"/>
        <v>0</v>
      </c>
      <c r="CC135" s="4504">
        <f t="shared" si="307"/>
        <v>0</v>
      </c>
      <c r="CD135" s="4504">
        <f t="shared" si="308"/>
        <v>0</v>
      </c>
    </row>
    <row r="136" spans="1:82" s="40" customFormat="1">
      <c r="A136" s="2990">
        <v>4</v>
      </c>
      <c r="B136" s="2993">
        <v>911302</v>
      </c>
      <c r="C136" s="2995">
        <v>0.1</v>
      </c>
      <c r="D136" s="2994" t="s">
        <v>428</v>
      </c>
      <c r="E136" s="3035"/>
      <c r="F136" s="415"/>
      <c r="G136" s="413"/>
      <c r="H136" s="413"/>
      <c r="I136" s="413"/>
      <c r="J136" s="413"/>
      <c r="K136" s="271"/>
      <c r="L136" s="3035"/>
      <c r="M136" s="415"/>
      <c r="N136" s="413"/>
      <c r="O136" s="413"/>
      <c r="P136" s="413"/>
      <c r="Q136" s="413"/>
      <c r="R136" s="271"/>
      <c r="S136" s="3035"/>
      <c r="T136" s="415"/>
      <c r="U136" s="413"/>
      <c r="V136" s="413"/>
      <c r="W136" s="413"/>
      <c r="X136" s="413"/>
      <c r="Y136" s="414"/>
      <c r="Z136" s="3035"/>
      <c r="AA136" s="415"/>
      <c r="AB136" s="413"/>
      <c r="AC136" s="413"/>
      <c r="AD136" s="413"/>
      <c r="AE136" s="413"/>
      <c r="AF136" s="414"/>
      <c r="AG136" s="3035"/>
      <c r="AH136" s="415"/>
      <c r="AI136" s="413"/>
      <c r="AJ136" s="413"/>
      <c r="AK136" s="413"/>
      <c r="AL136" s="413"/>
      <c r="AM136" s="414"/>
      <c r="AN136" s="3035"/>
      <c r="AO136" s="3040"/>
      <c r="AP136" s="3041"/>
      <c r="AQ136" s="3041"/>
      <c r="AR136" s="3041"/>
      <c r="AS136" s="3041"/>
      <c r="AT136" s="3042"/>
      <c r="AU136" s="4488"/>
      <c r="AV136" s="147"/>
      <c r="AW136" s="4504">
        <f t="shared" si="309"/>
        <v>0</v>
      </c>
      <c r="AX136" s="4504">
        <f t="shared" si="280"/>
        <v>0</v>
      </c>
      <c r="AY136" s="4504">
        <f t="shared" si="281"/>
        <v>0</v>
      </c>
      <c r="AZ136" s="4504">
        <f t="shared" si="282"/>
        <v>0</v>
      </c>
      <c r="BA136" s="4504">
        <f t="shared" si="283"/>
        <v>0</v>
      </c>
      <c r="BB136" s="4504">
        <f t="shared" si="284"/>
        <v>0</v>
      </c>
      <c r="BC136" s="147"/>
      <c r="BD136" s="4504">
        <f t="shared" si="285"/>
        <v>0</v>
      </c>
      <c r="BE136" s="4504">
        <f t="shared" si="286"/>
        <v>0</v>
      </c>
      <c r="BF136" s="4504">
        <f t="shared" si="287"/>
        <v>0</v>
      </c>
      <c r="BG136" s="4504">
        <f t="shared" si="288"/>
        <v>0</v>
      </c>
      <c r="BH136" s="4504">
        <f t="shared" si="289"/>
        <v>0</v>
      </c>
      <c r="BI136" s="4504">
        <f t="shared" si="290"/>
        <v>0</v>
      </c>
      <c r="BJ136" s="147"/>
      <c r="BK136" s="4504">
        <f t="shared" si="291"/>
        <v>0</v>
      </c>
      <c r="BL136" s="4504">
        <f t="shared" si="292"/>
        <v>0</v>
      </c>
      <c r="BM136" s="4504">
        <f t="shared" si="293"/>
        <v>0</v>
      </c>
      <c r="BN136" s="4504">
        <f t="shared" si="294"/>
        <v>0</v>
      </c>
      <c r="BO136" s="4504">
        <f t="shared" si="295"/>
        <v>0</v>
      </c>
      <c r="BP136" s="4504">
        <f t="shared" si="296"/>
        <v>0</v>
      </c>
      <c r="BQ136" s="147"/>
      <c r="BR136" s="4504">
        <f t="shared" si="297"/>
        <v>0</v>
      </c>
      <c r="BS136" s="4504">
        <f t="shared" si="298"/>
        <v>0</v>
      </c>
      <c r="BT136" s="4504">
        <f t="shared" si="299"/>
        <v>0</v>
      </c>
      <c r="BU136" s="4504">
        <f t="shared" si="300"/>
        <v>0</v>
      </c>
      <c r="BV136" s="4504">
        <f t="shared" si="301"/>
        <v>0</v>
      </c>
      <c r="BW136" s="4504">
        <f t="shared" si="302"/>
        <v>0</v>
      </c>
      <c r="BX136" s="147"/>
      <c r="BY136" s="4504">
        <f t="shared" si="303"/>
        <v>0</v>
      </c>
      <c r="BZ136" s="4504">
        <f t="shared" si="304"/>
        <v>0</v>
      </c>
      <c r="CA136" s="4504">
        <f t="shared" si="305"/>
        <v>0</v>
      </c>
      <c r="CB136" s="4504">
        <f t="shared" si="306"/>
        <v>0</v>
      </c>
      <c r="CC136" s="4504">
        <f t="shared" si="307"/>
        <v>0</v>
      </c>
      <c r="CD136" s="4504">
        <f t="shared" si="308"/>
        <v>0</v>
      </c>
    </row>
    <row r="137" spans="1:82" s="40" customFormat="1">
      <c r="A137" s="2990">
        <v>5</v>
      </c>
      <c r="B137" s="2993" t="s">
        <v>714</v>
      </c>
      <c r="C137" s="2995">
        <v>0.1</v>
      </c>
      <c r="D137" s="2590" t="s">
        <v>407</v>
      </c>
      <c r="E137" s="3035"/>
      <c r="F137" s="415"/>
      <c r="G137" s="413"/>
      <c r="H137" s="413"/>
      <c r="I137" s="413"/>
      <c r="J137" s="413"/>
      <c r="K137" s="271"/>
      <c r="L137" s="3035"/>
      <c r="M137" s="415"/>
      <c r="N137" s="413"/>
      <c r="O137" s="413"/>
      <c r="P137" s="413"/>
      <c r="Q137" s="413"/>
      <c r="R137" s="271"/>
      <c r="S137" s="3035"/>
      <c r="T137" s="415"/>
      <c r="U137" s="413"/>
      <c r="V137" s="413"/>
      <c r="W137" s="413"/>
      <c r="X137" s="413"/>
      <c r="Y137" s="414"/>
      <c r="Z137" s="3035"/>
      <c r="AA137" s="415"/>
      <c r="AB137" s="413"/>
      <c r="AC137" s="413"/>
      <c r="AD137" s="413"/>
      <c r="AE137" s="413"/>
      <c r="AF137" s="414"/>
      <c r="AG137" s="3035"/>
      <c r="AH137" s="415"/>
      <c r="AI137" s="413"/>
      <c r="AJ137" s="413"/>
      <c r="AK137" s="413"/>
      <c r="AL137" s="413"/>
      <c r="AM137" s="414"/>
      <c r="AN137" s="3035"/>
      <c r="AO137" s="3040"/>
      <c r="AP137" s="3041"/>
      <c r="AQ137" s="3041"/>
      <c r="AR137" s="3041"/>
      <c r="AS137" s="3041"/>
      <c r="AT137" s="3042"/>
      <c r="AU137" s="4488"/>
      <c r="AV137" s="147"/>
      <c r="AW137" s="4504">
        <f t="shared" si="309"/>
        <v>0</v>
      </c>
      <c r="AX137" s="4504">
        <f t="shared" si="280"/>
        <v>0</v>
      </c>
      <c r="AY137" s="4504">
        <f t="shared" si="281"/>
        <v>0</v>
      </c>
      <c r="AZ137" s="4504">
        <f t="shared" si="282"/>
        <v>0</v>
      </c>
      <c r="BA137" s="4504">
        <f t="shared" si="283"/>
        <v>0</v>
      </c>
      <c r="BB137" s="4504">
        <f t="shared" si="284"/>
        <v>0</v>
      </c>
      <c r="BC137" s="147"/>
      <c r="BD137" s="4504">
        <f t="shared" si="285"/>
        <v>0</v>
      </c>
      <c r="BE137" s="4504">
        <f t="shared" si="286"/>
        <v>0</v>
      </c>
      <c r="BF137" s="4504">
        <f t="shared" si="287"/>
        <v>0</v>
      </c>
      <c r="BG137" s="4504">
        <f t="shared" si="288"/>
        <v>0</v>
      </c>
      <c r="BH137" s="4504">
        <f t="shared" si="289"/>
        <v>0</v>
      </c>
      <c r="BI137" s="4504">
        <f t="shared" si="290"/>
        <v>0</v>
      </c>
      <c r="BJ137" s="147"/>
      <c r="BK137" s="4504">
        <f t="shared" si="291"/>
        <v>0</v>
      </c>
      <c r="BL137" s="4504">
        <f t="shared" si="292"/>
        <v>0</v>
      </c>
      <c r="BM137" s="4504">
        <f t="shared" si="293"/>
        <v>0</v>
      </c>
      <c r="BN137" s="4504">
        <f t="shared" si="294"/>
        <v>0</v>
      </c>
      <c r="BO137" s="4504">
        <f t="shared" si="295"/>
        <v>0</v>
      </c>
      <c r="BP137" s="4504">
        <f t="shared" si="296"/>
        <v>0</v>
      </c>
      <c r="BQ137" s="147"/>
      <c r="BR137" s="4504">
        <f t="shared" si="297"/>
        <v>0</v>
      </c>
      <c r="BS137" s="4504">
        <f t="shared" si="298"/>
        <v>0</v>
      </c>
      <c r="BT137" s="4504">
        <f t="shared" si="299"/>
        <v>0</v>
      </c>
      <c r="BU137" s="4504">
        <f t="shared" si="300"/>
        <v>0</v>
      </c>
      <c r="BV137" s="4504">
        <f t="shared" si="301"/>
        <v>0</v>
      </c>
      <c r="BW137" s="4504">
        <f t="shared" si="302"/>
        <v>0</v>
      </c>
      <c r="BX137" s="147"/>
      <c r="BY137" s="4504">
        <f t="shared" si="303"/>
        <v>0</v>
      </c>
      <c r="BZ137" s="4504">
        <f t="shared" si="304"/>
        <v>0</v>
      </c>
      <c r="CA137" s="4504">
        <f t="shared" si="305"/>
        <v>0</v>
      </c>
      <c r="CB137" s="4504">
        <f t="shared" si="306"/>
        <v>0</v>
      </c>
      <c r="CC137" s="4504">
        <f t="shared" si="307"/>
        <v>0</v>
      </c>
      <c r="CD137" s="4504">
        <f t="shared" si="308"/>
        <v>0</v>
      </c>
    </row>
    <row r="138" spans="1:82" s="40" customFormat="1">
      <c r="A138" s="2990">
        <v>6</v>
      </c>
      <c r="B138" s="2993" t="s">
        <v>715</v>
      </c>
      <c r="C138" s="2995">
        <v>0.1</v>
      </c>
      <c r="D138" s="2590" t="s">
        <v>408</v>
      </c>
      <c r="E138" s="3035"/>
      <c r="F138" s="415"/>
      <c r="G138" s="413"/>
      <c r="H138" s="413"/>
      <c r="I138" s="413"/>
      <c r="J138" s="413"/>
      <c r="K138" s="271"/>
      <c r="L138" s="3035"/>
      <c r="M138" s="415"/>
      <c r="N138" s="413"/>
      <c r="O138" s="413"/>
      <c r="P138" s="413"/>
      <c r="Q138" s="413"/>
      <c r="R138" s="271"/>
      <c r="S138" s="3035"/>
      <c r="T138" s="415"/>
      <c r="U138" s="413"/>
      <c r="V138" s="413"/>
      <c r="W138" s="413"/>
      <c r="X138" s="413"/>
      <c r="Y138" s="414"/>
      <c r="Z138" s="3035"/>
      <c r="AA138" s="415"/>
      <c r="AB138" s="413"/>
      <c r="AC138" s="413"/>
      <c r="AD138" s="413"/>
      <c r="AE138" s="413"/>
      <c r="AF138" s="414"/>
      <c r="AG138" s="3035"/>
      <c r="AH138" s="415"/>
      <c r="AI138" s="413"/>
      <c r="AJ138" s="413"/>
      <c r="AK138" s="413"/>
      <c r="AL138" s="413"/>
      <c r="AM138" s="414"/>
      <c r="AN138" s="3035"/>
      <c r="AO138" s="3040"/>
      <c r="AP138" s="3041"/>
      <c r="AQ138" s="3041"/>
      <c r="AR138" s="3041"/>
      <c r="AS138" s="3041"/>
      <c r="AT138" s="3042"/>
      <c r="AU138" s="4488"/>
      <c r="AV138" s="147"/>
      <c r="AW138" s="4504">
        <f t="shared" si="309"/>
        <v>0</v>
      </c>
      <c r="AX138" s="4504">
        <f t="shared" si="280"/>
        <v>0</v>
      </c>
      <c r="AY138" s="4504">
        <f t="shared" si="281"/>
        <v>0</v>
      </c>
      <c r="AZ138" s="4504">
        <f t="shared" si="282"/>
        <v>0</v>
      </c>
      <c r="BA138" s="4504">
        <f t="shared" si="283"/>
        <v>0</v>
      </c>
      <c r="BB138" s="4504">
        <f t="shared" si="284"/>
        <v>0</v>
      </c>
      <c r="BC138" s="147"/>
      <c r="BD138" s="4504">
        <f t="shared" si="285"/>
        <v>0</v>
      </c>
      <c r="BE138" s="4504">
        <f t="shared" si="286"/>
        <v>0</v>
      </c>
      <c r="BF138" s="4504">
        <f t="shared" si="287"/>
        <v>0</v>
      </c>
      <c r="BG138" s="4504">
        <f t="shared" si="288"/>
        <v>0</v>
      </c>
      <c r="BH138" s="4504">
        <f t="shared" si="289"/>
        <v>0</v>
      </c>
      <c r="BI138" s="4504">
        <f t="shared" si="290"/>
        <v>0</v>
      </c>
      <c r="BJ138" s="147"/>
      <c r="BK138" s="4504">
        <f t="shared" si="291"/>
        <v>0</v>
      </c>
      <c r="BL138" s="4504">
        <f t="shared" si="292"/>
        <v>0</v>
      </c>
      <c r="BM138" s="4504">
        <f t="shared" si="293"/>
        <v>0</v>
      </c>
      <c r="BN138" s="4504">
        <f t="shared" si="294"/>
        <v>0</v>
      </c>
      <c r="BO138" s="4504">
        <f t="shared" si="295"/>
        <v>0</v>
      </c>
      <c r="BP138" s="4504">
        <f t="shared" si="296"/>
        <v>0</v>
      </c>
      <c r="BQ138" s="147"/>
      <c r="BR138" s="4504">
        <f t="shared" si="297"/>
        <v>0</v>
      </c>
      <c r="BS138" s="4504">
        <f t="shared" si="298"/>
        <v>0</v>
      </c>
      <c r="BT138" s="4504">
        <f t="shared" si="299"/>
        <v>0</v>
      </c>
      <c r="BU138" s="4504">
        <f t="shared" si="300"/>
        <v>0</v>
      </c>
      <c r="BV138" s="4504">
        <f t="shared" si="301"/>
        <v>0</v>
      </c>
      <c r="BW138" s="4504">
        <f t="shared" si="302"/>
        <v>0</v>
      </c>
      <c r="BX138" s="147"/>
      <c r="BY138" s="4504">
        <f t="shared" si="303"/>
        <v>0</v>
      </c>
      <c r="BZ138" s="4504">
        <f t="shared" si="304"/>
        <v>0</v>
      </c>
      <c r="CA138" s="4504">
        <f t="shared" si="305"/>
        <v>0</v>
      </c>
      <c r="CB138" s="4504">
        <f t="shared" si="306"/>
        <v>0</v>
      </c>
      <c r="CC138" s="4504">
        <f t="shared" si="307"/>
        <v>0</v>
      </c>
      <c r="CD138" s="4504">
        <f t="shared" si="308"/>
        <v>0</v>
      </c>
    </row>
    <row r="139" spans="1:82" s="40" customFormat="1" ht="24">
      <c r="A139" s="2990">
        <v>7</v>
      </c>
      <c r="B139" s="2993" t="s">
        <v>706</v>
      </c>
      <c r="C139" s="2995">
        <v>0.1</v>
      </c>
      <c r="D139" s="2590" t="s">
        <v>695</v>
      </c>
      <c r="E139" s="3035"/>
      <c r="F139" s="415"/>
      <c r="G139" s="413"/>
      <c r="H139" s="413"/>
      <c r="I139" s="413"/>
      <c r="J139" s="413"/>
      <c r="K139" s="271"/>
      <c r="L139" s="3035"/>
      <c r="M139" s="415"/>
      <c r="N139" s="413"/>
      <c r="O139" s="413"/>
      <c r="P139" s="413"/>
      <c r="Q139" s="413"/>
      <c r="R139" s="271"/>
      <c r="S139" s="3035"/>
      <c r="T139" s="415"/>
      <c r="U139" s="413"/>
      <c r="V139" s="413"/>
      <c r="W139" s="413"/>
      <c r="X139" s="413"/>
      <c r="Y139" s="414"/>
      <c r="Z139" s="3035"/>
      <c r="AA139" s="415"/>
      <c r="AB139" s="413"/>
      <c r="AC139" s="413"/>
      <c r="AD139" s="413"/>
      <c r="AE139" s="413"/>
      <c r="AF139" s="414"/>
      <c r="AG139" s="3035"/>
      <c r="AH139" s="415"/>
      <c r="AI139" s="413"/>
      <c r="AJ139" s="413"/>
      <c r="AK139" s="413"/>
      <c r="AL139" s="413"/>
      <c r="AM139" s="414"/>
      <c r="AN139" s="3035"/>
      <c r="AO139" s="3040"/>
      <c r="AP139" s="3041"/>
      <c r="AQ139" s="3041"/>
      <c r="AR139" s="3041"/>
      <c r="AS139" s="3041"/>
      <c r="AT139" s="3042"/>
      <c r="AU139" s="4488"/>
      <c r="AV139" s="147"/>
      <c r="AW139" s="4504">
        <f t="shared" si="309"/>
        <v>0</v>
      </c>
      <c r="AX139" s="4504">
        <f t="shared" si="280"/>
        <v>0</v>
      </c>
      <c r="AY139" s="4504">
        <f t="shared" si="281"/>
        <v>0</v>
      </c>
      <c r="AZ139" s="4504">
        <f t="shared" si="282"/>
        <v>0</v>
      </c>
      <c r="BA139" s="4504">
        <f t="shared" si="283"/>
        <v>0</v>
      </c>
      <c r="BB139" s="4504">
        <f t="shared" si="284"/>
        <v>0</v>
      </c>
      <c r="BC139" s="147"/>
      <c r="BD139" s="4504">
        <f t="shared" si="285"/>
        <v>0</v>
      </c>
      <c r="BE139" s="4504">
        <f t="shared" si="286"/>
        <v>0</v>
      </c>
      <c r="BF139" s="4504">
        <f t="shared" si="287"/>
        <v>0</v>
      </c>
      <c r="BG139" s="4504">
        <f t="shared" si="288"/>
        <v>0</v>
      </c>
      <c r="BH139" s="4504">
        <f t="shared" si="289"/>
        <v>0</v>
      </c>
      <c r="BI139" s="4504">
        <f t="shared" si="290"/>
        <v>0</v>
      </c>
      <c r="BJ139" s="147"/>
      <c r="BK139" s="4504">
        <f t="shared" si="291"/>
        <v>0</v>
      </c>
      <c r="BL139" s="4504">
        <f t="shared" si="292"/>
        <v>0</v>
      </c>
      <c r="BM139" s="4504">
        <f t="shared" si="293"/>
        <v>0</v>
      </c>
      <c r="BN139" s="4504">
        <f t="shared" si="294"/>
        <v>0</v>
      </c>
      <c r="BO139" s="4504">
        <f t="shared" si="295"/>
        <v>0</v>
      </c>
      <c r="BP139" s="4504">
        <f t="shared" si="296"/>
        <v>0</v>
      </c>
      <c r="BQ139" s="147"/>
      <c r="BR139" s="4504">
        <f t="shared" si="297"/>
        <v>0</v>
      </c>
      <c r="BS139" s="4504">
        <f t="shared" si="298"/>
        <v>0</v>
      </c>
      <c r="BT139" s="4504">
        <f t="shared" si="299"/>
        <v>0</v>
      </c>
      <c r="BU139" s="4504">
        <f t="shared" si="300"/>
        <v>0</v>
      </c>
      <c r="BV139" s="4504">
        <f t="shared" si="301"/>
        <v>0</v>
      </c>
      <c r="BW139" s="4504">
        <f t="shared" si="302"/>
        <v>0</v>
      </c>
      <c r="BX139" s="147"/>
      <c r="BY139" s="4504">
        <f t="shared" si="303"/>
        <v>0</v>
      </c>
      <c r="BZ139" s="4504">
        <f t="shared" si="304"/>
        <v>0</v>
      </c>
      <c r="CA139" s="4504">
        <f t="shared" si="305"/>
        <v>0</v>
      </c>
      <c r="CB139" s="4504">
        <f t="shared" si="306"/>
        <v>0</v>
      </c>
      <c r="CC139" s="4504">
        <f t="shared" si="307"/>
        <v>0</v>
      </c>
      <c r="CD139" s="4504">
        <f t="shared" si="308"/>
        <v>0</v>
      </c>
    </row>
    <row r="140" spans="1:82" s="40" customFormat="1">
      <c r="A140" s="2990">
        <v>8</v>
      </c>
      <c r="B140" s="2993" t="s">
        <v>716</v>
      </c>
      <c r="C140" s="2995">
        <v>0.1</v>
      </c>
      <c r="D140" s="2590" t="s">
        <v>713</v>
      </c>
      <c r="E140" s="3035"/>
      <c r="F140" s="415"/>
      <c r="G140" s="413"/>
      <c r="H140" s="413"/>
      <c r="I140" s="413"/>
      <c r="J140" s="413"/>
      <c r="K140" s="271"/>
      <c r="L140" s="3035"/>
      <c r="M140" s="415"/>
      <c r="N140" s="413"/>
      <c r="O140" s="413"/>
      <c r="P140" s="413"/>
      <c r="Q140" s="413"/>
      <c r="R140" s="271"/>
      <c r="S140" s="3035"/>
      <c r="T140" s="415"/>
      <c r="U140" s="413"/>
      <c r="V140" s="413"/>
      <c r="W140" s="413"/>
      <c r="X140" s="413"/>
      <c r="Y140" s="414"/>
      <c r="Z140" s="3035"/>
      <c r="AA140" s="415"/>
      <c r="AB140" s="413"/>
      <c r="AC140" s="413"/>
      <c r="AD140" s="413"/>
      <c r="AE140" s="413"/>
      <c r="AF140" s="414"/>
      <c r="AG140" s="3035"/>
      <c r="AH140" s="415"/>
      <c r="AI140" s="413"/>
      <c r="AJ140" s="413"/>
      <c r="AK140" s="413"/>
      <c r="AL140" s="413"/>
      <c r="AM140" s="414"/>
      <c r="AN140" s="3035"/>
      <c r="AO140" s="3040"/>
      <c r="AP140" s="3041"/>
      <c r="AQ140" s="3041"/>
      <c r="AR140" s="3041"/>
      <c r="AS140" s="3041"/>
      <c r="AT140" s="3042"/>
      <c r="AU140" s="4488"/>
      <c r="AV140" s="147"/>
      <c r="AW140" s="4504">
        <f t="shared" si="309"/>
        <v>0</v>
      </c>
      <c r="AX140" s="4504">
        <f t="shared" si="280"/>
        <v>0</v>
      </c>
      <c r="AY140" s="4504">
        <f t="shared" si="281"/>
        <v>0</v>
      </c>
      <c r="AZ140" s="4504">
        <f t="shared" si="282"/>
        <v>0</v>
      </c>
      <c r="BA140" s="4504">
        <f t="shared" si="283"/>
        <v>0</v>
      </c>
      <c r="BB140" s="4504">
        <f t="shared" si="284"/>
        <v>0</v>
      </c>
      <c r="BC140" s="147"/>
      <c r="BD140" s="4504">
        <f t="shared" si="285"/>
        <v>0</v>
      </c>
      <c r="BE140" s="4504">
        <f t="shared" si="286"/>
        <v>0</v>
      </c>
      <c r="BF140" s="4504">
        <f t="shared" si="287"/>
        <v>0</v>
      </c>
      <c r="BG140" s="4504">
        <f t="shared" si="288"/>
        <v>0</v>
      </c>
      <c r="BH140" s="4504">
        <f t="shared" si="289"/>
        <v>0</v>
      </c>
      <c r="BI140" s="4504">
        <f t="shared" si="290"/>
        <v>0</v>
      </c>
      <c r="BJ140" s="147"/>
      <c r="BK140" s="4504">
        <f t="shared" si="291"/>
        <v>0</v>
      </c>
      <c r="BL140" s="4504">
        <f t="shared" si="292"/>
        <v>0</v>
      </c>
      <c r="BM140" s="4504">
        <f t="shared" si="293"/>
        <v>0</v>
      </c>
      <c r="BN140" s="4504">
        <f t="shared" si="294"/>
        <v>0</v>
      </c>
      <c r="BO140" s="4504">
        <f t="shared" si="295"/>
        <v>0</v>
      </c>
      <c r="BP140" s="4504">
        <f t="shared" si="296"/>
        <v>0</v>
      </c>
      <c r="BQ140" s="147"/>
      <c r="BR140" s="4504">
        <f t="shared" si="297"/>
        <v>0</v>
      </c>
      <c r="BS140" s="4504">
        <f t="shared" si="298"/>
        <v>0</v>
      </c>
      <c r="BT140" s="4504">
        <f t="shared" si="299"/>
        <v>0</v>
      </c>
      <c r="BU140" s="4504">
        <f t="shared" si="300"/>
        <v>0</v>
      </c>
      <c r="BV140" s="4504">
        <f t="shared" si="301"/>
        <v>0</v>
      </c>
      <c r="BW140" s="4504">
        <f t="shared" si="302"/>
        <v>0</v>
      </c>
      <c r="BX140" s="147"/>
      <c r="BY140" s="4504">
        <f t="shared" si="303"/>
        <v>0</v>
      </c>
      <c r="BZ140" s="4504">
        <f t="shared" si="304"/>
        <v>0</v>
      </c>
      <c r="CA140" s="4504">
        <f t="shared" si="305"/>
        <v>0</v>
      </c>
      <c r="CB140" s="4504">
        <f t="shared" si="306"/>
        <v>0</v>
      </c>
      <c r="CC140" s="4504">
        <f t="shared" si="307"/>
        <v>0</v>
      </c>
      <c r="CD140" s="4504">
        <f t="shared" si="308"/>
        <v>0</v>
      </c>
    </row>
    <row r="141" spans="1:82" s="40" customFormat="1">
      <c r="A141" s="2996">
        <v>9</v>
      </c>
      <c r="B141" s="2993">
        <v>911306</v>
      </c>
      <c r="C141" s="2995">
        <v>0.1</v>
      </c>
      <c r="D141" s="2994" t="s">
        <v>1032</v>
      </c>
      <c r="E141" s="3035"/>
      <c r="F141" s="415"/>
      <c r="G141" s="413"/>
      <c r="H141" s="413"/>
      <c r="I141" s="413"/>
      <c r="J141" s="413"/>
      <c r="K141" s="271"/>
      <c r="L141" s="3035"/>
      <c r="M141" s="415"/>
      <c r="N141" s="413"/>
      <c r="O141" s="413"/>
      <c r="P141" s="413"/>
      <c r="Q141" s="413"/>
      <c r="R141" s="271"/>
      <c r="S141" s="3035"/>
      <c r="T141" s="415"/>
      <c r="U141" s="413"/>
      <c r="V141" s="413"/>
      <c r="W141" s="413"/>
      <c r="X141" s="413"/>
      <c r="Y141" s="414"/>
      <c r="Z141" s="3035"/>
      <c r="AA141" s="415"/>
      <c r="AB141" s="413"/>
      <c r="AC141" s="413"/>
      <c r="AD141" s="413"/>
      <c r="AE141" s="413"/>
      <c r="AF141" s="414"/>
      <c r="AG141" s="3035"/>
      <c r="AH141" s="415"/>
      <c r="AI141" s="413"/>
      <c r="AJ141" s="413"/>
      <c r="AK141" s="413"/>
      <c r="AL141" s="413"/>
      <c r="AM141" s="414"/>
      <c r="AN141" s="3035"/>
      <c r="AO141" s="3040"/>
      <c r="AP141" s="3041"/>
      <c r="AQ141" s="3041"/>
      <c r="AR141" s="3041"/>
      <c r="AS141" s="3041"/>
      <c r="AT141" s="3042"/>
      <c r="AU141" s="4488"/>
      <c r="AV141" s="147"/>
      <c r="AW141" s="4504">
        <f t="shared" si="309"/>
        <v>0</v>
      </c>
      <c r="AX141" s="4504">
        <f t="shared" si="280"/>
        <v>0</v>
      </c>
      <c r="AY141" s="4504">
        <f t="shared" si="281"/>
        <v>0</v>
      </c>
      <c r="AZ141" s="4504">
        <f t="shared" si="282"/>
        <v>0</v>
      </c>
      <c r="BA141" s="4504">
        <f t="shared" si="283"/>
        <v>0</v>
      </c>
      <c r="BB141" s="4504">
        <f t="shared" si="284"/>
        <v>0</v>
      </c>
      <c r="BC141" s="147"/>
      <c r="BD141" s="4504">
        <f t="shared" si="285"/>
        <v>0</v>
      </c>
      <c r="BE141" s="4504">
        <f t="shared" si="286"/>
        <v>0</v>
      </c>
      <c r="BF141" s="4504">
        <f t="shared" si="287"/>
        <v>0</v>
      </c>
      <c r="BG141" s="4504">
        <f t="shared" si="288"/>
        <v>0</v>
      </c>
      <c r="BH141" s="4504">
        <f t="shared" si="289"/>
        <v>0</v>
      </c>
      <c r="BI141" s="4504">
        <f t="shared" si="290"/>
        <v>0</v>
      </c>
      <c r="BJ141" s="147"/>
      <c r="BK141" s="4504">
        <f t="shared" si="291"/>
        <v>0</v>
      </c>
      <c r="BL141" s="4504">
        <f t="shared" si="292"/>
        <v>0</v>
      </c>
      <c r="BM141" s="4504">
        <f t="shared" si="293"/>
        <v>0</v>
      </c>
      <c r="BN141" s="4504">
        <f t="shared" si="294"/>
        <v>0</v>
      </c>
      <c r="BO141" s="4504">
        <f t="shared" si="295"/>
        <v>0</v>
      </c>
      <c r="BP141" s="4504">
        <f t="shared" si="296"/>
        <v>0</v>
      </c>
      <c r="BQ141" s="147"/>
      <c r="BR141" s="4504">
        <f t="shared" si="297"/>
        <v>0</v>
      </c>
      <c r="BS141" s="4504">
        <f t="shared" si="298"/>
        <v>0</v>
      </c>
      <c r="BT141" s="4504">
        <f t="shared" si="299"/>
        <v>0</v>
      </c>
      <c r="BU141" s="4504">
        <f t="shared" si="300"/>
        <v>0</v>
      </c>
      <c r="BV141" s="4504">
        <f t="shared" si="301"/>
        <v>0</v>
      </c>
      <c r="BW141" s="4504">
        <f t="shared" si="302"/>
        <v>0</v>
      </c>
      <c r="BX141" s="147"/>
      <c r="BY141" s="4504">
        <f t="shared" si="303"/>
        <v>0</v>
      </c>
      <c r="BZ141" s="4504">
        <f t="shared" si="304"/>
        <v>0</v>
      </c>
      <c r="CA141" s="4504">
        <f t="shared" si="305"/>
        <v>0</v>
      </c>
      <c r="CB141" s="4504">
        <f t="shared" si="306"/>
        <v>0</v>
      </c>
      <c r="CC141" s="4504">
        <f t="shared" si="307"/>
        <v>0</v>
      </c>
      <c r="CD141" s="4504">
        <f t="shared" si="308"/>
        <v>0</v>
      </c>
    </row>
    <row r="142" spans="1:82" s="40" customFormat="1">
      <c r="A142" s="2996">
        <v>10</v>
      </c>
      <c r="B142" s="2993">
        <v>91140101</v>
      </c>
      <c r="C142" s="2997">
        <v>0.1</v>
      </c>
      <c r="D142" s="2584" t="s">
        <v>1016</v>
      </c>
      <c r="E142" s="3035"/>
      <c r="F142" s="415"/>
      <c r="G142" s="413"/>
      <c r="H142" s="413"/>
      <c r="I142" s="413"/>
      <c r="J142" s="413"/>
      <c r="K142" s="271"/>
      <c r="L142" s="3035"/>
      <c r="M142" s="415"/>
      <c r="N142" s="413"/>
      <c r="O142" s="413"/>
      <c r="P142" s="413"/>
      <c r="Q142" s="413"/>
      <c r="R142" s="271"/>
      <c r="S142" s="3035"/>
      <c r="T142" s="415"/>
      <c r="U142" s="413"/>
      <c r="V142" s="413"/>
      <c r="W142" s="413"/>
      <c r="X142" s="413"/>
      <c r="Y142" s="414"/>
      <c r="Z142" s="3035"/>
      <c r="AA142" s="415"/>
      <c r="AB142" s="413"/>
      <c r="AC142" s="413"/>
      <c r="AD142" s="413"/>
      <c r="AE142" s="413"/>
      <c r="AF142" s="414"/>
      <c r="AG142" s="3035"/>
      <c r="AH142" s="415"/>
      <c r="AI142" s="413"/>
      <c r="AJ142" s="413"/>
      <c r="AK142" s="413"/>
      <c r="AL142" s="413"/>
      <c r="AM142" s="414"/>
      <c r="AN142" s="3035"/>
      <c r="AO142" s="3040"/>
      <c r="AP142" s="3041"/>
      <c r="AQ142" s="3041"/>
      <c r="AR142" s="3041"/>
      <c r="AS142" s="3041"/>
      <c r="AT142" s="3042"/>
      <c r="AU142" s="4488"/>
      <c r="AV142" s="147"/>
      <c r="AW142" s="4504">
        <f t="shared" si="309"/>
        <v>0</v>
      </c>
      <c r="AX142" s="4504">
        <f t="shared" si="280"/>
        <v>0</v>
      </c>
      <c r="AY142" s="4504">
        <f t="shared" si="281"/>
        <v>0</v>
      </c>
      <c r="AZ142" s="4504">
        <f t="shared" si="282"/>
        <v>0</v>
      </c>
      <c r="BA142" s="4504">
        <f t="shared" si="283"/>
        <v>0</v>
      </c>
      <c r="BB142" s="4504">
        <f t="shared" si="284"/>
        <v>0</v>
      </c>
      <c r="BC142" s="147"/>
      <c r="BD142" s="4504">
        <f t="shared" si="285"/>
        <v>0</v>
      </c>
      <c r="BE142" s="4504">
        <f t="shared" si="286"/>
        <v>0</v>
      </c>
      <c r="BF142" s="4504">
        <f t="shared" si="287"/>
        <v>0</v>
      </c>
      <c r="BG142" s="4504">
        <f t="shared" si="288"/>
        <v>0</v>
      </c>
      <c r="BH142" s="4504">
        <f t="shared" si="289"/>
        <v>0</v>
      </c>
      <c r="BI142" s="4504">
        <f t="shared" si="290"/>
        <v>0</v>
      </c>
      <c r="BJ142" s="147"/>
      <c r="BK142" s="4504">
        <f t="shared" si="291"/>
        <v>0</v>
      </c>
      <c r="BL142" s="4504">
        <f t="shared" si="292"/>
        <v>0</v>
      </c>
      <c r="BM142" s="4504">
        <f t="shared" si="293"/>
        <v>0</v>
      </c>
      <c r="BN142" s="4504">
        <f t="shared" si="294"/>
        <v>0</v>
      </c>
      <c r="BO142" s="4504">
        <f t="shared" si="295"/>
        <v>0</v>
      </c>
      <c r="BP142" s="4504">
        <f t="shared" si="296"/>
        <v>0</v>
      </c>
      <c r="BQ142" s="147"/>
      <c r="BR142" s="4504">
        <f t="shared" si="297"/>
        <v>0</v>
      </c>
      <c r="BS142" s="4504">
        <f t="shared" si="298"/>
        <v>0</v>
      </c>
      <c r="BT142" s="4504">
        <f t="shared" si="299"/>
        <v>0</v>
      </c>
      <c r="BU142" s="4504">
        <f t="shared" si="300"/>
        <v>0</v>
      </c>
      <c r="BV142" s="4504">
        <f t="shared" si="301"/>
        <v>0</v>
      </c>
      <c r="BW142" s="4504">
        <f t="shared" si="302"/>
        <v>0</v>
      </c>
      <c r="BX142" s="147"/>
      <c r="BY142" s="4504">
        <f t="shared" si="303"/>
        <v>0</v>
      </c>
      <c r="BZ142" s="4504">
        <f t="shared" si="304"/>
        <v>0</v>
      </c>
      <c r="CA142" s="4504">
        <f t="shared" si="305"/>
        <v>0</v>
      </c>
      <c r="CB142" s="4504">
        <f t="shared" si="306"/>
        <v>0</v>
      </c>
      <c r="CC142" s="4504">
        <f t="shared" si="307"/>
        <v>0</v>
      </c>
      <c r="CD142" s="4504">
        <f t="shared" si="308"/>
        <v>0</v>
      </c>
    </row>
    <row r="143" spans="1:82" s="40" customFormat="1">
      <c r="A143" s="2996">
        <v>11</v>
      </c>
      <c r="B143" s="2993">
        <v>91140102</v>
      </c>
      <c r="C143" s="2997">
        <v>0.04</v>
      </c>
      <c r="D143" s="2584" t="s">
        <v>432</v>
      </c>
      <c r="E143" s="3035"/>
      <c r="F143" s="415"/>
      <c r="G143" s="413"/>
      <c r="H143" s="413"/>
      <c r="I143" s="413"/>
      <c r="J143" s="413"/>
      <c r="K143" s="271"/>
      <c r="L143" s="3035"/>
      <c r="M143" s="415"/>
      <c r="N143" s="413"/>
      <c r="O143" s="413"/>
      <c r="P143" s="413"/>
      <c r="Q143" s="413"/>
      <c r="R143" s="271"/>
      <c r="S143" s="3035"/>
      <c r="T143" s="415"/>
      <c r="U143" s="413"/>
      <c r="V143" s="413"/>
      <c r="W143" s="413"/>
      <c r="X143" s="413"/>
      <c r="Y143" s="414"/>
      <c r="Z143" s="3035"/>
      <c r="AA143" s="415"/>
      <c r="AB143" s="413"/>
      <c r="AC143" s="413"/>
      <c r="AD143" s="413"/>
      <c r="AE143" s="413"/>
      <c r="AF143" s="414"/>
      <c r="AG143" s="3035"/>
      <c r="AH143" s="415"/>
      <c r="AI143" s="413"/>
      <c r="AJ143" s="413"/>
      <c r="AK143" s="413"/>
      <c r="AL143" s="413"/>
      <c r="AM143" s="414"/>
      <c r="AN143" s="3035"/>
      <c r="AO143" s="3040"/>
      <c r="AP143" s="3041"/>
      <c r="AQ143" s="3041"/>
      <c r="AR143" s="3041"/>
      <c r="AS143" s="3041"/>
      <c r="AT143" s="3042"/>
      <c r="AU143" s="4488"/>
      <c r="AV143" s="147"/>
      <c r="AW143" s="4504">
        <f t="shared" si="309"/>
        <v>0</v>
      </c>
      <c r="AX143" s="4504">
        <f t="shared" si="280"/>
        <v>0</v>
      </c>
      <c r="AY143" s="4504">
        <f t="shared" si="281"/>
        <v>0</v>
      </c>
      <c r="AZ143" s="4504">
        <f t="shared" si="282"/>
        <v>0</v>
      </c>
      <c r="BA143" s="4504">
        <f t="shared" si="283"/>
        <v>0</v>
      </c>
      <c r="BB143" s="4504">
        <f t="shared" si="284"/>
        <v>0</v>
      </c>
      <c r="BC143" s="147"/>
      <c r="BD143" s="4504">
        <f t="shared" si="285"/>
        <v>0</v>
      </c>
      <c r="BE143" s="4504">
        <f t="shared" si="286"/>
        <v>0</v>
      </c>
      <c r="BF143" s="4504">
        <f t="shared" si="287"/>
        <v>0</v>
      </c>
      <c r="BG143" s="4504">
        <f t="shared" si="288"/>
        <v>0</v>
      </c>
      <c r="BH143" s="4504">
        <f t="shared" si="289"/>
        <v>0</v>
      </c>
      <c r="BI143" s="4504">
        <f t="shared" si="290"/>
        <v>0</v>
      </c>
      <c r="BJ143" s="147"/>
      <c r="BK143" s="4504">
        <f t="shared" si="291"/>
        <v>0</v>
      </c>
      <c r="BL143" s="4504">
        <f t="shared" si="292"/>
        <v>0</v>
      </c>
      <c r="BM143" s="4504">
        <f t="shared" si="293"/>
        <v>0</v>
      </c>
      <c r="BN143" s="4504">
        <f t="shared" si="294"/>
        <v>0</v>
      </c>
      <c r="BO143" s="4504">
        <f t="shared" si="295"/>
        <v>0</v>
      </c>
      <c r="BP143" s="4504">
        <f t="shared" si="296"/>
        <v>0</v>
      </c>
      <c r="BQ143" s="147"/>
      <c r="BR143" s="4504">
        <f t="shared" si="297"/>
        <v>0</v>
      </c>
      <c r="BS143" s="4504">
        <f t="shared" si="298"/>
        <v>0</v>
      </c>
      <c r="BT143" s="4504">
        <f t="shared" si="299"/>
        <v>0</v>
      </c>
      <c r="BU143" s="4504">
        <f t="shared" si="300"/>
        <v>0</v>
      </c>
      <c r="BV143" s="4504">
        <f t="shared" si="301"/>
        <v>0</v>
      </c>
      <c r="BW143" s="4504">
        <f t="shared" si="302"/>
        <v>0</v>
      </c>
      <c r="BX143" s="147"/>
      <c r="BY143" s="4504">
        <f t="shared" si="303"/>
        <v>0</v>
      </c>
      <c r="BZ143" s="4504">
        <f t="shared" si="304"/>
        <v>0</v>
      </c>
      <c r="CA143" s="4504">
        <f t="shared" si="305"/>
        <v>0</v>
      </c>
      <c r="CB143" s="4504">
        <f t="shared" si="306"/>
        <v>0</v>
      </c>
      <c r="CC143" s="4504">
        <f t="shared" si="307"/>
        <v>0</v>
      </c>
      <c r="CD143" s="4504">
        <f t="shared" si="308"/>
        <v>0</v>
      </c>
    </row>
    <row r="144" spans="1:82" s="40" customFormat="1">
      <c r="A144" s="2996">
        <v>12</v>
      </c>
      <c r="B144" s="2993" t="s">
        <v>698</v>
      </c>
      <c r="C144" s="2995">
        <v>0.02</v>
      </c>
      <c r="D144" s="2585" t="s">
        <v>738</v>
      </c>
      <c r="E144" s="3035"/>
      <c r="F144" s="415"/>
      <c r="G144" s="413"/>
      <c r="H144" s="413"/>
      <c r="I144" s="413"/>
      <c r="J144" s="413"/>
      <c r="K144" s="271"/>
      <c r="L144" s="3035"/>
      <c r="M144" s="415"/>
      <c r="N144" s="413"/>
      <c r="O144" s="413"/>
      <c r="P144" s="413"/>
      <c r="Q144" s="413"/>
      <c r="R144" s="271"/>
      <c r="S144" s="3035"/>
      <c r="T144" s="415"/>
      <c r="U144" s="413"/>
      <c r="V144" s="413"/>
      <c r="W144" s="413"/>
      <c r="X144" s="413"/>
      <c r="Y144" s="414"/>
      <c r="Z144" s="3035"/>
      <c r="AA144" s="415"/>
      <c r="AB144" s="413"/>
      <c r="AC144" s="413"/>
      <c r="AD144" s="413"/>
      <c r="AE144" s="413"/>
      <c r="AF144" s="414"/>
      <c r="AG144" s="3035"/>
      <c r="AH144" s="415"/>
      <c r="AI144" s="413"/>
      <c r="AJ144" s="413"/>
      <c r="AK144" s="413"/>
      <c r="AL144" s="413"/>
      <c r="AM144" s="414"/>
      <c r="AN144" s="3035"/>
      <c r="AO144" s="3040"/>
      <c r="AP144" s="3041"/>
      <c r="AQ144" s="3041"/>
      <c r="AR144" s="3041"/>
      <c r="AS144" s="3041"/>
      <c r="AT144" s="3042"/>
      <c r="AU144" s="4488"/>
      <c r="AV144" s="147"/>
      <c r="AW144" s="4504">
        <f t="shared" si="309"/>
        <v>0</v>
      </c>
      <c r="AX144" s="4504">
        <f t="shared" si="280"/>
        <v>0</v>
      </c>
      <c r="AY144" s="4504">
        <f t="shared" si="281"/>
        <v>0</v>
      </c>
      <c r="AZ144" s="4504">
        <f t="shared" si="282"/>
        <v>0</v>
      </c>
      <c r="BA144" s="4504">
        <f t="shared" si="283"/>
        <v>0</v>
      </c>
      <c r="BB144" s="4504">
        <f t="shared" si="284"/>
        <v>0</v>
      </c>
      <c r="BC144" s="147"/>
      <c r="BD144" s="4504">
        <f t="shared" si="285"/>
        <v>0</v>
      </c>
      <c r="BE144" s="4504">
        <f t="shared" si="286"/>
        <v>0</v>
      </c>
      <c r="BF144" s="4504">
        <f t="shared" si="287"/>
        <v>0</v>
      </c>
      <c r="BG144" s="4504">
        <f t="shared" si="288"/>
        <v>0</v>
      </c>
      <c r="BH144" s="4504">
        <f t="shared" si="289"/>
        <v>0</v>
      </c>
      <c r="BI144" s="4504">
        <f t="shared" si="290"/>
        <v>0</v>
      </c>
      <c r="BJ144" s="147"/>
      <c r="BK144" s="4504">
        <f t="shared" si="291"/>
        <v>0</v>
      </c>
      <c r="BL144" s="4504">
        <f t="shared" si="292"/>
        <v>0</v>
      </c>
      <c r="BM144" s="4504">
        <f t="shared" si="293"/>
        <v>0</v>
      </c>
      <c r="BN144" s="4504">
        <f t="shared" si="294"/>
        <v>0</v>
      </c>
      <c r="BO144" s="4504">
        <f t="shared" si="295"/>
        <v>0</v>
      </c>
      <c r="BP144" s="4504">
        <f t="shared" si="296"/>
        <v>0</v>
      </c>
      <c r="BQ144" s="147"/>
      <c r="BR144" s="4504">
        <f t="shared" si="297"/>
        <v>0</v>
      </c>
      <c r="BS144" s="4504">
        <f t="shared" si="298"/>
        <v>0</v>
      </c>
      <c r="BT144" s="4504">
        <f t="shared" si="299"/>
        <v>0</v>
      </c>
      <c r="BU144" s="4504">
        <f t="shared" si="300"/>
        <v>0</v>
      </c>
      <c r="BV144" s="4504">
        <f t="shared" si="301"/>
        <v>0</v>
      </c>
      <c r="BW144" s="4504">
        <f t="shared" si="302"/>
        <v>0</v>
      </c>
      <c r="BX144" s="147"/>
      <c r="BY144" s="4504">
        <f t="shared" si="303"/>
        <v>0</v>
      </c>
      <c r="BZ144" s="4504">
        <f t="shared" si="304"/>
        <v>0</v>
      </c>
      <c r="CA144" s="4504">
        <f t="shared" si="305"/>
        <v>0</v>
      </c>
      <c r="CB144" s="4504">
        <f t="shared" si="306"/>
        <v>0</v>
      </c>
      <c r="CC144" s="4504">
        <f t="shared" si="307"/>
        <v>0</v>
      </c>
      <c r="CD144" s="4504">
        <f t="shared" si="308"/>
        <v>0</v>
      </c>
    </row>
    <row r="145" spans="1:82" s="40" customFormat="1">
      <c r="A145" s="2996">
        <v>13</v>
      </c>
      <c r="B145" s="2993" t="s">
        <v>699</v>
      </c>
      <c r="C145" s="2995">
        <v>0.02</v>
      </c>
      <c r="D145" s="2585" t="s">
        <v>739</v>
      </c>
      <c r="E145" s="3035"/>
      <c r="F145" s="415"/>
      <c r="G145" s="413"/>
      <c r="H145" s="413"/>
      <c r="I145" s="413"/>
      <c r="J145" s="413"/>
      <c r="K145" s="271"/>
      <c r="L145" s="3035"/>
      <c r="M145" s="415"/>
      <c r="N145" s="413"/>
      <c r="O145" s="413"/>
      <c r="P145" s="413"/>
      <c r="Q145" s="413"/>
      <c r="R145" s="271"/>
      <c r="S145" s="3035"/>
      <c r="T145" s="415"/>
      <c r="U145" s="413"/>
      <c r="V145" s="413"/>
      <c r="W145" s="413"/>
      <c r="X145" s="413"/>
      <c r="Y145" s="414"/>
      <c r="Z145" s="3035"/>
      <c r="AA145" s="415"/>
      <c r="AB145" s="413"/>
      <c r="AC145" s="413"/>
      <c r="AD145" s="413"/>
      <c r="AE145" s="413"/>
      <c r="AF145" s="414"/>
      <c r="AG145" s="3035"/>
      <c r="AH145" s="415"/>
      <c r="AI145" s="413"/>
      <c r="AJ145" s="413"/>
      <c r="AK145" s="413"/>
      <c r="AL145" s="413"/>
      <c r="AM145" s="414"/>
      <c r="AN145" s="3035"/>
      <c r="AO145" s="3040"/>
      <c r="AP145" s="3041"/>
      <c r="AQ145" s="3041"/>
      <c r="AR145" s="3041"/>
      <c r="AS145" s="3041"/>
      <c r="AT145" s="3042"/>
      <c r="AU145" s="4488"/>
      <c r="AV145" s="147"/>
      <c r="AW145" s="4504">
        <f t="shared" si="309"/>
        <v>0</v>
      </c>
      <c r="AX145" s="4504">
        <f t="shared" si="280"/>
        <v>0</v>
      </c>
      <c r="AY145" s="4504">
        <f t="shared" si="281"/>
        <v>0</v>
      </c>
      <c r="AZ145" s="4504">
        <f t="shared" si="282"/>
        <v>0</v>
      </c>
      <c r="BA145" s="4504">
        <f t="shared" si="283"/>
        <v>0</v>
      </c>
      <c r="BB145" s="4504">
        <f t="shared" si="284"/>
        <v>0</v>
      </c>
      <c r="BC145" s="147"/>
      <c r="BD145" s="4504">
        <f t="shared" si="285"/>
        <v>0</v>
      </c>
      <c r="BE145" s="4504">
        <f t="shared" si="286"/>
        <v>0</v>
      </c>
      <c r="BF145" s="4504">
        <f t="shared" si="287"/>
        <v>0</v>
      </c>
      <c r="BG145" s="4504">
        <f t="shared" si="288"/>
        <v>0</v>
      </c>
      <c r="BH145" s="4504">
        <f t="shared" si="289"/>
        <v>0</v>
      </c>
      <c r="BI145" s="4504">
        <f t="shared" si="290"/>
        <v>0</v>
      </c>
      <c r="BJ145" s="147"/>
      <c r="BK145" s="4504">
        <f t="shared" si="291"/>
        <v>0</v>
      </c>
      <c r="BL145" s="4504">
        <f t="shared" si="292"/>
        <v>0</v>
      </c>
      <c r="BM145" s="4504">
        <f t="shared" si="293"/>
        <v>0</v>
      </c>
      <c r="BN145" s="4504">
        <f t="shared" si="294"/>
        <v>0</v>
      </c>
      <c r="BO145" s="4504">
        <f t="shared" si="295"/>
        <v>0</v>
      </c>
      <c r="BP145" s="4504">
        <f t="shared" si="296"/>
        <v>0</v>
      </c>
      <c r="BQ145" s="147"/>
      <c r="BR145" s="4504">
        <f t="shared" si="297"/>
        <v>0</v>
      </c>
      <c r="BS145" s="4504">
        <f t="shared" si="298"/>
        <v>0</v>
      </c>
      <c r="BT145" s="4504">
        <f t="shared" si="299"/>
        <v>0</v>
      </c>
      <c r="BU145" s="4504">
        <f t="shared" si="300"/>
        <v>0</v>
      </c>
      <c r="BV145" s="4504">
        <f t="shared" si="301"/>
        <v>0</v>
      </c>
      <c r="BW145" s="4504">
        <f t="shared" si="302"/>
        <v>0</v>
      </c>
      <c r="BX145" s="147"/>
      <c r="BY145" s="4504">
        <f t="shared" si="303"/>
        <v>0</v>
      </c>
      <c r="BZ145" s="4504">
        <f t="shared" si="304"/>
        <v>0</v>
      </c>
      <c r="CA145" s="4504">
        <f t="shared" si="305"/>
        <v>0</v>
      </c>
      <c r="CB145" s="4504">
        <f t="shared" si="306"/>
        <v>0</v>
      </c>
      <c r="CC145" s="4504">
        <f t="shared" si="307"/>
        <v>0</v>
      </c>
      <c r="CD145" s="4504">
        <f t="shared" si="308"/>
        <v>0</v>
      </c>
    </row>
    <row r="146" spans="1:82" s="40" customFormat="1">
      <c r="A146" s="2996">
        <v>14</v>
      </c>
      <c r="B146" s="2993" t="s">
        <v>700</v>
      </c>
      <c r="C146" s="2995">
        <v>0.02</v>
      </c>
      <c r="D146" s="2585" t="s">
        <v>418</v>
      </c>
      <c r="E146" s="3035"/>
      <c r="F146" s="415"/>
      <c r="G146" s="413"/>
      <c r="H146" s="413"/>
      <c r="I146" s="413"/>
      <c r="J146" s="413"/>
      <c r="K146" s="271"/>
      <c r="L146" s="3035"/>
      <c r="M146" s="415"/>
      <c r="N146" s="413"/>
      <c r="O146" s="413"/>
      <c r="P146" s="413"/>
      <c r="Q146" s="413"/>
      <c r="R146" s="271"/>
      <c r="S146" s="3035"/>
      <c r="T146" s="415"/>
      <c r="U146" s="413"/>
      <c r="V146" s="413"/>
      <c r="W146" s="413"/>
      <c r="X146" s="413"/>
      <c r="Y146" s="414"/>
      <c r="Z146" s="3035"/>
      <c r="AA146" s="415"/>
      <c r="AB146" s="413"/>
      <c r="AC146" s="413"/>
      <c r="AD146" s="413"/>
      <c r="AE146" s="413"/>
      <c r="AF146" s="414"/>
      <c r="AG146" s="3035"/>
      <c r="AH146" s="415"/>
      <c r="AI146" s="413"/>
      <c r="AJ146" s="413"/>
      <c r="AK146" s="413"/>
      <c r="AL146" s="413"/>
      <c r="AM146" s="414"/>
      <c r="AN146" s="3035"/>
      <c r="AO146" s="3040"/>
      <c r="AP146" s="3041"/>
      <c r="AQ146" s="3041"/>
      <c r="AR146" s="3041"/>
      <c r="AS146" s="3041"/>
      <c r="AT146" s="3042"/>
      <c r="AU146" s="4488"/>
      <c r="AV146" s="147"/>
      <c r="AW146" s="4504">
        <f t="shared" si="309"/>
        <v>0</v>
      </c>
      <c r="AX146" s="4504">
        <f t="shared" si="280"/>
        <v>0</v>
      </c>
      <c r="AY146" s="4504">
        <f t="shared" si="281"/>
        <v>0</v>
      </c>
      <c r="AZ146" s="4504">
        <f t="shared" si="282"/>
        <v>0</v>
      </c>
      <c r="BA146" s="4504">
        <f t="shared" si="283"/>
        <v>0</v>
      </c>
      <c r="BB146" s="4504">
        <f t="shared" si="284"/>
        <v>0</v>
      </c>
      <c r="BC146" s="147"/>
      <c r="BD146" s="4504">
        <f t="shared" si="285"/>
        <v>0</v>
      </c>
      <c r="BE146" s="4504">
        <f t="shared" si="286"/>
        <v>0</v>
      </c>
      <c r="BF146" s="4504">
        <f t="shared" si="287"/>
        <v>0</v>
      </c>
      <c r="BG146" s="4504">
        <f t="shared" si="288"/>
        <v>0</v>
      </c>
      <c r="BH146" s="4504">
        <f t="shared" si="289"/>
        <v>0</v>
      </c>
      <c r="BI146" s="4504">
        <f t="shared" si="290"/>
        <v>0</v>
      </c>
      <c r="BJ146" s="147"/>
      <c r="BK146" s="4504">
        <f t="shared" si="291"/>
        <v>0</v>
      </c>
      <c r="BL146" s="4504">
        <f t="shared" si="292"/>
        <v>0</v>
      </c>
      <c r="BM146" s="4504">
        <f t="shared" si="293"/>
        <v>0</v>
      </c>
      <c r="BN146" s="4504">
        <f t="shared" si="294"/>
        <v>0</v>
      </c>
      <c r="BO146" s="4504">
        <f t="shared" si="295"/>
        <v>0</v>
      </c>
      <c r="BP146" s="4504">
        <f t="shared" si="296"/>
        <v>0</v>
      </c>
      <c r="BQ146" s="147"/>
      <c r="BR146" s="4504">
        <f t="shared" si="297"/>
        <v>0</v>
      </c>
      <c r="BS146" s="4504">
        <f t="shared" si="298"/>
        <v>0</v>
      </c>
      <c r="BT146" s="4504">
        <f t="shared" si="299"/>
        <v>0</v>
      </c>
      <c r="BU146" s="4504">
        <f t="shared" si="300"/>
        <v>0</v>
      </c>
      <c r="BV146" s="4504">
        <f t="shared" si="301"/>
        <v>0</v>
      </c>
      <c r="BW146" s="4504">
        <f t="shared" si="302"/>
        <v>0</v>
      </c>
      <c r="BX146" s="147"/>
      <c r="BY146" s="4504">
        <f t="shared" si="303"/>
        <v>0</v>
      </c>
      <c r="BZ146" s="4504">
        <f t="shared" si="304"/>
        <v>0</v>
      </c>
      <c r="CA146" s="4504">
        <f t="shared" si="305"/>
        <v>0</v>
      </c>
      <c r="CB146" s="4504">
        <f t="shared" si="306"/>
        <v>0</v>
      </c>
      <c r="CC146" s="4504">
        <f t="shared" si="307"/>
        <v>0</v>
      </c>
      <c r="CD146" s="4504">
        <f t="shared" si="308"/>
        <v>0</v>
      </c>
    </row>
    <row r="147" spans="1:82" s="40" customFormat="1">
      <c r="A147" s="2996">
        <v>15</v>
      </c>
      <c r="B147" s="2993" t="s">
        <v>701</v>
      </c>
      <c r="C147" s="2995">
        <v>0.02</v>
      </c>
      <c r="D147" s="2584" t="s">
        <v>419</v>
      </c>
      <c r="E147" s="3035"/>
      <c r="F147" s="415"/>
      <c r="G147" s="413"/>
      <c r="H147" s="413"/>
      <c r="I147" s="413"/>
      <c r="J147" s="413"/>
      <c r="K147" s="271"/>
      <c r="L147" s="3035"/>
      <c r="M147" s="415"/>
      <c r="N147" s="413"/>
      <c r="O147" s="413"/>
      <c r="P147" s="413"/>
      <c r="Q147" s="413"/>
      <c r="R147" s="271"/>
      <c r="S147" s="3035"/>
      <c r="T147" s="415"/>
      <c r="U147" s="413"/>
      <c r="V147" s="413"/>
      <c r="W147" s="413"/>
      <c r="X147" s="413"/>
      <c r="Y147" s="414"/>
      <c r="Z147" s="3035"/>
      <c r="AA147" s="415"/>
      <c r="AB147" s="413"/>
      <c r="AC147" s="413"/>
      <c r="AD147" s="413"/>
      <c r="AE147" s="413"/>
      <c r="AF147" s="414"/>
      <c r="AG147" s="3035"/>
      <c r="AH147" s="415"/>
      <c r="AI147" s="413"/>
      <c r="AJ147" s="413"/>
      <c r="AK147" s="413"/>
      <c r="AL147" s="413"/>
      <c r="AM147" s="414"/>
      <c r="AN147" s="3035"/>
      <c r="AO147" s="3040"/>
      <c r="AP147" s="3041"/>
      <c r="AQ147" s="3041"/>
      <c r="AR147" s="3041"/>
      <c r="AS147" s="3041"/>
      <c r="AT147" s="3042"/>
      <c r="AU147" s="4488"/>
      <c r="AV147" s="147"/>
      <c r="AW147" s="4504">
        <f t="shared" si="309"/>
        <v>0</v>
      </c>
      <c r="AX147" s="4504">
        <f t="shared" si="280"/>
        <v>0</v>
      </c>
      <c r="AY147" s="4504">
        <f t="shared" si="281"/>
        <v>0</v>
      </c>
      <c r="AZ147" s="4504">
        <f t="shared" si="282"/>
        <v>0</v>
      </c>
      <c r="BA147" s="4504">
        <f t="shared" si="283"/>
        <v>0</v>
      </c>
      <c r="BB147" s="4504">
        <f t="shared" si="284"/>
        <v>0</v>
      </c>
      <c r="BC147" s="147"/>
      <c r="BD147" s="4504">
        <f t="shared" si="285"/>
        <v>0</v>
      </c>
      <c r="BE147" s="4504">
        <f t="shared" si="286"/>
        <v>0</v>
      </c>
      <c r="BF147" s="4504">
        <f t="shared" si="287"/>
        <v>0</v>
      </c>
      <c r="BG147" s="4504">
        <f t="shared" si="288"/>
        <v>0</v>
      </c>
      <c r="BH147" s="4504">
        <f t="shared" si="289"/>
        <v>0</v>
      </c>
      <c r="BI147" s="4504">
        <f t="shared" si="290"/>
        <v>0</v>
      </c>
      <c r="BJ147" s="147"/>
      <c r="BK147" s="4504">
        <f t="shared" si="291"/>
        <v>0</v>
      </c>
      <c r="BL147" s="4504">
        <f t="shared" si="292"/>
        <v>0</v>
      </c>
      <c r="BM147" s="4504">
        <f t="shared" si="293"/>
        <v>0</v>
      </c>
      <c r="BN147" s="4504">
        <f t="shared" si="294"/>
        <v>0</v>
      </c>
      <c r="BO147" s="4504">
        <f t="shared" si="295"/>
        <v>0</v>
      </c>
      <c r="BP147" s="4504">
        <f t="shared" si="296"/>
        <v>0</v>
      </c>
      <c r="BQ147" s="147"/>
      <c r="BR147" s="4504">
        <f t="shared" si="297"/>
        <v>0</v>
      </c>
      <c r="BS147" s="4504">
        <f t="shared" si="298"/>
        <v>0</v>
      </c>
      <c r="BT147" s="4504">
        <f t="shared" si="299"/>
        <v>0</v>
      </c>
      <c r="BU147" s="4504">
        <f t="shared" si="300"/>
        <v>0</v>
      </c>
      <c r="BV147" s="4504">
        <f t="shared" si="301"/>
        <v>0</v>
      </c>
      <c r="BW147" s="4504">
        <f t="shared" si="302"/>
        <v>0</v>
      </c>
      <c r="BX147" s="147"/>
      <c r="BY147" s="4504">
        <f t="shared" si="303"/>
        <v>0</v>
      </c>
      <c r="BZ147" s="4504">
        <f t="shared" si="304"/>
        <v>0</v>
      </c>
      <c r="CA147" s="4504">
        <f t="shared" si="305"/>
        <v>0</v>
      </c>
      <c r="CB147" s="4504">
        <f t="shared" si="306"/>
        <v>0</v>
      </c>
      <c r="CC147" s="4504">
        <f t="shared" si="307"/>
        <v>0</v>
      </c>
      <c r="CD147" s="4504">
        <f t="shared" si="308"/>
        <v>0</v>
      </c>
    </row>
    <row r="148" spans="1:82" s="40" customFormat="1">
      <c r="A148" s="2996">
        <v>16</v>
      </c>
      <c r="B148" s="2993" t="s">
        <v>702</v>
      </c>
      <c r="C148" s="2995">
        <v>0.02</v>
      </c>
      <c r="D148" s="2585" t="s">
        <v>420</v>
      </c>
      <c r="E148" s="3035"/>
      <c r="F148" s="415"/>
      <c r="G148" s="413"/>
      <c r="H148" s="413"/>
      <c r="I148" s="413"/>
      <c r="J148" s="413"/>
      <c r="K148" s="271"/>
      <c r="L148" s="3035"/>
      <c r="M148" s="415"/>
      <c r="N148" s="413"/>
      <c r="O148" s="413"/>
      <c r="P148" s="413"/>
      <c r="Q148" s="413"/>
      <c r="R148" s="271"/>
      <c r="S148" s="3035"/>
      <c r="T148" s="415"/>
      <c r="U148" s="413"/>
      <c r="V148" s="413"/>
      <c r="W148" s="413"/>
      <c r="X148" s="413"/>
      <c r="Y148" s="414"/>
      <c r="Z148" s="3035"/>
      <c r="AA148" s="415"/>
      <c r="AB148" s="413"/>
      <c r="AC148" s="413"/>
      <c r="AD148" s="413"/>
      <c r="AE148" s="413"/>
      <c r="AF148" s="414"/>
      <c r="AG148" s="3035"/>
      <c r="AH148" s="415"/>
      <c r="AI148" s="413"/>
      <c r="AJ148" s="413"/>
      <c r="AK148" s="413"/>
      <c r="AL148" s="413"/>
      <c r="AM148" s="414"/>
      <c r="AN148" s="3035"/>
      <c r="AO148" s="3040"/>
      <c r="AP148" s="3041"/>
      <c r="AQ148" s="3041"/>
      <c r="AR148" s="3041"/>
      <c r="AS148" s="3041"/>
      <c r="AT148" s="3042"/>
      <c r="AU148" s="4488"/>
      <c r="AV148" s="147"/>
      <c r="AW148" s="4504">
        <f t="shared" si="309"/>
        <v>0</v>
      </c>
      <c r="AX148" s="4504">
        <f t="shared" si="280"/>
        <v>0</v>
      </c>
      <c r="AY148" s="4504">
        <f t="shared" si="281"/>
        <v>0</v>
      </c>
      <c r="AZ148" s="4504">
        <f t="shared" si="282"/>
        <v>0</v>
      </c>
      <c r="BA148" s="4504">
        <f t="shared" si="283"/>
        <v>0</v>
      </c>
      <c r="BB148" s="4504">
        <f t="shared" si="284"/>
        <v>0</v>
      </c>
      <c r="BC148" s="147"/>
      <c r="BD148" s="4504">
        <f t="shared" si="285"/>
        <v>0</v>
      </c>
      <c r="BE148" s="4504">
        <f t="shared" si="286"/>
        <v>0</v>
      </c>
      <c r="BF148" s="4504">
        <f t="shared" si="287"/>
        <v>0</v>
      </c>
      <c r="BG148" s="4504">
        <f t="shared" si="288"/>
        <v>0</v>
      </c>
      <c r="BH148" s="4504">
        <f t="shared" si="289"/>
        <v>0</v>
      </c>
      <c r="BI148" s="4504">
        <f t="shared" si="290"/>
        <v>0</v>
      </c>
      <c r="BJ148" s="147"/>
      <c r="BK148" s="4504">
        <f t="shared" si="291"/>
        <v>0</v>
      </c>
      <c r="BL148" s="4504">
        <f t="shared" si="292"/>
        <v>0</v>
      </c>
      <c r="BM148" s="4504">
        <f t="shared" si="293"/>
        <v>0</v>
      </c>
      <c r="BN148" s="4504">
        <f t="shared" si="294"/>
        <v>0</v>
      </c>
      <c r="BO148" s="4504">
        <f t="shared" si="295"/>
        <v>0</v>
      </c>
      <c r="BP148" s="4504">
        <f t="shared" si="296"/>
        <v>0</v>
      </c>
      <c r="BQ148" s="147"/>
      <c r="BR148" s="4504">
        <f t="shared" si="297"/>
        <v>0</v>
      </c>
      <c r="BS148" s="4504">
        <f t="shared" si="298"/>
        <v>0</v>
      </c>
      <c r="BT148" s="4504">
        <f t="shared" si="299"/>
        <v>0</v>
      </c>
      <c r="BU148" s="4504">
        <f t="shared" si="300"/>
        <v>0</v>
      </c>
      <c r="BV148" s="4504">
        <f t="shared" si="301"/>
        <v>0</v>
      </c>
      <c r="BW148" s="4504">
        <f t="shared" si="302"/>
        <v>0</v>
      </c>
      <c r="BX148" s="147"/>
      <c r="BY148" s="4504">
        <f t="shared" si="303"/>
        <v>0</v>
      </c>
      <c r="BZ148" s="4504">
        <f t="shared" si="304"/>
        <v>0</v>
      </c>
      <c r="CA148" s="4504">
        <f t="shared" si="305"/>
        <v>0</v>
      </c>
      <c r="CB148" s="4504">
        <f t="shared" si="306"/>
        <v>0</v>
      </c>
      <c r="CC148" s="4504">
        <f t="shared" si="307"/>
        <v>0</v>
      </c>
      <c r="CD148" s="4504">
        <f t="shared" si="308"/>
        <v>0</v>
      </c>
    </row>
    <row r="149" spans="1:82" s="40" customFormat="1">
      <c r="A149" s="2996">
        <v>17</v>
      </c>
      <c r="B149" s="2993" t="s">
        <v>703</v>
      </c>
      <c r="C149" s="2995">
        <v>0.02</v>
      </c>
      <c r="D149" s="2590" t="s">
        <v>421</v>
      </c>
      <c r="E149" s="3035"/>
      <c r="F149" s="415"/>
      <c r="G149" s="413"/>
      <c r="H149" s="413"/>
      <c r="I149" s="413"/>
      <c r="J149" s="413"/>
      <c r="K149" s="271"/>
      <c r="L149" s="3035"/>
      <c r="M149" s="415"/>
      <c r="N149" s="413"/>
      <c r="O149" s="413"/>
      <c r="P149" s="413"/>
      <c r="Q149" s="413"/>
      <c r="R149" s="271"/>
      <c r="S149" s="3035"/>
      <c r="T149" s="415"/>
      <c r="U149" s="413"/>
      <c r="V149" s="413"/>
      <c r="W149" s="413"/>
      <c r="X149" s="413"/>
      <c r="Y149" s="414"/>
      <c r="Z149" s="3035"/>
      <c r="AA149" s="415"/>
      <c r="AB149" s="413"/>
      <c r="AC149" s="413"/>
      <c r="AD149" s="413"/>
      <c r="AE149" s="413"/>
      <c r="AF149" s="414"/>
      <c r="AG149" s="3035"/>
      <c r="AH149" s="415"/>
      <c r="AI149" s="413"/>
      <c r="AJ149" s="413"/>
      <c r="AK149" s="413"/>
      <c r="AL149" s="413"/>
      <c r="AM149" s="414"/>
      <c r="AN149" s="3035"/>
      <c r="AO149" s="3040"/>
      <c r="AP149" s="3041"/>
      <c r="AQ149" s="3041"/>
      <c r="AR149" s="3041"/>
      <c r="AS149" s="3041"/>
      <c r="AT149" s="3042"/>
      <c r="AU149" s="4488"/>
      <c r="AV149" s="147"/>
      <c r="AW149" s="4504">
        <f t="shared" si="309"/>
        <v>0</v>
      </c>
      <c r="AX149" s="4504">
        <f t="shared" si="280"/>
        <v>0</v>
      </c>
      <c r="AY149" s="4504">
        <f t="shared" si="281"/>
        <v>0</v>
      </c>
      <c r="AZ149" s="4504">
        <f t="shared" si="282"/>
        <v>0</v>
      </c>
      <c r="BA149" s="4504">
        <f t="shared" si="283"/>
        <v>0</v>
      </c>
      <c r="BB149" s="4504">
        <f t="shared" si="284"/>
        <v>0</v>
      </c>
      <c r="BC149" s="147"/>
      <c r="BD149" s="4504">
        <f t="shared" si="285"/>
        <v>0</v>
      </c>
      <c r="BE149" s="4504">
        <f t="shared" si="286"/>
        <v>0</v>
      </c>
      <c r="BF149" s="4504">
        <f t="shared" si="287"/>
        <v>0</v>
      </c>
      <c r="BG149" s="4504">
        <f t="shared" si="288"/>
        <v>0</v>
      </c>
      <c r="BH149" s="4504">
        <f t="shared" si="289"/>
        <v>0</v>
      </c>
      <c r="BI149" s="4504">
        <f t="shared" si="290"/>
        <v>0</v>
      </c>
      <c r="BJ149" s="147"/>
      <c r="BK149" s="4504">
        <f t="shared" si="291"/>
        <v>0</v>
      </c>
      <c r="BL149" s="4504">
        <f t="shared" si="292"/>
        <v>0</v>
      </c>
      <c r="BM149" s="4504">
        <f t="shared" si="293"/>
        <v>0</v>
      </c>
      <c r="BN149" s="4504">
        <f t="shared" si="294"/>
        <v>0</v>
      </c>
      <c r="BO149" s="4504">
        <f t="shared" si="295"/>
        <v>0</v>
      </c>
      <c r="BP149" s="4504">
        <f t="shared" si="296"/>
        <v>0</v>
      </c>
      <c r="BQ149" s="147"/>
      <c r="BR149" s="4504">
        <f t="shared" si="297"/>
        <v>0</v>
      </c>
      <c r="BS149" s="4504">
        <f t="shared" si="298"/>
        <v>0</v>
      </c>
      <c r="BT149" s="4504">
        <f t="shared" si="299"/>
        <v>0</v>
      </c>
      <c r="BU149" s="4504">
        <f t="shared" si="300"/>
        <v>0</v>
      </c>
      <c r="BV149" s="4504">
        <f t="shared" si="301"/>
        <v>0</v>
      </c>
      <c r="BW149" s="4504">
        <f t="shared" si="302"/>
        <v>0</v>
      </c>
      <c r="BX149" s="147"/>
      <c r="BY149" s="4504">
        <f t="shared" si="303"/>
        <v>0</v>
      </c>
      <c r="BZ149" s="4504">
        <f t="shared" si="304"/>
        <v>0</v>
      </c>
      <c r="CA149" s="4504">
        <f t="shared" si="305"/>
        <v>0</v>
      </c>
      <c r="CB149" s="4504">
        <f t="shared" si="306"/>
        <v>0</v>
      </c>
      <c r="CC149" s="4504">
        <f t="shared" si="307"/>
        <v>0</v>
      </c>
      <c r="CD149" s="4504">
        <f t="shared" si="308"/>
        <v>0</v>
      </c>
    </row>
    <row r="150" spans="1:82" s="40" customFormat="1" ht="24">
      <c r="A150" s="2996">
        <v>18</v>
      </c>
      <c r="B150" s="2993" t="s">
        <v>704</v>
      </c>
      <c r="C150" s="2995">
        <v>0.04</v>
      </c>
      <c r="D150" s="2590" t="s">
        <v>422</v>
      </c>
      <c r="E150" s="3035"/>
      <c r="F150" s="415"/>
      <c r="G150" s="413"/>
      <c r="H150" s="413"/>
      <c r="I150" s="413"/>
      <c r="J150" s="413"/>
      <c r="K150" s="271"/>
      <c r="L150" s="3035"/>
      <c r="M150" s="415"/>
      <c r="N150" s="413"/>
      <c r="O150" s="413"/>
      <c r="P150" s="413"/>
      <c r="Q150" s="413"/>
      <c r="R150" s="271"/>
      <c r="S150" s="3035"/>
      <c r="T150" s="415"/>
      <c r="U150" s="413"/>
      <c r="V150" s="413"/>
      <c r="W150" s="413"/>
      <c r="X150" s="413"/>
      <c r="Y150" s="414"/>
      <c r="Z150" s="3035"/>
      <c r="AA150" s="415"/>
      <c r="AB150" s="413"/>
      <c r="AC150" s="413"/>
      <c r="AD150" s="413"/>
      <c r="AE150" s="413"/>
      <c r="AF150" s="414"/>
      <c r="AG150" s="3035"/>
      <c r="AH150" s="415"/>
      <c r="AI150" s="413"/>
      <c r="AJ150" s="413"/>
      <c r="AK150" s="413"/>
      <c r="AL150" s="413"/>
      <c r="AM150" s="414"/>
      <c r="AN150" s="3035"/>
      <c r="AO150" s="3040"/>
      <c r="AP150" s="3041"/>
      <c r="AQ150" s="3041"/>
      <c r="AR150" s="3041"/>
      <c r="AS150" s="3041"/>
      <c r="AT150" s="3042"/>
      <c r="AU150" s="4488"/>
      <c r="AV150" s="147"/>
      <c r="AW150" s="4504">
        <f t="shared" si="309"/>
        <v>0</v>
      </c>
      <c r="AX150" s="4504">
        <f t="shared" si="280"/>
        <v>0</v>
      </c>
      <c r="AY150" s="4504">
        <f t="shared" si="281"/>
        <v>0</v>
      </c>
      <c r="AZ150" s="4504">
        <f t="shared" si="282"/>
        <v>0</v>
      </c>
      <c r="BA150" s="4504">
        <f t="shared" si="283"/>
        <v>0</v>
      </c>
      <c r="BB150" s="4504">
        <f t="shared" si="284"/>
        <v>0</v>
      </c>
      <c r="BC150" s="147"/>
      <c r="BD150" s="4504">
        <f t="shared" si="285"/>
        <v>0</v>
      </c>
      <c r="BE150" s="4504">
        <f t="shared" si="286"/>
        <v>0</v>
      </c>
      <c r="BF150" s="4504">
        <f t="shared" si="287"/>
        <v>0</v>
      </c>
      <c r="BG150" s="4504">
        <f t="shared" si="288"/>
        <v>0</v>
      </c>
      <c r="BH150" s="4504">
        <f t="shared" si="289"/>
        <v>0</v>
      </c>
      <c r="BI150" s="4504">
        <f t="shared" si="290"/>
        <v>0</v>
      </c>
      <c r="BJ150" s="147"/>
      <c r="BK150" s="4504">
        <f t="shared" si="291"/>
        <v>0</v>
      </c>
      <c r="BL150" s="4504">
        <f t="shared" si="292"/>
        <v>0</v>
      </c>
      <c r="BM150" s="4504">
        <f t="shared" si="293"/>
        <v>0</v>
      </c>
      <c r="BN150" s="4504">
        <f t="shared" si="294"/>
        <v>0</v>
      </c>
      <c r="BO150" s="4504">
        <f t="shared" si="295"/>
        <v>0</v>
      </c>
      <c r="BP150" s="4504">
        <f t="shared" si="296"/>
        <v>0</v>
      </c>
      <c r="BQ150" s="147"/>
      <c r="BR150" s="4504">
        <f t="shared" si="297"/>
        <v>0</v>
      </c>
      <c r="BS150" s="4504">
        <f t="shared" si="298"/>
        <v>0</v>
      </c>
      <c r="BT150" s="4504">
        <f t="shared" si="299"/>
        <v>0</v>
      </c>
      <c r="BU150" s="4504">
        <f t="shared" si="300"/>
        <v>0</v>
      </c>
      <c r="BV150" s="4504">
        <f t="shared" si="301"/>
        <v>0</v>
      </c>
      <c r="BW150" s="4504">
        <f t="shared" si="302"/>
        <v>0</v>
      </c>
      <c r="BX150" s="147"/>
      <c r="BY150" s="4504">
        <f t="shared" si="303"/>
        <v>0</v>
      </c>
      <c r="BZ150" s="4504">
        <f t="shared" si="304"/>
        <v>0</v>
      </c>
      <c r="CA150" s="4504">
        <f t="shared" si="305"/>
        <v>0</v>
      </c>
      <c r="CB150" s="4504">
        <f t="shared" si="306"/>
        <v>0</v>
      </c>
      <c r="CC150" s="4504">
        <f t="shared" si="307"/>
        <v>0</v>
      </c>
      <c r="CD150" s="4504">
        <f t="shared" si="308"/>
        <v>0</v>
      </c>
    </row>
    <row r="151" spans="1:82" s="40" customFormat="1">
      <c r="A151" s="2996">
        <v>19</v>
      </c>
      <c r="B151" s="2993" t="s">
        <v>705</v>
      </c>
      <c r="C151" s="2995">
        <v>0.04</v>
      </c>
      <c r="D151" s="2590" t="s">
        <v>423</v>
      </c>
      <c r="E151" s="3035"/>
      <c r="F151" s="415"/>
      <c r="G151" s="413"/>
      <c r="H151" s="413"/>
      <c r="I151" s="413"/>
      <c r="J151" s="413"/>
      <c r="K151" s="271"/>
      <c r="L151" s="3035"/>
      <c r="M151" s="415"/>
      <c r="N151" s="413"/>
      <c r="O151" s="413"/>
      <c r="P151" s="413"/>
      <c r="Q151" s="413"/>
      <c r="R151" s="271"/>
      <c r="S151" s="3035"/>
      <c r="T151" s="415"/>
      <c r="U151" s="413"/>
      <c r="V151" s="413"/>
      <c r="W151" s="413"/>
      <c r="X151" s="413"/>
      <c r="Y151" s="414"/>
      <c r="Z151" s="3035"/>
      <c r="AA151" s="415"/>
      <c r="AB151" s="413"/>
      <c r="AC151" s="413"/>
      <c r="AD151" s="413"/>
      <c r="AE151" s="413"/>
      <c r="AF151" s="414"/>
      <c r="AG151" s="3035"/>
      <c r="AH151" s="415"/>
      <c r="AI151" s="413"/>
      <c r="AJ151" s="413"/>
      <c r="AK151" s="413"/>
      <c r="AL151" s="413"/>
      <c r="AM151" s="414"/>
      <c r="AN151" s="3035"/>
      <c r="AO151" s="3040"/>
      <c r="AP151" s="3041"/>
      <c r="AQ151" s="3041"/>
      <c r="AR151" s="3041"/>
      <c r="AS151" s="3041"/>
      <c r="AT151" s="3042"/>
      <c r="AU151" s="4488"/>
      <c r="AV151" s="147"/>
      <c r="AW151" s="4504">
        <f t="shared" si="309"/>
        <v>0</v>
      </c>
      <c r="AX151" s="4504">
        <f t="shared" si="280"/>
        <v>0</v>
      </c>
      <c r="AY151" s="4504">
        <f t="shared" si="281"/>
        <v>0</v>
      </c>
      <c r="AZ151" s="4504">
        <f t="shared" si="282"/>
        <v>0</v>
      </c>
      <c r="BA151" s="4504">
        <f t="shared" si="283"/>
        <v>0</v>
      </c>
      <c r="BB151" s="4504">
        <f t="shared" si="284"/>
        <v>0</v>
      </c>
      <c r="BC151" s="147"/>
      <c r="BD151" s="4504">
        <f t="shared" si="285"/>
        <v>0</v>
      </c>
      <c r="BE151" s="4504">
        <f t="shared" si="286"/>
        <v>0</v>
      </c>
      <c r="BF151" s="4504">
        <f t="shared" si="287"/>
        <v>0</v>
      </c>
      <c r="BG151" s="4504">
        <f t="shared" si="288"/>
        <v>0</v>
      </c>
      <c r="BH151" s="4504">
        <f t="shared" si="289"/>
        <v>0</v>
      </c>
      <c r="BI151" s="4504">
        <f t="shared" si="290"/>
        <v>0</v>
      </c>
      <c r="BJ151" s="147"/>
      <c r="BK151" s="4504">
        <f t="shared" si="291"/>
        <v>0</v>
      </c>
      <c r="BL151" s="4504">
        <f t="shared" si="292"/>
        <v>0</v>
      </c>
      <c r="BM151" s="4504">
        <f t="shared" si="293"/>
        <v>0</v>
      </c>
      <c r="BN151" s="4504">
        <f t="shared" si="294"/>
        <v>0</v>
      </c>
      <c r="BO151" s="4504">
        <f t="shared" si="295"/>
        <v>0</v>
      </c>
      <c r="BP151" s="4504">
        <f t="shared" si="296"/>
        <v>0</v>
      </c>
      <c r="BQ151" s="147"/>
      <c r="BR151" s="4504">
        <f t="shared" si="297"/>
        <v>0</v>
      </c>
      <c r="BS151" s="4504">
        <f t="shared" si="298"/>
        <v>0</v>
      </c>
      <c r="BT151" s="4504">
        <f t="shared" si="299"/>
        <v>0</v>
      </c>
      <c r="BU151" s="4504">
        <f t="shared" si="300"/>
        <v>0</v>
      </c>
      <c r="BV151" s="4504">
        <f t="shared" si="301"/>
        <v>0</v>
      </c>
      <c r="BW151" s="4504">
        <f t="shared" si="302"/>
        <v>0</v>
      </c>
      <c r="BX151" s="147"/>
      <c r="BY151" s="4504">
        <f t="shared" si="303"/>
        <v>0</v>
      </c>
      <c r="BZ151" s="4504">
        <f t="shared" si="304"/>
        <v>0</v>
      </c>
      <c r="CA151" s="4504">
        <f t="shared" si="305"/>
        <v>0</v>
      </c>
      <c r="CB151" s="4504">
        <f t="shared" si="306"/>
        <v>0</v>
      </c>
      <c r="CC151" s="4504">
        <f t="shared" si="307"/>
        <v>0</v>
      </c>
      <c r="CD151" s="4504">
        <f t="shared" si="308"/>
        <v>0</v>
      </c>
    </row>
    <row r="152" spans="1:82" s="40" customFormat="1">
      <c r="A152" s="2996">
        <v>20</v>
      </c>
      <c r="B152" s="2993" t="s">
        <v>717</v>
      </c>
      <c r="C152" s="2995">
        <v>0.04</v>
      </c>
      <c r="D152" s="2994" t="s">
        <v>434</v>
      </c>
      <c r="E152" s="3035"/>
      <c r="F152" s="415"/>
      <c r="G152" s="413"/>
      <c r="H152" s="413"/>
      <c r="I152" s="413"/>
      <c r="J152" s="413"/>
      <c r="K152" s="271"/>
      <c r="L152" s="3035"/>
      <c r="M152" s="415"/>
      <c r="N152" s="413"/>
      <c r="O152" s="413"/>
      <c r="P152" s="413"/>
      <c r="Q152" s="413"/>
      <c r="R152" s="271"/>
      <c r="S152" s="3035"/>
      <c r="T152" s="415"/>
      <c r="U152" s="413"/>
      <c r="V152" s="413"/>
      <c r="W152" s="413"/>
      <c r="X152" s="413"/>
      <c r="Y152" s="414"/>
      <c r="Z152" s="3035"/>
      <c r="AA152" s="415"/>
      <c r="AB152" s="413"/>
      <c r="AC152" s="413"/>
      <c r="AD152" s="413"/>
      <c r="AE152" s="413"/>
      <c r="AF152" s="414"/>
      <c r="AG152" s="3035"/>
      <c r="AH152" s="415"/>
      <c r="AI152" s="413"/>
      <c r="AJ152" s="413"/>
      <c r="AK152" s="413"/>
      <c r="AL152" s="413"/>
      <c r="AM152" s="414"/>
      <c r="AN152" s="3035"/>
      <c r="AO152" s="3040"/>
      <c r="AP152" s="3041"/>
      <c r="AQ152" s="3041"/>
      <c r="AR152" s="3041"/>
      <c r="AS152" s="3041"/>
      <c r="AT152" s="3042"/>
      <c r="AU152" s="4488"/>
      <c r="AV152" s="147"/>
      <c r="AW152" s="4504">
        <f t="shared" si="309"/>
        <v>0</v>
      </c>
      <c r="AX152" s="4504">
        <f t="shared" si="280"/>
        <v>0</v>
      </c>
      <c r="AY152" s="4504">
        <f t="shared" si="281"/>
        <v>0</v>
      </c>
      <c r="AZ152" s="4504">
        <f t="shared" si="282"/>
        <v>0</v>
      </c>
      <c r="BA152" s="4504">
        <f t="shared" si="283"/>
        <v>0</v>
      </c>
      <c r="BB152" s="4504">
        <f t="shared" si="284"/>
        <v>0</v>
      </c>
      <c r="BC152" s="147"/>
      <c r="BD152" s="4504">
        <f t="shared" si="285"/>
        <v>0</v>
      </c>
      <c r="BE152" s="4504">
        <f t="shared" si="286"/>
        <v>0</v>
      </c>
      <c r="BF152" s="4504">
        <f t="shared" si="287"/>
        <v>0</v>
      </c>
      <c r="BG152" s="4504">
        <f t="shared" si="288"/>
        <v>0</v>
      </c>
      <c r="BH152" s="4504">
        <f t="shared" si="289"/>
        <v>0</v>
      </c>
      <c r="BI152" s="4504">
        <f t="shared" si="290"/>
        <v>0</v>
      </c>
      <c r="BJ152" s="147"/>
      <c r="BK152" s="4504">
        <f t="shared" si="291"/>
        <v>0</v>
      </c>
      <c r="BL152" s="4504">
        <f t="shared" si="292"/>
        <v>0</v>
      </c>
      <c r="BM152" s="4504">
        <f t="shared" si="293"/>
        <v>0</v>
      </c>
      <c r="BN152" s="4504">
        <f t="shared" si="294"/>
        <v>0</v>
      </c>
      <c r="BO152" s="4504">
        <f t="shared" si="295"/>
        <v>0</v>
      </c>
      <c r="BP152" s="4504">
        <f t="shared" si="296"/>
        <v>0</v>
      </c>
      <c r="BQ152" s="147"/>
      <c r="BR152" s="4504">
        <f t="shared" si="297"/>
        <v>0</v>
      </c>
      <c r="BS152" s="4504">
        <f t="shared" si="298"/>
        <v>0</v>
      </c>
      <c r="BT152" s="4504">
        <f t="shared" si="299"/>
        <v>0</v>
      </c>
      <c r="BU152" s="4504">
        <f t="shared" si="300"/>
        <v>0</v>
      </c>
      <c r="BV152" s="4504">
        <f t="shared" si="301"/>
        <v>0</v>
      </c>
      <c r="BW152" s="4504">
        <f t="shared" si="302"/>
        <v>0</v>
      </c>
      <c r="BX152" s="147"/>
      <c r="BY152" s="4504">
        <f t="shared" si="303"/>
        <v>0</v>
      </c>
      <c r="BZ152" s="4504">
        <f t="shared" si="304"/>
        <v>0</v>
      </c>
      <c r="CA152" s="4504">
        <f t="shared" si="305"/>
        <v>0</v>
      </c>
      <c r="CB152" s="4504">
        <f t="shared" si="306"/>
        <v>0</v>
      </c>
      <c r="CC152" s="4504">
        <f t="shared" si="307"/>
        <v>0</v>
      </c>
      <c r="CD152" s="4504">
        <f t="shared" si="308"/>
        <v>0</v>
      </c>
    </row>
    <row r="153" spans="1:82" s="40" customFormat="1" ht="24.6" thickBot="1">
      <c r="A153" s="2996">
        <v>21</v>
      </c>
      <c r="B153" s="2993" t="s">
        <v>707</v>
      </c>
      <c r="C153" s="2921">
        <v>0.2</v>
      </c>
      <c r="D153" s="2590" t="s">
        <v>679</v>
      </c>
      <c r="E153" s="3035"/>
      <c r="F153" s="415"/>
      <c r="G153" s="413"/>
      <c r="H153" s="413"/>
      <c r="I153" s="413"/>
      <c r="J153" s="413"/>
      <c r="K153" s="271"/>
      <c r="L153" s="3035"/>
      <c r="M153" s="415"/>
      <c r="N153" s="413"/>
      <c r="O153" s="413"/>
      <c r="P153" s="413"/>
      <c r="Q153" s="413"/>
      <c r="R153" s="271"/>
      <c r="S153" s="3035"/>
      <c r="T153" s="415"/>
      <c r="U153" s="413"/>
      <c r="V153" s="413"/>
      <c r="W153" s="413"/>
      <c r="X153" s="413"/>
      <c r="Y153" s="414"/>
      <c r="Z153" s="3035"/>
      <c r="AA153" s="415"/>
      <c r="AB153" s="413"/>
      <c r="AC153" s="413"/>
      <c r="AD153" s="413"/>
      <c r="AE153" s="413"/>
      <c r="AF153" s="414"/>
      <c r="AG153" s="3035"/>
      <c r="AH153" s="415"/>
      <c r="AI153" s="413"/>
      <c r="AJ153" s="413"/>
      <c r="AK153" s="413"/>
      <c r="AL153" s="413"/>
      <c r="AM153" s="414"/>
      <c r="AN153" s="3043"/>
      <c r="AO153" s="3044"/>
      <c r="AP153" s="3045"/>
      <c r="AQ153" s="3045"/>
      <c r="AR153" s="3045"/>
      <c r="AS153" s="3045"/>
      <c r="AT153" s="3046"/>
      <c r="AU153" s="4488"/>
      <c r="AV153" s="147"/>
      <c r="AW153" s="4504">
        <f t="shared" si="309"/>
        <v>0</v>
      </c>
      <c r="AX153" s="4504">
        <f t="shared" si="280"/>
        <v>0</v>
      </c>
      <c r="AY153" s="4504">
        <f t="shared" si="281"/>
        <v>0</v>
      </c>
      <c r="AZ153" s="4504">
        <f t="shared" si="282"/>
        <v>0</v>
      </c>
      <c r="BA153" s="4504">
        <f t="shared" si="283"/>
        <v>0</v>
      </c>
      <c r="BB153" s="4504">
        <f t="shared" si="284"/>
        <v>0</v>
      </c>
      <c r="BC153" s="147"/>
      <c r="BD153" s="4504">
        <f t="shared" si="285"/>
        <v>0</v>
      </c>
      <c r="BE153" s="4504">
        <f t="shared" si="286"/>
        <v>0</v>
      </c>
      <c r="BF153" s="4504">
        <f t="shared" si="287"/>
        <v>0</v>
      </c>
      <c r="BG153" s="4504">
        <f t="shared" si="288"/>
        <v>0</v>
      </c>
      <c r="BH153" s="4504">
        <f t="shared" si="289"/>
        <v>0</v>
      </c>
      <c r="BI153" s="4504">
        <f t="shared" si="290"/>
        <v>0</v>
      </c>
      <c r="BJ153" s="147"/>
      <c r="BK153" s="4504">
        <f t="shared" si="291"/>
        <v>0</v>
      </c>
      <c r="BL153" s="4504">
        <f t="shared" si="292"/>
        <v>0</v>
      </c>
      <c r="BM153" s="4504">
        <f t="shared" si="293"/>
        <v>0</v>
      </c>
      <c r="BN153" s="4504">
        <f t="shared" si="294"/>
        <v>0</v>
      </c>
      <c r="BO153" s="4504">
        <f t="shared" si="295"/>
        <v>0</v>
      </c>
      <c r="BP153" s="4504">
        <f t="shared" si="296"/>
        <v>0</v>
      </c>
      <c r="BQ153" s="147"/>
      <c r="BR153" s="4504">
        <f t="shared" si="297"/>
        <v>0</v>
      </c>
      <c r="BS153" s="4504">
        <f t="shared" si="298"/>
        <v>0</v>
      </c>
      <c r="BT153" s="4504">
        <f t="shared" si="299"/>
        <v>0</v>
      </c>
      <c r="BU153" s="4504">
        <f t="shared" si="300"/>
        <v>0</v>
      </c>
      <c r="BV153" s="4504">
        <f t="shared" si="301"/>
        <v>0</v>
      </c>
      <c r="BW153" s="4504">
        <f t="shared" si="302"/>
        <v>0</v>
      </c>
      <c r="BX153" s="147"/>
      <c r="BY153" s="4504">
        <f t="shared" si="303"/>
        <v>0</v>
      </c>
      <c r="BZ153" s="4504">
        <f t="shared" si="304"/>
        <v>0</v>
      </c>
      <c r="CA153" s="4504">
        <f t="shared" si="305"/>
        <v>0</v>
      </c>
      <c r="CB153" s="4504">
        <f t="shared" si="306"/>
        <v>0</v>
      </c>
      <c r="CC153" s="4504">
        <f t="shared" si="307"/>
        <v>0</v>
      </c>
      <c r="CD153" s="4504">
        <f t="shared" si="308"/>
        <v>0</v>
      </c>
    </row>
    <row r="154" spans="1:82" s="40" customFormat="1" ht="21.75" customHeight="1" thickBot="1">
      <c r="A154" s="2999">
        <v>2</v>
      </c>
      <c r="B154" s="3000"/>
      <c r="C154" s="3000"/>
      <c r="D154" s="2864" t="s">
        <v>218</v>
      </c>
      <c r="E154" s="2868">
        <f>SUM(E155:E175)</f>
        <v>0</v>
      </c>
      <c r="F154" s="2865">
        <f>SUM(F155:F175)</f>
        <v>188.78077690799998</v>
      </c>
      <c r="G154" s="2866">
        <f t="shared" ref="G154:AT154" si="311">SUM(G155:G175)</f>
        <v>560.82624650799994</v>
      </c>
      <c r="H154" s="2866">
        <f t="shared" si="311"/>
        <v>687.42990650799993</v>
      </c>
      <c r="I154" s="2866">
        <f t="shared" si="311"/>
        <v>924.69314430799989</v>
      </c>
      <c r="J154" s="2866">
        <f t="shared" si="311"/>
        <v>937.28664430799984</v>
      </c>
      <c r="K154" s="2867">
        <f t="shared" si="311"/>
        <v>1408.8982187079998</v>
      </c>
      <c r="L154" s="2868">
        <f t="shared" si="311"/>
        <v>0</v>
      </c>
      <c r="M154" s="2865">
        <f t="shared" si="311"/>
        <v>9.4788796000000008</v>
      </c>
      <c r="N154" s="2866">
        <f t="shared" si="311"/>
        <v>9.4788796000000008</v>
      </c>
      <c r="O154" s="2866">
        <f t="shared" si="311"/>
        <v>9.4788796000000008</v>
      </c>
      <c r="P154" s="2866">
        <f t="shared" si="311"/>
        <v>9.4788796000000008</v>
      </c>
      <c r="Q154" s="2866">
        <f t="shared" si="311"/>
        <v>9.4788796000000008</v>
      </c>
      <c r="R154" s="2869">
        <f t="shared" si="311"/>
        <v>9.4788796000000008</v>
      </c>
      <c r="S154" s="2868">
        <f t="shared" si="311"/>
        <v>0</v>
      </c>
      <c r="T154" s="2865">
        <f t="shared" si="311"/>
        <v>216</v>
      </c>
      <c r="U154" s="2866">
        <f t="shared" si="311"/>
        <v>216</v>
      </c>
      <c r="V154" s="2866">
        <f t="shared" si="311"/>
        <v>216</v>
      </c>
      <c r="W154" s="2866">
        <f t="shared" si="311"/>
        <v>216</v>
      </c>
      <c r="X154" s="2866">
        <f t="shared" si="311"/>
        <v>216</v>
      </c>
      <c r="Y154" s="2869">
        <f t="shared" si="311"/>
        <v>216</v>
      </c>
      <c r="Z154" s="2868">
        <f t="shared" si="311"/>
        <v>0</v>
      </c>
      <c r="AA154" s="2865">
        <f t="shared" si="311"/>
        <v>0</v>
      </c>
      <c r="AB154" s="2866">
        <f t="shared" si="311"/>
        <v>0</v>
      </c>
      <c r="AC154" s="2866">
        <f t="shared" si="311"/>
        <v>0</v>
      </c>
      <c r="AD154" s="2866">
        <f t="shared" si="311"/>
        <v>0</v>
      </c>
      <c r="AE154" s="2866">
        <f t="shared" si="311"/>
        <v>0</v>
      </c>
      <c r="AF154" s="2869">
        <f t="shared" si="311"/>
        <v>0</v>
      </c>
      <c r="AG154" s="2868">
        <f t="shared" si="311"/>
        <v>0</v>
      </c>
      <c r="AH154" s="2865">
        <f t="shared" si="311"/>
        <v>0</v>
      </c>
      <c r="AI154" s="2866">
        <f t="shared" si="311"/>
        <v>0</v>
      </c>
      <c r="AJ154" s="2866">
        <f t="shared" si="311"/>
        <v>0</v>
      </c>
      <c r="AK154" s="2866">
        <f t="shared" si="311"/>
        <v>0</v>
      </c>
      <c r="AL154" s="2866">
        <f t="shared" si="311"/>
        <v>0</v>
      </c>
      <c r="AM154" s="2869">
        <f t="shared" si="311"/>
        <v>0</v>
      </c>
      <c r="AN154" s="2868">
        <f t="shared" si="311"/>
        <v>0</v>
      </c>
      <c r="AO154" s="2865">
        <f t="shared" si="311"/>
        <v>0</v>
      </c>
      <c r="AP154" s="2866">
        <f t="shared" si="311"/>
        <v>0</v>
      </c>
      <c r="AQ154" s="2866">
        <f t="shared" si="311"/>
        <v>0</v>
      </c>
      <c r="AR154" s="2866">
        <f t="shared" si="311"/>
        <v>0</v>
      </c>
      <c r="AS154" s="2866">
        <f t="shared" si="311"/>
        <v>0</v>
      </c>
      <c r="AT154" s="2869">
        <f t="shared" si="311"/>
        <v>0</v>
      </c>
      <c r="AU154" s="4488"/>
      <c r="AV154" s="147"/>
      <c r="AW154" s="4504">
        <f t="shared" si="309"/>
        <v>96.522078558974954</v>
      </c>
      <c r="AX154" s="4504">
        <f t="shared" si="280"/>
        <v>286.74590660128945</v>
      </c>
      <c r="AY154" s="4504">
        <f t="shared" si="281"/>
        <v>351.47733008901588</v>
      </c>
      <c r="AZ154" s="4504">
        <f t="shared" si="282"/>
        <v>472.78809728248359</v>
      </c>
      <c r="BA154" s="4504">
        <f t="shared" si="283"/>
        <v>479.22705158832815</v>
      </c>
      <c r="BB154" s="4504">
        <f t="shared" si="284"/>
        <v>720.35822065721447</v>
      </c>
      <c r="BC154" s="147"/>
      <c r="BD154" s="4504">
        <f t="shared" si="285"/>
        <v>4.8464741823164594</v>
      </c>
      <c r="BE154" s="4504">
        <f t="shared" si="286"/>
        <v>4.8464741823164594</v>
      </c>
      <c r="BF154" s="4504">
        <f t="shared" si="287"/>
        <v>4.8464741823164594</v>
      </c>
      <c r="BG154" s="4504">
        <f t="shared" si="288"/>
        <v>4.8464741823164594</v>
      </c>
      <c r="BH154" s="4504">
        <f t="shared" si="289"/>
        <v>4.8464741823164594</v>
      </c>
      <c r="BI154" s="4504">
        <f t="shared" si="290"/>
        <v>4.8464741823164594</v>
      </c>
      <c r="BJ154" s="147"/>
      <c r="BK154" s="4504">
        <f t="shared" si="291"/>
        <v>110.43904633838319</v>
      </c>
      <c r="BL154" s="4504">
        <f t="shared" si="292"/>
        <v>110.43904633838319</v>
      </c>
      <c r="BM154" s="4504">
        <f t="shared" si="293"/>
        <v>110.43904633838319</v>
      </c>
      <c r="BN154" s="4504">
        <f t="shared" si="294"/>
        <v>110.43904633838319</v>
      </c>
      <c r="BO154" s="4504">
        <f t="shared" si="295"/>
        <v>110.43904633838319</v>
      </c>
      <c r="BP154" s="4504">
        <f t="shared" si="296"/>
        <v>110.43904633838319</v>
      </c>
      <c r="BQ154" s="147"/>
      <c r="BR154" s="4504">
        <f t="shared" si="297"/>
        <v>0</v>
      </c>
      <c r="BS154" s="4504">
        <f t="shared" si="298"/>
        <v>0</v>
      </c>
      <c r="BT154" s="4504">
        <f t="shared" si="299"/>
        <v>0</v>
      </c>
      <c r="BU154" s="4504">
        <f t="shared" si="300"/>
        <v>0</v>
      </c>
      <c r="BV154" s="4504">
        <f t="shared" si="301"/>
        <v>0</v>
      </c>
      <c r="BW154" s="4504">
        <f t="shared" si="302"/>
        <v>0</v>
      </c>
      <c r="BX154" s="147"/>
      <c r="BY154" s="4504">
        <f t="shared" si="303"/>
        <v>0</v>
      </c>
      <c r="BZ154" s="4504">
        <f t="shared" si="304"/>
        <v>0</v>
      </c>
      <c r="CA154" s="4504">
        <f t="shared" si="305"/>
        <v>0</v>
      </c>
      <c r="CB154" s="4504">
        <f t="shared" si="306"/>
        <v>0</v>
      </c>
      <c r="CC154" s="4504">
        <f t="shared" si="307"/>
        <v>0</v>
      </c>
      <c r="CD154" s="4504">
        <f t="shared" si="308"/>
        <v>0</v>
      </c>
    </row>
    <row r="155" spans="1:82" s="40" customFormat="1">
      <c r="A155" s="2990">
        <v>1</v>
      </c>
      <c r="B155" s="2991" t="s">
        <v>696</v>
      </c>
      <c r="C155" s="2992">
        <v>0</v>
      </c>
      <c r="D155" s="2584" t="s">
        <v>558</v>
      </c>
      <c r="E155" s="3035"/>
      <c r="F155" s="3001">
        <f>(E111*$C111)+(F111*$C111)-(F133*$C111)</f>
        <v>0</v>
      </c>
      <c r="G155" s="3002">
        <f>F155+(G111*$C111)-(G133*$C111)</f>
        <v>0</v>
      </c>
      <c r="H155" s="3002">
        <f t="shared" ref="H155:K155" si="312">G155+(H111*$C111)-(H133*$C111)</f>
        <v>0</v>
      </c>
      <c r="I155" s="3002">
        <f t="shared" si="312"/>
        <v>0</v>
      </c>
      <c r="J155" s="3002">
        <f t="shared" si="312"/>
        <v>0</v>
      </c>
      <c r="K155" s="3003">
        <f t="shared" si="312"/>
        <v>0</v>
      </c>
      <c r="L155" s="3035"/>
      <c r="M155" s="3001">
        <f>(L111*$C111)+(M111*$C111)-(M133*$C111)</f>
        <v>0</v>
      </c>
      <c r="N155" s="3002">
        <f>M155+(N111*$C111)-(N133*$C111)</f>
        <v>0</v>
      </c>
      <c r="O155" s="3002">
        <f t="shared" ref="O155:R155" si="313">N155+(O111*$C111)-(O133*$C111)</f>
        <v>0</v>
      </c>
      <c r="P155" s="3002">
        <f t="shared" si="313"/>
        <v>0</v>
      </c>
      <c r="Q155" s="3002">
        <f t="shared" si="313"/>
        <v>0</v>
      </c>
      <c r="R155" s="3003">
        <f t="shared" si="313"/>
        <v>0</v>
      </c>
      <c r="S155" s="3035"/>
      <c r="T155" s="3001">
        <f>(S111*$C111)+(T111*$C111)-(T133*$C111)</f>
        <v>0</v>
      </c>
      <c r="U155" s="3002">
        <f>T155+(U111*$C111)-(U133*$C111)</f>
        <v>0</v>
      </c>
      <c r="V155" s="3002">
        <f t="shared" ref="V155:Y155" si="314">U155+(V111*$C111)-(V133*$C111)</f>
        <v>0</v>
      </c>
      <c r="W155" s="3002">
        <f t="shared" si="314"/>
        <v>0</v>
      </c>
      <c r="X155" s="3002">
        <f t="shared" si="314"/>
        <v>0</v>
      </c>
      <c r="Y155" s="3003">
        <f t="shared" si="314"/>
        <v>0</v>
      </c>
      <c r="Z155" s="3035"/>
      <c r="AA155" s="3001">
        <f>(Z111*$C111)+(AA111*$C111)-(AA133*$C111)</f>
        <v>0</v>
      </c>
      <c r="AB155" s="3002">
        <f>AA155+(AB111*$C111)-(AB133*$C111)</f>
        <v>0</v>
      </c>
      <c r="AC155" s="3002">
        <f t="shared" ref="AC155:AF170" si="315">AB155+(AC111*$C111)-(AC133*$C111)</f>
        <v>0</v>
      </c>
      <c r="AD155" s="3002">
        <f t="shared" si="315"/>
        <v>0</v>
      </c>
      <c r="AE155" s="3002">
        <f t="shared" si="315"/>
        <v>0</v>
      </c>
      <c r="AF155" s="3003">
        <f t="shared" si="315"/>
        <v>0</v>
      </c>
      <c r="AG155" s="3035"/>
      <c r="AH155" s="3001">
        <f>(AG111*$C111)+(AH111*$C111)-(AH133*$C111)</f>
        <v>0</v>
      </c>
      <c r="AI155" s="3002">
        <f>AH155+(AI111*$C111)-(AI133*$C111)</f>
        <v>0</v>
      </c>
      <c r="AJ155" s="3002">
        <f t="shared" ref="AJ155:AM170" si="316">AI155+(AJ111*$C111)-(AJ133*$C111)</f>
        <v>0</v>
      </c>
      <c r="AK155" s="3002">
        <f t="shared" si="316"/>
        <v>0</v>
      </c>
      <c r="AL155" s="3002">
        <f t="shared" si="316"/>
        <v>0</v>
      </c>
      <c r="AM155" s="3003">
        <f t="shared" si="316"/>
        <v>0</v>
      </c>
      <c r="AN155" s="3036"/>
      <c r="AO155" s="3037"/>
      <c r="AP155" s="3038"/>
      <c r="AQ155" s="3038"/>
      <c r="AR155" s="3038"/>
      <c r="AS155" s="3038"/>
      <c r="AT155" s="3039"/>
      <c r="AU155" s="4488"/>
      <c r="AV155" s="147"/>
      <c r="AW155" s="4504">
        <f t="shared" si="309"/>
        <v>0</v>
      </c>
      <c r="AX155" s="4504">
        <f t="shared" si="280"/>
        <v>0</v>
      </c>
      <c r="AY155" s="4504">
        <f t="shared" si="281"/>
        <v>0</v>
      </c>
      <c r="AZ155" s="4504">
        <f t="shared" si="282"/>
        <v>0</v>
      </c>
      <c r="BA155" s="4504">
        <f t="shared" si="283"/>
        <v>0</v>
      </c>
      <c r="BB155" s="4504">
        <f t="shared" si="284"/>
        <v>0</v>
      </c>
      <c r="BC155" s="147"/>
      <c r="BD155" s="4504">
        <f t="shared" si="285"/>
        <v>0</v>
      </c>
      <c r="BE155" s="4504">
        <f t="shared" si="286"/>
        <v>0</v>
      </c>
      <c r="BF155" s="4504">
        <f t="shared" si="287"/>
        <v>0</v>
      </c>
      <c r="BG155" s="4504">
        <f t="shared" si="288"/>
        <v>0</v>
      </c>
      <c r="BH155" s="4504">
        <f t="shared" si="289"/>
        <v>0</v>
      </c>
      <c r="BI155" s="4504">
        <f t="shared" si="290"/>
        <v>0</v>
      </c>
      <c r="BJ155" s="147"/>
      <c r="BK155" s="4504">
        <f t="shared" si="291"/>
        <v>0</v>
      </c>
      <c r="BL155" s="4504">
        <f t="shared" si="292"/>
        <v>0</v>
      </c>
      <c r="BM155" s="4504">
        <f t="shared" si="293"/>
        <v>0</v>
      </c>
      <c r="BN155" s="4504">
        <f t="shared" si="294"/>
        <v>0</v>
      </c>
      <c r="BO155" s="4504">
        <f t="shared" si="295"/>
        <v>0</v>
      </c>
      <c r="BP155" s="4504">
        <f t="shared" si="296"/>
        <v>0</v>
      </c>
      <c r="BQ155" s="147"/>
      <c r="BR155" s="4504">
        <f t="shared" si="297"/>
        <v>0</v>
      </c>
      <c r="BS155" s="4504">
        <f t="shared" si="298"/>
        <v>0</v>
      </c>
      <c r="BT155" s="4504">
        <f t="shared" si="299"/>
        <v>0</v>
      </c>
      <c r="BU155" s="4504">
        <f t="shared" si="300"/>
        <v>0</v>
      </c>
      <c r="BV155" s="4504">
        <f t="shared" si="301"/>
        <v>0</v>
      </c>
      <c r="BW155" s="4504">
        <f t="shared" si="302"/>
        <v>0</v>
      </c>
      <c r="BX155" s="147"/>
      <c r="BY155" s="4504">
        <f t="shared" si="303"/>
        <v>0</v>
      </c>
      <c r="BZ155" s="4504">
        <f t="shared" si="304"/>
        <v>0</v>
      </c>
      <c r="CA155" s="4504">
        <f t="shared" si="305"/>
        <v>0</v>
      </c>
      <c r="CB155" s="4504">
        <f t="shared" si="306"/>
        <v>0</v>
      </c>
      <c r="CC155" s="4504">
        <f t="shared" si="307"/>
        <v>0</v>
      </c>
      <c r="CD155" s="4504">
        <f t="shared" si="308"/>
        <v>0</v>
      </c>
    </row>
    <row r="156" spans="1:82" s="40" customFormat="1">
      <c r="A156" s="2990">
        <v>2</v>
      </c>
      <c r="B156" s="2993" t="s">
        <v>697</v>
      </c>
      <c r="C156" s="2992">
        <v>0.03</v>
      </c>
      <c r="D156" s="2994" t="s">
        <v>426</v>
      </c>
      <c r="E156" s="3035"/>
      <c r="F156" s="3004">
        <f t="shared" ref="F156:F175" si="317">(E112*$C112)+(F112*$C112)-(F134*$C112)</f>
        <v>0</v>
      </c>
      <c r="G156" s="2940">
        <f t="shared" ref="G156:K171" si="318">F156+(G112*$C112)-(G134*$C112)</f>
        <v>0</v>
      </c>
      <c r="H156" s="2940">
        <f t="shared" si="318"/>
        <v>0</v>
      </c>
      <c r="I156" s="2940">
        <f t="shared" si="318"/>
        <v>0</v>
      </c>
      <c r="J156" s="2940">
        <f t="shared" si="318"/>
        <v>0</v>
      </c>
      <c r="K156" s="3005">
        <f t="shared" si="318"/>
        <v>0</v>
      </c>
      <c r="L156" s="3035"/>
      <c r="M156" s="3004">
        <f t="shared" ref="M156:M175" si="319">(L112*$C112)+(M112*$C112)-(M134*$C112)</f>
        <v>0</v>
      </c>
      <c r="N156" s="2940">
        <f t="shared" ref="N156:R171" si="320">M156+(N112*$C112)-(N134*$C112)</f>
        <v>0</v>
      </c>
      <c r="O156" s="2940">
        <f t="shared" si="320"/>
        <v>0</v>
      </c>
      <c r="P156" s="2940">
        <f t="shared" si="320"/>
        <v>0</v>
      </c>
      <c r="Q156" s="2940">
        <f t="shared" si="320"/>
        <v>0</v>
      </c>
      <c r="R156" s="3005">
        <f t="shared" si="320"/>
        <v>0</v>
      </c>
      <c r="S156" s="3035"/>
      <c r="T156" s="3004">
        <f t="shared" ref="T156:T175" si="321">(S112*$C112)+(T112*$C112)-(T134*$C112)</f>
        <v>0</v>
      </c>
      <c r="U156" s="2940">
        <f t="shared" ref="U156:Y171" si="322">T156+(U112*$C112)-(U134*$C112)</f>
        <v>0</v>
      </c>
      <c r="V156" s="2940">
        <f t="shared" si="322"/>
        <v>0</v>
      </c>
      <c r="W156" s="2940">
        <f t="shared" si="322"/>
        <v>0</v>
      </c>
      <c r="X156" s="2940">
        <f t="shared" si="322"/>
        <v>0</v>
      </c>
      <c r="Y156" s="3005">
        <f t="shared" si="322"/>
        <v>0</v>
      </c>
      <c r="Z156" s="3035"/>
      <c r="AA156" s="3004">
        <f t="shared" ref="AA156:AA175" si="323">(Z112*$C112)+(AA112*$C112)-(AA134*$C112)</f>
        <v>0</v>
      </c>
      <c r="AB156" s="2940">
        <f t="shared" ref="AB156:AF171" si="324">AA156+(AB112*$C112)-(AB134*$C112)</f>
        <v>0</v>
      </c>
      <c r="AC156" s="2940">
        <f t="shared" si="315"/>
        <v>0</v>
      </c>
      <c r="AD156" s="2940">
        <f t="shared" si="315"/>
        <v>0</v>
      </c>
      <c r="AE156" s="2940">
        <f t="shared" si="315"/>
        <v>0</v>
      </c>
      <c r="AF156" s="3005">
        <f t="shared" si="315"/>
        <v>0</v>
      </c>
      <c r="AG156" s="3035"/>
      <c r="AH156" s="3004">
        <f t="shared" ref="AH156:AH175" si="325">(AG112*$C112)+(AH112*$C112)-(AH134*$C112)</f>
        <v>0</v>
      </c>
      <c r="AI156" s="2940">
        <f t="shared" ref="AI156:AM171" si="326">AH156+(AI112*$C112)-(AI134*$C112)</f>
        <v>0</v>
      </c>
      <c r="AJ156" s="2940">
        <f t="shared" si="316"/>
        <v>0</v>
      </c>
      <c r="AK156" s="2940">
        <f t="shared" si="316"/>
        <v>0</v>
      </c>
      <c r="AL156" s="2940">
        <f t="shared" si="316"/>
        <v>0</v>
      </c>
      <c r="AM156" s="3005">
        <f t="shared" si="316"/>
        <v>0</v>
      </c>
      <c r="AN156" s="3035"/>
      <c r="AO156" s="3040"/>
      <c r="AP156" s="3041"/>
      <c r="AQ156" s="3041"/>
      <c r="AR156" s="3041"/>
      <c r="AS156" s="3041"/>
      <c r="AT156" s="3042"/>
      <c r="AU156" s="4488"/>
      <c r="AV156" s="147"/>
      <c r="AW156" s="4504">
        <f t="shared" si="309"/>
        <v>0</v>
      </c>
      <c r="AX156" s="4504">
        <f t="shared" si="280"/>
        <v>0</v>
      </c>
      <c r="AY156" s="4504">
        <f t="shared" si="281"/>
        <v>0</v>
      </c>
      <c r="AZ156" s="4504">
        <f t="shared" si="282"/>
        <v>0</v>
      </c>
      <c r="BA156" s="4504">
        <f t="shared" si="283"/>
        <v>0</v>
      </c>
      <c r="BB156" s="4504">
        <f t="shared" si="284"/>
        <v>0</v>
      </c>
      <c r="BC156" s="147"/>
      <c r="BD156" s="4504">
        <f t="shared" si="285"/>
        <v>0</v>
      </c>
      <c r="BE156" s="4504">
        <f t="shared" si="286"/>
        <v>0</v>
      </c>
      <c r="BF156" s="4504">
        <f t="shared" si="287"/>
        <v>0</v>
      </c>
      <c r="BG156" s="4504">
        <f t="shared" si="288"/>
        <v>0</v>
      </c>
      <c r="BH156" s="4504">
        <f t="shared" si="289"/>
        <v>0</v>
      </c>
      <c r="BI156" s="4504">
        <f t="shared" si="290"/>
        <v>0</v>
      </c>
      <c r="BJ156" s="147"/>
      <c r="BK156" s="4504">
        <f t="shared" si="291"/>
        <v>0</v>
      </c>
      <c r="BL156" s="4504">
        <f t="shared" si="292"/>
        <v>0</v>
      </c>
      <c r="BM156" s="4504">
        <f t="shared" si="293"/>
        <v>0</v>
      </c>
      <c r="BN156" s="4504">
        <f t="shared" si="294"/>
        <v>0</v>
      </c>
      <c r="BO156" s="4504">
        <f t="shared" si="295"/>
        <v>0</v>
      </c>
      <c r="BP156" s="4504">
        <f t="shared" si="296"/>
        <v>0</v>
      </c>
      <c r="BQ156" s="147"/>
      <c r="BR156" s="4504">
        <f t="shared" si="297"/>
        <v>0</v>
      </c>
      <c r="BS156" s="4504">
        <f t="shared" si="298"/>
        <v>0</v>
      </c>
      <c r="BT156" s="4504">
        <f t="shared" si="299"/>
        <v>0</v>
      </c>
      <c r="BU156" s="4504">
        <f t="shared" si="300"/>
        <v>0</v>
      </c>
      <c r="BV156" s="4504">
        <f t="shared" si="301"/>
        <v>0</v>
      </c>
      <c r="BW156" s="4504">
        <f t="shared" si="302"/>
        <v>0</v>
      </c>
      <c r="BX156" s="147"/>
      <c r="BY156" s="4504">
        <f t="shared" si="303"/>
        <v>0</v>
      </c>
      <c r="BZ156" s="4504">
        <f t="shared" si="304"/>
        <v>0</v>
      </c>
      <c r="CA156" s="4504">
        <f t="shared" si="305"/>
        <v>0</v>
      </c>
      <c r="CB156" s="4504">
        <f t="shared" si="306"/>
        <v>0</v>
      </c>
      <c r="CC156" s="4504">
        <f t="shared" si="307"/>
        <v>0</v>
      </c>
      <c r="CD156" s="4504">
        <f t="shared" si="308"/>
        <v>0</v>
      </c>
    </row>
    <row r="157" spans="1:82" s="40" customFormat="1">
      <c r="A157" s="2990">
        <v>3</v>
      </c>
      <c r="B157" s="2993">
        <v>911301</v>
      </c>
      <c r="C157" s="2995">
        <v>0.1</v>
      </c>
      <c r="D157" s="2994" t="s">
        <v>427</v>
      </c>
      <c r="E157" s="3907"/>
      <c r="F157" s="3004">
        <f t="shared" si="317"/>
        <v>0</v>
      </c>
      <c r="G157" s="2940">
        <f t="shared" si="318"/>
        <v>0</v>
      </c>
      <c r="H157" s="2940">
        <f t="shared" si="318"/>
        <v>0</v>
      </c>
      <c r="I157" s="2940">
        <f t="shared" si="318"/>
        <v>0</v>
      </c>
      <c r="J157" s="2940">
        <f t="shared" si="318"/>
        <v>0</v>
      </c>
      <c r="K157" s="3005">
        <f t="shared" si="318"/>
        <v>0</v>
      </c>
      <c r="L157" s="3907"/>
      <c r="M157" s="3004">
        <f t="shared" si="319"/>
        <v>0</v>
      </c>
      <c r="N157" s="2940">
        <f t="shared" si="320"/>
        <v>0</v>
      </c>
      <c r="O157" s="2940">
        <f t="shared" si="320"/>
        <v>0</v>
      </c>
      <c r="P157" s="2940">
        <f t="shared" si="320"/>
        <v>0</v>
      </c>
      <c r="Q157" s="2940">
        <f t="shared" si="320"/>
        <v>0</v>
      </c>
      <c r="R157" s="3005">
        <f t="shared" si="320"/>
        <v>0</v>
      </c>
      <c r="S157" s="3907"/>
      <c r="T157" s="3004">
        <f t="shared" si="321"/>
        <v>0</v>
      </c>
      <c r="U157" s="2940">
        <f t="shared" si="322"/>
        <v>0</v>
      </c>
      <c r="V157" s="2940">
        <f t="shared" si="322"/>
        <v>0</v>
      </c>
      <c r="W157" s="2940">
        <f t="shared" si="322"/>
        <v>0</v>
      </c>
      <c r="X157" s="2940">
        <f t="shared" si="322"/>
        <v>0</v>
      </c>
      <c r="Y157" s="3005">
        <f t="shared" si="322"/>
        <v>0</v>
      </c>
      <c r="Z157" s="3907"/>
      <c r="AA157" s="3004">
        <f t="shared" si="323"/>
        <v>0</v>
      </c>
      <c r="AB157" s="2940">
        <f t="shared" si="324"/>
        <v>0</v>
      </c>
      <c r="AC157" s="2940">
        <f t="shared" si="315"/>
        <v>0</v>
      </c>
      <c r="AD157" s="2940">
        <f t="shared" si="315"/>
        <v>0</v>
      </c>
      <c r="AE157" s="2940">
        <f t="shared" si="315"/>
        <v>0</v>
      </c>
      <c r="AF157" s="3005">
        <f t="shared" si="315"/>
        <v>0</v>
      </c>
      <c r="AG157" s="3907"/>
      <c r="AH157" s="3004">
        <f t="shared" si="325"/>
        <v>0</v>
      </c>
      <c r="AI157" s="2940">
        <f t="shared" si="326"/>
        <v>0</v>
      </c>
      <c r="AJ157" s="2940">
        <f t="shared" si="316"/>
        <v>0</v>
      </c>
      <c r="AK157" s="2940">
        <f t="shared" si="316"/>
        <v>0</v>
      </c>
      <c r="AL157" s="2940">
        <f t="shared" si="316"/>
        <v>0</v>
      </c>
      <c r="AM157" s="3005">
        <f t="shared" si="316"/>
        <v>0</v>
      </c>
      <c r="AN157" s="3907"/>
      <c r="AO157" s="3908"/>
      <c r="AP157" s="3909"/>
      <c r="AQ157" s="3909"/>
      <c r="AR157" s="3909"/>
      <c r="AS157" s="3909"/>
      <c r="AT157" s="3910"/>
      <c r="AU157" s="4488"/>
      <c r="AV157" s="147"/>
      <c r="AW157" s="4504">
        <f t="shared" si="309"/>
        <v>0</v>
      </c>
      <c r="AX157" s="4504">
        <f t="shared" si="280"/>
        <v>0</v>
      </c>
      <c r="AY157" s="4504">
        <f t="shared" si="281"/>
        <v>0</v>
      </c>
      <c r="AZ157" s="4504">
        <f t="shared" si="282"/>
        <v>0</v>
      </c>
      <c r="BA157" s="4504">
        <f t="shared" si="283"/>
        <v>0</v>
      </c>
      <c r="BB157" s="4504">
        <f t="shared" si="284"/>
        <v>0</v>
      </c>
      <c r="BC157" s="147"/>
      <c r="BD157" s="4504">
        <f t="shared" si="285"/>
        <v>0</v>
      </c>
      <c r="BE157" s="4504">
        <f t="shared" si="286"/>
        <v>0</v>
      </c>
      <c r="BF157" s="4504">
        <f t="shared" si="287"/>
        <v>0</v>
      </c>
      <c r="BG157" s="4504">
        <f t="shared" si="288"/>
        <v>0</v>
      </c>
      <c r="BH157" s="4504">
        <f t="shared" si="289"/>
        <v>0</v>
      </c>
      <c r="BI157" s="4504">
        <f t="shared" si="290"/>
        <v>0</v>
      </c>
      <c r="BJ157" s="147"/>
      <c r="BK157" s="4504">
        <f t="shared" si="291"/>
        <v>0</v>
      </c>
      <c r="BL157" s="4504">
        <f t="shared" si="292"/>
        <v>0</v>
      </c>
      <c r="BM157" s="4504">
        <f t="shared" si="293"/>
        <v>0</v>
      </c>
      <c r="BN157" s="4504">
        <f t="shared" si="294"/>
        <v>0</v>
      </c>
      <c r="BO157" s="4504">
        <f t="shared" si="295"/>
        <v>0</v>
      </c>
      <c r="BP157" s="4504">
        <f t="shared" si="296"/>
        <v>0</v>
      </c>
      <c r="BQ157" s="147"/>
      <c r="BR157" s="4504">
        <f t="shared" si="297"/>
        <v>0</v>
      </c>
      <c r="BS157" s="4504">
        <f t="shared" si="298"/>
        <v>0</v>
      </c>
      <c r="BT157" s="4504">
        <f t="shared" si="299"/>
        <v>0</v>
      </c>
      <c r="BU157" s="4504">
        <f t="shared" si="300"/>
        <v>0</v>
      </c>
      <c r="BV157" s="4504">
        <f t="shared" si="301"/>
        <v>0</v>
      </c>
      <c r="BW157" s="4504">
        <f t="shared" si="302"/>
        <v>0</v>
      </c>
      <c r="BX157" s="147"/>
      <c r="BY157" s="4504">
        <f t="shared" si="303"/>
        <v>0</v>
      </c>
      <c r="BZ157" s="4504">
        <f t="shared" si="304"/>
        <v>0</v>
      </c>
      <c r="CA157" s="4504">
        <f t="shared" si="305"/>
        <v>0</v>
      </c>
      <c r="CB157" s="4504">
        <f t="shared" si="306"/>
        <v>0</v>
      </c>
      <c r="CC157" s="4504">
        <f t="shared" si="307"/>
        <v>0</v>
      </c>
      <c r="CD157" s="4504">
        <f t="shared" si="308"/>
        <v>0</v>
      </c>
    </row>
    <row r="158" spans="1:82" s="40" customFormat="1">
      <c r="A158" s="3901">
        <v>4</v>
      </c>
      <c r="B158" s="2991">
        <v>911302</v>
      </c>
      <c r="C158" s="3902">
        <v>0.1</v>
      </c>
      <c r="D158" s="3911" t="s">
        <v>428</v>
      </c>
      <c r="E158" s="3907"/>
      <c r="F158" s="3904">
        <f t="shared" si="317"/>
        <v>0</v>
      </c>
      <c r="G158" s="3905">
        <f t="shared" si="318"/>
        <v>0</v>
      </c>
      <c r="H158" s="3905">
        <f t="shared" si="318"/>
        <v>0</v>
      </c>
      <c r="I158" s="3905">
        <f t="shared" si="318"/>
        <v>0</v>
      </c>
      <c r="J158" s="3905">
        <f t="shared" si="318"/>
        <v>0</v>
      </c>
      <c r="K158" s="3906">
        <f t="shared" si="318"/>
        <v>0</v>
      </c>
      <c r="L158" s="3907"/>
      <c r="M158" s="3904">
        <f t="shared" si="319"/>
        <v>0</v>
      </c>
      <c r="N158" s="3905">
        <f t="shared" si="320"/>
        <v>0</v>
      </c>
      <c r="O158" s="3905">
        <f t="shared" si="320"/>
        <v>0</v>
      </c>
      <c r="P158" s="3905">
        <f t="shared" si="320"/>
        <v>0</v>
      </c>
      <c r="Q158" s="3905">
        <f t="shared" si="320"/>
        <v>0</v>
      </c>
      <c r="R158" s="3906">
        <f t="shared" si="320"/>
        <v>0</v>
      </c>
      <c r="S158" s="3907"/>
      <c r="T158" s="3904">
        <f t="shared" si="321"/>
        <v>0</v>
      </c>
      <c r="U158" s="3905">
        <f t="shared" si="322"/>
        <v>0</v>
      </c>
      <c r="V158" s="3905">
        <f t="shared" si="322"/>
        <v>0</v>
      </c>
      <c r="W158" s="3905">
        <f t="shared" si="322"/>
        <v>0</v>
      </c>
      <c r="X158" s="3905">
        <f t="shared" si="322"/>
        <v>0</v>
      </c>
      <c r="Y158" s="3906">
        <f t="shared" si="322"/>
        <v>0</v>
      </c>
      <c r="Z158" s="3907"/>
      <c r="AA158" s="3904">
        <f t="shared" si="323"/>
        <v>0</v>
      </c>
      <c r="AB158" s="3905">
        <f t="shared" si="324"/>
        <v>0</v>
      </c>
      <c r="AC158" s="3905">
        <f t="shared" si="315"/>
        <v>0</v>
      </c>
      <c r="AD158" s="3905">
        <f t="shared" si="315"/>
        <v>0</v>
      </c>
      <c r="AE158" s="3905">
        <f t="shared" si="315"/>
        <v>0</v>
      </c>
      <c r="AF158" s="3906">
        <f t="shared" si="315"/>
        <v>0</v>
      </c>
      <c r="AG158" s="3907"/>
      <c r="AH158" s="3904">
        <f t="shared" si="325"/>
        <v>0</v>
      </c>
      <c r="AI158" s="3905">
        <f t="shared" si="326"/>
        <v>0</v>
      </c>
      <c r="AJ158" s="3905">
        <f t="shared" si="316"/>
        <v>0</v>
      </c>
      <c r="AK158" s="3905">
        <f t="shared" si="316"/>
        <v>0</v>
      </c>
      <c r="AL158" s="3905">
        <f t="shared" si="316"/>
        <v>0</v>
      </c>
      <c r="AM158" s="3906">
        <f t="shared" si="316"/>
        <v>0</v>
      </c>
      <c r="AN158" s="3907"/>
      <c r="AO158" s="3908"/>
      <c r="AP158" s="3909"/>
      <c r="AQ158" s="3909"/>
      <c r="AR158" s="3909"/>
      <c r="AS158" s="3909"/>
      <c r="AT158" s="3910"/>
      <c r="AU158" s="4488"/>
      <c r="AV158" s="147"/>
      <c r="AW158" s="4504">
        <f t="shared" si="309"/>
        <v>0</v>
      </c>
      <c r="AX158" s="4504">
        <f t="shared" si="280"/>
        <v>0</v>
      </c>
      <c r="AY158" s="4504">
        <f t="shared" si="281"/>
        <v>0</v>
      </c>
      <c r="AZ158" s="4504">
        <f t="shared" si="282"/>
        <v>0</v>
      </c>
      <c r="BA158" s="4504">
        <f t="shared" si="283"/>
        <v>0</v>
      </c>
      <c r="BB158" s="4504">
        <f t="shared" si="284"/>
        <v>0</v>
      </c>
      <c r="BC158" s="147"/>
      <c r="BD158" s="4504">
        <f t="shared" si="285"/>
        <v>0</v>
      </c>
      <c r="BE158" s="4504">
        <f t="shared" si="286"/>
        <v>0</v>
      </c>
      <c r="BF158" s="4504">
        <f t="shared" si="287"/>
        <v>0</v>
      </c>
      <c r="BG158" s="4504">
        <f t="shared" si="288"/>
        <v>0</v>
      </c>
      <c r="BH158" s="4504">
        <f t="shared" si="289"/>
        <v>0</v>
      </c>
      <c r="BI158" s="4504">
        <f t="shared" si="290"/>
        <v>0</v>
      </c>
      <c r="BJ158" s="147"/>
      <c r="BK158" s="4504">
        <f t="shared" si="291"/>
        <v>0</v>
      </c>
      <c r="BL158" s="4504">
        <f t="shared" si="292"/>
        <v>0</v>
      </c>
      <c r="BM158" s="4504">
        <f t="shared" si="293"/>
        <v>0</v>
      </c>
      <c r="BN158" s="4504">
        <f t="shared" si="294"/>
        <v>0</v>
      </c>
      <c r="BO158" s="4504">
        <f t="shared" si="295"/>
        <v>0</v>
      </c>
      <c r="BP158" s="4504">
        <f t="shared" si="296"/>
        <v>0</v>
      </c>
      <c r="BQ158" s="147"/>
      <c r="BR158" s="4504">
        <f t="shared" si="297"/>
        <v>0</v>
      </c>
      <c r="BS158" s="4504">
        <f t="shared" si="298"/>
        <v>0</v>
      </c>
      <c r="BT158" s="4504">
        <f t="shared" si="299"/>
        <v>0</v>
      </c>
      <c r="BU158" s="4504">
        <f t="shared" si="300"/>
        <v>0</v>
      </c>
      <c r="BV158" s="4504">
        <f t="shared" si="301"/>
        <v>0</v>
      </c>
      <c r="BW158" s="4504">
        <f t="shared" si="302"/>
        <v>0</v>
      </c>
      <c r="BX158" s="147"/>
      <c r="BY158" s="4504">
        <f t="shared" si="303"/>
        <v>0</v>
      </c>
      <c r="BZ158" s="4504">
        <f t="shared" si="304"/>
        <v>0</v>
      </c>
      <c r="CA158" s="4504">
        <f t="shared" si="305"/>
        <v>0</v>
      </c>
      <c r="CB158" s="4504">
        <f t="shared" si="306"/>
        <v>0</v>
      </c>
      <c r="CC158" s="4504">
        <f t="shared" si="307"/>
        <v>0</v>
      </c>
      <c r="CD158" s="4504">
        <f t="shared" si="308"/>
        <v>0</v>
      </c>
    </row>
    <row r="159" spans="1:82" s="40" customFormat="1">
      <c r="A159" s="3901">
        <v>5</v>
      </c>
      <c r="B159" s="2991" t="s">
        <v>714</v>
      </c>
      <c r="C159" s="3902">
        <v>0.1</v>
      </c>
      <c r="D159" s="3903" t="s">
        <v>407</v>
      </c>
      <c r="E159" s="3035"/>
      <c r="F159" s="3904">
        <f t="shared" si="317"/>
        <v>0</v>
      </c>
      <c r="G159" s="3905">
        <f t="shared" si="318"/>
        <v>0</v>
      </c>
      <c r="H159" s="3905">
        <f t="shared" si="318"/>
        <v>0</v>
      </c>
      <c r="I159" s="3905">
        <f t="shared" si="318"/>
        <v>0</v>
      </c>
      <c r="J159" s="3905">
        <f t="shared" si="318"/>
        <v>0</v>
      </c>
      <c r="K159" s="3906">
        <f t="shared" si="318"/>
        <v>0</v>
      </c>
      <c r="L159" s="3035"/>
      <c r="M159" s="3904">
        <f t="shared" si="319"/>
        <v>0</v>
      </c>
      <c r="N159" s="3905">
        <f t="shared" si="320"/>
        <v>0</v>
      </c>
      <c r="O159" s="3905">
        <f t="shared" si="320"/>
        <v>0</v>
      </c>
      <c r="P159" s="3905">
        <f t="shared" si="320"/>
        <v>0</v>
      </c>
      <c r="Q159" s="3905">
        <f t="shared" si="320"/>
        <v>0</v>
      </c>
      <c r="R159" s="3906">
        <f t="shared" si="320"/>
        <v>0</v>
      </c>
      <c r="S159" s="3035"/>
      <c r="T159" s="3904">
        <f t="shared" si="321"/>
        <v>0</v>
      </c>
      <c r="U159" s="3905">
        <f t="shared" si="322"/>
        <v>0</v>
      </c>
      <c r="V159" s="3905">
        <f t="shared" si="322"/>
        <v>0</v>
      </c>
      <c r="W159" s="3905">
        <f t="shared" si="322"/>
        <v>0</v>
      </c>
      <c r="X159" s="3905">
        <f t="shared" si="322"/>
        <v>0</v>
      </c>
      <c r="Y159" s="3906">
        <f t="shared" si="322"/>
        <v>0</v>
      </c>
      <c r="Z159" s="3035"/>
      <c r="AA159" s="3904">
        <f t="shared" si="323"/>
        <v>0</v>
      </c>
      <c r="AB159" s="3905">
        <f t="shared" si="324"/>
        <v>0</v>
      </c>
      <c r="AC159" s="3905">
        <f t="shared" si="315"/>
        <v>0</v>
      </c>
      <c r="AD159" s="3905">
        <f t="shared" si="315"/>
        <v>0</v>
      </c>
      <c r="AE159" s="3905">
        <f t="shared" si="315"/>
        <v>0</v>
      </c>
      <c r="AF159" s="3906">
        <f t="shared" si="315"/>
        <v>0</v>
      </c>
      <c r="AG159" s="3035"/>
      <c r="AH159" s="3904">
        <f t="shared" si="325"/>
        <v>0</v>
      </c>
      <c r="AI159" s="3905">
        <f t="shared" si="326"/>
        <v>0</v>
      </c>
      <c r="AJ159" s="3905">
        <f t="shared" si="316"/>
        <v>0</v>
      </c>
      <c r="AK159" s="3905">
        <f t="shared" si="316"/>
        <v>0</v>
      </c>
      <c r="AL159" s="3905">
        <f t="shared" si="316"/>
        <v>0</v>
      </c>
      <c r="AM159" s="3906">
        <f t="shared" si="316"/>
        <v>0</v>
      </c>
      <c r="AN159" s="3035"/>
      <c r="AO159" s="3040"/>
      <c r="AP159" s="3041"/>
      <c r="AQ159" s="3041"/>
      <c r="AR159" s="3041"/>
      <c r="AS159" s="3041"/>
      <c r="AT159" s="3042"/>
      <c r="AU159" s="4488"/>
      <c r="AV159" s="147"/>
      <c r="AW159" s="4504">
        <f t="shared" si="309"/>
        <v>0</v>
      </c>
      <c r="AX159" s="4504">
        <f t="shared" si="280"/>
        <v>0</v>
      </c>
      <c r="AY159" s="4504">
        <f t="shared" si="281"/>
        <v>0</v>
      </c>
      <c r="AZ159" s="4504">
        <f t="shared" si="282"/>
        <v>0</v>
      </c>
      <c r="BA159" s="4504">
        <f t="shared" si="283"/>
        <v>0</v>
      </c>
      <c r="BB159" s="4504">
        <f t="shared" si="284"/>
        <v>0</v>
      </c>
      <c r="BC159" s="147"/>
      <c r="BD159" s="4504">
        <f t="shared" si="285"/>
        <v>0</v>
      </c>
      <c r="BE159" s="4504">
        <f t="shared" si="286"/>
        <v>0</v>
      </c>
      <c r="BF159" s="4504">
        <f t="shared" si="287"/>
        <v>0</v>
      </c>
      <c r="BG159" s="4504">
        <f t="shared" si="288"/>
        <v>0</v>
      </c>
      <c r="BH159" s="4504">
        <f t="shared" si="289"/>
        <v>0</v>
      </c>
      <c r="BI159" s="4504">
        <f t="shared" si="290"/>
        <v>0</v>
      </c>
      <c r="BJ159" s="147"/>
      <c r="BK159" s="4504">
        <f t="shared" si="291"/>
        <v>0</v>
      </c>
      <c r="BL159" s="4504">
        <f t="shared" si="292"/>
        <v>0</v>
      </c>
      <c r="BM159" s="4504">
        <f t="shared" si="293"/>
        <v>0</v>
      </c>
      <c r="BN159" s="4504">
        <f t="shared" si="294"/>
        <v>0</v>
      </c>
      <c r="BO159" s="4504">
        <f t="shared" si="295"/>
        <v>0</v>
      </c>
      <c r="BP159" s="4504">
        <f t="shared" si="296"/>
        <v>0</v>
      </c>
      <c r="BQ159" s="147"/>
      <c r="BR159" s="4504">
        <f t="shared" si="297"/>
        <v>0</v>
      </c>
      <c r="BS159" s="4504">
        <f t="shared" si="298"/>
        <v>0</v>
      </c>
      <c r="BT159" s="4504">
        <f t="shared" si="299"/>
        <v>0</v>
      </c>
      <c r="BU159" s="4504">
        <f t="shared" si="300"/>
        <v>0</v>
      </c>
      <c r="BV159" s="4504">
        <f t="shared" si="301"/>
        <v>0</v>
      </c>
      <c r="BW159" s="4504">
        <f t="shared" si="302"/>
        <v>0</v>
      </c>
      <c r="BX159" s="147"/>
      <c r="BY159" s="4504">
        <f t="shared" si="303"/>
        <v>0</v>
      </c>
      <c r="BZ159" s="4504">
        <f t="shared" si="304"/>
        <v>0</v>
      </c>
      <c r="CA159" s="4504">
        <f t="shared" si="305"/>
        <v>0</v>
      </c>
      <c r="CB159" s="4504">
        <f t="shared" si="306"/>
        <v>0</v>
      </c>
      <c r="CC159" s="4504">
        <f t="shared" si="307"/>
        <v>0</v>
      </c>
      <c r="CD159" s="4504">
        <f t="shared" si="308"/>
        <v>0</v>
      </c>
    </row>
    <row r="160" spans="1:82" s="40" customFormat="1">
      <c r="A160" s="2990">
        <v>6</v>
      </c>
      <c r="B160" s="2993" t="s">
        <v>715</v>
      </c>
      <c r="C160" s="2995">
        <v>0.1</v>
      </c>
      <c r="D160" s="2590" t="s">
        <v>408</v>
      </c>
      <c r="E160" s="3035"/>
      <c r="F160" s="3004">
        <f t="shared" si="317"/>
        <v>0</v>
      </c>
      <c r="G160" s="2940">
        <f t="shared" si="318"/>
        <v>0</v>
      </c>
      <c r="H160" s="2940">
        <f t="shared" si="318"/>
        <v>0</v>
      </c>
      <c r="I160" s="2940">
        <f t="shared" si="318"/>
        <v>0</v>
      </c>
      <c r="J160" s="2940">
        <f t="shared" si="318"/>
        <v>0</v>
      </c>
      <c r="K160" s="3005">
        <f t="shared" si="318"/>
        <v>0</v>
      </c>
      <c r="L160" s="3035"/>
      <c r="M160" s="3004">
        <f t="shared" si="319"/>
        <v>0</v>
      </c>
      <c r="N160" s="2940">
        <f t="shared" si="320"/>
        <v>0</v>
      </c>
      <c r="O160" s="2940">
        <f t="shared" si="320"/>
        <v>0</v>
      </c>
      <c r="P160" s="2940">
        <f t="shared" si="320"/>
        <v>0</v>
      </c>
      <c r="Q160" s="2940">
        <f t="shared" si="320"/>
        <v>0</v>
      </c>
      <c r="R160" s="3005">
        <f t="shared" si="320"/>
        <v>0</v>
      </c>
      <c r="S160" s="3035"/>
      <c r="T160" s="3004">
        <f t="shared" si="321"/>
        <v>0</v>
      </c>
      <c r="U160" s="2940">
        <f t="shared" si="322"/>
        <v>0</v>
      </c>
      <c r="V160" s="2940">
        <f t="shared" si="322"/>
        <v>0</v>
      </c>
      <c r="W160" s="2940">
        <f t="shared" si="322"/>
        <v>0</v>
      </c>
      <c r="X160" s="2940">
        <f t="shared" si="322"/>
        <v>0</v>
      </c>
      <c r="Y160" s="3005">
        <f t="shared" si="322"/>
        <v>0</v>
      </c>
      <c r="Z160" s="3035"/>
      <c r="AA160" s="3004">
        <f t="shared" si="323"/>
        <v>0</v>
      </c>
      <c r="AB160" s="2940">
        <f t="shared" si="324"/>
        <v>0</v>
      </c>
      <c r="AC160" s="2940">
        <f t="shared" si="315"/>
        <v>0</v>
      </c>
      <c r="AD160" s="2940">
        <f t="shared" si="315"/>
        <v>0</v>
      </c>
      <c r="AE160" s="2940">
        <f t="shared" si="315"/>
        <v>0</v>
      </c>
      <c r="AF160" s="3005">
        <f t="shared" si="315"/>
        <v>0</v>
      </c>
      <c r="AG160" s="3035"/>
      <c r="AH160" s="3004">
        <f t="shared" si="325"/>
        <v>0</v>
      </c>
      <c r="AI160" s="2940">
        <f t="shared" si="326"/>
        <v>0</v>
      </c>
      <c r="AJ160" s="2940">
        <f t="shared" si="316"/>
        <v>0</v>
      </c>
      <c r="AK160" s="2940">
        <f t="shared" si="316"/>
        <v>0</v>
      </c>
      <c r="AL160" s="2940">
        <f t="shared" si="316"/>
        <v>0</v>
      </c>
      <c r="AM160" s="3005">
        <f t="shared" si="316"/>
        <v>0</v>
      </c>
      <c r="AN160" s="3035"/>
      <c r="AO160" s="3040"/>
      <c r="AP160" s="3041"/>
      <c r="AQ160" s="3041"/>
      <c r="AR160" s="3041"/>
      <c r="AS160" s="3041"/>
      <c r="AT160" s="3042"/>
      <c r="AU160" s="4488"/>
      <c r="AV160" s="147"/>
      <c r="AW160" s="4504">
        <f t="shared" si="309"/>
        <v>0</v>
      </c>
      <c r="AX160" s="4504">
        <f t="shared" si="280"/>
        <v>0</v>
      </c>
      <c r="AY160" s="4504">
        <f t="shared" si="281"/>
        <v>0</v>
      </c>
      <c r="AZ160" s="4504">
        <f t="shared" si="282"/>
        <v>0</v>
      </c>
      <c r="BA160" s="4504">
        <f t="shared" si="283"/>
        <v>0</v>
      </c>
      <c r="BB160" s="4504">
        <f t="shared" si="284"/>
        <v>0</v>
      </c>
      <c r="BC160" s="147"/>
      <c r="BD160" s="4504">
        <f t="shared" si="285"/>
        <v>0</v>
      </c>
      <c r="BE160" s="4504">
        <f t="shared" si="286"/>
        <v>0</v>
      </c>
      <c r="BF160" s="4504">
        <f t="shared" si="287"/>
        <v>0</v>
      </c>
      <c r="BG160" s="4504">
        <f t="shared" si="288"/>
        <v>0</v>
      </c>
      <c r="BH160" s="4504">
        <f t="shared" si="289"/>
        <v>0</v>
      </c>
      <c r="BI160" s="4504">
        <f t="shared" si="290"/>
        <v>0</v>
      </c>
      <c r="BJ160" s="147"/>
      <c r="BK160" s="4504">
        <f t="shared" si="291"/>
        <v>0</v>
      </c>
      <c r="BL160" s="4504">
        <f t="shared" si="292"/>
        <v>0</v>
      </c>
      <c r="BM160" s="4504">
        <f t="shared" si="293"/>
        <v>0</v>
      </c>
      <c r="BN160" s="4504">
        <f t="shared" si="294"/>
        <v>0</v>
      </c>
      <c r="BO160" s="4504">
        <f t="shared" si="295"/>
        <v>0</v>
      </c>
      <c r="BP160" s="4504">
        <f t="shared" si="296"/>
        <v>0</v>
      </c>
      <c r="BQ160" s="147"/>
      <c r="BR160" s="4504">
        <f t="shared" si="297"/>
        <v>0</v>
      </c>
      <c r="BS160" s="4504">
        <f t="shared" si="298"/>
        <v>0</v>
      </c>
      <c r="BT160" s="4504">
        <f t="shared" si="299"/>
        <v>0</v>
      </c>
      <c r="BU160" s="4504">
        <f t="shared" si="300"/>
        <v>0</v>
      </c>
      <c r="BV160" s="4504">
        <f t="shared" si="301"/>
        <v>0</v>
      </c>
      <c r="BW160" s="4504">
        <f t="shared" si="302"/>
        <v>0</v>
      </c>
      <c r="BX160" s="147"/>
      <c r="BY160" s="4504">
        <f t="shared" si="303"/>
        <v>0</v>
      </c>
      <c r="BZ160" s="4504">
        <f t="shared" si="304"/>
        <v>0</v>
      </c>
      <c r="CA160" s="4504">
        <f t="shared" si="305"/>
        <v>0</v>
      </c>
      <c r="CB160" s="4504">
        <f t="shared" si="306"/>
        <v>0</v>
      </c>
      <c r="CC160" s="4504">
        <f t="shared" si="307"/>
        <v>0</v>
      </c>
      <c r="CD160" s="4504">
        <f t="shared" si="308"/>
        <v>0</v>
      </c>
    </row>
    <row r="161" spans="1:82" s="40" customFormat="1" ht="21.75" customHeight="1">
      <c r="A161" s="2990">
        <v>7</v>
      </c>
      <c r="B161" s="2993" t="s">
        <v>706</v>
      </c>
      <c r="C161" s="2995">
        <v>0.1</v>
      </c>
      <c r="D161" s="2590" t="s">
        <v>695</v>
      </c>
      <c r="E161" s="3035"/>
      <c r="F161" s="3004">
        <f t="shared" si="317"/>
        <v>0</v>
      </c>
      <c r="G161" s="2940">
        <f t="shared" si="318"/>
        <v>0</v>
      </c>
      <c r="H161" s="2940">
        <f t="shared" si="318"/>
        <v>0</v>
      </c>
      <c r="I161" s="2940">
        <f t="shared" si="318"/>
        <v>0</v>
      </c>
      <c r="J161" s="2940">
        <f t="shared" si="318"/>
        <v>0</v>
      </c>
      <c r="K161" s="3005">
        <f t="shared" si="318"/>
        <v>0</v>
      </c>
      <c r="L161" s="3035"/>
      <c r="M161" s="3004">
        <f t="shared" si="319"/>
        <v>0</v>
      </c>
      <c r="N161" s="2940">
        <f t="shared" si="320"/>
        <v>0</v>
      </c>
      <c r="O161" s="2940">
        <f t="shared" si="320"/>
        <v>0</v>
      </c>
      <c r="P161" s="2940">
        <f t="shared" si="320"/>
        <v>0</v>
      </c>
      <c r="Q161" s="2940">
        <f t="shared" si="320"/>
        <v>0</v>
      </c>
      <c r="R161" s="3005">
        <f t="shared" si="320"/>
        <v>0</v>
      </c>
      <c r="S161" s="3035"/>
      <c r="T161" s="3004">
        <f t="shared" si="321"/>
        <v>0</v>
      </c>
      <c r="U161" s="2940">
        <f t="shared" si="322"/>
        <v>0</v>
      </c>
      <c r="V161" s="2940">
        <f t="shared" si="322"/>
        <v>0</v>
      </c>
      <c r="W161" s="2940">
        <f t="shared" si="322"/>
        <v>0</v>
      </c>
      <c r="X161" s="2940">
        <f t="shared" si="322"/>
        <v>0</v>
      </c>
      <c r="Y161" s="3005">
        <f t="shared" si="322"/>
        <v>0</v>
      </c>
      <c r="Z161" s="3035"/>
      <c r="AA161" s="3004">
        <f t="shared" si="323"/>
        <v>0</v>
      </c>
      <c r="AB161" s="2940">
        <f t="shared" si="324"/>
        <v>0</v>
      </c>
      <c r="AC161" s="2940">
        <f t="shared" si="315"/>
        <v>0</v>
      </c>
      <c r="AD161" s="2940">
        <f t="shared" si="315"/>
        <v>0</v>
      </c>
      <c r="AE161" s="2940">
        <f t="shared" si="315"/>
        <v>0</v>
      </c>
      <c r="AF161" s="3005">
        <f t="shared" si="315"/>
        <v>0</v>
      </c>
      <c r="AG161" s="3035"/>
      <c r="AH161" s="3004">
        <f t="shared" si="325"/>
        <v>0</v>
      </c>
      <c r="AI161" s="2940">
        <f t="shared" si="326"/>
        <v>0</v>
      </c>
      <c r="AJ161" s="2940">
        <f t="shared" si="316"/>
        <v>0</v>
      </c>
      <c r="AK161" s="2940">
        <f t="shared" si="316"/>
        <v>0</v>
      </c>
      <c r="AL161" s="2940">
        <f t="shared" si="316"/>
        <v>0</v>
      </c>
      <c r="AM161" s="3005">
        <f t="shared" si="316"/>
        <v>0</v>
      </c>
      <c r="AN161" s="3035"/>
      <c r="AO161" s="3040"/>
      <c r="AP161" s="3041"/>
      <c r="AQ161" s="3041"/>
      <c r="AR161" s="3041"/>
      <c r="AS161" s="3041"/>
      <c r="AT161" s="3042"/>
      <c r="AU161" s="4488"/>
      <c r="AV161" s="147"/>
      <c r="AW161" s="4504">
        <f t="shared" si="309"/>
        <v>0</v>
      </c>
      <c r="AX161" s="4504">
        <f t="shared" si="280"/>
        <v>0</v>
      </c>
      <c r="AY161" s="4504">
        <f t="shared" si="281"/>
        <v>0</v>
      </c>
      <c r="AZ161" s="4504">
        <f t="shared" si="282"/>
        <v>0</v>
      </c>
      <c r="BA161" s="4504">
        <f t="shared" si="283"/>
        <v>0</v>
      </c>
      <c r="BB161" s="4504">
        <f t="shared" si="284"/>
        <v>0</v>
      </c>
      <c r="BC161" s="147"/>
      <c r="BD161" s="4504">
        <f t="shared" si="285"/>
        <v>0</v>
      </c>
      <c r="BE161" s="4504">
        <f t="shared" si="286"/>
        <v>0</v>
      </c>
      <c r="BF161" s="4504">
        <f t="shared" si="287"/>
        <v>0</v>
      </c>
      <c r="BG161" s="4504">
        <f t="shared" si="288"/>
        <v>0</v>
      </c>
      <c r="BH161" s="4504">
        <f t="shared" si="289"/>
        <v>0</v>
      </c>
      <c r="BI161" s="4504">
        <f t="shared" si="290"/>
        <v>0</v>
      </c>
      <c r="BJ161" s="147"/>
      <c r="BK161" s="4504">
        <f t="shared" si="291"/>
        <v>0</v>
      </c>
      <c r="BL161" s="4504">
        <f t="shared" si="292"/>
        <v>0</v>
      </c>
      <c r="BM161" s="4504">
        <f t="shared" si="293"/>
        <v>0</v>
      </c>
      <c r="BN161" s="4504">
        <f t="shared" si="294"/>
        <v>0</v>
      </c>
      <c r="BO161" s="4504">
        <f t="shared" si="295"/>
        <v>0</v>
      </c>
      <c r="BP161" s="4504">
        <f t="shared" si="296"/>
        <v>0</v>
      </c>
      <c r="BQ161" s="147"/>
      <c r="BR161" s="4504">
        <f t="shared" si="297"/>
        <v>0</v>
      </c>
      <c r="BS161" s="4504">
        <f t="shared" si="298"/>
        <v>0</v>
      </c>
      <c r="BT161" s="4504">
        <f t="shared" si="299"/>
        <v>0</v>
      </c>
      <c r="BU161" s="4504">
        <f t="shared" si="300"/>
        <v>0</v>
      </c>
      <c r="BV161" s="4504">
        <f t="shared" si="301"/>
        <v>0</v>
      </c>
      <c r="BW161" s="4504">
        <f t="shared" si="302"/>
        <v>0</v>
      </c>
      <c r="BX161" s="147"/>
      <c r="BY161" s="4504">
        <f t="shared" si="303"/>
        <v>0</v>
      </c>
      <c r="BZ161" s="4504">
        <f t="shared" si="304"/>
        <v>0</v>
      </c>
      <c r="CA161" s="4504">
        <f t="shared" si="305"/>
        <v>0</v>
      </c>
      <c r="CB161" s="4504">
        <f t="shared" si="306"/>
        <v>0</v>
      </c>
      <c r="CC161" s="4504">
        <f t="shared" si="307"/>
        <v>0</v>
      </c>
      <c r="CD161" s="4504">
        <f t="shared" si="308"/>
        <v>0</v>
      </c>
    </row>
    <row r="162" spans="1:82" s="40" customFormat="1">
      <c r="A162" s="2990">
        <v>8</v>
      </c>
      <c r="B162" s="2993" t="s">
        <v>716</v>
      </c>
      <c r="C162" s="2995">
        <v>0.1</v>
      </c>
      <c r="D162" s="2590" t="s">
        <v>713</v>
      </c>
      <c r="E162" s="3035"/>
      <c r="F162" s="3004">
        <f t="shared" si="317"/>
        <v>0</v>
      </c>
      <c r="G162" s="2940">
        <f t="shared" si="318"/>
        <v>0</v>
      </c>
      <c r="H162" s="2940">
        <f t="shared" si="318"/>
        <v>0</v>
      </c>
      <c r="I162" s="2940">
        <f t="shared" si="318"/>
        <v>0</v>
      </c>
      <c r="J162" s="2940">
        <f t="shared" si="318"/>
        <v>0</v>
      </c>
      <c r="K162" s="3005">
        <f t="shared" si="318"/>
        <v>0</v>
      </c>
      <c r="L162" s="3035"/>
      <c r="M162" s="3004">
        <f t="shared" si="319"/>
        <v>0</v>
      </c>
      <c r="N162" s="2940">
        <f t="shared" si="320"/>
        <v>0</v>
      </c>
      <c r="O162" s="2940">
        <f t="shared" si="320"/>
        <v>0</v>
      </c>
      <c r="P162" s="2940">
        <f t="shared" si="320"/>
        <v>0</v>
      </c>
      <c r="Q162" s="2940">
        <f t="shared" si="320"/>
        <v>0</v>
      </c>
      <c r="R162" s="3005">
        <f t="shared" si="320"/>
        <v>0</v>
      </c>
      <c r="S162" s="3035"/>
      <c r="T162" s="3004">
        <f t="shared" si="321"/>
        <v>0</v>
      </c>
      <c r="U162" s="2940">
        <f t="shared" si="322"/>
        <v>0</v>
      </c>
      <c r="V162" s="2940">
        <f t="shared" si="322"/>
        <v>0</v>
      </c>
      <c r="W162" s="2940">
        <f t="shared" si="322"/>
        <v>0</v>
      </c>
      <c r="X162" s="2940">
        <f t="shared" si="322"/>
        <v>0</v>
      </c>
      <c r="Y162" s="3005">
        <f t="shared" si="322"/>
        <v>0</v>
      </c>
      <c r="Z162" s="3035"/>
      <c r="AA162" s="3004">
        <f t="shared" si="323"/>
        <v>0</v>
      </c>
      <c r="AB162" s="2940">
        <f t="shared" si="324"/>
        <v>0</v>
      </c>
      <c r="AC162" s="2940">
        <f t="shared" si="315"/>
        <v>0</v>
      </c>
      <c r="AD162" s="2940">
        <f t="shared" si="315"/>
        <v>0</v>
      </c>
      <c r="AE162" s="2940">
        <f t="shared" si="315"/>
        <v>0</v>
      </c>
      <c r="AF162" s="3005">
        <f t="shared" si="315"/>
        <v>0</v>
      </c>
      <c r="AG162" s="3035"/>
      <c r="AH162" s="3004">
        <f t="shared" si="325"/>
        <v>0</v>
      </c>
      <c r="AI162" s="2940">
        <f t="shared" si="326"/>
        <v>0</v>
      </c>
      <c r="AJ162" s="2940">
        <f t="shared" si="316"/>
        <v>0</v>
      </c>
      <c r="AK162" s="2940">
        <f t="shared" si="316"/>
        <v>0</v>
      </c>
      <c r="AL162" s="2940">
        <f t="shared" si="316"/>
        <v>0</v>
      </c>
      <c r="AM162" s="3005">
        <f t="shared" si="316"/>
        <v>0</v>
      </c>
      <c r="AN162" s="3035"/>
      <c r="AO162" s="3040"/>
      <c r="AP162" s="3041"/>
      <c r="AQ162" s="3041"/>
      <c r="AR162" s="3041"/>
      <c r="AS162" s="3041"/>
      <c r="AT162" s="3042"/>
      <c r="AU162" s="4488"/>
      <c r="AV162" s="147"/>
      <c r="AW162" s="4504">
        <f t="shared" si="309"/>
        <v>0</v>
      </c>
      <c r="AX162" s="4504">
        <f t="shared" si="280"/>
        <v>0</v>
      </c>
      <c r="AY162" s="4504">
        <f t="shared" si="281"/>
        <v>0</v>
      </c>
      <c r="AZ162" s="4504">
        <f t="shared" si="282"/>
        <v>0</v>
      </c>
      <c r="BA162" s="4504">
        <f t="shared" si="283"/>
        <v>0</v>
      </c>
      <c r="BB162" s="4504">
        <f t="shared" si="284"/>
        <v>0</v>
      </c>
      <c r="BC162" s="147"/>
      <c r="BD162" s="4504">
        <f t="shared" si="285"/>
        <v>0</v>
      </c>
      <c r="BE162" s="4504">
        <f t="shared" si="286"/>
        <v>0</v>
      </c>
      <c r="BF162" s="4504">
        <f t="shared" si="287"/>
        <v>0</v>
      </c>
      <c r="BG162" s="4504">
        <f t="shared" si="288"/>
        <v>0</v>
      </c>
      <c r="BH162" s="4504">
        <f t="shared" si="289"/>
        <v>0</v>
      </c>
      <c r="BI162" s="4504">
        <f t="shared" si="290"/>
        <v>0</v>
      </c>
      <c r="BJ162" s="147"/>
      <c r="BK162" s="4504">
        <f t="shared" si="291"/>
        <v>0</v>
      </c>
      <c r="BL162" s="4504">
        <f t="shared" si="292"/>
        <v>0</v>
      </c>
      <c r="BM162" s="4504">
        <f t="shared" si="293"/>
        <v>0</v>
      </c>
      <c r="BN162" s="4504">
        <f t="shared" si="294"/>
        <v>0</v>
      </c>
      <c r="BO162" s="4504">
        <f t="shared" si="295"/>
        <v>0</v>
      </c>
      <c r="BP162" s="4504">
        <f t="shared" si="296"/>
        <v>0</v>
      </c>
      <c r="BQ162" s="147"/>
      <c r="BR162" s="4504">
        <f t="shared" si="297"/>
        <v>0</v>
      </c>
      <c r="BS162" s="4504">
        <f t="shared" si="298"/>
        <v>0</v>
      </c>
      <c r="BT162" s="4504">
        <f t="shared" si="299"/>
        <v>0</v>
      </c>
      <c r="BU162" s="4504">
        <f t="shared" si="300"/>
        <v>0</v>
      </c>
      <c r="BV162" s="4504">
        <f t="shared" si="301"/>
        <v>0</v>
      </c>
      <c r="BW162" s="4504">
        <f t="shared" si="302"/>
        <v>0</v>
      </c>
      <c r="BX162" s="147"/>
      <c r="BY162" s="4504">
        <f t="shared" si="303"/>
        <v>0</v>
      </c>
      <c r="BZ162" s="4504">
        <f t="shared" si="304"/>
        <v>0</v>
      </c>
      <c r="CA162" s="4504">
        <f t="shared" si="305"/>
        <v>0</v>
      </c>
      <c r="CB162" s="4504">
        <f t="shared" si="306"/>
        <v>0</v>
      </c>
      <c r="CC162" s="4504">
        <f t="shared" si="307"/>
        <v>0</v>
      </c>
      <c r="CD162" s="4504">
        <f t="shared" si="308"/>
        <v>0</v>
      </c>
    </row>
    <row r="163" spans="1:82" s="40" customFormat="1">
      <c r="A163" s="2996">
        <v>9</v>
      </c>
      <c r="B163" s="2993">
        <v>911306</v>
      </c>
      <c r="C163" s="2995">
        <v>0.1</v>
      </c>
      <c r="D163" s="2994" t="s">
        <v>1032</v>
      </c>
      <c r="E163" s="3035"/>
      <c r="F163" s="3004">
        <f t="shared" si="317"/>
        <v>0</v>
      </c>
      <c r="G163" s="2940">
        <f t="shared" si="318"/>
        <v>0</v>
      </c>
      <c r="H163" s="2940">
        <f t="shared" si="318"/>
        <v>0</v>
      </c>
      <c r="I163" s="2940">
        <f t="shared" si="318"/>
        <v>0</v>
      </c>
      <c r="J163" s="2940">
        <f t="shared" si="318"/>
        <v>0</v>
      </c>
      <c r="K163" s="3005">
        <f t="shared" si="318"/>
        <v>0</v>
      </c>
      <c r="L163" s="3035"/>
      <c r="M163" s="3004">
        <f t="shared" si="319"/>
        <v>0</v>
      </c>
      <c r="N163" s="2940">
        <f t="shared" si="320"/>
        <v>0</v>
      </c>
      <c r="O163" s="2940">
        <f t="shared" si="320"/>
        <v>0</v>
      </c>
      <c r="P163" s="2940">
        <f t="shared" si="320"/>
        <v>0</v>
      </c>
      <c r="Q163" s="2940">
        <f t="shared" si="320"/>
        <v>0</v>
      </c>
      <c r="R163" s="3005">
        <f t="shared" si="320"/>
        <v>0</v>
      </c>
      <c r="S163" s="3035"/>
      <c r="T163" s="3004">
        <f t="shared" si="321"/>
        <v>0</v>
      </c>
      <c r="U163" s="2940">
        <f t="shared" si="322"/>
        <v>0</v>
      </c>
      <c r="V163" s="2940">
        <f t="shared" si="322"/>
        <v>0</v>
      </c>
      <c r="W163" s="2940">
        <f t="shared" si="322"/>
        <v>0</v>
      </c>
      <c r="X163" s="2940">
        <f t="shared" si="322"/>
        <v>0</v>
      </c>
      <c r="Y163" s="3005">
        <f t="shared" si="322"/>
        <v>0</v>
      </c>
      <c r="Z163" s="3035"/>
      <c r="AA163" s="3004">
        <f t="shared" si="323"/>
        <v>0</v>
      </c>
      <c r="AB163" s="2940">
        <f t="shared" si="324"/>
        <v>0</v>
      </c>
      <c r="AC163" s="2940">
        <f t="shared" si="315"/>
        <v>0</v>
      </c>
      <c r="AD163" s="2940">
        <f t="shared" si="315"/>
        <v>0</v>
      </c>
      <c r="AE163" s="2940">
        <f t="shared" si="315"/>
        <v>0</v>
      </c>
      <c r="AF163" s="3005">
        <f t="shared" si="315"/>
        <v>0</v>
      </c>
      <c r="AG163" s="3035"/>
      <c r="AH163" s="3004">
        <f t="shared" si="325"/>
        <v>0</v>
      </c>
      <c r="AI163" s="2940">
        <f t="shared" si="326"/>
        <v>0</v>
      </c>
      <c r="AJ163" s="2940">
        <f t="shared" si="316"/>
        <v>0</v>
      </c>
      <c r="AK163" s="2940">
        <f t="shared" si="316"/>
        <v>0</v>
      </c>
      <c r="AL163" s="2940">
        <f t="shared" si="316"/>
        <v>0</v>
      </c>
      <c r="AM163" s="3005">
        <f t="shared" si="316"/>
        <v>0</v>
      </c>
      <c r="AN163" s="3035"/>
      <c r="AO163" s="3040"/>
      <c r="AP163" s="3041"/>
      <c r="AQ163" s="3041"/>
      <c r="AR163" s="3041"/>
      <c r="AS163" s="3041"/>
      <c r="AT163" s="3042"/>
      <c r="AU163" s="4488"/>
      <c r="AV163" s="147"/>
      <c r="AW163" s="4504">
        <f t="shared" si="309"/>
        <v>0</v>
      </c>
      <c r="AX163" s="4504">
        <f t="shared" si="280"/>
        <v>0</v>
      </c>
      <c r="AY163" s="4504">
        <f t="shared" si="281"/>
        <v>0</v>
      </c>
      <c r="AZ163" s="4504">
        <f t="shared" si="282"/>
        <v>0</v>
      </c>
      <c r="BA163" s="4504">
        <f t="shared" si="283"/>
        <v>0</v>
      </c>
      <c r="BB163" s="4504">
        <f t="shared" si="284"/>
        <v>0</v>
      </c>
      <c r="BC163" s="147"/>
      <c r="BD163" s="4504">
        <f t="shared" si="285"/>
        <v>0</v>
      </c>
      <c r="BE163" s="4504">
        <f t="shared" si="286"/>
        <v>0</v>
      </c>
      <c r="BF163" s="4504">
        <f t="shared" si="287"/>
        <v>0</v>
      </c>
      <c r="BG163" s="4504">
        <f t="shared" si="288"/>
        <v>0</v>
      </c>
      <c r="BH163" s="4504">
        <f t="shared" si="289"/>
        <v>0</v>
      </c>
      <c r="BI163" s="4504">
        <f t="shared" si="290"/>
        <v>0</v>
      </c>
      <c r="BJ163" s="147"/>
      <c r="BK163" s="4504">
        <f t="shared" si="291"/>
        <v>0</v>
      </c>
      <c r="BL163" s="4504">
        <f t="shared" si="292"/>
        <v>0</v>
      </c>
      <c r="BM163" s="4504">
        <f t="shared" si="293"/>
        <v>0</v>
      </c>
      <c r="BN163" s="4504">
        <f t="shared" si="294"/>
        <v>0</v>
      </c>
      <c r="BO163" s="4504">
        <f t="shared" si="295"/>
        <v>0</v>
      </c>
      <c r="BP163" s="4504">
        <f t="shared" si="296"/>
        <v>0</v>
      </c>
      <c r="BQ163" s="147"/>
      <c r="BR163" s="4504">
        <f t="shared" si="297"/>
        <v>0</v>
      </c>
      <c r="BS163" s="4504">
        <f t="shared" si="298"/>
        <v>0</v>
      </c>
      <c r="BT163" s="4504">
        <f t="shared" si="299"/>
        <v>0</v>
      </c>
      <c r="BU163" s="4504">
        <f t="shared" si="300"/>
        <v>0</v>
      </c>
      <c r="BV163" s="4504">
        <f t="shared" si="301"/>
        <v>0</v>
      </c>
      <c r="BW163" s="4504">
        <f t="shared" si="302"/>
        <v>0</v>
      </c>
      <c r="BX163" s="147"/>
      <c r="BY163" s="4504">
        <f t="shared" si="303"/>
        <v>0</v>
      </c>
      <c r="BZ163" s="4504">
        <f t="shared" si="304"/>
        <v>0</v>
      </c>
      <c r="CA163" s="4504">
        <f t="shared" si="305"/>
        <v>0</v>
      </c>
      <c r="CB163" s="4504">
        <f t="shared" si="306"/>
        <v>0</v>
      </c>
      <c r="CC163" s="4504">
        <f t="shared" si="307"/>
        <v>0</v>
      </c>
      <c r="CD163" s="4504">
        <f t="shared" si="308"/>
        <v>0</v>
      </c>
    </row>
    <row r="164" spans="1:82" s="40" customFormat="1">
      <c r="A164" s="2996">
        <v>10</v>
      </c>
      <c r="B164" s="2993">
        <v>91140101</v>
      </c>
      <c r="C164" s="2997">
        <v>0.1</v>
      </c>
      <c r="D164" s="2584" t="s">
        <v>1016</v>
      </c>
      <c r="E164" s="3035"/>
      <c r="F164" s="3004">
        <f t="shared" si="317"/>
        <v>0</v>
      </c>
      <c r="G164" s="2940">
        <f t="shared" si="318"/>
        <v>0</v>
      </c>
      <c r="H164" s="2940">
        <f t="shared" si="318"/>
        <v>0</v>
      </c>
      <c r="I164" s="2940">
        <f t="shared" si="318"/>
        <v>0</v>
      </c>
      <c r="J164" s="2940">
        <f t="shared" si="318"/>
        <v>0</v>
      </c>
      <c r="K164" s="3005">
        <f t="shared" si="318"/>
        <v>0</v>
      </c>
      <c r="L164" s="3035"/>
      <c r="M164" s="3004">
        <f t="shared" si="319"/>
        <v>0</v>
      </c>
      <c r="N164" s="2940">
        <f t="shared" si="320"/>
        <v>0</v>
      </c>
      <c r="O164" s="2940">
        <f t="shared" si="320"/>
        <v>0</v>
      </c>
      <c r="P164" s="2940">
        <f t="shared" si="320"/>
        <v>0</v>
      </c>
      <c r="Q164" s="2940">
        <f t="shared" si="320"/>
        <v>0</v>
      </c>
      <c r="R164" s="3005">
        <f t="shared" si="320"/>
        <v>0</v>
      </c>
      <c r="S164" s="3035"/>
      <c r="T164" s="3004">
        <f t="shared" si="321"/>
        <v>0</v>
      </c>
      <c r="U164" s="2940">
        <f t="shared" si="322"/>
        <v>0</v>
      </c>
      <c r="V164" s="2940">
        <f t="shared" si="322"/>
        <v>0</v>
      </c>
      <c r="W164" s="2940">
        <f t="shared" si="322"/>
        <v>0</v>
      </c>
      <c r="X164" s="2940">
        <f t="shared" si="322"/>
        <v>0</v>
      </c>
      <c r="Y164" s="3005">
        <f t="shared" si="322"/>
        <v>0</v>
      </c>
      <c r="Z164" s="3035"/>
      <c r="AA164" s="3004">
        <f t="shared" si="323"/>
        <v>0</v>
      </c>
      <c r="AB164" s="2940">
        <f t="shared" si="324"/>
        <v>0</v>
      </c>
      <c r="AC164" s="2940">
        <f t="shared" si="315"/>
        <v>0</v>
      </c>
      <c r="AD164" s="2940">
        <f t="shared" si="315"/>
        <v>0</v>
      </c>
      <c r="AE164" s="2940">
        <f t="shared" si="315"/>
        <v>0</v>
      </c>
      <c r="AF164" s="3005">
        <f t="shared" si="315"/>
        <v>0</v>
      </c>
      <c r="AG164" s="3035"/>
      <c r="AH164" s="3004">
        <f t="shared" si="325"/>
        <v>0</v>
      </c>
      <c r="AI164" s="2940">
        <f t="shared" si="326"/>
        <v>0</v>
      </c>
      <c r="AJ164" s="2940">
        <f t="shared" si="316"/>
        <v>0</v>
      </c>
      <c r="AK164" s="2940">
        <f t="shared" si="316"/>
        <v>0</v>
      </c>
      <c r="AL164" s="2940">
        <f t="shared" si="316"/>
        <v>0</v>
      </c>
      <c r="AM164" s="3005">
        <f t="shared" si="316"/>
        <v>0</v>
      </c>
      <c r="AN164" s="3035"/>
      <c r="AO164" s="3040"/>
      <c r="AP164" s="3041"/>
      <c r="AQ164" s="3041"/>
      <c r="AR164" s="3041"/>
      <c r="AS164" s="3041"/>
      <c r="AT164" s="3042"/>
      <c r="AU164" s="4488"/>
      <c r="AV164" s="147"/>
      <c r="AW164" s="4504">
        <f t="shared" si="309"/>
        <v>0</v>
      </c>
      <c r="AX164" s="4504">
        <f t="shared" si="280"/>
        <v>0</v>
      </c>
      <c r="AY164" s="4504">
        <f t="shared" si="281"/>
        <v>0</v>
      </c>
      <c r="AZ164" s="4504">
        <f t="shared" si="282"/>
        <v>0</v>
      </c>
      <c r="BA164" s="4504">
        <f t="shared" si="283"/>
        <v>0</v>
      </c>
      <c r="BB164" s="4504">
        <f t="shared" si="284"/>
        <v>0</v>
      </c>
      <c r="BC164" s="147"/>
      <c r="BD164" s="4504">
        <f t="shared" si="285"/>
        <v>0</v>
      </c>
      <c r="BE164" s="4504">
        <f t="shared" si="286"/>
        <v>0</v>
      </c>
      <c r="BF164" s="4504">
        <f t="shared" si="287"/>
        <v>0</v>
      </c>
      <c r="BG164" s="4504">
        <f t="shared" si="288"/>
        <v>0</v>
      </c>
      <c r="BH164" s="4504">
        <f t="shared" si="289"/>
        <v>0</v>
      </c>
      <c r="BI164" s="4504">
        <f t="shared" si="290"/>
        <v>0</v>
      </c>
      <c r="BJ164" s="147"/>
      <c r="BK164" s="4504">
        <f t="shared" si="291"/>
        <v>0</v>
      </c>
      <c r="BL164" s="4504">
        <f t="shared" si="292"/>
        <v>0</v>
      </c>
      <c r="BM164" s="4504">
        <f t="shared" si="293"/>
        <v>0</v>
      </c>
      <c r="BN164" s="4504">
        <f t="shared" si="294"/>
        <v>0</v>
      </c>
      <c r="BO164" s="4504">
        <f t="shared" si="295"/>
        <v>0</v>
      </c>
      <c r="BP164" s="4504">
        <f t="shared" si="296"/>
        <v>0</v>
      </c>
      <c r="BQ164" s="147"/>
      <c r="BR164" s="4504">
        <f t="shared" si="297"/>
        <v>0</v>
      </c>
      <c r="BS164" s="4504">
        <f t="shared" si="298"/>
        <v>0</v>
      </c>
      <c r="BT164" s="4504">
        <f t="shared" si="299"/>
        <v>0</v>
      </c>
      <c r="BU164" s="4504">
        <f t="shared" si="300"/>
        <v>0</v>
      </c>
      <c r="BV164" s="4504">
        <f t="shared" si="301"/>
        <v>0</v>
      </c>
      <c r="BW164" s="4504">
        <f t="shared" si="302"/>
        <v>0</v>
      </c>
      <c r="BX164" s="147"/>
      <c r="BY164" s="4504">
        <f t="shared" si="303"/>
        <v>0</v>
      </c>
      <c r="BZ164" s="4504">
        <f t="shared" si="304"/>
        <v>0</v>
      </c>
      <c r="CA164" s="4504">
        <f t="shared" si="305"/>
        <v>0</v>
      </c>
      <c r="CB164" s="4504">
        <f t="shared" si="306"/>
        <v>0</v>
      </c>
      <c r="CC164" s="4504">
        <f t="shared" si="307"/>
        <v>0</v>
      </c>
      <c r="CD164" s="4504">
        <f t="shared" si="308"/>
        <v>0</v>
      </c>
    </row>
    <row r="165" spans="1:82" s="40" customFormat="1">
      <c r="A165" s="2996">
        <v>11</v>
      </c>
      <c r="B165" s="2993">
        <v>91140102</v>
      </c>
      <c r="C165" s="2997">
        <v>0.04</v>
      </c>
      <c r="D165" s="2584" t="s">
        <v>432</v>
      </c>
      <c r="E165" s="3035"/>
      <c r="F165" s="3004">
        <f t="shared" si="317"/>
        <v>0</v>
      </c>
      <c r="G165" s="2940">
        <f t="shared" si="318"/>
        <v>0</v>
      </c>
      <c r="H165" s="2940">
        <f t="shared" si="318"/>
        <v>0</v>
      </c>
      <c r="I165" s="2940">
        <f t="shared" si="318"/>
        <v>0</v>
      </c>
      <c r="J165" s="2940">
        <f t="shared" si="318"/>
        <v>0</v>
      </c>
      <c r="K165" s="3005">
        <f t="shared" si="318"/>
        <v>0</v>
      </c>
      <c r="L165" s="3035"/>
      <c r="M165" s="3004">
        <f t="shared" si="319"/>
        <v>0</v>
      </c>
      <c r="N165" s="2940">
        <f t="shared" si="320"/>
        <v>0</v>
      </c>
      <c r="O165" s="2940">
        <f t="shared" si="320"/>
        <v>0</v>
      </c>
      <c r="P165" s="2940">
        <f t="shared" si="320"/>
        <v>0</v>
      </c>
      <c r="Q165" s="2940">
        <f t="shared" si="320"/>
        <v>0</v>
      </c>
      <c r="R165" s="3005">
        <f t="shared" si="320"/>
        <v>0</v>
      </c>
      <c r="S165" s="3035"/>
      <c r="T165" s="3004">
        <f t="shared" si="321"/>
        <v>0</v>
      </c>
      <c r="U165" s="2940">
        <f t="shared" si="322"/>
        <v>0</v>
      </c>
      <c r="V165" s="2940">
        <f t="shared" si="322"/>
        <v>0</v>
      </c>
      <c r="W165" s="2940">
        <f t="shared" si="322"/>
        <v>0</v>
      </c>
      <c r="X165" s="2940">
        <f t="shared" si="322"/>
        <v>0</v>
      </c>
      <c r="Y165" s="3005">
        <f t="shared" si="322"/>
        <v>0</v>
      </c>
      <c r="Z165" s="3035"/>
      <c r="AA165" s="3004">
        <f t="shared" si="323"/>
        <v>0</v>
      </c>
      <c r="AB165" s="2940">
        <f t="shared" si="324"/>
        <v>0</v>
      </c>
      <c r="AC165" s="2940">
        <f t="shared" si="315"/>
        <v>0</v>
      </c>
      <c r="AD165" s="2940">
        <f t="shared" si="315"/>
        <v>0</v>
      </c>
      <c r="AE165" s="2940">
        <f t="shared" si="315"/>
        <v>0</v>
      </c>
      <c r="AF165" s="3005">
        <f t="shared" si="315"/>
        <v>0</v>
      </c>
      <c r="AG165" s="3035"/>
      <c r="AH165" s="3004">
        <f t="shared" si="325"/>
        <v>0</v>
      </c>
      <c r="AI165" s="2940">
        <f t="shared" si="326"/>
        <v>0</v>
      </c>
      <c r="AJ165" s="2940">
        <f t="shared" si="316"/>
        <v>0</v>
      </c>
      <c r="AK165" s="2940">
        <f t="shared" si="316"/>
        <v>0</v>
      </c>
      <c r="AL165" s="2940">
        <f t="shared" si="316"/>
        <v>0</v>
      </c>
      <c r="AM165" s="3005">
        <f t="shared" si="316"/>
        <v>0</v>
      </c>
      <c r="AN165" s="3035"/>
      <c r="AO165" s="3040"/>
      <c r="AP165" s="3041"/>
      <c r="AQ165" s="3041"/>
      <c r="AR165" s="3041"/>
      <c r="AS165" s="3041"/>
      <c r="AT165" s="3042"/>
      <c r="AU165" s="4488"/>
      <c r="AV165" s="147"/>
      <c r="AW165" s="4504">
        <f t="shared" si="309"/>
        <v>0</v>
      </c>
      <c r="AX165" s="4504">
        <f t="shared" si="280"/>
        <v>0</v>
      </c>
      <c r="AY165" s="4504">
        <f t="shared" si="281"/>
        <v>0</v>
      </c>
      <c r="AZ165" s="4504">
        <f t="shared" si="282"/>
        <v>0</v>
      </c>
      <c r="BA165" s="4504">
        <f t="shared" si="283"/>
        <v>0</v>
      </c>
      <c r="BB165" s="4504">
        <f t="shared" si="284"/>
        <v>0</v>
      </c>
      <c r="BC165" s="147"/>
      <c r="BD165" s="4504">
        <f t="shared" si="285"/>
        <v>0</v>
      </c>
      <c r="BE165" s="4504">
        <f t="shared" si="286"/>
        <v>0</v>
      </c>
      <c r="BF165" s="4504">
        <f t="shared" si="287"/>
        <v>0</v>
      </c>
      <c r="BG165" s="4504">
        <f t="shared" si="288"/>
        <v>0</v>
      </c>
      <c r="BH165" s="4504">
        <f t="shared" si="289"/>
        <v>0</v>
      </c>
      <c r="BI165" s="4504">
        <f t="shared" si="290"/>
        <v>0</v>
      </c>
      <c r="BJ165" s="147"/>
      <c r="BK165" s="4504">
        <f t="shared" si="291"/>
        <v>0</v>
      </c>
      <c r="BL165" s="4504">
        <f t="shared" si="292"/>
        <v>0</v>
      </c>
      <c r="BM165" s="4504">
        <f t="shared" si="293"/>
        <v>0</v>
      </c>
      <c r="BN165" s="4504">
        <f t="shared" si="294"/>
        <v>0</v>
      </c>
      <c r="BO165" s="4504">
        <f t="shared" si="295"/>
        <v>0</v>
      </c>
      <c r="BP165" s="4504">
        <f t="shared" si="296"/>
        <v>0</v>
      </c>
      <c r="BQ165" s="147"/>
      <c r="BR165" s="4504">
        <f t="shared" si="297"/>
        <v>0</v>
      </c>
      <c r="BS165" s="4504">
        <f t="shared" si="298"/>
        <v>0</v>
      </c>
      <c r="BT165" s="4504">
        <f t="shared" si="299"/>
        <v>0</v>
      </c>
      <c r="BU165" s="4504">
        <f t="shared" si="300"/>
        <v>0</v>
      </c>
      <c r="BV165" s="4504">
        <f t="shared" si="301"/>
        <v>0</v>
      </c>
      <c r="BW165" s="4504">
        <f t="shared" si="302"/>
        <v>0</v>
      </c>
      <c r="BX165" s="147"/>
      <c r="BY165" s="4504">
        <f t="shared" si="303"/>
        <v>0</v>
      </c>
      <c r="BZ165" s="4504">
        <f t="shared" si="304"/>
        <v>0</v>
      </c>
      <c r="CA165" s="4504">
        <f t="shared" si="305"/>
        <v>0</v>
      </c>
      <c r="CB165" s="4504">
        <f t="shared" si="306"/>
        <v>0</v>
      </c>
      <c r="CC165" s="4504">
        <f t="shared" si="307"/>
        <v>0</v>
      </c>
      <c r="CD165" s="4504">
        <f t="shared" si="308"/>
        <v>0</v>
      </c>
    </row>
    <row r="166" spans="1:82" s="40" customFormat="1">
      <c r="A166" s="2996">
        <v>12</v>
      </c>
      <c r="B166" s="2993" t="s">
        <v>698</v>
      </c>
      <c r="C166" s="2995">
        <v>0.02</v>
      </c>
      <c r="D166" s="2585" t="s">
        <v>738</v>
      </c>
      <c r="E166" s="3035"/>
      <c r="F166" s="3004">
        <f t="shared" si="317"/>
        <v>0</v>
      </c>
      <c r="G166" s="2940">
        <f t="shared" si="318"/>
        <v>0</v>
      </c>
      <c r="H166" s="2940">
        <f t="shared" si="318"/>
        <v>0</v>
      </c>
      <c r="I166" s="2940">
        <f t="shared" si="318"/>
        <v>0</v>
      </c>
      <c r="J166" s="2940">
        <f t="shared" si="318"/>
        <v>0</v>
      </c>
      <c r="K166" s="3005">
        <f t="shared" si="318"/>
        <v>0</v>
      </c>
      <c r="L166" s="3035"/>
      <c r="M166" s="3004">
        <f t="shared" si="319"/>
        <v>0</v>
      </c>
      <c r="N166" s="2940">
        <f t="shared" si="320"/>
        <v>0</v>
      </c>
      <c r="O166" s="2940">
        <f t="shared" si="320"/>
        <v>0</v>
      </c>
      <c r="P166" s="2940">
        <f t="shared" si="320"/>
        <v>0</v>
      </c>
      <c r="Q166" s="2940">
        <f t="shared" si="320"/>
        <v>0</v>
      </c>
      <c r="R166" s="3005">
        <f t="shared" si="320"/>
        <v>0</v>
      </c>
      <c r="S166" s="3035"/>
      <c r="T166" s="3004">
        <f t="shared" si="321"/>
        <v>0</v>
      </c>
      <c r="U166" s="2940">
        <f t="shared" si="322"/>
        <v>0</v>
      </c>
      <c r="V166" s="2940">
        <f t="shared" si="322"/>
        <v>0</v>
      </c>
      <c r="W166" s="2940">
        <f t="shared" si="322"/>
        <v>0</v>
      </c>
      <c r="X166" s="2940">
        <f t="shared" si="322"/>
        <v>0</v>
      </c>
      <c r="Y166" s="3005">
        <f t="shared" si="322"/>
        <v>0</v>
      </c>
      <c r="Z166" s="3035"/>
      <c r="AA166" s="3004">
        <f t="shared" si="323"/>
        <v>0</v>
      </c>
      <c r="AB166" s="2940">
        <f t="shared" si="324"/>
        <v>0</v>
      </c>
      <c r="AC166" s="2940">
        <f t="shared" si="315"/>
        <v>0</v>
      </c>
      <c r="AD166" s="2940">
        <f t="shared" si="315"/>
        <v>0</v>
      </c>
      <c r="AE166" s="2940">
        <f t="shared" si="315"/>
        <v>0</v>
      </c>
      <c r="AF166" s="3005">
        <f t="shared" si="315"/>
        <v>0</v>
      </c>
      <c r="AG166" s="3035"/>
      <c r="AH166" s="3004">
        <f t="shared" si="325"/>
        <v>0</v>
      </c>
      <c r="AI166" s="2940">
        <f t="shared" si="326"/>
        <v>0</v>
      </c>
      <c r="AJ166" s="2940">
        <f t="shared" si="316"/>
        <v>0</v>
      </c>
      <c r="AK166" s="2940">
        <f t="shared" si="316"/>
        <v>0</v>
      </c>
      <c r="AL166" s="2940">
        <f t="shared" si="316"/>
        <v>0</v>
      </c>
      <c r="AM166" s="3005">
        <f t="shared" si="316"/>
        <v>0</v>
      </c>
      <c r="AN166" s="3035"/>
      <c r="AO166" s="3040"/>
      <c r="AP166" s="3041"/>
      <c r="AQ166" s="3041"/>
      <c r="AR166" s="3041"/>
      <c r="AS166" s="3041"/>
      <c r="AT166" s="3042"/>
      <c r="AU166" s="4488"/>
      <c r="AV166" s="147"/>
      <c r="AW166" s="4504">
        <f t="shared" si="309"/>
        <v>0</v>
      </c>
      <c r="AX166" s="4504">
        <f t="shared" si="280"/>
        <v>0</v>
      </c>
      <c r="AY166" s="4504">
        <f t="shared" si="281"/>
        <v>0</v>
      </c>
      <c r="AZ166" s="4504">
        <f t="shared" si="282"/>
        <v>0</v>
      </c>
      <c r="BA166" s="4504">
        <f t="shared" si="283"/>
        <v>0</v>
      </c>
      <c r="BB166" s="4504">
        <f t="shared" si="284"/>
        <v>0</v>
      </c>
      <c r="BC166" s="147"/>
      <c r="BD166" s="4504">
        <f t="shared" si="285"/>
        <v>0</v>
      </c>
      <c r="BE166" s="4504">
        <f t="shared" si="286"/>
        <v>0</v>
      </c>
      <c r="BF166" s="4504">
        <f t="shared" si="287"/>
        <v>0</v>
      </c>
      <c r="BG166" s="4504">
        <f t="shared" si="288"/>
        <v>0</v>
      </c>
      <c r="BH166" s="4504">
        <f t="shared" si="289"/>
        <v>0</v>
      </c>
      <c r="BI166" s="4504">
        <f t="shared" si="290"/>
        <v>0</v>
      </c>
      <c r="BJ166" s="147"/>
      <c r="BK166" s="4504">
        <f t="shared" si="291"/>
        <v>0</v>
      </c>
      <c r="BL166" s="4504">
        <f t="shared" si="292"/>
        <v>0</v>
      </c>
      <c r="BM166" s="4504">
        <f t="shared" si="293"/>
        <v>0</v>
      </c>
      <c r="BN166" s="4504">
        <f t="shared" si="294"/>
        <v>0</v>
      </c>
      <c r="BO166" s="4504">
        <f t="shared" si="295"/>
        <v>0</v>
      </c>
      <c r="BP166" s="4504">
        <f t="shared" si="296"/>
        <v>0</v>
      </c>
      <c r="BQ166" s="147"/>
      <c r="BR166" s="4504">
        <f t="shared" si="297"/>
        <v>0</v>
      </c>
      <c r="BS166" s="4504">
        <f t="shared" si="298"/>
        <v>0</v>
      </c>
      <c r="BT166" s="4504">
        <f t="shared" si="299"/>
        <v>0</v>
      </c>
      <c r="BU166" s="4504">
        <f t="shared" si="300"/>
        <v>0</v>
      </c>
      <c r="BV166" s="4504">
        <f t="shared" si="301"/>
        <v>0</v>
      </c>
      <c r="BW166" s="4504">
        <f t="shared" si="302"/>
        <v>0</v>
      </c>
      <c r="BX166" s="147"/>
      <c r="BY166" s="4504">
        <f t="shared" si="303"/>
        <v>0</v>
      </c>
      <c r="BZ166" s="4504">
        <f t="shared" si="304"/>
        <v>0</v>
      </c>
      <c r="CA166" s="4504">
        <f t="shared" si="305"/>
        <v>0</v>
      </c>
      <c r="CB166" s="4504">
        <f t="shared" si="306"/>
        <v>0</v>
      </c>
      <c r="CC166" s="4504">
        <f t="shared" si="307"/>
        <v>0</v>
      </c>
      <c r="CD166" s="4504">
        <f t="shared" si="308"/>
        <v>0</v>
      </c>
    </row>
    <row r="167" spans="1:82" s="40" customFormat="1">
      <c r="A167" s="2996">
        <v>13</v>
      </c>
      <c r="B167" s="2993" t="s">
        <v>699</v>
      </c>
      <c r="C167" s="2995">
        <v>0.02</v>
      </c>
      <c r="D167" s="2585" t="s">
        <v>739</v>
      </c>
      <c r="E167" s="3035"/>
      <c r="F167" s="3004">
        <f t="shared" si="317"/>
        <v>0</v>
      </c>
      <c r="G167" s="2940">
        <f t="shared" si="318"/>
        <v>0</v>
      </c>
      <c r="H167" s="2940">
        <f t="shared" si="318"/>
        <v>0</v>
      </c>
      <c r="I167" s="2940">
        <f t="shared" si="318"/>
        <v>0</v>
      </c>
      <c r="J167" s="2940">
        <f t="shared" si="318"/>
        <v>0</v>
      </c>
      <c r="K167" s="3005">
        <f t="shared" si="318"/>
        <v>6.7720000000000002</v>
      </c>
      <c r="L167" s="3035"/>
      <c r="M167" s="3004">
        <f t="shared" si="319"/>
        <v>0</v>
      </c>
      <c r="N167" s="2940">
        <f t="shared" si="320"/>
        <v>0</v>
      </c>
      <c r="O167" s="2940">
        <f t="shared" si="320"/>
        <v>0</v>
      </c>
      <c r="P167" s="2940">
        <f t="shared" si="320"/>
        <v>0</v>
      </c>
      <c r="Q167" s="2940">
        <f t="shared" si="320"/>
        <v>0</v>
      </c>
      <c r="R167" s="3005">
        <f t="shared" si="320"/>
        <v>0</v>
      </c>
      <c r="S167" s="3035"/>
      <c r="T167" s="3004">
        <f t="shared" si="321"/>
        <v>0</v>
      </c>
      <c r="U167" s="2940">
        <f t="shared" si="322"/>
        <v>0</v>
      </c>
      <c r="V167" s="2940">
        <f t="shared" si="322"/>
        <v>0</v>
      </c>
      <c r="W167" s="2940">
        <f t="shared" si="322"/>
        <v>0</v>
      </c>
      <c r="X167" s="2940">
        <f t="shared" si="322"/>
        <v>0</v>
      </c>
      <c r="Y167" s="3005">
        <f t="shared" si="322"/>
        <v>0</v>
      </c>
      <c r="Z167" s="3035"/>
      <c r="AA167" s="3004">
        <f t="shared" si="323"/>
        <v>0</v>
      </c>
      <c r="AB167" s="2940">
        <f t="shared" si="324"/>
        <v>0</v>
      </c>
      <c r="AC167" s="2940">
        <f t="shared" si="315"/>
        <v>0</v>
      </c>
      <c r="AD167" s="2940">
        <f t="shared" si="315"/>
        <v>0</v>
      </c>
      <c r="AE167" s="2940">
        <f t="shared" si="315"/>
        <v>0</v>
      </c>
      <c r="AF167" s="3005">
        <f t="shared" si="315"/>
        <v>0</v>
      </c>
      <c r="AG167" s="3035"/>
      <c r="AH167" s="3004">
        <f t="shared" si="325"/>
        <v>0</v>
      </c>
      <c r="AI167" s="2940">
        <f t="shared" si="326"/>
        <v>0</v>
      </c>
      <c r="AJ167" s="2940">
        <f t="shared" si="316"/>
        <v>0</v>
      </c>
      <c r="AK167" s="2940">
        <f t="shared" si="316"/>
        <v>0</v>
      </c>
      <c r="AL167" s="2940">
        <f t="shared" si="316"/>
        <v>0</v>
      </c>
      <c r="AM167" s="3005">
        <f t="shared" si="316"/>
        <v>0</v>
      </c>
      <c r="AN167" s="3035"/>
      <c r="AO167" s="3040"/>
      <c r="AP167" s="3041"/>
      <c r="AQ167" s="3041"/>
      <c r="AR167" s="3041"/>
      <c r="AS167" s="3041"/>
      <c r="AT167" s="3042"/>
      <c r="AU167" s="4488"/>
      <c r="AV167" s="147"/>
      <c r="AW167" s="4504">
        <f t="shared" si="309"/>
        <v>0</v>
      </c>
      <c r="AX167" s="4504">
        <f t="shared" si="280"/>
        <v>0</v>
      </c>
      <c r="AY167" s="4504">
        <f t="shared" si="281"/>
        <v>0</v>
      </c>
      <c r="AZ167" s="4504">
        <f t="shared" si="282"/>
        <v>0</v>
      </c>
      <c r="BA167" s="4504">
        <f t="shared" si="283"/>
        <v>0</v>
      </c>
      <c r="BB167" s="4504">
        <f t="shared" si="284"/>
        <v>3.4624686194607919</v>
      </c>
      <c r="BC167" s="147"/>
      <c r="BD167" s="4504">
        <f t="shared" si="285"/>
        <v>0</v>
      </c>
      <c r="BE167" s="4504">
        <f t="shared" si="286"/>
        <v>0</v>
      </c>
      <c r="BF167" s="4504">
        <f t="shared" si="287"/>
        <v>0</v>
      </c>
      <c r="BG167" s="4504">
        <f t="shared" si="288"/>
        <v>0</v>
      </c>
      <c r="BH167" s="4504">
        <f t="shared" si="289"/>
        <v>0</v>
      </c>
      <c r="BI167" s="4504">
        <f t="shared" si="290"/>
        <v>0</v>
      </c>
      <c r="BJ167" s="147"/>
      <c r="BK167" s="4504">
        <f t="shared" si="291"/>
        <v>0</v>
      </c>
      <c r="BL167" s="4504">
        <f t="shared" si="292"/>
        <v>0</v>
      </c>
      <c r="BM167" s="4504">
        <f t="shared" si="293"/>
        <v>0</v>
      </c>
      <c r="BN167" s="4504">
        <f t="shared" si="294"/>
        <v>0</v>
      </c>
      <c r="BO167" s="4504">
        <f t="shared" si="295"/>
        <v>0</v>
      </c>
      <c r="BP167" s="4504">
        <f t="shared" si="296"/>
        <v>0</v>
      </c>
      <c r="BQ167" s="147"/>
      <c r="BR167" s="4504">
        <f t="shared" si="297"/>
        <v>0</v>
      </c>
      <c r="BS167" s="4504">
        <f t="shared" si="298"/>
        <v>0</v>
      </c>
      <c r="BT167" s="4504">
        <f t="shared" si="299"/>
        <v>0</v>
      </c>
      <c r="BU167" s="4504">
        <f t="shared" si="300"/>
        <v>0</v>
      </c>
      <c r="BV167" s="4504">
        <f t="shared" si="301"/>
        <v>0</v>
      </c>
      <c r="BW167" s="4504">
        <f t="shared" si="302"/>
        <v>0</v>
      </c>
      <c r="BX167" s="147"/>
      <c r="BY167" s="4504">
        <f t="shared" si="303"/>
        <v>0</v>
      </c>
      <c r="BZ167" s="4504">
        <f t="shared" si="304"/>
        <v>0</v>
      </c>
      <c r="CA167" s="4504">
        <f t="shared" si="305"/>
        <v>0</v>
      </c>
      <c r="CB167" s="4504">
        <f t="shared" si="306"/>
        <v>0</v>
      </c>
      <c r="CC167" s="4504">
        <f t="shared" si="307"/>
        <v>0</v>
      </c>
      <c r="CD167" s="4504">
        <f t="shared" si="308"/>
        <v>0</v>
      </c>
    </row>
    <row r="168" spans="1:82" s="40" customFormat="1">
      <c r="A168" s="2996">
        <v>14</v>
      </c>
      <c r="B168" s="2993" t="s">
        <v>700</v>
      </c>
      <c r="C168" s="2995">
        <v>0.02</v>
      </c>
      <c r="D168" s="2585" t="s">
        <v>418</v>
      </c>
      <c r="E168" s="3035"/>
      <c r="F168" s="3004">
        <f t="shared" si="317"/>
        <v>0</v>
      </c>
      <c r="G168" s="2940">
        <f t="shared" si="318"/>
        <v>0</v>
      </c>
      <c r="H168" s="2940">
        <f t="shared" si="318"/>
        <v>0</v>
      </c>
      <c r="I168" s="2940">
        <f t="shared" si="318"/>
        <v>0</v>
      </c>
      <c r="J168" s="2940">
        <f t="shared" si="318"/>
        <v>0</v>
      </c>
      <c r="K168" s="3005">
        <f t="shared" si="318"/>
        <v>0</v>
      </c>
      <c r="L168" s="3035"/>
      <c r="M168" s="3004">
        <f t="shared" si="319"/>
        <v>0</v>
      </c>
      <c r="N168" s="2940">
        <f t="shared" si="320"/>
        <v>0</v>
      </c>
      <c r="O168" s="2940">
        <f t="shared" si="320"/>
        <v>0</v>
      </c>
      <c r="P168" s="2940">
        <f t="shared" si="320"/>
        <v>0</v>
      </c>
      <c r="Q168" s="2940">
        <f t="shared" si="320"/>
        <v>0</v>
      </c>
      <c r="R168" s="3005">
        <f t="shared" si="320"/>
        <v>0</v>
      </c>
      <c r="S168" s="3035"/>
      <c r="T168" s="3004">
        <f t="shared" si="321"/>
        <v>0</v>
      </c>
      <c r="U168" s="2940">
        <f t="shared" si="322"/>
        <v>0</v>
      </c>
      <c r="V168" s="2940">
        <f t="shared" si="322"/>
        <v>0</v>
      </c>
      <c r="W168" s="2940">
        <f t="shared" si="322"/>
        <v>0</v>
      </c>
      <c r="X168" s="2940">
        <f t="shared" si="322"/>
        <v>0</v>
      </c>
      <c r="Y168" s="3005">
        <f t="shared" si="322"/>
        <v>0</v>
      </c>
      <c r="Z168" s="3035"/>
      <c r="AA168" s="3004">
        <f t="shared" si="323"/>
        <v>0</v>
      </c>
      <c r="AB168" s="2940">
        <f t="shared" si="324"/>
        <v>0</v>
      </c>
      <c r="AC168" s="2940">
        <f t="shared" si="315"/>
        <v>0</v>
      </c>
      <c r="AD168" s="2940">
        <f t="shared" si="315"/>
        <v>0</v>
      </c>
      <c r="AE168" s="2940">
        <f t="shared" si="315"/>
        <v>0</v>
      </c>
      <c r="AF168" s="3005">
        <f t="shared" si="315"/>
        <v>0</v>
      </c>
      <c r="AG168" s="3035"/>
      <c r="AH168" s="3004">
        <f t="shared" si="325"/>
        <v>0</v>
      </c>
      <c r="AI168" s="2940">
        <f t="shared" si="326"/>
        <v>0</v>
      </c>
      <c r="AJ168" s="2940">
        <f t="shared" si="316"/>
        <v>0</v>
      </c>
      <c r="AK168" s="2940">
        <f t="shared" si="316"/>
        <v>0</v>
      </c>
      <c r="AL168" s="2940">
        <f t="shared" si="316"/>
        <v>0</v>
      </c>
      <c r="AM168" s="3005">
        <f t="shared" si="316"/>
        <v>0</v>
      </c>
      <c r="AN168" s="3035"/>
      <c r="AO168" s="3040"/>
      <c r="AP168" s="3041"/>
      <c r="AQ168" s="3041"/>
      <c r="AR168" s="3041"/>
      <c r="AS168" s="3041"/>
      <c r="AT168" s="3042"/>
      <c r="AU168" s="4488"/>
      <c r="AV168" s="147"/>
      <c r="AW168" s="4504">
        <f t="shared" si="309"/>
        <v>0</v>
      </c>
      <c r="AX168" s="4504">
        <f t="shared" si="280"/>
        <v>0</v>
      </c>
      <c r="AY168" s="4504">
        <f t="shared" si="281"/>
        <v>0</v>
      </c>
      <c r="AZ168" s="4504">
        <f t="shared" si="282"/>
        <v>0</v>
      </c>
      <c r="BA168" s="4504">
        <f t="shared" si="283"/>
        <v>0</v>
      </c>
      <c r="BB168" s="4504">
        <f t="shared" si="284"/>
        <v>0</v>
      </c>
      <c r="BC168" s="147"/>
      <c r="BD168" s="4504">
        <f t="shared" si="285"/>
        <v>0</v>
      </c>
      <c r="BE168" s="4504">
        <f t="shared" si="286"/>
        <v>0</v>
      </c>
      <c r="BF168" s="4504">
        <f t="shared" si="287"/>
        <v>0</v>
      </c>
      <c r="BG168" s="4504">
        <f t="shared" si="288"/>
        <v>0</v>
      </c>
      <c r="BH168" s="4504">
        <f t="shared" si="289"/>
        <v>0</v>
      </c>
      <c r="BI168" s="4504">
        <f t="shared" si="290"/>
        <v>0</v>
      </c>
      <c r="BJ168" s="147"/>
      <c r="BK168" s="4504">
        <f t="shared" si="291"/>
        <v>0</v>
      </c>
      <c r="BL168" s="4504">
        <f t="shared" si="292"/>
        <v>0</v>
      </c>
      <c r="BM168" s="4504">
        <f t="shared" si="293"/>
        <v>0</v>
      </c>
      <c r="BN168" s="4504">
        <f t="shared" si="294"/>
        <v>0</v>
      </c>
      <c r="BO168" s="4504">
        <f t="shared" si="295"/>
        <v>0</v>
      </c>
      <c r="BP168" s="4504">
        <f t="shared" si="296"/>
        <v>0</v>
      </c>
      <c r="BQ168" s="147"/>
      <c r="BR168" s="4504">
        <f t="shared" si="297"/>
        <v>0</v>
      </c>
      <c r="BS168" s="4504">
        <f t="shared" si="298"/>
        <v>0</v>
      </c>
      <c r="BT168" s="4504">
        <f t="shared" si="299"/>
        <v>0</v>
      </c>
      <c r="BU168" s="4504">
        <f t="shared" si="300"/>
        <v>0</v>
      </c>
      <c r="BV168" s="4504">
        <f t="shared" si="301"/>
        <v>0</v>
      </c>
      <c r="BW168" s="4504">
        <f t="shared" si="302"/>
        <v>0</v>
      </c>
      <c r="BX168" s="147"/>
      <c r="BY168" s="4504">
        <f t="shared" si="303"/>
        <v>0</v>
      </c>
      <c r="BZ168" s="4504">
        <f t="shared" si="304"/>
        <v>0</v>
      </c>
      <c r="CA168" s="4504">
        <f t="shared" si="305"/>
        <v>0</v>
      </c>
      <c r="CB168" s="4504">
        <f t="shared" si="306"/>
        <v>0</v>
      </c>
      <c r="CC168" s="4504">
        <f t="shared" si="307"/>
        <v>0</v>
      </c>
      <c r="CD168" s="4504">
        <f t="shared" si="308"/>
        <v>0</v>
      </c>
    </row>
    <row r="169" spans="1:82" s="40" customFormat="1">
      <c r="A169" s="2996">
        <v>15</v>
      </c>
      <c r="B169" s="2993" t="s">
        <v>701</v>
      </c>
      <c r="C169" s="2995">
        <v>0.02</v>
      </c>
      <c r="D169" s="2584" t="s">
        <v>419</v>
      </c>
      <c r="E169" s="3035"/>
      <c r="F169" s="3004">
        <f t="shared" si="317"/>
        <v>0</v>
      </c>
      <c r="G169" s="2940">
        <f t="shared" si="318"/>
        <v>0</v>
      </c>
      <c r="H169" s="2940">
        <f t="shared" si="318"/>
        <v>0</v>
      </c>
      <c r="I169" s="2940">
        <f t="shared" si="318"/>
        <v>0</v>
      </c>
      <c r="J169" s="2940">
        <f t="shared" si="318"/>
        <v>0</v>
      </c>
      <c r="K169" s="3005">
        <f t="shared" si="318"/>
        <v>0</v>
      </c>
      <c r="L169" s="3035"/>
      <c r="M169" s="3004">
        <f t="shared" si="319"/>
        <v>0</v>
      </c>
      <c r="N169" s="2940">
        <f t="shared" si="320"/>
        <v>0</v>
      </c>
      <c r="O169" s="2940">
        <f t="shared" si="320"/>
        <v>0</v>
      </c>
      <c r="P169" s="2940">
        <f t="shared" si="320"/>
        <v>0</v>
      </c>
      <c r="Q169" s="2940">
        <f t="shared" si="320"/>
        <v>0</v>
      </c>
      <c r="R169" s="3005">
        <f t="shared" si="320"/>
        <v>0</v>
      </c>
      <c r="S169" s="3035"/>
      <c r="T169" s="3004">
        <f t="shared" si="321"/>
        <v>0</v>
      </c>
      <c r="U169" s="2940">
        <f t="shared" si="322"/>
        <v>0</v>
      </c>
      <c r="V169" s="2940">
        <f t="shared" si="322"/>
        <v>0</v>
      </c>
      <c r="W169" s="2940">
        <f t="shared" si="322"/>
        <v>0</v>
      </c>
      <c r="X169" s="2940">
        <f t="shared" si="322"/>
        <v>0</v>
      </c>
      <c r="Y169" s="3005">
        <f t="shared" si="322"/>
        <v>0</v>
      </c>
      <c r="Z169" s="3035"/>
      <c r="AA169" s="3004">
        <f t="shared" si="323"/>
        <v>0</v>
      </c>
      <c r="AB169" s="2940">
        <f t="shared" si="324"/>
        <v>0</v>
      </c>
      <c r="AC169" s="2940">
        <f t="shared" si="315"/>
        <v>0</v>
      </c>
      <c r="AD169" s="2940">
        <f t="shared" si="315"/>
        <v>0</v>
      </c>
      <c r="AE169" s="2940">
        <f t="shared" si="315"/>
        <v>0</v>
      </c>
      <c r="AF169" s="3005">
        <f t="shared" si="315"/>
        <v>0</v>
      </c>
      <c r="AG169" s="3035"/>
      <c r="AH169" s="3004">
        <f t="shared" si="325"/>
        <v>0</v>
      </c>
      <c r="AI169" s="2940">
        <f t="shared" si="326"/>
        <v>0</v>
      </c>
      <c r="AJ169" s="2940">
        <f t="shared" si="316"/>
        <v>0</v>
      </c>
      <c r="AK169" s="2940">
        <f t="shared" si="316"/>
        <v>0</v>
      </c>
      <c r="AL169" s="2940">
        <f t="shared" si="316"/>
        <v>0</v>
      </c>
      <c r="AM169" s="3005">
        <f t="shared" si="316"/>
        <v>0</v>
      </c>
      <c r="AN169" s="3035"/>
      <c r="AO169" s="3040"/>
      <c r="AP169" s="3041"/>
      <c r="AQ169" s="3041"/>
      <c r="AR169" s="3041"/>
      <c r="AS169" s="3041"/>
      <c r="AT169" s="3042"/>
      <c r="AU169" s="4488"/>
      <c r="AV169" s="147"/>
      <c r="AW169" s="4504">
        <f t="shared" si="309"/>
        <v>0</v>
      </c>
      <c r="AX169" s="4504">
        <f t="shared" si="280"/>
        <v>0</v>
      </c>
      <c r="AY169" s="4504">
        <f t="shared" si="281"/>
        <v>0</v>
      </c>
      <c r="AZ169" s="4504">
        <f t="shared" si="282"/>
        <v>0</v>
      </c>
      <c r="BA169" s="4504">
        <f t="shared" si="283"/>
        <v>0</v>
      </c>
      <c r="BB169" s="4504">
        <f t="shared" si="284"/>
        <v>0</v>
      </c>
      <c r="BC169" s="147"/>
      <c r="BD169" s="4504">
        <f t="shared" si="285"/>
        <v>0</v>
      </c>
      <c r="BE169" s="4504">
        <f t="shared" si="286"/>
        <v>0</v>
      </c>
      <c r="BF169" s="4504">
        <f t="shared" si="287"/>
        <v>0</v>
      </c>
      <c r="BG169" s="4504">
        <f t="shared" si="288"/>
        <v>0</v>
      </c>
      <c r="BH169" s="4504">
        <f t="shared" si="289"/>
        <v>0</v>
      </c>
      <c r="BI169" s="4504">
        <f t="shared" si="290"/>
        <v>0</v>
      </c>
      <c r="BJ169" s="147"/>
      <c r="BK169" s="4504">
        <f t="shared" si="291"/>
        <v>0</v>
      </c>
      <c r="BL169" s="4504">
        <f t="shared" si="292"/>
        <v>0</v>
      </c>
      <c r="BM169" s="4504">
        <f t="shared" si="293"/>
        <v>0</v>
      </c>
      <c r="BN169" s="4504">
        <f t="shared" si="294"/>
        <v>0</v>
      </c>
      <c r="BO169" s="4504">
        <f t="shared" si="295"/>
        <v>0</v>
      </c>
      <c r="BP169" s="4504">
        <f t="shared" si="296"/>
        <v>0</v>
      </c>
      <c r="BQ169" s="147"/>
      <c r="BR169" s="4504">
        <f t="shared" si="297"/>
        <v>0</v>
      </c>
      <c r="BS169" s="4504">
        <f t="shared" si="298"/>
        <v>0</v>
      </c>
      <c r="BT169" s="4504">
        <f t="shared" si="299"/>
        <v>0</v>
      </c>
      <c r="BU169" s="4504">
        <f t="shared" si="300"/>
        <v>0</v>
      </c>
      <c r="BV169" s="4504">
        <f t="shared" si="301"/>
        <v>0</v>
      </c>
      <c r="BW169" s="4504">
        <f t="shared" si="302"/>
        <v>0</v>
      </c>
      <c r="BX169" s="147"/>
      <c r="BY169" s="4504">
        <f t="shared" si="303"/>
        <v>0</v>
      </c>
      <c r="BZ169" s="4504">
        <f t="shared" si="304"/>
        <v>0</v>
      </c>
      <c r="CA169" s="4504">
        <f t="shared" si="305"/>
        <v>0</v>
      </c>
      <c r="CB169" s="4504">
        <f t="shared" si="306"/>
        <v>0</v>
      </c>
      <c r="CC169" s="4504">
        <f t="shared" si="307"/>
        <v>0</v>
      </c>
      <c r="CD169" s="4504">
        <f t="shared" si="308"/>
        <v>0</v>
      </c>
    </row>
    <row r="170" spans="1:82" s="40" customFormat="1">
      <c r="A170" s="2996">
        <v>16</v>
      </c>
      <c r="B170" s="2993" t="s">
        <v>702</v>
      </c>
      <c r="C170" s="2995">
        <v>0.02</v>
      </c>
      <c r="D170" s="2585" t="s">
        <v>420</v>
      </c>
      <c r="E170" s="3035"/>
      <c r="F170" s="3004">
        <f t="shared" si="317"/>
        <v>188.78077690799998</v>
      </c>
      <c r="G170" s="2940">
        <f t="shared" si="318"/>
        <v>560.82624650799994</v>
      </c>
      <c r="H170" s="2940">
        <f t="shared" si="318"/>
        <v>687.42990650799993</v>
      </c>
      <c r="I170" s="2940">
        <f t="shared" si="318"/>
        <v>924.69314430799989</v>
      </c>
      <c r="J170" s="2940">
        <f t="shared" si="318"/>
        <v>937.28664430799984</v>
      </c>
      <c r="K170" s="3005">
        <f t="shared" si="318"/>
        <v>1402.1262187079999</v>
      </c>
      <c r="L170" s="3035"/>
      <c r="M170" s="3004">
        <f t="shared" si="319"/>
        <v>0</v>
      </c>
      <c r="N170" s="2940">
        <f t="shared" si="320"/>
        <v>0</v>
      </c>
      <c r="O170" s="2940">
        <f t="shared" si="320"/>
        <v>0</v>
      </c>
      <c r="P170" s="2940">
        <f t="shared" si="320"/>
        <v>0</v>
      </c>
      <c r="Q170" s="2940">
        <f t="shared" si="320"/>
        <v>0</v>
      </c>
      <c r="R170" s="3005">
        <f t="shared" si="320"/>
        <v>0</v>
      </c>
      <c r="S170" s="3035"/>
      <c r="T170" s="3004">
        <f t="shared" si="321"/>
        <v>0</v>
      </c>
      <c r="U170" s="2940">
        <f t="shared" si="322"/>
        <v>0</v>
      </c>
      <c r="V170" s="2940">
        <f t="shared" si="322"/>
        <v>0</v>
      </c>
      <c r="W170" s="2940">
        <f t="shared" si="322"/>
        <v>0</v>
      </c>
      <c r="X170" s="2940">
        <f t="shared" si="322"/>
        <v>0</v>
      </c>
      <c r="Y170" s="3005">
        <f t="shared" si="322"/>
        <v>0</v>
      </c>
      <c r="Z170" s="3035"/>
      <c r="AA170" s="3004">
        <f t="shared" si="323"/>
        <v>0</v>
      </c>
      <c r="AB170" s="2940">
        <f t="shared" si="324"/>
        <v>0</v>
      </c>
      <c r="AC170" s="2940">
        <f t="shared" si="315"/>
        <v>0</v>
      </c>
      <c r="AD170" s="2940">
        <f t="shared" si="315"/>
        <v>0</v>
      </c>
      <c r="AE170" s="2940">
        <f t="shared" si="315"/>
        <v>0</v>
      </c>
      <c r="AF170" s="3005">
        <f t="shared" si="315"/>
        <v>0</v>
      </c>
      <c r="AG170" s="3035"/>
      <c r="AH170" s="3004">
        <f t="shared" si="325"/>
        <v>0</v>
      </c>
      <c r="AI170" s="2940">
        <f t="shared" si="326"/>
        <v>0</v>
      </c>
      <c r="AJ170" s="2940">
        <f t="shared" si="316"/>
        <v>0</v>
      </c>
      <c r="AK170" s="2940">
        <f t="shared" si="316"/>
        <v>0</v>
      </c>
      <c r="AL170" s="2940">
        <f t="shared" si="316"/>
        <v>0</v>
      </c>
      <c r="AM170" s="3005">
        <f t="shared" si="316"/>
        <v>0</v>
      </c>
      <c r="AN170" s="3035"/>
      <c r="AO170" s="3040"/>
      <c r="AP170" s="3041"/>
      <c r="AQ170" s="3041"/>
      <c r="AR170" s="3041"/>
      <c r="AS170" s="3041"/>
      <c r="AT170" s="3042"/>
      <c r="AU170" s="4488"/>
      <c r="AV170" s="147"/>
      <c r="AW170" s="4504">
        <f t="shared" si="309"/>
        <v>96.522078558974954</v>
      </c>
      <c r="AX170" s="4504">
        <f t="shared" si="280"/>
        <v>286.74590660128945</v>
      </c>
      <c r="AY170" s="4504">
        <f t="shared" si="281"/>
        <v>351.47733008901588</v>
      </c>
      <c r="AZ170" s="4504">
        <f t="shared" si="282"/>
        <v>472.78809728248359</v>
      </c>
      <c r="BA170" s="4504">
        <f t="shared" si="283"/>
        <v>479.22705158832815</v>
      </c>
      <c r="BB170" s="4504">
        <f t="shared" si="284"/>
        <v>716.89575203775371</v>
      </c>
      <c r="BC170" s="147"/>
      <c r="BD170" s="4504">
        <f t="shared" si="285"/>
        <v>0</v>
      </c>
      <c r="BE170" s="4504">
        <f t="shared" si="286"/>
        <v>0</v>
      </c>
      <c r="BF170" s="4504">
        <f t="shared" si="287"/>
        <v>0</v>
      </c>
      <c r="BG170" s="4504">
        <f t="shared" si="288"/>
        <v>0</v>
      </c>
      <c r="BH170" s="4504">
        <f t="shared" si="289"/>
        <v>0</v>
      </c>
      <c r="BI170" s="4504">
        <f t="shared" si="290"/>
        <v>0</v>
      </c>
      <c r="BJ170" s="147"/>
      <c r="BK170" s="4504">
        <f t="shared" si="291"/>
        <v>0</v>
      </c>
      <c r="BL170" s="4504">
        <f t="shared" si="292"/>
        <v>0</v>
      </c>
      <c r="BM170" s="4504">
        <f t="shared" si="293"/>
        <v>0</v>
      </c>
      <c r="BN170" s="4504">
        <f t="shared" si="294"/>
        <v>0</v>
      </c>
      <c r="BO170" s="4504">
        <f t="shared" si="295"/>
        <v>0</v>
      </c>
      <c r="BP170" s="4504">
        <f t="shared" si="296"/>
        <v>0</v>
      </c>
      <c r="BQ170" s="147"/>
      <c r="BR170" s="4504">
        <f t="shared" si="297"/>
        <v>0</v>
      </c>
      <c r="BS170" s="4504">
        <f t="shared" si="298"/>
        <v>0</v>
      </c>
      <c r="BT170" s="4504">
        <f t="shared" si="299"/>
        <v>0</v>
      </c>
      <c r="BU170" s="4504">
        <f t="shared" si="300"/>
        <v>0</v>
      </c>
      <c r="BV170" s="4504">
        <f t="shared" si="301"/>
        <v>0</v>
      </c>
      <c r="BW170" s="4504">
        <f t="shared" si="302"/>
        <v>0</v>
      </c>
      <c r="BX170" s="147"/>
      <c r="BY170" s="4504">
        <f t="shared" si="303"/>
        <v>0</v>
      </c>
      <c r="BZ170" s="4504">
        <f t="shared" si="304"/>
        <v>0</v>
      </c>
      <c r="CA170" s="4504">
        <f t="shared" si="305"/>
        <v>0</v>
      </c>
      <c r="CB170" s="4504">
        <f t="shared" si="306"/>
        <v>0</v>
      </c>
      <c r="CC170" s="4504">
        <f t="shared" si="307"/>
        <v>0</v>
      </c>
      <c r="CD170" s="4504">
        <f t="shared" si="308"/>
        <v>0</v>
      </c>
    </row>
    <row r="171" spans="1:82" s="40" customFormat="1">
      <c r="A171" s="2996">
        <v>17</v>
      </c>
      <c r="B171" s="2993" t="s">
        <v>703</v>
      </c>
      <c r="C171" s="2995">
        <v>0.02</v>
      </c>
      <c r="D171" s="2590" t="s">
        <v>421</v>
      </c>
      <c r="E171" s="3035"/>
      <c r="F171" s="3004">
        <f t="shared" si="317"/>
        <v>0</v>
      </c>
      <c r="G171" s="2940">
        <f t="shared" si="318"/>
        <v>0</v>
      </c>
      <c r="H171" s="2940">
        <f t="shared" si="318"/>
        <v>0</v>
      </c>
      <c r="I171" s="2940">
        <f t="shared" si="318"/>
        <v>0</v>
      </c>
      <c r="J171" s="2940">
        <f t="shared" si="318"/>
        <v>0</v>
      </c>
      <c r="K171" s="3005">
        <f t="shared" si="318"/>
        <v>0</v>
      </c>
      <c r="L171" s="3035"/>
      <c r="M171" s="3004">
        <f t="shared" si="319"/>
        <v>9.4788796000000008</v>
      </c>
      <c r="N171" s="2940">
        <f t="shared" si="320"/>
        <v>9.4788796000000008</v>
      </c>
      <c r="O171" s="2940">
        <f t="shared" si="320"/>
        <v>9.4788796000000008</v>
      </c>
      <c r="P171" s="2940">
        <f t="shared" si="320"/>
        <v>9.4788796000000008</v>
      </c>
      <c r="Q171" s="2940">
        <f t="shared" si="320"/>
        <v>9.4788796000000008</v>
      </c>
      <c r="R171" s="3005">
        <f t="shared" si="320"/>
        <v>9.4788796000000008</v>
      </c>
      <c r="S171" s="3035"/>
      <c r="T171" s="3004">
        <f t="shared" si="321"/>
        <v>0</v>
      </c>
      <c r="U171" s="2940">
        <f t="shared" si="322"/>
        <v>0</v>
      </c>
      <c r="V171" s="2940">
        <f t="shared" si="322"/>
        <v>0</v>
      </c>
      <c r="W171" s="2940">
        <f t="shared" si="322"/>
        <v>0</v>
      </c>
      <c r="X171" s="2940">
        <f t="shared" si="322"/>
        <v>0</v>
      </c>
      <c r="Y171" s="3005">
        <f t="shared" si="322"/>
        <v>0</v>
      </c>
      <c r="Z171" s="3035"/>
      <c r="AA171" s="3004">
        <f t="shared" si="323"/>
        <v>0</v>
      </c>
      <c r="AB171" s="2940">
        <f t="shared" si="324"/>
        <v>0</v>
      </c>
      <c r="AC171" s="2940">
        <f t="shared" si="324"/>
        <v>0</v>
      </c>
      <c r="AD171" s="2940">
        <f t="shared" si="324"/>
        <v>0</v>
      </c>
      <c r="AE171" s="2940">
        <f t="shared" si="324"/>
        <v>0</v>
      </c>
      <c r="AF171" s="3005">
        <f t="shared" si="324"/>
        <v>0</v>
      </c>
      <c r="AG171" s="3035"/>
      <c r="AH171" s="3004">
        <f t="shared" si="325"/>
        <v>0</v>
      </c>
      <c r="AI171" s="2940">
        <f t="shared" si="326"/>
        <v>0</v>
      </c>
      <c r="AJ171" s="2940">
        <f t="shared" si="326"/>
        <v>0</v>
      </c>
      <c r="AK171" s="2940">
        <f t="shared" si="326"/>
        <v>0</v>
      </c>
      <c r="AL171" s="2940">
        <f t="shared" si="326"/>
        <v>0</v>
      </c>
      <c r="AM171" s="3005">
        <f t="shared" si="326"/>
        <v>0</v>
      </c>
      <c r="AN171" s="3035"/>
      <c r="AO171" s="3040"/>
      <c r="AP171" s="3041"/>
      <c r="AQ171" s="3041"/>
      <c r="AR171" s="3041"/>
      <c r="AS171" s="3041"/>
      <c r="AT171" s="3042"/>
      <c r="AU171" s="4488"/>
      <c r="AV171" s="147"/>
      <c r="AW171" s="4504">
        <f t="shared" si="309"/>
        <v>0</v>
      </c>
      <c r="AX171" s="4504">
        <f t="shared" si="280"/>
        <v>0</v>
      </c>
      <c r="AY171" s="4504">
        <f t="shared" si="281"/>
        <v>0</v>
      </c>
      <c r="AZ171" s="4504">
        <f t="shared" si="282"/>
        <v>0</v>
      </c>
      <c r="BA171" s="4504">
        <f t="shared" si="283"/>
        <v>0</v>
      </c>
      <c r="BB171" s="4504">
        <f t="shared" si="284"/>
        <v>0</v>
      </c>
      <c r="BC171" s="147"/>
      <c r="BD171" s="4504">
        <f t="shared" si="285"/>
        <v>4.8464741823164594</v>
      </c>
      <c r="BE171" s="4504">
        <f t="shared" si="286"/>
        <v>4.8464741823164594</v>
      </c>
      <c r="BF171" s="4504">
        <f t="shared" si="287"/>
        <v>4.8464741823164594</v>
      </c>
      <c r="BG171" s="4504">
        <f t="shared" si="288"/>
        <v>4.8464741823164594</v>
      </c>
      <c r="BH171" s="4504">
        <f t="shared" si="289"/>
        <v>4.8464741823164594</v>
      </c>
      <c r="BI171" s="4504">
        <f t="shared" si="290"/>
        <v>4.8464741823164594</v>
      </c>
      <c r="BJ171" s="147"/>
      <c r="BK171" s="4504">
        <f t="shared" si="291"/>
        <v>0</v>
      </c>
      <c r="BL171" s="4504">
        <f t="shared" si="292"/>
        <v>0</v>
      </c>
      <c r="BM171" s="4504">
        <f t="shared" si="293"/>
        <v>0</v>
      </c>
      <c r="BN171" s="4504">
        <f t="shared" si="294"/>
        <v>0</v>
      </c>
      <c r="BO171" s="4504">
        <f t="shared" si="295"/>
        <v>0</v>
      </c>
      <c r="BP171" s="4504">
        <f t="shared" si="296"/>
        <v>0</v>
      </c>
      <c r="BQ171" s="147"/>
      <c r="BR171" s="4504">
        <f t="shared" si="297"/>
        <v>0</v>
      </c>
      <c r="BS171" s="4504">
        <f t="shared" si="298"/>
        <v>0</v>
      </c>
      <c r="BT171" s="4504">
        <f t="shared" si="299"/>
        <v>0</v>
      </c>
      <c r="BU171" s="4504">
        <f t="shared" si="300"/>
        <v>0</v>
      </c>
      <c r="BV171" s="4504">
        <f t="shared" si="301"/>
        <v>0</v>
      </c>
      <c r="BW171" s="4504">
        <f t="shared" si="302"/>
        <v>0</v>
      </c>
      <c r="BX171" s="147"/>
      <c r="BY171" s="4504">
        <f t="shared" si="303"/>
        <v>0</v>
      </c>
      <c r="BZ171" s="4504">
        <f t="shared" si="304"/>
        <v>0</v>
      </c>
      <c r="CA171" s="4504">
        <f t="shared" si="305"/>
        <v>0</v>
      </c>
      <c r="CB171" s="4504">
        <f t="shared" si="306"/>
        <v>0</v>
      </c>
      <c r="CC171" s="4504">
        <f t="shared" si="307"/>
        <v>0</v>
      </c>
      <c r="CD171" s="4504">
        <f t="shared" si="308"/>
        <v>0</v>
      </c>
    </row>
    <row r="172" spans="1:82" s="40" customFormat="1" ht="24">
      <c r="A172" s="2996">
        <v>18</v>
      </c>
      <c r="B172" s="2993" t="s">
        <v>704</v>
      </c>
      <c r="C172" s="2995">
        <v>0.04</v>
      </c>
      <c r="D172" s="2590" t="s">
        <v>422</v>
      </c>
      <c r="E172" s="3035"/>
      <c r="F172" s="3004">
        <f t="shared" si="317"/>
        <v>0</v>
      </c>
      <c r="G172" s="2940">
        <f t="shared" ref="G172:K175" si="327">F172+(G128*$C128)-(G150*$C128)</f>
        <v>0</v>
      </c>
      <c r="H172" s="2940">
        <f t="shared" si="327"/>
        <v>0</v>
      </c>
      <c r="I172" s="2940">
        <f t="shared" si="327"/>
        <v>0</v>
      </c>
      <c r="J172" s="2940">
        <f t="shared" si="327"/>
        <v>0</v>
      </c>
      <c r="K172" s="3005">
        <f t="shared" si="327"/>
        <v>0</v>
      </c>
      <c r="L172" s="3035"/>
      <c r="M172" s="3004">
        <f t="shared" si="319"/>
        <v>0</v>
      </c>
      <c r="N172" s="2940">
        <f t="shared" ref="N172:R175" si="328">M172+(N128*$C128)-(N150*$C128)</f>
        <v>0</v>
      </c>
      <c r="O172" s="2940">
        <f t="shared" si="328"/>
        <v>0</v>
      </c>
      <c r="P172" s="2940">
        <f t="shared" si="328"/>
        <v>0</v>
      </c>
      <c r="Q172" s="2940">
        <f t="shared" si="328"/>
        <v>0</v>
      </c>
      <c r="R172" s="3005">
        <f t="shared" si="328"/>
        <v>0</v>
      </c>
      <c r="S172" s="3035"/>
      <c r="T172" s="3004">
        <f t="shared" si="321"/>
        <v>216</v>
      </c>
      <c r="U172" s="2940">
        <f t="shared" ref="U172:Y175" si="329">T172+(U128*$C128)-(U150*$C128)</f>
        <v>216</v>
      </c>
      <c r="V172" s="2940">
        <f t="shared" si="329"/>
        <v>216</v>
      </c>
      <c r="W172" s="2940">
        <f t="shared" si="329"/>
        <v>216</v>
      </c>
      <c r="X172" s="2940">
        <f t="shared" si="329"/>
        <v>216</v>
      </c>
      <c r="Y172" s="3005">
        <f t="shared" si="329"/>
        <v>216</v>
      </c>
      <c r="Z172" s="3035"/>
      <c r="AA172" s="3004">
        <f t="shared" si="323"/>
        <v>0</v>
      </c>
      <c r="AB172" s="2940">
        <f t="shared" ref="AB172:AF175" si="330">AA172+(AB128*$C128)-(AB150*$C128)</f>
        <v>0</v>
      </c>
      <c r="AC172" s="2940">
        <f t="shared" si="330"/>
        <v>0</v>
      </c>
      <c r="AD172" s="2940">
        <f t="shared" si="330"/>
        <v>0</v>
      </c>
      <c r="AE172" s="2940">
        <f t="shared" si="330"/>
        <v>0</v>
      </c>
      <c r="AF172" s="3005">
        <f t="shared" si="330"/>
        <v>0</v>
      </c>
      <c r="AG172" s="3035"/>
      <c r="AH172" s="3004">
        <f t="shared" si="325"/>
        <v>0</v>
      </c>
      <c r="AI172" s="2940">
        <f t="shared" ref="AI172:AM175" si="331">AH172+(AI128*$C128)-(AI150*$C128)</f>
        <v>0</v>
      </c>
      <c r="AJ172" s="2940">
        <f t="shared" si="331"/>
        <v>0</v>
      </c>
      <c r="AK172" s="2940">
        <f t="shared" si="331"/>
        <v>0</v>
      </c>
      <c r="AL172" s="2940">
        <f t="shared" si="331"/>
        <v>0</v>
      </c>
      <c r="AM172" s="3005">
        <f t="shared" si="331"/>
        <v>0</v>
      </c>
      <c r="AN172" s="3035"/>
      <c r="AO172" s="3040"/>
      <c r="AP172" s="3041"/>
      <c r="AQ172" s="3041"/>
      <c r="AR172" s="3041"/>
      <c r="AS172" s="3041"/>
      <c r="AT172" s="3042"/>
      <c r="AU172" s="4488"/>
      <c r="AV172" s="147"/>
      <c r="AW172" s="4504">
        <f t="shared" si="309"/>
        <v>0</v>
      </c>
      <c r="AX172" s="4504">
        <f t="shared" si="280"/>
        <v>0</v>
      </c>
      <c r="AY172" s="4504">
        <f t="shared" si="281"/>
        <v>0</v>
      </c>
      <c r="AZ172" s="4504">
        <f t="shared" si="282"/>
        <v>0</v>
      </c>
      <c r="BA172" s="4504">
        <f t="shared" si="283"/>
        <v>0</v>
      </c>
      <c r="BB172" s="4504">
        <f t="shared" si="284"/>
        <v>0</v>
      </c>
      <c r="BC172" s="147"/>
      <c r="BD172" s="4504">
        <f t="shared" si="285"/>
        <v>0</v>
      </c>
      <c r="BE172" s="4504">
        <f t="shared" si="286"/>
        <v>0</v>
      </c>
      <c r="BF172" s="4504">
        <f t="shared" si="287"/>
        <v>0</v>
      </c>
      <c r="BG172" s="4504">
        <f t="shared" si="288"/>
        <v>0</v>
      </c>
      <c r="BH172" s="4504">
        <f t="shared" si="289"/>
        <v>0</v>
      </c>
      <c r="BI172" s="4504">
        <f t="shared" si="290"/>
        <v>0</v>
      </c>
      <c r="BJ172" s="147"/>
      <c r="BK172" s="4504">
        <f t="shared" si="291"/>
        <v>110.43904633838319</v>
      </c>
      <c r="BL172" s="4504">
        <f t="shared" si="292"/>
        <v>110.43904633838319</v>
      </c>
      <c r="BM172" s="4504">
        <f t="shared" si="293"/>
        <v>110.43904633838319</v>
      </c>
      <c r="BN172" s="4504">
        <f t="shared" si="294"/>
        <v>110.43904633838319</v>
      </c>
      <c r="BO172" s="4504">
        <f t="shared" si="295"/>
        <v>110.43904633838319</v>
      </c>
      <c r="BP172" s="4504">
        <f t="shared" si="296"/>
        <v>110.43904633838319</v>
      </c>
      <c r="BQ172" s="147"/>
      <c r="BR172" s="4504">
        <f t="shared" si="297"/>
        <v>0</v>
      </c>
      <c r="BS172" s="4504">
        <f t="shared" si="298"/>
        <v>0</v>
      </c>
      <c r="BT172" s="4504">
        <f t="shared" si="299"/>
        <v>0</v>
      </c>
      <c r="BU172" s="4504">
        <f t="shared" si="300"/>
        <v>0</v>
      </c>
      <c r="BV172" s="4504">
        <f t="shared" si="301"/>
        <v>0</v>
      </c>
      <c r="BW172" s="4504">
        <f t="shared" si="302"/>
        <v>0</v>
      </c>
      <c r="BX172" s="147"/>
      <c r="BY172" s="4504">
        <f t="shared" si="303"/>
        <v>0</v>
      </c>
      <c r="BZ172" s="4504">
        <f t="shared" si="304"/>
        <v>0</v>
      </c>
      <c r="CA172" s="4504">
        <f t="shared" si="305"/>
        <v>0</v>
      </c>
      <c r="CB172" s="4504">
        <f t="shared" si="306"/>
        <v>0</v>
      </c>
      <c r="CC172" s="4504">
        <f t="shared" si="307"/>
        <v>0</v>
      </c>
      <c r="CD172" s="4504">
        <f t="shared" si="308"/>
        <v>0</v>
      </c>
    </row>
    <row r="173" spans="1:82" s="40" customFormat="1">
      <c r="A173" s="2996">
        <v>19</v>
      </c>
      <c r="B173" s="2993" t="s">
        <v>705</v>
      </c>
      <c r="C173" s="2995">
        <v>0.04</v>
      </c>
      <c r="D173" s="2590" t="s">
        <v>423</v>
      </c>
      <c r="E173" s="3035"/>
      <c r="F173" s="3004">
        <f t="shared" si="317"/>
        <v>0</v>
      </c>
      <c r="G173" s="2940">
        <f t="shared" si="327"/>
        <v>0</v>
      </c>
      <c r="H173" s="2940">
        <f t="shared" si="327"/>
        <v>0</v>
      </c>
      <c r="I173" s="2940">
        <f t="shared" si="327"/>
        <v>0</v>
      </c>
      <c r="J173" s="2940">
        <f t="shared" si="327"/>
        <v>0</v>
      </c>
      <c r="K173" s="3005">
        <f t="shared" si="327"/>
        <v>0</v>
      </c>
      <c r="L173" s="3035"/>
      <c r="M173" s="3004">
        <f t="shared" si="319"/>
        <v>0</v>
      </c>
      <c r="N173" s="2940">
        <f t="shared" si="328"/>
        <v>0</v>
      </c>
      <c r="O173" s="2940">
        <f t="shared" si="328"/>
        <v>0</v>
      </c>
      <c r="P173" s="2940">
        <f t="shared" si="328"/>
        <v>0</v>
      </c>
      <c r="Q173" s="2940">
        <f t="shared" si="328"/>
        <v>0</v>
      </c>
      <c r="R173" s="3005">
        <f t="shared" si="328"/>
        <v>0</v>
      </c>
      <c r="S173" s="3035"/>
      <c r="T173" s="3004">
        <f t="shared" si="321"/>
        <v>0</v>
      </c>
      <c r="U173" s="2940">
        <f t="shared" si="329"/>
        <v>0</v>
      </c>
      <c r="V173" s="2940">
        <f t="shared" si="329"/>
        <v>0</v>
      </c>
      <c r="W173" s="2940">
        <f t="shared" si="329"/>
        <v>0</v>
      </c>
      <c r="X173" s="2940">
        <f t="shared" si="329"/>
        <v>0</v>
      </c>
      <c r="Y173" s="3005">
        <f t="shared" si="329"/>
        <v>0</v>
      </c>
      <c r="Z173" s="3035"/>
      <c r="AA173" s="3004">
        <f t="shared" si="323"/>
        <v>0</v>
      </c>
      <c r="AB173" s="2940">
        <f t="shared" si="330"/>
        <v>0</v>
      </c>
      <c r="AC173" s="2940">
        <f t="shared" si="330"/>
        <v>0</v>
      </c>
      <c r="AD173" s="2940">
        <f t="shared" si="330"/>
        <v>0</v>
      </c>
      <c r="AE173" s="2940">
        <f t="shared" si="330"/>
        <v>0</v>
      </c>
      <c r="AF173" s="3005">
        <f t="shared" si="330"/>
        <v>0</v>
      </c>
      <c r="AG173" s="3035"/>
      <c r="AH173" s="3004">
        <f t="shared" si="325"/>
        <v>0</v>
      </c>
      <c r="AI173" s="2940">
        <f t="shared" si="331"/>
        <v>0</v>
      </c>
      <c r="AJ173" s="2940">
        <f t="shared" si="331"/>
        <v>0</v>
      </c>
      <c r="AK173" s="2940">
        <f t="shared" si="331"/>
        <v>0</v>
      </c>
      <c r="AL173" s="2940">
        <f t="shared" si="331"/>
        <v>0</v>
      </c>
      <c r="AM173" s="3005">
        <f t="shared" si="331"/>
        <v>0</v>
      </c>
      <c r="AN173" s="3035"/>
      <c r="AO173" s="3040"/>
      <c r="AP173" s="3041"/>
      <c r="AQ173" s="3041"/>
      <c r="AR173" s="3041"/>
      <c r="AS173" s="3041"/>
      <c r="AT173" s="3042"/>
      <c r="AU173" s="4488"/>
      <c r="AV173" s="147"/>
      <c r="AW173" s="4504">
        <f t="shared" si="309"/>
        <v>0</v>
      </c>
      <c r="AX173" s="4504">
        <f t="shared" si="280"/>
        <v>0</v>
      </c>
      <c r="AY173" s="4504">
        <f t="shared" si="281"/>
        <v>0</v>
      </c>
      <c r="AZ173" s="4504">
        <f t="shared" si="282"/>
        <v>0</v>
      </c>
      <c r="BA173" s="4504">
        <f t="shared" si="283"/>
        <v>0</v>
      </c>
      <c r="BB173" s="4504">
        <f t="shared" si="284"/>
        <v>0</v>
      </c>
      <c r="BC173" s="147"/>
      <c r="BD173" s="4504">
        <f t="shared" si="285"/>
        <v>0</v>
      </c>
      <c r="BE173" s="4504">
        <f t="shared" si="286"/>
        <v>0</v>
      </c>
      <c r="BF173" s="4504">
        <f t="shared" si="287"/>
        <v>0</v>
      </c>
      <c r="BG173" s="4504">
        <f t="shared" si="288"/>
        <v>0</v>
      </c>
      <c r="BH173" s="4504">
        <f t="shared" si="289"/>
        <v>0</v>
      </c>
      <c r="BI173" s="4504">
        <f t="shared" si="290"/>
        <v>0</v>
      </c>
      <c r="BJ173" s="147"/>
      <c r="BK173" s="4504">
        <f t="shared" si="291"/>
        <v>0</v>
      </c>
      <c r="BL173" s="4504">
        <f t="shared" si="292"/>
        <v>0</v>
      </c>
      <c r="BM173" s="4504">
        <f t="shared" si="293"/>
        <v>0</v>
      </c>
      <c r="BN173" s="4504">
        <f t="shared" si="294"/>
        <v>0</v>
      </c>
      <c r="BO173" s="4504">
        <f t="shared" si="295"/>
        <v>0</v>
      </c>
      <c r="BP173" s="4504">
        <f t="shared" si="296"/>
        <v>0</v>
      </c>
      <c r="BQ173" s="147"/>
      <c r="BR173" s="4504">
        <f t="shared" si="297"/>
        <v>0</v>
      </c>
      <c r="BS173" s="4504">
        <f t="shared" si="298"/>
        <v>0</v>
      </c>
      <c r="BT173" s="4504">
        <f t="shared" si="299"/>
        <v>0</v>
      </c>
      <c r="BU173" s="4504">
        <f t="shared" si="300"/>
        <v>0</v>
      </c>
      <c r="BV173" s="4504">
        <f t="shared" si="301"/>
        <v>0</v>
      </c>
      <c r="BW173" s="4504">
        <f t="shared" si="302"/>
        <v>0</v>
      </c>
      <c r="BX173" s="147"/>
      <c r="BY173" s="4504">
        <f t="shared" si="303"/>
        <v>0</v>
      </c>
      <c r="BZ173" s="4504">
        <f t="shared" si="304"/>
        <v>0</v>
      </c>
      <c r="CA173" s="4504">
        <f t="shared" si="305"/>
        <v>0</v>
      </c>
      <c r="CB173" s="4504">
        <f t="shared" si="306"/>
        <v>0</v>
      </c>
      <c r="CC173" s="4504">
        <f t="shared" si="307"/>
        <v>0</v>
      </c>
      <c r="CD173" s="4504">
        <f t="shared" si="308"/>
        <v>0</v>
      </c>
    </row>
    <row r="174" spans="1:82" s="40" customFormat="1">
      <c r="A174" s="2996">
        <v>20</v>
      </c>
      <c r="B174" s="2993" t="s">
        <v>717</v>
      </c>
      <c r="C174" s="2995">
        <v>0.04</v>
      </c>
      <c r="D174" s="2994" t="s">
        <v>434</v>
      </c>
      <c r="E174" s="3035"/>
      <c r="F174" s="3004">
        <f t="shared" si="317"/>
        <v>0</v>
      </c>
      <c r="G174" s="2940">
        <f t="shared" si="327"/>
        <v>0</v>
      </c>
      <c r="H174" s="2940">
        <f t="shared" si="327"/>
        <v>0</v>
      </c>
      <c r="I174" s="2940">
        <f t="shared" si="327"/>
        <v>0</v>
      </c>
      <c r="J174" s="2940">
        <f t="shared" si="327"/>
        <v>0</v>
      </c>
      <c r="K174" s="3005">
        <f t="shared" si="327"/>
        <v>0</v>
      </c>
      <c r="L174" s="3035"/>
      <c r="M174" s="3004">
        <f t="shared" si="319"/>
        <v>0</v>
      </c>
      <c r="N174" s="2940">
        <f t="shared" si="328"/>
        <v>0</v>
      </c>
      <c r="O174" s="2940">
        <f t="shared" si="328"/>
        <v>0</v>
      </c>
      <c r="P174" s="2940">
        <f t="shared" si="328"/>
        <v>0</v>
      </c>
      <c r="Q174" s="2940">
        <f t="shared" si="328"/>
        <v>0</v>
      </c>
      <c r="R174" s="3005">
        <f t="shared" si="328"/>
        <v>0</v>
      </c>
      <c r="S174" s="3035"/>
      <c r="T174" s="3004">
        <f t="shared" si="321"/>
        <v>0</v>
      </c>
      <c r="U174" s="2940">
        <f t="shared" si="329"/>
        <v>0</v>
      </c>
      <c r="V174" s="2940">
        <f t="shared" si="329"/>
        <v>0</v>
      </c>
      <c r="W174" s="2940">
        <f t="shared" si="329"/>
        <v>0</v>
      </c>
      <c r="X174" s="2940">
        <f t="shared" si="329"/>
        <v>0</v>
      </c>
      <c r="Y174" s="3005">
        <f t="shared" si="329"/>
        <v>0</v>
      </c>
      <c r="Z174" s="3035"/>
      <c r="AA174" s="3004">
        <f t="shared" si="323"/>
        <v>0</v>
      </c>
      <c r="AB174" s="2940">
        <f t="shared" si="330"/>
        <v>0</v>
      </c>
      <c r="AC174" s="2940">
        <f t="shared" si="330"/>
        <v>0</v>
      </c>
      <c r="AD174" s="2940">
        <f t="shared" si="330"/>
        <v>0</v>
      </c>
      <c r="AE174" s="2940">
        <f t="shared" si="330"/>
        <v>0</v>
      </c>
      <c r="AF174" s="3005">
        <f t="shared" si="330"/>
        <v>0</v>
      </c>
      <c r="AG174" s="3035"/>
      <c r="AH174" s="3004">
        <f t="shared" si="325"/>
        <v>0</v>
      </c>
      <c r="AI174" s="2940">
        <f t="shared" si="331"/>
        <v>0</v>
      </c>
      <c r="AJ174" s="2940">
        <f t="shared" si="331"/>
        <v>0</v>
      </c>
      <c r="AK174" s="2940">
        <f t="shared" si="331"/>
        <v>0</v>
      </c>
      <c r="AL174" s="2940">
        <f t="shared" si="331"/>
        <v>0</v>
      </c>
      <c r="AM174" s="3005">
        <f t="shared" si="331"/>
        <v>0</v>
      </c>
      <c r="AN174" s="3035"/>
      <c r="AO174" s="3040"/>
      <c r="AP174" s="3041"/>
      <c r="AQ174" s="3041"/>
      <c r="AR174" s="3041"/>
      <c r="AS174" s="3041"/>
      <c r="AT174" s="3042"/>
      <c r="AU174" s="4488"/>
      <c r="AV174" s="147"/>
      <c r="AW174" s="4504">
        <f t="shared" ref="AW174:AW175" si="332">IFERROR(F174/$D$1,0)</f>
        <v>0</v>
      </c>
      <c r="AX174" s="4504">
        <f t="shared" ref="AX174:AX175" si="333">IFERROR(G174/$D$1,0)</f>
        <v>0</v>
      </c>
      <c r="AY174" s="4504">
        <f t="shared" ref="AY174:AY175" si="334">IFERROR(H174/$D$1,0)</f>
        <v>0</v>
      </c>
      <c r="AZ174" s="4504">
        <f t="shared" ref="AZ174:AZ175" si="335">IFERROR(I174/$D$1,0)</f>
        <v>0</v>
      </c>
      <c r="BA174" s="4504">
        <f t="shared" ref="BA174:BA175" si="336">IFERROR(J174/$D$1,0)</f>
        <v>0</v>
      </c>
      <c r="BB174" s="4504">
        <f t="shared" ref="BB174:BB175" si="337">IFERROR(K174/$D$1,0)</f>
        <v>0</v>
      </c>
      <c r="BC174" s="147"/>
      <c r="BD174" s="4504">
        <f t="shared" ref="BD174:BD175" si="338">IFERROR(M174/$D$1,0)</f>
        <v>0</v>
      </c>
      <c r="BE174" s="4504">
        <f t="shared" ref="BE174:BE175" si="339">IFERROR(N174/$D$1,0)</f>
        <v>0</v>
      </c>
      <c r="BF174" s="4504">
        <f t="shared" ref="BF174:BF175" si="340">IFERROR(O174/$D$1,0)</f>
        <v>0</v>
      </c>
      <c r="BG174" s="4504">
        <f t="shared" ref="BG174:BG175" si="341">IFERROR(P174/$D$1,0)</f>
        <v>0</v>
      </c>
      <c r="BH174" s="4504">
        <f t="shared" ref="BH174:BH175" si="342">IFERROR(Q174/$D$1,0)</f>
        <v>0</v>
      </c>
      <c r="BI174" s="4504">
        <f t="shared" ref="BI174:BI175" si="343">IFERROR(R174/$D$1,0)</f>
        <v>0</v>
      </c>
      <c r="BJ174" s="147"/>
      <c r="BK174" s="4504">
        <f t="shared" ref="BK174:BK175" si="344">IFERROR(T174/$D$1,0)</f>
        <v>0</v>
      </c>
      <c r="BL174" s="4504">
        <f t="shared" ref="BL174:BL175" si="345">IFERROR(U174/$D$1,0)</f>
        <v>0</v>
      </c>
      <c r="BM174" s="4504">
        <f t="shared" ref="BM174:BM175" si="346">IFERROR(V174/$D$1,0)</f>
        <v>0</v>
      </c>
      <c r="BN174" s="4504">
        <f t="shared" ref="BN174:BN175" si="347">IFERROR(W174/$D$1,0)</f>
        <v>0</v>
      </c>
      <c r="BO174" s="4504">
        <f t="shared" ref="BO174:BO175" si="348">IFERROR(X174/$D$1,0)</f>
        <v>0</v>
      </c>
      <c r="BP174" s="4504">
        <f t="shared" ref="BP174:BP175" si="349">IFERROR(Y174/$D$1,0)</f>
        <v>0</v>
      </c>
      <c r="BQ174" s="147"/>
      <c r="BR174" s="4504">
        <f t="shared" ref="BR174:BR175" si="350">IFERROR(AA174/$D$1,0)</f>
        <v>0</v>
      </c>
      <c r="BS174" s="4504">
        <f t="shared" ref="BS174:BS175" si="351">IFERROR(AB174/$D$1,0)</f>
        <v>0</v>
      </c>
      <c r="BT174" s="4504">
        <f t="shared" ref="BT174:BT175" si="352">IFERROR(AC174/$D$1,0)</f>
        <v>0</v>
      </c>
      <c r="BU174" s="4504">
        <f t="shared" ref="BU174:BU175" si="353">IFERROR(AD174/$D$1,0)</f>
        <v>0</v>
      </c>
      <c r="BV174" s="4504">
        <f t="shared" ref="BV174:BV175" si="354">IFERROR(AE174/$D$1,0)</f>
        <v>0</v>
      </c>
      <c r="BW174" s="4504">
        <f t="shared" ref="BW174:BW175" si="355">IFERROR(AF174/$D$1,0)</f>
        <v>0</v>
      </c>
      <c r="BX174" s="147"/>
      <c r="BY174" s="4504">
        <f t="shared" ref="BY174:BY175" si="356">IFERROR(AH174/$D$1,0)</f>
        <v>0</v>
      </c>
      <c r="BZ174" s="4504">
        <f t="shared" ref="BZ174:BZ175" si="357">IFERROR(AI174/$D$1,0)</f>
        <v>0</v>
      </c>
      <c r="CA174" s="4504">
        <f t="shared" ref="CA174:CA175" si="358">IFERROR(AJ174/$D$1,0)</f>
        <v>0</v>
      </c>
      <c r="CB174" s="4504">
        <f t="shared" ref="CB174:CB175" si="359">IFERROR(AK174/$D$1,0)</f>
        <v>0</v>
      </c>
      <c r="CC174" s="4504">
        <f t="shared" ref="CC174:CC175" si="360">IFERROR(AL174/$D$1,0)</f>
        <v>0</v>
      </c>
      <c r="CD174" s="4504">
        <f t="shared" ref="CD174:CD175" si="361">IFERROR(AM174/$D$1,0)</f>
        <v>0</v>
      </c>
    </row>
    <row r="175" spans="1:82" s="40" customFormat="1" ht="24.6" thickBot="1">
      <c r="A175" s="3006">
        <v>21</v>
      </c>
      <c r="B175" s="3007" t="s">
        <v>707</v>
      </c>
      <c r="C175" s="3008">
        <v>0.2</v>
      </c>
      <c r="D175" s="3009" t="s">
        <v>679</v>
      </c>
      <c r="E175" s="3043"/>
      <c r="F175" s="3010">
        <f t="shared" si="317"/>
        <v>0</v>
      </c>
      <c r="G175" s="3011">
        <f t="shared" si="327"/>
        <v>0</v>
      </c>
      <c r="H175" s="3011">
        <f t="shared" si="327"/>
        <v>0</v>
      </c>
      <c r="I175" s="3011">
        <f t="shared" si="327"/>
        <v>0</v>
      </c>
      <c r="J175" s="3011">
        <f t="shared" si="327"/>
        <v>0</v>
      </c>
      <c r="K175" s="3012">
        <f t="shared" si="327"/>
        <v>0</v>
      </c>
      <c r="L175" s="3043"/>
      <c r="M175" s="3010">
        <f t="shared" si="319"/>
        <v>0</v>
      </c>
      <c r="N175" s="3011">
        <f t="shared" si="328"/>
        <v>0</v>
      </c>
      <c r="O175" s="3011">
        <f t="shared" si="328"/>
        <v>0</v>
      </c>
      <c r="P175" s="3011">
        <f t="shared" si="328"/>
        <v>0</v>
      </c>
      <c r="Q175" s="3011">
        <f t="shared" si="328"/>
        <v>0</v>
      </c>
      <c r="R175" s="3012">
        <f t="shared" si="328"/>
        <v>0</v>
      </c>
      <c r="S175" s="3043"/>
      <c r="T175" s="3010">
        <f t="shared" si="321"/>
        <v>0</v>
      </c>
      <c r="U175" s="3011">
        <f t="shared" si="329"/>
        <v>0</v>
      </c>
      <c r="V175" s="3011">
        <f t="shared" si="329"/>
        <v>0</v>
      </c>
      <c r="W175" s="3011">
        <f t="shared" si="329"/>
        <v>0</v>
      </c>
      <c r="X175" s="3011">
        <f t="shared" si="329"/>
        <v>0</v>
      </c>
      <c r="Y175" s="3012">
        <f t="shared" si="329"/>
        <v>0</v>
      </c>
      <c r="Z175" s="3043"/>
      <c r="AA175" s="3010">
        <f t="shared" si="323"/>
        <v>0</v>
      </c>
      <c r="AB175" s="3011">
        <f t="shared" si="330"/>
        <v>0</v>
      </c>
      <c r="AC175" s="3011">
        <f t="shared" si="330"/>
        <v>0</v>
      </c>
      <c r="AD175" s="3011">
        <f t="shared" si="330"/>
        <v>0</v>
      </c>
      <c r="AE175" s="3011">
        <f t="shared" si="330"/>
        <v>0</v>
      </c>
      <c r="AF175" s="3012">
        <f t="shared" si="330"/>
        <v>0</v>
      </c>
      <c r="AG175" s="3043"/>
      <c r="AH175" s="3010">
        <f t="shared" si="325"/>
        <v>0</v>
      </c>
      <c r="AI175" s="3011">
        <f t="shared" si="331"/>
        <v>0</v>
      </c>
      <c r="AJ175" s="3011">
        <f t="shared" si="331"/>
        <v>0</v>
      </c>
      <c r="AK175" s="3011">
        <f t="shared" si="331"/>
        <v>0</v>
      </c>
      <c r="AL175" s="3011">
        <f t="shared" si="331"/>
        <v>0</v>
      </c>
      <c r="AM175" s="3012">
        <f t="shared" si="331"/>
        <v>0</v>
      </c>
      <c r="AN175" s="3043"/>
      <c r="AO175" s="3044"/>
      <c r="AP175" s="3045"/>
      <c r="AQ175" s="3045"/>
      <c r="AR175" s="3045"/>
      <c r="AS175" s="3045"/>
      <c r="AT175" s="3046"/>
      <c r="AU175" s="4488"/>
      <c r="AV175" s="147"/>
      <c r="AW175" s="4504">
        <f t="shared" si="332"/>
        <v>0</v>
      </c>
      <c r="AX175" s="4504">
        <f t="shared" si="333"/>
        <v>0</v>
      </c>
      <c r="AY175" s="4504">
        <f t="shared" si="334"/>
        <v>0</v>
      </c>
      <c r="AZ175" s="4504">
        <f t="shared" si="335"/>
        <v>0</v>
      </c>
      <c r="BA175" s="4504">
        <f t="shared" si="336"/>
        <v>0</v>
      </c>
      <c r="BB175" s="4504">
        <f t="shared" si="337"/>
        <v>0</v>
      </c>
      <c r="BC175" s="147"/>
      <c r="BD175" s="4504">
        <f t="shared" si="338"/>
        <v>0</v>
      </c>
      <c r="BE175" s="4504">
        <f t="shared" si="339"/>
        <v>0</v>
      </c>
      <c r="BF175" s="4504">
        <f t="shared" si="340"/>
        <v>0</v>
      </c>
      <c r="BG175" s="4504">
        <f t="shared" si="341"/>
        <v>0</v>
      </c>
      <c r="BH175" s="4504">
        <f t="shared" si="342"/>
        <v>0</v>
      </c>
      <c r="BI175" s="4504">
        <f t="shared" si="343"/>
        <v>0</v>
      </c>
      <c r="BJ175" s="147"/>
      <c r="BK175" s="4504">
        <f t="shared" si="344"/>
        <v>0</v>
      </c>
      <c r="BL175" s="4504">
        <f t="shared" si="345"/>
        <v>0</v>
      </c>
      <c r="BM175" s="4504">
        <f t="shared" si="346"/>
        <v>0</v>
      </c>
      <c r="BN175" s="4504">
        <f t="shared" si="347"/>
        <v>0</v>
      </c>
      <c r="BO175" s="4504">
        <f t="shared" si="348"/>
        <v>0</v>
      </c>
      <c r="BP175" s="4504">
        <f t="shared" si="349"/>
        <v>0</v>
      </c>
      <c r="BQ175" s="147"/>
      <c r="BR175" s="4504">
        <f t="shared" si="350"/>
        <v>0</v>
      </c>
      <c r="BS175" s="4504">
        <f t="shared" si="351"/>
        <v>0</v>
      </c>
      <c r="BT175" s="4504">
        <f t="shared" si="352"/>
        <v>0</v>
      </c>
      <c r="BU175" s="4504">
        <f t="shared" si="353"/>
        <v>0</v>
      </c>
      <c r="BV175" s="4504">
        <f t="shared" si="354"/>
        <v>0</v>
      </c>
      <c r="BW175" s="4504">
        <f t="shared" si="355"/>
        <v>0</v>
      </c>
      <c r="BX175" s="147"/>
      <c r="BY175" s="4504">
        <f t="shared" si="356"/>
        <v>0</v>
      </c>
      <c r="BZ175" s="4504">
        <f t="shared" si="357"/>
        <v>0</v>
      </c>
      <c r="CA175" s="4504">
        <f t="shared" si="358"/>
        <v>0</v>
      </c>
      <c r="CB175" s="4504">
        <f t="shared" si="359"/>
        <v>0</v>
      </c>
      <c r="CC175" s="4504">
        <f t="shared" si="360"/>
        <v>0</v>
      </c>
      <c r="CD175" s="4504">
        <f t="shared" si="361"/>
        <v>0</v>
      </c>
    </row>
    <row r="176" spans="1:82" ht="15.6">
      <c r="A176" s="652"/>
      <c r="B176" s="652"/>
      <c r="C176" s="652"/>
      <c r="D176" s="652"/>
      <c r="E176" s="652"/>
      <c r="F176" s="652"/>
      <c r="G176" s="652"/>
      <c r="H176" s="652"/>
      <c r="I176" s="652"/>
      <c r="J176" s="652"/>
      <c r="K176" s="652"/>
      <c r="L176" s="652"/>
    </row>
    <row r="177" spans="1:43">
      <c r="A177" s="3013"/>
      <c r="B177" s="3014"/>
      <c r="C177" s="3014"/>
      <c r="D177" s="3014"/>
      <c r="E177" s="41"/>
      <c r="F177" s="41"/>
      <c r="G177" s="41"/>
      <c r="H177" s="41"/>
      <c r="I177" s="41"/>
      <c r="J177" s="41"/>
      <c r="K177" s="41"/>
      <c r="L177" s="41"/>
    </row>
    <row r="178" spans="1:43">
      <c r="A178" s="3013"/>
      <c r="B178" s="3014"/>
      <c r="C178" s="3014"/>
      <c r="D178" s="3014"/>
      <c r="E178" s="41"/>
      <c r="F178" s="41"/>
      <c r="G178" s="41"/>
      <c r="H178" s="41"/>
      <c r="I178" s="41"/>
      <c r="J178" s="41"/>
      <c r="K178" s="41"/>
      <c r="L178" s="41"/>
    </row>
    <row r="179" spans="1:43">
      <c r="C179" s="3015"/>
      <c r="J179" s="32"/>
      <c r="K179" s="32"/>
    </row>
    <row r="180" spans="1:43">
      <c r="E180" s="1991" t="str">
        <f>'Приложение '!B82</f>
        <v>Дата: 16.03.2026</v>
      </c>
      <c r="J180" s="3016"/>
      <c r="K180" s="32"/>
      <c r="AJ180" s="3017"/>
      <c r="AK180" s="3018"/>
    </row>
    <row r="181" spans="1:43">
      <c r="J181" s="3016"/>
      <c r="K181" s="32"/>
      <c r="L181" s="3019"/>
      <c r="Y181" s="689"/>
      <c r="AD181" s="43"/>
      <c r="AE181" s="669"/>
      <c r="AF181" s="689"/>
      <c r="AJ181" s="3017"/>
      <c r="AK181" s="3020"/>
      <c r="AN181" s="43"/>
      <c r="AO181" s="669"/>
      <c r="AP181" s="32"/>
      <c r="AQ181" s="669"/>
    </row>
    <row r="182" spans="1:43">
      <c r="J182" s="3016"/>
      <c r="K182" s="32"/>
      <c r="Y182" s="690"/>
      <c r="AD182" s="688"/>
      <c r="AE182" s="32"/>
      <c r="AF182" s="690"/>
      <c r="AJ182" s="3017"/>
      <c r="AK182" s="3017"/>
      <c r="AN182" s="688"/>
      <c r="AO182" s="32"/>
      <c r="AP182" s="32"/>
      <c r="AQ182" s="669"/>
    </row>
    <row r="183" spans="1:43">
      <c r="E183" s="694" t="s">
        <v>187</v>
      </c>
      <c r="J183" s="3016"/>
      <c r="K183" s="32"/>
      <c r="Y183" s="690"/>
      <c r="AD183" s="688"/>
      <c r="AE183" s="32"/>
      <c r="AF183" s="690"/>
      <c r="AJ183" s="3017"/>
      <c r="AK183" s="3017"/>
      <c r="AN183" s="688"/>
      <c r="AO183" s="32"/>
      <c r="AP183" s="32"/>
      <c r="AQ183" s="669"/>
    </row>
    <row r="184" spans="1:43">
      <c r="E184" s="2630" t="s">
        <v>565</v>
      </c>
      <c r="J184" s="3016"/>
      <c r="K184" s="32"/>
      <c r="N184" s="669"/>
      <c r="P184" s="646"/>
      <c r="Q184" s="646"/>
      <c r="R184" s="646"/>
      <c r="S184" s="646"/>
      <c r="T184" s="646"/>
      <c r="U184" s="646"/>
      <c r="V184" s="646"/>
      <c r="W184" s="646"/>
      <c r="X184" s="646"/>
      <c r="Y184" s="690"/>
      <c r="AD184" s="688"/>
      <c r="AE184" s="32"/>
      <c r="AF184" s="690"/>
      <c r="AJ184" s="3017"/>
      <c r="AK184" s="3018"/>
      <c r="AN184" s="688"/>
      <c r="AO184" s="32"/>
      <c r="AP184" s="32"/>
      <c r="AQ184" s="669"/>
    </row>
    <row r="185" spans="1:43" ht="28.5" customHeight="1">
      <c r="E185" s="5365" t="str">
        <f>"2. За периода "&amp;F9&amp;" - "&amp;K9&amp;" се посочва (със знак +) отчетната стойност на активи, които ще достигнат своя полезен живот през съответната година и не следва да им тече амортизация."" "</f>
        <v xml:space="preserve">2. За периода 2026 г. - 2031 г. се посочва (със знак +) отчетната стойност на активи, които ще достигнат своя полезен живот през съответната година и не следва да им тече амортизация." </v>
      </c>
      <c r="F185" s="5365"/>
      <c r="G185" s="5365"/>
      <c r="H185" s="5365"/>
      <c r="I185" s="5365"/>
      <c r="J185" s="5365"/>
      <c r="K185" s="5365"/>
      <c r="L185" s="5365"/>
      <c r="M185" s="5365"/>
      <c r="N185" s="5365"/>
      <c r="O185" s="5365"/>
      <c r="P185" s="5365"/>
      <c r="Q185" s="5365"/>
      <c r="R185" s="5365"/>
      <c r="S185" s="5365"/>
      <c r="T185" s="5365"/>
      <c r="U185" s="5365"/>
      <c r="V185" s="5365"/>
      <c r="W185" s="5365"/>
      <c r="X185" s="5365"/>
      <c r="Y185" s="5365"/>
      <c r="AD185" s="688"/>
      <c r="AE185" s="32"/>
      <c r="AF185" s="690"/>
      <c r="AK185" s="3020"/>
      <c r="AN185" s="688"/>
      <c r="AO185" s="32"/>
      <c r="AP185" s="32"/>
      <c r="AQ185" s="669"/>
    </row>
    <row r="186" spans="1:43" ht="28.5" customHeight="1">
      <c r="B186" s="694"/>
      <c r="C186" s="694"/>
      <c r="D186" s="694"/>
      <c r="E186" s="5365" t="str">
        <f>CONCATENATE("4. В случай, че през периода ",F9," - ",K9," ще бъдат придобити нови публични активи за експлоатация и поддръжка, ","тяхната отчетна стойност се посочва в т.1.1. в категория III -Публични дълготрайни активи, ","предоставени на ВиК оператора за експлоатация и поддръжка. В т.1.2 на категория III"," се  посочва отчетната стойност на публични активи, ;чийто полезен живот свършва в съответната година (отчетната стойност на активите, чийто полезен живот свършва през ",E9," се посочват през ",F9,"). Резултативната величина на двете отчетни стойности ще калкулира разхода за амортизация съответно в посока увеличение или намаление. ")</f>
        <v xml:space="preserve">4. В случай, че през периода 2026 г. - 2031 г. ще бъдат придобити нови публични активи за експлоатация и поддръжка, тяхната отчетна стойност се посочва в т.1.1. в категория III -Публични дълготрайни активи, предоставени на ВиК оператора за експлоатация и поддръжка. В т.1.2 на категория III се  посочва отчетната стойност на публични активи, ;чийто полезен живот свършва в съответната година (отчетната стойност на активите, чийто полезен живот свършва през 2025 г. се посочват през 2026 г.). Резултативната величина на двете отчетни стойности ще калкулира разхода за амортизация съответно в посока увеличение или намаление. </v>
      </c>
      <c r="F186" s="5365"/>
      <c r="G186" s="5365"/>
      <c r="H186" s="5365"/>
      <c r="I186" s="5365"/>
      <c r="J186" s="5365"/>
      <c r="K186" s="5365"/>
      <c r="L186" s="5365"/>
      <c r="M186" s="5365"/>
      <c r="N186" s="5365"/>
      <c r="O186" s="5365"/>
      <c r="P186" s="5365"/>
      <c r="Q186" s="5365"/>
      <c r="R186" s="5365"/>
      <c r="S186" s="5365"/>
      <c r="T186" s="5365"/>
      <c r="U186" s="5365"/>
      <c r="V186" s="5365"/>
      <c r="W186" s="5365"/>
      <c r="X186" s="5365"/>
      <c r="Y186" s="5365"/>
      <c r="AD186" s="694"/>
      <c r="AE186" s="32"/>
      <c r="AF186" s="690"/>
      <c r="AN186" s="694"/>
      <c r="AO186" s="32"/>
      <c r="AP186" s="32"/>
      <c r="AQ186" s="669"/>
    </row>
    <row r="187" spans="1:43" ht="24" customHeight="1">
      <c r="B187" s="3747"/>
      <c r="C187" s="3747"/>
      <c r="D187" s="3747"/>
      <c r="E187" s="2630" t="s">
        <v>1059</v>
      </c>
      <c r="N187" s="669"/>
      <c r="P187" s="646"/>
      <c r="Q187" s="646"/>
      <c r="R187" s="646"/>
      <c r="S187" s="646"/>
      <c r="T187" s="646"/>
      <c r="U187" s="646"/>
      <c r="V187" s="646"/>
      <c r="W187" s="646"/>
      <c r="X187" s="646"/>
      <c r="Y187" s="646"/>
      <c r="AD187" s="688"/>
      <c r="AE187" s="1721"/>
      <c r="AF187" s="688"/>
      <c r="AK187" s="688"/>
      <c r="AL187" s="1721"/>
      <c r="AM187" s="688"/>
      <c r="AN187" s="32"/>
      <c r="AO187" s="3021"/>
      <c r="AP187" s="32"/>
      <c r="AQ187" s="669"/>
    </row>
    <row r="188" spans="1:43" ht="20.25" customHeight="1">
      <c r="B188" s="3747"/>
      <c r="C188" s="3747"/>
      <c r="D188" s="3747"/>
      <c r="F188" s="3747"/>
      <c r="G188" s="3747"/>
      <c r="H188" s="3747"/>
      <c r="I188" s="3747"/>
      <c r="J188" s="3747"/>
      <c r="K188" s="3747"/>
      <c r="L188" s="3747"/>
      <c r="M188" s="3747"/>
      <c r="N188" s="3747"/>
      <c r="O188" s="3747"/>
      <c r="P188" s="3747"/>
      <c r="Q188" s="3747"/>
      <c r="R188" s="3747"/>
      <c r="W188" s="688"/>
      <c r="X188" s="688"/>
      <c r="Y188" s="32"/>
      <c r="AD188" s="688"/>
      <c r="AE188" s="688"/>
      <c r="AF188" s="32"/>
      <c r="AK188" s="688"/>
      <c r="AL188" s="688"/>
      <c r="AM188" s="32"/>
      <c r="AN188" s="3022"/>
      <c r="AO188" s="669"/>
    </row>
    <row r="189" spans="1:43" ht="25.5" customHeight="1">
      <c r="B189" s="3747"/>
      <c r="C189" s="3747"/>
      <c r="D189" s="3747"/>
      <c r="E189" s="3747"/>
      <c r="F189" s="3747"/>
      <c r="G189" s="3747"/>
      <c r="H189" s="3747"/>
      <c r="I189" s="3747"/>
      <c r="J189" s="3747"/>
      <c r="K189" s="3747"/>
      <c r="L189" s="3747"/>
      <c r="M189" s="3747"/>
      <c r="N189" s="3747"/>
      <c r="O189" s="3747"/>
      <c r="P189" s="3747"/>
      <c r="Q189" s="3747"/>
      <c r="R189" s="3747"/>
      <c r="S189" s="1326"/>
    </row>
    <row r="190" spans="1:43" ht="54.75" customHeight="1">
      <c r="B190" s="3747"/>
      <c r="C190" s="3747"/>
      <c r="D190" s="3747"/>
      <c r="E190" s="3747"/>
      <c r="F190" s="3747"/>
      <c r="G190" s="3747"/>
      <c r="H190" s="3747"/>
      <c r="I190" s="3747"/>
      <c r="J190" s="3747"/>
      <c r="K190" s="3747"/>
      <c r="L190" s="3747"/>
      <c r="M190" s="3747"/>
      <c r="N190" s="3747"/>
      <c r="O190" s="3747"/>
      <c r="P190" s="3747"/>
      <c r="Q190" s="3747"/>
      <c r="R190" s="3747"/>
    </row>
    <row r="191" spans="1:43" ht="14.25" customHeight="1">
      <c r="B191" s="3747"/>
      <c r="C191" s="3747"/>
      <c r="D191" s="3747"/>
      <c r="E191" s="3747"/>
      <c r="F191" s="3747"/>
      <c r="G191" s="3747"/>
      <c r="H191" s="3747"/>
      <c r="I191" s="3747"/>
      <c r="J191" s="3747"/>
      <c r="K191" s="3747"/>
      <c r="L191" s="3747"/>
      <c r="M191" s="3747"/>
      <c r="N191" s="3747"/>
      <c r="O191" s="3747"/>
      <c r="P191" s="3747"/>
      <c r="Q191" s="3747"/>
      <c r="R191" s="3747"/>
    </row>
    <row r="192" spans="1:43" ht="60.75" customHeight="1"/>
    <row r="193" ht="20.25" customHeight="1"/>
  </sheetData>
  <sheetProtection algorithmName="SHA-512" hashValue="DFcXaCGlzEL+N+jbyNUiCJDkZL8yT1NliGWJFzuuCs2xNL3bTpPN8TfiGRbWdffLNVBOqH/xiezu9QXYKsRGaA==" saltValue="ZbSWL/1ofMEWkO6yTtjzug==" spinCount="100000" sheet="1" formatCells="0" formatColumns="0" formatRows="0"/>
  <mergeCells count="28">
    <mergeCell ref="AA10:AF10"/>
    <mergeCell ref="AH10:AM10"/>
    <mergeCell ref="AO10:AT10"/>
    <mergeCell ref="F10:K10"/>
    <mergeCell ref="M10:R10"/>
    <mergeCell ref="E185:Y185"/>
    <mergeCell ref="E186:Y186"/>
    <mergeCell ref="A2:Y2"/>
    <mergeCell ref="A3:Y3"/>
    <mergeCell ref="T10:Y10"/>
    <mergeCell ref="A4:Y4"/>
    <mergeCell ref="A5:Y5"/>
    <mergeCell ref="D8:D9"/>
    <mergeCell ref="A8:A9"/>
    <mergeCell ref="E8:K8"/>
    <mergeCell ref="L8:R8"/>
    <mergeCell ref="S8:Y8"/>
    <mergeCell ref="B8:B9"/>
    <mergeCell ref="C8:C9"/>
    <mergeCell ref="BX8:CD8"/>
    <mergeCell ref="A1:C1"/>
    <mergeCell ref="AV8:BB8"/>
    <mergeCell ref="BC8:BI8"/>
    <mergeCell ref="BJ8:BP8"/>
    <mergeCell ref="BQ8:BW8"/>
    <mergeCell ref="AN8:AT8"/>
    <mergeCell ref="Z8:AF8"/>
    <mergeCell ref="AG8:AM8"/>
  </mergeCells>
  <printOptions horizontalCentered="1"/>
  <pageMargins left="0" right="0" top="0.47244094488188981" bottom="0.23622047244094491" header="0.31496062992125984" footer="0.11811023622047245"/>
  <pageSetup paperSize="9" scale="67" orientation="landscape" r:id="rId1"/>
  <headerFooter alignWithMargins="0">
    <oddFooter>&amp;C&amp;A&amp;RСтр. &amp;P от &amp;N</oddFooter>
  </headerFooter>
  <rowBreaks count="3" manualBreakCount="3">
    <brk id="55" max="45" man="1"/>
    <brk id="108" max="45" man="1"/>
    <brk id="157" max="45" man="1"/>
  </rowBreaks>
  <colBreaks count="1" manualBreakCount="1">
    <brk id="25" max="190"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BCF6C6"/>
  </sheetPr>
  <dimension ref="A1:AT241"/>
  <sheetViews>
    <sheetView showGridLines="0" zoomScale="80" zoomScaleNormal="80" zoomScaleSheetLayoutView="106" workbookViewId="0">
      <pane xSplit="1" ySplit="9" topLeftCell="B24" activePane="bottomRight" state="frozen"/>
      <selection pane="topRight" activeCell="B1" sqref="B1"/>
      <selection pane="bottomLeft" activeCell="A10" sqref="A10"/>
      <selection pane="bottomRight" activeCell="L11" sqref="L11"/>
    </sheetView>
  </sheetViews>
  <sheetFormatPr defaultRowHeight="13.2"/>
  <cols>
    <col min="1" max="1" width="3.33203125" style="180" customWidth="1"/>
    <col min="2" max="2" width="8.33203125" style="181" customWidth="1"/>
    <col min="3" max="3" width="5.88671875" style="181" customWidth="1"/>
    <col min="4" max="4" width="22.6640625" style="181" customWidth="1"/>
    <col min="5" max="5" width="8.44140625" style="180" customWidth="1"/>
    <col min="6" max="6" width="10.88671875" style="180" customWidth="1"/>
    <col min="7" max="7" width="8.109375" style="180" customWidth="1"/>
    <col min="8" max="9" width="8.6640625" style="180" customWidth="1"/>
    <col min="10" max="10" width="10.88671875" style="180" customWidth="1"/>
    <col min="11" max="11" width="8.109375" style="180" customWidth="1"/>
    <col min="12" max="13" width="8.6640625" style="180" customWidth="1"/>
    <col min="14" max="14" width="11.109375" style="180" customWidth="1"/>
    <col min="15" max="17" width="8.6640625" style="180" customWidth="1"/>
    <col min="18" max="18" width="10.44140625" style="180" customWidth="1"/>
    <col min="19" max="21" width="8.6640625" style="180" customWidth="1"/>
    <col min="22" max="22" width="12" style="180" customWidth="1"/>
    <col min="23" max="24" width="8.6640625" style="180" customWidth="1"/>
    <col min="25" max="25" width="2.33203125" customWidth="1"/>
    <col min="26" max="45" width="8.6640625" customWidth="1"/>
  </cols>
  <sheetData>
    <row r="1" spans="1:45" s="1322" customFormat="1" ht="40.950000000000003" customHeight="1" thickBot="1">
      <c r="A1" s="5285" t="str">
        <f>+'1. Обща информация'!B40</f>
        <v>Фиксиран курс на лева към 1 евро</v>
      </c>
      <c r="B1" s="5286"/>
      <c r="C1" s="5287"/>
      <c r="D1" s="4508">
        <f>+'1. Обща информация'!$C$40</f>
        <v>1.95583</v>
      </c>
      <c r="E1" s="180"/>
      <c r="F1" s="2518"/>
      <c r="G1" s="181"/>
      <c r="H1" s="181"/>
      <c r="I1" s="181"/>
      <c r="J1" s="181"/>
      <c r="K1" s="181"/>
      <c r="L1" s="180"/>
      <c r="M1" s="181"/>
      <c r="N1" s="181"/>
      <c r="O1" s="181"/>
      <c r="P1" s="181"/>
      <c r="Q1" s="181"/>
      <c r="R1" s="181"/>
      <c r="S1" s="180"/>
      <c r="T1" s="181"/>
      <c r="U1" s="181"/>
      <c r="V1" s="181"/>
      <c r="X1" s="3739" t="s">
        <v>189</v>
      </c>
      <c r="Y1" s="181"/>
      <c r="Z1" s="181"/>
      <c r="AA1" s="181"/>
      <c r="AB1" s="181"/>
      <c r="AC1" s="181"/>
      <c r="AD1" s="3739"/>
      <c r="AE1" s="180"/>
      <c r="AF1" s="181"/>
      <c r="AG1" s="181"/>
      <c r="AH1" s="181"/>
      <c r="AI1" s="181"/>
      <c r="AJ1" s="181"/>
      <c r="AK1" s="3739"/>
      <c r="AM1" s="1323"/>
      <c r="AN1" s="1323"/>
    </row>
    <row r="2" spans="1:45" s="1322" customFormat="1" ht="18">
      <c r="A2" s="5339" t="s">
        <v>1786</v>
      </c>
      <c r="B2" s="5339"/>
      <c r="C2" s="5339"/>
      <c r="D2" s="5339"/>
      <c r="E2" s="5339"/>
      <c r="F2" s="5339"/>
      <c r="G2" s="5339"/>
      <c r="H2" s="5339"/>
      <c r="I2" s="5339"/>
      <c r="J2" s="5339"/>
      <c r="K2" s="5339"/>
      <c r="L2" s="5339"/>
      <c r="M2" s="5339"/>
      <c r="N2" s="5339"/>
      <c r="O2" s="5339"/>
      <c r="P2" s="5339"/>
      <c r="Q2" s="5339"/>
      <c r="R2" s="5339"/>
      <c r="S2" s="5339"/>
      <c r="T2" s="5339"/>
      <c r="U2" s="5339"/>
      <c r="V2" s="5339"/>
      <c r="W2" s="5339"/>
      <c r="X2" s="5339"/>
      <c r="Y2" s="3745"/>
      <c r="Z2" s="3745"/>
      <c r="AA2" s="3745"/>
      <c r="AB2" s="3745"/>
      <c r="AC2" s="3745"/>
      <c r="AD2" s="3745"/>
      <c r="AE2" s="3745"/>
      <c r="AF2" s="3745"/>
      <c r="AG2" s="3745"/>
      <c r="AH2" s="3745"/>
      <c r="AI2" s="3745"/>
      <c r="AJ2" s="3745"/>
      <c r="AK2" s="3745"/>
      <c r="AL2" s="2519"/>
      <c r="AM2" s="1323"/>
      <c r="AN2" s="1323"/>
    </row>
    <row r="3" spans="1:45" s="1322" customFormat="1" ht="18">
      <c r="A3" s="5339" t="str">
        <f>+"Амортизационен план на Дълготрайни Активи за базова година"</f>
        <v>Амортизационен план на Дълготрайни Активи за базова година</v>
      </c>
      <c r="B3" s="5339"/>
      <c r="C3" s="5339"/>
      <c r="D3" s="5339"/>
      <c r="E3" s="5339"/>
      <c r="F3" s="5339"/>
      <c r="G3" s="5339"/>
      <c r="H3" s="5339"/>
      <c r="I3" s="5339"/>
      <c r="J3" s="5339"/>
      <c r="K3" s="5339"/>
      <c r="L3" s="5339"/>
      <c r="M3" s="5339"/>
      <c r="N3" s="5339"/>
      <c r="O3" s="5339"/>
      <c r="P3" s="5339"/>
      <c r="Q3" s="5339"/>
      <c r="R3" s="5339"/>
      <c r="S3" s="5339"/>
      <c r="T3" s="5339"/>
      <c r="U3" s="5339"/>
      <c r="V3" s="5339"/>
      <c r="W3" s="5339"/>
      <c r="X3" s="5339"/>
      <c r="Y3" s="3745"/>
      <c r="Z3" s="3745"/>
      <c r="AA3" s="3745"/>
      <c r="AB3" s="3745"/>
      <c r="AC3" s="3745"/>
      <c r="AD3" s="3745"/>
      <c r="AE3" s="3745"/>
      <c r="AF3" s="3745"/>
      <c r="AG3" s="3745"/>
      <c r="AH3" s="3745"/>
      <c r="AI3" s="3745"/>
      <c r="AJ3" s="3745"/>
      <c r="AK3" s="3745"/>
      <c r="AL3" s="2519"/>
      <c r="AM3" s="1323"/>
      <c r="AN3" s="1323"/>
    </row>
    <row r="4" spans="1:45" s="1322" customFormat="1" ht="15.6">
      <c r="A4" s="5348" t="str">
        <f>'1. Обща информация'!A4:D4</f>
        <v>на "В И К" АД, гр. Ловеч</v>
      </c>
      <c r="B4" s="5348"/>
      <c r="C4" s="5348"/>
      <c r="D4" s="5348"/>
      <c r="E4" s="5348"/>
      <c r="F4" s="5348"/>
      <c r="G4" s="5348"/>
      <c r="H4" s="5348"/>
      <c r="I4" s="5348"/>
      <c r="J4" s="5348"/>
      <c r="K4" s="5348"/>
      <c r="L4" s="5348"/>
      <c r="M4" s="5348"/>
      <c r="N4" s="5348"/>
      <c r="O4" s="5348"/>
      <c r="P4" s="5348"/>
      <c r="Q4" s="5348"/>
      <c r="R4" s="5348"/>
      <c r="S4" s="5348"/>
      <c r="T4" s="5348"/>
      <c r="U4" s="5348"/>
      <c r="V4" s="5348"/>
      <c r="W4" s="5348"/>
      <c r="X4" s="5348"/>
      <c r="Y4" s="3744"/>
      <c r="Z4" s="3744"/>
      <c r="AA4" s="3744"/>
      <c r="AB4" s="3744"/>
      <c r="AC4" s="3744"/>
      <c r="AD4" s="3744"/>
      <c r="AE4" s="3744"/>
      <c r="AF4" s="3744"/>
      <c r="AG4" s="3744"/>
      <c r="AH4" s="3744"/>
      <c r="AI4" s="3744"/>
      <c r="AJ4" s="3744"/>
      <c r="AK4" s="3744"/>
      <c r="AL4" s="179"/>
      <c r="AM4" s="2520"/>
      <c r="AN4" s="179"/>
      <c r="AO4" s="179"/>
      <c r="AP4" s="179"/>
      <c r="AQ4" s="179"/>
    </row>
    <row r="5" spans="1:45" s="1322" customFormat="1" ht="15.6">
      <c r="A5" s="5348" t="str">
        <f>'1. Обща информация'!A5:D5</f>
        <v>ЕИК по БУЛСТАТ: 110549443</v>
      </c>
      <c r="B5" s="5348"/>
      <c r="C5" s="5348"/>
      <c r="D5" s="5348"/>
      <c r="E5" s="5348"/>
      <c r="F5" s="5348"/>
      <c r="G5" s="5348"/>
      <c r="H5" s="5348"/>
      <c r="I5" s="5348"/>
      <c r="J5" s="5348"/>
      <c r="K5" s="5348"/>
      <c r="L5" s="5348"/>
      <c r="M5" s="5348"/>
      <c r="N5" s="5348"/>
      <c r="O5" s="5348"/>
      <c r="P5" s="5348"/>
      <c r="Q5" s="5348"/>
      <c r="R5" s="5348"/>
      <c r="S5" s="5348"/>
      <c r="T5" s="5348"/>
      <c r="U5" s="5348"/>
      <c r="V5" s="5348"/>
      <c r="W5" s="5348"/>
      <c r="X5" s="5348"/>
      <c r="Y5" s="3744"/>
      <c r="Z5" s="3744"/>
      <c r="AA5" s="3744"/>
      <c r="AB5" s="3744"/>
      <c r="AC5" s="3744"/>
      <c r="AD5" s="3744"/>
      <c r="AE5" s="3744"/>
      <c r="AF5" s="3744"/>
      <c r="AG5" s="3744"/>
      <c r="AH5" s="3744"/>
      <c r="AI5" s="3744"/>
      <c r="AJ5" s="3744"/>
      <c r="AK5" s="3744"/>
      <c r="AL5" s="179"/>
      <c r="AM5" s="2520"/>
      <c r="AN5" s="179"/>
      <c r="AO5" s="179"/>
      <c r="AP5" s="179"/>
      <c r="AQ5" s="179"/>
    </row>
    <row r="6" spans="1:45" ht="16.2" thickBot="1">
      <c r="A6" s="3744"/>
      <c r="B6" s="3744"/>
      <c r="C6" s="3744"/>
      <c r="D6" s="3744"/>
      <c r="E6" s="4121"/>
      <c r="F6" s="4121"/>
      <c r="G6" s="4121"/>
      <c r="H6" s="4121"/>
      <c r="I6" s="4121"/>
      <c r="J6" s="4121"/>
      <c r="K6" s="4121"/>
      <c r="L6" s="4121"/>
      <c r="M6" s="4121"/>
      <c r="N6" s="4121"/>
      <c r="O6" s="4121"/>
      <c r="P6" s="4121"/>
      <c r="Q6" s="4121"/>
      <c r="R6" s="4121"/>
      <c r="S6" s="4121"/>
      <c r="T6" s="4121"/>
      <c r="U6" s="4121"/>
      <c r="V6" s="4121"/>
      <c r="W6" s="4121"/>
      <c r="X6" s="660" t="s">
        <v>190</v>
      </c>
      <c r="AS6" s="660" t="s">
        <v>1889</v>
      </c>
    </row>
    <row r="7" spans="1:45" ht="13.95" customHeight="1" thickBot="1">
      <c r="A7" s="5344" t="s">
        <v>1</v>
      </c>
      <c r="B7" s="5344" t="s">
        <v>1044</v>
      </c>
      <c r="C7" s="5344" t="s">
        <v>1043</v>
      </c>
      <c r="D7" s="5344" t="s">
        <v>87</v>
      </c>
      <c r="E7" s="5401" t="s">
        <v>210</v>
      </c>
      <c r="F7" s="5402"/>
      <c r="G7" s="5402"/>
      <c r="H7" s="5403"/>
      <c r="I7" s="5401" t="s">
        <v>174</v>
      </c>
      <c r="J7" s="5402"/>
      <c r="K7" s="5402"/>
      <c r="L7" s="5403"/>
      <c r="M7" s="5401" t="s">
        <v>184</v>
      </c>
      <c r="N7" s="5402"/>
      <c r="O7" s="5402"/>
      <c r="P7" s="5403"/>
      <c r="Q7" s="5401" t="s">
        <v>1029</v>
      </c>
      <c r="R7" s="5402"/>
      <c r="S7" s="5402"/>
      <c r="T7" s="5403"/>
      <c r="U7" s="5401" t="s">
        <v>1092</v>
      </c>
      <c r="V7" s="5402"/>
      <c r="W7" s="5402"/>
      <c r="X7" s="5403"/>
      <c r="Y7" s="4488"/>
      <c r="Z7" s="5338" t="s">
        <v>210</v>
      </c>
      <c r="AA7" s="5338"/>
      <c r="AB7" s="5338"/>
      <c r="AC7" s="5338"/>
      <c r="AD7" s="5338" t="s">
        <v>174</v>
      </c>
      <c r="AE7" s="5338"/>
      <c r="AF7" s="5338"/>
      <c r="AG7" s="5338"/>
      <c r="AH7" s="5338" t="s">
        <v>184</v>
      </c>
      <c r="AI7" s="5338"/>
      <c r="AJ7" s="5338"/>
      <c r="AK7" s="5338"/>
      <c r="AL7" s="4511" t="s">
        <v>1029</v>
      </c>
      <c r="AM7" s="4511"/>
      <c r="AN7" s="4511"/>
      <c r="AO7" s="4511"/>
      <c r="AP7" s="5338" t="s">
        <v>1092</v>
      </c>
      <c r="AQ7" s="5338"/>
      <c r="AR7" s="5338"/>
      <c r="AS7" s="5338"/>
    </row>
    <row r="8" spans="1:45" ht="13.8" thickBot="1">
      <c r="A8" s="5400"/>
      <c r="B8" s="5400"/>
      <c r="C8" s="5400"/>
      <c r="D8" s="5400"/>
      <c r="E8" s="2522" t="str">
        <f>+'Приложение '!C12</f>
        <v>2024 г.</v>
      </c>
      <c r="F8" s="2522" t="str">
        <f>+'11. Амортиз. план'!E8</f>
        <v>2025 г.</v>
      </c>
      <c r="G8" s="2522" t="str">
        <f>+F8</f>
        <v>2025 г.</v>
      </c>
      <c r="H8" s="2527" t="str">
        <f>+G8</f>
        <v>2025 г.</v>
      </c>
      <c r="I8" s="2522" t="str">
        <f>+E8</f>
        <v>2024 г.</v>
      </c>
      <c r="J8" s="2522" t="str">
        <f>+F8</f>
        <v>2025 г.</v>
      </c>
      <c r="K8" s="2522" t="str">
        <f t="shared" ref="K8:L9" si="0">+G8</f>
        <v>2025 г.</v>
      </c>
      <c r="L8" s="2522" t="str">
        <f t="shared" si="0"/>
        <v>2025 г.</v>
      </c>
      <c r="M8" s="2522" t="str">
        <f>+I8</f>
        <v>2024 г.</v>
      </c>
      <c r="N8" s="2522" t="str">
        <f>+J8</f>
        <v>2025 г.</v>
      </c>
      <c r="O8" s="2522" t="str">
        <f t="shared" ref="O8:P9" si="1">+K8</f>
        <v>2025 г.</v>
      </c>
      <c r="P8" s="2522" t="str">
        <f t="shared" si="1"/>
        <v>2025 г.</v>
      </c>
      <c r="Q8" s="2522" t="str">
        <f>+M8</f>
        <v>2024 г.</v>
      </c>
      <c r="R8" s="2522" t="str">
        <f>+N8</f>
        <v>2025 г.</v>
      </c>
      <c r="S8" s="2522" t="str">
        <f t="shared" ref="S8:T9" si="2">+O8</f>
        <v>2025 г.</v>
      </c>
      <c r="T8" s="2522" t="str">
        <f t="shared" si="2"/>
        <v>2025 г.</v>
      </c>
      <c r="U8" s="2522" t="str">
        <f>+Q8</f>
        <v>2024 г.</v>
      </c>
      <c r="V8" s="2522" t="str">
        <f>+R8</f>
        <v>2025 г.</v>
      </c>
      <c r="W8" s="2522" t="str">
        <f t="shared" ref="W8:X9" si="3">+S8</f>
        <v>2025 г.</v>
      </c>
      <c r="X8" s="2527" t="str">
        <f t="shared" si="3"/>
        <v>2025 г.</v>
      </c>
      <c r="Y8" s="4488"/>
      <c r="Z8" s="4509" t="str">
        <f>+E8</f>
        <v>2024 г.</v>
      </c>
      <c r="AA8" s="4509" t="str">
        <f t="shared" ref="AA8:AC8" si="4">+F8</f>
        <v>2025 г.</v>
      </c>
      <c r="AB8" s="4509" t="str">
        <f t="shared" si="4"/>
        <v>2025 г.</v>
      </c>
      <c r="AC8" s="4509" t="str">
        <f t="shared" si="4"/>
        <v>2025 г.</v>
      </c>
      <c r="AD8" s="4509" t="str">
        <f>+Z8</f>
        <v>2024 г.</v>
      </c>
      <c r="AE8" s="4509" t="str">
        <f>+AA8</f>
        <v>2025 г.</v>
      </c>
      <c r="AF8" s="4509" t="str">
        <f t="shared" ref="AF8:AF9" si="5">+AB8</f>
        <v>2025 г.</v>
      </c>
      <c r="AG8" s="4509" t="str">
        <f t="shared" ref="AG8:AG9" si="6">+AC8</f>
        <v>2025 г.</v>
      </c>
      <c r="AH8" s="4509" t="str">
        <f>+AD8</f>
        <v>2024 г.</v>
      </c>
      <c r="AI8" s="4509" t="str">
        <f>+AE8</f>
        <v>2025 г.</v>
      </c>
      <c r="AJ8" s="4509" t="str">
        <f t="shared" ref="AJ8:AJ9" si="7">+AF8</f>
        <v>2025 г.</v>
      </c>
      <c r="AK8" s="4509" t="str">
        <f t="shared" ref="AK8:AK9" si="8">+AG8</f>
        <v>2025 г.</v>
      </c>
      <c r="AL8" s="4509" t="str">
        <f>+AH8</f>
        <v>2024 г.</v>
      </c>
      <c r="AM8" s="4509" t="str">
        <f>+AI8</f>
        <v>2025 г.</v>
      </c>
      <c r="AN8" s="4509" t="str">
        <f t="shared" ref="AN8:AN9" si="9">+AJ8</f>
        <v>2025 г.</v>
      </c>
      <c r="AO8" s="4509" t="str">
        <f t="shared" ref="AO8:AO9" si="10">+AK8</f>
        <v>2025 г.</v>
      </c>
      <c r="AP8" s="4509" t="str">
        <f>+AL8</f>
        <v>2024 г.</v>
      </c>
      <c r="AQ8" s="4509" t="str">
        <f>+AM8</f>
        <v>2025 г.</v>
      </c>
      <c r="AR8" s="4509" t="str">
        <f t="shared" ref="AR8:AR9" si="11">+AN8</f>
        <v>2025 г.</v>
      </c>
      <c r="AS8" s="4509" t="str">
        <f t="shared" ref="AS8:AS9" si="12">+AO8</f>
        <v>2025 г.</v>
      </c>
    </row>
    <row r="9" spans="1:45" ht="46.95" customHeight="1" thickBot="1">
      <c r="A9" s="5345"/>
      <c r="B9" s="5345"/>
      <c r="C9" s="5345"/>
      <c r="D9" s="5345"/>
      <c r="E9" s="4122" t="s">
        <v>192</v>
      </c>
      <c r="F9" s="4122" t="s">
        <v>1850</v>
      </c>
      <c r="G9" s="4122" t="s">
        <v>1787</v>
      </c>
      <c r="H9" s="4123" t="s">
        <v>1788</v>
      </c>
      <c r="I9" s="4122" t="str">
        <f>+E9</f>
        <v>Отчет</v>
      </c>
      <c r="J9" s="4122" t="str">
        <f>+F9</f>
        <v>Постъпили трансфери / начислена амортизация</v>
      </c>
      <c r="K9" s="4122" t="str">
        <f t="shared" si="0"/>
        <v>Отписани</v>
      </c>
      <c r="L9" s="4123" t="str">
        <f t="shared" si="0"/>
        <v>Прогноза</v>
      </c>
      <c r="M9" s="4122" t="str">
        <f>+I9</f>
        <v>Отчет</v>
      </c>
      <c r="N9" s="4122" t="str">
        <f>+J9</f>
        <v>Постъпили трансфери / начислена амортизация</v>
      </c>
      <c r="O9" s="4122" t="str">
        <f t="shared" si="1"/>
        <v>Отписани</v>
      </c>
      <c r="P9" s="4123" t="str">
        <f t="shared" si="1"/>
        <v>Прогноза</v>
      </c>
      <c r="Q9" s="4122" t="str">
        <f>+M9</f>
        <v>Отчет</v>
      </c>
      <c r="R9" s="4122" t="str">
        <f>+N9</f>
        <v>Постъпили трансфери / начислена амортизация</v>
      </c>
      <c r="S9" s="4122" t="str">
        <f t="shared" si="2"/>
        <v>Отписани</v>
      </c>
      <c r="T9" s="4122" t="str">
        <f t="shared" si="2"/>
        <v>Прогноза</v>
      </c>
      <c r="U9" s="4122" t="str">
        <f>+Q9</f>
        <v>Отчет</v>
      </c>
      <c r="V9" s="4122" t="str">
        <f>+R9</f>
        <v>Постъпили трансфери / начислена амортизация</v>
      </c>
      <c r="W9" s="4122" t="str">
        <f t="shared" si="3"/>
        <v>Отписани</v>
      </c>
      <c r="X9" s="4123" t="str">
        <f t="shared" si="3"/>
        <v>Прогноза</v>
      </c>
      <c r="Y9" s="4488"/>
      <c r="Z9" s="4521" t="s">
        <v>192</v>
      </c>
      <c r="AA9" s="4521" t="s">
        <v>1850</v>
      </c>
      <c r="AB9" s="4521" t="s">
        <v>1787</v>
      </c>
      <c r="AC9" s="4521" t="s">
        <v>1788</v>
      </c>
      <c r="AD9" s="4521" t="str">
        <f>+Z9</f>
        <v>Отчет</v>
      </c>
      <c r="AE9" s="4521" t="str">
        <f>+AA9</f>
        <v>Постъпили трансфери / начислена амортизация</v>
      </c>
      <c r="AF9" s="4521" t="str">
        <f t="shared" si="5"/>
        <v>Отписани</v>
      </c>
      <c r="AG9" s="4521" t="str">
        <f t="shared" si="6"/>
        <v>Прогноза</v>
      </c>
      <c r="AH9" s="4521" t="str">
        <f>+AD9</f>
        <v>Отчет</v>
      </c>
      <c r="AI9" s="4521" t="str">
        <f>+AE9</f>
        <v>Постъпили трансфери / начислена амортизация</v>
      </c>
      <c r="AJ9" s="4521" t="str">
        <f t="shared" si="7"/>
        <v>Отписани</v>
      </c>
      <c r="AK9" s="4521" t="str">
        <f t="shared" si="8"/>
        <v>Прогноза</v>
      </c>
      <c r="AL9" s="4521" t="str">
        <f>+AH9</f>
        <v>Отчет</v>
      </c>
      <c r="AM9" s="4521" t="str">
        <f>+AI9</f>
        <v>Постъпили трансфери / начислена амортизация</v>
      </c>
      <c r="AN9" s="4521" t="str">
        <f t="shared" si="9"/>
        <v>Отписани</v>
      </c>
      <c r="AO9" s="4521" t="str">
        <f t="shared" si="10"/>
        <v>Прогноза</v>
      </c>
      <c r="AP9" s="4521" t="str">
        <f>+AL9</f>
        <v>Отчет</v>
      </c>
      <c r="AQ9" s="4521" t="str">
        <f>+AM9</f>
        <v>Постъпили трансфери / начислена амортизация</v>
      </c>
      <c r="AR9" s="4521" t="str">
        <f t="shared" si="11"/>
        <v>Отписани</v>
      </c>
      <c r="AS9" s="4521" t="str">
        <f t="shared" si="12"/>
        <v>Прогноза</v>
      </c>
    </row>
    <row r="10" spans="1:45" ht="13.5" customHeight="1" thickBot="1">
      <c r="A10" s="2528" t="s">
        <v>402</v>
      </c>
      <c r="B10" s="5376" t="s">
        <v>403</v>
      </c>
      <c r="C10" s="5377"/>
      <c r="D10" s="5377"/>
      <c r="E10" s="5377"/>
      <c r="F10" s="5377"/>
      <c r="G10" s="5377"/>
      <c r="H10" s="5377"/>
      <c r="I10" s="5377"/>
      <c r="J10" s="5377"/>
      <c r="K10" s="5377"/>
      <c r="L10" s="5377"/>
      <c r="M10" s="5377"/>
      <c r="N10" s="5377"/>
      <c r="O10" s="5377"/>
      <c r="P10" s="5377"/>
      <c r="Q10" s="5377"/>
      <c r="R10" s="5377"/>
      <c r="S10" s="5377"/>
      <c r="T10" s="5377"/>
      <c r="U10" s="5377"/>
      <c r="V10" s="5377"/>
      <c r="W10" s="5377"/>
      <c r="X10" s="5378"/>
      <c r="Y10" s="4488"/>
    </row>
    <row r="11" spans="1:45" ht="13.8" thickBot="1">
      <c r="A11" s="2539" t="s">
        <v>205</v>
      </c>
      <c r="B11" s="5379" t="s">
        <v>334</v>
      </c>
      <c r="C11" s="5380"/>
      <c r="D11" s="5381"/>
      <c r="E11" s="2541">
        <f>SUM(E12:E39)-E14-E20</f>
        <v>6195.2351171676492</v>
      </c>
      <c r="F11" s="2541">
        <f>SUM(F12:F39)-F14-F20-F30-F36</f>
        <v>833.86819607279836</v>
      </c>
      <c r="G11" s="2541">
        <f>SUM(G12:G39)-G14-G20</f>
        <v>53.396213280001803</v>
      </c>
      <c r="H11" s="2541">
        <f>SUM(H12:H39)-H14-H20</f>
        <v>6975.7070999604475</v>
      </c>
      <c r="I11" s="2541">
        <f>SUM(I12:I39)-I14-I20</f>
        <v>1055.795936739984</v>
      </c>
      <c r="J11" s="2541">
        <f>SUM(J12:J39)-J14-J20-J30-J36</f>
        <v>212.21592809219953</v>
      </c>
      <c r="K11" s="2541">
        <f>SUM(K12:K39)-K14-K20</f>
        <v>18.756462199673116</v>
      </c>
      <c r="L11" s="2541">
        <f>SUM(L12:L39)-L14-L20</f>
        <v>1249.2554026325101</v>
      </c>
      <c r="M11" s="2541">
        <f>SUM(M12:M39)-M14-M20</f>
        <v>988.96997515431644</v>
      </c>
      <c r="N11" s="2541">
        <f>SUM(N12:N39)-N14-N20-N30-N36</f>
        <v>125.66511922373495</v>
      </c>
      <c r="O11" s="2541">
        <f>SUM(O12:O39)-O14-O20</f>
        <v>22.886307348476539</v>
      </c>
      <c r="P11" s="2541">
        <f>SUM(P12:P39)-P14-P20</f>
        <v>1091.7487870295749</v>
      </c>
      <c r="Q11" s="2541">
        <f>SUM(Q12:Q39)-Q14-Q20</f>
        <v>0</v>
      </c>
      <c r="R11" s="2541">
        <f>SUM(R12:R39)-R14-R20-R30-R36</f>
        <v>0</v>
      </c>
      <c r="S11" s="2541">
        <f>SUM(S12:S39)-S14-S20</f>
        <v>0</v>
      </c>
      <c r="T11" s="2541">
        <f>SUM(T12:T39)-T14-T20</f>
        <v>0</v>
      </c>
      <c r="U11" s="2541">
        <f>SUM(U12:U39)-U14-U20</f>
        <v>478.09010993487175</v>
      </c>
      <c r="V11" s="2541">
        <f>SUM(V12:V39)-V14-V20-V30-V36</f>
        <v>184.75564356888293</v>
      </c>
      <c r="W11" s="2541">
        <f>SUM(W12:W39)-W14-W20</f>
        <v>5.9143230730361607</v>
      </c>
      <c r="X11" s="2541">
        <f>SUM(X12:X39)-X14-X20</f>
        <v>656.93143043071859</v>
      </c>
      <c r="Y11" s="4488"/>
      <c r="Z11" s="4504">
        <f>IFERROR(E11/$D$1,0)</f>
        <v>3167.5734175095226</v>
      </c>
      <c r="AA11" s="4504">
        <f t="shared" ref="AA11:AR11" si="13">IFERROR(F11/$D$1,0)</f>
        <v>426.35003863975822</v>
      </c>
      <c r="AB11" s="4504">
        <f t="shared" si="13"/>
        <v>27.301050336686625</v>
      </c>
      <c r="AC11" s="4504">
        <f t="shared" si="13"/>
        <v>3566.6224058125949</v>
      </c>
      <c r="AD11" s="4504">
        <f t="shared" si="13"/>
        <v>539.81989065511016</v>
      </c>
      <c r="AE11" s="4504">
        <f t="shared" si="13"/>
        <v>108.50428109406214</v>
      </c>
      <c r="AF11" s="4504">
        <f t="shared" si="13"/>
        <v>9.5900268426566306</v>
      </c>
      <c r="AG11" s="4504">
        <f t="shared" si="13"/>
        <v>638.73414490651544</v>
      </c>
      <c r="AH11" s="4504">
        <f t="shared" si="13"/>
        <v>505.65231904322792</v>
      </c>
      <c r="AI11" s="4504">
        <f t="shared" si="13"/>
        <v>64.251555208650515</v>
      </c>
      <c r="AJ11" s="4504">
        <f t="shared" si="13"/>
        <v>11.701583137837408</v>
      </c>
      <c r="AK11" s="4504">
        <f t="shared" si="13"/>
        <v>558.20229111404103</v>
      </c>
      <c r="AL11" s="4504">
        <f t="shared" si="13"/>
        <v>0</v>
      </c>
      <c r="AM11" s="4504">
        <f t="shared" si="13"/>
        <v>0</v>
      </c>
      <c r="AN11" s="4504">
        <f t="shared" si="13"/>
        <v>0</v>
      </c>
      <c r="AO11" s="4504">
        <f t="shared" si="13"/>
        <v>0</v>
      </c>
      <c r="AP11" s="4504">
        <f t="shared" si="13"/>
        <v>244.44359168990749</v>
      </c>
      <c r="AQ11" s="4504">
        <f t="shared" si="13"/>
        <v>94.464060561952181</v>
      </c>
      <c r="AR11" s="4504">
        <f t="shared" si="13"/>
        <v>3.0239453700148586</v>
      </c>
      <c r="AS11" s="4504">
        <f>IFERROR(X11/$D$1,0)</f>
        <v>335.88370688184483</v>
      </c>
    </row>
    <row r="12" spans="1:45">
      <c r="A12" s="2547">
        <v>1</v>
      </c>
      <c r="B12" s="2548">
        <v>20101</v>
      </c>
      <c r="C12" s="2549">
        <v>0</v>
      </c>
      <c r="D12" s="2550" t="s">
        <v>556</v>
      </c>
      <c r="E12" s="2639">
        <v>22.536523787844654</v>
      </c>
      <c r="F12" s="2639">
        <v>0</v>
      </c>
      <c r="G12" s="2639">
        <v>0</v>
      </c>
      <c r="H12" s="4452">
        <f>+E12+F12-G12</f>
        <v>22.536523787844654</v>
      </c>
      <c r="I12" s="2639">
        <v>5.3750598480652947</v>
      </c>
      <c r="J12" s="2639">
        <v>0</v>
      </c>
      <c r="K12" s="2639">
        <v>0</v>
      </c>
      <c r="L12" s="4452">
        <f>+I12+J12-K12</f>
        <v>5.3750598480652947</v>
      </c>
      <c r="M12" s="2639">
        <v>2.367113286516366</v>
      </c>
      <c r="N12" s="2639">
        <v>0</v>
      </c>
      <c r="O12" s="2639">
        <v>0</v>
      </c>
      <c r="P12" s="4452">
        <f>+M12+N12-O12</f>
        <v>2.367113286516366</v>
      </c>
      <c r="Q12" s="2639"/>
      <c r="R12" s="2639"/>
      <c r="S12" s="2639"/>
      <c r="T12" s="4452">
        <f>+Q12+R12-S12</f>
        <v>0</v>
      </c>
      <c r="U12" s="2639">
        <v>0.14830307757368388</v>
      </c>
      <c r="V12" s="2639">
        <v>0</v>
      </c>
      <c r="W12" s="2639">
        <v>0</v>
      </c>
      <c r="X12" s="4452">
        <f>+U12+V12-W12</f>
        <v>0.14830307757368388</v>
      </c>
      <c r="Y12" s="4488"/>
      <c r="Z12" s="4504">
        <f t="shared" ref="Z12:Z75" si="14">IFERROR(E12/$D$1,0)</f>
        <v>11.522741643110422</v>
      </c>
      <c r="AA12" s="4504">
        <f t="shared" ref="AA12:AA65" si="15">IFERROR(F12/$D$1,0)</f>
        <v>0</v>
      </c>
      <c r="AB12" s="4504">
        <f t="shared" ref="AB12:AB65" si="16">IFERROR(G12/$D$1,0)</f>
        <v>0</v>
      </c>
      <c r="AC12" s="4504">
        <f t="shared" ref="AC12:AC75" si="17">IFERROR(H12/$D$1,0)</f>
        <v>11.522741643110422</v>
      </c>
      <c r="AD12" s="4504">
        <f t="shared" ref="AD12:AD75" si="18">IFERROR(I12/$D$1,0)</f>
        <v>2.7482244612595648</v>
      </c>
      <c r="AE12" s="4504">
        <f t="shared" ref="AE12:AE65" si="19">IFERROR(J12/$D$1,0)</f>
        <v>0</v>
      </c>
      <c r="AF12" s="4504">
        <f t="shared" ref="AF12:AF65" si="20">IFERROR(K12/$D$1,0)</f>
        <v>0</v>
      </c>
      <c r="AG12" s="4504">
        <f t="shared" ref="AG12:AG75" si="21">IFERROR(L12/$D$1,0)</f>
        <v>2.7482244612595648</v>
      </c>
      <c r="AH12" s="4504">
        <f t="shared" ref="AH12:AH75" si="22">IFERROR(M12/$D$1,0)</f>
        <v>1.2102858052675161</v>
      </c>
      <c r="AI12" s="4504">
        <f t="shared" ref="AI12:AI65" si="23">IFERROR(N12/$D$1,0)</f>
        <v>0</v>
      </c>
      <c r="AJ12" s="4504">
        <f t="shared" ref="AJ12:AJ65" si="24">IFERROR(O12/$D$1,0)</f>
        <v>0</v>
      </c>
      <c r="AK12" s="4504">
        <f t="shared" ref="AK12:AK75" si="25">IFERROR(P12/$D$1,0)</f>
        <v>1.2102858052675161</v>
      </c>
      <c r="AL12" s="4504">
        <f t="shared" ref="AL12:AL75" si="26">IFERROR(Q12/$D$1,0)</f>
        <v>0</v>
      </c>
      <c r="AM12" s="4504">
        <f t="shared" ref="AM12:AM65" si="27">IFERROR(R12/$D$1,0)</f>
        <v>0</v>
      </c>
      <c r="AN12" s="4504">
        <f t="shared" ref="AN12:AN65" si="28">IFERROR(S12/$D$1,0)</f>
        <v>0</v>
      </c>
      <c r="AO12" s="4504">
        <f t="shared" ref="AO12:AO75" si="29">IFERROR(T12/$D$1,0)</f>
        <v>0</v>
      </c>
      <c r="AP12" s="4504">
        <f t="shared" ref="AP12:AP75" si="30">IFERROR(U12/$D$1,0)</f>
        <v>7.5826159519837552E-2</v>
      </c>
      <c r="AQ12" s="4504">
        <f t="shared" ref="AQ12:AQ65" si="31">IFERROR(V12/$D$1,0)</f>
        <v>0</v>
      </c>
      <c r="AR12" s="4504">
        <f t="shared" ref="AR12:AR65" si="32">IFERROR(W12/$D$1,0)</f>
        <v>0</v>
      </c>
      <c r="AS12" s="4504">
        <f t="shared" ref="AS12:AS75" si="33">IFERROR(X12/$D$1,0)</f>
        <v>7.5826159519837552E-2</v>
      </c>
    </row>
    <row r="13" spans="1:45" ht="24">
      <c r="A13" s="2553">
        <v>2</v>
      </c>
      <c r="B13" s="2554">
        <v>20201</v>
      </c>
      <c r="C13" s="2555">
        <v>0.03</v>
      </c>
      <c r="D13" s="2556" t="s">
        <v>425</v>
      </c>
      <c r="E13" s="411">
        <v>629.41829217141174</v>
      </c>
      <c r="F13" s="411">
        <v>3.0158939022002076</v>
      </c>
      <c r="G13" s="411">
        <v>0</v>
      </c>
      <c r="H13" s="4453">
        <f>+E13+F13-G13</f>
        <v>632.43418607361195</v>
      </c>
      <c r="I13" s="411">
        <v>287.9653755239537</v>
      </c>
      <c r="J13" s="411">
        <v>0.65949357017516086</v>
      </c>
      <c r="K13" s="411">
        <v>0</v>
      </c>
      <c r="L13" s="4453">
        <f>+I13+J13-K13</f>
        <v>288.62486909412888</v>
      </c>
      <c r="M13" s="411">
        <v>419.2363339119853</v>
      </c>
      <c r="N13" s="411">
        <v>0.80470252762463157</v>
      </c>
      <c r="O13" s="411">
        <v>0</v>
      </c>
      <c r="P13" s="4453">
        <f>+M13+N13-O13</f>
        <v>420.04103643960991</v>
      </c>
      <c r="Q13" s="411"/>
      <c r="R13" s="411"/>
      <c r="S13" s="411"/>
      <c r="T13" s="4453">
        <f>+Q13+R13-S13</f>
        <v>0</v>
      </c>
      <c r="U13" s="411">
        <v>11.904143274970304</v>
      </c>
      <c r="V13" s="411">
        <v>0</v>
      </c>
      <c r="W13" s="411">
        <v>0</v>
      </c>
      <c r="X13" s="4453">
        <f>+U13+V13-W13</f>
        <v>11.904143274970304</v>
      </c>
      <c r="Y13" s="4488"/>
      <c r="Z13" s="4504">
        <f t="shared" si="14"/>
        <v>321.81646266363219</v>
      </c>
      <c r="AA13" s="4504">
        <f t="shared" si="15"/>
        <v>1.5420020667441483</v>
      </c>
      <c r="AB13" s="4504">
        <f t="shared" si="16"/>
        <v>0</v>
      </c>
      <c r="AC13" s="4504">
        <f t="shared" si="17"/>
        <v>323.35846473037634</v>
      </c>
      <c r="AD13" s="4504">
        <f t="shared" si="18"/>
        <v>147.23435857101776</v>
      </c>
      <c r="AE13" s="4504">
        <f t="shared" si="19"/>
        <v>0.33719370813166832</v>
      </c>
      <c r="AF13" s="4504">
        <f t="shared" si="20"/>
        <v>0</v>
      </c>
      <c r="AG13" s="4504">
        <f t="shared" si="21"/>
        <v>147.57155227914947</v>
      </c>
      <c r="AH13" s="4504">
        <f t="shared" si="22"/>
        <v>214.35213383166499</v>
      </c>
      <c r="AI13" s="4504">
        <f t="shared" si="23"/>
        <v>0.41143786915254987</v>
      </c>
      <c r="AJ13" s="4504">
        <f t="shared" si="24"/>
        <v>0</v>
      </c>
      <c r="AK13" s="4504">
        <f t="shared" si="25"/>
        <v>214.76357170081752</v>
      </c>
      <c r="AL13" s="4504">
        <f t="shared" si="26"/>
        <v>0</v>
      </c>
      <c r="AM13" s="4504">
        <f t="shared" si="27"/>
        <v>0</v>
      </c>
      <c r="AN13" s="4504">
        <f t="shared" si="28"/>
        <v>0</v>
      </c>
      <c r="AO13" s="4504">
        <f t="shared" si="29"/>
        <v>0</v>
      </c>
      <c r="AP13" s="4504">
        <f t="shared" si="30"/>
        <v>6.08649180908888</v>
      </c>
      <c r="AQ13" s="4504">
        <f t="shared" si="31"/>
        <v>0</v>
      </c>
      <c r="AR13" s="4504">
        <f t="shared" si="32"/>
        <v>0</v>
      </c>
      <c r="AS13" s="4504">
        <f t="shared" si="33"/>
        <v>6.08649180908888</v>
      </c>
    </row>
    <row r="14" spans="1:45" ht="24">
      <c r="A14" s="2553">
        <v>3</v>
      </c>
      <c r="B14" s="2554">
        <v>203</v>
      </c>
      <c r="C14" s="2555"/>
      <c r="D14" s="2558" t="s">
        <v>405</v>
      </c>
      <c r="E14" s="2644">
        <f>SUM(E15:E18)</f>
        <v>1794.6731145528058</v>
      </c>
      <c r="F14" s="2644">
        <f t="shared" ref="F14:G14" si="34">SUM(F15:F18)</f>
        <v>688.34764693133957</v>
      </c>
      <c r="G14" s="2644">
        <f t="shared" si="34"/>
        <v>11.462264620308703</v>
      </c>
      <c r="H14" s="4124">
        <f>SUM(H15:H18)</f>
        <v>2471.5584968638364</v>
      </c>
      <c r="I14" s="2644">
        <f>SUM(I15:I18)</f>
        <v>517.40034428765171</v>
      </c>
      <c r="J14" s="2644">
        <f t="shared" ref="J14:K14" si="35">SUM(J15:J18)</f>
        <v>7.3475019822989811</v>
      </c>
      <c r="K14" s="2644">
        <f t="shared" si="35"/>
        <v>0</v>
      </c>
      <c r="L14" s="4124">
        <f>SUM(L15:L18)</f>
        <v>524.74784626995074</v>
      </c>
      <c r="M14" s="2644">
        <f>SUM(M15:M18)</f>
        <v>133.15039678579572</v>
      </c>
      <c r="N14" s="2644">
        <f t="shared" ref="N14:O14" si="36">SUM(N15:N18)</f>
        <v>6.3453217306735699</v>
      </c>
      <c r="O14" s="2644">
        <f t="shared" si="36"/>
        <v>0</v>
      </c>
      <c r="P14" s="4124">
        <f>SUM(P15:P18)</f>
        <v>139.49571851646928</v>
      </c>
      <c r="Q14" s="2644">
        <f>SUM(Q15:Q18)</f>
        <v>0</v>
      </c>
      <c r="R14" s="2644">
        <f t="shared" ref="R14:S14" si="37">SUM(R15:R18)</f>
        <v>0</v>
      </c>
      <c r="S14" s="2644">
        <f t="shared" si="37"/>
        <v>0</v>
      </c>
      <c r="T14" s="4124">
        <f>SUM(T15:T18)</f>
        <v>0</v>
      </c>
      <c r="U14" s="2644">
        <f>SUM(U15:U18)</f>
        <v>246.93353001333656</v>
      </c>
      <c r="V14" s="2644">
        <f t="shared" ref="V14:W14" si="38">SUM(V15:V18)</f>
        <v>183.04143361240381</v>
      </c>
      <c r="W14" s="2644">
        <f t="shared" si="38"/>
        <v>4.8785353796912974</v>
      </c>
      <c r="X14" s="4124">
        <f>SUM(X15:X18)</f>
        <v>425.09642824604913</v>
      </c>
      <c r="Y14" s="4488"/>
      <c r="Z14" s="4504">
        <f t="shared" si="14"/>
        <v>917.60179287198059</v>
      </c>
      <c r="AA14" s="4504">
        <f t="shared" si="15"/>
        <v>351.94656331651504</v>
      </c>
      <c r="AB14" s="4504">
        <f t="shared" si="16"/>
        <v>5.8605628404864962</v>
      </c>
      <c r="AC14" s="4504">
        <f t="shared" si="17"/>
        <v>1263.6877933480089</v>
      </c>
      <c r="AD14" s="4504">
        <f t="shared" si="18"/>
        <v>264.54259536240454</v>
      </c>
      <c r="AE14" s="4504">
        <f t="shared" si="19"/>
        <v>3.7567181106225904</v>
      </c>
      <c r="AF14" s="4504">
        <f t="shared" si="20"/>
        <v>0</v>
      </c>
      <c r="AG14" s="4504">
        <f t="shared" si="21"/>
        <v>268.29931347302715</v>
      </c>
      <c r="AH14" s="4504">
        <f t="shared" si="22"/>
        <v>68.078716854632418</v>
      </c>
      <c r="AI14" s="4504">
        <f t="shared" si="23"/>
        <v>3.2443114844713343</v>
      </c>
      <c r="AJ14" s="4504">
        <f t="shared" si="24"/>
        <v>0</v>
      </c>
      <c r="AK14" s="4504">
        <f t="shared" si="25"/>
        <v>71.323028339103743</v>
      </c>
      <c r="AL14" s="4504">
        <f t="shared" si="26"/>
        <v>0</v>
      </c>
      <c r="AM14" s="4504">
        <f t="shared" si="27"/>
        <v>0</v>
      </c>
      <c r="AN14" s="4504">
        <f t="shared" si="28"/>
        <v>0</v>
      </c>
      <c r="AO14" s="4504">
        <f t="shared" si="29"/>
        <v>0</v>
      </c>
      <c r="AP14" s="4504">
        <f t="shared" si="30"/>
        <v>126.25510909094173</v>
      </c>
      <c r="AQ14" s="4504">
        <f t="shared" si="31"/>
        <v>93.587598928538682</v>
      </c>
      <c r="AR14" s="4504">
        <f t="shared" si="32"/>
        <v>2.4943555317646715</v>
      </c>
      <c r="AS14" s="4504">
        <f t="shared" si="33"/>
        <v>217.34835248771577</v>
      </c>
    </row>
    <row r="15" spans="1:45">
      <c r="A15" s="2553"/>
      <c r="B15" s="2554">
        <v>20301</v>
      </c>
      <c r="C15" s="2560">
        <v>0.1</v>
      </c>
      <c r="D15" s="2561" t="s">
        <v>427</v>
      </c>
      <c r="E15" s="411">
        <v>367.98812155406762</v>
      </c>
      <c r="F15" s="411">
        <v>26.809830000000002</v>
      </c>
      <c r="G15" s="411">
        <v>4.7228080689804521</v>
      </c>
      <c r="H15" s="4453">
        <f t="shared" ref="H15:H19" si="39">+E15+F15-G15</f>
        <v>390.07514348508715</v>
      </c>
      <c r="I15" s="411">
        <v>19.254882665770733</v>
      </c>
      <c r="J15" s="411">
        <v>0</v>
      </c>
      <c r="K15" s="411">
        <v>0</v>
      </c>
      <c r="L15" s="4453">
        <f t="shared" ref="L15:L19" si="40">+I15+J15-K15</f>
        <v>19.254882665770733</v>
      </c>
      <c r="M15" s="411">
        <v>5.1375007135452062</v>
      </c>
      <c r="N15" s="411">
        <v>0</v>
      </c>
      <c r="O15" s="411">
        <v>0</v>
      </c>
      <c r="P15" s="4453">
        <f t="shared" ref="P15:P19" si="41">+M15+N15-O15</f>
        <v>5.1375007135452062</v>
      </c>
      <c r="Q15" s="411"/>
      <c r="R15" s="411"/>
      <c r="S15" s="411"/>
      <c r="T15" s="4453">
        <f t="shared" ref="T15:T19" si="42">+Q15+R15-S15</f>
        <v>0</v>
      </c>
      <c r="U15" s="411">
        <v>18.774992356966905</v>
      </c>
      <c r="V15" s="411">
        <v>0</v>
      </c>
      <c r="W15" s="411">
        <v>4.8425619310195476</v>
      </c>
      <c r="X15" s="4453">
        <f t="shared" ref="X15:X19" si="43">+U15+V15-W15</f>
        <v>13.932430425947357</v>
      </c>
      <c r="Y15" s="4488"/>
      <c r="Z15" s="4504">
        <f t="shared" si="14"/>
        <v>188.14933892724196</v>
      </c>
      <c r="AA15" s="4504">
        <f t="shared" si="15"/>
        <v>13.707648415250816</v>
      </c>
      <c r="AB15" s="4504">
        <f t="shared" si="16"/>
        <v>2.4147334221176955</v>
      </c>
      <c r="AC15" s="4504">
        <f t="shared" si="17"/>
        <v>199.44225392037507</v>
      </c>
      <c r="AD15" s="4504">
        <f t="shared" si="18"/>
        <v>9.8448651803943772</v>
      </c>
      <c r="AE15" s="4504">
        <f t="shared" si="19"/>
        <v>0</v>
      </c>
      <c r="AF15" s="4504">
        <f t="shared" si="20"/>
        <v>0</v>
      </c>
      <c r="AG15" s="4504">
        <f t="shared" si="21"/>
        <v>9.8448651803943772</v>
      </c>
      <c r="AH15" s="4504">
        <f t="shared" si="22"/>
        <v>2.6267624044754432</v>
      </c>
      <c r="AI15" s="4504">
        <f t="shared" si="23"/>
        <v>0</v>
      </c>
      <c r="AJ15" s="4504">
        <f t="shared" si="24"/>
        <v>0</v>
      </c>
      <c r="AK15" s="4504">
        <f t="shared" si="25"/>
        <v>2.6267624044754432</v>
      </c>
      <c r="AL15" s="4504">
        <f t="shared" si="26"/>
        <v>0</v>
      </c>
      <c r="AM15" s="4504">
        <f t="shared" si="27"/>
        <v>0</v>
      </c>
      <c r="AN15" s="4504">
        <f t="shared" si="28"/>
        <v>0</v>
      </c>
      <c r="AO15" s="4504">
        <f t="shared" si="29"/>
        <v>0</v>
      </c>
      <c r="AP15" s="4504">
        <f t="shared" si="30"/>
        <v>9.5995011616382335</v>
      </c>
      <c r="AQ15" s="4504">
        <f t="shared" si="31"/>
        <v>0</v>
      </c>
      <c r="AR15" s="4504">
        <f t="shared" si="32"/>
        <v>2.4759625995201771</v>
      </c>
      <c r="AS15" s="4504">
        <f t="shared" si="33"/>
        <v>7.123538562118056</v>
      </c>
    </row>
    <row r="16" spans="1:45">
      <c r="A16" s="2553"/>
      <c r="B16" s="2554">
        <v>20302</v>
      </c>
      <c r="C16" s="2560">
        <v>0.1</v>
      </c>
      <c r="D16" s="2561" t="s">
        <v>428</v>
      </c>
      <c r="E16" s="411">
        <v>108.91063442354181</v>
      </c>
      <c r="F16" s="411">
        <v>6.439461680620246</v>
      </c>
      <c r="G16" s="411">
        <v>6.69080655132825</v>
      </c>
      <c r="H16" s="4453">
        <f t="shared" si="39"/>
        <v>108.6592895528338</v>
      </c>
      <c r="I16" s="411">
        <v>39.560591406974211</v>
      </c>
      <c r="J16" s="411">
        <v>1.1268001060749886</v>
      </c>
      <c r="K16" s="411">
        <v>0</v>
      </c>
      <c r="L16" s="4453">
        <f t="shared" si="40"/>
        <v>40.687391513049199</v>
      </c>
      <c r="M16" s="411">
        <v>76.960286233201359</v>
      </c>
      <c r="N16" s="411">
        <v>1.3749017950931914</v>
      </c>
      <c r="O16" s="411">
        <v>0</v>
      </c>
      <c r="P16" s="4453">
        <f t="shared" si="41"/>
        <v>78.335188028294553</v>
      </c>
      <c r="Q16" s="411"/>
      <c r="R16" s="411"/>
      <c r="S16" s="411"/>
      <c r="T16" s="4453">
        <f t="shared" si="42"/>
        <v>0</v>
      </c>
      <c r="U16" s="411">
        <v>11.795226285521997</v>
      </c>
      <c r="V16" s="411">
        <v>3.4257364182115744</v>
      </c>
      <c r="W16" s="411">
        <v>3.5973448671749571E-2</v>
      </c>
      <c r="X16" s="4453">
        <f t="shared" si="43"/>
        <v>15.184989255061822</v>
      </c>
      <c r="Y16" s="4488"/>
      <c r="Z16" s="4504">
        <f t="shared" si="14"/>
        <v>55.685123156686323</v>
      </c>
      <c r="AA16" s="4504">
        <f t="shared" si="15"/>
        <v>3.2924444765752883</v>
      </c>
      <c r="AB16" s="4504">
        <f t="shared" si="16"/>
        <v>3.4209550683486039</v>
      </c>
      <c r="AC16" s="4504">
        <f t="shared" si="17"/>
        <v>55.556612564913003</v>
      </c>
      <c r="AD16" s="4504">
        <f t="shared" si="18"/>
        <v>20.2270092017068</v>
      </c>
      <c r="AE16" s="4504">
        <f t="shared" si="19"/>
        <v>0.57612374596717941</v>
      </c>
      <c r="AF16" s="4504">
        <f t="shared" si="20"/>
        <v>0</v>
      </c>
      <c r="AG16" s="4504">
        <f t="shared" si="21"/>
        <v>20.80313294767398</v>
      </c>
      <c r="AH16" s="4504">
        <f t="shared" si="22"/>
        <v>39.349169525572961</v>
      </c>
      <c r="AI16" s="4504">
        <f t="shared" si="23"/>
        <v>0.70297612527325559</v>
      </c>
      <c r="AJ16" s="4504">
        <f t="shared" si="24"/>
        <v>0</v>
      </c>
      <c r="AK16" s="4504">
        <f t="shared" si="25"/>
        <v>40.052145650846214</v>
      </c>
      <c r="AL16" s="4504">
        <f t="shared" si="26"/>
        <v>0</v>
      </c>
      <c r="AM16" s="4504">
        <f t="shared" si="27"/>
        <v>0</v>
      </c>
      <c r="AN16" s="4504">
        <f t="shared" si="28"/>
        <v>0</v>
      </c>
      <c r="AO16" s="4504">
        <f t="shared" si="29"/>
        <v>0</v>
      </c>
      <c r="AP16" s="4504">
        <f t="shared" si="30"/>
        <v>6.0308034366596264</v>
      </c>
      <c r="AQ16" s="4504">
        <f t="shared" si="31"/>
        <v>1.7515512177497914</v>
      </c>
      <c r="AR16" s="4504">
        <f t="shared" si="32"/>
        <v>1.8392932244494446E-2</v>
      </c>
      <c r="AS16" s="4504">
        <f t="shared" si="33"/>
        <v>7.7639617221649235</v>
      </c>
    </row>
    <row r="17" spans="1:46" ht="24">
      <c r="A17" s="2553"/>
      <c r="B17" s="2554">
        <v>20303</v>
      </c>
      <c r="C17" s="2555">
        <v>0.1</v>
      </c>
      <c r="D17" s="2561" t="s">
        <v>406</v>
      </c>
      <c r="E17" s="411">
        <v>1278.6065599752517</v>
      </c>
      <c r="F17" s="411">
        <v>654.48662344989896</v>
      </c>
      <c r="G17" s="411">
        <v>0</v>
      </c>
      <c r="H17" s="4453">
        <f t="shared" si="39"/>
        <v>1933.0931834251505</v>
      </c>
      <c r="I17" s="411">
        <v>458.40965861595879</v>
      </c>
      <c r="J17" s="411">
        <v>5.7777599999999998</v>
      </c>
      <c r="K17" s="411">
        <v>0</v>
      </c>
      <c r="L17" s="4453">
        <f t="shared" si="40"/>
        <v>464.18741861595879</v>
      </c>
      <c r="M17" s="411">
        <v>46.644242263929449</v>
      </c>
      <c r="N17" s="411">
        <v>4.4299499999999998</v>
      </c>
      <c r="O17" s="411">
        <v>0</v>
      </c>
      <c r="P17" s="4453">
        <f t="shared" si="41"/>
        <v>51.074192263929447</v>
      </c>
      <c r="Q17" s="411"/>
      <c r="R17" s="411"/>
      <c r="S17" s="411"/>
      <c r="T17" s="4453">
        <f t="shared" si="42"/>
        <v>0</v>
      </c>
      <c r="U17" s="411">
        <v>214.39750914486007</v>
      </c>
      <c r="V17" s="411">
        <v>179.59037655010107</v>
      </c>
      <c r="W17" s="411">
        <v>0</v>
      </c>
      <c r="X17" s="4453">
        <f t="shared" si="43"/>
        <v>393.98788569496116</v>
      </c>
      <c r="Y17" s="4488"/>
      <c r="Z17" s="4504">
        <f t="shared" si="14"/>
        <v>653.74115335957197</v>
      </c>
      <c r="AA17" s="4504">
        <f t="shared" si="15"/>
        <v>334.63369692145994</v>
      </c>
      <c r="AB17" s="4504">
        <f t="shared" si="16"/>
        <v>0</v>
      </c>
      <c r="AC17" s="4504">
        <f t="shared" si="17"/>
        <v>988.37485028103185</v>
      </c>
      <c r="AD17" s="4504">
        <f t="shared" si="18"/>
        <v>234.38113671226989</v>
      </c>
      <c r="AE17" s="4504">
        <f t="shared" si="19"/>
        <v>2.9541217795002632</v>
      </c>
      <c r="AF17" s="4504">
        <f t="shared" si="20"/>
        <v>0</v>
      </c>
      <c r="AG17" s="4504">
        <f t="shared" si="21"/>
        <v>237.33525849177013</v>
      </c>
      <c r="AH17" s="4504">
        <f t="shared" si="22"/>
        <v>23.848822374096649</v>
      </c>
      <c r="AI17" s="4504">
        <f t="shared" si="23"/>
        <v>2.2649974691051882</v>
      </c>
      <c r="AJ17" s="4504">
        <f t="shared" si="24"/>
        <v>0</v>
      </c>
      <c r="AK17" s="4504">
        <f t="shared" si="25"/>
        <v>26.113819843201838</v>
      </c>
      <c r="AL17" s="4504">
        <f t="shared" si="26"/>
        <v>0</v>
      </c>
      <c r="AM17" s="4504">
        <f t="shared" si="27"/>
        <v>0</v>
      </c>
      <c r="AN17" s="4504">
        <f t="shared" si="28"/>
        <v>0</v>
      </c>
      <c r="AO17" s="4504">
        <f t="shared" si="29"/>
        <v>0</v>
      </c>
      <c r="AP17" s="4504">
        <f t="shared" si="30"/>
        <v>109.61970577445896</v>
      </c>
      <c r="AQ17" s="4504">
        <f t="shared" si="31"/>
        <v>91.823101471038427</v>
      </c>
      <c r="AR17" s="4504">
        <f t="shared" si="32"/>
        <v>0</v>
      </c>
      <c r="AS17" s="4504">
        <f t="shared" si="33"/>
        <v>201.44280724549739</v>
      </c>
    </row>
    <row r="18" spans="1:46" ht="24">
      <c r="A18" s="2553"/>
      <c r="B18" s="2554">
        <v>20306</v>
      </c>
      <c r="C18" s="2555">
        <v>0.1</v>
      </c>
      <c r="D18" s="2561" t="s">
        <v>409</v>
      </c>
      <c r="E18" s="411">
        <v>39.167798599944653</v>
      </c>
      <c r="F18" s="411">
        <v>0.61173180082035017</v>
      </c>
      <c r="G18" s="411">
        <v>4.8649999999999999E-2</v>
      </c>
      <c r="H18" s="4453">
        <f t="shared" si="39"/>
        <v>39.730880400765002</v>
      </c>
      <c r="I18" s="411">
        <v>0.17521159894800881</v>
      </c>
      <c r="J18" s="411">
        <v>0.44294187622399184</v>
      </c>
      <c r="K18" s="411">
        <v>0</v>
      </c>
      <c r="L18" s="4453">
        <f t="shared" si="40"/>
        <v>0.61815347517200059</v>
      </c>
      <c r="M18" s="411">
        <v>4.4083675751196996</v>
      </c>
      <c r="N18" s="411">
        <v>0.54046993558037837</v>
      </c>
      <c r="O18" s="411">
        <v>0</v>
      </c>
      <c r="P18" s="4453">
        <f t="shared" si="41"/>
        <v>4.9488375107000779</v>
      </c>
      <c r="Q18" s="411"/>
      <c r="R18" s="411"/>
      <c r="S18" s="411"/>
      <c r="T18" s="4453">
        <f t="shared" si="42"/>
        <v>0</v>
      </c>
      <c r="U18" s="411">
        <v>1.965802225987614</v>
      </c>
      <c r="V18" s="411">
        <v>2.5320644091142347E-2</v>
      </c>
      <c r="W18" s="411">
        <v>0</v>
      </c>
      <c r="X18" s="4453">
        <f t="shared" si="43"/>
        <v>1.9911228700787564</v>
      </c>
      <c r="Y18" s="4488"/>
      <c r="Z18" s="4504">
        <f t="shared" si="14"/>
        <v>20.026177428480313</v>
      </c>
      <c r="AA18" s="4504">
        <f t="shared" si="15"/>
        <v>0.31277350322898728</v>
      </c>
      <c r="AB18" s="4504">
        <f t="shared" si="16"/>
        <v>2.4874350020196029E-2</v>
      </c>
      <c r="AC18" s="4504">
        <f t="shared" si="17"/>
        <v>20.314076581689104</v>
      </c>
      <c r="AD18" s="4504">
        <f t="shared" si="18"/>
        <v>8.9584268033524803E-2</v>
      </c>
      <c r="AE18" s="4504">
        <f t="shared" si="19"/>
        <v>0.22647258515514734</v>
      </c>
      <c r="AF18" s="4504">
        <f t="shared" si="20"/>
        <v>0</v>
      </c>
      <c r="AG18" s="4504">
        <f t="shared" si="21"/>
        <v>0.3160568531886721</v>
      </c>
      <c r="AH18" s="4504">
        <f t="shared" si="22"/>
        <v>2.2539625504873633</v>
      </c>
      <c r="AI18" s="4504">
        <f t="shared" si="23"/>
        <v>0.27633789009289067</v>
      </c>
      <c r="AJ18" s="4504">
        <f t="shared" si="24"/>
        <v>0</v>
      </c>
      <c r="AK18" s="4504">
        <f t="shared" si="25"/>
        <v>2.5303004405802541</v>
      </c>
      <c r="AL18" s="4504">
        <f t="shared" si="26"/>
        <v>0</v>
      </c>
      <c r="AM18" s="4504">
        <f t="shared" si="27"/>
        <v>0</v>
      </c>
      <c r="AN18" s="4504">
        <f t="shared" si="28"/>
        <v>0</v>
      </c>
      <c r="AO18" s="4504">
        <f t="shared" si="29"/>
        <v>0</v>
      </c>
      <c r="AP18" s="4504">
        <f t="shared" si="30"/>
        <v>1.0050987181849209</v>
      </c>
      <c r="AQ18" s="4504">
        <f t="shared" si="31"/>
        <v>1.2946239750460085E-2</v>
      </c>
      <c r="AR18" s="4504">
        <f t="shared" si="32"/>
        <v>0</v>
      </c>
      <c r="AS18" s="4504">
        <f t="shared" si="33"/>
        <v>1.0180449579353812</v>
      </c>
    </row>
    <row r="19" spans="1:46">
      <c r="A19" s="2553">
        <v>4</v>
      </c>
      <c r="B19" s="2554">
        <v>20403</v>
      </c>
      <c r="C19" s="2560">
        <v>0.04</v>
      </c>
      <c r="D19" s="2563" t="s">
        <v>434</v>
      </c>
      <c r="E19" s="411">
        <v>36.906165638704863</v>
      </c>
      <c r="F19" s="411">
        <v>0</v>
      </c>
      <c r="G19" s="411">
        <v>0</v>
      </c>
      <c r="H19" s="4453">
        <f t="shared" si="39"/>
        <v>36.906165638704863</v>
      </c>
      <c r="I19" s="411">
        <v>6.7179576309725508</v>
      </c>
      <c r="J19" s="411">
        <v>0</v>
      </c>
      <c r="K19" s="411">
        <v>0</v>
      </c>
      <c r="L19" s="4453">
        <f t="shared" si="40"/>
        <v>6.7179576309725508</v>
      </c>
      <c r="M19" s="411">
        <v>10.30584477413398</v>
      </c>
      <c r="N19" s="411">
        <v>0</v>
      </c>
      <c r="O19" s="411">
        <v>0</v>
      </c>
      <c r="P19" s="4453">
        <f t="shared" si="41"/>
        <v>10.30584477413398</v>
      </c>
      <c r="Q19" s="411"/>
      <c r="R19" s="411"/>
      <c r="S19" s="411"/>
      <c r="T19" s="4453">
        <f t="shared" si="42"/>
        <v>0</v>
      </c>
      <c r="U19" s="411">
        <v>0.28555198969367607</v>
      </c>
      <c r="V19" s="411">
        <v>0</v>
      </c>
      <c r="W19" s="411">
        <v>0</v>
      </c>
      <c r="X19" s="4453">
        <f t="shared" si="43"/>
        <v>0.28555198969367607</v>
      </c>
      <c r="Y19" s="4488"/>
      <c r="Z19" s="4504">
        <f t="shared" si="14"/>
        <v>18.869822857152649</v>
      </c>
      <c r="AA19" s="4504">
        <f t="shared" si="15"/>
        <v>0</v>
      </c>
      <c r="AB19" s="4504">
        <f t="shared" si="16"/>
        <v>0</v>
      </c>
      <c r="AC19" s="4504">
        <f t="shared" si="17"/>
        <v>18.869822857152649</v>
      </c>
      <c r="AD19" s="4504">
        <f t="shared" si="18"/>
        <v>3.4348371949364469</v>
      </c>
      <c r="AE19" s="4504">
        <f t="shared" si="19"/>
        <v>0</v>
      </c>
      <c r="AF19" s="4504">
        <f t="shared" si="20"/>
        <v>0</v>
      </c>
      <c r="AG19" s="4504">
        <f t="shared" si="21"/>
        <v>3.4348371949364469</v>
      </c>
      <c r="AH19" s="4504">
        <f t="shared" si="22"/>
        <v>5.26929476188318</v>
      </c>
      <c r="AI19" s="4504">
        <f t="shared" si="23"/>
        <v>0</v>
      </c>
      <c r="AJ19" s="4504">
        <f t="shared" si="24"/>
        <v>0</v>
      </c>
      <c r="AK19" s="4504">
        <f t="shared" si="25"/>
        <v>5.26929476188318</v>
      </c>
      <c r="AL19" s="4504">
        <f t="shared" si="26"/>
        <v>0</v>
      </c>
      <c r="AM19" s="4504">
        <f t="shared" si="27"/>
        <v>0</v>
      </c>
      <c r="AN19" s="4504">
        <f t="shared" si="28"/>
        <v>0</v>
      </c>
      <c r="AO19" s="4504">
        <f t="shared" si="29"/>
        <v>0</v>
      </c>
      <c r="AP19" s="4504">
        <f t="shared" si="30"/>
        <v>0.14600041398980282</v>
      </c>
      <c r="AQ19" s="4504">
        <f t="shared" si="31"/>
        <v>0</v>
      </c>
      <c r="AR19" s="4504">
        <f t="shared" si="32"/>
        <v>0</v>
      </c>
      <c r="AS19" s="4504">
        <f t="shared" si="33"/>
        <v>0.14600041398980282</v>
      </c>
    </row>
    <row r="20" spans="1:46">
      <c r="A20" s="2553">
        <v>5</v>
      </c>
      <c r="B20" s="2554">
        <v>205</v>
      </c>
      <c r="C20" s="2554"/>
      <c r="D20" s="2558" t="s">
        <v>212</v>
      </c>
      <c r="E20" s="2648">
        <f>SUM(E21:E24)</f>
        <v>1767.8830994096229</v>
      </c>
      <c r="F20" s="2648">
        <f t="shared" ref="F20:H20" si="44">SUM(F21:F24)</f>
        <v>200.12713509787073</v>
      </c>
      <c r="G20" s="2648">
        <f t="shared" si="44"/>
        <v>0</v>
      </c>
      <c r="H20" s="4125">
        <f t="shared" si="44"/>
        <v>1968.0102345074936</v>
      </c>
      <c r="I20" s="2648">
        <f>SUM(I21:I24)</f>
        <v>149.40895118197491</v>
      </c>
      <c r="J20" s="2648">
        <f t="shared" ref="J20:L20" si="45">SUM(J21:J24)</f>
        <v>31.651113593385851</v>
      </c>
      <c r="K20" s="2648">
        <f t="shared" si="45"/>
        <v>0</v>
      </c>
      <c r="L20" s="4125">
        <f t="shared" si="45"/>
        <v>181.06006477536076</v>
      </c>
      <c r="M20" s="2648">
        <f>SUM(M21:M24)</f>
        <v>269.655052805617</v>
      </c>
      <c r="N20" s="2648">
        <f t="shared" ref="N20:P20" si="46">SUM(N21:N24)</f>
        <v>38.620135604911496</v>
      </c>
      <c r="O20" s="2648">
        <f t="shared" si="46"/>
        <v>0</v>
      </c>
      <c r="P20" s="4125">
        <f t="shared" si="46"/>
        <v>308.27518841052853</v>
      </c>
      <c r="Q20" s="2648">
        <f>SUM(Q21:Q24)</f>
        <v>0</v>
      </c>
      <c r="R20" s="2648">
        <f t="shared" ref="R20:T20" si="47">SUM(R21:R24)</f>
        <v>0</v>
      </c>
      <c r="S20" s="2648">
        <f t="shared" si="47"/>
        <v>0</v>
      </c>
      <c r="T20" s="4125">
        <f t="shared" si="47"/>
        <v>0</v>
      </c>
      <c r="U20" s="2648">
        <f>SUM(U21:U24)</f>
        <v>184.8043196984319</v>
      </c>
      <c r="V20" s="2648">
        <f t="shared" ref="V20:X20" si="48">SUM(V21:V24)</f>
        <v>1.8093267433155638</v>
      </c>
      <c r="W20" s="2648">
        <f t="shared" si="48"/>
        <v>0</v>
      </c>
      <c r="X20" s="4125">
        <f t="shared" si="48"/>
        <v>186.61364644174745</v>
      </c>
      <c r="Y20" s="4488"/>
      <c r="Z20" s="4504">
        <f t="shared" si="14"/>
        <v>903.90427563214746</v>
      </c>
      <c r="AA20" s="4504">
        <f t="shared" si="15"/>
        <v>102.32337938260009</v>
      </c>
      <c r="AB20" s="4504">
        <f t="shared" si="16"/>
        <v>0</v>
      </c>
      <c r="AC20" s="4504">
        <f t="shared" si="17"/>
        <v>1006.2276550147475</v>
      </c>
      <c r="AD20" s="4504">
        <f t="shared" si="18"/>
        <v>76.391583717385927</v>
      </c>
      <c r="AE20" s="4504">
        <f t="shared" si="19"/>
        <v>16.182957411117457</v>
      </c>
      <c r="AF20" s="4504">
        <f t="shared" si="20"/>
        <v>0</v>
      </c>
      <c r="AG20" s="4504">
        <f t="shared" si="21"/>
        <v>92.574541128503384</v>
      </c>
      <c r="AH20" s="4504">
        <f t="shared" si="22"/>
        <v>137.87243922304955</v>
      </c>
      <c r="AI20" s="4504">
        <f t="shared" si="23"/>
        <v>19.746161785488258</v>
      </c>
      <c r="AJ20" s="4504">
        <f t="shared" si="24"/>
        <v>0</v>
      </c>
      <c r="AK20" s="4504">
        <f t="shared" si="25"/>
        <v>157.61860100853784</v>
      </c>
      <c r="AL20" s="4504">
        <f t="shared" si="26"/>
        <v>0</v>
      </c>
      <c r="AM20" s="4504">
        <f t="shared" si="27"/>
        <v>0</v>
      </c>
      <c r="AN20" s="4504">
        <f t="shared" si="28"/>
        <v>0</v>
      </c>
      <c r="AO20" s="4504">
        <f t="shared" si="29"/>
        <v>0</v>
      </c>
      <c r="AP20" s="4504">
        <f t="shared" si="30"/>
        <v>94.48894827179862</v>
      </c>
      <c r="AQ20" s="4504">
        <f t="shared" si="31"/>
        <v>0.92509407428844215</v>
      </c>
      <c r="AR20" s="4504">
        <f t="shared" si="32"/>
        <v>0</v>
      </c>
      <c r="AS20" s="4504">
        <f t="shared" si="33"/>
        <v>95.414042346087058</v>
      </c>
    </row>
    <row r="21" spans="1:46">
      <c r="A21" s="2564"/>
      <c r="B21" s="2565">
        <v>20501</v>
      </c>
      <c r="C21" s="2560">
        <v>0.08</v>
      </c>
      <c r="D21" s="2566" t="s">
        <v>410</v>
      </c>
      <c r="E21" s="411">
        <v>938.90944030333947</v>
      </c>
      <c r="F21" s="411">
        <v>0</v>
      </c>
      <c r="G21" s="411">
        <v>0</v>
      </c>
      <c r="H21" s="4453">
        <f t="shared" ref="H21:H29" si="49">+E21+F21-G21</f>
        <v>938.90944030333947</v>
      </c>
      <c r="I21" s="411">
        <v>26.271287167938102</v>
      </c>
      <c r="J21" s="411">
        <v>0</v>
      </c>
      <c r="K21" s="411">
        <v>0</v>
      </c>
      <c r="L21" s="4453">
        <f t="shared" ref="L21:L29" si="50">+I21+J21-K21</f>
        <v>26.271287167938102</v>
      </c>
      <c r="M21" s="411">
        <v>40.302101091142511</v>
      </c>
      <c r="N21" s="411">
        <v>0</v>
      </c>
      <c r="O21" s="411">
        <v>0</v>
      </c>
      <c r="P21" s="4453">
        <f t="shared" ref="P21:P29" si="51">+M21+N21-O21</f>
        <v>40.302101091142511</v>
      </c>
      <c r="Q21" s="411"/>
      <c r="R21" s="411"/>
      <c r="S21" s="411"/>
      <c r="T21" s="4453">
        <f t="shared" ref="T21:T29" si="52">+Q21+R21-S21</f>
        <v>0</v>
      </c>
      <c r="U21" s="411">
        <v>108.70676143757984</v>
      </c>
      <c r="V21" s="411">
        <v>0</v>
      </c>
      <c r="W21" s="411">
        <v>0</v>
      </c>
      <c r="X21" s="4453">
        <f t="shared" ref="X21:X29" si="53">+U21+V21-W21</f>
        <v>108.70676143757984</v>
      </c>
      <c r="Y21" s="4488"/>
      <c r="Z21" s="4504">
        <f t="shared" si="14"/>
        <v>480.05677400558307</v>
      </c>
      <c r="AA21" s="4504">
        <f t="shared" si="15"/>
        <v>0</v>
      </c>
      <c r="AB21" s="4504">
        <f t="shared" si="16"/>
        <v>0</v>
      </c>
      <c r="AC21" s="4504">
        <f t="shared" si="17"/>
        <v>480.05677400558307</v>
      </c>
      <c r="AD21" s="4504">
        <f t="shared" si="18"/>
        <v>13.432295837541147</v>
      </c>
      <c r="AE21" s="4504">
        <f t="shared" si="19"/>
        <v>0</v>
      </c>
      <c r="AF21" s="4504">
        <f t="shared" si="20"/>
        <v>0</v>
      </c>
      <c r="AG21" s="4504">
        <f t="shared" si="21"/>
        <v>13.432295837541147</v>
      </c>
      <c r="AH21" s="4504">
        <f t="shared" si="22"/>
        <v>20.606137083050424</v>
      </c>
      <c r="AI21" s="4504">
        <f t="shared" si="23"/>
        <v>0</v>
      </c>
      <c r="AJ21" s="4504">
        <f t="shared" si="24"/>
        <v>0</v>
      </c>
      <c r="AK21" s="4504">
        <f t="shared" si="25"/>
        <v>20.606137083050424</v>
      </c>
      <c r="AL21" s="4504">
        <f t="shared" si="26"/>
        <v>0</v>
      </c>
      <c r="AM21" s="4504">
        <f t="shared" si="27"/>
        <v>0</v>
      </c>
      <c r="AN21" s="4504">
        <f t="shared" si="28"/>
        <v>0</v>
      </c>
      <c r="AO21" s="4504">
        <f t="shared" si="29"/>
        <v>0</v>
      </c>
      <c r="AP21" s="4504">
        <f t="shared" si="30"/>
        <v>55.58088455416874</v>
      </c>
      <c r="AQ21" s="4504">
        <f t="shared" si="31"/>
        <v>0</v>
      </c>
      <c r="AR21" s="4504">
        <f t="shared" si="32"/>
        <v>0</v>
      </c>
      <c r="AS21" s="4504">
        <f t="shared" si="33"/>
        <v>55.58088455416874</v>
      </c>
    </row>
    <row r="22" spans="1:46">
      <c r="A22" s="2564"/>
      <c r="B22" s="2565">
        <v>20502</v>
      </c>
      <c r="C22" s="2560">
        <v>0.1</v>
      </c>
      <c r="D22" s="2566" t="s">
        <v>411</v>
      </c>
      <c r="E22" s="411">
        <v>748.24863166252851</v>
      </c>
      <c r="F22" s="411">
        <v>192.02713509787074</v>
      </c>
      <c r="G22" s="411">
        <v>0</v>
      </c>
      <c r="H22" s="4453">
        <f t="shared" si="49"/>
        <v>940.27576676039928</v>
      </c>
      <c r="I22" s="411">
        <v>79.222225113322963</v>
      </c>
      <c r="J22" s="411">
        <v>31.651113593385851</v>
      </c>
      <c r="K22" s="411">
        <v>0</v>
      </c>
      <c r="L22" s="4453">
        <f t="shared" si="50"/>
        <v>110.87333870670881</v>
      </c>
      <c r="M22" s="411">
        <v>92.956644518807209</v>
      </c>
      <c r="N22" s="411">
        <v>38.620135604911496</v>
      </c>
      <c r="O22" s="411">
        <v>0</v>
      </c>
      <c r="P22" s="4453">
        <f t="shared" si="51"/>
        <v>131.57678012371872</v>
      </c>
      <c r="Q22" s="411"/>
      <c r="R22" s="411"/>
      <c r="S22" s="411"/>
      <c r="T22" s="4453">
        <f t="shared" si="52"/>
        <v>0</v>
      </c>
      <c r="U22" s="411">
        <v>25.614061379730256</v>
      </c>
      <c r="V22" s="411">
        <v>1.8093267433155638</v>
      </c>
      <c r="W22" s="411">
        <v>0</v>
      </c>
      <c r="X22" s="4453">
        <f t="shared" si="53"/>
        <v>27.423388123045818</v>
      </c>
      <c r="Y22" s="4488"/>
      <c r="Z22" s="4504">
        <f t="shared" si="14"/>
        <v>382.57345048523058</v>
      </c>
      <c r="AA22" s="4504">
        <f t="shared" si="15"/>
        <v>98.181915144910732</v>
      </c>
      <c r="AB22" s="4504">
        <f t="shared" si="16"/>
        <v>0</v>
      </c>
      <c r="AC22" s="4504">
        <f t="shared" si="17"/>
        <v>480.75536563014134</v>
      </c>
      <c r="AD22" s="4504">
        <f t="shared" si="18"/>
        <v>40.5056805107412</v>
      </c>
      <c r="AE22" s="4504">
        <f t="shared" si="19"/>
        <v>16.182957411117457</v>
      </c>
      <c r="AF22" s="4504">
        <f t="shared" si="20"/>
        <v>0</v>
      </c>
      <c r="AG22" s="4504">
        <f t="shared" si="21"/>
        <v>56.68863792185865</v>
      </c>
      <c r="AH22" s="4504">
        <f t="shared" si="22"/>
        <v>47.527977645709093</v>
      </c>
      <c r="AI22" s="4504">
        <f t="shared" si="23"/>
        <v>19.746161785488258</v>
      </c>
      <c r="AJ22" s="4504">
        <f t="shared" si="24"/>
        <v>0</v>
      </c>
      <c r="AK22" s="4504">
        <f t="shared" si="25"/>
        <v>67.274139431197355</v>
      </c>
      <c r="AL22" s="4504">
        <f t="shared" si="26"/>
        <v>0</v>
      </c>
      <c r="AM22" s="4504">
        <f t="shared" si="27"/>
        <v>0</v>
      </c>
      <c r="AN22" s="4504">
        <f t="shared" si="28"/>
        <v>0</v>
      </c>
      <c r="AO22" s="4504">
        <f t="shared" si="29"/>
        <v>0</v>
      </c>
      <c r="AP22" s="4504">
        <f t="shared" si="30"/>
        <v>13.09626162791769</v>
      </c>
      <c r="AQ22" s="4504">
        <f t="shared" si="31"/>
        <v>0.92509407428844215</v>
      </c>
      <c r="AR22" s="4504">
        <f t="shared" si="32"/>
        <v>0</v>
      </c>
      <c r="AS22" s="4504">
        <f t="shared" si="33"/>
        <v>14.021355702206131</v>
      </c>
    </row>
    <row r="23" spans="1:46">
      <c r="A23" s="2564"/>
      <c r="B23" s="2565">
        <v>20503</v>
      </c>
      <c r="C23" s="2560">
        <v>0.1</v>
      </c>
      <c r="D23" s="2561" t="s">
        <v>412</v>
      </c>
      <c r="E23" s="411">
        <v>59.87762592081112</v>
      </c>
      <c r="F23" s="411">
        <v>8.1</v>
      </c>
      <c r="G23" s="411">
        <v>0</v>
      </c>
      <c r="H23" s="4453">
        <f t="shared" si="49"/>
        <v>67.977625920811121</v>
      </c>
      <c r="I23" s="411">
        <v>39.395234256175527</v>
      </c>
      <c r="J23" s="411">
        <v>0</v>
      </c>
      <c r="K23" s="411">
        <v>0</v>
      </c>
      <c r="L23" s="4453">
        <f t="shared" si="50"/>
        <v>39.395234256175527</v>
      </c>
      <c r="M23" s="411">
        <v>99.349538345607613</v>
      </c>
      <c r="N23" s="411">
        <v>0</v>
      </c>
      <c r="O23" s="411">
        <v>0</v>
      </c>
      <c r="P23" s="4453">
        <f t="shared" si="51"/>
        <v>99.349538345607613</v>
      </c>
      <c r="Q23" s="411"/>
      <c r="R23" s="411"/>
      <c r="S23" s="411"/>
      <c r="T23" s="4453">
        <f t="shared" si="52"/>
        <v>0</v>
      </c>
      <c r="U23" s="411">
        <v>34.631171898663474</v>
      </c>
      <c r="V23" s="411">
        <v>0</v>
      </c>
      <c r="W23" s="411">
        <v>0</v>
      </c>
      <c r="X23" s="4453">
        <f t="shared" si="53"/>
        <v>34.631171898663474</v>
      </c>
      <c r="Y23" s="4488"/>
      <c r="Z23" s="4504">
        <f t="shared" si="14"/>
        <v>30.614943998614972</v>
      </c>
      <c r="AA23" s="4504">
        <f t="shared" si="15"/>
        <v>4.1414642376893696</v>
      </c>
      <c r="AB23" s="4504">
        <f t="shared" si="16"/>
        <v>0</v>
      </c>
      <c r="AC23" s="4504">
        <f t="shared" si="17"/>
        <v>34.756408236304345</v>
      </c>
      <c r="AD23" s="4504">
        <f t="shared" si="18"/>
        <v>20.142463433005695</v>
      </c>
      <c r="AE23" s="4504">
        <f t="shared" si="19"/>
        <v>0</v>
      </c>
      <c r="AF23" s="4504">
        <f t="shared" si="20"/>
        <v>0</v>
      </c>
      <c r="AG23" s="4504">
        <f t="shared" si="21"/>
        <v>20.142463433005695</v>
      </c>
      <c r="AH23" s="4504">
        <f t="shared" si="22"/>
        <v>50.796612356701559</v>
      </c>
      <c r="AI23" s="4504">
        <f t="shared" si="23"/>
        <v>0</v>
      </c>
      <c r="AJ23" s="4504">
        <f t="shared" si="24"/>
        <v>0</v>
      </c>
      <c r="AK23" s="4504">
        <f t="shared" si="25"/>
        <v>50.796612356701559</v>
      </c>
      <c r="AL23" s="4504">
        <f t="shared" si="26"/>
        <v>0</v>
      </c>
      <c r="AM23" s="4504">
        <f t="shared" si="27"/>
        <v>0</v>
      </c>
      <c r="AN23" s="4504">
        <f t="shared" si="28"/>
        <v>0</v>
      </c>
      <c r="AO23" s="4504">
        <f t="shared" si="29"/>
        <v>0</v>
      </c>
      <c r="AP23" s="4504">
        <f t="shared" si="30"/>
        <v>17.706637028097266</v>
      </c>
      <c r="AQ23" s="4504">
        <f t="shared" si="31"/>
        <v>0</v>
      </c>
      <c r="AR23" s="4504">
        <f t="shared" si="32"/>
        <v>0</v>
      </c>
      <c r="AS23" s="4504">
        <f t="shared" si="33"/>
        <v>17.706637028097266</v>
      </c>
    </row>
    <row r="24" spans="1:46">
      <c r="A24" s="2564"/>
      <c r="B24" s="2565">
        <v>20504</v>
      </c>
      <c r="C24" s="2560">
        <v>0.1</v>
      </c>
      <c r="D24" s="2561" t="s">
        <v>557</v>
      </c>
      <c r="E24" s="411">
        <v>20.847401522943674</v>
      </c>
      <c r="F24" s="411">
        <v>0</v>
      </c>
      <c r="G24" s="411">
        <v>0</v>
      </c>
      <c r="H24" s="4453">
        <f t="shared" si="49"/>
        <v>20.847401522943674</v>
      </c>
      <c r="I24" s="411">
        <v>4.5202046445383308</v>
      </c>
      <c r="J24" s="411">
        <v>0</v>
      </c>
      <c r="K24" s="411">
        <v>0</v>
      </c>
      <c r="L24" s="4453">
        <f t="shared" si="50"/>
        <v>4.5202046445383308</v>
      </c>
      <c r="M24" s="411">
        <v>37.046768850059678</v>
      </c>
      <c r="N24" s="411">
        <v>0</v>
      </c>
      <c r="O24" s="411">
        <v>0</v>
      </c>
      <c r="P24" s="4453">
        <f t="shared" si="51"/>
        <v>37.046768850059678</v>
      </c>
      <c r="Q24" s="411"/>
      <c r="R24" s="411"/>
      <c r="S24" s="411"/>
      <c r="T24" s="4453">
        <f t="shared" si="52"/>
        <v>0</v>
      </c>
      <c r="U24" s="411">
        <v>15.852324982458322</v>
      </c>
      <c r="V24" s="411">
        <v>0</v>
      </c>
      <c r="W24" s="411">
        <v>0</v>
      </c>
      <c r="X24" s="4453">
        <f t="shared" si="53"/>
        <v>15.852324982458322</v>
      </c>
      <c r="Y24" s="4488"/>
      <c r="Z24" s="4504">
        <f t="shared" si="14"/>
        <v>10.659107142718781</v>
      </c>
      <c r="AA24" s="4504">
        <f t="shared" si="15"/>
        <v>0</v>
      </c>
      <c r="AB24" s="4504">
        <f t="shared" si="16"/>
        <v>0</v>
      </c>
      <c r="AC24" s="4504">
        <f t="shared" si="17"/>
        <v>10.659107142718781</v>
      </c>
      <c r="AD24" s="4504">
        <f t="shared" si="18"/>
        <v>2.3111439360978872</v>
      </c>
      <c r="AE24" s="4504">
        <f t="shared" si="19"/>
        <v>0</v>
      </c>
      <c r="AF24" s="4504">
        <f t="shared" si="20"/>
        <v>0</v>
      </c>
      <c r="AG24" s="4504">
        <f t="shared" si="21"/>
        <v>2.3111439360978872</v>
      </c>
      <c r="AH24" s="4504">
        <f t="shared" si="22"/>
        <v>18.941712137588482</v>
      </c>
      <c r="AI24" s="4504">
        <f t="shared" si="23"/>
        <v>0</v>
      </c>
      <c r="AJ24" s="4504">
        <f t="shared" si="24"/>
        <v>0</v>
      </c>
      <c r="AK24" s="4504">
        <f t="shared" si="25"/>
        <v>18.941712137588482</v>
      </c>
      <c r="AL24" s="4504">
        <f t="shared" si="26"/>
        <v>0</v>
      </c>
      <c r="AM24" s="4504">
        <f t="shared" si="27"/>
        <v>0</v>
      </c>
      <c r="AN24" s="4504">
        <f t="shared" si="28"/>
        <v>0</v>
      </c>
      <c r="AO24" s="4504">
        <f t="shared" si="29"/>
        <v>0</v>
      </c>
      <c r="AP24" s="4504">
        <f t="shared" si="30"/>
        <v>8.105165061614926</v>
      </c>
      <c r="AQ24" s="4504">
        <f t="shared" si="31"/>
        <v>0</v>
      </c>
      <c r="AR24" s="4504">
        <f t="shared" si="32"/>
        <v>0</v>
      </c>
      <c r="AS24" s="4504">
        <f t="shared" si="33"/>
        <v>8.105165061614926</v>
      </c>
    </row>
    <row r="25" spans="1:46">
      <c r="A25" s="2564">
        <v>6</v>
      </c>
      <c r="B25" s="2565">
        <v>208</v>
      </c>
      <c r="C25" s="2560">
        <v>0.2</v>
      </c>
      <c r="D25" s="2567" t="s">
        <v>413</v>
      </c>
      <c r="E25" s="411">
        <v>83.359158666762895</v>
      </c>
      <c r="F25" s="411">
        <v>2.08</v>
      </c>
      <c r="G25" s="411">
        <v>30.866879927935145</v>
      </c>
      <c r="H25" s="4453">
        <f t="shared" si="49"/>
        <v>54.572278738827748</v>
      </c>
      <c r="I25" s="411">
        <v>42.543972090829072</v>
      </c>
      <c r="J25" s="411">
        <v>0</v>
      </c>
      <c r="K25" s="411">
        <v>17.843105652332582</v>
      </c>
      <c r="L25" s="4453">
        <f t="shared" si="50"/>
        <v>24.70086643849649</v>
      </c>
      <c r="M25" s="411">
        <v>67.788935490235659</v>
      </c>
      <c r="N25" s="411">
        <v>0</v>
      </c>
      <c r="O25" s="411">
        <v>21.771845653160504</v>
      </c>
      <c r="P25" s="4453">
        <f t="shared" si="51"/>
        <v>46.017089837075154</v>
      </c>
      <c r="Q25" s="411"/>
      <c r="R25" s="411"/>
      <c r="S25" s="411"/>
      <c r="T25" s="4453">
        <f t="shared" si="52"/>
        <v>0</v>
      </c>
      <c r="U25" s="411">
        <v>2.2693977040927771</v>
      </c>
      <c r="V25" s="411">
        <v>0</v>
      </c>
      <c r="W25" s="411">
        <v>0.98074932816126481</v>
      </c>
      <c r="X25" s="4453">
        <f t="shared" si="53"/>
        <v>1.2886483759315124</v>
      </c>
      <c r="Y25" s="4488"/>
      <c r="Z25" s="4504">
        <f t="shared" si="14"/>
        <v>42.620861049663262</v>
      </c>
      <c r="AA25" s="4504">
        <f t="shared" si="15"/>
        <v>1.0634871128881345</v>
      </c>
      <c r="AB25" s="4504">
        <f t="shared" si="16"/>
        <v>15.781985105011758</v>
      </c>
      <c r="AC25" s="4504">
        <f t="shared" si="17"/>
        <v>27.902363057539638</v>
      </c>
      <c r="AD25" s="4504">
        <f t="shared" si="18"/>
        <v>21.752387523879413</v>
      </c>
      <c r="AE25" s="4504">
        <f t="shared" si="19"/>
        <v>0</v>
      </c>
      <c r="AF25" s="4504">
        <f t="shared" si="20"/>
        <v>9.1230350553640047</v>
      </c>
      <c r="AG25" s="4504">
        <f t="shared" si="21"/>
        <v>12.629352468515409</v>
      </c>
      <c r="AH25" s="4504">
        <f t="shared" si="22"/>
        <v>34.65993235109169</v>
      </c>
      <c r="AI25" s="4504">
        <f t="shared" si="23"/>
        <v>0</v>
      </c>
      <c r="AJ25" s="4504">
        <f t="shared" si="24"/>
        <v>11.131767921118147</v>
      </c>
      <c r="AK25" s="4504">
        <f t="shared" si="25"/>
        <v>23.528164429973543</v>
      </c>
      <c r="AL25" s="4504">
        <f t="shared" si="26"/>
        <v>0</v>
      </c>
      <c r="AM25" s="4504">
        <f t="shared" si="27"/>
        <v>0</v>
      </c>
      <c r="AN25" s="4504">
        <f t="shared" si="28"/>
        <v>0</v>
      </c>
      <c r="AO25" s="4504">
        <f t="shared" si="29"/>
        <v>0</v>
      </c>
      <c r="AP25" s="4504">
        <f t="shared" si="30"/>
        <v>1.1603246213079752</v>
      </c>
      <c r="AQ25" s="4504">
        <f t="shared" si="31"/>
        <v>0</v>
      </c>
      <c r="AR25" s="4504">
        <f t="shared" si="32"/>
        <v>0.50144916897750047</v>
      </c>
      <c r="AS25" s="4504">
        <f t="shared" si="33"/>
        <v>0.65887545233047473</v>
      </c>
    </row>
    <row r="26" spans="1:46">
      <c r="A26" s="2564">
        <v>7</v>
      </c>
      <c r="B26" s="2568">
        <v>20601</v>
      </c>
      <c r="C26" s="2560">
        <v>0.1</v>
      </c>
      <c r="D26" s="2567" t="s">
        <v>564</v>
      </c>
      <c r="E26" s="411">
        <v>5.9586721528813644</v>
      </c>
      <c r="F26" s="411">
        <v>1.4268779796955062</v>
      </c>
      <c r="G26" s="411">
        <v>2.435E-2</v>
      </c>
      <c r="H26" s="4453">
        <f t="shared" si="49"/>
        <v>7.3612001325768706</v>
      </c>
      <c r="I26" s="411">
        <v>0.78545589293704854</v>
      </c>
      <c r="J26" s="411">
        <v>0.2487557234971644</v>
      </c>
      <c r="K26" s="411">
        <v>0</v>
      </c>
      <c r="L26" s="4453">
        <f t="shared" si="50"/>
        <v>1.034211616434213</v>
      </c>
      <c r="M26" s="411">
        <v>2.665473585888984</v>
      </c>
      <c r="N26" s="411">
        <v>0.30352738603061136</v>
      </c>
      <c r="O26" s="411">
        <v>0</v>
      </c>
      <c r="P26" s="4453">
        <f t="shared" si="51"/>
        <v>2.9690009719195953</v>
      </c>
      <c r="Q26" s="411"/>
      <c r="R26" s="411"/>
      <c r="S26" s="411"/>
      <c r="T26" s="4453">
        <f t="shared" si="52"/>
        <v>0</v>
      </c>
      <c r="U26" s="411">
        <v>1.1721576928380478E-2</v>
      </c>
      <c r="V26" s="411">
        <v>1.4220048901226806E-2</v>
      </c>
      <c r="W26" s="411">
        <v>0</v>
      </c>
      <c r="X26" s="4453">
        <f t="shared" si="53"/>
        <v>2.5941625829607282E-2</v>
      </c>
      <c r="Y26" s="4488"/>
      <c r="Z26" s="4504">
        <f t="shared" si="14"/>
        <v>3.0466206944782339</v>
      </c>
      <c r="AA26" s="4504">
        <f t="shared" si="15"/>
        <v>0.72955112647597509</v>
      </c>
      <c r="AB26" s="4504">
        <f t="shared" si="16"/>
        <v>1.244995730712792E-2</v>
      </c>
      <c r="AC26" s="4504">
        <f t="shared" si="17"/>
        <v>3.7637218636470813</v>
      </c>
      <c r="AD26" s="4504">
        <f t="shared" si="18"/>
        <v>0.40159722109643914</v>
      </c>
      <c r="AE26" s="4504">
        <f t="shared" si="19"/>
        <v>0.12718678182519155</v>
      </c>
      <c r="AF26" s="4504">
        <f t="shared" si="20"/>
        <v>0</v>
      </c>
      <c r="AG26" s="4504">
        <f t="shared" si="21"/>
        <v>0.52878400292163075</v>
      </c>
      <c r="AH26" s="4504">
        <f t="shared" si="22"/>
        <v>1.3628350040080088</v>
      </c>
      <c r="AI26" s="4504">
        <f t="shared" si="23"/>
        <v>0.1551910881981621</v>
      </c>
      <c r="AJ26" s="4504">
        <f t="shared" si="24"/>
        <v>0</v>
      </c>
      <c r="AK26" s="4504">
        <f t="shared" si="25"/>
        <v>1.518026092206171</v>
      </c>
      <c r="AL26" s="4504">
        <f t="shared" si="26"/>
        <v>0</v>
      </c>
      <c r="AM26" s="4504">
        <f t="shared" si="27"/>
        <v>0</v>
      </c>
      <c r="AN26" s="4504">
        <f t="shared" si="28"/>
        <v>0</v>
      </c>
      <c r="AO26" s="4504">
        <f t="shared" si="29"/>
        <v>0</v>
      </c>
      <c r="AP26" s="4504">
        <f t="shared" si="30"/>
        <v>5.9931471182978471E-3</v>
      </c>
      <c r="AQ26" s="4504">
        <f t="shared" si="31"/>
        <v>7.2705955534104732E-3</v>
      </c>
      <c r="AR26" s="4504">
        <f t="shared" si="32"/>
        <v>0</v>
      </c>
      <c r="AS26" s="4504">
        <f t="shared" si="33"/>
        <v>1.3263742671708319E-2</v>
      </c>
    </row>
    <row r="27" spans="1:46">
      <c r="A27" s="2569">
        <v>8</v>
      </c>
      <c r="B27" s="2568">
        <v>20602</v>
      </c>
      <c r="C27" s="2560">
        <v>0.1</v>
      </c>
      <c r="D27" s="2567" t="s">
        <v>435</v>
      </c>
      <c r="E27" s="411">
        <v>40.739619527942992</v>
      </c>
      <c r="F27" s="411">
        <v>0</v>
      </c>
      <c r="G27" s="411">
        <v>0.47658339736338928</v>
      </c>
      <c r="H27" s="4453">
        <f t="shared" si="49"/>
        <v>40.2630361305796</v>
      </c>
      <c r="I27" s="411">
        <v>7.4749984170938264</v>
      </c>
      <c r="J27" s="411">
        <v>0</v>
      </c>
      <c r="K27" s="411">
        <v>0</v>
      </c>
      <c r="L27" s="4453">
        <f t="shared" si="50"/>
        <v>7.4749984170938264</v>
      </c>
      <c r="M27" s="411">
        <v>8.2271920678083177</v>
      </c>
      <c r="N27" s="411">
        <v>0</v>
      </c>
      <c r="O27" s="411">
        <v>0</v>
      </c>
      <c r="P27" s="4453">
        <f t="shared" si="51"/>
        <v>8.2271920678083177</v>
      </c>
      <c r="Q27" s="411"/>
      <c r="R27" s="411"/>
      <c r="S27" s="411"/>
      <c r="T27" s="4453">
        <f t="shared" si="52"/>
        <v>0</v>
      </c>
      <c r="U27" s="411">
        <v>0.31091847458954025</v>
      </c>
      <c r="V27" s="411">
        <v>0</v>
      </c>
      <c r="W27" s="411">
        <v>2.8266026366107473E-3</v>
      </c>
      <c r="X27" s="4453">
        <f t="shared" si="53"/>
        <v>0.30809187195292953</v>
      </c>
      <c r="Y27" s="4488"/>
      <c r="Z27" s="4504">
        <f t="shared" si="14"/>
        <v>20.829836707660171</v>
      </c>
      <c r="AA27" s="4504">
        <f t="shared" si="15"/>
        <v>0</v>
      </c>
      <c r="AB27" s="4504">
        <f t="shared" si="16"/>
        <v>0.24367322178481224</v>
      </c>
      <c r="AC27" s="4504">
        <f t="shared" si="17"/>
        <v>20.586163485875357</v>
      </c>
      <c r="AD27" s="4504">
        <f t="shared" si="18"/>
        <v>3.8219060026146581</v>
      </c>
      <c r="AE27" s="4504">
        <f t="shared" si="19"/>
        <v>0</v>
      </c>
      <c r="AF27" s="4504">
        <f t="shared" si="20"/>
        <v>0</v>
      </c>
      <c r="AG27" s="4504">
        <f t="shared" si="21"/>
        <v>3.8219060026146581</v>
      </c>
      <c r="AH27" s="4504">
        <f t="shared" si="22"/>
        <v>4.2064965093123217</v>
      </c>
      <c r="AI27" s="4504">
        <f t="shared" si="23"/>
        <v>0</v>
      </c>
      <c r="AJ27" s="4504">
        <f t="shared" si="24"/>
        <v>0</v>
      </c>
      <c r="AK27" s="4504">
        <f t="shared" si="25"/>
        <v>4.2064965093123217</v>
      </c>
      <c r="AL27" s="4504">
        <f t="shared" si="26"/>
        <v>0</v>
      </c>
      <c r="AM27" s="4504">
        <f t="shared" si="27"/>
        <v>0</v>
      </c>
      <c r="AN27" s="4504">
        <f t="shared" si="28"/>
        <v>0</v>
      </c>
      <c r="AO27" s="4504">
        <f t="shared" si="29"/>
        <v>0</v>
      </c>
      <c r="AP27" s="4504">
        <f t="shared" si="30"/>
        <v>0.1589700917715447</v>
      </c>
      <c r="AQ27" s="4504">
        <f t="shared" si="31"/>
        <v>0</v>
      </c>
      <c r="AR27" s="4504">
        <f t="shared" si="32"/>
        <v>1.4452189794669002E-3</v>
      </c>
      <c r="AS27" s="4504">
        <f t="shared" si="33"/>
        <v>0.1575248727920778</v>
      </c>
    </row>
    <row r="28" spans="1:46">
      <c r="A28" s="2569">
        <v>9</v>
      </c>
      <c r="B28" s="2565">
        <v>20603</v>
      </c>
      <c r="C28" s="2560">
        <v>0.5</v>
      </c>
      <c r="D28" s="2567" t="s">
        <v>1015</v>
      </c>
      <c r="E28" s="411">
        <v>0</v>
      </c>
      <c r="F28" s="411">
        <v>0</v>
      </c>
      <c r="G28" s="411">
        <v>0</v>
      </c>
      <c r="H28" s="4453">
        <f t="shared" si="49"/>
        <v>0</v>
      </c>
      <c r="I28" s="411">
        <v>0</v>
      </c>
      <c r="J28" s="411">
        <v>0</v>
      </c>
      <c r="K28" s="411">
        <v>0</v>
      </c>
      <c r="L28" s="4453">
        <f t="shared" si="50"/>
        <v>0</v>
      </c>
      <c r="M28" s="411">
        <v>0</v>
      </c>
      <c r="N28" s="411">
        <v>0</v>
      </c>
      <c r="O28" s="411">
        <v>0</v>
      </c>
      <c r="P28" s="4453">
        <f t="shared" si="51"/>
        <v>0</v>
      </c>
      <c r="Q28" s="411"/>
      <c r="R28" s="411"/>
      <c r="S28" s="411"/>
      <c r="T28" s="4453">
        <f t="shared" si="52"/>
        <v>0</v>
      </c>
      <c r="U28" s="411">
        <v>0</v>
      </c>
      <c r="V28" s="411">
        <v>0</v>
      </c>
      <c r="W28" s="411">
        <v>0</v>
      </c>
      <c r="X28" s="4453">
        <f t="shared" si="53"/>
        <v>0</v>
      </c>
      <c r="Y28" s="4488"/>
      <c r="Z28" s="4504">
        <f t="shared" si="14"/>
        <v>0</v>
      </c>
      <c r="AA28" s="4504">
        <f t="shared" si="15"/>
        <v>0</v>
      </c>
      <c r="AB28" s="4504">
        <f t="shared" si="16"/>
        <v>0</v>
      </c>
      <c r="AC28" s="4504">
        <f t="shared" si="17"/>
        <v>0</v>
      </c>
      <c r="AD28" s="4504">
        <f t="shared" si="18"/>
        <v>0</v>
      </c>
      <c r="AE28" s="4504">
        <f t="shared" si="19"/>
        <v>0</v>
      </c>
      <c r="AF28" s="4504">
        <f t="shared" si="20"/>
        <v>0</v>
      </c>
      <c r="AG28" s="4504">
        <f t="shared" si="21"/>
        <v>0</v>
      </c>
      <c r="AH28" s="4504">
        <f t="shared" si="22"/>
        <v>0</v>
      </c>
      <c r="AI28" s="4504">
        <f t="shared" si="23"/>
        <v>0</v>
      </c>
      <c r="AJ28" s="4504">
        <f t="shared" si="24"/>
        <v>0</v>
      </c>
      <c r="AK28" s="4504">
        <f t="shared" si="25"/>
        <v>0</v>
      </c>
      <c r="AL28" s="4504">
        <f t="shared" si="26"/>
        <v>0</v>
      </c>
      <c r="AM28" s="4504">
        <f t="shared" si="27"/>
        <v>0</v>
      </c>
      <c r="AN28" s="4504">
        <f t="shared" si="28"/>
        <v>0</v>
      </c>
      <c r="AO28" s="4504">
        <f t="shared" si="29"/>
        <v>0</v>
      </c>
      <c r="AP28" s="4504">
        <f t="shared" si="30"/>
        <v>0</v>
      </c>
      <c r="AQ28" s="4504">
        <f t="shared" si="31"/>
        <v>0</v>
      </c>
      <c r="AR28" s="4504">
        <f t="shared" si="32"/>
        <v>0</v>
      </c>
      <c r="AS28" s="4504">
        <f t="shared" si="33"/>
        <v>0</v>
      </c>
    </row>
    <row r="29" spans="1:46">
      <c r="A29" s="2569">
        <v>10</v>
      </c>
      <c r="B29" s="2565">
        <v>209</v>
      </c>
      <c r="C29" s="2560">
        <v>0.1</v>
      </c>
      <c r="D29" s="2567" t="s">
        <v>213</v>
      </c>
      <c r="E29" s="411">
        <v>0</v>
      </c>
      <c r="F29" s="411">
        <v>0</v>
      </c>
      <c r="G29" s="411">
        <v>0</v>
      </c>
      <c r="H29" s="4453">
        <f t="shared" si="49"/>
        <v>0</v>
      </c>
      <c r="I29" s="411">
        <v>0</v>
      </c>
      <c r="J29" s="411">
        <v>0</v>
      </c>
      <c r="K29" s="411">
        <v>0</v>
      </c>
      <c r="L29" s="4453">
        <f t="shared" si="50"/>
        <v>0</v>
      </c>
      <c r="M29" s="411">
        <v>0</v>
      </c>
      <c r="N29" s="411">
        <v>0</v>
      </c>
      <c r="O29" s="411">
        <v>0</v>
      </c>
      <c r="P29" s="4453">
        <f t="shared" si="51"/>
        <v>0</v>
      </c>
      <c r="Q29" s="411"/>
      <c r="R29" s="411"/>
      <c r="S29" s="411"/>
      <c r="T29" s="4453">
        <f t="shared" si="52"/>
        <v>0</v>
      </c>
      <c r="U29" s="411">
        <v>0</v>
      </c>
      <c r="V29" s="411">
        <v>0</v>
      </c>
      <c r="W29" s="411">
        <v>0</v>
      </c>
      <c r="X29" s="4453">
        <f t="shared" si="53"/>
        <v>0</v>
      </c>
      <c r="Y29" s="4488"/>
      <c r="Z29" s="4504">
        <f t="shared" si="14"/>
        <v>0</v>
      </c>
      <c r="AA29" s="4504">
        <f t="shared" si="15"/>
        <v>0</v>
      </c>
      <c r="AB29" s="4504">
        <f t="shared" si="16"/>
        <v>0</v>
      </c>
      <c r="AC29" s="4504">
        <f t="shared" si="17"/>
        <v>0</v>
      </c>
      <c r="AD29" s="4504">
        <f t="shared" si="18"/>
        <v>0</v>
      </c>
      <c r="AE29" s="4504">
        <f t="shared" si="19"/>
        <v>0</v>
      </c>
      <c r="AF29" s="4504">
        <f t="shared" si="20"/>
        <v>0</v>
      </c>
      <c r="AG29" s="4504">
        <f t="shared" si="21"/>
        <v>0</v>
      </c>
      <c r="AH29" s="4504">
        <f t="shared" si="22"/>
        <v>0</v>
      </c>
      <c r="AI29" s="4504">
        <f t="shared" si="23"/>
        <v>0</v>
      </c>
      <c r="AJ29" s="4504">
        <f t="shared" si="24"/>
        <v>0</v>
      </c>
      <c r="AK29" s="4504">
        <f t="shared" si="25"/>
        <v>0</v>
      </c>
      <c r="AL29" s="4504">
        <f t="shared" si="26"/>
        <v>0</v>
      </c>
      <c r="AM29" s="4504">
        <f t="shared" si="27"/>
        <v>0</v>
      </c>
      <c r="AN29" s="4504">
        <f t="shared" si="28"/>
        <v>0</v>
      </c>
      <c r="AO29" s="4504">
        <f t="shared" si="29"/>
        <v>0</v>
      </c>
      <c r="AP29" s="4504">
        <f t="shared" si="30"/>
        <v>0</v>
      </c>
      <c r="AQ29" s="4504">
        <f t="shared" si="31"/>
        <v>0</v>
      </c>
      <c r="AR29" s="4504">
        <f t="shared" si="32"/>
        <v>0</v>
      </c>
      <c r="AS29" s="4504">
        <f t="shared" si="33"/>
        <v>0</v>
      </c>
    </row>
    <row r="30" spans="1:46" ht="24">
      <c r="A30" s="2565">
        <v>11</v>
      </c>
      <c r="B30" s="2565">
        <v>207</v>
      </c>
      <c r="C30" s="2565" t="s">
        <v>313</v>
      </c>
      <c r="D30" s="2567" t="s">
        <v>414</v>
      </c>
      <c r="E30" s="411">
        <v>1325.3966907865906</v>
      </c>
      <c r="F30" s="4453">
        <f t="shared" ref="F30:G30" si="54">SUM(F31:F32)</f>
        <v>-127.75773073204846</v>
      </c>
      <c r="G30" s="4453">
        <f t="shared" si="54"/>
        <v>0</v>
      </c>
      <c r="H30" s="4453">
        <f>+E30+F30-G30</f>
        <v>1197.6389600545422</v>
      </c>
      <c r="I30" s="411">
        <v>3.820059999999998</v>
      </c>
      <c r="J30" s="4453">
        <f t="shared" ref="J30" si="55">SUM(J31:J32)</f>
        <v>172.30906322284238</v>
      </c>
      <c r="K30" s="4453">
        <f t="shared" ref="K30" si="56">SUM(K31:K32)</f>
        <v>0</v>
      </c>
      <c r="L30" s="4453">
        <f>+I30+J30-K30</f>
        <v>176.1291232228424</v>
      </c>
      <c r="M30" s="411">
        <v>22.949120000000022</v>
      </c>
      <c r="N30" s="4453">
        <f t="shared" ref="N30" si="57">SUM(N31:N32)</f>
        <v>79.591431974494625</v>
      </c>
      <c r="O30" s="4453">
        <f t="shared" ref="O30" si="58">SUM(O31:O32)</f>
        <v>0</v>
      </c>
      <c r="P30" s="4453">
        <f>+M30+N30-O30</f>
        <v>102.54055197449465</v>
      </c>
      <c r="Q30" s="411"/>
      <c r="R30" s="4453">
        <f t="shared" ref="R30" si="59">SUM(R31:R32)</f>
        <v>0</v>
      </c>
      <c r="S30" s="4453">
        <f t="shared" ref="S30" si="60">SUM(S31:S32)</f>
        <v>0</v>
      </c>
      <c r="T30" s="4453">
        <f>+Q30+R30-S30</f>
        <v>0</v>
      </c>
      <c r="U30" s="411">
        <v>6.873739213409447</v>
      </c>
      <c r="V30" s="4453">
        <f t="shared" ref="V30" si="61">SUM(V31:V32)</f>
        <v>-1.7309639419966913</v>
      </c>
      <c r="W30" s="4453">
        <f t="shared" ref="W30" si="62">SUM(W31:W32)</f>
        <v>0</v>
      </c>
      <c r="X30" s="4453">
        <f>+U30+V30-W30</f>
        <v>5.1427752714127557</v>
      </c>
      <c r="Y30" s="4488"/>
      <c r="Z30" s="4504">
        <f t="shared" si="14"/>
        <v>677.66456736351859</v>
      </c>
      <c r="AA30" s="4504">
        <f t="shared" si="15"/>
        <v>-65.321490483348995</v>
      </c>
      <c r="AB30" s="4504">
        <f t="shared" si="16"/>
        <v>0</v>
      </c>
      <c r="AC30" s="4504">
        <f t="shared" si="17"/>
        <v>612.34307688016963</v>
      </c>
      <c r="AD30" s="4504">
        <f t="shared" si="18"/>
        <v>1.9531656636824255</v>
      </c>
      <c r="AE30" s="4504">
        <f t="shared" si="19"/>
        <v>88.100225082365228</v>
      </c>
      <c r="AF30" s="4504">
        <f t="shared" si="20"/>
        <v>0</v>
      </c>
      <c r="AG30" s="4504">
        <f t="shared" si="21"/>
        <v>90.053390746047668</v>
      </c>
      <c r="AH30" s="4504">
        <f t="shared" si="22"/>
        <v>11.733698736597773</v>
      </c>
      <c r="AI30" s="4504">
        <f t="shared" si="23"/>
        <v>40.694452981340213</v>
      </c>
      <c r="AJ30" s="4504">
        <f t="shared" si="24"/>
        <v>0</v>
      </c>
      <c r="AK30" s="4504">
        <f t="shared" si="25"/>
        <v>52.428151717937986</v>
      </c>
      <c r="AL30" s="4504">
        <f t="shared" si="26"/>
        <v>0</v>
      </c>
      <c r="AM30" s="4504">
        <f t="shared" si="27"/>
        <v>0</v>
      </c>
      <c r="AN30" s="4504">
        <f t="shared" si="28"/>
        <v>0</v>
      </c>
      <c r="AO30" s="4504">
        <f t="shared" si="29"/>
        <v>0</v>
      </c>
      <c r="AP30" s="4504">
        <f t="shared" si="30"/>
        <v>3.5144870532763313</v>
      </c>
      <c r="AQ30" s="4504">
        <f t="shared" si="31"/>
        <v>-0.88502781018631038</v>
      </c>
      <c r="AR30" s="4504">
        <f t="shared" si="32"/>
        <v>0</v>
      </c>
      <c r="AS30" s="4504">
        <f t="shared" si="33"/>
        <v>2.6294592430900212</v>
      </c>
    </row>
    <row r="31" spans="1:46">
      <c r="A31" s="2569"/>
      <c r="B31" s="4126"/>
      <c r="C31" s="4126"/>
      <c r="D31" s="4127" t="s">
        <v>1789</v>
      </c>
      <c r="E31" s="5396"/>
      <c r="F31" s="4128">
        <v>1631.1276922902862</v>
      </c>
      <c r="G31" s="4128">
        <v>0</v>
      </c>
      <c r="H31" s="5396"/>
      <c r="I31" s="5396"/>
      <c r="J31" s="4128">
        <v>221.39499809219953</v>
      </c>
      <c r="K31" s="4128">
        <v>0</v>
      </c>
      <c r="L31" s="5396"/>
      <c r="M31" s="5396"/>
      <c r="N31" s="4128">
        <v>173.00331922373493</v>
      </c>
      <c r="O31" s="4128">
        <v>0</v>
      </c>
      <c r="P31" s="5396"/>
      <c r="Q31" s="5396"/>
      <c r="R31" s="4128"/>
      <c r="S31" s="4128"/>
      <c r="T31" s="5396"/>
      <c r="U31" s="5396"/>
      <c r="V31" s="4128">
        <v>203.46614735139534</v>
      </c>
      <c r="W31" s="4128">
        <v>0</v>
      </c>
      <c r="X31" s="5396"/>
      <c r="Y31" s="4488"/>
      <c r="Z31" s="4516"/>
      <c r="AA31" s="4504">
        <f t="shared" si="15"/>
        <v>833.98234626234705</v>
      </c>
      <c r="AB31" s="4504">
        <f t="shared" si="16"/>
        <v>0</v>
      </c>
      <c r="AC31" s="4512"/>
      <c r="AD31" s="4513"/>
      <c r="AE31" s="4504">
        <f t="shared" si="19"/>
        <v>113.1974650619939</v>
      </c>
      <c r="AF31" s="4504">
        <f t="shared" si="20"/>
        <v>0</v>
      </c>
      <c r="AG31" s="4512"/>
      <c r="AH31" s="4513"/>
      <c r="AI31" s="4504">
        <f t="shared" si="23"/>
        <v>88.455192539093346</v>
      </c>
      <c r="AJ31" s="4504">
        <f t="shared" si="24"/>
        <v>0</v>
      </c>
      <c r="AK31" s="4512"/>
      <c r="AL31" s="4513"/>
      <c r="AM31" s="4504">
        <f t="shared" si="27"/>
        <v>0</v>
      </c>
      <c r="AN31" s="4504">
        <f t="shared" si="28"/>
        <v>0</v>
      </c>
      <c r="AO31" s="4512"/>
      <c r="AP31" s="4513"/>
      <c r="AQ31" s="4504">
        <f t="shared" si="31"/>
        <v>104.03058923904192</v>
      </c>
      <c r="AR31" s="4504">
        <f t="shared" si="32"/>
        <v>0</v>
      </c>
      <c r="AS31" s="4518"/>
      <c r="AT31" s="4519"/>
    </row>
    <row r="32" spans="1:46" ht="24">
      <c r="A32" s="2569"/>
      <c r="B32" s="4126"/>
      <c r="C32" s="4126"/>
      <c r="D32" s="4127" t="s">
        <v>1790</v>
      </c>
      <c r="E32" s="5397"/>
      <c r="F32" s="4128">
        <v>-1758.8854230223346</v>
      </c>
      <c r="G32" s="4128">
        <v>0</v>
      </c>
      <c r="H32" s="5397"/>
      <c r="I32" s="5397"/>
      <c r="J32" s="4128">
        <v>-49.08593486935716</v>
      </c>
      <c r="K32" s="4128">
        <v>0</v>
      </c>
      <c r="L32" s="5397"/>
      <c r="M32" s="5397"/>
      <c r="N32" s="4128">
        <v>-93.411887249240309</v>
      </c>
      <c r="O32" s="4128">
        <v>0</v>
      </c>
      <c r="P32" s="5397"/>
      <c r="Q32" s="5397"/>
      <c r="R32" s="4128"/>
      <c r="S32" s="4128"/>
      <c r="T32" s="5397"/>
      <c r="U32" s="5397"/>
      <c r="V32" s="4128">
        <v>-205.19711129339203</v>
      </c>
      <c r="W32" s="4128">
        <v>0</v>
      </c>
      <c r="X32" s="5397"/>
      <c r="Y32" s="4488"/>
      <c r="Z32" s="4517"/>
      <c r="AA32" s="4504">
        <f t="shared" si="15"/>
        <v>-899.303836745696</v>
      </c>
      <c r="AB32" s="4504">
        <f t="shared" si="16"/>
        <v>0</v>
      </c>
      <c r="AC32" s="4514"/>
      <c r="AD32" s="4515"/>
      <c r="AE32" s="4504">
        <f t="shared" si="19"/>
        <v>-25.097239979628679</v>
      </c>
      <c r="AF32" s="4504">
        <f t="shared" si="20"/>
        <v>0</v>
      </c>
      <c r="AG32" s="4514"/>
      <c r="AH32" s="4515"/>
      <c r="AI32" s="4504">
        <f t="shared" si="23"/>
        <v>-47.760739557753134</v>
      </c>
      <c r="AJ32" s="4504">
        <f t="shared" si="24"/>
        <v>0</v>
      </c>
      <c r="AK32" s="4514"/>
      <c r="AL32" s="4515"/>
      <c r="AM32" s="4504">
        <f t="shared" si="27"/>
        <v>0</v>
      </c>
      <c r="AN32" s="4504">
        <f t="shared" si="28"/>
        <v>0</v>
      </c>
      <c r="AO32" s="4514"/>
      <c r="AP32" s="4515"/>
      <c r="AQ32" s="4504">
        <f t="shared" si="31"/>
        <v>-104.91561704922822</v>
      </c>
      <c r="AR32" s="4504">
        <f t="shared" si="32"/>
        <v>0</v>
      </c>
      <c r="AS32" s="4518"/>
      <c r="AT32" s="4519"/>
    </row>
    <row r="33" spans="1:45">
      <c r="A33" s="2569">
        <v>12</v>
      </c>
      <c r="B33" s="2565">
        <v>212</v>
      </c>
      <c r="C33" s="2560">
        <v>0.2</v>
      </c>
      <c r="D33" s="2570" t="s">
        <v>214</v>
      </c>
      <c r="E33" s="411">
        <v>167.11943513123543</v>
      </c>
      <c r="F33" s="411">
        <v>0</v>
      </c>
      <c r="G33" s="411">
        <v>10.566135334394566</v>
      </c>
      <c r="H33" s="4453">
        <f t="shared" ref="H33:H36" si="63">+E33+F33-G33</f>
        <v>156.55329979684086</v>
      </c>
      <c r="I33" s="411">
        <v>27.446353273732999</v>
      </c>
      <c r="J33" s="411">
        <v>0</v>
      </c>
      <c r="K33" s="411">
        <v>0.91335654734053318</v>
      </c>
      <c r="L33" s="4453">
        <f t="shared" ref="L33:L36" si="64">+I33+J33-K33</f>
        <v>26.532996726392465</v>
      </c>
      <c r="M33" s="411">
        <v>42.10473956415639</v>
      </c>
      <c r="N33" s="411">
        <v>0</v>
      </c>
      <c r="O33" s="411">
        <v>1.1144616953160338</v>
      </c>
      <c r="P33" s="4453">
        <f t="shared" ref="P33:P36" si="65">+M33+N33-O33</f>
        <v>40.990277868840359</v>
      </c>
      <c r="Q33" s="411"/>
      <c r="R33" s="411"/>
      <c r="S33" s="411"/>
      <c r="T33" s="4453">
        <f t="shared" ref="T33:T36" si="66">+Q33+R33-S33</f>
        <v>0</v>
      </c>
      <c r="U33" s="411">
        <v>0.74541345310951779</v>
      </c>
      <c r="V33" s="411">
        <v>0</v>
      </c>
      <c r="W33" s="411">
        <v>5.2211762546987624E-2</v>
      </c>
      <c r="X33" s="4453">
        <f t="shared" ref="X33:X36" si="67">+U33+V33-W33</f>
        <v>0.69320169056253012</v>
      </c>
      <c r="Y33" s="4488"/>
      <c r="Z33" s="4504">
        <f t="shared" si="14"/>
        <v>85.446810372698778</v>
      </c>
      <c r="AA33" s="4504">
        <f t="shared" si="15"/>
        <v>0</v>
      </c>
      <c r="AB33" s="4504">
        <f t="shared" si="16"/>
        <v>5.4023792120964327</v>
      </c>
      <c r="AC33" s="4504">
        <f t="shared" si="17"/>
        <v>80.044431160602329</v>
      </c>
      <c r="AD33" s="4504">
        <f t="shared" si="18"/>
        <v>14.033097597302936</v>
      </c>
      <c r="AE33" s="4504">
        <f t="shared" si="19"/>
        <v>0</v>
      </c>
      <c r="AF33" s="4504">
        <f t="shared" si="20"/>
        <v>0.46699178729262419</v>
      </c>
      <c r="AG33" s="4504">
        <f t="shared" si="21"/>
        <v>13.56610581001031</v>
      </c>
      <c r="AH33" s="4504">
        <f t="shared" si="22"/>
        <v>21.527811499034371</v>
      </c>
      <c r="AI33" s="4504">
        <f t="shared" si="23"/>
        <v>0</v>
      </c>
      <c r="AJ33" s="4504">
        <f t="shared" si="24"/>
        <v>0.56981521671926183</v>
      </c>
      <c r="AK33" s="4504">
        <f t="shared" si="25"/>
        <v>20.957996282315108</v>
      </c>
      <c r="AL33" s="4504">
        <f t="shared" si="26"/>
        <v>0</v>
      </c>
      <c r="AM33" s="4504">
        <f t="shared" si="27"/>
        <v>0</v>
      </c>
      <c r="AN33" s="4504">
        <f t="shared" si="28"/>
        <v>0</v>
      </c>
      <c r="AO33" s="4504">
        <f t="shared" si="29"/>
        <v>0</v>
      </c>
      <c r="AP33" s="4504">
        <f t="shared" si="30"/>
        <v>0.38112384670933458</v>
      </c>
      <c r="AQ33" s="4504">
        <f t="shared" si="31"/>
        <v>0</v>
      </c>
      <c r="AR33" s="4504">
        <f t="shared" si="32"/>
        <v>2.6695450293219566E-2</v>
      </c>
      <c r="AS33" s="4504">
        <f t="shared" si="33"/>
        <v>0.35442839641611495</v>
      </c>
    </row>
    <row r="34" spans="1:45">
      <c r="A34" s="2569">
        <v>13</v>
      </c>
      <c r="B34" s="2564">
        <v>213</v>
      </c>
      <c r="C34" s="2571">
        <v>0.2</v>
      </c>
      <c r="D34" s="2558" t="s">
        <v>215</v>
      </c>
      <c r="E34" s="411">
        <v>0</v>
      </c>
      <c r="F34" s="411">
        <v>0</v>
      </c>
      <c r="G34" s="411">
        <v>0</v>
      </c>
      <c r="H34" s="4453">
        <f t="shared" si="63"/>
        <v>0</v>
      </c>
      <c r="I34" s="411">
        <v>0</v>
      </c>
      <c r="J34" s="411">
        <v>0</v>
      </c>
      <c r="K34" s="411">
        <v>0</v>
      </c>
      <c r="L34" s="4453">
        <f t="shared" si="64"/>
        <v>0</v>
      </c>
      <c r="M34" s="411">
        <v>0</v>
      </c>
      <c r="N34" s="411">
        <v>0</v>
      </c>
      <c r="O34" s="411">
        <v>0</v>
      </c>
      <c r="P34" s="4453">
        <f t="shared" si="65"/>
        <v>0</v>
      </c>
      <c r="Q34" s="411"/>
      <c r="R34" s="411"/>
      <c r="S34" s="411"/>
      <c r="T34" s="4453">
        <f t="shared" si="66"/>
        <v>0</v>
      </c>
      <c r="U34" s="411">
        <v>0</v>
      </c>
      <c r="V34" s="411">
        <v>0</v>
      </c>
      <c r="W34" s="411">
        <v>0</v>
      </c>
      <c r="X34" s="4453">
        <f t="shared" si="67"/>
        <v>0</v>
      </c>
      <c r="Y34" s="4488"/>
      <c r="Z34" s="4504">
        <f t="shared" si="14"/>
        <v>0</v>
      </c>
      <c r="AA34" s="4504">
        <f t="shared" si="15"/>
        <v>0</v>
      </c>
      <c r="AB34" s="4504">
        <f t="shared" si="16"/>
        <v>0</v>
      </c>
      <c r="AC34" s="4504">
        <f t="shared" si="17"/>
        <v>0</v>
      </c>
      <c r="AD34" s="4504">
        <f t="shared" si="18"/>
        <v>0</v>
      </c>
      <c r="AE34" s="4504">
        <f t="shared" si="19"/>
        <v>0</v>
      </c>
      <c r="AF34" s="4504">
        <f t="shared" si="20"/>
        <v>0</v>
      </c>
      <c r="AG34" s="4504">
        <f t="shared" si="21"/>
        <v>0</v>
      </c>
      <c r="AH34" s="4504">
        <f t="shared" si="22"/>
        <v>0</v>
      </c>
      <c r="AI34" s="4504">
        <f t="shared" si="23"/>
        <v>0</v>
      </c>
      <c r="AJ34" s="4504">
        <f t="shared" si="24"/>
        <v>0</v>
      </c>
      <c r="AK34" s="4504">
        <f t="shared" si="25"/>
        <v>0</v>
      </c>
      <c r="AL34" s="4504">
        <f t="shared" si="26"/>
        <v>0</v>
      </c>
      <c r="AM34" s="4504">
        <f t="shared" si="27"/>
        <v>0</v>
      </c>
      <c r="AN34" s="4504">
        <f t="shared" si="28"/>
        <v>0</v>
      </c>
      <c r="AO34" s="4504">
        <f t="shared" si="29"/>
        <v>0</v>
      </c>
      <c r="AP34" s="4504">
        <f t="shared" si="30"/>
        <v>0</v>
      </c>
      <c r="AQ34" s="4504">
        <f t="shared" si="31"/>
        <v>0</v>
      </c>
      <c r="AR34" s="4504">
        <f t="shared" si="32"/>
        <v>0</v>
      </c>
      <c r="AS34" s="4504">
        <f t="shared" si="33"/>
        <v>0</v>
      </c>
    </row>
    <row r="35" spans="1:45" ht="24">
      <c r="A35" s="2569">
        <v>14</v>
      </c>
      <c r="B35" s="2638"/>
      <c r="C35" s="2638"/>
      <c r="D35" s="2572" t="s">
        <v>628</v>
      </c>
      <c r="E35" s="411">
        <v>0</v>
      </c>
      <c r="F35" s="411">
        <v>0</v>
      </c>
      <c r="G35" s="411">
        <v>0</v>
      </c>
      <c r="H35" s="4453">
        <f t="shared" si="63"/>
        <v>0</v>
      </c>
      <c r="I35" s="411">
        <v>0</v>
      </c>
      <c r="J35" s="411">
        <v>0</v>
      </c>
      <c r="K35" s="411">
        <v>0</v>
      </c>
      <c r="L35" s="4453">
        <f t="shared" si="64"/>
        <v>0</v>
      </c>
      <c r="M35" s="411">
        <v>0</v>
      </c>
      <c r="N35" s="411">
        <v>0</v>
      </c>
      <c r="O35" s="411">
        <v>0</v>
      </c>
      <c r="P35" s="4453">
        <f t="shared" si="65"/>
        <v>0</v>
      </c>
      <c r="Q35" s="411"/>
      <c r="R35" s="411"/>
      <c r="S35" s="411"/>
      <c r="T35" s="4453">
        <f t="shared" si="66"/>
        <v>0</v>
      </c>
      <c r="U35" s="411">
        <v>0</v>
      </c>
      <c r="V35" s="411">
        <v>0</v>
      </c>
      <c r="W35" s="411">
        <v>0</v>
      </c>
      <c r="X35" s="4453">
        <f t="shared" si="67"/>
        <v>0</v>
      </c>
      <c r="Y35" s="4488"/>
      <c r="Z35" s="4504">
        <f t="shared" si="14"/>
        <v>0</v>
      </c>
      <c r="AA35" s="4504">
        <f t="shared" si="15"/>
        <v>0</v>
      </c>
      <c r="AB35" s="4504">
        <f t="shared" si="16"/>
        <v>0</v>
      </c>
      <c r="AC35" s="4504">
        <f t="shared" si="17"/>
        <v>0</v>
      </c>
      <c r="AD35" s="4504">
        <f t="shared" si="18"/>
        <v>0</v>
      </c>
      <c r="AE35" s="4504">
        <f t="shared" si="19"/>
        <v>0</v>
      </c>
      <c r="AF35" s="4504">
        <f t="shared" si="20"/>
        <v>0</v>
      </c>
      <c r="AG35" s="4504">
        <f t="shared" si="21"/>
        <v>0</v>
      </c>
      <c r="AH35" s="4504">
        <f t="shared" si="22"/>
        <v>0</v>
      </c>
      <c r="AI35" s="4504">
        <f t="shared" si="23"/>
        <v>0</v>
      </c>
      <c r="AJ35" s="4504">
        <f t="shared" si="24"/>
        <v>0</v>
      </c>
      <c r="AK35" s="4504">
        <f t="shared" si="25"/>
        <v>0</v>
      </c>
      <c r="AL35" s="4504">
        <f t="shared" si="26"/>
        <v>0</v>
      </c>
      <c r="AM35" s="4504">
        <f t="shared" si="27"/>
        <v>0</v>
      </c>
      <c r="AN35" s="4504">
        <f t="shared" si="28"/>
        <v>0</v>
      </c>
      <c r="AO35" s="4504">
        <f t="shared" si="29"/>
        <v>0</v>
      </c>
      <c r="AP35" s="4504">
        <f t="shared" si="30"/>
        <v>0</v>
      </c>
      <c r="AQ35" s="4504">
        <f t="shared" si="31"/>
        <v>0</v>
      </c>
      <c r="AR35" s="4504">
        <f t="shared" si="32"/>
        <v>0</v>
      </c>
      <c r="AS35" s="4504">
        <f t="shared" si="33"/>
        <v>0</v>
      </c>
    </row>
    <row r="36" spans="1:45" ht="24">
      <c r="A36" s="2569">
        <v>15</v>
      </c>
      <c r="B36" s="2564">
        <v>207</v>
      </c>
      <c r="C36" s="2564" t="s">
        <v>313</v>
      </c>
      <c r="D36" s="2573" t="s">
        <v>415</v>
      </c>
      <c r="E36" s="411">
        <v>17.183070000000001</v>
      </c>
      <c r="F36" s="4453">
        <f t="shared" ref="F36" si="68">SUM(F37:F38)</f>
        <v>52.450000000000017</v>
      </c>
      <c r="G36" s="4453">
        <f t="shared" ref="G36" si="69">SUM(G37:G38)</f>
        <v>0</v>
      </c>
      <c r="H36" s="4453">
        <f t="shared" si="63"/>
        <v>69.633070000000018</v>
      </c>
      <c r="I36" s="411">
        <v>0</v>
      </c>
      <c r="J36" s="4453">
        <f t="shared" ref="J36:K36" si="70">SUM(J37:J38)</f>
        <v>0</v>
      </c>
      <c r="K36" s="4453">
        <f t="shared" si="70"/>
        <v>0</v>
      </c>
      <c r="L36" s="4453">
        <f t="shared" si="64"/>
        <v>0</v>
      </c>
      <c r="M36" s="411">
        <v>0</v>
      </c>
      <c r="N36" s="4453">
        <f t="shared" ref="N36:O36" si="71">SUM(N37:N38)</f>
        <v>0</v>
      </c>
      <c r="O36" s="4453">
        <f t="shared" si="71"/>
        <v>0</v>
      </c>
      <c r="P36" s="4453">
        <f t="shared" si="65"/>
        <v>0</v>
      </c>
      <c r="Q36" s="411"/>
      <c r="R36" s="4453">
        <f t="shared" ref="R36:S36" si="72">SUM(R37:R38)</f>
        <v>0</v>
      </c>
      <c r="S36" s="4453">
        <f t="shared" si="72"/>
        <v>0</v>
      </c>
      <c r="T36" s="4453">
        <f t="shared" si="66"/>
        <v>0</v>
      </c>
      <c r="U36" s="411">
        <v>0</v>
      </c>
      <c r="V36" s="4453">
        <f t="shared" ref="V36:W36" si="73">SUM(V37:V38)</f>
        <v>0.8</v>
      </c>
      <c r="W36" s="4453">
        <f t="shared" si="73"/>
        <v>0</v>
      </c>
      <c r="X36" s="4453">
        <f t="shared" si="67"/>
        <v>0.8</v>
      </c>
      <c r="Y36" s="4488"/>
      <c r="Z36" s="4504">
        <f t="shared" si="14"/>
        <v>8.7855641850263062</v>
      </c>
      <c r="AA36" s="4504">
        <f t="shared" si="15"/>
        <v>26.817259168741668</v>
      </c>
      <c r="AB36" s="4504">
        <f t="shared" si="16"/>
        <v>0</v>
      </c>
      <c r="AC36" s="4504">
        <f t="shared" si="17"/>
        <v>35.602823353767974</v>
      </c>
      <c r="AD36" s="4504">
        <f t="shared" si="18"/>
        <v>0</v>
      </c>
      <c r="AE36" s="4504">
        <f t="shared" si="19"/>
        <v>0</v>
      </c>
      <c r="AF36" s="4504">
        <f t="shared" si="20"/>
        <v>0</v>
      </c>
      <c r="AG36" s="4504">
        <f t="shared" si="21"/>
        <v>0</v>
      </c>
      <c r="AH36" s="4504">
        <f t="shared" si="22"/>
        <v>0</v>
      </c>
      <c r="AI36" s="4504">
        <f t="shared" si="23"/>
        <v>0</v>
      </c>
      <c r="AJ36" s="4504">
        <f t="shared" si="24"/>
        <v>0</v>
      </c>
      <c r="AK36" s="4504">
        <f t="shared" si="25"/>
        <v>0</v>
      </c>
      <c r="AL36" s="4504">
        <f t="shared" si="26"/>
        <v>0</v>
      </c>
      <c r="AM36" s="4504">
        <f t="shared" si="27"/>
        <v>0</v>
      </c>
      <c r="AN36" s="4504">
        <f t="shared" si="28"/>
        <v>0</v>
      </c>
      <c r="AO36" s="4504">
        <f t="shared" si="29"/>
        <v>0</v>
      </c>
      <c r="AP36" s="4504">
        <f t="shared" si="30"/>
        <v>0</v>
      </c>
      <c r="AQ36" s="4504">
        <f t="shared" si="31"/>
        <v>0.40903350495697482</v>
      </c>
      <c r="AR36" s="4504">
        <f t="shared" si="32"/>
        <v>0</v>
      </c>
      <c r="AS36" s="4504">
        <f t="shared" si="33"/>
        <v>0.40903350495697482</v>
      </c>
    </row>
    <row r="37" spans="1:45">
      <c r="A37" s="2569"/>
      <c r="B37" s="4126"/>
      <c r="C37" s="4126"/>
      <c r="D37" s="4127" t="s">
        <v>1789</v>
      </c>
      <c r="E37" s="5396"/>
      <c r="F37" s="4128">
        <v>66.628372893741059</v>
      </c>
      <c r="G37" s="4128">
        <v>0</v>
      </c>
      <c r="H37" s="5396"/>
      <c r="I37" s="5396"/>
      <c r="J37" s="4128">
        <v>0</v>
      </c>
      <c r="K37" s="4128">
        <v>0</v>
      </c>
      <c r="L37" s="5398"/>
      <c r="M37" s="5398"/>
      <c r="N37" s="4128">
        <v>0</v>
      </c>
      <c r="O37" s="4128">
        <v>0</v>
      </c>
      <c r="P37" s="5396"/>
      <c r="Q37" s="5396"/>
      <c r="R37" s="4128"/>
      <c r="S37" s="4128"/>
      <c r="T37" s="5396"/>
      <c r="U37" s="5396"/>
      <c r="V37" s="4128">
        <v>1.62162710625896</v>
      </c>
      <c r="W37" s="4128">
        <v>0</v>
      </c>
      <c r="X37" s="5396"/>
      <c r="Y37" s="4488"/>
      <c r="Z37" s="4504">
        <f t="shared" si="14"/>
        <v>0</v>
      </c>
      <c r="AA37" s="4504">
        <f t="shared" si="15"/>
        <v>34.066546117883995</v>
      </c>
      <c r="AB37" s="4504">
        <f t="shared" si="16"/>
        <v>0</v>
      </c>
      <c r="AC37" s="4504">
        <f t="shared" si="17"/>
        <v>0</v>
      </c>
      <c r="AD37" s="4504">
        <f t="shared" si="18"/>
        <v>0</v>
      </c>
      <c r="AE37" s="4504">
        <f t="shared" si="19"/>
        <v>0</v>
      </c>
      <c r="AF37" s="4504">
        <f t="shared" si="20"/>
        <v>0</v>
      </c>
      <c r="AG37" s="4504">
        <f t="shared" si="21"/>
        <v>0</v>
      </c>
      <c r="AH37" s="4504">
        <f t="shared" si="22"/>
        <v>0</v>
      </c>
      <c r="AI37" s="4504">
        <f t="shared" si="23"/>
        <v>0</v>
      </c>
      <c r="AJ37" s="4504">
        <f t="shared" si="24"/>
        <v>0</v>
      </c>
      <c r="AK37" s="4504">
        <f t="shared" si="25"/>
        <v>0</v>
      </c>
      <c r="AL37" s="4504">
        <f t="shared" si="26"/>
        <v>0</v>
      </c>
      <c r="AM37" s="4504">
        <f t="shared" si="27"/>
        <v>0</v>
      </c>
      <c r="AN37" s="4504">
        <f t="shared" si="28"/>
        <v>0</v>
      </c>
      <c r="AO37" s="4504">
        <f t="shared" si="29"/>
        <v>0</v>
      </c>
      <c r="AP37" s="4504">
        <f t="shared" si="30"/>
        <v>0</v>
      </c>
      <c r="AQ37" s="4504">
        <f t="shared" si="31"/>
        <v>0.82912477375792382</v>
      </c>
      <c r="AR37" s="4504">
        <f t="shared" si="32"/>
        <v>0</v>
      </c>
      <c r="AS37" s="4504">
        <f t="shared" si="33"/>
        <v>0</v>
      </c>
    </row>
    <row r="38" spans="1:45" ht="24">
      <c r="A38" s="2569"/>
      <c r="B38" s="4126"/>
      <c r="C38" s="4126"/>
      <c r="D38" s="4127" t="s">
        <v>1790</v>
      </c>
      <c r="E38" s="5397"/>
      <c r="F38" s="4128">
        <v>-14.178372893741042</v>
      </c>
      <c r="G38" s="4128">
        <v>0</v>
      </c>
      <c r="H38" s="5397"/>
      <c r="I38" s="5397"/>
      <c r="J38" s="4128">
        <v>0</v>
      </c>
      <c r="K38" s="4128">
        <v>0</v>
      </c>
      <c r="L38" s="5399"/>
      <c r="M38" s="5399"/>
      <c r="N38" s="4128">
        <v>0</v>
      </c>
      <c r="O38" s="4128">
        <v>0</v>
      </c>
      <c r="P38" s="5397"/>
      <c r="Q38" s="5397"/>
      <c r="R38" s="4128"/>
      <c r="S38" s="4128"/>
      <c r="T38" s="5397"/>
      <c r="U38" s="5397"/>
      <c r="V38" s="4128">
        <v>-0.82162710625895996</v>
      </c>
      <c r="W38" s="4128">
        <v>0</v>
      </c>
      <c r="X38" s="5397"/>
      <c r="Y38" s="4488"/>
      <c r="Z38" s="4504">
        <f t="shared" si="14"/>
        <v>0</v>
      </c>
      <c r="AA38" s="4504">
        <f t="shared" si="15"/>
        <v>-7.2492869491423289</v>
      </c>
      <c r="AB38" s="4504">
        <f t="shared" si="16"/>
        <v>0</v>
      </c>
      <c r="AC38" s="4504">
        <f t="shared" si="17"/>
        <v>0</v>
      </c>
      <c r="AD38" s="4504">
        <f t="shared" si="18"/>
        <v>0</v>
      </c>
      <c r="AE38" s="4504">
        <f t="shared" si="19"/>
        <v>0</v>
      </c>
      <c r="AF38" s="4504">
        <f t="shared" si="20"/>
        <v>0</v>
      </c>
      <c r="AG38" s="4504">
        <f t="shared" si="21"/>
        <v>0</v>
      </c>
      <c r="AH38" s="4504">
        <f t="shared" si="22"/>
        <v>0</v>
      </c>
      <c r="AI38" s="4504">
        <f t="shared" si="23"/>
        <v>0</v>
      </c>
      <c r="AJ38" s="4504">
        <f t="shared" si="24"/>
        <v>0</v>
      </c>
      <c r="AK38" s="4504">
        <f t="shared" si="25"/>
        <v>0</v>
      </c>
      <c r="AL38" s="4504">
        <f t="shared" si="26"/>
        <v>0</v>
      </c>
      <c r="AM38" s="4504">
        <f t="shared" si="27"/>
        <v>0</v>
      </c>
      <c r="AN38" s="4504">
        <f t="shared" si="28"/>
        <v>0</v>
      </c>
      <c r="AO38" s="4504">
        <f t="shared" si="29"/>
        <v>0</v>
      </c>
      <c r="AP38" s="4504">
        <f t="shared" si="30"/>
        <v>0</v>
      </c>
      <c r="AQ38" s="4504">
        <f t="shared" si="31"/>
        <v>-0.42009126880094894</v>
      </c>
      <c r="AR38" s="4504">
        <f t="shared" si="32"/>
        <v>0</v>
      </c>
      <c r="AS38" s="4504">
        <f t="shared" si="33"/>
        <v>0</v>
      </c>
    </row>
    <row r="39" spans="1:45" ht="13.8" thickBot="1">
      <c r="A39" s="2569">
        <v>16</v>
      </c>
      <c r="B39" s="2574">
        <v>219</v>
      </c>
      <c r="C39" s="2575">
        <v>0.1</v>
      </c>
      <c r="D39" s="2576" t="s">
        <v>216</v>
      </c>
      <c r="E39" s="412">
        <v>304.06127534184628</v>
      </c>
      <c r="F39" s="412">
        <v>14.178372893741042</v>
      </c>
      <c r="G39" s="412">
        <v>0</v>
      </c>
      <c r="H39" s="4454">
        <f t="shared" ref="H39" si="74">+E39+F39-G39</f>
        <v>318.23964823558731</v>
      </c>
      <c r="I39" s="412">
        <v>6.8574085927728019</v>
      </c>
      <c r="J39" s="412">
        <v>0</v>
      </c>
      <c r="K39" s="412">
        <v>0</v>
      </c>
      <c r="L39" s="4454">
        <f t="shared" ref="L39" si="75">+I39+J39-K39</f>
        <v>6.8574085927728019</v>
      </c>
      <c r="M39" s="412">
        <v>10.519772882178481</v>
      </c>
      <c r="N39" s="412">
        <v>0</v>
      </c>
      <c r="O39" s="412">
        <v>0</v>
      </c>
      <c r="P39" s="4454">
        <f t="shared" ref="P39" si="76">+M39+N39-O39</f>
        <v>10.519772882178481</v>
      </c>
      <c r="Q39" s="412"/>
      <c r="R39" s="412"/>
      <c r="S39" s="412"/>
      <c r="T39" s="4454">
        <f t="shared" ref="T39" si="77">+Q39+R39-S39</f>
        <v>0</v>
      </c>
      <c r="U39" s="412">
        <v>23.80307145873579</v>
      </c>
      <c r="V39" s="412">
        <v>0.82162710625895996</v>
      </c>
      <c r="W39" s="412">
        <v>0</v>
      </c>
      <c r="X39" s="4454">
        <f t="shared" ref="X39" si="78">+U39+V39-W39</f>
        <v>24.624698564994748</v>
      </c>
      <c r="Y39" s="4488"/>
      <c r="Z39" s="4504">
        <f t="shared" si="14"/>
        <v>155.46406146845396</v>
      </c>
      <c r="AA39" s="4504">
        <f t="shared" si="15"/>
        <v>7.2492869491423289</v>
      </c>
      <c r="AB39" s="4504">
        <f t="shared" si="16"/>
        <v>0</v>
      </c>
      <c r="AC39" s="4504">
        <f t="shared" si="17"/>
        <v>162.71334841759628</v>
      </c>
      <c r="AD39" s="4504">
        <f t="shared" si="18"/>
        <v>3.5061373395299191</v>
      </c>
      <c r="AE39" s="4504">
        <f t="shared" si="19"/>
        <v>0</v>
      </c>
      <c r="AF39" s="4504">
        <f t="shared" si="20"/>
        <v>0</v>
      </c>
      <c r="AG39" s="4504">
        <f t="shared" si="21"/>
        <v>3.5061373395299191</v>
      </c>
      <c r="AH39" s="4504">
        <f t="shared" si="22"/>
        <v>5.3786744666860011</v>
      </c>
      <c r="AI39" s="4504">
        <f t="shared" si="23"/>
        <v>0</v>
      </c>
      <c r="AJ39" s="4504">
        <f t="shared" si="24"/>
        <v>0</v>
      </c>
      <c r="AK39" s="4504">
        <f t="shared" si="25"/>
        <v>5.3786744666860011</v>
      </c>
      <c r="AL39" s="4504">
        <f t="shared" si="26"/>
        <v>0</v>
      </c>
      <c r="AM39" s="4504">
        <f t="shared" si="27"/>
        <v>0</v>
      </c>
      <c r="AN39" s="4504">
        <f t="shared" si="28"/>
        <v>0</v>
      </c>
      <c r="AO39" s="4504">
        <f t="shared" si="29"/>
        <v>0</v>
      </c>
      <c r="AP39" s="4504">
        <f t="shared" si="30"/>
        <v>12.17031718438504</v>
      </c>
      <c r="AQ39" s="4504">
        <f t="shared" si="31"/>
        <v>0.42009126880094894</v>
      </c>
      <c r="AR39" s="4504">
        <f t="shared" si="32"/>
        <v>0</v>
      </c>
      <c r="AS39" s="4504">
        <f t="shared" si="33"/>
        <v>12.590408453185987</v>
      </c>
    </row>
    <row r="40" spans="1:45" ht="13.8" thickBot="1">
      <c r="A40" s="3746" t="s">
        <v>206</v>
      </c>
      <c r="B40" s="5379" t="s">
        <v>220</v>
      </c>
      <c r="C40" s="5380"/>
      <c r="D40" s="5381"/>
      <c r="E40" s="2545">
        <f t="shared" ref="E40:H40" si="79">SUM(E41:E64)-E43-E49</f>
        <v>4430.4228844983754</v>
      </c>
      <c r="F40" s="2545">
        <f t="shared" si="79"/>
        <v>94.807717711711689</v>
      </c>
      <c r="G40" s="2545">
        <f t="shared" si="79"/>
        <v>53.244577999492137</v>
      </c>
      <c r="H40" s="2545">
        <f t="shared" si="79"/>
        <v>4471.9860242105942</v>
      </c>
      <c r="I40" s="2545">
        <f t="shared" ref="I40:L40" si="80">SUM(I41:I64)-I43-I49</f>
        <v>903.29711507842092</v>
      </c>
      <c r="J40" s="2545">
        <f t="shared" si="80"/>
        <v>15.713491932866761</v>
      </c>
      <c r="K40" s="2545">
        <f t="shared" si="80"/>
        <v>18.646666345410452</v>
      </c>
      <c r="L40" s="2545">
        <f t="shared" si="80"/>
        <v>900.36394066587764</v>
      </c>
      <c r="M40" s="2545">
        <f t="shared" ref="M40:X40" si="81">SUM(M41:M64)-M43-M49</f>
        <v>775.02460944810468</v>
      </c>
      <c r="N40" s="2545">
        <f t="shared" si="81"/>
        <v>15.515842339827399</v>
      </c>
      <c r="O40" s="2545">
        <f t="shared" si="81"/>
        <v>22.75233636612958</v>
      </c>
      <c r="P40" s="2545">
        <f t="shared" si="81"/>
        <v>767.78811542180244</v>
      </c>
      <c r="Q40" s="2545">
        <f t="shared" si="81"/>
        <v>0</v>
      </c>
      <c r="R40" s="2545">
        <f t="shared" si="81"/>
        <v>0</v>
      </c>
      <c r="S40" s="2545">
        <f t="shared" si="81"/>
        <v>0</v>
      </c>
      <c r="T40" s="2545">
        <f t="shared" si="81"/>
        <v>0</v>
      </c>
      <c r="U40" s="2545">
        <f t="shared" si="81"/>
        <v>455.13775383048733</v>
      </c>
      <c r="V40" s="2545">
        <f t="shared" si="81"/>
        <v>12.329727495048909</v>
      </c>
      <c r="W40" s="2545">
        <f t="shared" si="81"/>
        <v>5.9080466248209502</v>
      </c>
      <c r="X40" s="2545">
        <f t="shared" si="81"/>
        <v>461.55943470071509</v>
      </c>
      <c r="Y40" s="4488"/>
      <c r="Z40" s="4504">
        <f t="shared" si="14"/>
        <v>2265.2392511099511</v>
      </c>
      <c r="AA40" s="4504">
        <f t="shared" si="15"/>
        <v>48.474416340741115</v>
      </c>
      <c r="AB40" s="4504">
        <f t="shared" si="16"/>
        <v>27.223520448859123</v>
      </c>
      <c r="AC40" s="4504">
        <f t="shared" si="17"/>
        <v>2286.4901470018326</v>
      </c>
      <c r="AD40" s="4504">
        <f t="shared" si="18"/>
        <v>461.84848124756292</v>
      </c>
      <c r="AE40" s="4504">
        <f t="shared" si="19"/>
        <v>8.0341808505170498</v>
      </c>
      <c r="AF40" s="4504">
        <f t="shared" si="20"/>
        <v>9.5338891137831272</v>
      </c>
      <c r="AG40" s="4504">
        <f t="shared" si="21"/>
        <v>460.348772984297</v>
      </c>
      <c r="AH40" s="4504">
        <f t="shared" si="22"/>
        <v>396.26379053808597</v>
      </c>
      <c r="AI40" s="4504">
        <f t="shared" si="23"/>
        <v>7.9331242182742878</v>
      </c>
      <c r="AJ40" s="4504">
        <f t="shared" si="24"/>
        <v>11.633084862247527</v>
      </c>
      <c r="AK40" s="4504">
        <f t="shared" si="25"/>
        <v>392.5638298941127</v>
      </c>
      <c r="AL40" s="4504">
        <f t="shared" si="26"/>
        <v>0</v>
      </c>
      <c r="AM40" s="4504">
        <f t="shared" si="27"/>
        <v>0</v>
      </c>
      <c r="AN40" s="4504">
        <f t="shared" si="28"/>
        <v>0</v>
      </c>
      <c r="AO40" s="4504">
        <f t="shared" si="29"/>
        <v>0</v>
      </c>
      <c r="AP40" s="4504">
        <f t="shared" si="30"/>
        <v>232.70823835941127</v>
      </c>
      <c r="AQ40" s="4504">
        <f t="shared" si="31"/>
        <v>6.3040895655802949</v>
      </c>
      <c r="AR40" s="4504">
        <f t="shared" si="32"/>
        <v>3.020736272999673</v>
      </c>
      <c r="AS40" s="4504">
        <f t="shared" si="33"/>
        <v>235.9915916519918</v>
      </c>
    </row>
    <row r="41" spans="1:45">
      <c r="A41" s="2547">
        <v>1</v>
      </c>
      <c r="B41" s="2547">
        <v>20101</v>
      </c>
      <c r="C41" s="2596">
        <v>0</v>
      </c>
      <c r="D41" s="2599" t="s">
        <v>556</v>
      </c>
      <c r="E41" s="411">
        <v>0</v>
      </c>
      <c r="F41" s="411">
        <v>0</v>
      </c>
      <c r="G41" s="411">
        <v>0</v>
      </c>
      <c r="H41" s="4453">
        <f t="shared" ref="H41:H42" si="82">+E41+F41-G41</f>
        <v>0</v>
      </c>
      <c r="I41" s="411">
        <v>0</v>
      </c>
      <c r="J41" s="411">
        <v>0</v>
      </c>
      <c r="K41" s="411">
        <v>0</v>
      </c>
      <c r="L41" s="4453">
        <f t="shared" ref="L41:L42" si="83">+I41+J41-K41</f>
        <v>0</v>
      </c>
      <c r="M41" s="411">
        <v>0</v>
      </c>
      <c r="N41" s="411">
        <v>0</v>
      </c>
      <c r="O41" s="411">
        <v>0</v>
      </c>
      <c r="P41" s="4453">
        <f t="shared" ref="P41:P42" si="84">+M41+N41-O41</f>
        <v>0</v>
      </c>
      <c r="Q41" s="411"/>
      <c r="R41" s="411"/>
      <c r="S41" s="411"/>
      <c r="T41" s="4453">
        <f t="shared" ref="T41:T42" si="85">+Q41+R41-S41</f>
        <v>0</v>
      </c>
      <c r="U41" s="411">
        <v>0</v>
      </c>
      <c r="V41" s="411">
        <v>0</v>
      </c>
      <c r="W41" s="411">
        <v>0</v>
      </c>
      <c r="X41" s="4453">
        <f t="shared" ref="X41:X42" si="86">+U41+V41-W41</f>
        <v>0</v>
      </c>
      <c r="Y41" s="4488"/>
      <c r="Z41" s="4504">
        <f t="shared" si="14"/>
        <v>0</v>
      </c>
      <c r="AA41" s="4504">
        <f t="shared" si="15"/>
        <v>0</v>
      </c>
      <c r="AB41" s="4504">
        <f t="shared" si="16"/>
        <v>0</v>
      </c>
      <c r="AC41" s="4504">
        <f t="shared" si="17"/>
        <v>0</v>
      </c>
      <c r="AD41" s="4504">
        <f t="shared" si="18"/>
        <v>0</v>
      </c>
      <c r="AE41" s="4504">
        <f t="shared" si="19"/>
        <v>0</v>
      </c>
      <c r="AF41" s="4504">
        <f t="shared" si="20"/>
        <v>0</v>
      </c>
      <c r="AG41" s="4504">
        <f t="shared" si="21"/>
        <v>0</v>
      </c>
      <c r="AH41" s="4504">
        <f t="shared" si="22"/>
        <v>0</v>
      </c>
      <c r="AI41" s="4504">
        <f t="shared" si="23"/>
        <v>0</v>
      </c>
      <c r="AJ41" s="4504">
        <f t="shared" si="24"/>
        <v>0</v>
      </c>
      <c r="AK41" s="4504">
        <f t="shared" si="25"/>
        <v>0</v>
      </c>
      <c r="AL41" s="4504">
        <f t="shared" si="26"/>
        <v>0</v>
      </c>
      <c r="AM41" s="4504">
        <f t="shared" si="27"/>
        <v>0</v>
      </c>
      <c r="AN41" s="4504">
        <f t="shared" si="28"/>
        <v>0</v>
      </c>
      <c r="AO41" s="4504">
        <f t="shared" si="29"/>
        <v>0</v>
      </c>
      <c r="AP41" s="4504">
        <f t="shared" si="30"/>
        <v>0</v>
      </c>
      <c r="AQ41" s="4504">
        <f t="shared" si="31"/>
        <v>0</v>
      </c>
      <c r="AR41" s="4504">
        <f t="shared" si="32"/>
        <v>0</v>
      </c>
      <c r="AS41" s="4504">
        <f t="shared" si="33"/>
        <v>0</v>
      </c>
    </row>
    <row r="42" spans="1:45" ht="24">
      <c r="A42" s="2553">
        <v>2</v>
      </c>
      <c r="B42" s="2553">
        <v>20201</v>
      </c>
      <c r="C42" s="2600">
        <v>0.03</v>
      </c>
      <c r="D42" s="2601" t="s">
        <v>425</v>
      </c>
      <c r="E42" s="2654">
        <v>499.33345945425287</v>
      </c>
      <c r="F42" s="2654">
        <v>12.565055923473434</v>
      </c>
      <c r="G42" s="2654">
        <v>0</v>
      </c>
      <c r="H42" s="2679">
        <f t="shared" si="82"/>
        <v>511.89851537772631</v>
      </c>
      <c r="I42" s="2654">
        <v>202.01951892007114</v>
      </c>
      <c r="J42" s="2654">
        <v>7.4401575920858365</v>
      </c>
      <c r="K42" s="2654">
        <v>0</v>
      </c>
      <c r="L42" s="2679">
        <f t="shared" si="83"/>
        <v>209.45967651215696</v>
      </c>
      <c r="M42" s="2654">
        <v>288.25009941405722</v>
      </c>
      <c r="N42" s="2654">
        <v>8.859899164287663</v>
      </c>
      <c r="O42" s="2654">
        <v>0</v>
      </c>
      <c r="P42" s="2679">
        <f t="shared" si="84"/>
        <v>297.10999857834486</v>
      </c>
      <c r="Q42" s="2654"/>
      <c r="R42" s="2654"/>
      <c r="S42" s="2654"/>
      <c r="T42" s="2679">
        <f t="shared" si="85"/>
        <v>0</v>
      </c>
      <c r="U42" s="2654">
        <v>8.2509481065433299</v>
      </c>
      <c r="V42" s="2654">
        <v>0.42531445429636716</v>
      </c>
      <c r="W42" s="2654">
        <v>0</v>
      </c>
      <c r="X42" s="2679">
        <f t="shared" si="86"/>
        <v>8.6762625608396977</v>
      </c>
      <c r="Y42" s="4488"/>
      <c r="Z42" s="4504">
        <f t="shared" si="14"/>
        <v>255.30514382858064</v>
      </c>
      <c r="AA42" s="4504">
        <f t="shared" si="15"/>
        <v>6.4244110804484205</v>
      </c>
      <c r="AB42" s="4504">
        <f t="shared" si="16"/>
        <v>0</v>
      </c>
      <c r="AC42" s="4504">
        <f t="shared" si="17"/>
        <v>261.72955490902905</v>
      </c>
      <c r="AD42" s="4504">
        <f t="shared" si="18"/>
        <v>103.29093986699823</v>
      </c>
      <c r="AE42" s="4504">
        <f t="shared" si="19"/>
        <v>3.8040921716538945</v>
      </c>
      <c r="AF42" s="4504">
        <f t="shared" si="20"/>
        <v>0</v>
      </c>
      <c r="AG42" s="4504">
        <f t="shared" si="21"/>
        <v>107.09503203865212</v>
      </c>
      <c r="AH42" s="4504">
        <f t="shared" si="22"/>
        <v>147.3799355844103</v>
      </c>
      <c r="AI42" s="4504">
        <f t="shared" si="23"/>
        <v>4.5299945109174438</v>
      </c>
      <c r="AJ42" s="4504">
        <f t="shared" si="24"/>
        <v>0</v>
      </c>
      <c r="AK42" s="4504">
        <f t="shared" si="25"/>
        <v>151.90993009532775</v>
      </c>
      <c r="AL42" s="4504">
        <f t="shared" si="26"/>
        <v>0</v>
      </c>
      <c r="AM42" s="4504">
        <f t="shared" si="27"/>
        <v>0</v>
      </c>
      <c r="AN42" s="4504">
        <f t="shared" si="28"/>
        <v>0</v>
      </c>
      <c r="AO42" s="4504">
        <f t="shared" si="29"/>
        <v>0</v>
      </c>
      <c r="AP42" s="4504">
        <f t="shared" si="30"/>
        <v>4.2186427790469159</v>
      </c>
      <c r="AQ42" s="4504">
        <f t="shared" si="31"/>
        <v>0.21745982743713266</v>
      </c>
      <c r="AR42" s="4504">
        <f t="shared" si="32"/>
        <v>0</v>
      </c>
      <c r="AS42" s="4504">
        <f t="shared" si="33"/>
        <v>4.4361026064840487</v>
      </c>
    </row>
    <row r="43" spans="1:45" ht="24">
      <c r="A43" s="2553">
        <v>3</v>
      </c>
      <c r="B43" s="2554">
        <v>203</v>
      </c>
      <c r="C43" s="2549"/>
      <c r="D43" s="2585" t="s">
        <v>405</v>
      </c>
      <c r="E43" s="2657">
        <f>SUM(E44:E47)</f>
        <v>1696.6356664749103</v>
      </c>
      <c r="F43" s="2657">
        <f t="shared" ref="F43:H43" si="87">SUM(F44:F47)</f>
        <v>42.4581115825316</v>
      </c>
      <c r="G43" s="2657">
        <f t="shared" si="87"/>
        <v>11.462264620308703</v>
      </c>
      <c r="H43" s="2657">
        <f t="shared" si="87"/>
        <v>1727.6315134371332</v>
      </c>
      <c r="I43" s="2657">
        <f>SUM(I44:I47)</f>
        <v>504.10138940625677</v>
      </c>
      <c r="J43" s="2657">
        <f t="shared" ref="J43:L43" si="88">SUM(J44:J47)</f>
        <v>2.3435567917468947</v>
      </c>
      <c r="K43" s="2657">
        <f t="shared" si="88"/>
        <v>0</v>
      </c>
      <c r="L43" s="2657">
        <f t="shared" si="88"/>
        <v>506.44494619800372</v>
      </c>
      <c r="M43" s="2657">
        <f>SUM(M44:M47)</f>
        <v>124.2590370449916</v>
      </c>
      <c r="N43" s="2657">
        <f t="shared" ref="N43:P43" si="89">SUM(N44:N47)</f>
        <v>1.2419855377000801</v>
      </c>
      <c r="O43" s="2657">
        <f t="shared" si="89"/>
        <v>0</v>
      </c>
      <c r="P43" s="2657">
        <f t="shared" si="89"/>
        <v>125.50102258269169</v>
      </c>
      <c r="Q43" s="2657">
        <f>SUM(Q44:Q47)</f>
        <v>0</v>
      </c>
      <c r="R43" s="2657">
        <f t="shared" ref="R43:T43" si="90">SUM(R44:R47)</f>
        <v>0</v>
      </c>
      <c r="S43" s="2657">
        <f t="shared" si="90"/>
        <v>0</v>
      </c>
      <c r="T43" s="2657">
        <f t="shared" si="90"/>
        <v>0</v>
      </c>
      <c r="U43" s="2657">
        <f>SUM(U44:U47)</f>
        <v>240.43821170039951</v>
      </c>
      <c r="V43" s="2657">
        <f t="shared" ref="V43:X43" si="91">SUM(V44:V47)</f>
        <v>10.100790430620481</v>
      </c>
      <c r="W43" s="2657">
        <f t="shared" si="91"/>
        <v>4.8785353796912974</v>
      </c>
      <c r="X43" s="2657">
        <f t="shared" si="91"/>
        <v>245.6604667513287</v>
      </c>
      <c r="Y43" s="4488"/>
      <c r="Z43" s="4504">
        <f t="shared" si="14"/>
        <v>867.47604161655681</v>
      </c>
      <c r="AA43" s="4504">
        <f t="shared" si="15"/>
        <v>21.708487743071537</v>
      </c>
      <c r="AB43" s="4504">
        <f t="shared" si="16"/>
        <v>5.8605628404864962</v>
      </c>
      <c r="AC43" s="4504">
        <f t="shared" si="17"/>
        <v>883.32396651914189</v>
      </c>
      <c r="AD43" s="4504">
        <f t="shared" si="18"/>
        <v>257.74294770315254</v>
      </c>
      <c r="AE43" s="4504">
        <f t="shared" si="19"/>
        <v>1.1982415607424441</v>
      </c>
      <c r="AF43" s="4504">
        <f t="shared" si="20"/>
        <v>0</v>
      </c>
      <c r="AG43" s="4504">
        <f t="shared" si="21"/>
        <v>258.94118926389501</v>
      </c>
      <c r="AH43" s="4504">
        <f t="shared" si="22"/>
        <v>63.532636806364359</v>
      </c>
      <c r="AI43" s="4504">
        <f t="shared" si="23"/>
        <v>0.63501712198917093</v>
      </c>
      <c r="AJ43" s="4504">
        <f t="shared" si="24"/>
        <v>0</v>
      </c>
      <c r="AK43" s="4504">
        <f t="shared" si="25"/>
        <v>64.167653928353531</v>
      </c>
      <c r="AL43" s="4504">
        <f t="shared" si="26"/>
        <v>0</v>
      </c>
      <c r="AM43" s="4504">
        <f t="shared" si="27"/>
        <v>0</v>
      </c>
      <c r="AN43" s="4504">
        <f t="shared" si="28"/>
        <v>0</v>
      </c>
      <c r="AO43" s="4504">
        <f t="shared" si="29"/>
        <v>0</v>
      </c>
      <c r="AP43" s="4504">
        <f t="shared" si="30"/>
        <v>122.9341055717519</v>
      </c>
      <c r="AQ43" s="4504">
        <f t="shared" si="31"/>
        <v>5.1644521408407078</v>
      </c>
      <c r="AR43" s="4504">
        <f t="shared" si="32"/>
        <v>2.4943555317646715</v>
      </c>
      <c r="AS43" s="4504">
        <f t="shared" si="33"/>
        <v>125.60420218082794</v>
      </c>
    </row>
    <row r="44" spans="1:45">
      <c r="A44" s="2553"/>
      <c r="B44" s="2554">
        <v>20301</v>
      </c>
      <c r="C44" s="2560">
        <v>0.1</v>
      </c>
      <c r="D44" s="2588" t="s">
        <v>427</v>
      </c>
      <c r="E44" s="2654">
        <v>299.40684507848977</v>
      </c>
      <c r="F44" s="411">
        <v>14.75882450426149</v>
      </c>
      <c r="G44" s="411">
        <v>4.7228080689804521</v>
      </c>
      <c r="H44" s="4453">
        <f t="shared" ref="H44:H48" si="92">+E44+F44-G44</f>
        <v>309.44286151377082</v>
      </c>
      <c r="I44" s="2654">
        <v>19.254882665770733</v>
      </c>
      <c r="J44" s="411">
        <v>0</v>
      </c>
      <c r="K44" s="411">
        <v>0</v>
      </c>
      <c r="L44" s="4453">
        <f t="shared" ref="L44:L48" si="93">+I44+J44-K44</f>
        <v>19.254882665770733</v>
      </c>
      <c r="M44" s="2654">
        <v>3.209790713545206</v>
      </c>
      <c r="N44" s="411">
        <v>0.25631999999999999</v>
      </c>
      <c r="O44" s="411">
        <v>0</v>
      </c>
      <c r="P44" s="4453">
        <f t="shared" ref="P44:P48" si="94">+M44+N44-O44</f>
        <v>3.4661107135452061</v>
      </c>
      <c r="Q44" s="2654"/>
      <c r="R44" s="411"/>
      <c r="S44" s="411"/>
      <c r="T44" s="4453">
        <f t="shared" ref="T44:T48" si="95">+Q44+R44-S44</f>
        <v>0</v>
      </c>
      <c r="U44" s="2654">
        <v>16.096618832544866</v>
      </c>
      <c r="V44" s="411">
        <v>0.32203549573851281</v>
      </c>
      <c r="W44" s="411">
        <v>4.8425619310195476</v>
      </c>
      <c r="X44" s="4453">
        <f t="shared" ref="X44:X48" si="96">+U44+V44-W44</f>
        <v>11.57609239726383</v>
      </c>
      <c r="Y44" s="4488"/>
      <c r="Z44" s="4504">
        <f t="shared" si="14"/>
        <v>153.08428906320577</v>
      </c>
      <c r="AA44" s="4504">
        <f t="shared" si="15"/>
        <v>7.5460671450287045</v>
      </c>
      <c r="AB44" s="4504">
        <f t="shared" si="16"/>
        <v>2.4147334221176955</v>
      </c>
      <c r="AC44" s="4504">
        <f t="shared" si="17"/>
        <v>158.2156227861168</v>
      </c>
      <c r="AD44" s="4504">
        <f t="shared" si="18"/>
        <v>9.8448651803943772</v>
      </c>
      <c r="AE44" s="4504">
        <f t="shared" si="19"/>
        <v>0</v>
      </c>
      <c r="AF44" s="4504">
        <f t="shared" si="20"/>
        <v>0</v>
      </c>
      <c r="AG44" s="4504">
        <f t="shared" si="21"/>
        <v>9.8448651803943772</v>
      </c>
      <c r="AH44" s="4504">
        <f t="shared" si="22"/>
        <v>1.6411399321746809</v>
      </c>
      <c r="AI44" s="4504">
        <f t="shared" si="23"/>
        <v>0.13105433498821473</v>
      </c>
      <c r="AJ44" s="4504">
        <f t="shared" si="24"/>
        <v>0</v>
      </c>
      <c r="AK44" s="4504">
        <f t="shared" si="25"/>
        <v>1.7721942671628956</v>
      </c>
      <c r="AL44" s="4504">
        <f t="shared" si="26"/>
        <v>0</v>
      </c>
      <c r="AM44" s="4504">
        <f t="shared" si="27"/>
        <v>0</v>
      </c>
      <c r="AN44" s="4504">
        <f t="shared" si="28"/>
        <v>0</v>
      </c>
      <c r="AO44" s="4504">
        <f t="shared" si="29"/>
        <v>0</v>
      </c>
      <c r="AP44" s="4504">
        <f t="shared" si="30"/>
        <v>8.2300705237903422</v>
      </c>
      <c r="AQ44" s="4504">
        <f t="shared" si="31"/>
        <v>0.16465413442810101</v>
      </c>
      <c r="AR44" s="4504">
        <f t="shared" si="32"/>
        <v>2.4759625995201771</v>
      </c>
      <c r="AS44" s="4504">
        <f t="shared" si="33"/>
        <v>5.9187620586982659</v>
      </c>
    </row>
    <row r="45" spans="1:45">
      <c r="A45" s="2553"/>
      <c r="B45" s="2554">
        <v>20302</v>
      </c>
      <c r="C45" s="2560">
        <v>0.1</v>
      </c>
      <c r="D45" s="2588" t="s">
        <v>428</v>
      </c>
      <c r="E45" s="2654">
        <v>99.652992211155052</v>
      </c>
      <c r="F45" s="411">
        <v>1.9624603638095626</v>
      </c>
      <c r="G45" s="411">
        <v>6.69080655132825</v>
      </c>
      <c r="H45" s="4453">
        <f t="shared" si="92"/>
        <v>94.92464602363637</v>
      </c>
      <c r="I45" s="2654">
        <v>35.131576525579298</v>
      </c>
      <c r="J45" s="411">
        <v>0.86332679174689475</v>
      </c>
      <c r="K45" s="411">
        <v>0</v>
      </c>
      <c r="L45" s="4453">
        <f t="shared" si="93"/>
        <v>35.994903317326191</v>
      </c>
      <c r="M45" s="2654">
        <v>70.996826492397261</v>
      </c>
      <c r="N45" s="411">
        <v>0.69292553770008014</v>
      </c>
      <c r="O45" s="411">
        <v>0</v>
      </c>
      <c r="P45" s="4453">
        <f t="shared" si="94"/>
        <v>71.689752030097338</v>
      </c>
      <c r="Q45" s="2654"/>
      <c r="R45" s="411"/>
      <c r="S45" s="411"/>
      <c r="T45" s="4453">
        <f t="shared" si="95"/>
        <v>0</v>
      </c>
      <c r="U45" s="2654">
        <v>11.629992107076124</v>
      </c>
      <c r="V45" s="411">
        <v>0.34065164934251324</v>
      </c>
      <c r="W45" s="411">
        <v>3.5973448671749571E-2</v>
      </c>
      <c r="X45" s="4453">
        <f t="shared" si="96"/>
        <v>11.934670307746888</v>
      </c>
      <c r="Y45" s="4488"/>
      <c r="Z45" s="4504">
        <f t="shared" si="14"/>
        <v>50.951765854473578</v>
      </c>
      <c r="AA45" s="4504">
        <f t="shared" si="15"/>
        <v>1.0033900511852065</v>
      </c>
      <c r="AB45" s="4504">
        <f t="shared" si="16"/>
        <v>3.4209550683486039</v>
      </c>
      <c r="AC45" s="4504">
        <f t="shared" si="17"/>
        <v>48.534200837310181</v>
      </c>
      <c r="AD45" s="4504">
        <f t="shared" si="18"/>
        <v>17.962489851152348</v>
      </c>
      <c r="AE45" s="4504">
        <f t="shared" si="19"/>
        <v>0.44141197943936578</v>
      </c>
      <c r="AF45" s="4504">
        <f t="shared" si="20"/>
        <v>0</v>
      </c>
      <c r="AG45" s="4504">
        <f t="shared" si="21"/>
        <v>18.403901830591714</v>
      </c>
      <c r="AH45" s="4504">
        <f t="shared" si="22"/>
        <v>36.300100976259316</v>
      </c>
      <c r="AI45" s="4504">
        <f t="shared" si="23"/>
        <v>0.35428720169957517</v>
      </c>
      <c r="AJ45" s="4504">
        <f t="shared" si="24"/>
        <v>0</v>
      </c>
      <c r="AK45" s="4504">
        <f t="shared" si="25"/>
        <v>36.654388177958893</v>
      </c>
      <c r="AL45" s="4504">
        <f t="shared" si="26"/>
        <v>0</v>
      </c>
      <c r="AM45" s="4504">
        <f t="shared" si="27"/>
        <v>0</v>
      </c>
      <c r="AN45" s="4504">
        <f t="shared" si="28"/>
        <v>0</v>
      </c>
      <c r="AO45" s="4504">
        <f t="shared" si="29"/>
        <v>0</v>
      </c>
      <c r="AP45" s="4504">
        <f t="shared" si="30"/>
        <v>5.9463205427241244</v>
      </c>
      <c r="AQ45" s="4504">
        <f t="shared" si="31"/>
        <v>0.17417242262492816</v>
      </c>
      <c r="AR45" s="4504">
        <f t="shared" si="32"/>
        <v>1.8392932244494446E-2</v>
      </c>
      <c r="AS45" s="4504">
        <f t="shared" si="33"/>
        <v>6.1021000331045583</v>
      </c>
    </row>
    <row r="46" spans="1:45" ht="24">
      <c r="A46" s="2553"/>
      <c r="B46" s="2554">
        <v>20303</v>
      </c>
      <c r="C46" s="2549">
        <v>0.1</v>
      </c>
      <c r="D46" s="2588" t="s">
        <v>406</v>
      </c>
      <c r="E46" s="2654">
        <v>1259.8614223055488</v>
      </c>
      <c r="F46" s="411">
        <v>25.471929325749812</v>
      </c>
      <c r="G46" s="411">
        <v>0</v>
      </c>
      <c r="H46" s="4453">
        <f t="shared" si="92"/>
        <v>1285.3333516312987</v>
      </c>
      <c r="I46" s="2654">
        <v>449.53971861595875</v>
      </c>
      <c r="J46" s="411">
        <v>1.4802299999999999</v>
      </c>
      <c r="K46" s="411">
        <v>0</v>
      </c>
      <c r="L46" s="4453">
        <f t="shared" si="93"/>
        <v>451.01994861595875</v>
      </c>
      <c r="M46" s="2654">
        <v>46.644242263929442</v>
      </c>
      <c r="N46" s="411">
        <v>0</v>
      </c>
      <c r="O46" s="411">
        <v>0</v>
      </c>
      <c r="P46" s="4453">
        <f t="shared" si="94"/>
        <v>46.644242263929442</v>
      </c>
      <c r="Q46" s="2654"/>
      <c r="R46" s="411"/>
      <c r="S46" s="411"/>
      <c r="T46" s="4453">
        <f t="shared" si="95"/>
        <v>0</v>
      </c>
      <c r="U46" s="2654">
        <v>211.40020681456286</v>
      </c>
      <c r="V46" s="411">
        <v>9.3275206742501897</v>
      </c>
      <c r="W46" s="411">
        <v>0</v>
      </c>
      <c r="X46" s="4453">
        <f t="shared" si="96"/>
        <v>220.72772748881306</v>
      </c>
      <c r="Y46" s="4488"/>
      <c r="Z46" s="4504">
        <f t="shared" si="14"/>
        <v>644.15691665714746</v>
      </c>
      <c r="AA46" s="4504">
        <f t="shared" si="15"/>
        <v>13.023590662659746</v>
      </c>
      <c r="AB46" s="4504">
        <f t="shared" si="16"/>
        <v>0</v>
      </c>
      <c r="AC46" s="4504">
        <f t="shared" si="17"/>
        <v>657.18050731980725</v>
      </c>
      <c r="AD46" s="4504">
        <f t="shared" si="18"/>
        <v>229.84600840357228</v>
      </c>
      <c r="AE46" s="4504">
        <f t="shared" si="19"/>
        <v>0.75682958130307842</v>
      </c>
      <c r="AF46" s="4504">
        <f t="shared" si="20"/>
        <v>0</v>
      </c>
      <c r="AG46" s="4504">
        <f t="shared" si="21"/>
        <v>230.60283798487535</v>
      </c>
      <c r="AH46" s="4504">
        <f t="shared" si="22"/>
        <v>23.848822374096645</v>
      </c>
      <c r="AI46" s="4504">
        <f t="shared" si="23"/>
        <v>0</v>
      </c>
      <c r="AJ46" s="4504">
        <f t="shared" si="24"/>
        <v>0</v>
      </c>
      <c r="AK46" s="4504">
        <f t="shared" si="25"/>
        <v>23.848822374096645</v>
      </c>
      <c r="AL46" s="4504">
        <f t="shared" si="26"/>
        <v>0</v>
      </c>
      <c r="AM46" s="4504">
        <f t="shared" si="27"/>
        <v>0</v>
      </c>
      <c r="AN46" s="4504">
        <f t="shared" si="28"/>
        <v>0</v>
      </c>
      <c r="AO46" s="4504">
        <f t="shared" si="29"/>
        <v>0</v>
      </c>
      <c r="AP46" s="4504">
        <f t="shared" si="30"/>
        <v>108.08720942748749</v>
      </c>
      <c r="AQ46" s="4504">
        <f t="shared" si="31"/>
        <v>4.7690855924340001</v>
      </c>
      <c r="AR46" s="4504">
        <f t="shared" si="32"/>
        <v>0</v>
      </c>
      <c r="AS46" s="4504">
        <f t="shared" si="33"/>
        <v>112.8562950199215</v>
      </c>
    </row>
    <row r="47" spans="1:45" ht="24">
      <c r="A47" s="2553"/>
      <c r="B47" s="2554">
        <v>20306</v>
      </c>
      <c r="C47" s="2549">
        <v>0.1</v>
      </c>
      <c r="D47" s="2588" t="s">
        <v>409</v>
      </c>
      <c r="E47" s="2654">
        <v>37.714406879716663</v>
      </c>
      <c r="F47" s="411">
        <v>0.26489738871073421</v>
      </c>
      <c r="G47" s="411">
        <v>4.8649999999999999E-2</v>
      </c>
      <c r="H47" s="4453">
        <f t="shared" si="92"/>
        <v>37.930654268427396</v>
      </c>
      <c r="I47" s="2654">
        <v>0.17521159894800881</v>
      </c>
      <c r="J47" s="411">
        <v>0</v>
      </c>
      <c r="K47" s="411">
        <v>0</v>
      </c>
      <c r="L47" s="4453">
        <f t="shared" si="93"/>
        <v>0.17521159894800881</v>
      </c>
      <c r="M47" s="2654">
        <v>3.4081775751196997</v>
      </c>
      <c r="N47" s="411">
        <v>0.29274</v>
      </c>
      <c r="O47" s="411">
        <v>0</v>
      </c>
      <c r="P47" s="4453">
        <f t="shared" si="94"/>
        <v>3.7009175751196999</v>
      </c>
      <c r="Q47" s="2654"/>
      <c r="R47" s="411"/>
      <c r="S47" s="411"/>
      <c r="T47" s="4453">
        <f t="shared" si="95"/>
        <v>0</v>
      </c>
      <c r="U47" s="2654">
        <v>1.3113939462156343</v>
      </c>
      <c r="V47" s="411">
        <v>0.11058261128926582</v>
      </c>
      <c r="W47" s="411">
        <v>0</v>
      </c>
      <c r="X47" s="4453">
        <f t="shared" si="96"/>
        <v>1.4219765575049002</v>
      </c>
      <c r="Y47" s="4488"/>
      <c r="Z47" s="4504">
        <f t="shared" si="14"/>
        <v>19.283070041729939</v>
      </c>
      <c r="AA47" s="4504">
        <f t="shared" si="15"/>
        <v>0.13543988419787722</v>
      </c>
      <c r="AB47" s="4504">
        <f t="shared" si="16"/>
        <v>2.4874350020196029E-2</v>
      </c>
      <c r="AC47" s="4504">
        <f t="shared" si="17"/>
        <v>19.39363557590762</v>
      </c>
      <c r="AD47" s="4504">
        <f t="shared" si="18"/>
        <v>8.9584268033524803E-2</v>
      </c>
      <c r="AE47" s="4504">
        <f t="shared" si="19"/>
        <v>0</v>
      </c>
      <c r="AF47" s="4504">
        <f t="shared" si="20"/>
        <v>0</v>
      </c>
      <c r="AG47" s="4504">
        <f t="shared" si="21"/>
        <v>8.9584268033524803E-2</v>
      </c>
      <c r="AH47" s="4504">
        <f t="shared" si="22"/>
        <v>1.7425735238337174</v>
      </c>
      <c r="AI47" s="4504">
        <f t="shared" si="23"/>
        <v>0.149675585301381</v>
      </c>
      <c r="AJ47" s="4504">
        <f t="shared" si="24"/>
        <v>0</v>
      </c>
      <c r="AK47" s="4504">
        <f t="shared" si="25"/>
        <v>1.8922491091350986</v>
      </c>
      <c r="AL47" s="4504">
        <f t="shared" si="26"/>
        <v>0</v>
      </c>
      <c r="AM47" s="4504">
        <f t="shared" si="27"/>
        <v>0</v>
      </c>
      <c r="AN47" s="4504">
        <f t="shared" si="28"/>
        <v>0</v>
      </c>
      <c r="AO47" s="4504">
        <f t="shared" si="29"/>
        <v>0</v>
      </c>
      <c r="AP47" s="4504">
        <f t="shared" si="30"/>
        <v>0.67050507774992429</v>
      </c>
      <c r="AQ47" s="4504">
        <f t="shared" si="31"/>
        <v>5.653999135367891E-2</v>
      </c>
      <c r="AR47" s="4504">
        <f t="shared" si="32"/>
        <v>0</v>
      </c>
      <c r="AS47" s="4504">
        <f t="shared" si="33"/>
        <v>0.72704506910360311</v>
      </c>
    </row>
    <row r="48" spans="1:45">
      <c r="A48" s="2553">
        <v>4</v>
      </c>
      <c r="B48" s="2554">
        <v>20403</v>
      </c>
      <c r="C48" s="2560">
        <v>0.04</v>
      </c>
      <c r="D48" s="2590" t="s">
        <v>434</v>
      </c>
      <c r="E48" s="2654">
        <v>22.82982650439029</v>
      </c>
      <c r="F48" s="411">
        <v>0.99390311838214462</v>
      </c>
      <c r="G48" s="411">
        <v>0</v>
      </c>
      <c r="H48" s="4453">
        <f t="shared" si="92"/>
        <v>23.823729622772436</v>
      </c>
      <c r="I48" s="2654">
        <v>5.8293658932404471</v>
      </c>
      <c r="J48" s="411">
        <v>0.18433817558596749</v>
      </c>
      <c r="K48" s="411">
        <v>0</v>
      </c>
      <c r="L48" s="4453">
        <f t="shared" si="93"/>
        <v>6.0137040688264145</v>
      </c>
      <c r="M48" s="2654">
        <v>8.9426792080958268</v>
      </c>
      <c r="N48" s="411">
        <v>0.2249262199665463</v>
      </c>
      <c r="O48" s="411">
        <v>0</v>
      </c>
      <c r="P48" s="4453">
        <f t="shared" si="94"/>
        <v>9.1676054280623731</v>
      </c>
      <c r="Q48" s="2654"/>
      <c r="R48" s="411"/>
      <c r="S48" s="411"/>
      <c r="T48" s="4453">
        <f t="shared" si="95"/>
        <v>0</v>
      </c>
      <c r="U48" s="2654">
        <v>0.24778170999364915</v>
      </c>
      <c r="V48" s="411">
        <v>1.053763842834865E-2</v>
      </c>
      <c r="W48" s="411">
        <v>0</v>
      </c>
      <c r="X48" s="4453">
        <f t="shared" si="96"/>
        <v>0.25831934842199777</v>
      </c>
      <c r="Y48" s="4488"/>
      <c r="Z48" s="4504">
        <f t="shared" si="14"/>
        <v>11.672704940813</v>
      </c>
      <c r="AA48" s="4504">
        <f t="shared" si="15"/>
        <v>0.50817459512439456</v>
      </c>
      <c r="AB48" s="4504">
        <f t="shared" si="16"/>
        <v>0</v>
      </c>
      <c r="AC48" s="4504">
        <f t="shared" si="17"/>
        <v>12.180879535937397</v>
      </c>
      <c r="AD48" s="4504">
        <f t="shared" si="18"/>
        <v>2.9805074537359828</v>
      </c>
      <c r="AE48" s="4504">
        <f t="shared" si="19"/>
        <v>9.4250612571628159E-2</v>
      </c>
      <c r="AF48" s="4504">
        <f t="shared" si="20"/>
        <v>0</v>
      </c>
      <c r="AG48" s="4504">
        <f t="shared" si="21"/>
        <v>3.0747580663076111</v>
      </c>
      <c r="AH48" s="4504">
        <f t="shared" si="22"/>
        <v>4.5723192752416244</v>
      </c>
      <c r="AI48" s="4504">
        <f t="shared" si="23"/>
        <v>0.11500295013704989</v>
      </c>
      <c r="AJ48" s="4504">
        <f t="shared" si="24"/>
        <v>0</v>
      </c>
      <c r="AK48" s="4504">
        <f t="shared" si="25"/>
        <v>4.6873222253786748</v>
      </c>
      <c r="AL48" s="4504">
        <f t="shared" si="26"/>
        <v>0</v>
      </c>
      <c r="AM48" s="4504">
        <f t="shared" si="27"/>
        <v>0</v>
      </c>
      <c r="AN48" s="4504">
        <f t="shared" si="28"/>
        <v>0</v>
      </c>
      <c r="AO48" s="4504">
        <f t="shared" si="29"/>
        <v>0</v>
      </c>
      <c r="AP48" s="4504">
        <f t="shared" si="30"/>
        <v>0.12668877662866873</v>
      </c>
      <c r="AQ48" s="4504">
        <f t="shared" si="31"/>
        <v>5.3878089753959446E-3</v>
      </c>
      <c r="AR48" s="4504">
        <f t="shared" si="32"/>
        <v>0</v>
      </c>
      <c r="AS48" s="4504">
        <f t="shared" si="33"/>
        <v>0.13207658560406466</v>
      </c>
    </row>
    <row r="49" spans="1:45">
      <c r="A49" s="2553">
        <v>5</v>
      </c>
      <c r="B49" s="2554">
        <v>205</v>
      </c>
      <c r="C49" s="2549"/>
      <c r="D49" s="2585" t="s">
        <v>212</v>
      </c>
      <c r="E49" s="2648">
        <f>SUM(E50:E53)</f>
        <v>1714.4124761566266</v>
      </c>
      <c r="F49" s="2648">
        <f t="shared" ref="F49:H49" si="97">SUM(F50:F53)</f>
        <v>19.449947254878062</v>
      </c>
      <c r="G49" s="2648">
        <f t="shared" si="97"/>
        <v>0</v>
      </c>
      <c r="H49" s="2648">
        <f t="shared" si="97"/>
        <v>1733.8624234115048</v>
      </c>
      <c r="I49" s="2648">
        <f>SUM(I50:I53)</f>
        <v>119.9505902170968</v>
      </c>
      <c r="J49" s="2648">
        <f t="shared" ref="J49:L49" si="98">SUM(J50:J53)</f>
        <v>3.9358817599322453</v>
      </c>
      <c r="K49" s="2648">
        <f t="shared" si="98"/>
        <v>0</v>
      </c>
      <c r="L49" s="2648">
        <f t="shared" si="98"/>
        <v>123.88647197702906</v>
      </c>
      <c r="M49" s="2648">
        <f>SUM(M50:M53)</f>
        <v>244.46709261341795</v>
      </c>
      <c r="N49" s="2648">
        <f t="shared" ref="N49:P49" si="99">SUM(N50:N53)</f>
        <v>2.6276917275598972</v>
      </c>
      <c r="O49" s="2648">
        <f t="shared" si="99"/>
        <v>0</v>
      </c>
      <c r="P49" s="2648">
        <f t="shared" si="99"/>
        <v>247.09478434097787</v>
      </c>
      <c r="Q49" s="2648">
        <f>SUM(Q50:Q53)</f>
        <v>0</v>
      </c>
      <c r="R49" s="2648">
        <f t="shared" ref="R49:T49" si="100">SUM(R50:R53)</f>
        <v>0</v>
      </c>
      <c r="S49" s="2648">
        <f t="shared" si="100"/>
        <v>0</v>
      </c>
      <c r="T49" s="2648">
        <f t="shared" si="100"/>
        <v>0</v>
      </c>
      <c r="U49" s="2648">
        <f>SUM(U50:U53)</f>
        <v>179.26418637743788</v>
      </c>
      <c r="V49" s="2648">
        <f t="shared" ref="V49:X49" si="101">SUM(V50:V53)</f>
        <v>1.695474999319275</v>
      </c>
      <c r="W49" s="2648">
        <f t="shared" si="101"/>
        <v>0</v>
      </c>
      <c r="X49" s="2648">
        <f t="shared" si="101"/>
        <v>180.95966137675717</v>
      </c>
      <c r="Y49" s="4488"/>
      <c r="Z49" s="4504">
        <f t="shared" si="14"/>
        <v>876.5651800803887</v>
      </c>
      <c r="AA49" s="4504">
        <f t="shared" si="15"/>
        <v>9.9446001211138295</v>
      </c>
      <c r="AB49" s="4504">
        <f t="shared" si="16"/>
        <v>0</v>
      </c>
      <c r="AC49" s="4504">
        <f t="shared" si="17"/>
        <v>886.50978020150262</v>
      </c>
      <c r="AD49" s="4504">
        <f t="shared" si="18"/>
        <v>61.329762922696148</v>
      </c>
      <c r="AE49" s="4504">
        <f t="shared" si="19"/>
        <v>2.0123843892016411</v>
      </c>
      <c r="AF49" s="4504">
        <f t="shared" si="20"/>
        <v>0</v>
      </c>
      <c r="AG49" s="4504">
        <f t="shared" si="21"/>
        <v>63.342147311897797</v>
      </c>
      <c r="AH49" s="4504">
        <f t="shared" si="22"/>
        <v>124.99403967288464</v>
      </c>
      <c r="AI49" s="4504">
        <f t="shared" si="23"/>
        <v>1.343517446587841</v>
      </c>
      <c r="AJ49" s="4504">
        <f t="shared" si="24"/>
        <v>0</v>
      </c>
      <c r="AK49" s="4504">
        <f t="shared" si="25"/>
        <v>126.33755711947249</v>
      </c>
      <c r="AL49" s="4504">
        <f t="shared" si="26"/>
        <v>0</v>
      </c>
      <c r="AM49" s="4504">
        <f t="shared" si="27"/>
        <v>0</v>
      </c>
      <c r="AN49" s="4504">
        <f t="shared" si="28"/>
        <v>0</v>
      </c>
      <c r="AO49" s="4504">
        <f t="shared" si="29"/>
        <v>0</v>
      </c>
      <c r="AP49" s="4504">
        <f t="shared" si="30"/>
        <v>91.656323084029736</v>
      </c>
      <c r="AQ49" s="4504">
        <f t="shared" si="31"/>
        <v>0.8668826019231094</v>
      </c>
      <c r="AR49" s="4504">
        <f t="shared" si="32"/>
        <v>0</v>
      </c>
      <c r="AS49" s="4504">
        <f t="shared" si="33"/>
        <v>92.52320568595286</v>
      </c>
    </row>
    <row r="50" spans="1:45">
      <c r="A50" s="2564"/>
      <c r="B50" s="2565">
        <v>20501</v>
      </c>
      <c r="C50" s="2549">
        <v>0.08</v>
      </c>
      <c r="D50" s="2591" t="s">
        <v>410</v>
      </c>
      <c r="E50" s="2654">
        <v>938.90944030333947</v>
      </c>
      <c r="F50" s="411">
        <v>0</v>
      </c>
      <c r="G50" s="411">
        <v>0</v>
      </c>
      <c r="H50" s="4453">
        <f t="shared" ref="H50:H64" si="102">+E50+F50-G50</f>
        <v>938.90944030333947</v>
      </c>
      <c r="I50" s="2654">
        <v>26.271287167938102</v>
      </c>
      <c r="J50" s="411">
        <v>0</v>
      </c>
      <c r="K50" s="411">
        <v>0</v>
      </c>
      <c r="L50" s="4453">
        <f t="shared" ref="L50:L64" si="103">+I50+J50-K50</f>
        <v>26.271287167938102</v>
      </c>
      <c r="M50" s="2654">
        <v>40.302101091142511</v>
      </c>
      <c r="N50" s="411">
        <v>0</v>
      </c>
      <c r="O50" s="411">
        <v>0</v>
      </c>
      <c r="P50" s="4453">
        <f t="shared" ref="P50:P64" si="104">+M50+N50-O50</f>
        <v>40.302101091142511</v>
      </c>
      <c r="Q50" s="2654"/>
      <c r="R50" s="411"/>
      <c r="S50" s="411"/>
      <c r="T50" s="4453">
        <f t="shared" ref="T50:T64" si="105">+Q50+R50-S50</f>
        <v>0</v>
      </c>
      <c r="U50" s="2654">
        <v>108.70676143757984</v>
      </c>
      <c r="V50" s="411">
        <v>0</v>
      </c>
      <c r="W50" s="411">
        <v>0</v>
      </c>
      <c r="X50" s="4453">
        <f t="shared" ref="X50:X64" si="106">+U50+V50-W50</f>
        <v>108.70676143757984</v>
      </c>
      <c r="Y50" s="4488"/>
      <c r="Z50" s="4504">
        <f t="shared" si="14"/>
        <v>480.05677400558307</v>
      </c>
      <c r="AA50" s="4504">
        <f t="shared" si="15"/>
        <v>0</v>
      </c>
      <c r="AB50" s="4504">
        <f t="shared" si="16"/>
        <v>0</v>
      </c>
      <c r="AC50" s="4504">
        <f t="shared" si="17"/>
        <v>480.05677400558307</v>
      </c>
      <c r="AD50" s="4504">
        <f t="shared" si="18"/>
        <v>13.432295837541147</v>
      </c>
      <c r="AE50" s="4504">
        <f t="shared" si="19"/>
        <v>0</v>
      </c>
      <c r="AF50" s="4504">
        <f t="shared" si="20"/>
        <v>0</v>
      </c>
      <c r="AG50" s="4504">
        <f t="shared" si="21"/>
        <v>13.432295837541147</v>
      </c>
      <c r="AH50" s="4504">
        <f t="shared" si="22"/>
        <v>20.606137083050424</v>
      </c>
      <c r="AI50" s="4504">
        <f t="shared" si="23"/>
        <v>0</v>
      </c>
      <c r="AJ50" s="4504">
        <f t="shared" si="24"/>
        <v>0</v>
      </c>
      <c r="AK50" s="4504">
        <f t="shared" si="25"/>
        <v>20.606137083050424</v>
      </c>
      <c r="AL50" s="4504">
        <f t="shared" si="26"/>
        <v>0</v>
      </c>
      <c r="AM50" s="4504">
        <f t="shared" si="27"/>
        <v>0</v>
      </c>
      <c r="AN50" s="4504">
        <f t="shared" si="28"/>
        <v>0</v>
      </c>
      <c r="AO50" s="4504">
        <f t="shared" si="29"/>
        <v>0</v>
      </c>
      <c r="AP50" s="4504">
        <f t="shared" si="30"/>
        <v>55.58088455416874</v>
      </c>
      <c r="AQ50" s="4504">
        <f t="shared" si="31"/>
        <v>0</v>
      </c>
      <c r="AR50" s="4504">
        <f t="shared" si="32"/>
        <v>0</v>
      </c>
      <c r="AS50" s="4504">
        <f t="shared" si="33"/>
        <v>55.58088455416874</v>
      </c>
    </row>
    <row r="51" spans="1:45">
      <c r="A51" s="2564"/>
      <c r="B51" s="2565">
        <v>20502</v>
      </c>
      <c r="C51" s="2549">
        <v>0.1</v>
      </c>
      <c r="D51" s="2591" t="s">
        <v>411</v>
      </c>
      <c r="E51" s="2654">
        <v>697.09229913675586</v>
      </c>
      <c r="F51" s="411">
        <v>17.95689071496118</v>
      </c>
      <c r="G51" s="411">
        <v>0</v>
      </c>
      <c r="H51" s="4453">
        <f t="shared" si="102"/>
        <v>715.04918985171707</v>
      </c>
      <c r="I51" s="2654">
        <v>50.166507497339396</v>
      </c>
      <c r="J51" s="411">
        <v>3.7803856717525877</v>
      </c>
      <c r="K51" s="411">
        <v>0</v>
      </c>
      <c r="L51" s="4453">
        <f t="shared" si="103"/>
        <v>53.946893169091986</v>
      </c>
      <c r="M51" s="2654">
        <v>68.386369057740339</v>
      </c>
      <c r="N51" s="411">
        <v>2.4379581185412693</v>
      </c>
      <c r="O51" s="411">
        <v>0</v>
      </c>
      <c r="P51" s="4453">
        <f t="shared" si="104"/>
        <v>70.824327176281614</v>
      </c>
      <c r="Q51" s="2654"/>
      <c r="R51" s="411"/>
      <c r="S51" s="411"/>
      <c r="T51" s="4453">
        <f t="shared" si="105"/>
        <v>0</v>
      </c>
      <c r="U51" s="2654">
        <v>24.717119251485975</v>
      </c>
      <c r="V51" s="411">
        <v>0.14712123643444119</v>
      </c>
      <c r="W51" s="411">
        <v>0</v>
      </c>
      <c r="X51" s="4453">
        <f t="shared" si="106"/>
        <v>24.864240487920416</v>
      </c>
      <c r="Y51" s="4488"/>
      <c r="Z51" s="4504">
        <f t="shared" si="14"/>
        <v>356.41763299302897</v>
      </c>
      <c r="AA51" s="4504">
        <f t="shared" si="15"/>
        <v>9.1812124340874099</v>
      </c>
      <c r="AB51" s="4504">
        <f t="shared" si="16"/>
        <v>0</v>
      </c>
      <c r="AC51" s="4504">
        <f t="shared" si="17"/>
        <v>365.59884542711643</v>
      </c>
      <c r="AD51" s="4504">
        <f t="shared" si="18"/>
        <v>25.649727991358859</v>
      </c>
      <c r="AE51" s="4504">
        <f t="shared" si="19"/>
        <v>1.9328805017576107</v>
      </c>
      <c r="AF51" s="4504">
        <f t="shared" si="20"/>
        <v>0</v>
      </c>
      <c r="AG51" s="4504">
        <f t="shared" si="21"/>
        <v>27.582608493116471</v>
      </c>
      <c r="AH51" s="4504">
        <f t="shared" si="22"/>
        <v>34.965395283710926</v>
      </c>
      <c r="AI51" s="4504">
        <f t="shared" si="23"/>
        <v>1.2465081927065591</v>
      </c>
      <c r="AJ51" s="4504">
        <f t="shared" si="24"/>
        <v>0</v>
      </c>
      <c r="AK51" s="4504">
        <f t="shared" si="25"/>
        <v>36.21190347641749</v>
      </c>
      <c r="AL51" s="4504">
        <f t="shared" si="26"/>
        <v>0</v>
      </c>
      <c r="AM51" s="4504">
        <f t="shared" si="27"/>
        <v>0</v>
      </c>
      <c r="AN51" s="4504">
        <f t="shared" si="28"/>
        <v>0</v>
      </c>
      <c r="AO51" s="4504">
        <f t="shared" si="29"/>
        <v>0</v>
      </c>
      <c r="AP51" s="4504">
        <f t="shared" si="30"/>
        <v>12.637662399843533</v>
      </c>
      <c r="AQ51" s="4504">
        <f t="shared" si="31"/>
        <v>7.5221893740479079E-2</v>
      </c>
      <c r="AR51" s="4504">
        <f t="shared" si="32"/>
        <v>0</v>
      </c>
      <c r="AS51" s="4504">
        <f t="shared" si="33"/>
        <v>12.712884293584011</v>
      </c>
    </row>
    <row r="52" spans="1:45">
      <c r="A52" s="2564"/>
      <c r="B52" s="2565">
        <v>20503</v>
      </c>
      <c r="C52" s="2549">
        <v>0.1</v>
      </c>
      <c r="D52" s="2588" t="s">
        <v>412</v>
      </c>
      <c r="E52" s="2654">
        <v>58.112785193587584</v>
      </c>
      <c r="F52" s="411">
        <v>1.2932565399168809</v>
      </c>
      <c r="G52" s="411">
        <v>0</v>
      </c>
      <c r="H52" s="4453">
        <f t="shared" si="102"/>
        <v>59.406041733504466</v>
      </c>
      <c r="I52" s="2654">
        <v>38.992590907280984</v>
      </c>
      <c r="J52" s="411">
        <v>0.15549608817965752</v>
      </c>
      <c r="K52" s="411">
        <v>0</v>
      </c>
      <c r="L52" s="4453">
        <f t="shared" si="103"/>
        <v>39.148086995460645</v>
      </c>
      <c r="M52" s="2654">
        <v>98.731853614475426</v>
      </c>
      <c r="N52" s="411">
        <v>0.18973360901862787</v>
      </c>
      <c r="O52" s="411">
        <v>0</v>
      </c>
      <c r="P52" s="4453">
        <f t="shared" si="104"/>
        <v>98.921587223494058</v>
      </c>
      <c r="Q52" s="2654"/>
      <c r="R52" s="411"/>
      <c r="S52" s="411"/>
      <c r="T52" s="4453">
        <f t="shared" si="105"/>
        <v>0</v>
      </c>
      <c r="U52" s="2654">
        <v>29.987980705913753</v>
      </c>
      <c r="V52" s="411">
        <v>1.5483537628848338</v>
      </c>
      <c r="W52" s="411">
        <v>0</v>
      </c>
      <c r="X52" s="4453">
        <f t="shared" si="106"/>
        <v>31.536334468798586</v>
      </c>
      <c r="Y52" s="4488"/>
      <c r="Z52" s="4504">
        <f t="shared" si="14"/>
        <v>29.712595263181147</v>
      </c>
      <c r="AA52" s="4504">
        <f t="shared" si="15"/>
        <v>0.66123156916341452</v>
      </c>
      <c r="AB52" s="4504">
        <f t="shared" si="16"/>
        <v>0</v>
      </c>
      <c r="AC52" s="4504">
        <f t="shared" si="17"/>
        <v>30.373826832344562</v>
      </c>
      <c r="AD52" s="4504">
        <f t="shared" si="18"/>
        <v>19.93659515769826</v>
      </c>
      <c r="AE52" s="4504">
        <f t="shared" si="19"/>
        <v>7.9503887444030169E-2</v>
      </c>
      <c r="AF52" s="4504">
        <f t="shared" si="20"/>
        <v>0</v>
      </c>
      <c r="AG52" s="4504">
        <f t="shared" si="21"/>
        <v>20.01609904514229</v>
      </c>
      <c r="AH52" s="4504">
        <f t="shared" si="22"/>
        <v>50.480795168534804</v>
      </c>
      <c r="AI52" s="4504">
        <f t="shared" si="23"/>
        <v>9.7009253881282051E-2</v>
      </c>
      <c r="AJ52" s="4504">
        <f t="shared" si="24"/>
        <v>0</v>
      </c>
      <c r="AK52" s="4504">
        <f t="shared" si="25"/>
        <v>50.577804422416087</v>
      </c>
      <c r="AL52" s="4504">
        <f t="shared" si="26"/>
        <v>0</v>
      </c>
      <c r="AM52" s="4504">
        <f t="shared" si="27"/>
        <v>0</v>
      </c>
      <c r="AN52" s="4504">
        <f t="shared" si="28"/>
        <v>0</v>
      </c>
      <c r="AO52" s="4504">
        <f t="shared" si="29"/>
        <v>0</v>
      </c>
      <c r="AP52" s="4504">
        <f t="shared" si="30"/>
        <v>15.332611068402548</v>
      </c>
      <c r="AQ52" s="4504">
        <f t="shared" si="31"/>
        <v>0.79166070818263035</v>
      </c>
      <c r="AR52" s="4504">
        <f t="shared" si="32"/>
        <v>0</v>
      </c>
      <c r="AS52" s="4504">
        <f t="shared" si="33"/>
        <v>16.124271776585179</v>
      </c>
    </row>
    <row r="53" spans="1:45">
      <c r="A53" s="2564"/>
      <c r="B53" s="2565">
        <v>20504</v>
      </c>
      <c r="C53" s="2549">
        <v>0.1</v>
      </c>
      <c r="D53" s="2588" t="s">
        <v>557</v>
      </c>
      <c r="E53" s="2654">
        <v>20.297951522943674</v>
      </c>
      <c r="F53" s="411">
        <v>0.19980000000000001</v>
      </c>
      <c r="G53" s="411">
        <v>0</v>
      </c>
      <c r="H53" s="4453">
        <f t="shared" si="102"/>
        <v>20.497751522943673</v>
      </c>
      <c r="I53" s="2654">
        <v>4.5202046445383308</v>
      </c>
      <c r="J53" s="411">
        <v>0</v>
      </c>
      <c r="K53" s="411">
        <v>0</v>
      </c>
      <c r="L53" s="4453">
        <f t="shared" si="103"/>
        <v>4.5202046445383308</v>
      </c>
      <c r="M53" s="2654">
        <v>37.046768850059678</v>
      </c>
      <c r="N53" s="411">
        <v>0</v>
      </c>
      <c r="O53" s="411">
        <v>0</v>
      </c>
      <c r="P53" s="4453">
        <f t="shared" si="104"/>
        <v>37.046768850059678</v>
      </c>
      <c r="Q53" s="2654"/>
      <c r="R53" s="411"/>
      <c r="S53" s="411"/>
      <c r="T53" s="4453">
        <f t="shared" si="105"/>
        <v>0</v>
      </c>
      <c r="U53" s="2654">
        <v>15.852324982458322</v>
      </c>
      <c r="V53" s="411">
        <v>0</v>
      </c>
      <c r="W53" s="411">
        <v>0</v>
      </c>
      <c r="X53" s="4453">
        <f t="shared" si="106"/>
        <v>15.852324982458322</v>
      </c>
      <c r="Y53" s="4488"/>
      <c r="Z53" s="4504">
        <f t="shared" si="14"/>
        <v>10.378177818595519</v>
      </c>
      <c r="AA53" s="4504">
        <f t="shared" si="15"/>
        <v>0.10215611786300446</v>
      </c>
      <c r="AB53" s="4504">
        <f t="shared" si="16"/>
        <v>0</v>
      </c>
      <c r="AC53" s="4504">
        <f t="shared" si="17"/>
        <v>10.480333936458523</v>
      </c>
      <c r="AD53" s="4504">
        <f t="shared" si="18"/>
        <v>2.3111439360978872</v>
      </c>
      <c r="AE53" s="4504">
        <f t="shared" si="19"/>
        <v>0</v>
      </c>
      <c r="AF53" s="4504">
        <f t="shared" si="20"/>
        <v>0</v>
      </c>
      <c r="AG53" s="4504">
        <f t="shared" si="21"/>
        <v>2.3111439360978872</v>
      </c>
      <c r="AH53" s="4504">
        <f t="shared" si="22"/>
        <v>18.941712137588482</v>
      </c>
      <c r="AI53" s="4504">
        <f t="shared" si="23"/>
        <v>0</v>
      </c>
      <c r="AJ53" s="4504">
        <f t="shared" si="24"/>
        <v>0</v>
      </c>
      <c r="AK53" s="4504">
        <f t="shared" si="25"/>
        <v>18.941712137588482</v>
      </c>
      <c r="AL53" s="4504">
        <f t="shared" si="26"/>
        <v>0</v>
      </c>
      <c r="AM53" s="4504">
        <f t="shared" si="27"/>
        <v>0</v>
      </c>
      <c r="AN53" s="4504">
        <f t="shared" si="28"/>
        <v>0</v>
      </c>
      <c r="AO53" s="4504">
        <f t="shared" si="29"/>
        <v>0</v>
      </c>
      <c r="AP53" s="4504">
        <f t="shared" si="30"/>
        <v>8.105165061614926</v>
      </c>
      <c r="AQ53" s="4504">
        <f t="shared" si="31"/>
        <v>0</v>
      </c>
      <c r="AR53" s="4504">
        <f t="shared" si="32"/>
        <v>0</v>
      </c>
      <c r="AS53" s="4504">
        <f t="shared" si="33"/>
        <v>8.105165061614926</v>
      </c>
    </row>
    <row r="54" spans="1:45">
      <c r="A54" s="2564">
        <v>6</v>
      </c>
      <c r="B54" s="2565">
        <v>208</v>
      </c>
      <c r="C54" s="2549">
        <v>0.2</v>
      </c>
      <c r="D54" s="2590" t="s">
        <v>413</v>
      </c>
      <c r="E54" s="2654">
        <v>79.435639911872642</v>
      </c>
      <c r="F54" s="411">
        <v>1.4502804909991751</v>
      </c>
      <c r="G54" s="411">
        <v>30.715244647425472</v>
      </c>
      <c r="H54" s="4453">
        <f t="shared" si="102"/>
        <v>50.170675755446346</v>
      </c>
      <c r="I54" s="2654">
        <v>39.590307790443845</v>
      </c>
      <c r="J54" s="411">
        <v>0.69301593713055731</v>
      </c>
      <c r="K54" s="411">
        <v>17.733309798069918</v>
      </c>
      <c r="L54" s="4453">
        <f t="shared" si="103"/>
        <v>22.550013929504487</v>
      </c>
      <c r="M54" s="2654">
        <v>61.939045601182151</v>
      </c>
      <c r="N54" s="411">
        <v>1.1621059338758908</v>
      </c>
      <c r="O54" s="411">
        <v>21.637874670813545</v>
      </c>
      <c r="P54" s="4453">
        <f t="shared" si="104"/>
        <v>41.463276864244499</v>
      </c>
      <c r="Q54" s="2654"/>
      <c r="R54" s="411"/>
      <c r="S54" s="411"/>
      <c r="T54" s="4453">
        <f t="shared" si="105"/>
        <v>0</v>
      </c>
      <c r="U54" s="2654">
        <v>2.1801798803769565</v>
      </c>
      <c r="V54" s="411">
        <v>3.1490209636547917E-2</v>
      </c>
      <c r="W54" s="411">
        <v>0.97447287994605492</v>
      </c>
      <c r="X54" s="4453">
        <f t="shared" si="106"/>
        <v>1.2371972100674495</v>
      </c>
      <c r="Y54" s="4488"/>
      <c r="Z54" s="4504">
        <f t="shared" si="14"/>
        <v>40.614797764566781</v>
      </c>
      <c r="AA54" s="4504">
        <f t="shared" si="15"/>
        <v>0.74151664050514365</v>
      </c>
      <c r="AB54" s="4504">
        <f t="shared" si="16"/>
        <v>15.70445521718425</v>
      </c>
      <c r="AC54" s="4504">
        <f t="shared" si="17"/>
        <v>25.651859187887673</v>
      </c>
      <c r="AD54" s="4504">
        <f t="shared" si="18"/>
        <v>20.242202947313338</v>
      </c>
      <c r="AE54" s="4504">
        <f t="shared" si="19"/>
        <v>0.35433342219444292</v>
      </c>
      <c r="AF54" s="4504">
        <f t="shared" si="20"/>
        <v>9.0668973264905013</v>
      </c>
      <c r="AG54" s="4504">
        <f t="shared" si="21"/>
        <v>11.52963904301728</v>
      </c>
      <c r="AH54" s="4504">
        <f t="shared" si="22"/>
        <v>31.668931144926784</v>
      </c>
      <c r="AI54" s="4504">
        <f t="shared" si="23"/>
        <v>0.59417532908069248</v>
      </c>
      <c r="AJ54" s="4504">
        <f t="shared" si="24"/>
        <v>11.063269645528264</v>
      </c>
      <c r="AK54" s="4504">
        <f t="shared" si="25"/>
        <v>21.199836828479214</v>
      </c>
      <c r="AL54" s="4504">
        <f t="shared" si="26"/>
        <v>0</v>
      </c>
      <c r="AM54" s="4504">
        <f t="shared" si="27"/>
        <v>0</v>
      </c>
      <c r="AN54" s="4504">
        <f t="shared" si="28"/>
        <v>0</v>
      </c>
      <c r="AO54" s="4504">
        <f t="shared" si="29"/>
        <v>0</v>
      </c>
      <c r="AP54" s="4504">
        <f t="shared" si="30"/>
        <v>1.1147082723840807</v>
      </c>
      <c r="AQ54" s="4504">
        <f t="shared" si="31"/>
        <v>1.6100688524333873E-2</v>
      </c>
      <c r="AR54" s="4504">
        <f t="shared" si="32"/>
        <v>0.49824007196231518</v>
      </c>
      <c r="AS54" s="4504">
        <f t="shared" si="33"/>
        <v>0.63256888894609942</v>
      </c>
    </row>
    <row r="55" spans="1:45">
      <c r="A55" s="2564">
        <v>7</v>
      </c>
      <c r="B55" s="2568">
        <v>20601</v>
      </c>
      <c r="C55" s="2560">
        <v>0.1</v>
      </c>
      <c r="D55" s="2590" t="s">
        <v>564</v>
      </c>
      <c r="E55" s="2654">
        <v>3.034606675477721</v>
      </c>
      <c r="F55" s="411">
        <v>0.62243531948467778</v>
      </c>
      <c r="G55" s="411">
        <v>2.435E-2</v>
      </c>
      <c r="H55" s="4453">
        <f t="shared" si="102"/>
        <v>3.6326919949623986</v>
      </c>
      <c r="I55" s="2654">
        <v>0.5382377131759285</v>
      </c>
      <c r="J55" s="411">
        <v>0.1291360205932954</v>
      </c>
      <c r="K55" s="411">
        <v>0</v>
      </c>
      <c r="L55" s="4453">
        <f t="shared" si="103"/>
        <v>0.66737373376922393</v>
      </c>
      <c r="M55" s="2654">
        <v>2.4396884637899352</v>
      </c>
      <c r="N55" s="411">
        <v>0.19441863322752428</v>
      </c>
      <c r="O55" s="411">
        <v>0</v>
      </c>
      <c r="P55" s="4453">
        <f t="shared" si="104"/>
        <v>2.6341070970174596</v>
      </c>
      <c r="Q55" s="2654"/>
      <c r="R55" s="411"/>
      <c r="S55" s="411"/>
      <c r="T55" s="4453">
        <f t="shared" si="105"/>
        <v>0</v>
      </c>
      <c r="U55" s="2654">
        <v>8.5203561921931709E-3</v>
      </c>
      <c r="V55" s="411">
        <v>4.6811191214747435E-3</v>
      </c>
      <c r="W55" s="411">
        <v>0</v>
      </c>
      <c r="X55" s="4453">
        <f t="shared" si="106"/>
        <v>1.3201475313667915E-2</v>
      </c>
      <c r="Y55" s="4488"/>
      <c r="Z55" s="4504">
        <f t="shared" si="14"/>
        <v>1.5515697557956065</v>
      </c>
      <c r="AA55" s="4504">
        <f t="shared" si="15"/>
        <v>0.31824612542229019</v>
      </c>
      <c r="AB55" s="4504">
        <f t="shared" si="16"/>
        <v>1.244995730712792E-2</v>
      </c>
      <c r="AC55" s="4504">
        <f t="shared" si="17"/>
        <v>1.8573659239107687</v>
      </c>
      <c r="AD55" s="4504">
        <f t="shared" si="18"/>
        <v>0.27519657290047117</v>
      </c>
      <c r="AE55" s="4504">
        <f t="shared" si="19"/>
        <v>6.6026198899339625E-2</v>
      </c>
      <c r="AF55" s="4504">
        <f t="shared" si="20"/>
        <v>0</v>
      </c>
      <c r="AG55" s="4504">
        <f t="shared" si="21"/>
        <v>0.34122277179981081</v>
      </c>
      <c r="AH55" s="4504">
        <f t="shared" si="22"/>
        <v>1.2473929041838683</v>
      </c>
      <c r="AI55" s="4504">
        <f t="shared" si="23"/>
        <v>9.9404668722498521E-2</v>
      </c>
      <c r="AJ55" s="4504">
        <f t="shared" si="24"/>
        <v>0</v>
      </c>
      <c r="AK55" s="4504">
        <f t="shared" si="25"/>
        <v>1.346797572906367</v>
      </c>
      <c r="AL55" s="4504">
        <f t="shared" si="26"/>
        <v>0</v>
      </c>
      <c r="AM55" s="4504">
        <f t="shared" si="27"/>
        <v>0</v>
      </c>
      <c r="AN55" s="4504">
        <f t="shared" si="28"/>
        <v>0</v>
      </c>
      <c r="AO55" s="4504">
        <f t="shared" si="29"/>
        <v>0</v>
      </c>
      <c r="AP55" s="4504">
        <f t="shared" si="30"/>
        <v>4.3563889459682951E-3</v>
      </c>
      <c r="AQ55" s="4504">
        <f t="shared" si="31"/>
        <v>2.3934182017224114E-3</v>
      </c>
      <c r="AR55" s="4504">
        <f t="shared" si="32"/>
        <v>0</v>
      </c>
      <c r="AS55" s="4504">
        <f t="shared" si="33"/>
        <v>6.7498071476907069E-3</v>
      </c>
    </row>
    <row r="56" spans="1:45">
      <c r="A56" s="2569">
        <v>8</v>
      </c>
      <c r="B56" s="2568">
        <v>20602</v>
      </c>
      <c r="C56" s="2560">
        <v>0.1</v>
      </c>
      <c r="D56" s="2590" t="s">
        <v>435</v>
      </c>
      <c r="E56" s="2654">
        <v>39.337364190043978</v>
      </c>
      <c r="F56" s="411">
        <v>0.36755781352923</v>
      </c>
      <c r="G56" s="411">
        <v>0.47658339736338928</v>
      </c>
      <c r="H56" s="4453">
        <f t="shared" si="102"/>
        <v>39.228338606209817</v>
      </c>
      <c r="I56" s="2654">
        <v>6.3884013557986306</v>
      </c>
      <c r="J56" s="411">
        <v>0.2661407292004383</v>
      </c>
      <c r="K56" s="411">
        <v>0</v>
      </c>
      <c r="L56" s="4453">
        <f t="shared" si="103"/>
        <v>6.6545420849990684</v>
      </c>
      <c r="M56" s="2654">
        <v>6.5602716641859944</v>
      </c>
      <c r="N56" s="411">
        <v>0.32474026613265317</v>
      </c>
      <c r="O56" s="411">
        <v>0</v>
      </c>
      <c r="P56" s="4453">
        <f t="shared" si="104"/>
        <v>6.8850119303186474</v>
      </c>
      <c r="Q56" s="2654"/>
      <c r="R56" s="411"/>
      <c r="S56" s="411"/>
      <c r="T56" s="4453">
        <f t="shared" si="105"/>
        <v>0</v>
      </c>
      <c r="U56" s="2654">
        <v>0.26947299514502349</v>
      </c>
      <c r="V56" s="411">
        <v>1.0330826200600527E-2</v>
      </c>
      <c r="W56" s="411">
        <v>2.8266026366107473E-3</v>
      </c>
      <c r="X56" s="4453">
        <f t="shared" si="106"/>
        <v>0.27697721870901332</v>
      </c>
      <c r="Y56" s="4488"/>
      <c r="Z56" s="4504">
        <f t="shared" si="14"/>
        <v>20.112874938028344</v>
      </c>
      <c r="AA56" s="4504">
        <f t="shared" si="15"/>
        <v>0.1879293259277289</v>
      </c>
      <c r="AB56" s="4504">
        <f t="shared" si="16"/>
        <v>0.24367322178481224</v>
      </c>
      <c r="AC56" s="4504">
        <f t="shared" si="17"/>
        <v>20.05713104217126</v>
      </c>
      <c r="AD56" s="4504">
        <f t="shared" si="18"/>
        <v>3.2663377470427544</v>
      </c>
      <c r="AE56" s="4504">
        <f t="shared" si="19"/>
        <v>0.13607559409582545</v>
      </c>
      <c r="AF56" s="4504">
        <f t="shared" si="20"/>
        <v>0</v>
      </c>
      <c r="AG56" s="4504">
        <f t="shared" si="21"/>
        <v>3.4024133411385797</v>
      </c>
      <c r="AH56" s="4504">
        <f t="shared" si="22"/>
        <v>3.3542136403399039</v>
      </c>
      <c r="AI56" s="4504">
        <f t="shared" si="23"/>
        <v>0.16603706157112488</v>
      </c>
      <c r="AJ56" s="4504">
        <f t="shared" si="24"/>
        <v>0</v>
      </c>
      <c r="AK56" s="4504">
        <f t="shared" si="25"/>
        <v>3.5202507019110287</v>
      </c>
      <c r="AL56" s="4504">
        <f t="shared" si="26"/>
        <v>0</v>
      </c>
      <c r="AM56" s="4504">
        <f t="shared" si="27"/>
        <v>0</v>
      </c>
      <c r="AN56" s="4504">
        <f t="shared" si="28"/>
        <v>0</v>
      </c>
      <c r="AO56" s="4504">
        <f t="shared" si="29"/>
        <v>0</v>
      </c>
      <c r="AP56" s="4504">
        <f t="shared" si="30"/>
        <v>0.13777935461927851</v>
      </c>
      <c r="AQ56" s="4504">
        <f t="shared" si="31"/>
        <v>5.2820675624162261E-3</v>
      </c>
      <c r="AR56" s="4504">
        <f t="shared" si="32"/>
        <v>1.4452189794669002E-3</v>
      </c>
      <c r="AS56" s="4504">
        <f t="shared" si="33"/>
        <v>0.14161620320222787</v>
      </c>
    </row>
    <row r="57" spans="1:45">
      <c r="A57" s="2569">
        <v>9</v>
      </c>
      <c r="B57" s="2565">
        <v>20603</v>
      </c>
      <c r="C57" s="2560">
        <v>0.5</v>
      </c>
      <c r="D57" s="2590" t="s">
        <v>1015</v>
      </c>
      <c r="E57" s="2654">
        <v>0</v>
      </c>
      <c r="F57" s="411">
        <v>0</v>
      </c>
      <c r="G57" s="411">
        <v>0</v>
      </c>
      <c r="H57" s="4453">
        <f t="shared" si="102"/>
        <v>0</v>
      </c>
      <c r="I57" s="2654">
        <v>0</v>
      </c>
      <c r="J57" s="411">
        <v>0</v>
      </c>
      <c r="K57" s="411">
        <v>0</v>
      </c>
      <c r="L57" s="4453">
        <f t="shared" si="103"/>
        <v>0</v>
      </c>
      <c r="M57" s="2654">
        <v>0</v>
      </c>
      <c r="N57" s="411">
        <v>0</v>
      </c>
      <c r="O57" s="411">
        <v>0</v>
      </c>
      <c r="P57" s="4453">
        <f t="shared" si="104"/>
        <v>0</v>
      </c>
      <c r="Q57" s="2654"/>
      <c r="R57" s="411"/>
      <c r="S57" s="411"/>
      <c r="T57" s="4453">
        <f t="shared" si="105"/>
        <v>0</v>
      </c>
      <c r="U57" s="2654">
        <v>0</v>
      </c>
      <c r="V57" s="411">
        <v>0</v>
      </c>
      <c r="W57" s="411">
        <v>0</v>
      </c>
      <c r="X57" s="4453">
        <f t="shared" si="106"/>
        <v>0</v>
      </c>
      <c r="Y57" s="4488"/>
      <c r="Z57" s="4504">
        <f t="shared" si="14"/>
        <v>0</v>
      </c>
      <c r="AA57" s="4504">
        <f t="shared" si="15"/>
        <v>0</v>
      </c>
      <c r="AB57" s="4504">
        <f t="shared" si="16"/>
        <v>0</v>
      </c>
      <c r="AC57" s="4504">
        <f t="shared" si="17"/>
        <v>0</v>
      </c>
      <c r="AD57" s="4504">
        <f t="shared" si="18"/>
        <v>0</v>
      </c>
      <c r="AE57" s="4504">
        <f t="shared" si="19"/>
        <v>0</v>
      </c>
      <c r="AF57" s="4504">
        <f t="shared" si="20"/>
        <v>0</v>
      </c>
      <c r="AG57" s="4504">
        <f t="shared" si="21"/>
        <v>0</v>
      </c>
      <c r="AH57" s="4504">
        <f t="shared" si="22"/>
        <v>0</v>
      </c>
      <c r="AI57" s="4504">
        <f t="shared" si="23"/>
        <v>0</v>
      </c>
      <c r="AJ57" s="4504">
        <f t="shared" si="24"/>
        <v>0</v>
      </c>
      <c r="AK57" s="4504">
        <f t="shared" si="25"/>
        <v>0</v>
      </c>
      <c r="AL57" s="4504">
        <f t="shared" si="26"/>
        <v>0</v>
      </c>
      <c r="AM57" s="4504">
        <f t="shared" si="27"/>
        <v>0</v>
      </c>
      <c r="AN57" s="4504">
        <f t="shared" si="28"/>
        <v>0</v>
      </c>
      <c r="AO57" s="4504">
        <f t="shared" si="29"/>
        <v>0</v>
      </c>
      <c r="AP57" s="4504">
        <f t="shared" si="30"/>
        <v>0</v>
      </c>
      <c r="AQ57" s="4504">
        <f t="shared" si="31"/>
        <v>0</v>
      </c>
      <c r="AR57" s="4504">
        <f t="shared" si="32"/>
        <v>0</v>
      </c>
      <c r="AS57" s="4504">
        <f t="shared" si="33"/>
        <v>0</v>
      </c>
    </row>
    <row r="58" spans="1:45">
      <c r="A58" s="2569">
        <v>10</v>
      </c>
      <c r="B58" s="2565">
        <v>209</v>
      </c>
      <c r="C58" s="2549">
        <v>0.1</v>
      </c>
      <c r="D58" s="2590" t="s">
        <v>213</v>
      </c>
      <c r="E58" s="2654">
        <v>0</v>
      </c>
      <c r="F58" s="411">
        <v>0</v>
      </c>
      <c r="G58" s="411">
        <v>0</v>
      </c>
      <c r="H58" s="4453">
        <f t="shared" si="102"/>
        <v>0</v>
      </c>
      <c r="I58" s="2654">
        <v>0</v>
      </c>
      <c r="J58" s="411">
        <v>0</v>
      </c>
      <c r="K58" s="411">
        <v>0</v>
      </c>
      <c r="L58" s="4453">
        <f t="shared" si="103"/>
        <v>0</v>
      </c>
      <c r="M58" s="2654">
        <v>0</v>
      </c>
      <c r="N58" s="411">
        <v>0</v>
      </c>
      <c r="O58" s="411">
        <v>0</v>
      </c>
      <c r="P58" s="4453">
        <f t="shared" si="104"/>
        <v>0</v>
      </c>
      <c r="Q58" s="2654"/>
      <c r="R58" s="411"/>
      <c r="S58" s="411"/>
      <c r="T58" s="4453">
        <f t="shared" si="105"/>
        <v>0</v>
      </c>
      <c r="U58" s="2654">
        <v>0</v>
      </c>
      <c r="V58" s="411">
        <v>0</v>
      </c>
      <c r="W58" s="411">
        <v>0</v>
      </c>
      <c r="X58" s="4453">
        <f t="shared" si="106"/>
        <v>0</v>
      </c>
      <c r="Y58" s="4488"/>
      <c r="Z58" s="4504">
        <f t="shared" si="14"/>
        <v>0</v>
      </c>
      <c r="AA58" s="4504">
        <f t="shared" si="15"/>
        <v>0</v>
      </c>
      <c r="AB58" s="4504">
        <f t="shared" si="16"/>
        <v>0</v>
      </c>
      <c r="AC58" s="4504">
        <f t="shared" si="17"/>
        <v>0</v>
      </c>
      <c r="AD58" s="4504">
        <f t="shared" si="18"/>
        <v>0</v>
      </c>
      <c r="AE58" s="4504">
        <f t="shared" si="19"/>
        <v>0</v>
      </c>
      <c r="AF58" s="4504">
        <f t="shared" si="20"/>
        <v>0</v>
      </c>
      <c r="AG58" s="4504">
        <f t="shared" si="21"/>
        <v>0</v>
      </c>
      <c r="AH58" s="4504">
        <f t="shared" si="22"/>
        <v>0</v>
      </c>
      <c r="AI58" s="4504">
        <f t="shared" si="23"/>
        <v>0</v>
      </c>
      <c r="AJ58" s="4504">
        <f t="shared" si="24"/>
        <v>0</v>
      </c>
      <c r="AK58" s="4504">
        <f t="shared" si="25"/>
        <v>0</v>
      </c>
      <c r="AL58" s="4504">
        <f t="shared" si="26"/>
        <v>0</v>
      </c>
      <c r="AM58" s="4504">
        <f t="shared" si="27"/>
        <v>0</v>
      </c>
      <c r="AN58" s="4504">
        <f t="shared" si="28"/>
        <v>0</v>
      </c>
      <c r="AO58" s="4504">
        <f t="shared" si="29"/>
        <v>0</v>
      </c>
      <c r="AP58" s="4504">
        <f t="shared" si="30"/>
        <v>0</v>
      </c>
      <c r="AQ58" s="4504">
        <f t="shared" si="31"/>
        <v>0</v>
      </c>
      <c r="AR58" s="4504">
        <f t="shared" si="32"/>
        <v>0</v>
      </c>
      <c r="AS58" s="4504">
        <f t="shared" si="33"/>
        <v>0</v>
      </c>
    </row>
    <row r="59" spans="1:45" ht="24">
      <c r="A59" s="2569">
        <v>11</v>
      </c>
      <c r="B59" s="2565">
        <v>207</v>
      </c>
      <c r="C59" s="2549" t="s">
        <v>313</v>
      </c>
      <c r="D59" s="2590" t="s">
        <v>414</v>
      </c>
      <c r="E59" s="411">
        <v>0</v>
      </c>
      <c r="F59" s="411"/>
      <c r="G59" s="411"/>
      <c r="H59" s="4453">
        <f t="shared" si="102"/>
        <v>0</v>
      </c>
      <c r="I59" s="411">
        <v>0</v>
      </c>
      <c r="J59" s="411"/>
      <c r="K59" s="411"/>
      <c r="L59" s="4453">
        <f t="shared" si="103"/>
        <v>0</v>
      </c>
      <c r="M59" s="411">
        <v>0</v>
      </c>
      <c r="N59" s="411"/>
      <c r="O59" s="411"/>
      <c r="P59" s="4453">
        <f t="shared" si="104"/>
        <v>0</v>
      </c>
      <c r="Q59" s="411"/>
      <c r="R59" s="411"/>
      <c r="S59" s="411"/>
      <c r="T59" s="4453">
        <f t="shared" si="105"/>
        <v>0</v>
      </c>
      <c r="U59" s="411">
        <v>0</v>
      </c>
      <c r="V59" s="411"/>
      <c r="W59" s="411"/>
      <c r="X59" s="4453">
        <f t="shared" si="106"/>
        <v>0</v>
      </c>
      <c r="Y59" s="4488"/>
      <c r="Z59" s="4504">
        <f t="shared" si="14"/>
        <v>0</v>
      </c>
      <c r="AA59" s="4504">
        <f t="shared" si="15"/>
        <v>0</v>
      </c>
      <c r="AB59" s="4504">
        <f t="shared" si="16"/>
        <v>0</v>
      </c>
      <c r="AC59" s="4504">
        <f t="shared" si="17"/>
        <v>0</v>
      </c>
      <c r="AD59" s="4504">
        <f t="shared" si="18"/>
        <v>0</v>
      </c>
      <c r="AE59" s="4504">
        <f t="shared" si="19"/>
        <v>0</v>
      </c>
      <c r="AF59" s="4504">
        <f t="shared" si="20"/>
        <v>0</v>
      </c>
      <c r="AG59" s="4504">
        <f t="shared" si="21"/>
        <v>0</v>
      </c>
      <c r="AH59" s="4504">
        <f t="shared" si="22"/>
        <v>0</v>
      </c>
      <c r="AI59" s="4504">
        <f t="shared" si="23"/>
        <v>0</v>
      </c>
      <c r="AJ59" s="4504">
        <f t="shared" si="24"/>
        <v>0</v>
      </c>
      <c r="AK59" s="4504">
        <f t="shared" si="25"/>
        <v>0</v>
      </c>
      <c r="AL59" s="4504">
        <f t="shared" si="26"/>
        <v>0</v>
      </c>
      <c r="AM59" s="4504">
        <f t="shared" si="27"/>
        <v>0</v>
      </c>
      <c r="AN59" s="4504">
        <f t="shared" si="28"/>
        <v>0</v>
      </c>
      <c r="AO59" s="4504">
        <f t="shared" si="29"/>
        <v>0</v>
      </c>
      <c r="AP59" s="4504">
        <f t="shared" si="30"/>
        <v>0</v>
      </c>
      <c r="AQ59" s="4504">
        <f t="shared" si="31"/>
        <v>0</v>
      </c>
      <c r="AR59" s="4504">
        <f t="shared" si="32"/>
        <v>0</v>
      </c>
      <c r="AS59" s="4504">
        <f t="shared" si="33"/>
        <v>0</v>
      </c>
    </row>
    <row r="60" spans="1:45">
      <c r="A60" s="2569">
        <v>12</v>
      </c>
      <c r="B60" s="2565">
        <v>212</v>
      </c>
      <c r="C60" s="2560">
        <v>0.2</v>
      </c>
      <c r="D60" s="2592" t="s">
        <v>214</v>
      </c>
      <c r="E60" s="2654">
        <v>154.95715609876882</v>
      </c>
      <c r="F60" s="411">
        <v>0.99611419939277479</v>
      </c>
      <c r="G60" s="411">
        <v>10.566135334394566</v>
      </c>
      <c r="H60" s="4453">
        <f t="shared" si="102"/>
        <v>145.38713496376701</v>
      </c>
      <c r="I60" s="2654">
        <v>18.021895189564788</v>
      </c>
      <c r="J60" s="411">
        <v>0.72126492659153152</v>
      </c>
      <c r="K60" s="411">
        <v>0.91335654734053318</v>
      </c>
      <c r="L60" s="4453">
        <f t="shared" si="103"/>
        <v>17.829803568815784</v>
      </c>
      <c r="M60" s="2654">
        <v>27.646922556205308</v>
      </c>
      <c r="N60" s="411">
        <v>0.88007485707714328</v>
      </c>
      <c r="O60" s="411">
        <v>1.1144616953160338</v>
      </c>
      <c r="P60" s="4453">
        <f t="shared" si="104"/>
        <v>27.412535717966417</v>
      </c>
      <c r="Q60" s="2654"/>
      <c r="R60" s="411"/>
      <c r="S60" s="411"/>
      <c r="T60" s="4453">
        <f t="shared" si="105"/>
        <v>0</v>
      </c>
      <c r="U60" s="2654">
        <v>0.71873493584893977</v>
      </c>
      <c r="V60" s="411">
        <v>1.1149826466392876E-2</v>
      </c>
      <c r="W60" s="411">
        <v>5.2211762546987624E-2</v>
      </c>
      <c r="X60" s="4453">
        <f t="shared" si="106"/>
        <v>0.67767299976834494</v>
      </c>
      <c r="Y60" s="4488"/>
      <c r="Z60" s="4504">
        <f t="shared" si="14"/>
        <v>79.228335846555595</v>
      </c>
      <c r="AA60" s="4504">
        <f t="shared" si="15"/>
        <v>0.50930510289379693</v>
      </c>
      <c r="AB60" s="4504">
        <f t="shared" si="16"/>
        <v>5.4023792120964327</v>
      </c>
      <c r="AC60" s="4504">
        <f t="shared" si="17"/>
        <v>74.335261737352951</v>
      </c>
      <c r="AD60" s="4504">
        <f t="shared" si="18"/>
        <v>9.2144486941936616</v>
      </c>
      <c r="AE60" s="4504">
        <f t="shared" si="19"/>
        <v>0.36877690115783657</v>
      </c>
      <c r="AF60" s="4504">
        <f t="shared" si="20"/>
        <v>0.46699178729262419</v>
      </c>
      <c r="AG60" s="4504">
        <f t="shared" si="21"/>
        <v>9.1162338080588725</v>
      </c>
      <c r="AH60" s="4504">
        <f t="shared" si="22"/>
        <v>14.135647043048378</v>
      </c>
      <c r="AI60" s="4504">
        <f t="shared" si="23"/>
        <v>0.44997512926846572</v>
      </c>
      <c r="AJ60" s="4504">
        <f t="shared" si="24"/>
        <v>0.56981521671926183</v>
      </c>
      <c r="AK60" s="4504">
        <f t="shared" si="25"/>
        <v>14.015806955597581</v>
      </c>
      <c r="AL60" s="4504">
        <f t="shared" si="26"/>
        <v>0</v>
      </c>
      <c r="AM60" s="4504">
        <f t="shared" si="27"/>
        <v>0</v>
      </c>
      <c r="AN60" s="4504">
        <f t="shared" si="28"/>
        <v>0</v>
      </c>
      <c r="AO60" s="4504">
        <f t="shared" si="29"/>
        <v>0</v>
      </c>
      <c r="AP60" s="4504">
        <f t="shared" si="30"/>
        <v>0.36748333743164785</v>
      </c>
      <c r="AQ60" s="4504">
        <f t="shared" si="31"/>
        <v>5.7008157490133987E-3</v>
      </c>
      <c r="AR60" s="4504">
        <f t="shared" si="32"/>
        <v>2.6695450293219566E-2</v>
      </c>
      <c r="AS60" s="4504">
        <f t="shared" si="33"/>
        <v>0.3464887028874416</v>
      </c>
    </row>
    <row r="61" spans="1:45">
      <c r="A61" s="2569">
        <v>13</v>
      </c>
      <c r="B61" s="2564">
        <v>213</v>
      </c>
      <c r="C61" s="2571">
        <v>0.2</v>
      </c>
      <c r="D61" s="2593" t="s">
        <v>215</v>
      </c>
      <c r="E61" s="2654">
        <v>0</v>
      </c>
      <c r="F61" s="411">
        <v>0</v>
      </c>
      <c r="G61" s="411">
        <v>0</v>
      </c>
      <c r="H61" s="4453">
        <f t="shared" si="102"/>
        <v>0</v>
      </c>
      <c r="I61" s="2654">
        <v>0</v>
      </c>
      <c r="J61" s="411">
        <v>0</v>
      </c>
      <c r="K61" s="411">
        <v>0</v>
      </c>
      <c r="L61" s="4453">
        <f t="shared" si="103"/>
        <v>0</v>
      </c>
      <c r="M61" s="2654">
        <v>0</v>
      </c>
      <c r="N61" s="411">
        <v>0</v>
      </c>
      <c r="O61" s="411">
        <v>0</v>
      </c>
      <c r="P61" s="4453">
        <f t="shared" si="104"/>
        <v>0</v>
      </c>
      <c r="Q61" s="2654"/>
      <c r="R61" s="411"/>
      <c r="S61" s="411"/>
      <c r="T61" s="4453">
        <f t="shared" si="105"/>
        <v>0</v>
      </c>
      <c r="U61" s="2654">
        <v>0</v>
      </c>
      <c r="V61" s="411">
        <v>0</v>
      </c>
      <c r="W61" s="411">
        <v>0</v>
      </c>
      <c r="X61" s="4453">
        <f t="shared" si="106"/>
        <v>0</v>
      </c>
      <c r="Y61" s="4488"/>
      <c r="Z61" s="4504">
        <f t="shared" si="14"/>
        <v>0</v>
      </c>
      <c r="AA61" s="4504">
        <f t="shared" si="15"/>
        <v>0</v>
      </c>
      <c r="AB61" s="4504">
        <f t="shared" si="16"/>
        <v>0</v>
      </c>
      <c r="AC61" s="4504">
        <f t="shared" si="17"/>
        <v>0</v>
      </c>
      <c r="AD61" s="4504">
        <f t="shared" si="18"/>
        <v>0</v>
      </c>
      <c r="AE61" s="4504">
        <f t="shared" si="19"/>
        <v>0</v>
      </c>
      <c r="AF61" s="4504">
        <f t="shared" si="20"/>
        <v>0</v>
      </c>
      <c r="AG61" s="4504">
        <f t="shared" si="21"/>
        <v>0</v>
      </c>
      <c r="AH61" s="4504">
        <f t="shared" si="22"/>
        <v>0</v>
      </c>
      <c r="AI61" s="4504">
        <f t="shared" si="23"/>
        <v>0</v>
      </c>
      <c r="AJ61" s="4504">
        <f t="shared" si="24"/>
        <v>0</v>
      </c>
      <c r="AK61" s="4504">
        <f t="shared" si="25"/>
        <v>0</v>
      </c>
      <c r="AL61" s="4504">
        <f t="shared" si="26"/>
        <v>0</v>
      </c>
      <c r="AM61" s="4504">
        <f t="shared" si="27"/>
        <v>0</v>
      </c>
      <c r="AN61" s="4504">
        <f t="shared" si="28"/>
        <v>0</v>
      </c>
      <c r="AO61" s="4504">
        <f t="shared" si="29"/>
        <v>0</v>
      </c>
      <c r="AP61" s="4504">
        <f t="shared" si="30"/>
        <v>0</v>
      </c>
      <c r="AQ61" s="4504">
        <f t="shared" si="31"/>
        <v>0</v>
      </c>
      <c r="AR61" s="4504">
        <f t="shared" si="32"/>
        <v>0</v>
      </c>
      <c r="AS61" s="4504">
        <f t="shared" si="33"/>
        <v>0</v>
      </c>
    </row>
    <row r="62" spans="1:45" ht="24">
      <c r="A62" s="2569">
        <v>14</v>
      </c>
      <c r="B62" s="2638"/>
      <c r="C62" s="2638"/>
      <c r="D62" s="2594" t="s">
        <v>628</v>
      </c>
      <c r="E62" s="2654">
        <v>0</v>
      </c>
      <c r="F62" s="411">
        <v>0</v>
      </c>
      <c r="G62" s="411">
        <v>0</v>
      </c>
      <c r="H62" s="4453">
        <f t="shared" si="102"/>
        <v>0</v>
      </c>
      <c r="I62" s="2654">
        <v>0</v>
      </c>
      <c r="J62" s="411">
        <v>0</v>
      </c>
      <c r="K62" s="411">
        <v>0</v>
      </c>
      <c r="L62" s="4453">
        <f t="shared" si="103"/>
        <v>0</v>
      </c>
      <c r="M62" s="2654">
        <v>0</v>
      </c>
      <c r="N62" s="411">
        <v>0</v>
      </c>
      <c r="O62" s="411">
        <v>0</v>
      </c>
      <c r="P62" s="4453">
        <f t="shared" si="104"/>
        <v>0</v>
      </c>
      <c r="Q62" s="2654"/>
      <c r="R62" s="411"/>
      <c r="S62" s="411"/>
      <c r="T62" s="4453">
        <f t="shared" si="105"/>
        <v>0</v>
      </c>
      <c r="U62" s="2654">
        <v>0</v>
      </c>
      <c r="V62" s="411">
        <v>0</v>
      </c>
      <c r="W62" s="411">
        <v>0</v>
      </c>
      <c r="X62" s="4453">
        <f t="shared" si="106"/>
        <v>0</v>
      </c>
      <c r="Y62" s="4488"/>
      <c r="Z62" s="4504">
        <f t="shared" si="14"/>
        <v>0</v>
      </c>
      <c r="AA62" s="4504">
        <f t="shared" si="15"/>
        <v>0</v>
      </c>
      <c r="AB62" s="4504">
        <f t="shared" si="16"/>
        <v>0</v>
      </c>
      <c r="AC62" s="4504">
        <f t="shared" si="17"/>
        <v>0</v>
      </c>
      <c r="AD62" s="4504">
        <f t="shared" si="18"/>
        <v>0</v>
      </c>
      <c r="AE62" s="4504">
        <f t="shared" si="19"/>
        <v>0</v>
      </c>
      <c r="AF62" s="4504">
        <f t="shared" si="20"/>
        <v>0</v>
      </c>
      <c r="AG62" s="4504">
        <f t="shared" si="21"/>
        <v>0</v>
      </c>
      <c r="AH62" s="4504">
        <f t="shared" si="22"/>
        <v>0</v>
      </c>
      <c r="AI62" s="4504">
        <f t="shared" si="23"/>
        <v>0</v>
      </c>
      <c r="AJ62" s="4504">
        <f t="shared" si="24"/>
        <v>0</v>
      </c>
      <c r="AK62" s="4504">
        <f t="shared" si="25"/>
        <v>0</v>
      </c>
      <c r="AL62" s="4504">
        <f t="shared" si="26"/>
        <v>0</v>
      </c>
      <c r="AM62" s="4504">
        <f t="shared" si="27"/>
        <v>0</v>
      </c>
      <c r="AN62" s="4504">
        <f t="shared" si="28"/>
        <v>0</v>
      </c>
      <c r="AO62" s="4504">
        <f t="shared" si="29"/>
        <v>0</v>
      </c>
      <c r="AP62" s="4504">
        <f t="shared" si="30"/>
        <v>0</v>
      </c>
      <c r="AQ62" s="4504">
        <f t="shared" si="31"/>
        <v>0</v>
      </c>
      <c r="AR62" s="4504">
        <f t="shared" si="32"/>
        <v>0</v>
      </c>
      <c r="AS62" s="4504">
        <f t="shared" si="33"/>
        <v>0</v>
      </c>
    </row>
    <row r="63" spans="1:45" ht="24">
      <c r="A63" s="2569">
        <v>15</v>
      </c>
      <c r="B63" s="2564">
        <v>207</v>
      </c>
      <c r="C63" s="2596" t="s">
        <v>313</v>
      </c>
      <c r="D63" s="2593" t="s">
        <v>415</v>
      </c>
      <c r="E63" s="2654">
        <v>0</v>
      </c>
      <c r="F63" s="411">
        <v>0</v>
      </c>
      <c r="G63" s="411">
        <v>0</v>
      </c>
      <c r="H63" s="4453">
        <f t="shared" si="102"/>
        <v>0</v>
      </c>
      <c r="I63" s="2654">
        <v>0</v>
      </c>
      <c r="J63" s="411">
        <v>0</v>
      </c>
      <c r="K63" s="411">
        <v>0</v>
      </c>
      <c r="L63" s="4453">
        <f t="shared" si="103"/>
        <v>0</v>
      </c>
      <c r="M63" s="2654">
        <v>0</v>
      </c>
      <c r="N63" s="411">
        <v>0</v>
      </c>
      <c r="O63" s="411">
        <v>0</v>
      </c>
      <c r="P63" s="4453">
        <f t="shared" si="104"/>
        <v>0</v>
      </c>
      <c r="Q63" s="2654"/>
      <c r="R63" s="411"/>
      <c r="S63" s="411"/>
      <c r="T63" s="4453">
        <f t="shared" si="105"/>
        <v>0</v>
      </c>
      <c r="U63" s="2654">
        <v>0</v>
      </c>
      <c r="V63" s="411">
        <v>0</v>
      </c>
      <c r="W63" s="411">
        <v>0</v>
      </c>
      <c r="X63" s="4453">
        <f t="shared" si="106"/>
        <v>0</v>
      </c>
      <c r="Y63" s="4488"/>
      <c r="Z63" s="4504">
        <f t="shared" si="14"/>
        <v>0</v>
      </c>
      <c r="AA63" s="4504">
        <f t="shared" si="15"/>
        <v>0</v>
      </c>
      <c r="AB63" s="4504">
        <f t="shared" si="16"/>
        <v>0</v>
      </c>
      <c r="AC63" s="4504">
        <f t="shared" si="17"/>
        <v>0</v>
      </c>
      <c r="AD63" s="4504">
        <f t="shared" si="18"/>
        <v>0</v>
      </c>
      <c r="AE63" s="4504">
        <f t="shared" si="19"/>
        <v>0</v>
      </c>
      <c r="AF63" s="4504">
        <f t="shared" si="20"/>
        <v>0</v>
      </c>
      <c r="AG63" s="4504">
        <f t="shared" si="21"/>
        <v>0</v>
      </c>
      <c r="AH63" s="4504">
        <f t="shared" si="22"/>
        <v>0</v>
      </c>
      <c r="AI63" s="4504">
        <f t="shared" si="23"/>
        <v>0</v>
      </c>
      <c r="AJ63" s="4504">
        <f t="shared" si="24"/>
        <v>0</v>
      </c>
      <c r="AK63" s="4504">
        <f t="shared" si="25"/>
        <v>0</v>
      </c>
      <c r="AL63" s="4504">
        <f t="shared" si="26"/>
        <v>0</v>
      </c>
      <c r="AM63" s="4504">
        <f t="shared" si="27"/>
        <v>0</v>
      </c>
      <c r="AN63" s="4504">
        <f t="shared" si="28"/>
        <v>0</v>
      </c>
      <c r="AO63" s="4504">
        <f t="shared" si="29"/>
        <v>0</v>
      </c>
      <c r="AP63" s="4504">
        <f t="shared" si="30"/>
        <v>0</v>
      </c>
      <c r="AQ63" s="4504">
        <f t="shared" si="31"/>
        <v>0</v>
      </c>
      <c r="AR63" s="4504">
        <f t="shared" si="32"/>
        <v>0</v>
      </c>
      <c r="AS63" s="4504">
        <f t="shared" si="33"/>
        <v>0</v>
      </c>
    </row>
    <row r="64" spans="1:45" ht="13.8" thickBot="1">
      <c r="A64" s="2569">
        <v>16</v>
      </c>
      <c r="B64" s="2574">
        <v>219</v>
      </c>
      <c r="C64" s="2602">
        <v>0.1</v>
      </c>
      <c r="D64" s="2598" t="s">
        <v>216</v>
      </c>
      <c r="E64" s="2654">
        <v>220.44668903203228</v>
      </c>
      <c r="F64" s="412">
        <v>15.904312009040584</v>
      </c>
      <c r="G64" s="412">
        <v>0</v>
      </c>
      <c r="H64" s="4454">
        <f t="shared" si="102"/>
        <v>236.35100104107286</v>
      </c>
      <c r="I64" s="2654">
        <v>6.8574085927728019</v>
      </c>
      <c r="J64" s="412">
        <v>0</v>
      </c>
      <c r="K64" s="412">
        <v>0</v>
      </c>
      <c r="L64" s="4454">
        <f t="shared" si="103"/>
        <v>6.8574085927728019</v>
      </c>
      <c r="M64" s="2654">
        <v>10.519772882178481</v>
      </c>
      <c r="N64" s="412">
        <v>0</v>
      </c>
      <c r="O64" s="412">
        <v>0</v>
      </c>
      <c r="P64" s="4454">
        <f t="shared" si="104"/>
        <v>10.519772882178481</v>
      </c>
      <c r="Q64" s="2654"/>
      <c r="R64" s="412"/>
      <c r="S64" s="412"/>
      <c r="T64" s="4454">
        <f t="shared" si="105"/>
        <v>0</v>
      </c>
      <c r="U64" s="2654">
        <v>23.759717768549788</v>
      </c>
      <c r="V64" s="412">
        <v>3.9957990959419737E-2</v>
      </c>
      <c r="W64" s="412">
        <v>0</v>
      </c>
      <c r="X64" s="4454">
        <f t="shared" si="106"/>
        <v>23.799675759509206</v>
      </c>
      <c r="Y64" s="4488"/>
      <c r="Z64" s="4504">
        <f t="shared" si="14"/>
        <v>112.71260233866558</v>
      </c>
      <c r="AA64" s="4504">
        <f t="shared" si="15"/>
        <v>8.1317456062339701</v>
      </c>
      <c r="AB64" s="4504">
        <f t="shared" si="16"/>
        <v>0</v>
      </c>
      <c r="AC64" s="4504">
        <f t="shared" si="17"/>
        <v>120.84434794489954</v>
      </c>
      <c r="AD64" s="4504">
        <f t="shared" si="18"/>
        <v>3.5061373395299191</v>
      </c>
      <c r="AE64" s="4504">
        <f t="shared" si="19"/>
        <v>0</v>
      </c>
      <c r="AF64" s="4504">
        <f t="shared" si="20"/>
        <v>0</v>
      </c>
      <c r="AG64" s="4504">
        <f t="shared" si="21"/>
        <v>3.5061373395299191</v>
      </c>
      <c r="AH64" s="4504">
        <f t="shared" si="22"/>
        <v>5.3786744666860011</v>
      </c>
      <c r="AI64" s="4504">
        <f t="shared" si="23"/>
        <v>0</v>
      </c>
      <c r="AJ64" s="4504">
        <f t="shared" si="24"/>
        <v>0</v>
      </c>
      <c r="AK64" s="4504">
        <f t="shared" si="25"/>
        <v>5.3786744666860011</v>
      </c>
      <c r="AL64" s="4504">
        <f t="shared" si="26"/>
        <v>0</v>
      </c>
      <c r="AM64" s="4504">
        <f t="shared" si="27"/>
        <v>0</v>
      </c>
      <c r="AN64" s="4504">
        <f t="shared" si="28"/>
        <v>0</v>
      </c>
      <c r="AO64" s="4504">
        <f t="shared" si="29"/>
        <v>0</v>
      </c>
      <c r="AP64" s="4504">
        <f t="shared" si="30"/>
        <v>12.14815079457304</v>
      </c>
      <c r="AQ64" s="4504">
        <f t="shared" si="31"/>
        <v>2.0430196366463208E-2</v>
      </c>
      <c r="AR64" s="4504">
        <f t="shared" si="32"/>
        <v>0</v>
      </c>
      <c r="AS64" s="4504">
        <f t="shared" si="33"/>
        <v>12.168580990939502</v>
      </c>
    </row>
    <row r="65" spans="1:45" ht="13.8" thickBot="1">
      <c r="A65" s="3746" t="s">
        <v>219</v>
      </c>
      <c r="B65" s="5379" t="s">
        <v>222</v>
      </c>
      <c r="C65" s="5380"/>
      <c r="D65" s="5381"/>
      <c r="E65" s="2545">
        <f t="shared" ref="E65:H65" si="107">SUM(E66:E89)-E68-E74</f>
        <v>1764.8122326692742</v>
      </c>
      <c r="F65" s="2545">
        <f t="shared" si="107"/>
        <v>0</v>
      </c>
      <c r="G65" s="2545">
        <f t="shared" si="107"/>
        <v>0</v>
      </c>
      <c r="H65" s="2545">
        <f t="shared" si="107"/>
        <v>2503.7210757498506</v>
      </c>
      <c r="I65" s="2545">
        <f t="shared" ref="I65:L65" si="108">SUM(I66:I89)-I68-I74</f>
        <v>152.49882166156272</v>
      </c>
      <c r="J65" s="2545">
        <f t="shared" si="108"/>
        <v>0</v>
      </c>
      <c r="K65" s="2545">
        <f t="shared" si="108"/>
        <v>0</v>
      </c>
      <c r="L65" s="2545">
        <f t="shared" si="108"/>
        <v>348.8914619666329</v>
      </c>
      <c r="M65" s="2545">
        <f t="shared" ref="M65:X65" si="109">SUM(M66:M89)-M68-M74</f>
        <v>213.94536570621176</v>
      </c>
      <c r="N65" s="2545">
        <f t="shared" si="109"/>
        <v>0</v>
      </c>
      <c r="O65" s="2545">
        <f t="shared" si="109"/>
        <v>0</v>
      </c>
      <c r="P65" s="2545">
        <f t="shared" si="109"/>
        <v>323.96067160777227</v>
      </c>
      <c r="Q65" s="2545">
        <f t="shared" si="109"/>
        <v>0</v>
      </c>
      <c r="R65" s="2545">
        <f t="shared" si="109"/>
        <v>0</v>
      </c>
      <c r="S65" s="2545">
        <f t="shared" si="109"/>
        <v>0</v>
      </c>
      <c r="T65" s="2545">
        <f t="shared" si="109"/>
        <v>0</v>
      </c>
      <c r="U65" s="2545">
        <f t="shared" si="109"/>
        <v>22.952356104384329</v>
      </c>
      <c r="V65" s="2545">
        <f t="shared" si="109"/>
        <v>0</v>
      </c>
      <c r="W65" s="2545">
        <f t="shared" si="109"/>
        <v>0</v>
      </c>
      <c r="X65" s="2545">
        <f t="shared" si="109"/>
        <v>195.37199573000311</v>
      </c>
      <c r="Y65" s="4488"/>
      <c r="Z65" s="4504">
        <f t="shared" si="14"/>
        <v>902.3341663995717</v>
      </c>
      <c r="AA65" s="4504">
        <f t="shared" si="15"/>
        <v>0</v>
      </c>
      <c r="AB65" s="4504">
        <f t="shared" si="16"/>
        <v>0</v>
      </c>
      <c r="AC65" s="4504">
        <f t="shared" si="17"/>
        <v>1280.132258810761</v>
      </c>
      <c r="AD65" s="4504">
        <f t="shared" si="18"/>
        <v>77.971409407547029</v>
      </c>
      <c r="AE65" s="4504">
        <f t="shared" si="19"/>
        <v>0</v>
      </c>
      <c r="AF65" s="4504">
        <f t="shared" si="20"/>
        <v>0</v>
      </c>
      <c r="AG65" s="4504">
        <f t="shared" si="21"/>
        <v>178.38537192221867</v>
      </c>
      <c r="AH65" s="4504">
        <f t="shared" si="22"/>
        <v>109.38852850514195</v>
      </c>
      <c r="AI65" s="4504">
        <f t="shared" si="23"/>
        <v>0</v>
      </c>
      <c r="AJ65" s="4504">
        <f t="shared" si="24"/>
        <v>0</v>
      </c>
      <c r="AK65" s="4504">
        <f t="shared" si="25"/>
        <v>165.63846121992825</v>
      </c>
      <c r="AL65" s="4504">
        <f t="shared" si="26"/>
        <v>0</v>
      </c>
      <c r="AM65" s="4504">
        <f t="shared" si="27"/>
        <v>0</v>
      </c>
      <c r="AN65" s="4504">
        <f t="shared" si="28"/>
        <v>0</v>
      </c>
      <c r="AO65" s="4504">
        <f t="shared" si="29"/>
        <v>0</v>
      </c>
      <c r="AP65" s="4504">
        <f t="shared" si="30"/>
        <v>11.735353330496173</v>
      </c>
      <c r="AQ65" s="4504">
        <f t="shared" si="31"/>
        <v>0</v>
      </c>
      <c r="AR65" s="4504">
        <f t="shared" si="32"/>
        <v>0</v>
      </c>
      <c r="AS65" s="4504">
        <f t="shared" si="33"/>
        <v>99.892115229852863</v>
      </c>
    </row>
    <row r="66" spans="1:45">
      <c r="A66" s="2547">
        <v>1</v>
      </c>
      <c r="B66" s="2547">
        <v>20101</v>
      </c>
      <c r="C66" s="2571">
        <v>0</v>
      </c>
      <c r="D66" s="2599" t="s">
        <v>556</v>
      </c>
      <c r="E66" s="2659">
        <f>E12-E41</f>
        <v>22.536523787844654</v>
      </c>
      <c r="F66" s="5382"/>
      <c r="G66" s="5383"/>
      <c r="H66" s="2659">
        <f>H12-H41</f>
        <v>22.536523787844654</v>
      </c>
      <c r="I66" s="2659">
        <f>I12-I41</f>
        <v>5.3750598480652947</v>
      </c>
      <c r="J66" s="5382"/>
      <c r="K66" s="5383"/>
      <c r="L66" s="2659">
        <f>L12-L41</f>
        <v>5.3750598480652947</v>
      </c>
      <c r="M66" s="2659">
        <f>M12-M41</f>
        <v>2.367113286516366</v>
      </c>
      <c r="N66" s="5382"/>
      <c r="O66" s="5383"/>
      <c r="P66" s="2659">
        <f>P12-P41</f>
        <v>2.367113286516366</v>
      </c>
      <c r="Q66" s="2659">
        <f>Q12-Q41</f>
        <v>0</v>
      </c>
      <c r="R66" s="5382"/>
      <c r="S66" s="5383"/>
      <c r="T66" s="2659">
        <f>T12-T41</f>
        <v>0</v>
      </c>
      <c r="U66" s="2659">
        <f>U12-U41</f>
        <v>0.14830307757368388</v>
      </c>
      <c r="V66" s="5382"/>
      <c r="W66" s="5383"/>
      <c r="X66" s="2659">
        <f>X12-X41</f>
        <v>0.14830307757368388</v>
      </c>
      <c r="Y66" s="4488"/>
      <c r="Z66" s="4504">
        <f t="shared" si="14"/>
        <v>11.522741643110422</v>
      </c>
      <c r="AA66" s="4512"/>
      <c r="AB66" s="4513"/>
      <c r="AC66" s="4504">
        <f t="shared" si="17"/>
        <v>11.522741643110422</v>
      </c>
      <c r="AD66" s="4504">
        <f t="shared" si="18"/>
        <v>2.7482244612595648</v>
      </c>
      <c r="AE66" s="4512"/>
      <c r="AF66" s="4513"/>
      <c r="AG66" s="4504">
        <f t="shared" si="21"/>
        <v>2.7482244612595648</v>
      </c>
      <c r="AH66" s="4504">
        <f t="shared" si="22"/>
        <v>1.2102858052675161</v>
      </c>
      <c r="AI66" s="4512"/>
      <c r="AJ66" s="4513"/>
      <c r="AK66" s="4504">
        <f t="shared" si="25"/>
        <v>1.2102858052675161</v>
      </c>
      <c r="AL66" s="4504">
        <f t="shared" si="26"/>
        <v>0</v>
      </c>
      <c r="AM66" s="4512"/>
      <c r="AN66" s="4513"/>
      <c r="AO66" s="4504">
        <f t="shared" si="29"/>
        <v>0</v>
      </c>
      <c r="AP66" s="4504">
        <f t="shared" si="30"/>
        <v>7.5826159519837552E-2</v>
      </c>
      <c r="AQ66" s="4512"/>
      <c r="AR66" s="4513"/>
      <c r="AS66" s="4504">
        <f t="shared" si="33"/>
        <v>7.5826159519837552E-2</v>
      </c>
    </row>
    <row r="67" spans="1:45" ht="24">
      <c r="A67" s="2553">
        <v>2</v>
      </c>
      <c r="B67" s="2553">
        <v>20201</v>
      </c>
      <c r="C67" s="2600">
        <v>0.03</v>
      </c>
      <c r="D67" s="2601" t="s">
        <v>425</v>
      </c>
      <c r="E67" s="1117">
        <f>E13-E42</f>
        <v>130.08483271715886</v>
      </c>
      <c r="F67" s="5384"/>
      <c r="G67" s="5385"/>
      <c r="H67" s="1117">
        <f>H13-H42</f>
        <v>120.53567069588564</v>
      </c>
      <c r="I67" s="1117">
        <f>I13-I42</f>
        <v>85.945856603882561</v>
      </c>
      <c r="J67" s="5384"/>
      <c r="K67" s="5385"/>
      <c r="L67" s="1117">
        <f>L13-L42</f>
        <v>79.165192581971922</v>
      </c>
      <c r="M67" s="1117">
        <f>M13-M42</f>
        <v>130.98623449792808</v>
      </c>
      <c r="N67" s="5384"/>
      <c r="O67" s="5385"/>
      <c r="P67" s="1117">
        <f>P13-P42</f>
        <v>122.93103786126505</v>
      </c>
      <c r="Q67" s="1117">
        <f>Q13-Q42</f>
        <v>0</v>
      </c>
      <c r="R67" s="5384"/>
      <c r="S67" s="5385"/>
      <c r="T67" s="1117">
        <f>T13-T42</f>
        <v>0</v>
      </c>
      <c r="U67" s="1117">
        <f>U13-U42</f>
        <v>3.6531951684269739</v>
      </c>
      <c r="V67" s="5384"/>
      <c r="W67" s="5385"/>
      <c r="X67" s="1117">
        <f>X13-X42</f>
        <v>3.2278807141306061</v>
      </c>
      <c r="Y67" s="4488"/>
      <c r="Z67" s="4504">
        <f t="shared" si="14"/>
        <v>66.51131883505154</v>
      </c>
      <c r="AA67" s="4519"/>
      <c r="AB67" s="4520"/>
      <c r="AC67" s="4504">
        <f t="shared" si="17"/>
        <v>61.628909821347278</v>
      </c>
      <c r="AD67" s="4504">
        <f t="shared" si="18"/>
        <v>43.943418704019557</v>
      </c>
      <c r="AE67" s="4519"/>
      <c r="AF67" s="4520"/>
      <c r="AG67" s="4504">
        <f t="shared" si="21"/>
        <v>40.476520240497344</v>
      </c>
      <c r="AH67" s="4504">
        <f t="shared" si="22"/>
        <v>66.972198247254667</v>
      </c>
      <c r="AI67" s="4519"/>
      <c r="AJ67" s="4520"/>
      <c r="AK67" s="4504">
        <f t="shared" si="25"/>
        <v>62.85364160548977</v>
      </c>
      <c r="AL67" s="4504">
        <f t="shared" si="26"/>
        <v>0</v>
      </c>
      <c r="AM67" s="4519"/>
      <c r="AN67" s="4520"/>
      <c r="AO67" s="4504">
        <f t="shared" si="29"/>
        <v>0</v>
      </c>
      <c r="AP67" s="4504">
        <f t="shared" si="30"/>
        <v>1.8678490300419637</v>
      </c>
      <c r="AQ67" s="4519"/>
      <c r="AR67" s="4520"/>
      <c r="AS67" s="4504">
        <f t="shared" si="33"/>
        <v>1.6503892026048308</v>
      </c>
    </row>
    <row r="68" spans="1:45" ht="24">
      <c r="A68" s="2553">
        <v>3</v>
      </c>
      <c r="B68" s="2554">
        <v>203</v>
      </c>
      <c r="C68" s="2560"/>
      <c r="D68" s="2585" t="s">
        <v>405</v>
      </c>
      <c r="E68" s="2644">
        <f t="shared" ref="E68:I68" si="110">SUM(E69:E72)</f>
        <v>98.037448077895505</v>
      </c>
      <c r="F68" s="5384"/>
      <c r="G68" s="5385"/>
      <c r="H68" s="2644">
        <f t="shared" si="110"/>
        <v>743.92698342670315</v>
      </c>
      <c r="I68" s="2644">
        <f t="shared" si="110"/>
        <v>13.298954881394955</v>
      </c>
      <c r="J68" s="5384"/>
      <c r="K68" s="5385"/>
      <c r="L68" s="2644">
        <f t="shared" ref="L68:M68" si="111">SUM(L69:L72)</f>
        <v>18.302900071947036</v>
      </c>
      <c r="M68" s="2644">
        <f t="shared" si="111"/>
        <v>8.8913597408040985</v>
      </c>
      <c r="N68" s="5384"/>
      <c r="O68" s="5385"/>
      <c r="P68" s="2644">
        <f t="shared" ref="P68:Q68" si="112">SUM(P69:P72)</f>
        <v>13.994695933777599</v>
      </c>
      <c r="Q68" s="2644">
        <f t="shared" si="112"/>
        <v>0</v>
      </c>
      <c r="R68" s="5384"/>
      <c r="S68" s="5385"/>
      <c r="T68" s="2644">
        <f t="shared" ref="T68:U68" si="113">SUM(T69:T72)</f>
        <v>0</v>
      </c>
      <c r="U68" s="2644">
        <f t="shared" si="113"/>
        <v>6.4953183129370942</v>
      </c>
      <c r="V68" s="5384"/>
      <c r="W68" s="5385"/>
      <c r="X68" s="2644">
        <f t="shared" ref="X68" si="114">SUM(X69:X72)</f>
        <v>179.43596149472043</v>
      </c>
      <c r="Y68" s="4488"/>
      <c r="Z68" s="4504">
        <f t="shared" si="14"/>
        <v>50.125751255423786</v>
      </c>
      <c r="AA68" s="4519"/>
      <c r="AB68" s="4520"/>
      <c r="AC68" s="4504">
        <f t="shared" si="17"/>
        <v>380.3638268288671</v>
      </c>
      <c r="AD68" s="4504">
        <f t="shared" si="18"/>
        <v>6.7996476592520594</v>
      </c>
      <c r="AE68" s="4519"/>
      <c r="AF68" s="4520"/>
      <c r="AG68" s="4504">
        <f t="shared" si="21"/>
        <v>9.3581242091322032</v>
      </c>
      <c r="AH68" s="4504">
        <f t="shared" si="22"/>
        <v>4.546080048268049</v>
      </c>
      <c r="AI68" s="4519"/>
      <c r="AJ68" s="4520"/>
      <c r="AK68" s="4504">
        <f t="shared" si="25"/>
        <v>7.155374410750218</v>
      </c>
      <c r="AL68" s="4504">
        <f t="shared" si="26"/>
        <v>0</v>
      </c>
      <c r="AM68" s="4519"/>
      <c r="AN68" s="4520"/>
      <c r="AO68" s="4504">
        <f t="shared" si="29"/>
        <v>0</v>
      </c>
      <c r="AP68" s="4504">
        <f t="shared" si="30"/>
        <v>3.3210035191898553</v>
      </c>
      <c r="AQ68" s="4519"/>
      <c r="AR68" s="4520"/>
      <c r="AS68" s="4504">
        <f t="shared" si="33"/>
        <v>91.744150306887832</v>
      </c>
    </row>
    <row r="69" spans="1:45">
      <c r="A69" s="2553"/>
      <c r="B69" s="2554">
        <v>20301</v>
      </c>
      <c r="C69" s="2560">
        <v>0.1</v>
      </c>
      <c r="D69" s="2588" t="s">
        <v>427</v>
      </c>
      <c r="E69" s="1117">
        <f>E15-E44</f>
        <v>68.581276475577852</v>
      </c>
      <c r="F69" s="5384"/>
      <c r="G69" s="5385"/>
      <c r="H69" s="1117">
        <f t="shared" ref="H69:I73" si="115">H15-H44</f>
        <v>80.632281971316331</v>
      </c>
      <c r="I69" s="1117">
        <f t="shared" si="115"/>
        <v>0</v>
      </c>
      <c r="J69" s="5384"/>
      <c r="K69" s="5385"/>
      <c r="L69" s="1117">
        <f t="shared" ref="L69:M73" si="116">L15-L44</f>
        <v>0</v>
      </c>
      <c r="M69" s="1117">
        <f t="shared" si="116"/>
        <v>1.9277100000000003</v>
      </c>
      <c r="N69" s="5384"/>
      <c r="O69" s="5385"/>
      <c r="P69" s="1117">
        <f t="shared" ref="P69:Q73" si="117">P15-P44</f>
        <v>1.6713900000000002</v>
      </c>
      <c r="Q69" s="1117">
        <f t="shared" si="117"/>
        <v>0</v>
      </c>
      <c r="R69" s="5384"/>
      <c r="S69" s="5385"/>
      <c r="T69" s="1117">
        <f t="shared" ref="T69:U73" si="118">T15-T44</f>
        <v>0</v>
      </c>
      <c r="U69" s="1117">
        <f t="shared" si="118"/>
        <v>2.6783735244220388</v>
      </c>
      <c r="V69" s="5384"/>
      <c r="W69" s="5385"/>
      <c r="X69" s="1117">
        <f>X15-X44</f>
        <v>2.3563380286835276</v>
      </c>
      <c r="Y69" s="4488"/>
      <c r="Z69" s="4504">
        <f t="shared" si="14"/>
        <v>35.065049864036162</v>
      </c>
      <c r="AA69" s="4519"/>
      <c r="AB69" s="4520"/>
      <c r="AC69" s="4504">
        <f t="shared" si="17"/>
        <v>41.226631134258263</v>
      </c>
      <c r="AD69" s="4504">
        <f t="shared" si="18"/>
        <v>0</v>
      </c>
      <c r="AE69" s="4519"/>
      <c r="AF69" s="4520"/>
      <c r="AG69" s="4504">
        <f t="shared" si="21"/>
        <v>0</v>
      </c>
      <c r="AH69" s="4504">
        <f t="shared" si="22"/>
        <v>0.9856224723007625</v>
      </c>
      <c r="AI69" s="4519"/>
      <c r="AJ69" s="4520"/>
      <c r="AK69" s="4504">
        <f t="shared" si="25"/>
        <v>0.85456813731254766</v>
      </c>
      <c r="AL69" s="4504">
        <f t="shared" si="26"/>
        <v>0</v>
      </c>
      <c r="AM69" s="4519"/>
      <c r="AN69" s="4520"/>
      <c r="AO69" s="4504">
        <f t="shared" si="29"/>
        <v>0</v>
      </c>
      <c r="AP69" s="4504">
        <f t="shared" si="30"/>
        <v>1.36943063784789</v>
      </c>
      <c r="AQ69" s="4519"/>
      <c r="AR69" s="4520"/>
      <c r="AS69" s="4504">
        <f t="shared" si="33"/>
        <v>1.2047765034197899</v>
      </c>
    </row>
    <row r="70" spans="1:45">
      <c r="A70" s="2553"/>
      <c r="B70" s="2554">
        <v>20302</v>
      </c>
      <c r="C70" s="2560">
        <v>0.1</v>
      </c>
      <c r="D70" s="2588" t="s">
        <v>428</v>
      </c>
      <c r="E70" s="1117">
        <f>E16-E45</f>
        <v>9.2576422123867559</v>
      </c>
      <c r="F70" s="5384"/>
      <c r="G70" s="5385"/>
      <c r="H70" s="1117">
        <f t="shared" si="115"/>
        <v>13.734643529197427</v>
      </c>
      <c r="I70" s="1117">
        <f t="shared" si="115"/>
        <v>4.4290148813949131</v>
      </c>
      <c r="J70" s="5384"/>
      <c r="K70" s="5385"/>
      <c r="L70" s="1117">
        <f t="shared" si="116"/>
        <v>4.6924881957230085</v>
      </c>
      <c r="M70" s="1117">
        <f t="shared" si="116"/>
        <v>5.9634597408040975</v>
      </c>
      <c r="N70" s="5384"/>
      <c r="O70" s="5385"/>
      <c r="P70" s="1117">
        <f t="shared" si="117"/>
        <v>6.6454359981972146</v>
      </c>
      <c r="Q70" s="1117">
        <f t="shared" si="117"/>
        <v>0</v>
      </c>
      <c r="R70" s="5384"/>
      <c r="S70" s="5385"/>
      <c r="T70" s="1117">
        <f t="shared" si="118"/>
        <v>0</v>
      </c>
      <c r="U70" s="1117">
        <f t="shared" si="118"/>
        <v>0.16523417844587307</v>
      </c>
      <c r="V70" s="5384"/>
      <c r="W70" s="5385"/>
      <c r="X70" s="1117">
        <f>X16-X45</f>
        <v>3.2503189473149341</v>
      </c>
      <c r="Y70" s="4488"/>
      <c r="Z70" s="4504">
        <f t="shared" si="14"/>
        <v>4.7333573022127462</v>
      </c>
      <c r="AA70" s="4519"/>
      <c r="AB70" s="4520"/>
      <c r="AC70" s="4504">
        <f t="shared" si="17"/>
        <v>7.0224117276028224</v>
      </c>
      <c r="AD70" s="4504">
        <f t="shared" si="18"/>
        <v>2.2645193505544516</v>
      </c>
      <c r="AE70" s="4519"/>
      <c r="AF70" s="4520"/>
      <c r="AG70" s="4504">
        <f t="shared" si="21"/>
        <v>2.399231117082266</v>
      </c>
      <c r="AH70" s="4504">
        <f t="shared" si="22"/>
        <v>3.0490685493136405</v>
      </c>
      <c r="AI70" s="4519"/>
      <c r="AJ70" s="4520"/>
      <c r="AK70" s="4504">
        <f t="shared" si="25"/>
        <v>3.3977574728873239</v>
      </c>
      <c r="AL70" s="4504">
        <f t="shared" si="26"/>
        <v>0</v>
      </c>
      <c r="AM70" s="4519"/>
      <c r="AN70" s="4520"/>
      <c r="AO70" s="4504">
        <f t="shared" si="29"/>
        <v>0</v>
      </c>
      <c r="AP70" s="4504">
        <f t="shared" si="30"/>
        <v>8.4482893935502096E-2</v>
      </c>
      <c r="AQ70" s="4519"/>
      <c r="AR70" s="4520"/>
      <c r="AS70" s="4504">
        <f t="shared" si="33"/>
        <v>1.6618616890603652</v>
      </c>
    </row>
    <row r="71" spans="1:45" ht="24">
      <c r="A71" s="2553"/>
      <c r="B71" s="2554">
        <v>20303</v>
      </c>
      <c r="C71" s="2560">
        <v>0.1</v>
      </c>
      <c r="D71" s="2588" t="s">
        <v>406</v>
      </c>
      <c r="E71" s="1117">
        <f>E17-E46</f>
        <v>18.745137669702899</v>
      </c>
      <c r="F71" s="5384"/>
      <c r="G71" s="5385"/>
      <c r="H71" s="1117">
        <f t="shared" si="115"/>
        <v>647.75983179385184</v>
      </c>
      <c r="I71" s="1117">
        <f t="shared" si="115"/>
        <v>8.8699400000000423</v>
      </c>
      <c r="J71" s="5384"/>
      <c r="K71" s="5385"/>
      <c r="L71" s="1117">
        <f t="shared" si="116"/>
        <v>13.167470000000037</v>
      </c>
      <c r="M71" s="1117">
        <f t="shared" si="116"/>
        <v>0</v>
      </c>
      <c r="N71" s="5384"/>
      <c r="O71" s="5385"/>
      <c r="P71" s="1117">
        <f t="shared" si="117"/>
        <v>4.4299500000000052</v>
      </c>
      <c r="Q71" s="1117">
        <f t="shared" si="117"/>
        <v>0</v>
      </c>
      <c r="R71" s="5384"/>
      <c r="S71" s="5385"/>
      <c r="T71" s="1117">
        <f t="shared" si="118"/>
        <v>0</v>
      </c>
      <c r="U71" s="1117">
        <f t="shared" si="118"/>
        <v>2.9973023302972024</v>
      </c>
      <c r="V71" s="5384"/>
      <c r="W71" s="5385"/>
      <c r="X71" s="1117">
        <f>X17-X46</f>
        <v>173.26015820614811</v>
      </c>
      <c r="Y71" s="4488"/>
      <c r="Z71" s="4504">
        <f t="shared" si="14"/>
        <v>9.5842367024244943</v>
      </c>
      <c r="AA71" s="4519"/>
      <c r="AB71" s="4520"/>
      <c r="AC71" s="4504">
        <f t="shared" si="17"/>
        <v>331.19434296122455</v>
      </c>
      <c r="AD71" s="4504">
        <f t="shared" si="18"/>
        <v>4.5351283086976082</v>
      </c>
      <c r="AE71" s="4519"/>
      <c r="AF71" s="4520"/>
      <c r="AG71" s="4504">
        <f t="shared" si="21"/>
        <v>6.7324205068947904</v>
      </c>
      <c r="AH71" s="4504">
        <f t="shared" si="22"/>
        <v>0</v>
      </c>
      <c r="AI71" s="4519"/>
      <c r="AJ71" s="4520"/>
      <c r="AK71" s="4504">
        <f t="shared" si="25"/>
        <v>2.2649974691051908</v>
      </c>
      <c r="AL71" s="4504">
        <f t="shared" si="26"/>
        <v>0</v>
      </c>
      <c r="AM71" s="4519"/>
      <c r="AN71" s="4520"/>
      <c r="AO71" s="4504">
        <f t="shared" si="29"/>
        <v>0</v>
      </c>
      <c r="AP71" s="4504">
        <f t="shared" si="30"/>
        <v>1.5324963469714661</v>
      </c>
      <c r="AQ71" s="4519"/>
      <c r="AR71" s="4520"/>
      <c r="AS71" s="4504">
        <f t="shared" si="33"/>
        <v>88.586512225575902</v>
      </c>
    </row>
    <row r="72" spans="1:45" ht="24">
      <c r="A72" s="2553"/>
      <c r="B72" s="2554">
        <v>20306</v>
      </c>
      <c r="C72" s="2560">
        <v>0.1</v>
      </c>
      <c r="D72" s="2588" t="s">
        <v>409</v>
      </c>
      <c r="E72" s="1117">
        <f>E18-E47</f>
        <v>1.4533917202279909</v>
      </c>
      <c r="F72" s="5384"/>
      <c r="G72" s="5385"/>
      <c r="H72" s="1117">
        <f t="shared" si="115"/>
        <v>1.8002261323376061</v>
      </c>
      <c r="I72" s="1117">
        <f t="shared" si="115"/>
        <v>0</v>
      </c>
      <c r="J72" s="5384"/>
      <c r="K72" s="5385"/>
      <c r="L72" s="1117">
        <f t="shared" si="116"/>
        <v>0.44294187622399178</v>
      </c>
      <c r="M72" s="1117">
        <f t="shared" si="116"/>
        <v>1.0001899999999999</v>
      </c>
      <c r="N72" s="5384"/>
      <c r="O72" s="5385"/>
      <c r="P72" s="1117">
        <f t="shared" si="117"/>
        <v>1.2479199355803781</v>
      </c>
      <c r="Q72" s="1117">
        <f t="shared" si="117"/>
        <v>0</v>
      </c>
      <c r="R72" s="5384"/>
      <c r="S72" s="5385"/>
      <c r="T72" s="1117">
        <f t="shared" si="118"/>
        <v>0</v>
      </c>
      <c r="U72" s="1117">
        <f t="shared" si="118"/>
        <v>0.65440827977197968</v>
      </c>
      <c r="V72" s="5384"/>
      <c r="W72" s="5385"/>
      <c r="X72" s="1117">
        <f>X18-X47</f>
        <v>0.56914631257385628</v>
      </c>
      <c r="Y72" s="4488"/>
      <c r="Z72" s="4504">
        <f t="shared" si="14"/>
        <v>0.74310738675037757</v>
      </c>
      <c r="AA72" s="4519"/>
      <c r="AB72" s="4520"/>
      <c r="AC72" s="4504">
        <f t="shared" si="17"/>
        <v>0.92044100578148724</v>
      </c>
      <c r="AD72" s="4504">
        <f t="shared" si="18"/>
        <v>0</v>
      </c>
      <c r="AE72" s="4519"/>
      <c r="AF72" s="4520"/>
      <c r="AG72" s="4504">
        <f t="shared" si="21"/>
        <v>0.22647258515514732</v>
      </c>
      <c r="AH72" s="4504">
        <f t="shared" si="22"/>
        <v>0.51138902665364572</v>
      </c>
      <c r="AI72" s="4519"/>
      <c r="AJ72" s="4520"/>
      <c r="AK72" s="4504">
        <f t="shared" si="25"/>
        <v>0.63805133144515525</v>
      </c>
      <c r="AL72" s="4504">
        <f t="shared" si="26"/>
        <v>0</v>
      </c>
      <c r="AM72" s="4519"/>
      <c r="AN72" s="4520"/>
      <c r="AO72" s="4504">
        <f t="shared" si="29"/>
        <v>0</v>
      </c>
      <c r="AP72" s="4504">
        <f t="shared" si="30"/>
        <v>0.33459364043499673</v>
      </c>
      <c r="AQ72" s="4519"/>
      <c r="AR72" s="4520"/>
      <c r="AS72" s="4504">
        <f t="shared" si="33"/>
        <v>0.29099988883177796</v>
      </c>
    </row>
    <row r="73" spans="1:45">
      <c r="A73" s="2553">
        <v>4</v>
      </c>
      <c r="B73" s="2554">
        <v>20403</v>
      </c>
      <c r="C73" s="2560">
        <v>0.04</v>
      </c>
      <c r="D73" s="2590" t="s">
        <v>434</v>
      </c>
      <c r="E73" s="1117">
        <f>E19-E48</f>
        <v>14.076339134314573</v>
      </c>
      <c r="F73" s="5384"/>
      <c r="G73" s="5385"/>
      <c r="H73" s="1117">
        <f t="shared" si="115"/>
        <v>13.082436015932426</v>
      </c>
      <c r="I73" s="1117">
        <f t="shared" si="115"/>
        <v>0.88859173773210376</v>
      </c>
      <c r="J73" s="5384"/>
      <c r="K73" s="5385"/>
      <c r="L73" s="1117">
        <f t="shared" si="116"/>
        <v>0.70425356214613632</v>
      </c>
      <c r="M73" s="1117">
        <f t="shared" si="116"/>
        <v>1.3631655660381536</v>
      </c>
      <c r="N73" s="5384"/>
      <c r="O73" s="5385"/>
      <c r="P73" s="1117">
        <f t="shared" si="117"/>
        <v>1.1382393460716074</v>
      </c>
      <c r="Q73" s="1117">
        <f t="shared" si="117"/>
        <v>0</v>
      </c>
      <c r="R73" s="5384"/>
      <c r="S73" s="5385"/>
      <c r="T73" s="1117">
        <f t="shared" si="118"/>
        <v>0</v>
      </c>
      <c r="U73" s="1117">
        <f t="shared" si="118"/>
        <v>3.7770279700026915E-2</v>
      </c>
      <c r="V73" s="5384"/>
      <c r="W73" s="5385"/>
      <c r="X73" s="1117">
        <f>X19-X48</f>
        <v>2.7232641271678293E-2</v>
      </c>
      <c r="Y73" s="4488"/>
      <c r="Z73" s="4504">
        <f t="shared" si="14"/>
        <v>7.1971179163396473</v>
      </c>
      <c r="AA73" s="4519"/>
      <c r="AB73" s="4520"/>
      <c r="AC73" s="4504">
        <f t="shared" si="17"/>
        <v>6.6889433212152518</v>
      </c>
      <c r="AD73" s="4504">
        <f t="shared" si="18"/>
        <v>0.45432974120046415</v>
      </c>
      <c r="AE73" s="4519"/>
      <c r="AF73" s="4520"/>
      <c r="AG73" s="4504">
        <f t="shared" si="21"/>
        <v>0.36007912862883601</v>
      </c>
      <c r="AH73" s="4504">
        <f t="shared" si="22"/>
        <v>0.69697548664155562</v>
      </c>
      <c r="AI73" s="4519"/>
      <c r="AJ73" s="4520"/>
      <c r="AK73" s="4504">
        <f t="shared" si="25"/>
        <v>0.58197253650450576</v>
      </c>
      <c r="AL73" s="4504">
        <f t="shared" si="26"/>
        <v>0</v>
      </c>
      <c r="AM73" s="4519"/>
      <c r="AN73" s="4520"/>
      <c r="AO73" s="4504">
        <f t="shared" si="29"/>
        <v>0</v>
      </c>
      <c r="AP73" s="4504">
        <f t="shared" si="30"/>
        <v>1.9311637361134105E-2</v>
      </c>
      <c r="AQ73" s="4519"/>
      <c r="AR73" s="4520"/>
      <c r="AS73" s="4504">
        <f t="shared" si="33"/>
        <v>1.3923828385738175E-2</v>
      </c>
    </row>
    <row r="74" spans="1:45">
      <c r="A74" s="2553">
        <v>5</v>
      </c>
      <c r="B74" s="2554">
        <v>205</v>
      </c>
      <c r="C74" s="2560"/>
      <c r="D74" s="2585" t="s">
        <v>212</v>
      </c>
      <c r="E74" s="2657">
        <f>SUM(E75:E78)</f>
        <v>53.470623252996191</v>
      </c>
      <c r="F74" s="5384"/>
      <c r="G74" s="5385"/>
      <c r="H74" s="2657">
        <f t="shared" ref="H74" si="119">SUM(H75:H78)</f>
        <v>234.14781109598886</v>
      </c>
      <c r="I74" s="2657">
        <f>SUM(I75:I78)</f>
        <v>29.458360964878111</v>
      </c>
      <c r="J74" s="5384"/>
      <c r="K74" s="5385"/>
      <c r="L74" s="2657">
        <f t="shared" ref="L74" si="120">SUM(L75:L78)</f>
        <v>57.173592798331704</v>
      </c>
      <c r="M74" s="2657">
        <f>SUM(M75:M78)</f>
        <v>25.187960192199057</v>
      </c>
      <c r="N74" s="5384"/>
      <c r="O74" s="5385"/>
      <c r="P74" s="2657">
        <f t="shared" ref="P74" si="121">SUM(P75:P78)</f>
        <v>61.180404069550661</v>
      </c>
      <c r="Q74" s="2657">
        <f>SUM(Q75:Q78)</f>
        <v>0</v>
      </c>
      <c r="R74" s="5384"/>
      <c r="S74" s="5385"/>
      <c r="T74" s="2657">
        <f t="shared" ref="T74" si="122">SUM(T75:T78)</f>
        <v>0</v>
      </c>
      <c r="U74" s="2657">
        <f>SUM(U75:U78)</f>
        <v>5.540133320994002</v>
      </c>
      <c r="V74" s="5384"/>
      <c r="W74" s="5385"/>
      <c r="X74" s="2657">
        <f t="shared" ref="X74" si="123">SUM(X75:X78)</f>
        <v>5.653985064990291</v>
      </c>
      <c r="Y74" s="4488"/>
      <c r="Z74" s="4504">
        <f t="shared" si="14"/>
        <v>27.339095551758685</v>
      </c>
      <c r="AA74" s="4519"/>
      <c r="AB74" s="4520"/>
      <c r="AC74" s="4504">
        <f t="shared" si="17"/>
        <v>119.71787481324495</v>
      </c>
      <c r="AD74" s="4504">
        <f t="shared" si="18"/>
        <v>15.06182079468978</v>
      </c>
      <c r="AE74" s="4519"/>
      <c r="AF74" s="4520"/>
      <c r="AG74" s="4504">
        <f t="shared" si="21"/>
        <v>29.232393816605587</v>
      </c>
      <c r="AH74" s="4504">
        <f t="shared" si="22"/>
        <v>12.878399550164922</v>
      </c>
      <c r="AI74" s="4519"/>
      <c r="AJ74" s="4520"/>
      <c r="AK74" s="4504">
        <f t="shared" si="25"/>
        <v>31.281043889065341</v>
      </c>
      <c r="AL74" s="4504">
        <f t="shared" si="26"/>
        <v>0</v>
      </c>
      <c r="AM74" s="4519"/>
      <c r="AN74" s="4520"/>
      <c r="AO74" s="4504">
        <f t="shared" si="29"/>
        <v>0</v>
      </c>
      <c r="AP74" s="4504">
        <f t="shared" si="30"/>
        <v>2.8326251877688766</v>
      </c>
      <c r="AQ74" s="4519"/>
      <c r="AR74" s="4520"/>
      <c r="AS74" s="4504">
        <f t="shared" si="33"/>
        <v>2.8908366601342097</v>
      </c>
    </row>
    <row r="75" spans="1:45">
      <c r="A75" s="2564"/>
      <c r="B75" s="2565">
        <v>20501</v>
      </c>
      <c r="C75" s="2560">
        <v>0.08</v>
      </c>
      <c r="D75" s="2591" t="s">
        <v>410</v>
      </c>
      <c r="E75" s="1117">
        <f t="shared" ref="E75:E84" si="124">E21-E50</f>
        <v>0</v>
      </c>
      <c r="F75" s="5384"/>
      <c r="G75" s="5385"/>
      <c r="H75" s="1117">
        <f t="shared" ref="H75:I84" si="125">H21-H50</f>
        <v>0</v>
      </c>
      <c r="I75" s="1117">
        <f t="shared" si="125"/>
        <v>0</v>
      </c>
      <c r="J75" s="5384"/>
      <c r="K75" s="5385"/>
      <c r="L75" s="1117">
        <f t="shared" ref="L75:M84" si="126">L21-L50</f>
        <v>0</v>
      </c>
      <c r="M75" s="1117">
        <f t="shared" si="126"/>
        <v>0</v>
      </c>
      <c r="N75" s="5384"/>
      <c r="O75" s="5385"/>
      <c r="P75" s="1117">
        <f t="shared" ref="P75:Q84" si="127">P21-P50</f>
        <v>0</v>
      </c>
      <c r="Q75" s="1117">
        <f t="shared" si="127"/>
        <v>0</v>
      </c>
      <c r="R75" s="5384"/>
      <c r="S75" s="5385"/>
      <c r="T75" s="1117">
        <f t="shared" ref="T75:U84" si="128">T21-T50</f>
        <v>0</v>
      </c>
      <c r="U75" s="1117">
        <f t="shared" si="128"/>
        <v>0</v>
      </c>
      <c r="V75" s="5384"/>
      <c r="W75" s="5385"/>
      <c r="X75" s="1117">
        <f t="shared" ref="X75:X84" si="129">X21-X50</f>
        <v>0</v>
      </c>
      <c r="Y75" s="4488"/>
      <c r="Z75" s="4504">
        <f t="shared" si="14"/>
        <v>0</v>
      </c>
      <c r="AA75" s="4519"/>
      <c r="AB75" s="4520"/>
      <c r="AC75" s="4504">
        <f t="shared" si="17"/>
        <v>0</v>
      </c>
      <c r="AD75" s="4504">
        <f t="shared" si="18"/>
        <v>0</v>
      </c>
      <c r="AE75" s="4519"/>
      <c r="AF75" s="4520"/>
      <c r="AG75" s="4504">
        <f t="shared" si="21"/>
        <v>0</v>
      </c>
      <c r="AH75" s="4504">
        <f t="shared" si="22"/>
        <v>0</v>
      </c>
      <c r="AI75" s="4519"/>
      <c r="AJ75" s="4520"/>
      <c r="AK75" s="4504">
        <f t="shared" si="25"/>
        <v>0</v>
      </c>
      <c r="AL75" s="4504">
        <f t="shared" si="26"/>
        <v>0</v>
      </c>
      <c r="AM75" s="4519"/>
      <c r="AN75" s="4520"/>
      <c r="AO75" s="4504">
        <f t="shared" si="29"/>
        <v>0</v>
      </c>
      <c r="AP75" s="4504">
        <f t="shared" si="30"/>
        <v>0</v>
      </c>
      <c r="AQ75" s="4519"/>
      <c r="AR75" s="4520"/>
      <c r="AS75" s="4504">
        <f t="shared" si="33"/>
        <v>0</v>
      </c>
    </row>
    <row r="76" spans="1:45">
      <c r="A76" s="2564"/>
      <c r="B76" s="2565">
        <v>20502</v>
      </c>
      <c r="C76" s="2560">
        <v>0.1</v>
      </c>
      <c r="D76" s="2591" t="s">
        <v>411</v>
      </c>
      <c r="E76" s="1117">
        <f t="shared" si="124"/>
        <v>51.156332525772655</v>
      </c>
      <c r="F76" s="5384"/>
      <c r="G76" s="5385"/>
      <c r="H76" s="1117">
        <f t="shared" si="125"/>
        <v>225.2265769086822</v>
      </c>
      <c r="I76" s="1117">
        <f t="shared" si="125"/>
        <v>29.055717615983568</v>
      </c>
      <c r="J76" s="5384"/>
      <c r="K76" s="5385"/>
      <c r="L76" s="1117">
        <f t="shared" si="126"/>
        <v>56.926445537616821</v>
      </c>
      <c r="M76" s="1117">
        <f t="shared" si="126"/>
        <v>24.570275461066871</v>
      </c>
      <c r="N76" s="5384"/>
      <c r="O76" s="5385"/>
      <c r="P76" s="1117">
        <f t="shared" si="127"/>
        <v>60.752452947437106</v>
      </c>
      <c r="Q76" s="1117">
        <f t="shared" si="127"/>
        <v>0</v>
      </c>
      <c r="R76" s="5384"/>
      <c r="S76" s="5385"/>
      <c r="T76" s="1117">
        <f t="shared" si="128"/>
        <v>0</v>
      </c>
      <c r="U76" s="1117">
        <f t="shared" si="128"/>
        <v>0.89694212824428021</v>
      </c>
      <c r="V76" s="5384"/>
      <c r="W76" s="5385"/>
      <c r="X76" s="1117">
        <f t="shared" si="129"/>
        <v>2.5591476351254023</v>
      </c>
      <c r="Y76" s="4488"/>
      <c r="Z76" s="4504">
        <f t="shared" ref="Z76:Z139" si="130">IFERROR(E76/$D$1,0)</f>
        <v>26.155817492201599</v>
      </c>
      <c r="AA76" s="4519"/>
      <c r="AB76" s="4520"/>
      <c r="AC76" s="4504">
        <f t="shared" ref="AC76:AC139" si="131">IFERROR(H76/$D$1,0)</f>
        <v>115.15652020302491</v>
      </c>
      <c r="AD76" s="4504">
        <f t="shared" ref="AD76:AD139" si="132">IFERROR(I76/$D$1,0)</f>
        <v>14.855952519382344</v>
      </c>
      <c r="AE76" s="4519"/>
      <c r="AF76" s="4520"/>
      <c r="AG76" s="4504">
        <f t="shared" ref="AG76:AG139" si="133">IFERROR(L76/$D$1,0)</f>
        <v>29.106029428742183</v>
      </c>
      <c r="AH76" s="4504">
        <f t="shared" ref="AH76:AH139" si="134">IFERROR(M76/$D$1,0)</f>
        <v>12.562582361998166</v>
      </c>
      <c r="AI76" s="4519"/>
      <c r="AJ76" s="4520"/>
      <c r="AK76" s="4504">
        <f t="shared" ref="AK76:AK139" si="135">IFERROR(P76/$D$1,0)</f>
        <v>31.062235954779869</v>
      </c>
      <c r="AL76" s="4504">
        <f t="shared" ref="AL76:AL139" si="136">IFERROR(Q76/$D$1,0)</f>
        <v>0</v>
      </c>
      <c r="AM76" s="4519"/>
      <c r="AN76" s="4520"/>
      <c r="AO76" s="4504">
        <f t="shared" ref="AO76:AO139" si="137">IFERROR(T76/$D$1,0)</f>
        <v>0</v>
      </c>
      <c r="AP76" s="4504">
        <f t="shared" ref="AP76:AP139" si="138">IFERROR(U76/$D$1,0)</f>
        <v>0.45859922807415787</v>
      </c>
      <c r="AQ76" s="4519"/>
      <c r="AR76" s="4520"/>
      <c r="AS76" s="4504">
        <f t="shared" ref="AS76:AS139" si="139">IFERROR(X76/$D$1,0)</f>
        <v>1.3084714086221207</v>
      </c>
    </row>
    <row r="77" spans="1:45">
      <c r="A77" s="2564"/>
      <c r="B77" s="2565">
        <v>20503</v>
      </c>
      <c r="C77" s="2560">
        <v>0.1</v>
      </c>
      <c r="D77" s="2588" t="s">
        <v>412</v>
      </c>
      <c r="E77" s="1117">
        <f t="shared" si="124"/>
        <v>1.764840727223536</v>
      </c>
      <c r="F77" s="5384"/>
      <c r="G77" s="5385"/>
      <c r="H77" s="1117">
        <f t="shared" si="125"/>
        <v>8.5715841873066552</v>
      </c>
      <c r="I77" s="1117">
        <f t="shared" si="125"/>
        <v>0.4026433488945429</v>
      </c>
      <c r="J77" s="5384"/>
      <c r="K77" s="5385"/>
      <c r="L77" s="1117">
        <f t="shared" si="126"/>
        <v>0.24714726071488258</v>
      </c>
      <c r="M77" s="1117">
        <f t="shared" si="126"/>
        <v>0.61768473113218647</v>
      </c>
      <c r="N77" s="5384"/>
      <c r="O77" s="5385"/>
      <c r="P77" s="1117">
        <f t="shared" si="127"/>
        <v>0.42795112211355502</v>
      </c>
      <c r="Q77" s="1117">
        <f t="shared" si="127"/>
        <v>0</v>
      </c>
      <c r="R77" s="5384"/>
      <c r="S77" s="5385"/>
      <c r="T77" s="1117">
        <f t="shared" si="128"/>
        <v>0</v>
      </c>
      <c r="U77" s="1117">
        <f t="shared" si="128"/>
        <v>4.6431911927497218</v>
      </c>
      <c r="V77" s="5384"/>
      <c r="W77" s="5385"/>
      <c r="X77" s="1117">
        <f t="shared" si="129"/>
        <v>3.0948374298648886</v>
      </c>
      <c r="Y77" s="4488"/>
      <c r="Z77" s="4504">
        <f t="shared" si="130"/>
        <v>0.90234873543382399</v>
      </c>
      <c r="AA77" s="4519"/>
      <c r="AB77" s="4520"/>
      <c r="AC77" s="4504">
        <f t="shared" si="131"/>
        <v>4.3825814039597795</v>
      </c>
      <c r="AD77" s="4504">
        <f t="shared" si="132"/>
        <v>0.20586827530743618</v>
      </c>
      <c r="AE77" s="4519"/>
      <c r="AF77" s="4520"/>
      <c r="AG77" s="4504">
        <f t="shared" si="133"/>
        <v>0.12636438786340459</v>
      </c>
      <c r="AH77" s="4504">
        <f t="shared" si="134"/>
        <v>0.31581718816675602</v>
      </c>
      <c r="AI77" s="4519"/>
      <c r="AJ77" s="4520"/>
      <c r="AK77" s="4504">
        <f t="shared" si="135"/>
        <v>0.21880793428547216</v>
      </c>
      <c r="AL77" s="4504">
        <f t="shared" si="136"/>
        <v>0</v>
      </c>
      <c r="AM77" s="4519"/>
      <c r="AN77" s="4520"/>
      <c r="AO77" s="4504">
        <f t="shared" si="137"/>
        <v>0</v>
      </c>
      <c r="AP77" s="4504">
        <f t="shared" si="138"/>
        <v>2.3740259596947189</v>
      </c>
      <c r="AQ77" s="4519"/>
      <c r="AR77" s="4520"/>
      <c r="AS77" s="4504">
        <f t="shared" si="139"/>
        <v>1.5823652515120887</v>
      </c>
    </row>
    <row r="78" spans="1:45">
      <c r="A78" s="2564"/>
      <c r="B78" s="2565">
        <v>20504</v>
      </c>
      <c r="C78" s="2560">
        <v>0.1</v>
      </c>
      <c r="D78" s="2588" t="s">
        <v>557</v>
      </c>
      <c r="E78" s="1117">
        <f t="shared" si="124"/>
        <v>0.54945000000000022</v>
      </c>
      <c r="F78" s="5384"/>
      <c r="G78" s="5385"/>
      <c r="H78" s="1117">
        <f t="shared" si="125"/>
        <v>0.34965000000000046</v>
      </c>
      <c r="I78" s="1117">
        <f t="shared" si="125"/>
        <v>0</v>
      </c>
      <c r="J78" s="5384"/>
      <c r="K78" s="5385"/>
      <c r="L78" s="1117">
        <f t="shared" si="126"/>
        <v>0</v>
      </c>
      <c r="M78" s="1117">
        <f t="shared" si="126"/>
        <v>0</v>
      </c>
      <c r="N78" s="5384"/>
      <c r="O78" s="5385"/>
      <c r="P78" s="1117">
        <f t="shared" si="127"/>
        <v>0</v>
      </c>
      <c r="Q78" s="1117">
        <f t="shared" si="127"/>
        <v>0</v>
      </c>
      <c r="R78" s="5384"/>
      <c r="S78" s="5385"/>
      <c r="T78" s="1117">
        <f t="shared" si="128"/>
        <v>0</v>
      </c>
      <c r="U78" s="1117">
        <f t="shared" si="128"/>
        <v>0</v>
      </c>
      <c r="V78" s="5384"/>
      <c r="W78" s="5385"/>
      <c r="X78" s="1117">
        <f t="shared" si="129"/>
        <v>0</v>
      </c>
      <c r="Y78" s="4488"/>
      <c r="Z78" s="4504">
        <f t="shared" si="130"/>
        <v>0.28092932412326238</v>
      </c>
      <c r="AA78" s="4519"/>
      <c r="AB78" s="4520"/>
      <c r="AC78" s="4504">
        <f t="shared" si="131"/>
        <v>0.17877320626025803</v>
      </c>
      <c r="AD78" s="4504">
        <f t="shared" si="132"/>
        <v>0</v>
      </c>
      <c r="AE78" s="4519"/>
      <c r="AF78" s="4520"/>
      <c r="AG78" s="4504">
        <f t="shared" si="133"/>
        <v>0</v>
      </c>
      <c r="AH78" s="4504">
        <f t="shared" si="134"/>
        <v>0</v>
      </c>
      <c r="AI78" s="4519"/>
      <c r="AJ78" s="4520"/>
      <c r="AK78" s="4504">
        <f t="shared" si="135"/>
        <v>0</v>
      </c>
      <c r="AL78" s="4504">
        <f t="shared" si="136"/>
        <v>0</v>
      </c>
      <c r="AM78" s="4519"/>
      <c r="AN78" s="4520"/>
      <c r="AO78" s="4504">
        <f t="shared" si="137"/>
        <v>0</v>
      </c>
      <c r="AP78" s="4504">
        <f t="shared" si="138"/>
        <v>0</v>
      </c>
      <c r="AQ78" s="4519"/>
      <c r="AR78" s="4520"/>
      <c r="AS78" s="4504">
        <f t="shared" si="139"/>
        <v>0</v>
      </c>
    </row>
    <row r="79" spans="1:45">
      <c r="A79" s="2564">
        <v>6</v>
      </c>
      <c r="B79" s="2565">
        <v>208</v>
      </c>
      <c r="C79" s="2560">
        <v>0.2</v>
      </c>
      <c r="D79" s="2590" t="s">
        <v>413</v>
      </c>
      <c r="E79" s="1117">
        <f t="shared" si="124"/>
        <v>3.923518754890253</v>
      </c>
      <c r="F79" s="5384"/>
      <c r="G79" s="5385"/>
      <c r="H79" s="1117">
        <f t="shared" si="125"/>
        <v>4.4016029833814017</v>
      </c>
      <c r="I79" s="1117">
        <f t="shared" si="125"/>
        <v>2.9536643003852276</v>
      </c>
      <c r="J79" s="5384"/>
      <c r="K79" s="5385"/>
      <c r="L79" s="1117">
        <f t="shared" si="126"/>
        <v>2.1508525089920028</v>
      </c>
      <c r="M79" s="1117">
        <f t="shared" si="126"/>
        <v>5.8498898890535074</v>
      </c>
      <c r="N79" s="5384"/>
      <c r="O79" s="5385"/>
      <c r="P79" s="1117">
        <f t="shared" si="127"/>
        <v>4.5538129728306558</v>
      </c>
      <c r="Q79" s="1117">
        <f t="shared" si="127"/>
        <v>0</v>
      </c>
      <c r="R79" s="5384"/>
      <c r="S79" s="5385"/>
      <c r="T79" s="1117">
        <f t="shared" si="128"/>
        <v>0</v>
      </c>
      <c r="U79" s="1117">
        <f t="shared" si="128"/>
        <v>8.9217823715820543E-2</v>
      </c>
      <c r="V79" s="5384"/>
      <c r="W79" s="5385"/>
      <c r="X79" s="1117">
        <f t="shared" si="129"/>
        <v>5.1451165864062842E-2</v>
      </c>
      <c r="Y79" s="4488"/>
      <c r="Z79" s="4504">
        <f t="shared" si="130"/>
        <v>2.0060632850964826</v>
      </c>
      <c r="AA79" s="4519"/>
      <c r="AB79" s="4520"/>
      <c r="AC79" s="4504">
        <f t="shared" si="131"/>
        <v>2.2505038696519644</v>
      </c>
      <c r="AD79" s="4504">
        <f t="shared" si="132"/>
        <v>1.5101845765660757</v>
      </c>
      <c r="AE79" s="4519"/>
      <c r="AF79" s="4520"/>
      <c r="AG79" s="4504">
        <f t="shared" si="133"/>
        <v>1.0997134254981276</v>
      </c>
      <c r="AH79" s="4504">
        <f t="shared" si="134"/>
        <v>2.9910012061649058</v>
      </c>
      <c r="AI79" s="4519"/>
      <c r="AJ79" s="4520"/>
      <c r="AK79" s="4504">
        <f t="shared" si="135"/>
        <v>2.3283276014943302</v>
      </c>
      <c r="AL79" s="4504">
        <f t="shared" si="136"/>
        <v>0</v>
      </c>
      <c r="AM79" s="4519"/>
      <c r="AN79" s="4520"/>
      <c r="AO79" s="4504">
        <f t="shared" si="137"/>
        <v>0</v>
      </c>
      <c r="AP79" s="4504">
        <f t="shared" si="138"/>
        <v>4.5616348923894483E-2</v>
      </c>
      <c r="AQ79" s="4519"/>
      <c r="AR79" s="4520"/>
      <c r="AS79" s="4504">
        <f t="shared" si="139"/>
        <v>2.6306563384375353E-2</v>
      </c>
    </row>
    <row r="80" spans="1:45">
      <c r="A80" s="2564">
        <v>7</v>
      </c>
      <c r="B80" s="2568">
        <v>20601</v>
      </c>
      <c r="C80" s="2560">
        <v>0.1</v>
      </c>
      <c r="D80" s="2590" t="s">
        <v>564</v>
      </c>
      <c r="E80" s="1117">
        <f t="shared" si="124"/>
        <v>2.9240654774036434</v>
      </c>
      <c r="F80" s="5384"/>
      <c r="G80" s="5385"/>
      <c r="H80" s="1117">
        <f t="shared" si="125"/>
        <v>3.728508137614472</v>
      </c>
      <c r="I80" s="1117">
        <f t="shared" si="125"/>
        <v>0.24721817976112004</v>
      </c>
      <c r="J80" s="5384"/>
      <c r="K80" s="5385"/>
      <c r="L80" s="1117">
        <f t="shared" si="126"/>
        <v>0.36683788266498907</v>
      </c>
      <c r="M80" s="1117">
        <f t="shared" si="126"/>
        <v>0.22578512209904877</v>
      </c>
      <c r="N80" s="5384"/>
      <c r="O80" s="5385"/>
      <c r="P80" s="1117">
        <f t="shared" si="127"/>
        <v>0.33489387490213574</v>
      </c>
      <c r="Q80" s="1117">
        <f t="shared" si="127"/>
        <v>0</v>
      </c>
      <c r="R80" s="5384"/>
      <c r="S80" s="5385"/>
      <c r="T80" s="1117">
        <f t="shared" si="128"/>
        <v>0</v>
      </c>
      <c r="U80" s="1117">
        <f t="shared" si="128"/>
        <v>3.2012207361873067E-3</v>
      </c>
      <c r="V80" s="5384"/>
      <c r="W80" s="5385"/>
      <c r="X80" s="1117">
        <f t="shared" si="129"/>
        <v>1.2740150515939366E-2</v>
      </c>
      <c r="Y80" s="4488"/>
      <c r="Z80" s="4504">
        <f t="shared" si="130"/>
        <v>1.4950509386826276</v>
      </c>
      <c r="AA80" s="4519"/>
      <c r="AB80" s="4520"/>
      <c r="AC80" s="4504">
        <f t="shared" si="131"/>
        <v>1.9063559397363126</v>
      </c>
      <c r="AD80" s="4504">
        <f t="shared" si="132"/>
        <v>0.12640064819596797</v>
      </c>
      <c r="AE80" s="4519"/>
      <c r="AF80" s="4520"/>
      <c r="AG80" s="4504">
        <f t="shared" si="133"/>
        <v>0.18756123112181994</v>
      </c>
      <c r="AH80" s="4504">
        <f t="shared" si="134"/>
        <v>0.11544209982414054</v>
      </c>
      <c r="AI80" s="4519"/>
      <c r="AJ80" s="4520"/>
      <c r="AK80" s="4504">
        <f t="shared" si="135"/>
        <v>0.17122851929980404</v>
      </c>
      <c r="AL80" s="4504">
        <f t="shared" si="136"/>
        <v>0</v>
      </c>
      <c r="AM80" s="4519"/>
      <c r="AN80" s="4520"/>
      <c r="AO80" s="4504">
        <f t="shared" si="137"/>
        <v>0</v>
      </c>
      <c r="AP80" s="4504">
        <f t="shared" si="138"/>
        <v>1.6367581723295515E-3</v>
      </c>
      <c r="AQ80" s="4519"/>
      <c r="AR80" s="4520"/>
      <c r="AS80" s="4504">
        <f t="shared" si="139"/>
        <v>6.5139355240176125E-3</v>
      </c>
    </row>
    <row r="81" spans="1:45">
      <c r="A81" s="2569">
        <v>8</v>
      </c>
      <c r="B81" s="2568">
        <v>20602</v>
      </c>
      <c r="C81" s="2560">
        <v>0.1</v>
      </c>
      <c r="D81" s="2590" t="s">
        <v>435</v>
      </c>
      <c r="E81" s="1117">
        <f t="shared" si="124"/>
        <v>1.4022553378990139</v>
      </c>
      <c r="F81" s="5384"/>
      <c r="G81" s="5385"/>
      <c r="H81" s="1117">
        <f t="shared" si="125"/>
        <v>1.0346975243697827</v>
      </c>
      <c r="I81" s="1117">
        <f t="shared" si="125"/>
        <v>1.0865970612951958</v>
      </c>
      <c r="J81" s="5384"/>
      <c r="K81" s="5385"/>
      <c r="L81" s="1117">
        <f t="shared" si="126"/>
        <v>0.82045633209475799</v>
      </c>
      <c r="M81" s="1117">
        <f t="shared" si="126"/>
        <v>1.6669204036223233</v>
      </c>
      <c r="N81" s="5384"/>
      <c r="O81" s="5385"/>
      <c r="P81" s="1117">
        <f t="shared" si="127"/>
        <v>1.3421801374896702</v>
      </c>
      <c r="Q81" s="1117">
        <f t="shared" si="127"/>
        <v>0</v>
      </c>
      <c r="R81" s="5384"/>
      <c r="S81" s="5385"/>
      <c r="T81" s="1117">
        <f t="shared" si="128"/>
        <v>0</v>
      </c>
      <c r="U81" s="1117">
        <f t="shared" si="128"/>
        <v>4.1445479444516764E-2</v>
      </c>
      <c r="V81" s="5384"/>
      <c r="W81" s="5385"/>
      <c r="X81" s="1117">
        <f t="shared" si="129"/>
        <v>3.1114653243916213E-2</v>
      </c>
      <c r="Y81" s="4488"/>
      <c r="Z81" s="4504">
        <f t="shared" si="130"/>
        <v>0.7169617696318259</v>
      </c>
      <c r="AA81" s="4519"/>
      <c r="AB81" s="4520"/>
      <c r="AC81" s="4504">
        <f t="shared" si="131"/>
        <v>0.5290324437040963</v>
      </c>
      <c r="AD81" s="4504">
        <f t="shared" si="132"/>
        <v>0.55556825557190337</v>
      </c>
      <c r="AE81" s="4519"/>
      <c r="AF81" s="4520"/>
      <c r="AG81" s="4504">
        <f t="shared" si="133"/>
        <v>0.41949266147607817</v>
      </c>
      <c r="AH81" s="4504">
        <f t="shared" si="134"/>
        <v>0.85228286897241756</v>
      </c>
      <c r="AI81" s="4519"/>
      <c r="AJ81" s="4520"/>
      <c r="AK81" s="4504">
        <f t="shared" si="135"/>
        <v>0.68624580740129271</v>
      </c>
      <c r="AL81" s="4504">
        <f t="shared" si="136"/>
        <v>0</v>
      </c>
      <c r="AM81" s="4519"/>
      <c r="AN81" s="4520"/>
      <c r="AO81" s="4504">
        <f t="shared" si="137"/>
        <v>0</v>
      </c>
      <c r="AP81" s="4504">
        <f t="shared" si="138"/>
        <v>2.119073715226618E-2</v>
      </c>
      <c r="AQ81" s="4519"/>
      <c r="AR81" s="4520"/>
      <c r="AS81" s="4504">
        <f t="shared" si="139"/>
        <v>1.5908669589849943E-2</v>
      </c>
    </row>
    <row r="82" spans="1:45">
      <c r="A82" s="2569">
        <v>9</v>
      </c>
      <c r="B82" s="2565">
        <v>20603</v>
      </c>
      <c r="C82" s="2560">
        <v>0.5</v>
      </c>
      <c r="D82" s="2590" t="s">
        <v>1015</v>
      </c>
      <c r="E82" s="1117">
        <f t="shared" si="124"/>
        <v>0</v>
      </c>
      <c r="F82" s="5384"/>
      <c r="G82" s="5385"/>
      <c r="H82" s="1117">
        <f t="shared" si="125"/>
        <v>0</v>
      </c>
      <c r="I82" s="1117">
        <f t="shared" si="125"/>
        <v>0</v>
      </c>
      <c r="J82" s="5384"/>
      <c r="K82" s="5385"/>
      <c r="L82" s="1117">
        <f t="shared" si="126"/>
        <v>0</v>
      </c>
      <c r="M82" s="1117">
        <f t="shared" si="126"/>
        <v>0</v>
      </c>
      <c r="N82" s="5384"/>
      <c r="O82" s="5385"/>
      <c r="P82" s="1117">
        <f t="shared" si="127"/>
        <v>0</v>
      </c>
      <c r="Q82" s="1117">
        <f t="shared" si="127"/>
        <v>0</v>
      </c>
      <c r="R82" s="5384"/>
      <c r="S82" s="5385"/>
      <c r="T82" s="1117">
        <f t="shared" si="128"/>
        <v>0</v>
      </c>
      <c r="U82" s="1117">
        <f t="shared" si="128"/>
        <v>0</v>
      </c>
      <c r="V82" s="5384"/>
      <c r="W82" s="5385"/>
      <c r="X82" s="1117">
        <f t="shared" si="129"/>
        <v>0</v>
      </c>
      <c r="Y82" s="4488"/>
      <c r="Z82" s="4504">
        <f t="shared" si="130"/>
        <v>0</v>
      </c>
      <c r="AA82" s="4519"/>
      <c r="AB82" s="4520"/>
      <c r="AC82" s="4504">
        <f t="shared" si="131"/>
        <v>0</v>
      </c>
      <c r="AD82" s="4504">
        <f t="shared" si="132"/>
        <v>0</v>
      </c>
      <c r="AE82" s="4519"/>
      <c r="AF82" s="4520"/>
      <c r="AG82" s="4504">
        <f t="shared" si="133"/>
        <v>0</v>
      </c>
      <c r="AH82" s="4504">
        <f t="shared" si="134"/>
        <v>0</v>
      </c>
      <c r="AI82" s="4519"/>
      <c r="AJ82" s="4520"/>
      <c r="AK82" s="4504">
        <f t="shared" si="135"/>
        <v>0</v>
      </c>
      <c r="AL82" s="4504">
        <f t="shared" si="136"/>
        <v>0</v>
      </c>
      <c r="AM82" s="4519"/>
      <c r="AN82" s="4520"/>
      <c r="AO82" s="4504">
        <f t="shared" si="137"/>
        <v>0</v>
      </c>
      <c r="AP82" s="4504">
        <f t="shared" si="138"/>
        <v>0</v>
      </c>
      <c r="AQ82" s="4519"/>
      <c r="AR82" s="4520"/>
      <c r="AS82" s="4504">
        <f t="shared" si="139"/>
        <v>0</v>
      </c>
    </row>
    <row r="83" spans="1:45">
      <c r="A83" s="2569">
        <v>10</v>
      </c>
      <c r="B83" s="2565">
        <v>209</v>
      </c>
      <c r="C83" s="2560">
        <v>0.1</v>
      </c>
      <c r="D83" s="2590" t="s">
        <v>213</v>
      </c>
      <c r="E83" s="1117">
        <f t="shared" si="124"/>
        <v>0</v>
      </c>
      <c r="F83" s="5384"/>
      <c r="G83" s="5385"/>
      <c r="H83" s="1117">
        <f t="shared" si="125"/>
        <v>0</v>
      </c>
      <c r="I83" s="1117">
        <f t="shared" si="125"/>
        <v>0</v>
      </c>
      <c r="J83" s="5384"/>
      <c r="K83" s="5385"/>
      <c r="L83" s="1117">
        <f t="shared" si="126"/>
        <v>0</v>
      </c>
      <c r="M83" s="1117">
        <f t="shared" si="126"/>
        <v>0</v>
      </c>
      <c r="N83" s="5384"/>
      <c r="O83" s="5385"/>
      <c r="P83" s="1117">
        <f t="shared" si="127"/>
        <v>0</v>
      </c>
      <c r="Q83" s="1117">
        <f t="shared" si="127"/>
        <v>0</v>
      </c>
      <c r="R83" s="5384"/>
      <c r="S83" s="5385"/>
      <c r="T83" s="1117">
        <f t="shared" si="128"/>
        <v>0</v>
      </c>
      <c r="U83" s="1117">
        <f t="shared" si="128"/>
        <v>0</v>
      </c>
      <c r="V83" s="5384"/>
      <c r="W83" s="5385"/>
      <c r="X83" s="1117">
        <f t="shared" si="129"/>
        <v>0</v>
      </c>
      <c r="Y83" s="4488"/>
      <c r="Z83" s="4504">
        <f t="shared" si="130"/>
        <v>0</v>
      </c>
      <c r="AA83" s="4519"/>
      <c r="AB83" s="4520"/>
      <c r="AC83" s="4504">
        <f t="shared" si="131"/>
        <v>0</v>
      </c>
      <c r="AD83" s="4504">
        <f t="shared" si="132"/>
        <v>0</v>
      </c>
      <c r="AE83" s="4519"/>
      <c r="AF83" s="4520"/>
      <c r="AG83" s="4504">
        <f t="shared" si="133"/>
        <v>0</v>
      </c>
      <c r="AH83" s="4504">
        <f t="shared" si="134"/>
        <v>0</v>
      </c>
      <c r="AI83" s="4519"/>
      <c r="AJ83" s="4520"/>
      <c r="AK83" s="4504">
        <f t="shared" si="135"/>
        <v>0</v>
      </c>
      <c r="AL83" s="4504">
        <f t="shared" si="136"/>
        <v>0</v>
      </c>
      <c r="AM83" s="4519"/>
      <c r="AN83" s="4520"/>
      <c r="AO83" s="4504">
        <f t="shared" si="137"/>
        <v>0</v>
      </c>
      <c r="AP83" s="4504">
        <f t="shared" si="138"/>
        <v>0</v>
      </c>
      <c r="AQ83" s="4519"/>
      <c r="AR83" s="4520"/>
      <c r="AS83" s="4504">
        <f t="shared" si="139"/>
        <v>0</v>
      </c>
    </row>
    <row r="84" spans="1:45" ht="24">
      <c r="A84" s="2569">
        <v>11</v>
      </c>
      <c r="B84" s="2565">
        <v>207</v>
      </c>
      <c r="C84" s="2560" t="s">
        <v>313</v>
      </c>
      <c r="D84" s="2590" t="s">
        <v>414</v>
      </c>
      <c r="E84" s="1117">
        <f t="shared" si="124"/>
        <v>1325.3966907865906</v>
      </c>
      <c r="F84" s="5384"/>
      <c r="G84" s="5385"/>
      <c r="H84" s="1117">
        <f t="shared" si="125"/>
        <v>1197.6389600545422</v>
      </c>
      <c r="I84" s="1117">
        <f t="shared" si="125"/>
        <v>3.820059999999998</v>
      </c>
      <c r="J84" s="5384"/>
      <c r="K84" s="5385"/>
      <c r="L84" s="1117">
        <f t="shared" si="126"/>
        <v>176.1291232228424</v>
      </c>
      <c r="M84" s="1117">
        <f t="shared" si="126"/>
        <v>22.949120000000022</v>
      </c>
      <c r="N84" s="5384"/>
      <c r="O84" s="5385"/>
      <c r="P84" s="1117">
        <f t="shared" si="127"/>
        <v>102.54055197449465</v>
      </c>
      <c r="Q84" s="1117">
        <f t="shared" si="127"/>
        <v>0</v>
      </c>
      <c r="R84" s="5384"/>
      <c r="S84" s="5385"/>
      <c r="T84" s="1117">
        <f t="shared" si="128"/>
        <v>0</v>
      </c>
      <c r="U84" s="1117">
        <f t="shared" si="128"/>
        <v>6.873739213409447</v>
      </c>
      <c r="V84" s="5384"/>
      <c r="W84" s="5385"/>
      <c r="X84" s="1117">
        <f t="shared" si="129"/>
        <v>5.1427752714127557</v>
      </c>
      <c r="Y84" s="4488"/>
      <c r="Z84" s="4504">
        <f t="shared" si="130"/>
        <v>677.66456736351859</v>
      </c>
      <c r="AA84" s="4519"/>
      <c r="AB84" s="4520"/>
      <c r="AC84" s="4504">
        <f t="shared" si="131"/>
        <v>612.34307688016963</v>
      </c>
      <c r="AD84" s="4504">
        <f t="shared" si="132"/>
        <v>1.9531656636824255</v>
      </c>
      <c r="AE84" s="4519"/>
      <c r="AF84" s="4520"/>
      <c r="AG84" s="4504">
        <f t="shared" si="133"/>
        <v>90.053390746047668</v>
      </c>
      <c r="AH84" s="4504">
        <f t="shared" si="134"/>
        <v>11.733698736597773</v>
      </c>
      <c r="AI84" s="4519"/>
      <c r="AJ84" s="4520"/>
      <c r="AK84" s="4504">
        <f t="shared" si="135"/>
        <v>52.428151717937986</v>
      </c>
      <c r="AL84" s="4504">
        <f t="shared" si="136"/>
        <v>0</v>
      </c>
      <c r="AM84" s="4519"/>
      <c r="AN84" s="4520"/>
      <c r="AO84" s="4504">
        <f t="shared" si="137"/>
        <v>0</v>
      </c>
      <c r="AP84" s="4504">
        <f t="shared" si="138"/>
        <v>3.5144870532763313</v>
      </c>
      <c r="AQ84" s="4519"/>
      <c r="AR84" s="4520"/>
      <c r="AS84" s="4504">
        <f t="shared" si="139"/>
        <v>2.6294592430900212</v>
      </c>
    </row>
    <row r="85" spans="1:45">
      <c r="A85" s="2569">
        <v>12</v>
      </c>
      <c r="B85" s="2565">
        <v>212</v>
      </c>
      <c r="C85" s="2560">
        <v>0.2</v>
      </c>
      <c r="D85" s="2592" t="s">
        <v>214</v>
      </c>
      <c r="E85" s="1117">
        <f>E33-E60</f>
        <v>12.162279032466614</v>
      </c>
      <c r="F85" s="5384"/>
      <c r="G85" s="5385"/>
      <c r="H85" s="1117">
        <f t="shared" ref="H85:I88" si="140">H33-H60</f>
        <v>11.16616483307385</v>
      </c>
      <c r="I85" s="1117">
        <f t="shared" si="140"/>
        <v>9.4244580841682115</v>
      </c>
      <c r="J85" s="5384"/>
      <c r="K85" s="5385"/>
      <c r="L85" s="1117">
        <f t="shared" ref="L85:M88" si="141">L33-L60</f>
        <v>8.7031931575766812</v>
      </c>
      <c r="M85" s="1117">
        <f t="shared" si="141"/>
        <v>14.457817007951082</v>
      </c>
      <c r="N85" s="5384"/>
      <c r="O85" s="5385"/>
      <c r="P85" s="1117">
        <f t="shared" ref="P85:Q88" si="142">P33-P60</f>
        <v>13.577742150873942</v>
      </c>
      <c r="Q85" s="1117">
        <f t="shared" si="142"/>
        <v>0</v>
      </c>
      <c r="R85" s="5384"/>
      <c r="S85" s="5385"/>
      <c r="T85" s="1117">
        <f t="shared" ref="T85:U88" si="143">T33-T60</f>
        <v>0</v>
      </c>
      <c r="U85" s="1117">
        <f t="shared" si="143"/>
        <v>2.6678517260578016E-2</v>
      </c>
      <c r="V85" s="5384"/>
      <c r="W85" s="5385"/>
      <c r="X85" s="1117">
        <f>X33-X60</f>
        <v>1.5528690794185174E-2</v>
      </c>
      <c r="Y85" s="4488"/>
      <c r="Z85" s="4504">
        <f t="shared" si="130"/>
        <v>6.2184745261431793</v>
      </c>
      <c r="AA85" s="4519"/>
      <c r="AB85" s="4520"/>
      <c r="AC85" s="4504">
        <f t="shared" si="131"/>
        <v>5.7091694232493877</v>
      </c>
      <c r="AD85" s="4504">
        <f t="shared" si="132"/>
        <v>4.8186489031092741</v>
      </c>
      <c r="AE85" s="4519"/>
      <c r="AF85" s="4520"/>
      <c r="AG85" s="4504">
        <f t="shared" si="133"/>
        <v>4.4498720019514382</v>
      </c>
      <c r="AH85" s="4504">
        <f t="shared" si="134"/>
        <v>7.3921644559859914</v>
      </c>
      <c r="AI85" s="4519"/>
      <c r="AJ85" s="4520"/>
      <c r="AK85" s="4504">
        <f t="shared" si="135"/>
        <v>6.9421893267175276</v>
      </c>
      <c r="AL85" s="4504">
        <f t="shared" si="136"/>
        <v>0</v>
      </c>
      <c r="AM85" s="4519"/>
      <c r="AN85" s="4520"/>
      <c r="AO85" s="4504">
        <f t="shared" si="137"/>
        <v>0</v>
      </c>
      <c r="AP85" s="4504">
        <f t="shared" si="138"/>
        <v>1.3640509277686719E-2</v>
      </c>
      <c r="AQ85" s="4519"/>
      <c r="AR85" s="4520"/>
      <c r="AS85" s="4504">
        <f t="shared" si="139"/>
        <v>7.9396935286733372E-3</v>
      </c>
    </row>
    <row r="86" spans="1:45">
      <c r="A86" s="2569">
        <v>13</v>
      </c>
      <c r="B86" s="2564">
        <v>213</v>
      </c>
      <c r="C86" s="2571">
        <v>0.2</v>
      </c>
      <c r="D86" s="2593" t="s">
        <v>215</v>
      </c>
      <c r="E86" s="1117">
        <f>E34-E61</f>
        <v>0</v>
      </c>
      <c r="F86" s="5384"/>
      <c r="G86" s="5385"/>
      <c r="H86" s="1117">
        <f t="shared" si="140"/>
        <v>0</v>
      </c>
      <c r="I86" s="1117">
        <f t="shared" si="140"/>
        <v>0</v>
      </c>
      <c r="J86" s="5384"/>
      <c r="K86" s="5385"/>
      <c r="L86" s="1117">
        <f t="shared" si="141"/>
        <v>0</v>
      </c>
      <c r="M86" s="1117">
        <f t="shared" si="141"/>
        <v>0</v>
      </c>
      <c r="N86" s="5384"/>
      <c r="O86" s="5385"/>
      <c r="P86" s="1117">
        <f t="shared" si="142"/>
        <v>0</v>
      </c>
      <c r="Q86" s="1117">
        <f t="shared" si="142"/>
        <v>0</v>
      </c>
      <c r="R86" s="5384"/>
      <c r="S86" s="5385"/>
      <c r="T86" s="1117">
        <f t="shared" si="143"/>
        <v>0</v>
      </c>
      <c r="U86" s="1117">
        <f t="shared" si="143"/>
        <v>0</v>
      </c>
      <c r="V86" s="5384"/>
      <c r="W86" s="5385"/>
      <c r="X86" s="1117">
        <f>X34-X61</f>
        <v>0</v>
      </c>
      <c r="Y86" s="4488"/>
      <c r="Z86" s="4504">
        <f t="shared" si="130"/>
        <v>0</v>
      </c>
      <c r="AA86" s="4519"/>
      <c r="AB86" s="4520"/>
      <c r="AC86" s="4504">
        <f t="shared" si="131"/>
        <v>0</v>
      </c>
      <c r="AD86" s="4504">
        <f t="shared" si="132"/>
        <v>0</v>
      </c>
      <c r="AE86" s="4519"/>
      <c r="AF86" s="4520"/>
      <c r="AG86" s="4504">
        <f t="shared" si="133"/>
        <v>0</v>
      </c>
      <c r="AH86" s="4504">
        <f t="shared" si="134"/>
        <v>0</v>
      </c>
      <c r="AI86" s="4519"/>
      <c r="AJ86" s="4520"/>
      <c r="AK86" s="4504">
        <f t="shared" si="135"/>
        <v>0</v>
      </c>
      <c r="AL86" s="4504">
        <f t="shared" si="136"/>
        <v>0</v>
      </c>
      <c r="AM86" s="4519"/>
      <c r="AN86" s="4520"/>
      <c r="AO86" s="4504">
        <f t="shared" si="137"/>
        <v>0</v>
      </c>
      <c r="AP86" s="4504">
        <f t="shared" si="138"/>
        <v>0</v>
      </c>
      <c r="AQ86" s="4519"/>
      <c r="AR86" s="4520"/>
      <c r="AS86" s="4504">
        <f t="shared" si="139"/>
        <v>0</v>
      </c>
    </row>
    <row r="87" spans="1:45" ht="24">
      <c r="A87" s="2569">
        <v>14</v>
      </c>
      <c r="B87" s="4455"/>
      <c r="C87" s="4455"/>
      <c r="D87" s="2594" t="s">
        <v>628</v>
      </c>
      <c r="E87" s="1117">
        <f>E35-E62</f>
        <v>0</v>
      </c>
      <c r="F87" s="5384"/>
      <c r="G87" s="5385"/>
      <c r="H87" s="1117">
        <f t="shared" si="140"/>
        <v>0</v>
      </c>
      <c r="I87" s="1117">
        <f t="shared" si="140"/>
        <v>0</v>
      </c>
      <c r="J87" s="5384"/>
      <c r="K87" s="5385"/>
      <c r="L87" s="1117">
        <f t="shared" si="141"/>
        <v>0</v>
      </c>
      <c r="M87" s="1117">
        <f t="shared" si="141"/>
        <v>0</v>
      </c>
      <c r="N87" s="5384"/>
      <c r="O87" s="5385"/>
      <c r="P87" s="1117">
        <f t="shared" si="142"/>
        <v>0</v>
      </c>
      <c r="Q87" s="1117">
        <f t="shared" si="142"/>
        <v>0</v>
      </c>
      <c r="R87" s="5384"/>
      <c r="S87" s="5385"/>
      <c r="T87" s="1117">
        <f t="shared" si="143"/>
        <v>0</v>
      </c>
      <c r="U87" s="1117">
        <f t="shared" si="143"/>
        <v>0</v>
      </c>
      <c r="V87" s="5384"/>
      <c r="W87" s="5385"/>
      <c r="X87" s="1117">
        <f>X35-X62</f>
        <v>0</v>
      </c>
      <c r="Y87" s="4488"/>
      <c r="Z87" s="4504">
        <f t="shared" si="130"/>
        <v>0</v>
      </c>
      <c r="AA87" s="4519"/>
      <c r="AB87" s="4520"/>
      <c r="AC87" s="4504">
        <f t="shared" si="131"/>
        <v>0</v>
      </c>
      <c r="AD87" s="4504">
        <f t="shared" si="132"/>
        <v>0</v>
      </c>
      <c r="AE87" s="4519"/>
      <c r="AF87" s="4520"/>
      <c r="AG87" s="4504">
        <f t="shared" si="133"/>
        <v>0</v>
      </c>
      <c r="AH87" s="4504">
        <f t="shared" si="134"/>
        <v>0</v>
      </c>
      <c r="AI87" s="4519"/>
      <c r="AJ87" s="4520"/>
      <c r="AK87" s="4504">
        <f t="shared" si="135"/>
        <v>0</v>
      </c>
      <c r="AL87" s="4504">
        <f t="shared" si="136"/>
        <v>0</v>
      </c>
      <c r="AM87" s="4519"/>
      <c r="AN87" s="4520"/>
      <c r="AO87" s="4504">
        <f t="shared" si="137"/>
        <v>0</v>
      </c>
      <c r="AP87" s="4504">
        <f t="shared" si="138"/>
        <v>0</v>
      </c>
      <c r="AQ87" s="4519"/>
      <c r="AR87" s="4520"/>
      <c r="AS87" s="4504">
        <f t="shared" si="139"/>
        <v>0</v>
      </c>
    </row>
    <row r="88" spans="1:45" ht="24">
      <c r="A88" s="2569">
        <v>15</v>
      </c>
      <c r="B88" s="2564">
        <v>207</v>
      </c>
      <c r="C88" s="2564" t="s">
        <v>313</v>
      </c>
      <c r="D88" s="2593" t="s">
        <v>415</v>
      </c>
      <c r="E88" s="1117">
        <f>E36-E63</f>
        <v>17.183070000000001</v>
      </c>
      <c r="F88" s="5384"/>
      <c r="G88" s="5385"/>
      <c r="H88" s="1117">
        <f t="shared" si="140"/>
        <v>69.633070000000018</v>
      </c>
      <c r="I88" s="1117">
        <f t="shared" si="140"/>
        <v>0</v>
      </c>
      <c r="J88" s="5384"/>
      <c r="K88" s="5385"/>
      <c r="L88" s="1117">
        <f t="shared" si="141"/>
        <v>0</v>
      </c>
      <c r="M88" s="1117">
        <f t="shared" si="141"/>
        <v>0</v>
      </c>
      <c r="N88" s="5384"/>
      <c r="O88" s="5385"/>
      <c r="P88" s="1117">
        <f t="shared" si="142"/>
        <v>0</v>
      </c>
      <c r="Q88" s="1117">
        <f t="shared" si="142"/>
        <v>0</v>
      </c>
      <c r="R88" s="5384"/>
      <c r="S88" s="5385"/>
      <c r="T88" s="1117">
        <f t="shared" si="143"/>
        <v>0</v>
      </c>
      <c r="U88" s="1117">
        <f t="shared" si="143"/>
        <v>0</v>
      </c>
      <c r="V88" s="5384"/>
      <c r="W88" s="5385"/>
      <c r="X88" s="1117">
        <f>X36-X63</f>
        <v>0.8</v>
      </c>
      <c r="Y88" s="4488"/>
      <c r="Z88" s="4504">
        <f t="shared" si="130"/>
        <v>8.7855641850263062</v>
      </c>
      <c r="AA88" s="4519"/>
      <c r="AB88" s="4520"/>
      <c r="AC88" s="4504">
        <f t="shared" si="131"/>
        <v>35.602823353767974</v>
      </c>
      <c r="AD88" s="4504">
        <f t="shared" si="132"/>
        <v>0</v>
      </c>
      <c r="AE88" s="4519"/>
      <c r="AF88" s="4520"/>
      <c r="AG88" s="4504">
        <f t="shared" si="133"/>
        <v>0</v>
      </c>
      <c r="AH88" s="4504">
        <f t="shared" si="134"/>
        <v>0</v>
      </c>
      <c r="AI88" s="4519"/>
      <c r="AJ88" s="4520"/>
      <c r="AK88" s="4504">
        <f t="shared" si="135"/>
        <v>0</v>
      </c>
      <c r="AL88" s="4504">
        <f t="shared" si="136"/>
        <v>0</v>
      </c>
      <c r="AM88" s="4519"/>
      <c r="AN88" s="4520"/>
      <c r="AO88" s="4504">
        <f t="shared" si="137"/>
        <v>0</v>
      </c>
      <c r="AP88" s="4504">
        <f t="shared" si="138"/>
        <v>0</v>
      </c>
      <c r="AQ88" s="4519"/>
      <c r="AR88" s="4520"/>
      <c r="AS88" s="4504">
        <f t="shared" si="139"/>
        <v>0.40903350495697482</v>
      </c>
    </row>
    <row r="89" spans="1:45" ht="13.8" thickBot="1">
      <c r="A89" s="2569">
        <v>16</v>
      </c>
      <c r="B89" s="2574">
        <v>219</v>
      </c>
      <c r="C89" s="2575">
        <v>0.1</v>
      </c>
      <c r="D89" s="2598" t="s">
        <v>216</v>
      </c>
      <c r="E89" s="2666">
        <f>E39-E64</f>
        <v>83.614586309814001</v>
      </c>
      <c r="F89" s="5386"/>
      <c r="G89" s="5387"/>
      <c r="H89" s="2666">
        <f>H39-H64</f>
        <v>81.888647194514448</v>
      </c>
      <c r="I89" s="2666">
        <f>I39-I64</f>
        <v>0</v>
      </c>
      <c r="J89" s="5386"/>
      <c r="K89" s="5387"/>
      <c r="L89" s="2666">
        <f>L39-L64</f>
        <v>0</v>
      </c>
      <c r="M89" s="2666">
        <f>M39-M64</f>
        <v>0</v>
      </c>
      <c r="N89" s="5386"/>
      <c r="O89" s="5387"/>
      <c r="P89" s="2666">
        <f>P39-P64</f>
        <v>0</v>
      </c>
      <c r="Q89" s="2666">
        <f>Q39-Q64</f>
        <v>0</v>
      </c>
      <c r="R89" s="5386"/>
      <c r="S89" s="5387"/>
      <c r="T89" s="2666">
        <f>T39-T64</f>
        <v>0</v>
      </c>
      <c r="U89" s="2666">
        <f>U39-U64</f>
        <v>4.3353690186002325E-2</v>
      </c>
      <c r="V89" s="5386"/>
      <c r="W89" s="5387"/>
      <c r="X89" s="2666">
        <f>X39-X64</f>
        <v>0.82502280548554197</v>
      </c>
      <c r="Y89" s="4488"/>
      <c r="Z89" s="4504">
        <f t="shared" si="130"/>
        <v>42.75145912978838</v>
      </c>
      <c r="AA89" s="4514"/>
      <c r="AB89" s="4515"/>
      <c r="AC89" s="4504">
        <f t="shared" si="131"/>
        <v>41.869000472696733</v>
      </c>
      <c r="AD89" s="4504">
        <f t="shared" si="132"/>
        <v>0</v>
      </c>
      <c r="AE89" s="4514"/>
      <c r="AF89" s="4515"/>
      <c r="AG89" s="4504">
        <f t="shared" si="133"/>
        <v>0</v>
      </c>
      <c r="AH89" s="4504">
        <f t="shared" si="134"/>
        <v>0</v>
      </c>
      <c r="AI89" s="4514"/>
      <c r="AJ89" s="4515"/>
      <c r="AK89" s="4504">
        <f t="shared" si="135"/>
        <v>0</v>
      </c>
      <c r="AL89" s="4504">
        <f t="shared" si="136"/>
        <v>0</v>
      </c>
      <c r="AM89" s="4514"/>
      <c r="AN89" s="4515"/>
      <c r="AO89" s="4504">
        <f t="shared" si="137"/>
        <v>0</v>
      </c>
      <c r="AP89" s="4504">
        <f t="shared" si="138"/>
        <v>2.2166389811999164E-2</v>
      </c>
      <c r="AQ89" s="4514"/>
      <c r="AR89" s="4515"/>
      <c r="AS89" s="4504">
        <f t="shared" si="139"/>
        <v>0.4218274622464846</v>
      </c>
    </row>
    <row r="90" spans="1:45" ht="13.5" customHeight="1" thickBot="1">
      <c r="A90" s="2606" t="s">
        <v>416</v>
      </c>
      <c r="B90" s="5376" t="s">
        <v>644</v>
      </c>
      <c r="C90" s="5377"/>
      <c r="D90" s="5377"/>
      <c r="E90" s="5377"/>
      <c r="F90" s="5377"/>
      <c r="G90" s="5377"/>
      <c r="H90" s="5377"/>
      <c r="I90" s="5377"/>
      <c r="J90" s="5377"/>
      <c r="K90" s="5377"/>
      <c r="L90" s="5377"/>
      <c r="M90" s="5377"/>
      <c r="N90" s="5377"/>
      <c r="O90" s="5377"/>
      <c r="P90" s="5377"/>
      <c r="Q90" s="5377"/>
      <c r="R90" s="5377"/>
      <c r="S90" s="5377"/>
      <c r="T90" s="5377"/>
      <c r="U90" s="5377"/>
      <c r="V90" s="5377"/>
      <c r="W90" s="5377"/>
      <c r="X90" s="5378"/>
      <c r="Y90" s="4488"/>
      <c r="Z90" s="4504">
        <f t="shared" si="130"/>
        <v>0</v>
      </c>
      <c r="AA90" s="4504">
        <f t="shared" ref="AA90:AA131" si="144">IFERROR(F90/$D$1,0)</f>
        <v>0</v>
      </c>
      <c r="AB90" s="4504">
        <f t="shared" ref="AB90:AB131" si="145">IFERROR(G90/$D$1,0)</f>
        <v>0</v>
      </c>
      <c r="AC90" s="4504">
        <f t="shared" si="131"/>
        <v>0</v>
      </c>
      <c r="AD90" s="4504">
        <f t="shared" si="132"/>
        <v>0</v>
      </c>
      <c r="AE90" s="4504">
        <f t="shared" ref="AE90:AE131" si="146">IFERROR(J90/$D$1,0)</f>
        <v>0</v>
      </c>
      <c r="AF90" s="4504">
        <f t="shared" ref="AF90:AF131" si="147">IFERROR(K90/$D$1,0)</f>
        <v>0</v>
      </c>
      <c r="AG90" s="4504">
        <f t="shared" si="133"/>
        <v>0</v>
      </c>
      <c r="AH90" s="4504">
        <f t="shared" si="134"/>
        <v>0</v>
      </c>
      <c r="AI90" s="4504">
        <f t="shared" ref="AI90:AI131" si="148">IFERROR(N90/$D$1,0)</f>
        <v>0</v>
      </c>
      <c r="AJ90" s="4504">
        <f t="shared" ref="AJ90:AJ131" si="149">IFERROR(O90/$D$1,0)</f>
        <v>0</v>
      </c>
      <c r="AK90" s="4504">
        <f t="shared" si="135"/>
        <v>0</v>
      </c>
      <c r="AL90" s="4504">
        <f t="shared" si="136"/>
        <v>0</v>
      </c>
      <c r="AM90" s="4504">
        <f t="shared" ref="AM90:AM131" si="150">IFERROR(R90/$D$1,0)</f>
        <v>0</v>
      </c>
      <c r="AN90" s="4504">
        <f t="shared" ref="AN90:AN131" si="151">IFERROR(S90/$D$1,0)</f>
        <v>0</v>
      </c>
      <c r="AO90" s="4504">
        <f t="shared" si="137"/>
        <v>0</v>
      </c>
      <c r="AP90" s="4504">
        <f t="shared" si="138"/>
        <v>0</v>
      </c>
      <c r="AQ90" s="4504">
        <f t="shared" ref="AQ90:AQ131" si="152">IFERROR(V90/$D$1,0)</f>
        <v>0</v>
      </c>
      <c r="AR90" s="4504">
        <f t="shared" ref="AR90:AR131" si="153">IFERROR(W90/$D$1,0)</f>
        <v>0</v>
      </c>
      <c r="AS90" s="4504">
        <f t="shared" si="139"/>
        <v>0</v>
      </c>
    </row>
    <row r="91" spans="1:45" ht="13.8" thickBot="1">
      <c r="A91" s="2539" t="s">
        <v>205</v>
      </c>
      <c r="B91" s="5379" t="s">
        <v>334</v>
      </c>
      <c r="C91" s="5380"/>
      <c r="D91" s="5381"/>
      <c r="E91" s="1246">
        <f t="shared" ref="E91:X91" si="154">SUM(E92:E110)</f>
        <v>3783.4592826441667</v>
      </c>
      <c r="F91" s="1246">
        <f t="shared" si="154"/>
        <v>834.68317492405913</v>
      </c>
      <c r="G91" s="1246">
        <f t="shared" si="154"/>
        <v>0</v>
      </c>
      <c r="H91" s="1246">
        <f t="shared" si="154"/>
        <v>4618.1424575682258</v>
      </c>
      <c r="I91" s="1246">
        <f t="shared" si="154"/>
        <v>70.359859999999998</v>
      </c>
      <c r="J91" s="1246">
        <f t="shared" si="154"/>
        <v>9.1790699999999994</v>
      </c>
      <c r="K91" s="1246">
        <f t="shared" si="154"/>
        <v>0</v>
      </c>
      <c r="L91" s="1246">
        <f t="shared" si="154"/>
        <v>79.538929999999993</v>
      </c>
      <c r="M91" s="1246">
        <f t="shared" si="154"/>
        <v>386.20100000000008</v>
      </c>
      <c r="N91" s="1246">
        <f t="shared" si="154"/>
        <v>47.338200000000001</v>
      </c>
      <c r="O91" s="1246">
        <f t="shared" si="154"/>
        <v>0</v>
      </c>
      <c r="P91" s="1246">
        <f t="shared" si="154"/>
        <v>433.53920000000005</v>
      </c>
      <c r="Q91" s="1246">
        <f t="shared" si="154"/>
        <v>0</v>
      </c>
      <c r="R91" s="1246">
        <f t="shared" si="154"/>
        <v>0</v>
      </c>
      <c r="S91" s="1246">
        <f t="shared" si="154"/>
        <v>0</v>
      </c>
      <c r="T91" s="1246">
        <f t="shared" si="154"/>
        <v>0</v>
      </c>
      <c r="U91" s="1246">
        <f t="shared" si="154"/>
        <v>217.81584735583249</v>
      </c>
      <c r="V91" s="1246">
        <f t="shared" si="154"/>
        <v>49.536825075940712</v>
      </c>
      <c r="W91" s="1246">
        <f t="shared" si="154"/>
        <v>0</v>
      </c>
      <c r="X91" s="1110">
        <f t="shared" si="154"/>
        <v>267.35267243177321</v>
      </c>
      <c r="Y91" s="4488"/>
      <c r="Z91" s="4504">
        <f t="shared" si="130"/>
        <v>1934.4520140524314</v>
      </c>
      <c r="AA91" s="4504">
        <f t="shared" si="144"/>
        <v>426.76673070975448</v>
      </c>
      <c r="AB91" s="4504">
        <f t="shared" si="145"/>
        <v>0</v>
      </c>
      <c r="AC91" s="4504">
        <f t="shared" si="131"/>
        <v>2361.2187447621859</v>
      </c>
      <c r="AD91" s="4504">
        <f t="shared" si="132"/>
        <v>35.974425180102564</v>
      </c>
      <c r="AE91" s="4504">
        <f t="shared" si="146"/>
        <v>4.6931839679317733</v>
      </c>
      <c r="AF91" s="4504">
        <f t="shared" si="147"/>
        <v>0</v>
      </c>
      <c r="AG91" s="4504">
        <f t="shared" si="133"/>
        <v>40.667609148034337</v>
      </c>
      <c r="AH91" s="4504">
        <f t="shared" si="134"/>
        <v>197.46143580986083</v>
      </c>
      <c r="AI91" s="4504">
        <f t="shared" si="148"/>
        <v>24.203637330442831</v>
      </c>
      <c r="AJ91" s="4504">
        <f t="shared" si="149"/>
        <v>0</v>
      </c>
      <c r="AK91" s="4504">
        <f t="shared" si="135"/>
        <v>221.66507314030363</v>
      </c>
      <c r="AL91" s="4504">
        <f t="shared" si="136"/>
        <v>0</v>
      </c>
      <c r="AM91" s="4504">
        <f t="shared" si="150"/>
        <v>0</v>
      </c>
      <c r="AN91" s="4504">
        <f t="shared" si="151"/>
        <v>0</v>
      </c>
      <c r="AO91" s="4504">
        <f t="shared" si="137"/>
        <v>0</v>
      </c>
      <c r="AP91" s="4504">
        <f t="shared" si="138"/>
        <v>111.36747434891197</v>
      </c>
      <c r="AQ91" s="4504">
        <f t="shared" si="152"/>
        <v>25.327776481565735</v>
      </c>
      <c r="AR91" s="4504">
        <f t="shared" si="153"/>
        <v>0</v>
      </c>
      <c r="AS91" s="4504">
        <f t="shared" si="139"/>
        <v>136.6952508304777</v>
      </c>
    </row>
    <row r="92" spans="1:45">
      <c r="A92" s="2553">
        <v>1</v>
      </c>
      <c r="B92" s="2547">
        <v>20102</v>
      </c>
      <c r="C92" s="2571">
        <v>0</v>
      </c>
      <c r="D92" s="2601" t="s">
        <v>558</v>
      </c>
      <c r="E92" s="411">
        <v>0</v>
      </c>
      <c r="F92" s="411">
        <v>0</v>
      </c>
      <c r="G92" s="411">
        <v>0</v>
      </c>
      <c r="H92" s="4453">
        <f t="shared" ref="H92:H110" si="155">+E92+F92-G92</f>
        <v>0</v>
      </c>
      <c r="I92" s="411">
        <v>0</v>
      </c>
      <c r="J92" s="411">
        <v>0</v>
      </c>
      <c r="K92" s="411">
        <v>0</v>
      </c>
      <c r="L92" s="4453">
        <f t="shared" ref="L92:L110" si="156">+I92+J92-K92</f>
        <v>0</v>
      </c>
      <c r="M92" s="411">
        <v>0</v>
      </c>
      <c r="N92" s="411"/>
      <c r="O92" s="411"/>
      <c r="P92" s="4453">
        <f t="shared" ref="P92:P110" si="157">+M92+N92-O92</f>
        <v>0</v>
      </c>
      <c r="Q92" s="411"/>
      <c r="R92" s="411"/>
      <c r="S92" s="411"/>
      <c r="T92" s="4453">
        <f t="shared" ref="T92:T110" si="158">+Q92+R92-S92</f>
        <v>0</v>
      </c>
      <c r="U92" s="411">
        <v>0</v>
      </c>
      <c r="V92" s="411">
        <v>0</v>
      </c>
      <c r="W92" s="411">
        <v>0</v>
      </c>
      <c r="X92" s="4453">
        <f t="shared" ref="X92:X110" si="159">+U92+V92-W92</f>
        <v>0</v>
      </c>
      <c r="Y92" s="4488"/>
      <c r="Z92" s="4504">
        <f t="shared" si="130"/>
        <v>0</v>
      </c>
      <c r="AA92" s="4504">
        <f t="shared" si="144"/>
        <v>0</v>
      </c>
      <c r="AB92" s="4504">
        <f t="shared" si="145"/>
        <v>0</v>
      </c>
      <c r="AC92" s="4504">
        <f t="shared" si="131"/>
        <v>0</v>
      </c>
      <c r="AD92" s="4504">
        <f t="shared" si="132"/>
        <v>0</v>
      </c>
      <c r="AE92" s="4504">
        <f t="shared" si="146"/>
        <v>0</v>
      </c>
      <c r="AF92" s="4504">
        <f t="shared" si="147"/>
        <v>0</v>
      </c>
      <c r="AG92" s="4504">
        <f t="shared" si="133"/>
        <v>0</v>
      </c>
      <c r="AH92" s="4504">
        <f t="shared" si="134"/>
        <v>0</v>
      </c>
      <c r="AI92" s="4504">
        <f t="shared" si="148"/>
        <v>0</v>
      </c>
      <c r="AJ92" s="4504">
        <f t="shared" si="149"/>
        <v>0</v>
      </c>
      <c r="AK92" s="4504">
        <f t="shared" si="135"/>
        <v>0</v>
      </c>
      <c r="AL92" s="4504">
        <f t="shared" si="136"/>
        <v>0</v>
      </c>
      <c r="AM92" s="4504">
        <f t="shared" si="150"/>
        <v>0</v>
      </c>
      <c r="AN92" s="4504">
        <f t="shared" si="151"/>
        <v>0</v>
      </c>
      <c r="AO92" s="4504">
        <f t="shared" si="137"/>
        <v>0</v>
      </c>
      <c r="AP92" s="4504">
        <f t="shared" si="138"/>
        <v>0</v>
      </c>
      <c r="AQ92" s="4504">
        <f t="shared" si="152"/>
        <v>0</v>
      </c>
      <c r="AR92" s="4504">
        <f t="shared" si="153"/>
        <v>0</v>
      </c>
      <c r="AS92" s="4504">
        <f t="shared" si="139"/>
        <v>0</v>
      </c>
    </row>
    <row r="93" spans="1:45">
      <c r="A93" s="2553">
        <v>2</v>
      </c>
      <c r="B93" s="2554">
        <v>20202</v>
      </c>
      <c r="C93" s="2555">
        <v>0.03</v>
      </c>
      <c r="D93" s="2609" t="s">
        <v>426</v>
      </c>
      <c r="E93" s="411">
        <v>69.957164438803218</v>
      </c>
      <c r="F93" s="411">
        <v>0</v>
      </c>
      <c r="G93" s="411">
        <v>0</v>
      </c>
      <c r="H93" s="4453">
        <f t="shared" si="155"/>
        <v>69.957164438803218</v>
      </c>
      <c r="I93" s="411">
        <v>0</v>
      </c>
      <c r="J93" s="411">
        <v>0</v>
      </c>
      <c r="K93" s="411">
        <v>0</v>
      </c>
      <c r="L93" s="4453">
        <f t="shared" si="156"/>
        <v>0</v>
      </c>
      <c r="M93" s="411">
        <v>68.679860000000005</v>
      </c>
      <c r="N93" s="411">
        <v>3.3938200000000003</v>
      </c>
      <c r="O93" s="411">
        <v>0</v>
      </c>
      <c r="P93" s="4453">
        <f t="shared" si="157"/>
        <v>72.07368000000001</v>
      </c>
      <c r="Q93" s="411"/>
      <c r="R93" s="411"/>
      <c r="S93" s="411"/>
      <c r="T93" s="4453">
        <f t="shared" si="158"/>
        <v>0</v>
      </c>
      <c r="U93" s="411">
        <v>10.269315561196786</v>
      </c>
      <c r="V93" s="411">
        <v>0</v>
      </c>
      <c r="W93" s="411">
        <v>0</v>
      </c>
      <c r="X93" s="4453">
        <f t="shared" si="159"/>
        <v>10.269315561196786</v>
      </c>
      <c r="Y93" s="4488"/>
      <c r="Z93" s="4504">
        <f t="shared" si="130"/>
        <v>35.768530209068899</v>
      </c>
      <c r="AA93" s="4504">
        <f t="shared" si="144"/>
        <v>0</v>
      </c>
      <c r="AB93" s="4504">
        <f t="shared" si="145"/>
        <v>0</v>
      </c>
      <c r="AC93" s="4504">
        <f t="shared" si="131"/>
        <v>35.768530209068899</v>
      </c>
      <c r="AD93" s="4504">
        <f t="shared" si="132"/>
        <v>0</v>
      </c>
      <c r="AE93" s="4504">
        <f t="shared" si="146"/>
        <v>0</v>
      </c>
      <c r="AF93" s="4504">
        <f t="shared" si="147"/>
        <v>0</v>
      </c>
      <c r="AG93" s="4504">
        <f t="shared" si="133"/>
        <v>0</v>
      </c>
      <c r="AH93" s="4504">
        <f t="shared" si="134"/>
        <v>35.115454819692921</v>
      </c>
      <c r="AI93" s="4504">
        <f t="shared" si="148"/>
        <v>1.7352326122413504</v>
      </c>
      <c r="AJ93" s="4504">
        <f t="shared" si="149"/>
        <v>0</v>
      </c>
      <c r="AK93" s="4504">
        <f t="shared" si="135"/>
        <v>36.850687431934276</v>
      </c>
      <c r="AL93" s="4504">
        <f t="shared" si="136"/>
        <v>0</v>
      </c>
      <c r="AM93" s="4504">
        <f t="shared" si="150"/>
        <v>0</v>
      </c>
      <c r="AN93" s="4504">
        <f t="shared" si="151"/>
        <v>0</v>
      </c>
      <c r="AO93" s="4504">
        <f t="shared" si="137"/>
        <v>0</v>
      </c>
      <c r="AP93" s="4504">
        <f t="shared" si="138"/>
        <v>5.2506176718819049</v>
      </c>
      <c r="AQ93" s="4504">
        <f t="shared" si="152"/>
        <v>0</v>
      </c>
      <c r="AR93" s="4504">
        <f t="shared" si="153"/>
        <v>0</v>
      </c>
      <c r="AS93" s="4504">
        <f t="shared" si="139"/>
        <v>5.2506176718819049</v>
      </c>
    </row>
    <row r="94" spans="1:45" ht="24">
      <c r="A94" s="2553">
        <v>3</v>
      </c>
      <c r="B94" s="2554">
        <v>2030401</v>
      </c>
      <c r="C94" s="2560">
        <v>0.1</v>
      </c>
      <c r="D94" s="2590" t="s">
        <v>1031</v>
      </c>
      <c r="E94" s="411">
        <v>400.50493815082177</v>
      </c>
      <c r="F94" s="411">
        <v>46.671996220669641</v>
      </c>
      <c r="G94" s="411">
        <v>0</v>
      </c>
      <c r="H94" s="4453">
        <f t="shared" si="155"/>
        <v>447.17693437149143</v>
      </c>
      <c r="I94" s="411">
        <v>0</v>
      </c>
      <c r="J94" s="411">
        <v>0</v>
      </c>
      <c r="K94" s="411">
        <v>0</v>
      </c>
      <c r="L94" s="4453">
        <f t="shared" si="156"/>
        <v>0</v>
      </c>
      <c r="M94" s="411">
        <v>77.760289999999998</v>
      </c>
      <c r="N94" s="411">
        <v>11.503390000000001</v>
      </c>
      <c r="O94" s="411">
        <v>0</v>
      </c>
      <c r="P94" s="4453">
        <f t="shared" si="157"/>
        <v>89.263679999999994</v>
      </c>
      <c r="Q94" s="411"/>
      <c r="R94" s="411"/>
      <c r="S94" s="411"/>
      <c r="T94" s="4453">
        <f t="shared" si="158"/>
        <v>0</v>
      </c>
      <c r="U94" s="411">
        <v>103.27866184917828</v>
      </c>
      <c r="V94" s="411">
        <v>8.3161937793303675</v>
      </c>
      <c r="W94" s="411">
        <v>0</v>
      </c>
      <c r="X94" s="4453">
        <f t="shared" si="159"/>
        <v>111.59485562850864</v>
      </c>
      <c r="Y94" s="4488"/>
      <c r="Z94" s="4504">
        <f t="shared" si="130"/>
        <v>204.77492325550881</v>
      </c>
      <c r="AA94" s="4504">
        <f t="shared" si="144"/>
        <v>23.86301274684898</v>
      </c>
      <c r="AB94" s="4504">
        <f t="shared" si="145"/>
        <v>0</v>
      </c>
      <c r="AC94" s="4504">
        <f t="shared" si="131"/>
        <v>228.63793600235778</v>
      </c>
      <c r="AD94" s="4504">
        <f t="shared" si="132"/>
        <v>0</v>
      </c>
      <c r="AE94" s="4504">
        <f t="shared" si="146"/>
        <v>0</v>
      </c>
      <c r="AF94" s="4504">
        <f t="shared" si="147"/>
        <v>0</v>
      </c>
      <c r="AG94" s="4504">
        <f t="shared" si="133"/>
        <v>0</v>
      </c>
      <c r="AH94" s="4504">
        <f t="shared" si="134"/>
        <v>39.758204956463494</v>
      </c>
      <c r="AI94" s="4504">
        <f t="shared" si="148"/>
        <v>5.8815899132337686</v>
      </c>
      <c r="AJ94" s="4504">
        <f t="shared" si="149"/>
        <v>0</v>
      </c>
      <c r="AK94" s="4504">
        <f t="shared" si="135"/>
        <v>45.639794869697262</v>
      </c>
      <c r="AL94" s="4504">
        <f t="shared" si="136"/>
        <v>0</v>
      </c>
      <c r="AM94" s="4504">
        <f t="shared" si="150"/>
        <v>0</v>
      </c>
      <c r="AN94" s="4504">
        <f t="shared" si="151"/>
        <v>0</v>
      </c>
      <c r="AO94" s="4504">
        <f t="shared" si="137"/>
        <v>0</v>
      </c>
      <c r="AP94" s="4504">
        <f t="shared" si="138"/>
        <v>52.805541304294486</v>
      </c>
      <c r="AQ94" s="4504">
        <f t="shared" si="152"/>
        <v>4.2520023618261131</v>
      </c>
      <c r="AR94" s="4504">
        <f t="shared" si="153"/>
        <v>0</v>
      </c>
      <c r="AS94" s="4504">
        <f t="shared" si="139"/>
        <v>57.057543666120594</v>
      </c>
    </row>
    <row r="95" spans="1:45">
      <c r="A95" s="2553">
        <v>4</v>
      </c>
      <c r="B95" s="2554">
        <v>2030402</v>
      </c>
      <c r="C95" s="2560">
        <v>0.1</v>
      </c>
      <c r="D95" s="2590" t="s">
        <v>429</v>
      </c>
      <c r="E95" s="411">
        <v>11.3222239644608</v>
      </c>
      <c r="F95" s="411">
        <v>0</v>
      </c>
      <c r="G95" s="411">
        <v>0</v>
      </c>
      <c r="H95" s="4453">
        <f t="shared" si="155"/>
        <v>11.3222239644608</v>
      </c>
      <c r="I95" s="411">
        <v>0</v>
      </c>
      <c r="J95" s="411">
        <v>0</v>
      </c>
      <c r="K95" s="411">
        <v>0</v>
      </c>
      <c r="L95" s="4453">
        <f t="shared" si="156"/>
        <v>0</v>
      </c>
      <c r="M95" s="411">
        <v>0</v>
      </c>
      <c r="N95" s="411"/>
      <c r="O95" s="411"/>
      <c r="P95" s="4453">
        <f t="shared" si="157"/>
        <v>0</v>
      </c>
      <c r="Q95" s="411"/>
      <c r="R95" s="411"/>
      <c r="S95" s="411"/>
      <c r="T95" s="4453">
        <f t="shared" si="158"/>
        <v>0</v>
      </c>
      <c r="U95" s="411">
        <v>1.3183860355391994</v>
      </c>
      <c r="V95" s="411">
        <v>0</v>
      </c>
      <c r="W95" s="411">
        <v>0</v>
      </c>
      <c r="X95" s="4453">
        <f t="shared" si="159"/>
        <v>1.3183860355391994</v>
      </c>
      <c r="Y95" s="4488"/>
      <c r="Z95" s="4504">
        <f t="shared" si="130"/>
        <v>5.7889611901140698</v>
      </c>
      <c r="AA95" s="4504">
        <f t="shared" si="144"/>
        <v>0</v>
      </c>
      <c r="AB95" s="4504">
        <f t="shared" si="145"/>
        <v>0</v>
      </c>
      <c r="AC95" s="4504">
        <f t="shared" si="131"/>
        <v>5.7889611901140698</v>
      </c>
      <c r="AD95" s="4504">
        <f t="shared" si="132"/>
        <v>0</v>
      </c>
      <c r="AE95" s="4504">
        <f t="shared" si="146"/>
        <v>0</v>
      </c>
      <c r="AF95" s="4504">
        <f t="shared" si="147"/>
        <v>0</v>
      </c>
      <c r="AG95" s="4504">
        <f t="shared" si="133"/>
        <v>0</v>
      </c>
      <c r="AH95" s="4504">
        <f t="shared" si="134"/>
        <v>0</v>
      </c>
      <c r="AI95" s="4504">
        <f t="shared" si="148"/>
        <v>0</v>
      </c>
      <c r="AJ95" s="4504">
        <f t="shared" si="149"/>
        <v>0</v>
      </c>
      <c r="AK95" s="4504">
        <f t="shared" si="135"/>
        <v>0</v>
      </c>
      <c r="AL95" s="4504">
        <f t="shared" si="136"/>
        <v>0</v>
      </c>
      <c r="AM95" s="4504">
        <f t="shared" si="150"/>
        <v>0</v>
      </c>
      <c r="AN95" s="4504">
        <f t="shared" si="151"/>
        <v>0</v>
      </c>
      <c r="AO95" s="4504">
        <f t="shared" si="137"/>
        <v>0</v>
      </c>
      <c r="AP95" s="4504">
        <f t="shared" si="138"/>
        <v>0.67408007625366184</v>
      </c>
      <c r="AQ95" s="4504">
        <f t="shared" si="152"/>
        <v>0</v>
      </c>
      <c r="AR95" s="4504">
        <f t="shared" si="153"/>
        <v>0</v>
      </c>
      <c r="AS95" s="4504">
        <f t="shared" si="139"/>
        <v>0.67408007625366184</v>
      </c>
    </row>
    <row r="96" spans="1:45">
      <c r="A96" s="2553">
        <v>5</v>
      </c>
      <c r="B96" s="2554">
        <v>2030501</v>
      </c>
      <c r="C96" s="2560">
        <v>0.1</v>
      </c>
      <c r="D96" s="2590" t="s">
        <v>1001</v>
      </c>
      <c r="E96" s="411">
        <v>312.21042439331171</v>
      </c>
      <c r="F96" s="411">
        <v>135.88055606978642</v>
      </c>
      <c r="G96" s="411">
        <v>0</v>
      </c>
      <c r="H96" s="4453">
        <f t="shared" si="155"/>
        <v>448.09098046309816</v>
      </c>
      <c r="I96" s="411">
        <v>0</v>
      </c>
      <c r="J96" s="411">
        <v>0</v>
      </c>
      <c r="K96" s="411">
        <v>0</v>
      </c>
      <c r="L96" s="4453">
        <f t="shared" si="156"/>
        <v>0</v>
      </c>
      <c r="M96" s="411">
        <v>2.8033999999999999</v>
      </c>
      <c r="N96" s="411">
        <v>3.9252200000000004</v>
      </c>
      <c r="O96" s="411">
        <v>0</v>
      </c>
      <c r="P96" s="4453">
        <f t="shared" si="157"/>
        <v>6.7286200000000003</v>
      </c>
      <c r="Q96" s="411"/>
      <c r="R96" s="411"/>
      <c r="S96" s="411"/>
      <c r="T96" s="4453">
        <f t="shared" si="158"/>
        <v>0</v>
      </c>
      <c r="U96" s="411">
        <v>50.186055606688299</v>
      </c>
      <c r="V96" s="411">
        <v>6.6330339302136023</v>
      </c>
      <c r="W96" s="411">
        <v>0</v>
      </c>
      <c r="X96" s="4453">
        <f t="shared" si="159"/>
        <v>56.819089536901899</v>
      </c>
      <c r="Y96" s="4488"/>
      <c r="Z96" s="4504">
        <f t="shared" si="130"/>
        <v>159.63065521712608</v>
      </c>
      <c r="AA96" s="4504">
        <f t="shared" si="144"/>
        <v>69.474625130909345</v>
      </c>
      <c r="AB96" s="4504">
        <f t="shared" si="145"/>
        <v>0</v>
      </c>
      <c r="AC96" s="4504">
        <f t="shared" si="131"/>
        <v>229.10528034803545</v>
      </c>
      <c r="AD96" s="4504">
        <f t="shared" si="132"/>
        <v>0</v>
      </c>
      <c r="AE96" s="4504">
        <f t="shared" si="146"/>
        <v>0</v>
      </c>
      <c r="AF96" s="4504">
        <f t="shared" si="147"/>
        <v>0</v>
      </c>
      <c r="AG96" s="4504">
        <f t="shared" si="133"/>
        <v>0</v>
      </c>
      <c r="AH96" s="4504">
        <f t="shared" si="134"/>
        <v>1.4333556597454788</v>
      </c>
      <c r="AI96" s="4504">
        <f t="shared" si="148"/>
        <v>2.0069331179090208</v>
      </c>
      <c r="AJ96" s="4504">
        <f t="shared" si="149"/>
        <v>0</v>
      </c>
      <c r="AK96" s="4504">
        <f t="shared" si="135"/>
        <v>3.4402887776544997</v>
      </c>
      <c r="AL96" s="4504">
        <f t="shared" si="136"/>
        <v>0</v>
      </c>
      <c r="AM96" s="4504">
        <f t="shared" si="150"/>
        <v>0</v>
      </c>
      <c r="AN96" s="4504">
        <f t="shared" si="151"/>
        <v>0</v>
      </c>
      <c r="AO96" s="4504">
        <f t="shared" si="137"/>
        <v>0</v>
      </c>
      <c r="AP96" s="4504">
        <f t="shared" si="138"/>
        <v>25.65972278096169</v>
      </c>
      <c r="AQ96" s="4504">
        <f t="shared" si="152"/>
        <v>3.3914163962172594</v>
      </c>
      <c r="AR96" s="4504">
        <f t="shared" si="153"/>
        <v>0</v>
      </c>
      <c r="AS96" s="4504">
        <f t="shared" si="139"/>
        <v>29.051139177178946</v>
      </c>
    </row>
    <row r="97" spans="1:45" ht="36">
      <c r="A97" s="2553">
        <v>6</v>
      </c>
      <c r="B97" s="2554">
        <v>2030502</v>
      </c>
      <c r="C97" s="2560">
        <v>0.1</v>
      </c>
      <c r="D97" s="2590" t="s">
        <v>695</v>
      </c>
      <c r="E97" s="411">
        <v>107.64832799172845</v>
      </c>
      <c r="F97" s="411">
        <v>23.802646820772537</v>
      </c>
      <c r="G97" s="411">
        <v>0</v>
      </c>
      <c r="H97" s="4453">
        <f t="shared" si="155"/>
        <v>131.45097481250099</v>
      </c>
      <c r="I97" s="411">
        <v>0</v>
      </c>
      <c r="J97" s="411">
        <v>0</v>
      </c>
      <c r="K97" s="411">
        <v>0</v>
      </c>
      <c r="L97" s="4453">
        <f t="shared" si="156"/>
        <v>0</v>
      </c>
      <c r="M97" s="411">
        <v>191.18818000000005</v>
      </c>
      <c r="N97" s="411">
        <v>28.51577</v>
      </c>
      <c r="O97" s="411">
        <v>0</v>
      </c>
      <c r="P97" s="4453">
        <f t="shared" si="157"/>
        <v>219.70395000000005</v>
      </c>
      <c r="Q97" s="411"/>
      <c r="R97" s="411"/>
      <c r="S97" s="411"/>
      <c r="T97" s="4453">
        <f t="shared" si="158"/>
        <v>0</v>
      </c>
      <c r="U97" s="411">
        <v>11.900442008271554</v>
      </c>
      <c r="V97" s="411">
        <v>5.382903179227462</v>
      </c>
      <c r="W97" s="411">
        <v>0</v>
      </c>
      <c r="X97" s="4453">
        <f t="shared" si="159"/>
        <v>17.283345187499016</v>
      </c>
      <c r="Y97" s="4488"/>
      <c r="Z97" s="4504">
        <f t="shared" si="130"/>
        <v>55.039716126518385</v>
      </c>
      <c r="AA97" s="4504">
        <f t="shared" si="144"/>
        <v>12.170100070441981</v>
      </c>
      <c r="AB97" s="4504">
        <f t="shared" si="145"/>
        <v>0</v>
      </c>
      <c r="AC97" s="4504">
        <f t="shared" si="131"/>
        <v>67.209816196960361</v>
      </c>
      <c r="AD97" s="4504">
        <f t="shared" si="132"/>
        <v>0</v>
      </c>
      <c r="AE97" s="4504">
        <f t="shared" si="146"/>
        <v>0</v>
      </c>
      <c r="AF97" s="4504">
        <f t="shared" si="147"/>
        <v>0</v>
      </c>
      <c r="AG97" s="4504">
        <f t="shared" si="133"/>
        <v>0</v>
      </c>
      <c r="AH97" s="4504">
        <f t="shared" si="134"/>
        <v>97.752964214681256</v>
      </c>
      <c r="AI97" s="4504">
        <f t="shared" si="148"/>
        <v>14.579881687058691</v>
      </c>
      <c r="AJ97" s="4504">
        <f t="shared" si="149"/>
        <v>0</v>
      </c>
      <c r="AK97" s="4504">
        <f t="shared" si="135"/>
        <v>112.33284590173996</v>
      </c>
      <c r="AL97" s="4504">
        <f t="shared" si="136"/>
        <v>0</v>
      </c>
      <c r="AM97" s="4504">
        <f t="shared" si="150"/>
        <v>0</v>
      </c>
      <c r="AN97" s="4504">
        <f t="shared" si="151"/>
        <v>0</v>
      </c>
      <c r="AO97" s="4504">
        <f t="shared" si="137"/>
        <v>0</v>
      </c>
      <c r="AP97" s="4504">
        <f t="shared" si="138"/>
        <v>6.0845993814756669</v>
      </c>
      <c r="AQ97" s="4504">
        <f t="shared" si="152"/>
        <v>2.7522346928043144</v>
      </c>
      <c r="AR97" s="4504">
        <f t="shared" si="153"/>
        <v>0</v>
      </c>
      <c r="AS97" s="4504">
        <f t="shared" si="139"/>
        <v>8.8368340742799809</v>
      </c>
    </row>
    <row r="98" spans="1:45">
      <c r="A98" s="2553">
        <v>7</v>
      </c>
      <c r="B98" s="2554">
        <v>2030503</v>
      </c>
      <c r="C98" s="2560">
        <v>0.1</v>
      </c>
      <c r="D98" s="2590" t="s">
        <v>713</v>
      </c>
      <c r="E98" s="411">
        <v>34.448120560328853</v>
      </c>
      <c r="F98" s="411">
        <v>0</v>
      </c>
      <c r="G98" s="411">
        <v>0</v>
      </c>
      <c r="H98" s="4453">
        <f t="shared" si="155"/>
        <v>34.448120560328853</v>
      </c>
      <c r="I98" s="411">
        <v>0</v>
      </c>
      <c r="J98" s="411">
        <v>0</v>
      </c>
      <c r="K98" s="411">
        <v>0</v>
      </c>
      <c r="L98" s="4453">
        <f t="shared" si="156"/>
        <v>0</v>
      </c>
      <c r="M98" s="411">
        <v>23.021239999999999</v>
      </c>
      <c r="N98" s="411">
        <v>0</v>
      </c>
      <c r="O98" s="411">
        <v>0</v>
      </c>
      <c r="P98" s="4453">
        <f t="shared" si="157"/>
        <v>23.021239999999999</v>
      </c>
      <c r="Q98" s="411"/>
      <c r="R98" s="411"/>
      <c r="S98" s="411"/>
      <c r="T98" s="4453">
        <f t="shared" si="158"/>
        <v>0</v>
      </c>
      <c r="U98" s="411">
        <v>4.5734694396711468</v>
      </c>
      <c r="V98" s="411">
        <v>0</v>
      </c>
      <c r="W98" s="411">
        <v>0</v>
      </c>
      <c r="X98" s="4453">
        <f t="shared" si="159"/>
        <v>4.5734694396711468</v>
      </c>
      <c r="Y98" s="4488"/>
      <c r="Z98" s="4504">
        <f t="shared" si="130"/>
        <v>17.613044364964672</v>
      </c>
      <c r="AA98" s="4504">
        <f t="shared" si="144"/>
        <v>0</v>
      </c>
      <c r="AB98" s="4504">
        <f t="shared" si="145"/>
        <v>0</v>
      </c>
      <c r="AC98" s="4504">
        <f t="shared" si="131"/>
        <v>17.613044364964672</v>
      </c>
      <c r="AD98" s="4504">
        <f t="shared" si="132"/>
        <v>0</v>
      </c>
      <c r="AE98" s="4504">
        <f t="shared" si="146"/>
        <v>0</v>
      </c>
      <c r="AF98" s="4504">
        <f t="shared" si="147"/>
        <v>0</v>
      </c>
      <c r="AG98" s="4504">
        <f t="shared" si="133"/>
        <v>0</v>
      </c>
      <c r="AH98" s="4504">
        <f t="shared" si="134"/>
        <v>11.770573107069632</v>
      </c>
      <c r="AI98" s="4504">
        <f t="shared" si="148"/>
        <v>0</v>
      </c>
      <c r="AJ98" s="4504">
        <f t="shared" si="149"/>
        <v>0</v>
      </c>
      <c r="AK98" s="4504">
        <f t="shared" si="135"/>
        <v>11.770573107069632</v>
      </c>
      <c r="AL98" s="4504">
        <f t="shared" si="136"/>
        <v>0</v>
      </c>
      <c r="AM98" s="4504">
        <f t="shared" si="150"/>
        <v>0</v>
      </c>
      <c r="AN98" s="4504">
        <f t="shared" si="151"/>
        <v>0</v>
      </c>
      <c r="AO98" s="4504">
        <f t="shared" si="137"/>
        <v>0</v>
      </c>
      <c r="AP98" s="4504">
        <f t="shared" si="138"/>
        <v>2.3383777934028758</v>
      </c>
      <c r="AQ98" s="4504">
        <f t="shared" si="152"/>
        <v>0</v>
      </c>
      <c r="AR98" s="4504">
        <f t="shared" si="153"/>
        <v>0</v>
      </c>
      <c r="AS98" s="4504">
        <f t="shared" si="139"/>
        <v>2.3383777934028758</v>
      </c>
    </row>
    <row r="99" spans="1:45">
      <c r="A99" s="2553">
        <v>8</v>
      </c>
      <c r="B99" s="2554">
        <v>2040101</v>
      </c>
      <c r="C99" s="2610">
        <v>0.1</v>
      </c>
      <c r="D99" s="2584" t="s">
        <v>1016</v>
      </c>
      <c r="E99" s="411">
        <v>34.108702541127144</v>
      </c>
      <c r="F99" s="411">
        <v>0</v>
      </c>
      <c r="G99" s="411">
        <v>0</v>
      </c>
      <c r="H99" s="4453">
        <f t="shared" si="155"/>
        <v>34.108702541127144</v>
      </c>
      <c r="I99" s="411">
        <v>0</v>
      </c>
      <c r="J99" s="411">
        <v>0</v>
      </c>
      <c r="K99" s="411">
        <v>0</v>
      </c>
      <c r="L99" s="4453">
        <f t="shared" si="156"/>
        <v>0</v>
      </c>
      <c r="M99" s="411">
        <v>0</v>
      </c>
      <c r="N99" s="411"/>
      <c r="O99" s="411"/>
      <c r="P99" s="4453">
        <f t="shared" si="157"/>
        <v>0</v>
      </c>
      <c r="Q99" s="411"/>
      <c r="R99" s="411"/>
      <c r="S99" s="411"/>
      <c r="T99" s="4453">
        <f t="shared" si="158"/>
        <v>0</v>
      </c>
      <c r="U99" s="411">
        <v>1.7354074588728572</v>
      </c>
      <c r="V99" s="411">
        <v>0</v>
      </c>
      <c r="W99" s="411">
        <v>0</v>
      </c>
      <c r="X99" s="4453">
        <f t="shared" si="159"/>
        <v>1.7354074588728572</v>
      </c>
      <c r="Y99" s="4488"/>
      <c r="Z99" s="4504">
        <f t="shared" si="130"/>
        <v>17.439502687415136</v>
      </c>
      <c r="AA99" s="4504">
        <f t="shared" si="144"/>
        <v>0</v>
      </c>
      <c r="AB99" s="4504">
        <f t="shared" si="145"/>
        <v>0</v>
      </c>
      <c r="AC99" s="4504">
        <f t="shared" si="131"/>
        <v>17.439502687415136</v>
      </c>
      <c r="AD99" s="4504">
        <f t="shared" si="132"/>
        <v>0</v>
      </c>
      <c r="AE99" s="4504">
        <f t="shared" si="146"/>
        <v>0</v>
      </c>
      <c r="AF99" s="4504">
        <f t="shared" si="147"/>
        <v>0</v>
      </c>
      <c r="AG99" s="4504">
        <f t="shared" si="133"/>
        <v>0</v>
      </c>
      <c r="AH99" s="4504">
        <f t="shared" si="134"/>
        <v>0</v>
      </c>
      <c r="AI99" s="4504">
        <f t="shared" si="148"/>
        <v>0</v>
      </c>
      <c r="AJ99" s="4504">
        <f t="shared" si="149"/>
        <v>0</v>
      </c>
      <c r="AK99" s="4504">
        <f t="shared" si="135"/>
        <v>0</v>
      </c>
      <c r="AL99" s="4504">
        <f t="shared" si="136"/>
        <v>0</v>
      </c>
      <c r="AM99" s="4504">
        <f t="shared" si="150"/>
        <v>0</v>
      </c>
      <c r="AN99" s="4504">
        <f t="shared" si="151"/>
        <v>0</v>
      </c>
      <c r="AO99" s="4504">
        <f t="shared" si="137"/>
        <v>0</v>
      </c>
      <c r="AP99" s="4504">
        <f t="shared" si="138"/>
        <v>0.88729974428905234</v>
      </c>
      <c r="AQ99" s="4504">
        <f t="shared" si="152"/>
        <v>0</v>
      </c>
      <c r="AR99" s="4504">
        <f t="shared" si="153"/>
        <v>0</v>
      </c>
      <c r="AS99" s="4504">
        <f t="shared" si="139"/>
        <v>0.88729974428905234</v>
      </c>
    </row>
    <row r="100" spans="1:45">
      <c r="A100" s="2611">
        <v>9</v>
      </c>
      <c r="B100" s="2554">
        <v>2040102</v>
      </c>
      <c r="C100" s="2610">
        <v>0.04</v>
      </c>
      <c r="D100" s="2584" t="s">
        <v>432</v>
      </c>
      <c r="E100" s="411">
        <v>1.28</v>
      </c>
      <c r="F100" s="411">
        <v>0</v>
      </c>
      <c r="G100" s="411">
        <v>0</v>
      </c>
      <c r="H100" s="4453">
        <f t="shared" si="155"/>
        <v>1.28</v>
      </c>
      <c r="I100" s="411">
        <v>0</v>
      </c>
      <c r="J100" s="411">
        <v>0</v>
      </c>
      <c r="K100" s="411">
        <v>0</v>
      </c>
      <c r="L100" s="4453">
        <f t="shared" si="156"/>
        <v>0</v>
      </c>
      <c r="M100" s="411">
        <v>0</v>
      </c>
      <c r="N100" s="411"/>
      <c r="O100" s="411"/>
      <c r="P100" s="4453">
        <f t="shared" si="157"/>
        <v>0</v>
      </c>
      <c r="Q100" s="411"/>
      <c r="R100" s="411"/>
      <c r="S100" s="411"/>
      <c r="T100" s="4453">
        <f t="shared" si="158"/>
        <v>0</v>
      </c>
      <c r="U100" s="411">
        <v>0</v>
      </c>
      <c r="V100" s="411">
        <v>0</v>
      </c>
      <c r="W100" s="411">
        <v>0</v>
      </c>
      <c r="X100" s="4453">
        <f t="shared" si="159"/>
        <v>0</v>
      </c>
      <c r="Y100" s="4488"/>
      <c r="Z100" s="4504">
        <f t="shared" si="130"/>
        <v>0.6544536079311597</v>
      </c>
      <c r="AA100" s="4504">
        <f t="shared" si="144"/>
        <v>0</v>
      </c>
      <c r="AB100" s="4504">
        <f t="shared" si="145"/>
        <v>0</v>
      </c>
      <c r="AC100" s="4504">
        <f t="shared" si="131"/>
        <v>0.6544536079311597</v>
      </c>
      <c r="AD100" s="4504">
        <f t="shared" si="132"/>
        <v>0</v>
      </c>
      <c r="AE100" s="4504">
        <f t="shared" si="146"/>
        <v>0</v>
      </c>
      <c r="AF100" s="4504">
        <f t="shared" si="147"/>
        <v>0</v>
      </c>
      <c r="AG100" s="4504">
        <f t="shared" si="133"/>
        <v>0</v>
      </c>
      <c r="AH100" s="4504">
        <f t="shared" si="134"/>
        <v>0</v>
      </c>
      <c r="AI100" s="4504">
        <f t="shared" si="148"/>
        <v>0</v>
      </c>
      <c r="AJ100" s="4504">
        <f t="shared" si="149"/>
        <v>0</v>
      </c>
      <c r="AK100" s="4504">
        <f t="shared" si="135"/>
        <v>0</v>
      </c>
      <c r="AL100" s="4504">
        <f t="shared" si="136"/>
        <v>0</v>
      </c>
      <c r="AM100" s="4504">
        <f t="shared" si="150"/>
        <v>0</v>
      </c>
      <c r="AN100" s="4504">
        <f t="shared" si="151"/>
        <v>0</v>
      </c>
      <c r="AO100" s="4504">
        <f t="shared" si="137"/>
        <v>0</v>
      </c>
      <c r="AP100" s="4504">
        <f t="shared" si="138"/>
        <v>0</v>
      </c>
      <c r="AQ100" s="4504">
        <f t="shared" si="152"/>
        <v>0</v>
      </c>
      <c r="AR100" s="4504">
        <f t="shared" si="153"/>
        <v>0</v>
      </c>
      <c r="AS100" s="4504">
        <f t="shared" si="139"/>
        <v>0</v>
      </c>
    </row>
    <row r="101" spans="1:45">
      <c r="A101" s="2611">
        <v>10</v>
      </c>
      <c r="B101" s="2554">
        <v>2040201</v>
      </c>
      <c r="C101" s="2555">
        <v>0.02</v>
      </c>
      <c r="D101" s="2585" t="s">
        <v>738</v>
      </c>
      <c r="E101" s="411">
        <v>0</v>
      </c>
      <c r="F101" s="411">
        <v>0</v>
      </c>
      <c r="G101" s="411">
        <v>0</v>
      </c>
      <c r="H101" s="4453">
        <f t="shared" si="155"/>
        <v>0</v>
      </c>
      <c r="I101" s="411">
        <v>0</v>
      </c>
      <c r="J101" s="411">
        <v>0</v>
      </c>
      <c r="K101" s="411">
        <v>0</v>
      </c>
      <c r="L101" s="4453">
        <f t="shared" si="156"/>
        <v>0</v>
      </c>
      <c r="M101" s="411">
        <v>0</v>
      </c>
      <c r="N101" s="411"/>
      <c r="O101" s="411"/>
      <c r="P101" s="4453">
        <f t="shared" si="157"/>
        <v>0</v>
      </c>
      <c r="Q101" s="411"/>
      <c r="R101" s="411"/>
      <c r="S101" s="411"/>
      <c r="T101" s="4453">
        <f t="shared" si="158"/>
        <v>0</v>
      </c>
      <c r="U101" s="411">
        <v>0</v>
      </c>
      <c r="V101" s="411">
        <v>0</v>
      </c>
      <c r="W101" s="411">
        <v>0</v>
      </c>
      <c r="X101" s="4453">
        <f t="shared" si="159"/>
        <v>0</v>
      </c>
      <c r="Y101" s="4488"/>
      <c r="Z101" s="4504">
        <f t="shared" si="130"/>
        <v>0</v>
      </c>
      <c r="AA101" s="4504">
        <f t="shared" si="144"/>
        <v>0</v>
      </c>
      <c r="AB101" s="4504">
        <f t="shared" si="145"/>
        <v>0</v>
      </c>
      <c r="AC101" s="4504">
        <f t="shared" si="131"/>
        <v>0</v>
      </c>
      <c r="AD101" s="4504">
        <f t="shared" si="132"/>
        <v>0</v>
      </c>
      <c r="AE101" s="4504">
        <f t="shared" si="146"/>
        <v>0</v>
      </c>
      <c r="AF101" s="4504">
        <f t="shared" si="147"/>
        <v>0</v>
      </c>
      <c r="AG101" s="4504">
        <f t="shared" si="133"/>
        <v>0</v>
      </c>
      <c r="AH101" s="4504">
        <f t="shared" si="134"/>
        <v>0</v>
      </c>
      <c r="AI101" s="4504">
        <f t="shared" si="148"/>
        <v>0</v>
      </c>
      <c r="AJ101" s="4504">
        <f t="shared" si="149"/>
        <v>0</v>
      </c>
      <c r="AK101" s="4504">
        <f t="shared" si="135"/>
        <v>0</v>
      </c>
      <c r="AL101" s="4504">
        <f t="shared" si="136"/>
        <v>0</v>
      </c>
      <c r="AM101" s="4504">
        <f t="shared" si="150"/>
        <v>0</v>
      </c>
      <c r="AN101" s="4504">
        <f t="shared" si="151"/>
        <v>0</v>
      </c>
      <c r="AO101" s="4504">
        <f t="shared" si="137"/>
        <v>0</v>
      </c>
      <c r="AP101" s="4504">
        <f t="shared" si="138"/>
        <v>0</v>
      </c>
      <c r="AQ101" s="4504">
        <f t="shared" si="152"/>
        <v>0</v>
      </c>
      <c r="AR101" s="4504">
        <f t="shared" si="153"/>
        <v>0</v>
      </c>
      <c r="AS101" s="4504">
        <f t="shared" si="139"/>
        <v>0</v>
      </c>
    </row>
    <row r="102" spans="1:45">
      <c r="A102" s="2611">
        <v>11</v>
      </c>
      <c r="B102" s="2554">
        <v>2040202</v>
      </c>
      <c r="C102" s="2555">
        <v>0.02</v>
      </c>
      <c r="D102" s="2585" t="s">
        <v>739</v>
      </c>
      <c r="E102" s="411">
        <v>104.91771527341668</v>
      </c>
      <c r="F102" s="411">
        <v>0</v>
      </c>
      <c r="G102" s="411">
        <v>0</v>
      </c>
      <c r="H102" s="4453">
        <f t="shared" si="155"/>
        <v>104.91771527341668</v>
      </c>
      <c r="I102" s="411">
        <v>0</v>
      </c>
      <c r="J102" s="411">
        <v>0</v>
      </c>
      <c r="K102" s="411">
        <v>0</v>
      </c>
      <c r="L102" s="4453">
        <f t="shared" si="156"/>
        <v>0</v>
      </c>
      <c r="M102" s="411">
        <v>0</v>
      </c>
      <c r="N102" s="411"/>
      <c r="O102" s="411"/>
      <c r="P102" s="4453">
        <f t="shared" si="157"/>
        <v>0</v>
      </c>
      <c r="Q102" s="411"/>
      <c r="R102" s="411"/>
      <c r="S102" s="411"/>
      <c r="T102" s="4453">
        <f t="shared" si="158"/>
        <v>0</v>
      </c>
      <c r="U102" s="411">
        <v>24.516414726583331</v>
      </c>
      <c r="V102" s="411">
        <v>0</v>
      </c>
      <c r="W102" s="411">
        <v>0</v>
      </c>
      <c r="X102" s="4453">
        <f t="shared" si="159"/>
        <v>24.516414726583331</v>
      </c>
      <c r="Y102" s="4488"/>
      <c r="Z102" s="4504">
        <f t="shared" si="130"/>
        <v>53.643576012954441</v>
      </c>
      <c r="AA102" s="4504">
        <f t="shared" si="144"/>
        <v>0</v>
      </c>
      <c r="AB102" s="4504">
        <f t="shared" si="145"/>
        <v>0</v>
      </c>
      <c r="AC102" s="4504">
        <f t="shared" si="131"/>
        <v>53.643576012954441</v>
      </c>
      <c r="AD102" s="4504">
        <f t="shared" si="132"/>
        <v>0</v>
      </c>
      <c r="AE102" s="4504">
        <f t="shared" si="146"/>
        <v>0</v>
      </c>
      <c r="AF102" s="4504">
        <f t="shared" si="147"/>
        <v>0</v>
      </c>
      <c r="AG102" s="4504">
        <f t="shared" si="133"/>
        <v>0</v>
      </c>
      <c r="AH102" s="4504">
        <f t="shared" si="134"/>
        <v>0</v>
      </c>
      <c r="AI102" s="4504">
        <f t="shared" si="148"/>
        <v>0</v>
      </c>
      <c r="AJ102" s="4504">
        <f t="shared" si="149"/>
        <v>0</v>
      </c>
      <c r="AK102" s="4504">
        <f t="shared" si="135"/>
        <v>0</v>
      </c>
      <c r="AL102" s="4504">
        <f t="shared" si="136"/>
        <v>0</v>
      </c>
      <c r="AM102" s="4504">
        <f t="shared" si="150"/>
        <v>0</v>
      </c>
      <c r="AN102" s="4504">
        <f t="shared" si="151"/>
        <v>0</v>
      </c>
      <c r="AO102" s="4504">
        <f t="shared" si="137"/>
        <v>0</v>
      </c>
      <c r="AP102" s="4504">
        <f t="shared" si="138"/>
        <v>12.535043805741466</v>
      </c>
      <c r="AQ102" s="4504">
        <f t="shared" si="152"/>
        <v>0</v>
      </c>
      <c r="AR102" s="4504">
        <f t="shared" si="153"/>
        <v>0</v>
      </c>
      <c r="AS102" s="4504">
        <f t="shared" si="139"/>
        <v>12.535043805741466</v>
      </c>
    </row>
    <row r="103" spans="1:45">
      <c r="A103" s="2611">
        <v>12</v>
      </c>
      <c r="B103" s="2554">
        <v>2040203</v>
      </c>
      <c r="C103" s="2555">
        <v>0.02</v>
      </c>
      <c r="D103" s="2585" t="s">
        <v>418</v>
      </c>
      <c r="E103" s="411">
        <v>0</v>
      </c>
      <c r="F103" s="411">
        <v>0</v>
      </c>
      <c r="G103" s="411">
        <v>0</v>
      </c>
      <c r="H103" s="4453">
        <f t="shared" si="155"/>
        <v>0</v>
      </c>
      <c r="I103" s="411">
        <v>0</v>
      </c>
      <c r="J103" s="411">
        <v>0</v>
      </c>
      <c r="K103" s="411">
        <v>0</v>
      </c>
      <c r="L103" s="4453">
        <f t="shared" si="156"/>
        <v>0</v>
      </c>
      <c r="M103" s="411">
        <v>0</v>
      </c>
      <c r="N103" s="411"/>
      <c r="O103" s="411"/>
      <c r="P103" s="4453">
        <f t="shared" si="157"/>
        <v>0</v>
      </c>
      <c r="Q103" s="411"/>
      <c r="R103" s="411"/>
      <c r="S103" s="411"/>
      <c r="T103" s="4453">
        <f t="shared" si="158"/>
        <v>0</v>
      </c>
      <c r="U103" s="411">
        <v>0</v>
      </c>
      <c r="V103" s="411">
        <v>0</v>
      </c>
      <c r="W103" s="411">
        <v>0</v>
      </c>
      <c r="X103" s="4453">
        <f t="shared" si="159"/>
        <v>0</v>
      </c>
      <c r="Y103" s="4488"/>
      <c r="Z103" s="4504">
        <f t="shared" si="130"/>
        <v>0</v>
      </c>
      <c r="AA103" s="4504">
        <f t="shared" si="144"/>
        <v>0</v>
      </c>
      <c r="AB103" s="4504">
        <f t="shared" si="145"/>
        <v>0</v>
      </c>
      <c r="AC103" s="4504">
        <f t="shared" si="131"/>
        <v>0</v>
      </c>
      <c r="AD103" s="4504">
        <f t="shared" si="132"/>
        <v>0</v>
      </c>
      <c r="AE103" s="4504">
        <f t="shared" si="146"/>
        <v>0</v>
      </c>
      <c r="AF103" s="4504">
        <f t="shared" si="147"/>
        <v>0</v>
      </c>
      <c r="AG103" s="4504">
        <f t="shared" si="133"/>
        <v>0</v>
      </c>
      <c r="AH103" s="4504">
        <f t="shared" si="134"/>
        <v>0</v>
      </c>
      <c r="AI103" s="4504">
        <f t="shared" si="148"/>
        <v>0</v>
      </c>
      <c r="AJ103" s="4504">
        <f t="shared" si="149"/>
        <v>0</v>
      </c>
      <c r="AK103" s="4504">
        <f t="shared" si="135"/>
        <v>0</v>
      </c>
      <c r="AL103" s="4504">
        <f t="shared" si="136"/>
        <v>0</v>
      </c>
      <c r="AM103" s="4504">
        <f t="shared" si="150"/>
        <v>0</v>
      </c>
      <c r="AN103" s="4504">
        <f t="shared" si="151"/>
        <v>0</v>
      </c>
      <c r="AO103" s="4504">
        <f t="shared" si="137"/>
        <v>0</v>
      </c>
      <c r="AP103" s="4504">
        <f t="shared" si="138"/>
        <v>0</v>
      </c>
      <c r="AQ103" s="4504">
        <f t="shared" si="152"/>
        <v>0</v>
      </c>
      <c r="AR103" s="4504">
        <f t="shared" si="153"/>
        <v>0</v>
      </c>
      <c r="AS103" s="4504">
        <f t="shared" si="139"/>
        <v>0</v>
      </c>
    </row>
    <row r="104" spans="1:45">
      <c r="A104" s="2611">
        <v>13</v>
      </c>
      <c r="B104" s="2554">
        <v>2040204</v>
      </c>
      <c r="C104" s="2555">
        <v>0.02</v>
      </c>
      <c r="D104" s="2584" t="s">
        <v>419</v>
      </c>
      <c r="E104" s="411">
        <v>0</v>
      </c>
      <c r="F104" s="411">
        <v>0</v>
      </c>
      <c r="G104" s="411">
        <v>0</v>
      </c>
      <c r="H104" s="4453">
        <f t="shared" si="155"/>
        <v>0</v>
      </c>
      <c r="I104" s="411">
        <v>0</v>
      </c>
      <c r="J104" s="411">
        <v>0</v>
      </c>
      <c r="K104" s="411">
        <v>0</v>
      </c>
      <c r="L104" s="4453">
        <f t="shared" si="156"/>
        <v>0</v>
      </c>
      <c r="M104" s="411">
        <v>0</v>
      </c>
      <c r="N104" s="411"/>
      <c r="O104" s="411"/>
      <c r="P104" s="4453">
        <f t="shared" si="157"/>
        <v>0</v>
      </c>
      <c r="Q104" s="411"/>
      <c r="R104" s="411"/>
      <c r="S104" s="411"/>
      <c r="T104" s="4453">
        <f t="shared" si="158"/>
        <v>0</v>
      </c>
      <c r="U104" s="411">
        <v>0</v>
      </c>
      <c r="V104" s="411">
        <v>0</v>
      </c>
      <c r="W104" s="411">
        <v>0</v>
      </c>
      <c r="X104" s="4453">
        <f t="shared" si="159"/>
        <v>0</v>
      </c>
      <c r="Y104" s="4488"/>
      <c r="Z104" s="4504">
        <f t="shared" si="130"/>
        <v>0</v>
      </c>
      <c r="AA104" s="4504">
        <f t="shared" si="144"/>
        <v>0</v>
      </c>
      <c r="AB104" s="4504">
        <f t="shared" si="145"/>
        <v>0</v>
      </c>
      <c r="AC104" s="4504">
        <f t="shared" si="131"/>
        <v>0</v>
      </c>
      <c r="AD104" s="4504">
        <f t="shared" si="132"/>
        <v>0</v>
      </c>
      <c r="AE104" s="4504">
        <f t="shared" si="146"/>
        <v>0</v>
      </c>
      <c r="AF104" s="4504">
        <f t="shared" si="147"/>
        <v>0</v>
      </c>
      <c r="AG104" s="4504">
        <f t="shared" si="133"/>
        <v>0</v>
      </c>
      <c r="AH104" s="4504">
        <f t="shared" si="134"/>
        <v>0</v>
      </c>
      <c r="AI104" s="4504">
        <f t="shared" si="148"/>
        <v>0</v>
      </c>
      <c r="AJ104" s="4504">
        <f t="shared" si="149"/>
        <v>0</v>
      </c>
      <c r="AK104" s="4504">
        <f t="shared" si="135"/>
        <v>0</v>
      </c>
      <c r="AL104" s="4504">
        <f t="shared" si="136"/>
        <v>0</v>
      </c>
      <c r="AM104" s="4504">
        <f t="shared" si="150"/>
        <v>0</v>
      </c>
      <c r="AN104" s="4504">
        <f t="shared" si="151"/>
        <v>0</v>
      </c>
      <c r="AO104" s="4504">
        <f t="shared" si="137"/>
        <v>0</v>
      </c>
      <c r="AP104" s="4504">
        <f t="shared" si="138"/>
        <v>0</v>
      </c>
      <c r="AQ104" s="4504">
        <f t="shared" si="152"/>
        <v>0</v>
      </c>
      <c r="AR104" s="4504">
        <f t="shared" si="153"/>
        <v>0</v>
      </c>
      <c r="AS104" s="4504">
        <f t="shared" si="139"/>
        <v>0</v>
      </c>
    </row>
    <row r="105" spans="1:45">
      <c r="A105" s="2611">
        <v>14</v>
      </c>
      <c r="B105" s="2554">
        <v>2040205</v>
      </c>
      <c r="C105" s="2555">
        <v>0.02</v>
      </c>
      <c r="D105" s="2585" t="s">
        <v>420</v>
      </c>
      <c r="E105" s="411">
        <v>2704.7978753301677</v>
      </c>
      <c r="F105" s="411">
        <v>580.32797581283057</v>
      </c>
      <c r="G105" s="411">
        <v>0</v>
      </c>
      <c r="H105" s="4453">
        <f t="shared" si="155"/>
        <v>3285.1258511429983</v>
      </c>
      <c r="I105" s="411">
        <v>0</v>
      </c>
      <c r="J105" s="411">
        <v>0</v>
      </c>
      <c r="K105" s="411">
        <v>0</v>
      </c>
      <c r="L105" s="4453">
        <f t="shared" si="156"/>
        <v>0</v>
      </c>
      <c r="M105" s="411">
        <v>12.49977</v>
      </c>
      <c r="N105" s="411">
        <v>0</v>
      </c>
      <c r="O105" s="411">
        <v>0</v>
      </c>
      <c r="P105" s="4453">
        <f t="shared" si="157"/>
        <v>12.49977</v>
      </c>
      <c r="Q105" s="411"/>
      <c r="R105" s="411"/>
      <c r="S105" s="411"/>
      <c r="T105" s="4453">
        <f t="shared" si="158"/>
        <v>0</v>
      </c>
      <c r="U105" s="411">
        <v>10.037694669831051</v>
      </c>
      <c r="V105" s="411">
        <v>29.204694187169277</v>
      </c>
      <c r="W105" s="411">
        <v>0</v>
      </c>
      <c r="X105" s="4453">
        <f t="shared" si="159"/>
        <v>39.242388857000329</v>
      </c>
      <c r="Y105" s="4488"/>
      <c r="Z105" s="4504">
        <f t="shared" si="130"/>
        <v>1382.9411939330962</v>
      </c>
      <c r="AA105" s="4504">
        <f t="shared" si="144"/>
        <v>296.71698246413575</v>
      </c>
      <c r="AB105" s="4504">
        <f t="shared" si="145"/>
        <v>0</v>
      </c>
      <c r="AC105" s="4504">
        <f t="shared" si="131"/>
        <v>1679.658176397232</v>
      </c>
      <c r="AD105" s="4504">
        <f t="shared" si="132"/>
        <v>0</v>
      </c>
      <c r="AE105" s="4504">
        <f t="shared" si="146"/>
        <v>0</v>
      </c>
      <c r="AF105" s="4504">
        <f t="shared" si="147"/>
        <v>0</v>
      </c>
      <c r="AG105" s="4504">
        <f t="shared" si="133"/>
        <v>0</v>
      </c>
      <c r="AH105" s="4504">
        <f t="shared" si="134"/>
        <v>6.3910309178200562</v>
      </c>
      <c r="AI105" s="4504">
        <f t="shared" si="148"/>
        <v>0</v>
      </c>
      <c r="AJ105" s="4504">
        <f t="shared" si="149"/>
        <v>0</v>
      </c>
      <c r="AK105" s="4504">
        <f t="shared" si="135"/>
        <v>6.3910309178200562</v>
      </c>
      <c r="AL105" s="4504">
        <f t="shared" si="136"/>
        <v>0</v>
      </c>
      <c r="AM105" s="4504">
        <f t="shared" si="150"/>
        <v>0</v>
      </c>
      <c r="AN105" s="4504">
        <f t="shared" si="151"/>
        <v>0</v>
      </c>
      <c r="AO105" s="4504">
        <f t="shared" si="137"/>
        <v>0</v>
      </c>
      <c r="AP105" s="4504">
        <f t="shared" si="138"/>
        <v>5.1321917906111736</v>
      </c>
      <c r="AQ105" s="4504">
        <f t="shared" si="152"/>
        <v>14.932123030718047</v>
      </c>
      <c r="AR105" s="4504">
        <f t="shared" si="153"/>
        <v>0</v>
      </c>
      <c r="AS105" s="4504">
        <f t="shared" si="139"/>
        <v>20.064314821329219</v>
      </c>
    </row>
    <row r="106" spans="1:45">
      <c r="A106" s="2611">
        <v>15</v>
      </c>
      <c r="B106" s="2554">
        <v>2040206</v>
      </c>
      <c r="C106" s="2555">
        <v>0.02</v>
      </c>
      <c r="D106" s="2590" t="s">
        <v>421</v>
      </c>
      <c r="E106" s="411">
        <v>0</v>
      </c>
      <c r="F106" s="411">
        <v>0</v>
      </c>
      <c r="G106" s="411">
        <v>0</v>
      </c>
      <c r="H106" s="4453">
        <f t="shared" si="155"/>
        <v>0</v>
      </c>
      <c r="I106" s="411">
        <v>70.359859999999998</v>
      </c>
      <c r="J106" s="411">
        <v>9.1790699999999994</v>
      </c>
      <c r="K106" s="411">
        <v>0</v>
      </c>
      <c r="L106" s="4453">
        <f t="shared" si="156"/>
        <v>79.538929999999993</v>
      </c>
      <c r="M106" s="411">
        <v>0</v>
      </c>
      <c r="N106" s="411"/>
      <c r="O106" s="411"/>
      <c r="P106" s="4453">
        <f t="shared" si="157"/>
        <v>0</v>
      </c>
      <c r="Q106" s="411"/>
      <c r="R106" s="411"/>
      <c r="S106" s="411"/>
      <c r="T106" s="4453">
        <f t="shared" si="158"/>
        <v>0</v>
      </c>
      <c r="U106" s="411">
        <v>0</v>
      </c>
      <c r="V106" s="411">
        <v>0</v>
      </c>
      <c r="W106" s="411">
        <v>0</v>
      </c>
      <c r="X106" s="4453">
        <f t="shared" si="159"/>
        <v>0</v>
      </c>
      <c r="Y106" s="4488"/>
      <c r="Z106" s="4504">
        <f t="shared" si="130"/>
        <v>0</v>
      </c>
      <c r="AA106" s="4504">
        <f t="shared" si="144"/>
        <v>0</v>
      </c>
      <c r="AB106" s="4504">
        <f t="shared" si="145"/>
        <v>0</v>
      </c>
      <c r="AC106" s="4504">
        <f t="shared" si="131"/>
        <v>0</v>
      </c>
      <c r="AD106" s="4504">
        <f t="shared" si="132"/>
        <v>35.974425180102564</v>
      </c>
      <c r="AE106" s="4504">
        <f t="shared" si="146"/>
        <v>4.6931839679317733</v>
      </c>
      <c r="AF106" s="4504">
        <f t="shared" si="147"/>
        <v>0</v>
      </c>
      <c r="AG106" s="4504">
        <f t="shared" si="133"/>
        <v>40.667609148034337</v>
      </c>
      <c r="AH106" s="4504">
        <f t="shared" si="134"/>
        <v>0</v>
      </c>
      <c r="AI106" s="4504">
        <f t="shared" si="148"/>
        <v>0</v>
      </c>
      <c r="AJ106" s="4504">
        <f t="shared" si="149"/>
        <v>0</v>
      </c>
      <c r="AK106" s="4504">
        <f t="shared" si="135"/>
        <v>0</v>
      </c>
      <c r="AL106" s="4504">
        <f t="shared" si="136"/>
        <v>0</v>
      </c>
      <c r="AM106" s="4504">
        <f t="shared" si="150"/>
        <v>0</v>
      </c>
      <c r="AN106" s="4504">
        <f t="shared" si="151"/>
        <v>0</v>
      </c>
      <c r="AO106" s="4504">
        <f t="shared" si="137"/>
        <v>0</v>
      </c>
      <c r="AP106" s="4504">
        <f t="shared" si="138"/>
        <v>0</v>
      </c>
      <c r="AQ106" s="4504">
        <f t="shared" si="152"/>
        <v>0</v>
      </c>
      <c r="AR106" s="4504">
        <f t="shared" si="153"/>
        <v>0</v>
      </c>
      <c r="AS106" s="4504">
        <f t="shared" si="139"/>
        <v>0</v>
      </c>
    </row>
    <row r="107" spans="1:45" ht="48">
      <c r="A107" s="2611">
        <v>16</v>
      </c>
      <c r="B107" s="2554">
        <v>2040207</v>
      </c>
      <c r="C107" s="2555">
        <v>0.04</v>
      </c>
      <c r="D107" s="2590" t="s">
        <v>422</v>
      </c>
      <c r="E107" s="411">
        <v>0</v>
      </c>
      <c r="F107" s="411">
        <v>0</v>
      </c>
      <c r="G107" s="411">
        <v>0</v>
      </c>
      <c r="H107" s="4453">
        <f t="shared" si="155"/>
        <v>0</v>
      </c>
      <c r="I107" s="411">
        <v>0</v>
      </c>
      <c r="J107" s="411">
        <v>0</v>
      </c>
      <c r="K107" s="411">
        <v>0</v>
      </c>
      <c r="L107" s="4453">
        <f t="shared" si="156"/>
        <v>0</v>
      </c>
      <c r="M107" s="411">
        <v>10.24826</v>
      </c>
      <c r="N107" s="411">
        <v>0</v>
      </c>
      <c r="O107" s="411">
        <v>0</v>
      </c>
      <c r="P107" s="4453">
        <f t="shared" si="157"/>
        <v>10.24826</v>
      </c>
      <c r="Q107" s="411"/>
      <c r="R107" s="411"/>
      <c r="S107" s="411"/>
      <c r="T107" s="4453">
        <f t="shared" si="158"/>
        <v>0</v>
      </c>
      <c r="U107" s="411">
        <v>0</v>
      </c>
      <c r="V107" s="411">
        <v>0</v>
      </c>
      <c r="W107" s="411">
        <v>0</v>
      </c>
      <c r="X107" s="4453">
        <f t="shared" si="159"/>
        <v>0</v>
      </c>
      <c r="Y107" s="4488"/>
      <c r="Z107" s="4504">
        <f t="shared" si="130"/>
        <v>0</v>
      </c>
      <c r="AA107" s="4504">
        <f t="shared" si="144"/>
        <v>0</v>
      </c>
      <c r="AB107" s="4504">
        <f t="shared" si="145"/>
        <v>0</v>
      </c>
      <c r="AC107" s="4504">
        <f t="shared" si="131"/>
        <v>0</v>
      </c>
      <c r="AD107" s="4504">
        <f t="shared" si="132"/>
        <v>0</v>
      </c>
      <c r="AE107" s="4504">
        <f t="shared" si="146"/>
        <v>0</v>
      </c>
      <c r="AF107" s="4504">
        <f t="shared" si="147"/>
        <v>0</v>
      </c>
      <c r="AG107" s="4504">
        <f t="shared" si="133"/>
        <v>0</v>
      </c>
      <c r="AH107" s="4504">
        <f t="shared" si="134"/>
        <v>5.2398521343879585</v>
      </c>
      <c r="AI107" s="4504">
        <f t="shared" si="148"/>
        <v>0</v>
      </c>
      <c r="AJ107" s="4504">
        <f t="shared" si="149"/>
        <v>0</v>
      </c>
      <c r="AK107" s="4504">
        <f t="shared" si="135"/>
        <v>5.2398521343879585</v>
      </c>
      <c r="AL107" s="4504">
        <f t="shared" si="136"/>
        <v>0</v>
      </c>
      <c r="AM107" s="4504">
        <f t="shared" si="150"/>
        <v>0</v>
      </c>
      <c r="AN107" s="4504">
        <f t="shared" si="151"/>
        <v>0</v>
      </c>
      <c r="AO107" s="4504">
        <f t="shared" si="137"/>
        <v>0</v>
      </c>
      <c r="AP107" s="4504">
        <f t="shared" si="138"/>
        <v>0</v>
      </c>
      <c r="AQ107" s="4504">
        <f t="shared" si="152"/>
        <v>0</v>
      </c>
      <c r="AR107" s="4504">
        <f t="shared" si="153"/>
        <v>0</v>
      </c>
      <c r="AS107" s="4504">
        <f t="shared" si="139"/>
        <v>0</v>
      </c>
    </row>
    <row r="108" spans="1:45">
      <c r="A108" s="2611">
        <v>17</v>
      </c>
      <c r="B108" s="2554">
        <v>2040208</v>
      </c>
      <c r="C108" s="2555">
        <v>0.04</v>
      </c>
      <c r="D108" s="2590" t="s">
        <v>423</v>
      </c>
      <c r="E108" s="411">
        <v>0</v>
      </c>
      <c r="F108" s="411">
        <v>0</v>
      </c>
      <c r="G108" s="411">
        <v>0</v>
      </c>
      <c r="H108" s="4453">
        <f t="shared" si="155"/>
        <v>0</v>
      </c>
      <c r="I108" s="411">
        <v>0</v>
      </c>
      <c r="J108" s="411">
        <v>0</v>
      </c>
      <c r="K108" s="411">
        <v>0</v>
      </c>
      <c r="L108" s="4453">
        <f t="shared" si="156"/>
        <v>0</v>
      </c>
      <c r="M108" s="411">
        <v>0</v>
      </c>
      <c r="N108" s="411"/>
      <c r="O108" s="411"/>
      <c r="P108" s="4453">
        <f t="shared" si="157"/>
        <v>0</v>
      </c>
      <c r="Q108" s="411"/>
      <c r="R108" s="411"/>
      <c r="S108" s="411"/>
      <c r="T108" s="4453">
        <f t="shared" si="158"/>
        <v>0</v>
      </c>
      <c r="U108" s="411">
        <v>0</v>
      </c>
      <c r="V108" s="411">
        <v>0</v>
      </c>
      <c r="W108" s="411">
        <v>0</v>
      </c>
      <c r="X108" s="4453">
        <f t="shared" si="159"/>
        <v>0</v>
      </c>
      <c r="Y108" s="4488"/>
      <c r="Z108" s="4504">
        <f t="shared" si="130"/>
        <v>0</v>
      </c>
      <c r="AA108" s="4504">
        <f t="shared" si="144"/>
        <v>0</v>
      </c>
      <c r="AB108" s="4504">
        <f t="shared" si="145"/>
        <v>0</v>
      </c>
      <c r="AC108" s="4504">
        <f t="shared" si="131"/>
        <v>0</v>
      </c>
      <c r="AD108" s="4504">
        <f t="shared" si="132"/>
        <v>0</v>
      </c>
      <c r="AE108" s="4504">
        <f t="shared" si="146"/>
        <v>0</v>
      </c>
      <c r="AF108" s="4504">
        <f t="shared" si="147"/>
        <v>0</v>
      </c>
      <c r="AG108" s="4504">
        <f t="shared" si="133"/>
        <v>0</v>
      </c>
      <c r="AH108" s="4504">
        <f t="shared" si="134"/>
        <v>0</v>
      </c>
      <c r="AI108" s="4504">
        <f t="shared" si="148"/>
        <v>0</v>
      </c>
      <c r="AJ108" s="4504">
        <f t="shared" si="149"/>
        <v>0</v>
      </c>
      <c r="AK108" s="4504">
        <f t="shared" si="135"/>
        <v>0</v>
      </c>
      <c r="AL108" s="4504">
        <f t="shared" si="136"/>
        <v>0</v>
      </c>
      <c r="AM108" s="4504">
        <f t="shared" si="150"/>
        <v>0</v>
      </c>
      <c r="AN108" s="4504">
        <f t="shared" si="151"/>
        <v>0</v>
      </c>
      <c r="AO108" s="4504">
        <f t="shared" si="137"/>
        <v>0</v>
      </c>
      <c r="AP108" s="4504">
        <f t="shared" si="138"/>
        <v>0</v>
      </c>
      <c r="AQ108" s="4504">
        <f t="shared" si="152"/>
        <v>0</v>
      </c>
      <c r="AR108" s="4504">
        <f t="shared" si="153"/>
        <v>0</v>
      </c>
      <c r="AS108" s="4504">
        <f t="shared" si="139"/>
        <v>0</v>
      </c>
    </row>
    <row r="109" spans="1:45">
      <c r="A109" s="2611">
        <v>18</v>
      </c>
      <c r="B109" s="2612" t="s">
        <v>1051</v>
      </c>
      <c r="C109" s="2555">
        <v>0.04</v>
      </c>
      <c r="D109" s="2609" t="s">
        <v>434</v>
      </c>
      <c r="E109" s="411">
        <v>2.2637899999999997</v>
      </c>
      <c r="F109" s="411">
        <v>0</v>
      </c>
      <c r="G109" s="411">
        <v>0</v>
      </c>
      <c r="H109" s="4453">
        <f t="shared" si="155"/>
        <v>2.2637899999999997</v>
      </c>
      <c r="I109" s="411">
        <v>0</v>
      </c>
      <c r="J109" s="411">
        <v>0</v>
      </c>
      <c r="K109" s="411">
        <v>0</v>
      </c>
      <c r="L109" s="4453">
        <f t="shared" si="156"/>
        <v>0</v>
      </c>
      <c r="M109" s="411">
        <v>0</v>
      </c>
      <c r="N109" s="411"/>
      <c r="O109" s="411"/>
      <c r="P109" s="4453">
        <f t="shared" si="157"/>
        <v>0</v>
      </c>
      <c r="Q109" s="411"/>
      <c r="R109" s="411"/>
      <c r="S109" s="411"/>
      <c r="T109" s="4453">
        <f t="shared" si="158"/>
        <v>0</v>
      </c>
      <c r="U109" s="411">
        <v>0</v>
      </c>
      <c r="V109" s="411">
        <v>0</v>
      </c>
      <c r="W109" s="411">
        <v>0</v>
      </c>
      <c r="X109" s="4453">
        <f t="shared" si="159"/>
        <v>0</v>
      </c>
      <c r="Y109" s="4488"/>
      <c r="Z109" s="4504">
        <f t="shared" si="130"/>
        <v>1.1574574477331874</v>
      </c>
      <c r="AA109" s="4504">
        <f t="shared" si="144"/>
        <v>0</v>
      </c>
      <c r="AB109" s="4504">
        <f t="shared" si="145"/>
        <v>0</v>
      </c>
      <c r="AC109" s="4504">
        <f t="shared" si="131"/>
        <v>1.1574574477331874</v>
      </c>
      <c r="AD109" s="4504">
        <f t="shared" si="132"/>
        <v>0</v>
      </c>
      <c r="AE109" s="4504">
        <f t="shared" si="146"/>
        <v>0</v>
      </c>
      <c r="AF109" s="4504">
        <f t="shared" si="147"/>
        <v>0</v>
      </c>
      <c r="AG109" s="4504">
        <f t="shared" si="133"/>
        <v>0</v>
      </c>
      <c r="AH109" s="4504">
        <f t="shared" si="134"/>
        <v>0</v>
      </c>
      <c r="AI109" s="4504">
        <f t="shared" si="148"/>
        <v>0</v>
      </c>
      <c r="AJ109" s="4504">
        <f t="shared" si="149"/>
        <v>0</v>
      </c>
      <c r="AK109" s="4504">
        <f t="shared" si="135"/>
        <v>0</v>
      </c>
      <c r="AL109" s="4504">
        <f t="shared" si="136"/>
        <v>0</v>
      </c>
      <c r="AM109" s="4504">
        <f t="shared" si="150"/>
        <v>0</v>
      </c>
      <c r="AN109" s="4504">
        <f t="shared" si="151"/>
        <v>0</v>
      </c>
      <c r="AO109" s="4504">
        <f t="shared" si="137"/>
        <v>0</v>
      </c>
      <c r="AP109" s="4504">
        <f t="shared" si="138"/>
        <v>0</v>
      </c>
      <c r="AQ109" s="4504">
        <f t="shared" si="152"/>
        <v>0</v>
      </c>
      <c r="AR109" s="4504">
        <f t="shared" si="153"/>
        <v>0</v>
      </c>
      <c r="AS109" s="4504">
        <f t="shared" si="139"/>
        <v>0</v>
      </c>
    </row>
    <row r="110" spans="1:45" ht="48.6" thickBot="1">
      <c r="A110" s="2611">
        <v>19</v>
      </c>
      <c r="B110" s="2554">
        <v>215</v>
      </c>
      <c r="C110" s="2560">
        <v>0.2</v>
      </c>
      <c r="D110" s="2590" t="s">
        <v>679</v>
      </c>
      <c r="E110" s="411">
        <v>0</v>
      </c>
      <c r="F110" s="411">
        <v>48</v>
      </c>
      <c r="G110" s="411">
        <v>0</v>
      </c>
      <c r="H110" s="4453">
        <f t="shared" si="155"/>
        <v>48</v>
      </c>
      <c r="I110" s="411">
        <v>0</v>
      </c>
      <c r="J110" s="411">
        <v>0</v>
      </c>
      <c r="K110" s="411">
        <v>0</v>
      </c>
      <c r="L110" s="4453">
        <f t="shared" si="156"/>
        <v>0</v>
      </c>
      <c r="M110" s="411">
        <v>0</v>
      </c>
      <c r="N110" s="411"/>
      <c r="O110" s="411"/>
      <c r="P110" s="4453">
        <f t="shared" si="157"/>
        <v>0</v>
      </c>
      <c r="Q110" s="411"/>
      <c r="R110" s="411"/>
      <c r="S110" s="411"/>
      <c r="T110" s="4453">
        <f t="shared" si="158"/>
        <v>0</v>
      </c>
      <c r="U110" s="411">
        <v>0</v>
      </c>
      <c r="V110" s="411">
        <v>0</v>
      </c>
      <c r="W110" s="411">
        <v>0</v>
      </c>
      <c r="X110" s="4453">
        <f t="shared" si="159"/>
        <v>0</v>
      </c>
      <c r="Y110" s="4488"/>
      <c r="Z110" s="4504">
        <f t="shared" si="130"/>
        <v>0</v>
      </c>
      <c r="AA110" s="4504">
        <f t="shared" si="144"/>
        <v>24.542010297418489</v>
      </c>
      <c r="AB110" s="4504">
        <f t="shared" si="145"/>
        <v>0</v>
      </c>
      <c r="AC110" s="4504">
        <f t="shared" si="131"/>
        <v>24.542010297418489</v>
      </c>
      <c r="AD110" s="4504">
        <f t="shared" si="132"/>
        <v>0</v>
      </c>
      <c r="AE110" s="4504">
        <f t="shared" si="146"/>
        <v>0</v>
      </c>
      <c r="AF110" s="4504">
        <f t="shared" si="147"/>
        <v>0</v>
      </c>
      <c r="AG110" s="4504">
        <f t="shared" si="133"/>
        <v>0</v>
      </c>
      <c r="AH110" s="4504">
        <f t="shared" si="134"/>
        <v>0</v>
      </c>
      <c r="AI110" s="4504">
        <f t="shared" si="148"/>
        <v>0</v>
      </c>
      <c r="AJ110" s="4504">
        <f t="shared" si="149"/>
        <v>0</v>
      </c>
      <c r="AK110" s="4504">
        <f t="shared" si="135"/>
        <v>0</v>
      </c>
      <c r="AL110" s="4504">
        <f t="shared" si="136"/>
        <v>0</v>
      </c>
      <c r="AM110" s="4504">
        <f t="shared" si="150"/>
        <v>0</v>
      </c>
      <c r="AN110" s="4504">
        <f t="shared" si="151"/>
        <v>0</v>
      </c>
      <c r="AO110" s="4504">
        <f t="shared" si="137"/>
        <v>0</v>
      </c>
      <c r="AP110" s="4504">
        <f t="shared" si="138"/>
        <v>0</v>
      </c>
      <c r="AQ110" s="4504">
        <f t="shared" si="152"/>
        <v>0</v>
      </c>
      <c r="AR110" s="4504">
        <f t="shared" si="153"/>
        <v>0</v>
      </c>
      <c r="AS110" s="4504">
        <f t="shared" si="139"/>
        <v>0</v>
      </c>
    </row>
    <row r="111" spans="1:45" ht="13.8" thickBot="1">
      <c r="A111" s="3746" t="s">
        <v>206</v>
      </c>
      <c r="B111" s="5379" t="s">
        <v>220</v>
      </c>
      <c r="C111" s="5380"/>
      <c r="D111" s="5381"/>
      <c r="E111" s="1246">
        <f t="shared" ref="E111:H111" si="160">SUM(E112:E130)</f>
        <v>386.65638974008891</v>
      </c>
      <c r="F111" s="1246">
        <f t="shared" si="160"/>
        <v>147.5935315407767</v>
      </c>
      <c r="G111" s="1246">
        <f t="shared" si="160"/>
        <v>0</v>
      </c>
      <c r="H111" s="1246">
        <f t="shared" si="160"/>
        <v>534.24992128086546</v>
      </c>
      <c r="I111" s="1246">
        <f t="shared" ref="I111:X111" si="161">SUM(I112:I130)</f>
        <v>2.8510999999999997</v>
      </c>
      <c r="J111" s="1246">
        <f t="shared" si="161"/>
        <v>1.4074199999999999</v>
      </c>
      <c r="K111" s="1246">
        <f t="shared" si="161"/>
        <v>0</v>
      </c>
      <c r="L111" s="1246">
        <f t="shared" si="161"/>
        <v>4.2585199999999999</v>
      </c>
      <c r="M111" s="1246">
        <f t="shared" si="161"/>
        <v>86.815329999999989</v>
      </c>
      <c r="N111" s="1246">
        <f t="shared" si="161"/>
        <v>32.261279999999999</v>
      </c>
      <c r="O111" s="1246">
        <f t="shared" si="161"/>
        <v>0</v>
      </c>
      <c r="P111" s="1246">
        <f t="shared" si="161"/>
        <v>119.07660999999999</v>
      </c>
      <c r="Q111" s="1246">
        <f t="shared" si="161"/>
        <v>0</v>
      </c>
      <c r="R111" s="1246">
        <f t="shared" si="161"/>
        <v>0</v>
      </c>
      <c r="S111" s="1246">
        <f t="shared" si="161"/>
        <v>0</v>
      </c>
      <c r="T111" s="1246">
        <f t="shared" si="161"/>
        <v>0</v>
      </c>
      <c r="U111" s="1246">
        <f t="shared" si="161"/>
        <v>62.529580259911086</v>
      </c>
      <c r="V111" s="1246">
        <f t="shared" si="161"/>
        <v>18.600048459223355</v>
      </c>
      <c r="W111" s="1246">
        <f t="shared" si="161"/>
        <v>0</v>
      </c>
      <c r="X111" s="1110">
        <f t="shared" si="161"/>
        <v>81.129628719134416</v>
      </c>
      <c r="Y111" s="4488"/>
      <c r="Z111" s="4504">
        <f t="shared" si="130"/>
        <v>197.69427288674831</v>
      </c>
      <c r="AA111" s="4504">
        <f t="shared" si="144"/>
        <v>75.463374393877132</v>
      </c>
      <c r="AB111" s="4504">
        <f t="shared" si="145"/>
        <v>0</v>
      </c>
      <c r="AC111" s="4504">
        <f t="shared" si="131"/>
        <v>273.15764728062533</v>
      </c>
      <c r="AD111" s="4504">
        <f t="shared" si="132"/>
        <v>1.4577442824785385</v>
      </c>
      <c r="AE111" s="4504">
        <f t="shared" si="146"/>
        <v>0.71960241943318182</v>
      </c>
      <c r="AF111" s="4504">
        <f t="shared" si="147"/>
        <v>0</v>
      </c>
      <c r="AG111" s="4504">
        <f t="shared" si="133"/>
        <v>2.1773467019117203</v>
      </c>
      <c r="AH111" s="4504">
        <f t="shared" si="134"/>
        <v>44.387973392370498</v>
      </c>
      <c r="AI111" s="4504">
        <f t="shared" si="148"/>
        <v>16.494930540997938</v>
      </c>
      <c r="AJ111" s="4504">
        <f t="shared" si="149"/>
        <v>0</v>
      </c>
      <c r="AK111" s="4504">
        <f t="shared" si="135"/>
        <v>60.882903933368439</v>
      </c>
      <c r="AL111" s="4504">
        <f t="shared" si="136"/>
        <v>0</v>
      </c>
      <c r="AM111" s="4504">
        <f t="shared" si="150"/>
        <v>0</v>
      </c>
      <c r="AN111" s="4504">
        <f t="shared" si="151"/>
        <v>0</v>
      </c>
      <c r="AO111" s="4504">
        <f t="shared" si="137"/>
        <v>0</v>
      </c>
      <c r="AP111" s="4504">
        <f t="shared" si="138"/>
        <v>31.970866721499867</v>
      </c>
      <c r="AQ111" s="4504">
        <f t="shared" si="152"/>
        <v>9.5100537670571352</v>
      </c>
      <c r="AR111" s="4504">
        <f t="shared" si="153"/>
        <v>0</v>
      </c>
      <c r="AS111" s="4504">
        <f t="shared" si="139"/>
        <v>41.48092048855699</v>
      </c>
    </row>
    <row r="112" spans="1:45">
      <c r="A112" s="2553">
        <v>1</v>
      </c>
      <c r="B112" s="2547">
        <v>20102</v>
      </c>
      <c r="C112" s="2571">
        <v>0</v>
      </c>
      <c r="D112" s="2601" t="s">
        <v>558</v>
      </c>
      <c r="E112" s="411">
        <v>0</v>
      </c>
      <c r="F112" s="411">
        <v>0</v>
      </c>
      <c r="G112" s="411">
        <v>0</v>
      </c>
      <c r="H112" s="4453">
        <f t="shared" ref="H112:H130" si="162">+E112+F112-G112</f>
        <v>0</v>
      </c>
      <c r="I112" s="411">
        <v>0</v>
      </c>
      <c r="J112" s="411">
        <v>0</v>
      </c>
      <c r="K112" s="411">
        <v>0</v>
      </c>
      <c r="L112" s="4453">
        <f t="shared" ref="L112:L130" si="163">+I112+J112-K112</f>
        <v>0</v>
      </c>
      <c r="M112" s="411">
        <v>0</v>
      </c>
      <c r="N112" s="411"/>
      <c r="O112" s="411"/>
      <c r="P112" s="4453">
        <f t="shared" ref="P112:P130" si="164">+M112+N112-O112</f>
        <v>0</v>
      </c>
      <c r="Q112" s="411"/>
      <c r="R112" s="411"/>
      <c r="S112" s="411"/>
      <c r="T112" s="4453">
        <f t="shared" ref="T112:T130" si="165">+Q112+R112-S112</f>
        <v>0</v>
      </c>
      <c r="U112" s="411">
        <v>0</v>
      </c>
      <c r="V112" s="411">
        <v>0</v>
      </c>
      <c r="W112" s="411">
        <v>0</v>
      </c>
      <c r="X112" s="4453">
        <f t="shared" ref="X112:X130" si="166">+U112+V112-W112</f>
        <v>0</v>
      </c>
      <c r="Y112" s="4488"/>
      <c r="Z112" s="4504">
        <f t="shared" si="130"/>
        <v>0</v>
      </c>
      <c r="AA112" s="4504">
        <f t="shared" si="144"/>
        <v>0</v>
      </c>
      <c r="AB112" s="4504">
        <f t="shared" si="145"/>
        <v>0</v>
      </c>
      <c r="AC112" s="4504">
        <f t="shared" si="131"/>
        <v>0</v>
      </c>
      <c r="AD112" s="4504">
        <f t="shared" si="132"/>
        <v>0</v>
      </c>
      <c r="AE112" s="4504">
        <f t="shared" si="146"/>
        <v>0</v>
      </c>
      <c r="AF112" s="4504">
        <f t="shared" si="147"/>
        <v>0</v>
      </c>
      <c r="AG112" s="4504">
        <f t="shared" si="133"/>
        <v>0</v>
      </c>
      <c r="AH112" s="4504">
        <f t="shared" si="134"/>
        <v>0</v>
      </c>
      <c r="AI112" s="4504">
        <f t="shared" si="148"/>
        <v>0</v>
      </c>
      <c r="AJ112" s="4504">
        <f t="shared" si="149"/>
        <v>0</v>
      </c>
      <c r="AK112" s="4504">
        <f t="shared" si="135"/>
        <v>0</v>
      </c>
      <c r="AL112" s="4504">
        <f t="shared" si="136"/>
        <v>0</v>
      </c>
      <c r="AM112" s="4504">
        <f t="shared" si="150"/>
        <v>0</v>
      </c>
      <c r="AN112" s="4504">
        <f t="shared" si="151"/>
        <v>0</v>
      </c>
      <c r="AO112" s="4504">
        <f t="shared" si="137"/>
        <v>0</v>
      </c>
      <c r="AP112" s="4504">
        <f t="shared" si="138"/>
        <v>0</v>
      </c>
      <c r="AQ112" s="4504">
        <f t="shared" si="152"/>
        <v>0</v>
      </c>
      <c r="AR112" s="4504">
        <f t="shared" si="153"/>
        <v>0</v>
      </c>
      <c r="AS112" s="4504">
        <f t="shared" si="139"/>
        <v>0</v>
      </c>
    </row>
    <row r="113" spans="1:45">
      <c r="A113" s="2553">
        <v>2</v>
      </c>
      <c r="B113" s="2554">
        <v>20202</v>
      </c>
      <c r="C113" s="2555">
        <v>0.03</v>
      </c>
      <c r="D113" s="2609" t="s">
        <v>426</v>
      </c>
      <c r="E113" s="411">
        <v>14.256859544045563</v>
      </c>
      <c r="F113" s="411">
        <v>2.2207213111045609</v>
      </c>
      <c r="G113" s="411">
        <v>0</v>
      </c>
      <c r="H113" s="4453">
        <f t="shared" si="162"/>
        <v>16.477580855150123</v>
      </c>
      <c r="I113" s="411">
        <v>0</v>
      </c>
      <c r="J113" s="411">
        <v>0</v>
      </c>
      <c r="K113" s="411">
        <v>0</v>
      </c>
      <c r="L113" s="4453">
        <f t="shared" si="163"/>
        <v>0</v>
      </c>
      <c r="M113" s="411">
        <v>6.4081599999999996</v>
      </c>
      <c r="N113" s="411">
        <v>2.06046</v>
      </c>
      <c r="O113" s="411">
        <v>0</v>
      </c>
      <c r="P113" s="4453">
        <f t="shared" si="164"/>
        <v>8.4686199999999996</v>
      </c>
      <c r="Q113" s="411"/>
      <c r="R113" s="411"/>
      <c r="S113" s="411"/>
      <c r="T113" s="4453">
        <f t="shared" si="165"/>
        <v>0</v>
      </c>
      <c r="U113" s="411">
        <v>1.3043004559544384</v>
      </c>
      <c r="V113" s="411">
        <v>0.23747868889543841</v>
      </c>
      <c r="W113" s="411">
        <v>0</v>
      </c>
      <c r="X113" s="4453">
        <f t="shared" si="166"/>
        <v>1.5417791448498768</v>
      </c>
      <c r="Y113" s="4488"/>
      <c r="Z113" s="4504">
        <f t="shared" si="130"/>
        <v>7.2894165362253176</v>
      </c>
      <c r="AA113" s="4504">
        <f t="shared" si="144"/>
        <v>1.1354367767671838</v>
      </c>
      <c r="AB113" s="4504">
        <f t="shared" si="145"/>
        <v>0</v>
      </c>
      <c r="AC113" s="4504">
        <f t="shared" si="131"/>
        <v>8.4248533129925018</v>
      </c>
      <c r="AD113" s="4504">
        <f t="shared" si="132"/>
        <v>0</v>
      </c>
      <c r="AE113" s="4504">
        <f t="shared" si="146"/>
        <v>0</v>
      </c>
      <c r="AF113" s="4504">
        <f t="shared" si="147"/>
        <v>0</v>
      </c>
      <c r="AG113" s="4504">
        <f t="shared" si="133"/>
        <v>0</v>
      </c>
      <c r="AH113" s="4504">
        <f t="shared" si="134"/>
        <v>3.2764401814063593</v>
      </c>
      <c r="AI113" s="4504">
        <f t="shared" si="148"/>
        <v>1.0534964695295603</v>
      </c>
      <c r="AJ113" s="4504">
        <f t="shared" si="149"/>
        <v>0</v>
      </c>
      <c r="AK113" s="4504">
        <f t="shared" si="135"/>
        <v>4.3299366509359194</v>
      </c>
      <c r="AL113" s="4504">
        <f t="shared" si="136"/>
        <v>0</v>
      </c>
      <c r="AM113" s="4504">
        <f t="shared" si="150"/>
        <v>0</v>
      </c>
      <c r="AN113" s="4504">
        <f t="shared" si="151"/>
        <v>0</v>
      </c>
      <c r="AO113" s="4504">
        <f t="shared" si="137"/>
        <v>0</v>
      </c>
      <c r="AP113" s="4504">
        <f t="shared" si="138"/>
        <v>0.6668782337700303</v>
      </c>
      <c r="AQ113" s="4504">
        <f t="shared" si="152"/>
        <v>0.12142092558936023</v>
      </c>
      <c r="AR113" s="4504">
        <f t="shared" si="153"/>
        <v>0</v>
      </c>
      <c r="AS113" s="4504">
        <f t="shared" si="139"/>
        <v>0.78829915935939054</v>
      </c>
    </row>
    <row r="114" spans="1:45" ht="24">
      <c r="A114" s="2553">
        <v>3</v>
      </c>
      <c r="B114" s="2554">
        <v>2030401</v>
      </c>
      <c r="C114" s="2560">
        <v>0.1</v>
      </c>
      <c r="D114" s="2590" t="s">
        <v>1031</v>
      </c>
      <c r="E114" s="411">
        <v>104.39854954199004</v>
      </c>
      <c r="F114" s="411">
        <v>39.497184810488662</v>
      </c>
      <c r="G114" s="411">
        <v>0</v>
      </c>
      <c r="H114" s="4453">
        <f t="shared" si="162"/>
        <v>143.89573435247871</v>
      </c>
      <c r="I114" s="411">
        <v>0</v>
      </c>
      <c r="J114" s="411">
        <v>0</v>
      </c>
      <c r="K114" s="411">
        <v>0</v>
      </c>
      <c r="L114" s="4453">
        <f t="shared" si="163"/>
        <v>0</v>
      </c>
      <c r="M114" s="411">
        <v>19.187330000000003</v>
      </c>
      <c r="N114" s="411">
        <v>7.7761900000000015</v>
      </c>
      <c r="O114" s="411">
        <v>0</v>
      </c>
      <c r="P114" s="4453">
        <f t="shared" si="164"/>
        <v>26.963520000000003</v>
      </c>
      <c r="Q114" s="411"/>
      <c r="R114" s="411"/>
      <c r="S114" s="411"/>
      <c r="T114" s="4453">
        <f t="shared" si="165"/>
        <v>0</v>
      </c>
      <c r="U114" s="411">
        <v>37.76807045800993</v>
      </c>
      <c r="V114" s="411">
        <v>10.424625189511355</v>
      </c>
      <c r="W114" s="411">
        <v>0</v>
      </c>
      <c r="X114" s="4453">
        <f t="shared" si="166"/>
        <v>48.192695647521283</v>
      </c>
      <c r="Y114" s="4488"/>
      <c r="Z114" s="4504">
        <f t="shared" si="130"/>
        <v>53.3781307894807</v>
      </c>
      <c r="AA114" s="4504">
        <f t="shared" si="144"/>
        <v>20.194589923709454</v>
      </c>
      <c r="AB114" s="4504">
        <f t="shared" si="145"/>
        <v>0</v>
      </c>
      <c r="AC114" s="4504">
        <f t="shared" si="131"/>
        <v>73.572720713190165</v>
      </c>
      <c r="AD114" s="4504">
        <f t="shared" si="132"/>
        <v>0</v>
      </c>
      <c r="AE114" s="4504">
        <f t="shared" si="146"/>
        <v>0</v>
      </c>
      <c r="AF114" s="4504">
        <f t="shared" si="147"/>
        <v>0</v>
      </c>
      <c r="AG114" s="4504">
        <f t="shared" si="133"/>
        <v>0</v>
      </c>
      <c r="AH114" s="4504">
        <f t="shared" si="134"/>
        <v>9.8103260508326411</v>
      </c>
      <c r="AI114" s="4504">
        <f t="shared" si="148"/>
        <v>3.9759028136392232</v>
      </c>
      <c r="AJ114" s="4504">
        <f t="shared" si="149"/>
        <v>0</v>
      </c>
      <c r="AK114" s="4504">
        <f t="shared" si="135"/>
        <v>13.786228864471862</v>
      </c>
      <c r="AL114" s="4504">
        <f t="shared" si="136"/>
        <v>0</v>
      </c>
      <c r="AM114" s="4504">
        <f t="shared" si="150"/>
        <v>0</v>
      </c>
      <c r="AN114" s="4504">
        <f t="shared" si="151"/>
        <v>0</v>
      </c>
      <c r="AO114" s="4504">
        <f t="shared" si="137"/>
        <v>0</v>
      </c>
      <c r="AP114" s="4504">
        <f t="shared" si="138"/>
        <v>19.310507793627224</v>
      </c>
      <c r="AQ114" s="4504">
        <f t="shared" si="152"/>
        <v>5.3300262239107461</v>
      </c>
      <c r="AR114" s="4504">
        <f t="shared" si="153"/>
        <v>0</v>
      </c>
      <c r="AS114" s="4504">
        <f t="shared" si="139"/>
        <v>24.64053401753797</v>
      </c>
    </row>
    <row r="115" spans="1:45">
      <c r="A115" s="2553">
        <v>4</v>
      </c>
      <c r="B115" s="2554">
        <v>2030402</v>
      </c>
      <c r="C115" s="2560">
        <v>0.1</v>
      </c>
      <c r="D115" s="2590" t="s">
        <v>429</v>
      </c>
      <c r="E115" s="411">
        <v>1.364727696070017</v>
      </c>
      <c r="F115" s="411">
        <v>1.1281282299925783</v>
      </c>
      <c r="G115" s="411">
        <v>0</v>
      </c>
      <c r="H115" s="4453">
        <f t="shared" si="162"/>
        <v>2.4928559260625951</v>
      </c>
      <c r="I115" s="411">
        <v>0</v>
      </c>
      <c r="J115" s="411">
        <v>0</v>
      </c>
      <c r="K115" s="411">
        <v>0</v>
      </c>
      <c r="L115" s="4453">
        <f t="shared" si="163"/>
        <v>0</v>
      </c>
      <c r="M115" s="411">
        <v>0</v>
      </c>
      <c r="N115" s="411"/>
      <c r="O115" s="411"/>
      <c r="P115" s="4453">
        <f t="shared" si="164"/>
        <v>0</v>
      </c>
      <c r="Q115" s="411"/>
      <c r="R115" s="411"/>
      <c r="S115" s="411"/>
      <c r="T115" s="4453">
        <f t="shared" si="165"/>
        <v>0</v>
      </c>
      <c r="U115" s="411">
        <v>0.36795230392998302</v>
      </c>
      <c r="V115" s="411">
        <v>0.13622177000742156</v>
      </c>
      <c r="W115" s="411">
        <v>0</v>
      </c>
      <c r="X115" s="4453">
        <f t="shared" si="166"/>
        <v>0.50417407393740454</v>
      </c>
      <c r="Y115" s="4488"/>
      <c r="Z115" s="4504">
        <f t="shared" si="130"/>
        <v>0.69777419104422012</v>
      </c>
      <c r="AA115" s="4504">
        <f t="shared" si="144"/>
        <v>0.57680280494346559</v>
      </c>
      <c r="AB115" s="4504">
        <f t="shared" si="145"/>
        <v>0</v>
      </c>
      <c r="AC115" s="4504">
        <f t="shared" si="131"/>
        <v>1.2745769959876856</v>
      </c>
      <c r="AD115" s="4504">
        <f t="shared" si="132"/>
        <v>0</v>
      </c>
      <c r="AE115" s="4504">
        <f t="shared" si="146"/>
        <v>0</v>
      </c>
      <c r="AF115" s="4504">
        <f t="shared" si="147"/>
        <v>0</v>
      </c>
      <c r="AG115" s="4504">
        <f t="shared" si="133"/>
        <v>0</v>
      </c>
      <c r="AH115" s="4504">
        <f t="shared" si="134"/>
        <v>0</v>
      </c>
      <c r="AI115" s="4504">
        <f t="shared" si="148"/>
        <v>0</v>
      </c>
      <c r="AJ115" s="4504">
        <f t="shared" si="149"/>
        <v>0</v>
      </c>
      <c r="AK115" s="4504">
        <f t="shared" si="135"/>
        <v>0</v>
      </c>
      <c r="AL115" s="4504">
        <f t="shared" si="136"/>
        <v>0</v>
      </c>
      <c r="AM115" s="4504">
        <f t="shared" si="150"/>
        <v>0</v>
      </c>
      <c r="AN115" s="4504">
        <f t="shared" si="151"/>
        <v>0</v>
      </c>
      <c r="AO115" s="4504">
        <f t="shared" si="137"/>
        <v>0</v>
      </c>
      <c r="AP115" s="4504">
        <f t="shared" si="138"/>
        <v>0.18813102566684375</v>
      </c>
      <c r="AQ115" s="4504">
        <f t="shared" si="152"/>
        <v>6.9649085046973189E-2</v>
      </c>
      <c r="AR115" s="4504">
        <f t="shared" si="153"/>
        <v>0</v>
      </c>
      <c r="AS115" s="4504">
        <f t="shared" si="139"/>
        <v>0.2577801107138169</v>
      </c>
    </row>
    <row r="116" spans="1:45">
      <c r="A116" s="2553">
        <v>5</v>
      </c>
      <c r="B116" s="2554">
        <v>2030501</v>
      </c>
      <c r="C116" s="2560">
        <v>0.1</v>
      </c>
      <c r="D116" s="2590" t="s">
        <v>408</v>
      </c>
      <c r="E116" s="411">
        <v>73.375735714634942</v>
      </c>
      <c r="F116" s="411">
        <v>30.922473849495645</v>
      </c>
      <c r="G116" s="411">
        <v>0</v>
      </c>
      <c r="H116" s="4453">
        <f t="shared" si="162"/>
        <v>104.29820956413059</v>
      </c>
      <c r="I116" s="411">
        <v>0</v>
      </c>
      <c r="J116" s="411">
        <v>0</v>
      </c>
      <c r="K116" s="411">
        <v>0</v>
      </c>
      <c r="L116" s="4453">
        <f t="shared" si="163"/>
        <v>0</v>
      </c>
      <c r="M116" s="411">
        <v>1.6819200000000003</v>
      </c>
      <c r="N116" s="411">
        <v>0.28033999999999998</v>
      </c>
      <c r="O116" s="411">
        <v>0</v>
      </c>
      <c r="P116" s="4453">
        <f t="shared" si="164"/>
        <v>1.9622600000000003</v>
      </c>
      <c r="Q116" s="411"/>
      <c r="R116" s="411"/>
      <c r="S116" s="411"/>
      <c r="T116" s="4453">
        <f t="shared" si="165"/>
        <v>0</v>
      </c>
      <c r="U116" s="411">
        <v>14.903774285365065</v>
      </c>
      <c r="V116" s="411">
        <v>5.2180161505043579</v>
      </c>
      <c r="W116" s="411">
        <v>0</v>
      </c>
      <c r="X116" s="4453">
        <f t="shared" si="166"/>
        <v>20.121790435869421</v>
      </c>
      <c r="Y116" s="4488"/>
      <c r="Z116" s="4504">
        <f t="shared" si="130"/>
        <v>37.516417947692254</v>
      </c>
      <c r="AA116" s="4504">
        <f t="shared" si="144"/>
        <v>15.810409825749501</v>
      </c>
      <c r="AB116" s="4504">
        <f t="shared" si="145"/>
        <v>0</v>
      </c>
      <c r="AC116" s="4504">
        <f t="shared" si="131"/>
        <v>53.326827773441757</v>
      </c>
      <c r="AD116" s="4504">
        <f t="shared" si="132"/>
        <v>0</v>
      </c>
      <c r="AE116" s="4504">
        <f t="shared" si="146"/>
        <v>0</v>
      </c>
      <c r="AF116" s="4504">
        <f t="shared" si="147"/>
        <v>0</v>
      </c>
      <c r="AG116" s="4504">
        <f t="shared" si="133"/>
        <v>0</v>
      </c>
      <c r="AH116" s="4504">
        <f t="shared" si="134"/>
        <v>0.85995204082154397</v>
      </c>
      <c r="AI116" s="4504">
        <f t="shared" si="148"/>
        <v>0.14333556597454788</v>
      </c>
      <c r="AJ116" s="4504">
        <f t="shared" si="149"/>
        <v>0</v>
      </c>
      <c r="AK116" s="4504">
        <f t="shared" si="135"/>
        <v>1.0032876067960919</v>
      </c>
      <c r="AL116" s="4504">
        <f t="shared" si="136"/>
        <v>0</v>
      </c>
      <c r="AM116" s="4504">
        <f t="shared" si="150"/>
        <v>0</v>
      </c>
      <c r="AN116" s="4504">
        <f t="shared" si="151"/>
        <v>0</v>
      </c>
      <c r="AO116" s="4504">
        <f t="shared" si="137"/>
        <v>0</v>
      </c>
      <c r="AP116" s="4504">
        <f t="shared" si="138"/>
        <v>7.6201787912881311</v>
      </c>
      <c r="AQ116" s="4504">
        <f t="shared" si="152"/>
        <v>2.6679292937036236</v>
      </c>
      <c r="AR116" s="4504">
        <f t="shared" si="153"/>
        <v>0</v>
      </c>
      <c r="AS116" s="4504">
        <f t="shared" si="139"/>
        <v>10.288108084991753</v>
      </c>
    </row>
    <row r="117" spans="1:45" ht="36">
      <c r="A117" s="2553">
        <v>6</v>
      </c>
      <c r="B117" s="2554">
        <v>2030502</v>
      </c>
      <c r="C117" s="2560">
        <v>0.1</v>
      </c>
      <c r="D117" s="2590" t="s">
        <v>695</v>
      </c>
      <c r="E117" s="411">
        <v>33.919222881268695</v>
      </c>
      <c r="F117" s="411">
        <v>10.625459228202217</v>
      </c>
      <c r="G117" s="411">
        <v>0</v>
      </c>
      <c r="H117" s="4453">
        <f t="shared" si="162"/>
        <v>44.544682109470912</v>
      </c>
      <c r="I117" s="411">
        <v>0</v>
      </c>
      <c r="J117" s="411">
        <v>0</v>
      </c>
      <c r="K117" s="411">
        <v>0</v>
      </c>
      <c r="L117" s="4453">
        <f t="shared" si="163"/>
        <v>0</v>
      </c>
      <c r="M117" s="411">
        <v>57.119679999999988</v>
      </c>
      <c r="N117" s="411">
        <v>19.182329999999993</v>
      </c>
      <c r="O117" s="411">
        <v>0</v>
      </c>
      <c r="P117" s="4453">
        <f t="shared" si="164"/>
        <v>76.302009999999981</v>
      </c>
      <c r="Q117" s="411"/>
      <c r="R117" s="411"/>
      <c r="S117" s="411"/>
      <c r="T117" s="4453">
        <f t="shared" si="165"/>
        <v>0</v>
      </c>
      <c r="U117" s="411">
        <v>2.4707971187313102</v>
      </c>
      <c r="V117" s="411">
        <v>1.2342707717977819</v>
      </c>
      <c r="W117" s="411">
        <v>0</v>
      </c>
      <c r="X117" s="4453">
        <f t="shared" si="166"/>
        <v>3.7050678905290919</v>
      </c>
      <c r="Y117" s="4488"/>
      <c r="Z117" s="4504">
        <f t="shared" si="130"/>
        <v>17.342623275677688</v>
      </c>
      <c r="AA117" s="4504">
        <f t="shared" si="144"/>
        <v>5.4327110373612317</v>
      </c>
      <c r="AB117" s="4504">
        <f t="shared" si="145"/>
        <v>0</v>
      </c>
      <c r="AC117" s="4504">
        <f t="shared" si="131"/>
        <v>22.775334313038922</v>
      </c>
      <c r="AD117" s="4504">
        <f t="shared" si="132"/>
        <v>0</v>
      </c>
      <c r="AE117" s="4504">
        <f t="shared" si="146"/>
        <v>0</v>
      </c>
      <c r="AF117" s="4504">
        <f t="shared" si="147"/>
        <v>0</v>
      </c>
      <c r="AG117" s="4504">
        <f t="shared" si="133"/>
        <v>0</v>
      </c>
      <c r="AH117" s="4504">
        <f t="shared" si="134"/>
        <v>29.20482864052601</v>
      </c>
      <c r="AI117" s="4504">
        <f t="shared" si="148"/>
        <v>9.8077695914266538</v>
      </c>
      <c r="AJ117" s="4504">
        <f t="shared" si="149"/>
        <v>0</v>
      </c>
      <c r="AK117" s="4504">
        <f t="shared" si="135"/>
        <v>39.012598231952666</v>
      </c>
      <c r="AL117" s="4504">
        <f t="shared" si="136"/>
        <v>0</v>
      </c>
      <c r="AM117" s="4504">
        <f t="shared" si="150"/>
        <v>0</v>
      </c>
      <c r="AN117" s="4504">
        <f t="shared" si="151"/>
        <v>0</v>
      </c>
      <c r="AO117" s="4504">
        <f t="shared" si="137"/>
        <v>0</v>
      </c>
      <c r="AP117" s="4504">
        <f t="shared" si="138"/>
        <v>1.263298506890328</v>
      </c>
      <c r="AQ117" s="4504">
        <f t="shared" si="152"/>
        <v>0.63107262481799642</v>
      </c>
      <c r="AR117" s="4504">
        <f t="shared" si="153"/>
        <v>0</v>
      </c>
      <c r="AS117" s="4504">
        <f t="shared" si="139"/>
        <v>1.8943711317083243</v>
      </c>
    </row>
    <row r="118" spans="1:45">
      <c r="A118" s="2553">
        <v>7</v>
      </c>
      <c r="B118" s="2554">
        <v>2030503</v>
      </c>
      <c r="C118" s="2560">
        <v>0.1</v>
      </c>
      <c r="D118" s="2590" t="s">
        <v>713</v>
      </c>
      <c r="E118" s="411">
        <v>0.6132018389285474</v>
      </c>
      <c r="F118" s="411">
        <v>3.425603817159717</v>
      </c>
      <c r="G118" s="411">
        <v>0</v>
      </c>
      <c r="H118" s="4453">
        <f t="shared" si="162"/>
        <v>4.0388056560882646</v>
      </c>
      <c r="I118" s="411">
        <v>0</v>
      </c>
      <c r="J118" s="411">
        <v>0</v>
      </c>
      <c r="K118" s="411">
        <v>0</v>
      </c>
      <c r="L118" s="4453">
        <f t="shared" si="163"/>
        <v>0</v>
      </c>
      <c r="M118" s="411">
        <v>0.14496000000000001</v>
      </c>
      <c r="N118" s="411">
        <v>2.3020800000000001</v>
      </c>
      <c r="O118" s="411">
        <v>0</v>
      </c>
      <c r="P118" s="4453">
        <f t="shared" si="164"/>
        <v>2.4470400000000003</v>
      </c>
      <c r="Q118" s="411"/>
      <c r="R118" s="411"/>
      <c r="S118" s="411"/>
      <c r="T118" s="4453">
        <f t="shared" si="165"/>
        <v>0</v>
      </c>
      <c r="U118" s="411">
        <v>2.286498161071453</v>
      </c>
      <c r="V118" s="411">
        <v>0.47649618284028267</v>
      </c>
      <c r="W118" s="411">
        <v>0</v>
      </c>
      <c r="X118" s="4453">
        <f t="shared" si="166"/>
        <v>2.7629943439117355</v>
      </c>
      <c r="Y118" s="4488"/>
      <c r="Z118" s="4504">
        <f t="shared" si="130"/>
        <v>0.31352512177875758</v>
      </c>
      <c r="AA118" s="4504">
        <f t="shared" si="144"/>
        <v>1.7514834199085385</v>
      </c>
      <c r="AB118" s="4504">
        <f t="shared" si="145"/>
        <v>0</v>
      </c>
      <c r="AC118" s="4504">
        <f t="shared" si="131"/>
        <v>2.0650085416872961</v>
      </c>
      <c r="AD118" s="4504">
        <f t="shared" si="132"/>
        <v>0</v>
      </c>
      <c r="AE118" s="4504">
        <f t="shared" si="146"/>
        <v>0</v>
      </c>
      <c r="AF118" s="4504">
        <f t="shared" si="147"/>
        <v>0</v>
      </c>
      <c r="AG118" s="4504">
        <f t="shared" si="133"/>
        <v>0</v>
      </c>
      <c r="AH118" s="4504">
        <f t="shared" si="134"/>
        <v>7.4116871098203835E-2</v>
      </c>
      <c r="AI118" s="4504">
        <f t="shared" si="148"/>
        <v>1.1770348138641908</v>
      </c>
      <c r="AJ118" s="4504">
        <f t="shared" si="149"/>
        <v>0</v>
      </c>
      <c r="AK118" s="4504">
        <f t="shared" si="135"/>
        <v>1.2511516849623947</v>
      </c>
      <c r="AL118" s="4504">
        <f t="shared" si="136"/>
        <v>0</v>
      </c>
      <c r="AM118" s="4504">
        <f t="shared" si="150"/>
        <v>0</v>
      </c>
      <c r="AN118" s="4504">
        <f t="shared" si="151"/>
        <v>0</v>
      </c>
      <c r="AO118" s="4504">
        <f t="shared" si="137"/>
        <v>0</v>
      </c>
      <c r="AP118" s="4504">
        <f t="shared" si="138"/>
        <v>1.1690679461259175</v>
      </c>
      <c r="AQ118" s="4504">
        <f t="shared" si="152"/>
        <v>0.2436286297072254</v>
      </c>
      <c r="AR118" s="4504">
        <f t="shared" si="153"/>
        <v>0</v>
      </c>
      <c r="AS118" s="4504">
        <f t="shared" si="139"/>
        <v>1.4126965758331427</v>
      </c>
    </row>
    <row r="119" spans="1:45">
      <c r="A119" s="2553">
        <v>8</v>
      </c>
      <c r="B119" s="2554">
        <v>2040101</v>
      </c>
      <c r="C119" s="2610">
        <v>0.1</v>
      </c>
      <c r="D119" s="2584" t="s">
        <v>1016</v>
      </c>
      <c r="E119" s="411">
        <v>13.297580694112716</v>
      </c>
      <c r="F119" s="411">
        <v>3.4094259325778506</v>
      </c>
      <c r="G119" s="411">
        <v>0</v>
      </c>
      <c r="H119" s="4453">
        <f t="shared" si="162"/>
        <v>16.707006626690568</v>
      </c>
      <c r="I119" s="411">
        <v>0</v>
      </c>
      <c r="J119" s="411">
        <v>0</v>
      </c>
      <c r="K119" s="411">
        <v>0</v>
      </c>
      <c r="L119" s="4453">
        <f t="shared" si="163"/>
        <v>0</v>
      </c>
      <c r="M119" s="411">
        <v>0</v>
      </c>
      <c r="N119" s="411"/>
      <c r="O119" s="411"/>
      <c r="P119" s="4453">
        <f t="shared" si="164"/>
        <v>0</v>
      </c>
      <c r="Q119" s="411"/>
      <c r="R119" s="411"/>
      <c r="S119" s="411"/>
      <c r="T119" s="4453">
        <f t="shared" si="165"/>
        <v>0</v>
      </c>
      <c r="U119" s="411">
        <v>0.69425930588728579</v>
      </c>
      <c r="V119" s="411">
        <v>0.17491406742214938</v>
      </c>
      <c r="W119" s="411">
        <v>0</v>
      </c>
      <c r="X119" s="4453">
        <f t="shared" si="166"/>
        <v>0.86917337330943512</v>
      </c>
      <c r="Y119" s="4488"/>
      <c r="Z119" s="4504">
        <f t="shared" si="130"/>
        <v>6.7989450484514071</v>
      </c>
      <c r="AA119" s="4504">
        <f t="shared" si="144"/>
        <v>1.7432117988669009</v>
      </c>
      <c r="AB119" s="4504">
        <f t="shared" si="145"/>
        <v>0</v>
      </c>
      <c r="AC119" s="4504">
        <f t="shared" si="131"/>
        <v>8.5421568473183083</v>
      </c>
      <c r="AD119" s="4504">
        <f t="shared" si="132"/>
        <v>0</v>
      </c>
      <c r="AE119" s="4504">
        <f t="shared" si="146"/>
        <v>0</v>
      </c>
      <c r="AF119" s="4504">
        <f t="shared" si="147"/>
        <v>0</v>
      </c>
      <c r="AG119" s="4504">
        <f t="shared" si="133"/>
        <v>0</v>
      </c>
      <c r="AH119" s="4504">
        <f t="shared" si="134"/>
        <v>0</v>
      </c>
      <c r="AI119" s="4504">
        <f t="shared" si="148"/>
        <v>0</v>
      </c>
      <c r="AJ119" s="4504">
        <f t="shared" si="149"/>
        <v>0</v>
      </c>
      <c r="AK119" s="4504">
        <f t="shared" si="135"/>
        <v>0</v>
      </c>
      <c r="AL119" s="4504">
        <f t="shared" si="136"/>
        <v>0</v>
      </c>
      <c r="AM119" s="4504">
        <f t="shared" si="150"/>
        <v>0</v>
      </c>
      <c r="AN119" s="4504">
        <f t="shared" si="151"/>
        <v>0</v>
      </c>
      <c r="AO119" s="4504">
        <f t="shared" si="137"/>
        <v>0</v>
      </c>
      <c r="AP119" s="4504">
        <f t="shared" si="138"/>
        <v>0.35496914654509126</v>
      </c>
      <c r="AQ119" s="4504">
        <f t="shared" si="152"/>
        <v>8.9432142579952953E-2</v>
      </c>
      <c r="AR119" s="4504">
        <f t="shared" si="153"/>
        <v>0</v>
      </c>
      <c r="AS119" s="4504">
        <f t="shared" si="139"/>
        <v>0.44440128912504417</v>
      </c>
    </row>
    <row r="120" spans="1:45">
      <c r="A120" s="2611">
        <v>9</v>
      </c>
      <c r="B120" s="2554">
        <v>2040102</v>
      </c>
      <c r="C120" s="2610">
        <v>0.04</v>
      </c>
      <c r="D120" s="2584" t="s">
        <v>432</v>
      </c>
      <c r="E120" s="411">
        <v>0.35868</v>
      </c>
      <c r="F120" s="411">
        <v>5.1240000000000001E-2</v>
      </c>
      <c r="G120" s="411">
        <v>0</v>
      </c>
      <c r="H120" s="4453">
        <f t="shared" si="162"/>
        <v>0.40992000000000001</v>
      </c>
      <c r="I120" s="411">
        <v>0</v>
      </c>
      <c r="J120" s="411">
        <v>0</v>
      </c>
      <c r="K120" s="411">
        <v>0</v>
      </c>
      <c r="L120" s="4453">
        <f t="shared" si="163"/>
        <v>0</v>
      </c>
      <c r="M120" s="411">
        <v>0</v>
      </c>
      <c r="N120" s="411"/>
      <c r="O120" s="411"/>
      <c r="P120" s="4453">
        <f t="shared" si="164"/>
        <v>0</v>
      </c>
      <c r="Q120" s="411"/>
      <c r="R120" s="411"/>
      <c r="S120" s="411"/>
      <c r="T120" s="4453">
        <f t="shared" si="165"/>
        <v>0</v>
      </c>
      <c r="U120" s="411">
        <v>0</v>
      </c>
      <c r="V120" s="411">
        <v>0</v>
      </c>
      <c r="W120" s="411">
        <v>0</v>
      </c>
      <c r="X120" s="4453">
        <f t="shared" si="166"/>
        <v>0</v>
      </c>
      <c r="Y120" s="4488"/>
      <c r="Z120" s="4504">
        <f t="shared" si="130"/>
        <v>0.18339017194745966</v>
      </c>
      <c r="AA120" s="4504">
        <f t="shared" si="144"/>
        <v>2.6198595992494238E-2</v>
      </c>
      <c r="AB120" s="4504">
        <f t="shared" si="145"/>
        <v>0</v>
      </c>
      <c r="AC120" s="4504">
        <f t="shared" si="131"/>
        <v>0.2095887679399539</v>
      </c>
      <c r="AD120" s="4504">
        <f t="shared" si="132"/>
        <v>0</v>
      </c>
      <c r="AE120" s="4504">
        <f t="shared" si="146"/>
        <v>0</v>
      </c>
      <c r="AF120" s="4504">
        <f t="shared" si="147"/>
        <v>0</v>
      </c>
      <c r="AG120" s="4504">
        <f t="shared" si="133"/>
        <v>0</v>
      </c>
      <c r="AH120" s="4504">
        <f t="shared" si="134"/>
        <v>0</v>
      </c>
      <c r="AI120" s="4504">
        <f t="shared" si="148"/>
        <v>0</v>
      </c>
      <c r="AJ120" s="4504">
        <f t="shared" si="149"/>
        <v>0</v>
      </c>
      <c r="AK120" s="4504">
        <f t="shared" si="135"/>
        <v>0</v>
      </c>
      <c r="AL120" s="4504">
        <f t="shared" si="136"/>
        <v>0</v>
      </c>
      <c r="AM120" s="4504">
        <f t="shared" si="150"/>
        <v>0</v>
      </c>
      <c r="AN120" s="4504">
        <f t="shared" si="151"/>
        <v>0</v>
      </c>
      <c r="AO120" s="4504">
        <f t="shared" si="137"/>
        <v>0</v>
      </c>
      <c r="AP120" s="4504">
        <f t="shared" si="138"/>
        <v>0</v>
      </c>
      <c r="AQ120" s="4504">
        <f t="shared" si="152"/>
        <v>0</v>
      </c>
      <c r="AR120" s="4504">
        <f t="shared" si="153"/>
        <v>0</v>
      </c>
      <c r="AS120" s="4504">
        <f t="shared" si="139"/>
        <v>0</v>
      </c>
    </row>
    <row r="121" spans="1:45">
      <c r="A121" s="2611">
        <v>10</v>
      </c>
      <c r="B121" s="2554">
        <v>2040201</v>
      </c>
      <c r="C121" s="2555">
        <v>0.02</v>
      </c>
      <c r="D121" s="2585" t="s">
        <v>738</v>
      </c>
      <c r="E121" s="411">
        <v>0</v>
      </c>
      <c r="F121" s="411">
        <v>0</v>
      </c>
      <c r="G121" s="411">
        <v>0</v>
      </c>
      <c r="H121" s="4453">
        <f t="shared" si="162"/>
        <v>0</v>
      </c>
      <c r="I121" s="411">
        <v>0</v>
      </c>
      <c r="J121" s="411">
        <v>0</v>
      </c>
      <c r="K121" s="411">
        <v>0</v>
      </c>
      <c r="L121" s="4453">
        <f t="shared" si="163"/>
        <v>0</v>
      </c>
      <c r="M121" s="411">
        <v>0</v>
      </c>
      <c r="N121" s="411"/>
      <c r="O121" s="411"/>
      <c r="P121" s="4453">
        <f t="shared" si="164"/>
        <v>0</v>
      </c>
      <c r="Q121" s="411"/>
      <c r="R121" s="411"/>
      <c r="S121" s="411"/>
      <c r="T121" s="4453">
        <f t="shared" si="165"/>
        <v>0</v>
      </c>
      <c r="U121" s="411">
        <v>0</v>
      </c>
      <c r="V121" s="411">
        <v>0</v>
      </c>
      <c r="W121" s="411">
        <v>0</v>
      </c>
      <c r="X121" s="4453">
        <f t="shared" si="166"/>
        <v>0</v>
      </c>
      <c r="Y121" s="4488"/>
      <c r="Z121" s="4504">
        <f t="shared" si="130"/>
        <v>0</v>
      </c>
      <c r="AA121" s="4504">
        <f t="shared" si="144"/>
        <v>0</v>
      </c>
      <c r="AB121" s="4504">
        <f t="shared" si="145"/>
        <v>0</v>
      </c>
      <c r="AC121" s="4504">
        <f t="shared" si="131"/>
        <v>0</v>
      </c>
      <c r="AD121" s="4504">
        <f t="shared" si="132"/>
        <v>0</v>
      </c>
      <c r="AE121" s="4504">
        <f t="shared" si="146"/>
        <v>0</v>
      </c>
      <c r="AF121" s="4504">
        <f t="shared" si="147"/>
        <v>0</v>
      </c>
      <c r="AG121" s="4504">
        <f t="shared" si="133"/>
        <v>0</v>
      </c>
      <c r="AH121" s="4504">
        <f t="shared" si="134"/>
        <v>0</v>
      </c>
      <c r="AI121" s="4504">
        <f t="shared" si="148"/>
        <v>0</v>
      </c>
      <c r="AJ121" s="4504">
        <f t="shared" si="149"/>
        <v>0</v>
      </c>
      <c r="AK121" s="4504">
        <f t="shared" si="135"/>
        <v>0</v>
      </c>
      <c r="AL121" s="4504">
        <f t="shared" si="136"/>
        <v>0</v>
      </c>
      <c r="AM121" s="4504">
        <f t="shared" si="150"/>
        <v>0</v>
      </c>
      <c r="AN121" s="4504">
        <f t="shared" si="151"/>
        <v>0</v>
      </c>
      <c r="AO121" s="4504">
        <f t="shared" si="137"/>
        <v>0</v>
      </c>
      <c r="AP121" s="4504">
        <f t="shared" si="138"/>
        <v>0</v>
      </c>
      <c r="AQ121" s="4504">
        <f t="shared" si="152"/>
        <v>0</v>
      </c>
      <c r="AR121" s="4504">
        <f t="shared" si="153"/>
        <v>0</v>
      </c>
      <c r="AS121" s="4504">
        <f t="shared" si="139"/>
        <v>0</v>
      </c>
    </row>
    <row r="122" spans="1:45">
      <c r="A122" s="2611">
        <v>11</v>
      </c>
      <c r="B122" s="2554">
        <v>2040202</v>
      </c>
      <c r="C122" s="2555">
        <v>0.02</v>
      </c>
      <c r="D122" s="2585" t="s">
        <v>739</v>
      </c>
      <c r="E122" s="411">
        <v>12.464517581727986</v>
      </c>
      <c r="F122" s="411">
        <v>2.0928973628699272</v>
      </c>
      <c r="G122" s="411">
        <v>0</v>
      </c>
      <c r="H122" s="4453">
        <f t="shared" si="162"/>
        <v>14.557414944597912</v>
      </c>
      <c r="I122" s="411">
        <v>0</v>
      </c>
      <c r="J122" s="411">
        <v>0</v>
      </c>
      <c r="K122" s="411">
        <v>0</v>
      </c>
      <c r="L122" s="4453">
        <f t="shared" si="163"/>
        <v>0</v>
      </c>
      <c r="M122" s="411">
        <v>0</v>
      </c>
      <c r="N122" s="411"/>
      <c r="O122" s="411"/>
      <c r="P122" s="4453">
        <f t="shared" si="164"/>
        <v>0</v>
      </c>
      <c r="Q122" s="411"/>
      <c r="R122" s="411"/>
      <c r="S122" s="411"/>
      <c r="T122" s="4453">
        <f t="shared" si="165"/>
        <v>0</v>
      </c>
      <c r="U122" s="411">
        <v>2.5331924182720154</v>
      </c>
      <c r="V122" s="411">
        <v>0.49568263713007288</v>
      </c>
      <c r="W122" s="411">
        <v>0</v>
      </c>
      <c r="X122" s="4453">
        <f t="shared" si="166"/>
        <v>3.0288750554020885</v>
      </c>
      <c r="Y122" s="4488"/>
      <c r="Z122" s="4504">
        <f t="shared" si="130"/>
        <v>6.3730066425650422</v>
      </c>
      <c r="AA122" s="4504">
        <f t="shared" si="144"/>
        <v>1.0700814298123698</v>
      </c>
      <c r="AB122" s="4504">
        <f t="shared" si="145"/>
        <v>0</v>
      </c>
      <c r="AC122" s="4504">
        <f t="shared" si="131"/>
        <v>7.4430880723774111</v>
      </c>
      <c r="AD122" s="4504">
        <f t="shared" si="132"/>
        <v>0</v>
      </c>
      <c r="AE122" s="4504">
        <f t="shared" si="146"/>
        <v>0</v>
      </c>
      <c r="AF122" s="4504">
        <f t="shared" si="147"/>
        <v>0</v>
      </c>
      <c r="AG122" s="4504">
        <f t="shared" si="133"/>
        <v>0</v>
      </c>
      <c r="AH122" s="4504">
        <f t="shared" si="134"/>
        <v>0</v>
      </c>
      <c r="AI122" s="4504">
        <f t="shared" si="148"/>
        <v>0</v>
      </c>
      <c r="AJ122" s="4504">
        <f t="shared" si="149"/>
        <v>0</v>
      </c>
      <c r="AK122" s="4504">
        <f t="shared" si="135"/>
        <v>0</v>
      </c>
      <c r="AL122" s="4504">
        <f t="shared" si="136"/>
        <v>0</v>
      </c>
      <c r="AM122" s="4504">
        <f t="shared" si="150"/>
        <v>0</v>
      </c>
      <c r="AN122" s="4504">
        <f t="shared" si="151"/>
        <v>0</v>
      </c>
      <c r="AO122" s="4504">
        <f t="shared" si="137"/>
        <v>0</v>
      </c>
      <c r="AP122" s="4504">
        <f t="shared" si="138"/>
        <v>1.2952007169702968</v>
      </c>
      <c r="AQ122" s="4504">
        <f t="shared" si="152"/>
        <v>0.25343850801453749</v>
      </c>
      <c r="AR122" s="4504">
        <f t="shared" si="153"/>
        <v>0</v>
      </c>
      <c r="AS122" s="4504">
        <f t="shared" si="139"/>
        <v>1.5486392249848344</v>
      </c>
    </row>
    <row r="123" spans="1:45">
      <c r="A123" s="2611">
        <v>12</v>
      </c>
      <c r="B123" s="2554">
        <v>2040203</v>
      </c>
      <c r="C123" s="2555">
        <v>0.02</v>
      </c>
      <c r="D123" s="2585" t="s">
        <v>418</v>
      </c>
      <c r="E123" s="411">
        <v>0</v>
      </c>
      <c r="F123" s="411">
        <v>0</v>
      </c>
      <c r="G123" s="411">
        <v>0</v>
      </c>
      <c r="H123" s="4453">
        <f t="shared" si="162"/>
        <v>0</v>
      </c>
      <c r="I123" s="411">
        <v>0</v>
      </c>
      <c r="J123" s="411">
        <v>0</v>
      </c>
      <c r="K123" s="411">
        <v>0</v>
      </c>
      <c r="L123" s="4453">
        <f t="shared" si="163"/>
        <v>0</v>
      </c>
      <c r="M123" s="411">
        <v>0</v>
      </c>
      <c r="N123" s="411"/>
      <c r="O123" s="411"/>
      <c r="P123" s="4453">
        <f t="shared" si="164"/>
        <v>0</v>
      </c>
      <c r="Q123" s="411"/>
      <c r="R123" s="411"/>
      <c r="S123" s="411"/>
      <c r="T123" s="4453">
        <f t="shared" si="165"/>
        <v>0</v>
      </c>
      <c r="U123" s="411">
        <v>0</v>
      </c>
      <c r="V123" s="411">
        <v>0</v>
      </c>
      <c r="W123" s="411">
        <v>0</v>
      </c>
      <c r="X123" s="4453">
        <f t="shared" si="166"/>
        <v>0</v>
      </c>
      <c r="Y123" s="4488"/>
      <c r="Z123" s="4504">
        <f t="shared" si="130"/>
        <v>0</v>
      </c>
      <c r="AA123" s="4504">
        <f t="shared" si="144"/>
        <v>0</v>
      </c>
      <c r="AB123" s="4504">
        <f t="shared" si="145"/>
        <v>0</v>
      </c>
      <c r="AC123" s="4504">
        <f t="shared" si="131"/>
        <v>0</v>
      </c>
      <c r="AD123" s="4504">
        <f t="shared" si="132"/>
        <v>0</v>
      </c>
      <c r="AE123" s="4504">
        <f t="shared" si="146"/>
        <v>0</v>
      </c>
      <c r="AF123" s="4504">
        <f t="shared" si="147"/>
        <v>0</v>
      </c>
      <c r="AG123" s="4504">
        <f t="shared" si="133"/>
        <v>0</v>
      </c>
      <c r="AH123" s="4504">
        <f t="shared" si="134"/>
        <v>0</v>
      </c>
      <c r="AI123" s="4504">
        <f t="shared" si="148"/>
        <v>0</v>
      </c>
      <c r="AJ123" s="4504">
        <f t="shared" si="149"/>
        <v>0</v>
      </c>
      <c r="AK123" s="4504">
        <f t="shared" si="135"/>
        <v>0</v>
      </c>
      <c r="AL123" s="4504">
        <f t="shared" si="136"/>
        <v>0</v>
      </c>
      <c r="AM123" s="4504">
        <f t="shared" si="150"/>
        <v>0</v>
      </c>
      <c r="AN123" s="4504">
        <f t="shared" si="151"/>
        <v>0</v>
      </c>
      <c r="AO123" s="4504">
        <f t="shared" si="137"/>
        <v>0</v>
      </c>
      <c r="AP123" s="4504">
        <f t="shared" si="138"/>
        <v>0</v>
      </c>
      <c r="AQ123" s="4504">
        <f t="shared" si="152"/>
        <v>0</v>
      </c>
      <c r="AR123" s="4504">
        <f t="shared" si="153"/>
        <v>0</v>
      </c>
      <c r="AS123" s="4504">
        <f t="shared" si="139"/>
        <v>0</v>
      </c>
    </row>
    <row r="124" spans="1:45">
      <c r="A124" s="2611">
        <v>13</v>
      </c>
      <c r="B124" s="2554">
        <v>2040204</v>
      </c>
      <c r="C124" s="2555">
        <v>0.02</v>
      </c>
      <c r="D124" s="2584" t="s">
        <v>419</v>
      </c>
      <c r="E124" s="411">
        <v>0</v>
      </c>
      <c r="F124" s="411">
        <v>0</v>
      </c>
      <c r="G124" s="411">
        <v>0</v>
      </c>
      <c r="H124" s="4453">
        <f t="shared" si="162"/>
        <v>0</v>
      </c>
      <c r="I124" s="411">
        <v>0</v>
      </c>
      <c r="J124" s="411">
        <v>0</v>
      </c>
      <c r="K124" s="411">
        <v>0</v>
      </c>
      <c r="L124" s="4453">
        <f t="shared" si="163"/>
        <v>0</v>
      </c>
      <c r="M124" s="411">
        <v>0</v>
      </c>
      <c r="N124" s="411"/>
      <c r="O124" s="411"/>
      <c r="P124" s="4453">
        <f t="shared" si="164"/>
        <v>0</v>
      </c>
      <c r="Q124" s="411"/>
      <c r="R124" s="411"/>
      <c r="S124" s="411"/>
      <c r="T124" s="4453">
        <f t="shared" si="165"/>
        <v>0</v>
      </c>
      <c r="U124" s="411">
        <v>0</v>
      </c>
      <c r="V124" s="411">
        <v>0</v>
      </c>
      <c r="W124" s="411">
        <v>0</v>
      </c>
      <c r="X124" s="4453">
        <f t="shared" si="166"/>
        <v>0</v>
      </c>
      <c r="Y124" s="4488"/>
      <c r="Z124" s="4504">
        <f t="shared" si="130"/>
        <v>0</v>
      </c>
      <c r="AA124" s="4504">
        <f t="shared" si="144"/>
        <v>0</v>
      </c>
      <c r="AB124" s="4504">
        <f t="shared" si="145"/>
        <v>0</v>
      </c>
      <c r="AC124" s="4504">
        <f t="shared" si="131"/>
        <v>0</v>
      </c>
      <c r="AD124" s="4504">
        <f t="shared" si="132"/>
        <v>0</v>
      </c>
      <c r="AE124" s="4504">
        <f t="shared" si="146"/>
        <v>0</v>
      </c>
      <c r="AF124" s="4504">
        <f t="shared" si="147"/>
        <v>0</v>
      </c>
      <c r="AG124" s="4504">
        <f t="shared" si="133"/>
        <v>0</v>
      </c>
      <c r="AH124" s="4504">
        <f t="shared" si="134"/>
        <v>0</v>
      </c>
      <c r="AI124" s="4504">
        <f t="shared" si="148"/>
        <v>0</v>
      </c>
      <c r="AJ124" s="4504">
        <f t="shared" si="149"/>
        <v>0</v>
      </c>
      <c r="AK124" s="4504">
        <f t="shared" si="135"/>
        <v>0</v>
      </c>
      <c r="AL124" s="4504">
        <f t="shared" si="136"/>
        <v>0</v>
      </c>
      <c r="AM124" s="4504">
        <f t="shared" si="150"/>
        <v>0</v>
      </c>
      <c r="AN124" s="4504">
        <f t="shared" si="151"/>
        <v>0</v>
      </c>
      <c r="AO124" s="4504">
        <f t="shared" si="137"/>
        <v>0</v>
      </c>
      <c r="AP124" s="4504">
        <f t="shared" si="138"/>
        <v>0</v>
      </c>
      <c r="AQ124" s="4504">
        <f t="shared" si="152"/>
        <v>0</v>
      </c>
      <c r="AR124" s="4504">
        <f t="shared" si="153"/>
        <v>0</v>
      </c>
      <c r="AS124" s="4504">
        <f t="shared" si="139"/>
        <v>0</v>
      </c>
    </row>
    <row r="125" spans="1:45">
      <c r="A125" s="2611">
        <v>14</v>
      </c>
      <c r="B125" s="2554">
        <v>2040205</v>
      </c>
      <c r="C125" s="2555">
        <v>0.02</v>
      </c>
      <c r="D125" s="2585" t="s">
        <v>420</v>
      </c>
      <c r="E125" s="411">
        <v>132.5167142473104</v>
      </c>
      <c r="F125" s="411">
        <v>54.129796998885531</v>
      </c>
      <c r="G125" s="411">
        <v>0</v>
      </c>
      <c r="H125" s="4453">
        <f t="shared" si="162"/>
        <v>186.64651124619593</v>
      </c>
      <c r="I125" s="411">
        <v>0</v>
      </c>
      <c r="J125" s="411">
        <v>0</v>
      </c>
      <c r="K125" s="411">
        <v>0</v>
      </c>
      <c r="L125" s="4453">
        <f t="shared" si="163"/>
        <v>0</v>
      </c>
      <c r="M125" s="411">
        <v>0</v>
      </c>
      <c r="N125" s="411">
        <v>0.24996000000000002</v>
      </c>
      <c r="O125" s="411">
        <v>0</v>
      </c>
      <c r="P125" s="4453">
        <f t="shared" si="164"/>
        <v>0.24996000000000002</v>
      </c>
      <c r="Q125" s="411"/>
      <c r="R125" s="411"/>
      <c r="S125" s="411"/>
      <c r="T125" s="4453">
        <f t="shared" si="165"/>
        <v>0</v>
      </c>
      <c r="U125" s="411">
        <v>0.20073575268960414</v>
      </c>
      <c r="V125" s="411">
        <v>0.2023430011144931</v>
      </c>
      <c r="W125" s="411">
        <v>0</v>
      </c>
      <c r="X125" s="4453">
        <f t="shared" si="166"/>
        <v>0.40307875380409725</v>
      </c>
      <c r="Y125" s="4488"/>
      <c r="Z125" s="4504">
        <f t="shared" si="130"/>
        <v>67.754720117449068</v>
      </c>
      <c r="AA125" s="4504">
        <f t="shared" si="144"/>
        <v>27.676125736329606</v>
      </c>
      <c r="AB125" s="4504">
        <f t="shared" si="145"/>
        <v>0</v>
      </c>
      <c r="AC125" s="4504">
        <f t="shared" si="131"/>
        <v>95.430845853778663</v>
      </c>
      <c r="AD125" s="4504">
        <f t="shared" si="132"/>
        <v>0</v>
      </c>
      <c r="AE125" s="4504">
        <f t="shared" si="146"/>
        <v>0</v>
      </c>
      <c r="AF125" s="4504">
        <f t="shared" si="147"/>
        <v>0</v>
      </c>
      <c r="AG125" s="4504">
        <f t="shared" si="133"/>
        <v>0</v>
      </c>
      <c r="AH125" s="4504">
        <f t="shared" si="134"/>
        <v>0</v>
      </c>
      <c r="AI125" s="4504">
        <f t="shared" si="148"/>
        <v>0.12780251862380679</v>
      </c>
      <c r="AJ125" s="4504">
        <f t="shared" si="149"/>
        <v>0</v>
      </c>
      <c r="AK125" s="4504">
        <f t="shared" si="135"/>
        <v>0.12780251862380679</v>
      </c>
      <c r="AL125" s="4504">
        <f t="shared" si="136"/>
        <v>0</v>
      </c>
      <c r="AM125" s="4504">
        <f t="shared" si="150"/>
        <v>0</v>
      </c>
      <c r="AN125" s="4504">
        <f t="shared" si="151"/>
        <v>0</v>
      </c>
      <c r="AO125" s="4504">
        <f t="shared" si="137"/>
        <v>0</v>
      </c>
      <c r="AP125" s="4504">
        <f t="shared" si="138"/>
        <v>0.10263456061600658</v>
      </c>
      <c r="AQ125" s="4504">
        <f t="shared" si="152"/>
        <v>0.10345633368671771</v>
      </c>
      <c r="AR125" s="4504">
        <f t="shared" si="153"/>
        <v>0</v>
      </c>
      <c r="AS125" s="4504">
        <f t="shared" si="139"/>
        <v>0.20609089430272429</v>
      </c>
    </row>
    <row r="126" spans="1:45">
      <c r="A126" s="2611">
        <v>15</v>
      </c>
      <c r="B126" s="2554">
        <v>2040206</v>
      </c>
      <c r="C126" s="2555">
        <v>0.02</v>
      </c>
      <c r="D126" s="2590" t="s">
        <v>421</v>
      </c>
      <c r="E126" s="411">
        <v>0</v>
      </c>
      <c r="F126" s="411">
        <v>0</v>
      </c>
      <c r="G126" s="411">
        <v>0</v>
      </c>
      <c r="H126" s="4453">
        <f t="shared" si="162"/>
        <v>0</v>
      </c>
      <c r="I126" s="411">
        <v>2.8510999999999997</v>
      </c>
      <c r="J126" s="411">
        <v>1.4074199999999999</v>
      </c>
      <c r="K126" s="411">
        <v>0</v>
      </c>
      <c r="L126" s="4453">
        <f t="shared" si="163"/>
        <v>4.2585199999999999</v>
      </c>
      <c r="M126" s="411">
        <v>0</v>
      </c>
      <c r="N126" s="411"/>
      <c r="O126" s="411"/>
      <c r="P126" s="4453">
        <f t="shared" si="164"/>
        <v>0</v>
      </c>
      <c r="Q126" s="411"/>
      <c r="R126" s="411"/>
      <c r="S126" s="411"/>
      <c r="T126" s="4453">
        <f t="shared" si="165"/>
        <v>0</v>
      </c>
      <c r="U126" s="411">
        <v>0</v>
      </c>
      <c r="V126" s="411">
        <v>0</v>
      </c>
      <c r="W126" s="411">
        <v>0</v>
      </c>
      <c r="X126" s="4453">
        <f t="shared" si="166"/>
        <v>0</v>
      </c>
      <c r="Y126" s="4488"/>
      <c r="Z126" s="4504">
        <f t="shared" si="130"/>
        <v>0</v>
      </c>
      <c r="AA126" s="4504">
        <f t="shared" si="144"/>
        <v>0</v>
      </c>
      <c r="AB126" s="4504">
        <f t="shared" si="145"/>
        <v>0</v>
      </c>
      <c r="AC126" s="4504">
        <f t="shared" si="131"/>
        <v>0</v>
      </c>
      <c r="AD126" s="4504">
        <f t="shared" si="132"/>
        <v>1.4577442824785385</v>
      </c>
      <c r="AE126" s="4504">
        <f t="shared" si="146"/>
        <v>0.71960241943318182</v>
      </c>
      <c r="AF126" s="4504">
        <f t="shared" si="147"/>
        <v>0</v>
      </c>
      <c r="AG126" s="4504">
        <f t="shared" si="133"/>
        <v>2.1773467019117203</v>
      </c>
      <c r="AH126" s="4504">
        <f t="shared" si="134"/>
        <v>0</v>
      </c>
      <c r="AI126" s="4504">
        <f t="shared" si="148"/>
        <v>0</v>
      </c>
      <c r="AJ126" s="4504">
        <f t="shared" si="149"/>
        <v>0</v>
      </c>
      <c r="AK126" s="4504">
        <f t="shared" si="135"/>
        <v>0</v>
      </c>
      <c r="AL126" s="4504">
        <f t="shared" si="136"/>
        <v>0</v>
      </c>
      <c r="AM126" s="4504">
        <f t="shared" si="150"/>
        <v>0</v>
      </c>
      <c r="AN126" s="4504">
        <f t="shared" si="151"/>
        <v>0</v>
      </c>
      <c r="AO126" s="4504">
        <f t="shared" si="137"/>
        <v>0</v>
      </c>
      <c r="AP126" s="4504">
        <f t="shared" si="138"/>
        <v>0</v>
      </c>
      <c r="AQ126" s="4504">
        <f t="shared" si="152"/>
        <v>0</v>
      </c>
      <c r="AR126" s="4504">
        <f t="shared" si="153"/>
        <v>0</v>
      </c>
      <c r="AS126" s="4504">
        <f t="shared" si="139"/>
        <v>0</v>
      </c>
    </row>
    <row r="127" spans="1:45" ht="48">
      <c r="A127" s="2611">
        <v>16</v>
      </c>
      <c r="B127" s="2554">
        <v>2040207</v>
      </c>
      <c r="C127" s="2555">
        <v>0.04</v>
      </c>
      <c r="D127" s="2590" t="s">
        <v>422</v>
      </c>
      <c r="E127" s="411">
        <v>0</v>
      </c>
      <c r="F127" s="411">
        <v>0</v>
      </c>
      <c r="G127" s="411">
        <v>0</v>
      </c>
      <c r="H127" s="4453">
        <f t="shared" si="162"/>
        <v>0</v>
      </c>
      <c r="I127" s="411">
        <v>0</v>
      </c>
      <c r="J127" s="411">
        <v>0</v>
      </c>
      <c r="K127" s="411">
        <v>0</v>
      </c>
      <c r="L127" s="4453">
        <f t="shared" si="163"/>
        <v>0</v>
      </c>
      <c r="M127" s="411">
        <v>2.2732799999999997</v>
      </c>
      <c r="N127" s="411">
        <v>0.40992000000000001</v>
      </c>
      <c r="O127" s="411">
        <v>0</v>
      </c>
      <c r="P127" s="4453">
        <f t="shared" si="164"/>
        <v>2.6831999999999998</v>
      </c>
      <c r="Q127" s="411"/>
      <c r="R127" s="411"/>
      <c r="S127" s="411"/>
      <c r="T127" s="4453">
        <f t="shared" si="165"/>
        <v>0</v>
      </c>
      <c r="U127" s="411">
        <v>0</v>
      </c>
      <c r="V127" s="411">
        <v>0</v>
      </c>
      <c r="W127" s="411">
        <v>0</v>
      </c>
      <c r="X127" s="4453">
        <f t="shared" si="166"/>
        <v>0</v>
      </c>
      <c r="Y127" s="4488"/>
      <c r="Z127" s="4504">
        <f t="shared" si="130"/>
        <v>0</v>
      </c>
      <c r="AA127" s="4504">
        <f t="shared" si="144"/>
        <v>0</v>
      </c>
      <c r="AB127" s="4504">
        <f t="shared" si="145"/>
        <v>0</v>
      </c>
      <c r="AC127" s="4504">
        <f t="shared" si="131"/>
        <v>0</v>
      </c>
      <c r="AD127" s="4504">
        <f t="shared" si="132"/>
        <v>0</v>
      </c>
      <c r="AE127" s="4504">
        <f t="shared" si="146"/>
        <v>0</v>
      </c>
      <c r="AF127" s="4504">
        <f t="shared" si="147"/>
        <v>0</v>
      </c>
      <c r="AG127" s="4504">
        <f t="shared" si="133"/>
        <v>0</v>
      </c>
      <c r="AH127" s="4504">
        <f t="shared" si="134"/>
        <v>1.1623096076857395</v>
      </c>
      <c r="AI127" s="4504">
        <f t="shared" si="148"/>
        <v>0.2095887679399539</v>
      </c>
      <c r="AJ127" s="4504">
        <f t="shared" si="149"/>
        <v>0</v>
      </c>
      <c r="AK127" s="4504">
        <f t="shared" si="135"/>
        <v>1.3718983756256933</v>
      </c>
      <c r="AL127" s="4504">
        <f t="shared" si="136"/>
        <v>0</v>
      </c>
      <c r="AM127" s="4504">
        <f t="shared" si="150"/>
        <v>0</v>
      </c>
      <c r="AN127" s="4504">
        <f t="shared" si="151"/>
        <v>0</v>
      </c>
      <c r="AO127" s="4504">
        <f t="shared" si="137"/>
        <v>0</v>
      </c>
      <c r="AP127" s="4504">
        <f t="shared" si="138"/>
        <v>0</v>
      </c>
      <c r="AQ127" s="4504">
        <f t="shared" si="152"/>
        <v>0</v>
      </c>
      <c r="AR127" s="4504">
        <f t="shared" si="153"/>
        <v>0</v>
      </c>
      <c r="AS127" s="4504">
        <f t="shared" si="139"/>
        <v>0</v>
      </c>
    </row>
    <row r="128" spans="1:45">
      <c r="A128" s="2611">
        <v>17</v>
      </c>
      <c r="B128" s="2554">
        <v>2040208</v>
      </c>
      <c r="C128" s="2555">
        <v>0.04</v>
      </c>
      <c r="D128" s="2590" t="s">
        <v>423</v>
      </c>
      <c r="E128" s="411">
        <v>0</v>
      </c>
      <c r="F128" s="411">
        <v>0</v>
      </c>
      <c r="G128" s="411">
        <v>0</v>
      </c>
      <c r="H128" s="4453">
        <f t="shared" si="162"/>
        <v>0</v>
      </c>
      <c r="I128" s="411">
        <v>0</v>
      </c>
      <c r="J128" s="411">
        <v>0</v>
      </c>
      <c r="K128" s="411">
        <v>0</v>
      </c>
      <c r="L128" s="4453">
        <f t="shared" si="163"/>
        <v>0</v>
      </c>
      <c r="M128" s="411">
        <v>0</v>
      </c>
      <c r="N128" s="411"/>
      <c r="O128" s="411"/>
      <c r="P128" s="4453">
        <f t="shared" si="164"/>
        <v>0</v>
      </c>
      <c r="Q128" s="411"/>
      <c r="R128" s="411"/>
      <c r="S128" s="411"/>
      <c r="T128" s="4453">
        <f t="shared" si="165"/>
        <v>0</v>
      </c>
      <c r="U128" s="411">
        <v>0</v>
      </c>
      <c r="V128" s="411">
        <v>0</v>
      </c>
      <c r="W128" s="411">
        <v>0</v>
      </c>
      <c r="X128" s="4453">
        <f t="shared" si="166"/>
        <v>0</v>
      </c>
      <c r="Y128" s="4488"/>
      <c r="Z128" s="4504">
        <f t="shared" si="130"/>
        <v>0</v>
      </c>
      <c r="AA128" s="4504">
        <f t="shared" si="144"/>
        <v>0</v>
      </c>
      <c r="AB128" s="4504">
        <f t="shared" si="145"/>
        <v>0</v>
      </c>
      <c r="AC128" s="4504">
        <f t="shared" si="131"/>
        <v>0</v>
      </c>
      <c r="AD128" s="4504">
        <f t="shared" si="132"/>
        <v>0</v>
      </c>
      <c r="AE128" s="4504">
        <f t="shared" si="146"/>
        <v>0</v>
      </c>
      <c r="AF128" s="4504">
        <f t="shared" si="147"/>
        <v>0</v>
      </c>
      <c r="AG128" s="4504">
        <f t="shared" si="133"/>
        <v>0</v>
      </c>
      <c r="AH128" s="4504">
        <f t="shared" si="134"/>
        <v>0</v>
      </c>
      <c r="AI128" s="4504">
        <f t="shared" si="148"/>
        <v>0</v>
      </c>
      <c r="AJ128" s="4504">
        <f t="shared" si="149"/>
        <v>0</v>
      </c>
      <c r="AK128" s="4504">
        <f t="shared" si="135"/>
        <v>0</v>
      </c>
      <c r="AL128" s="4504">
        <f t="shared" si="136"/>
        <v>0</v>
      </c>
      <c r="AM128" s="4504">
        <f t="shared" si="150"/>
        <v>0</v>
      </c>
      <c r="AN128" s="4504">
        <f t="shared" si="151"/>
        <v>0</v>
      </c>
      <c r="AO128" s="4504">
        <f t="shared" si="137"/>
        <v>0</v>
      </c>
      <c r="AP128" s="4504">
        <f t="shared" si="138"/>
        <v>0</v>
      </c>
      <c r="AQ128" s="4504">
        <f t="shared" si="152"/>
        <v>0</v>
      </c>
      <c r="AR128" s="4504">
        <f t="shared" si="153"/>
        <v>0</v>
      </c>
      <c r="AS128" s="4504">
        <f t="shared" si="139"/>
        <v>0</v>
      </c>
    </row>
    <row r="129" spans="1:45">
      <c r="A129" s="2611">
        <v>18</v>
      </c>
      <c r="B129" s="2612" t="s">
        <v>1051</v>
      </c>
      <c r="C129" s="2555">
        <v>0.04</v>
      </c>
      <c r="D129" s="2609" t="s">
        <v>434</v>
      </c>
      <c r="E129" s="411">
        <v>9.06E-2</v>
      </c>
      <c r="F129" s="411">
        <v>9.06E-2</v>
      </c>
      <c r="G129" s="411">
        <v>0</v>
      </c>
      <c r="H129" s="4453">
        <f t="shared" si="162"/>
        <v>0.1812</v>
      </c>
      <c r="I129" s="411">
        <v>0</v>
      </c>
      <c r="J129" s="411">
        <v>0</v>
      </c>
      <c r="K129" s="411">
        <v>0</v>
      </c>
      <c r="L129" s="4453">
        <f t="shared" si="163"/>
        <v>0</v>
      </c>
      <c r="M129" s="411">
        <v>0</v>
      </c>
      <c r="N129" s="411"/>
      <c r="O129" s="411"/>
      <c r="P129" s="4453">
        <f t="shared" si="164"/>
        <v>0</v>
      </c>
      <c r="Q129" s="411"/>
      <c r="R129" s="411"/>
      <c r="S129" s="411"/>
      <c r="T129" s="4453">
        <f t="shared" si="165"/>
        <v>0</v>
      </c>
      <c r="U129" s="411">
        <v>0</v>
      </c>
      <c r="V129" s="411">
        <v>0</v>
      </c>
      <c r="W129" s="411">
        <v>0</v>
      </c>
      <c r="X129" s="4453">
        <f t="shared" si="166"/>
        <v>0</v>
      </c>
      <c r="Y129" s="4488"/>
      <c r="Z129" s="4504">
        <f t="shared" si="130"/>
        <v>4.6323044436377393E-2</v>
      </c>
      <c r="AA129" s="4504">
        <f t="shared" si="144"/>
        <v>4.6323044436377393E-2</v>
      </c>
      <c r="AB129" s="4504">
        <f t="shared" si="145"/>
        <v>0</v>
      </c>
      <c r="AC129" s="4504">
        <f t="shared" si="131"/>
        <v>9.2646088872754787E-2</v>
      </c>
      <c r="AD129" s="4504">
        <f t="shared" si="132"/>
        <v>0</v>
      </c>
      <c r="AE129" s="4504">
        <f t="shared" si="146"/>
        <v>0</v>
      </c>
      <c r="AF129" s="4504">
        <f t="shared" si="147"/>
        <v>0</v>
      </c>
      <c r="AG129" s="4504">
        <f t="shared" si="133"/>
        <v>0</v>
      </c>
      <c r="AH129" s="4504">
        <f t="shared" si="134"/>
        <v>0</v>
      </c>
      <c r="AI129" s="4504">
        <f t="shared" si="148"/>
        <v>0</v>
      </c>
      <c r="AJ129" s="4504">
        <f t="shared" si="149"/>
        <v>0</v>
      </c>
      <c r="AK129" s="4504">
        <f t="shared" si="135"/>
        <v>0</v>
      </c>
      <c r="AL129" s="4504">
        <f t="shared" si="136"/>
        <v>0</v>
      </c>
      <c r="AM129" s="4504">
        <f t="shared" si="150"/>
        <v>0</v>
      </c>
      <c r="AN129" s="4504">
        <f t="shared" si="151"/>
        <v>0</v>
      </c>
      <c r="AO129" s="4504">
        <f t="shared" si="137"/>
        <v>0</v>
      </c>
      <c r="AP129" s="4504">
        <f t="shared" si="138"/>
        <v>0</v>
      </c>
      <c r="AQ129" s="4504">
        <f t="shared" si="152"/>
        <v>0</v>
      </c>
      <c r="AR129" s="4504">
        <f t="shared" si="153"/>
        <v>0</v>
      </c>
      <c r="AS129" s="4504">
        <f t="shared" si="139"/>
        <v>0</v>
      </c>
    </row>
    <row r="130" spans="1:45" ht="48.6" thickBot="1">
      <c r="A130" s="2611">
        <v>19</v>
      </c>
      <c r="B130" s="2554">
        <v>215</v>
      </c>
      <c r="C130" s="2560">
        <v>0.2</v>
      </c>
      <c r="D130" s="2590" t="s">
        <v>679</v>
      </c>
      <c r="E130" s="411">
        <v>0</v>
      </c>
      <c r="F130" s="411">
        <v>0</v>
      </c>
      <c r="G130" s="411">
        <v>0</v>
      </c>
      <c r="H130" s="4453">
        <f t="shared" si="162"/>
        <v>0</v>
      </c>
      <c r="I130" s="411">
        <v>0</v>
      </c>
      <c r="J130" s="411">
        <v>0</v>
      </c>
      <c r="K130" s="411">
        <v>0</v>
      </c>
      <c r="L130" s="4453">
        <f t="shared" si="163"/>
        <v>0</v>
      </c>
      <c r="M130" s="411">
        <v>0</v>
      </c>
      <c r="N130" s="411"/>
      <c r="O130" s="411"/>
      <c r="P130" s="4453">
        <f t="shared" si="164"/>
        <v>0</v>
      </c>
      <c r="Q130" s="411"/>
      <c r="R130" s="411"/>
      <c r="S130" s="411"/>
      <c r="T130" s="4453">
        <f t="shared" si="165"/>
        <v>0</v>
      </c>
      <c r="U130" s="411">
        <v>0</v>
      </c>
      <c r="V130" s="411">
        <v>0</v>
      </c>
      <c r="W130" s="411">
        <v>0</v>
      </c>
      <c r="X130" s="4453">
        <f t="shared" si="166"/>
        <v>0</v>
      </c>
      <c r="Y130" s="4488"/>
      <c r="Z130" s="4504">
        <f t="shared" si="130"/>
        <v>0</v>
      </c>
      <c r="AA130" s="4504">
        <f t="shared" si="144"/>
        <v>0</v>
      </c>
      <c r="AB130" s="4504">
        <f t="shared" si="145"/>
        <v>0</v>
      </c>
      <c r="AC130" s="4504">
        <f t="shared" si="131"/>
        <v>0</v>
      </c>
      <c r="AD130" s="4504">
        <f t="shared" si="132"/>
        <v>0</v>
      </c>
      <c r="AE130" s="4504">
        <f t="shared" si="146"/>
        <v>0</v>
      </c>
      <c r="AF130" s="4504">
        <f t="shared" si="147"/>
        <v>0</v>
      </c>
      <c r="AG130" s="4504">
        <f t="shared" si="133"/>
        <v>0</v>
      </c>
      <c r="AH130" s="4504">
        <f t="shared" si="134"/>
        <v>0</v>
      </c>
      <c r="AI130" s="4504">
        <f t="shared" si="148"/>
        <v>0</v>
      </c>
      <c r="AJ130" s="4504">
        <f t="shared" si="149"/>
        <v>0</v>
      </c>
      <c r="AK130" s="4504">
        <f t="shared" si="135"/>
        <v>0</v>
      </c>
      <c r="AL130" s="4504">
        <f t="shared" si="136"/>
        <v>0</v>
      </c>
      <c r="AM130" s="4504">
        <f t="shared" si="150"/>
        <v>0</v>
      </c>
      <c r="AN130" s="4504">
        <f t="shared" si="151"/>
        <v>0</v>
      </c>
      <c r="AO130" s="4504">
        <f t="shared" si="137"/>
        <v>0</v>
      </c>
      <c r="AP130" s="4504">
        <f t="shared" si="138"/>
        <v>0</v>
      </c>
      <c r="AQ130" s="4504">
        <f t="shared" si="152"/>
        <v>0</v>
      </c>
      <c r="AR130" s="4504">
        <f t="shared" si="153"/>
        <v>0</v>
      </c>
      <c r="AS130" s="4504">
        <f t="shared" si="139"/>
        <v>0</v>
      </c>
    </row>
    <row r="131" spans="1:45" ht="13.8" thickBot="1">
      <c r="A131" s="3746" t="s">
        <v>219</v>
      </c>
      <c r="B131" s="5390" t="s">
        <v>222</v>
      </c>
      <c r="C131" s="5391"/>
      <c r="D131" s="5392"/>
      <c r="E131" s="1246">
        <f t="shared" ref="E131:H131" si="167">SUM(E132:E150)</f>
        <v>3396.802892904077</v>
      </c>
      <c r="F131" s="1246">
        <f t="shared" si="167"/>
        <v>0</v>
      </c>
      <c r="G131" s="1246">
        <f t="shared" si="167"/>
        <v>0</v>
      </c>
      <c r="H131" s="1246">
        <f t="shared" si="167"/>
        <v>4083.8925362873597</v>
      </c>
      <c r="I131" s="1246">
        <f t="shared" ref="I131:X131" si="168">SUM(I132:I150)</f>
        <v>67.508759999999995</v>
      </c>
      <c r="J131" s="1246">
        <f t="shared" si="168"/>
        <v>0</v>
      </c>
      <c r="K131" s="1246">
        <f t="shared" si="168"/>
        <v>0</v>
      </c>
      <c r="L131" s="1246">
        <f t="shared" si="168"/>
        <v>75.280409999999989</v>
      </c>
      <c r="M131" s="1246">
        <f t="shared" si="168"/>
        <v>299.38567000000012</v>
      </c>
      <c r="N131" s="1246">
        <f t="shared" si="168"/>
        <v>0</v>
      </c>
      <c r="O131" s="1246">
        <f t="shared" si="168"/>
        <v>0</v>
      </c>
      <c r="P131" s="1246">
        <f t="shared" si="168"/>
        <v>314.46259000000015</v>
      </c>
      <c r="Q131" s="1246">
        <f t="shared" si="168"/>
        <v>0</v>
      </c>
      <c r="R131" s="1246">
        <f t="shared" si="168"/>
        <v>0</v>
      </c>
      <c r="S131" s="1246">
        <f t="shared" si="168"/>
        <v>0</v>
      </c>
      <c r="T131" s="1246">
        <f t="shared" si="168"/>
        <v>0</v>
      </c>
      <c r="U131" s="1246">
        <f t="shared" si="168"/>
        <v>155.28626709592143</v>
      </c>
      <c r="V131" s="1246">
        <f t="shared" si="168"/>
        <v>0</v>
      </c>
      <c r="W131" s="1246">
        <f t="shared" si="168"/>
        <v>0</v>
      </c>
      <c r="X131" s="1110">
        <f t="shared" si="168"/>
        <v>186.22304371263877</v>
      </c>
      <c r="Y131" s="4488"/>
      <c r="Z131" s="4504">
        <f t="shared" si="130"/>
        <v>1736.7577411656825</v>
      </c>
      <c r="AA131" s="4504">
        <f t="shared" si="144"/>
        <v>0</v>
      </c>
      <c r="AB131" s="4504">
        <f t="shared" si="145"/>
        <v>0</v>
      </c>
      <c r="AC131" s="4504">
        <f t="shared" si="131"/>
        <v>2088.06109748156</v>
      </c>
      <c r="AD131" s="4504">
        <f t="shared" si="132"/>
        <v>34.516680897624028</v>
      </c>
      <c r="AE131" s="4504">
        <f t="shared" si="146"/>
        <v>0</v>
      </c>
      <c r="AF131" s="4504">
        <f t="shared" si="147"/>
        <v>0</v>
      </c>
      <c r="AG131" s="4504">
        <f t="shared" si="133"/>
        <v>38.490262446122614</v>
      </c>
      <c r="AH131" s="4504">
        <f t="shared" si="134"/>
        <v>153.07346241749033</v>
      </c>
      <c r="AI131" s="4504">
        <f t="shared" si="148"/>
        <v>0</v>
      </c>
      <c r="AJ131" s="4504">
        <f t="shared" si="149"/>
        <v>0</v>
      </c>
      <c r="AK131" s="4504">
        <f t="shared" si="135"/>
        <v>160.78216920693524</v>
      </c>
      <c r="AL131" s="4504">
        <f t="shared" si="136"/>
        <v>0</v>
      </c>
      <c r="AM131" s="4504">
        <f t="shared" si="150"/>
        <v>0</v>
      </c>
      <c r="AN131" s="4504">
        <f t="shared" si="151"/>
        <v>0</v>
      </c>
      <c r="AO131" s="4504">
        <f t="shared" si="137"/>
        <v>0</v>
      </c>
      <c r="AP131" s="4504">
        <f t="shared" si="138"/>
        <v>79.396607627412109</v>
      </c>
      <c r="AQ131" s="4504">
        <f t="shared" si="152"/>
        <v>0</v>
      </c>
      <c r="AR131" s="4504">
        <f t="shared" si="153"/>
        <v>0</v>
      </c>
      <c r="AS131" s="4504">
        <f t="shared" si="139"/>
        <v>95.2143303419207</v>
      </c>
    </row>
    <row r="132" spans="1:45">
      <c r="A132" s="2553">
        <v>1</v>
      </c>
      <c r="B132" s="2547">
        <v>20102</v>
      </c>
      <c r="C132" s="2571">
        <v>0</v>
      </c>
      <c r="D132" s="2601" t="s">
        <v>558</v>
      </c>
      <c r="E132" s="2677">
        <f t="shared" ref="E132:E150" si="169">E92-E112</f>
        <v>0</v>
      </c>
      <c r="F132" s="5382"/>
      <c r="G132" s="5383"/>
      <c r="H132" s="4453">
        <f t="shared" ref="H132:I147" si="170">H92-H112</f>
        <v>0</v>
      </c>
      <c r="I132" s="2677">
        <f t="shared" si="170"/>
        <v>0</v>
      </c>
      <c r="J132" s="5382"/>
      <c r="K132" s="5383"/>
      <c r="L132" s="4453">
        <f t="shared" ref="L132:M147" si="171">L92-L112</f>
        <v>0</v>
      </c>
      <c r="M132" s="2677">
        <f t="shared" si="171"/>
        <v>0</v>
      </c>
      <c r="N132" s="5382"/>
      <c r="O132" s="5383"/>
      <c r="P132" s="4453">
        <f t="shared" ref="P132:Q147" si="172">P92-P112</f>
        <v>0</v>
      </c>
      <c r="Q132" s="2677">
        <f t="shared" si="172"/>
        <v>0</v>
      </c>
      <c r="R132" s="5382"/>
      <c r="S132" s="5383"/>
      <c r="T132" s="4453">
        <f t="shared" ref="T132:U147" si="173">T92-T112</f>
        <v>0</v>
      </c>
      <c r="U132" s="2677">
        <f t="shared" si="173"/>
        <v>0</v>
      </c>
      <c r="V132" s="5382"/>
      <c r="W132" s="5383"/>
      <c r="X132" s="4453">
        <f t="shared" ref="X132:X150" si="174">X92-X112</f>
        <v>0</v>
      </c>
      <c r="Y132" s="4488"/>
      <c r="Z132" s="4504">
        <f t="shared" si="130"/>
        <v>0</v>
      </c>
      <c r="AA132" s="4512"/>
      <c r="AB132" s="4513"/>
      <c r="AC132" s="4504">
        <f t="shared" si="131"/>
        <v>0</v>
      </c>
      <c r="AD132" s="4504">
        <f t="shared" si="132"/>
        <v>0</v>
      </c>
      <c r="AE132" s="4512"/>
      <c r="AF132" s="4513"/>
      <c r="AG132" s="4504">
        <f t="shared" si="133"/>
        <v>0</v>
      </c>
      <c r="AH132" s="4504">
        <f t="shared" si="134"/>
        <v>0</v>
      </c>
      <c r="AI132" s="4512"/>
      <c r="AJ132" s="4513"/>
      <c r="AK132" s="4504">
        <f t="shared" si="135"/>
        <v>0</v>
      </c>
      <c r="AL132" s="4504">
        <f t="shared" si="136"/>
        <v>0</v>
      </c>
      <c r="AM132" s="4512"/>
      <c r="AN132" s="4513"/>
      <c r="AO132" s="4504">
        <f t="shared" si="137"/>
        <v>0</v>
      </c>
      <c r="AP132" s="4504">
        <f t="shared" si="138"/>
        <v>0</v>
      </c>
      <c r="AQ132" s="4512"/>
      <c r="AR132" s="4513"/>
      <c r="AS132" s="4504">
        <f t="shared" si="139"/>
        <v>0</v>
      </c>
    </row>
    <row r="133" spans="1:45">
      <c r="A133" s="2553">
        <v>2</v>
      </c>
      <c r="B133" s="2554">
        <v>20202</v>
      </c>
      <c r="C133" s="2555">
        <v>0.03</v>
      </c>
      <c r="D133" s="2609" t="s">
        <v>426</v>
      </c>
      <c r="E133" s="2678">
        <f t="shared" si="169"/>
        <v>55.700304894757657</v>
      </c>
      <c r="F133" s="5384"/>
      <c r="G133" s="5385"/>
      <c r="H133" s="4453">
        <f t="shared" si="170"/>
        <v>53.479583583653096</v>
      </c>
      <c r="I133" s="2678">
        <f t="shared" si="170"/>
        <v>0</v>
      </c>
      <c r="J133" s="5384"/>
      <c r="K133" s="5385"/>
      <c r="L133" s="4453">
        <f t="shared" si="171"/>
        <v>0</v>
      </c>
      <c r="M133" s="2678">
        <f t="shared" si="171"/>
        <v>62.271700000000003</v>
      </c>
      <c r="N133" s="5384"/>
      <c r="O133" s="5385"/>
      <c r="P133" s="4453">
        <f t="shared" si="172"/>
        <v>63.605060000000009</v>
      </c>
      <c r="Q133" s="2678">
        <f t="shared" si="172"/>
        <v>0</v>
      </c>
      <c r="R133" s="5384"/>
      <c r="S133" s="5385"/>
      <c r="T133" s="4453">
        <f t="shared" si="173"/>
        <v>0</v>
      </c>
      <c r="U133" s="2678">
        <f t="shared" si="173"/>
        <v>8.9650151052423475</v>
      </c>
      <c r="V133" s="5384"/>
      <c r="W133" s="5385"/>
      <c r="X133" s="4453">
        <f t="shared" si="174"/>
        <v>8.7275364163469096</v>
      </c>
      <c r="Y133" s="4488"/>
      <c r="Z133" s="4504">
        <f t="shared" si="130"/>
        <v>28.479113672843578</v>
      </c>
      <c r="AA133" s="4519"/>
      <c r="AB133" s="4520"/>
      <c r="AC133" s="4504">
        <f t="shared" si="131"/>
        <v>27.343676896076396</v>
      </c>
      <c r="AD133" s="4504">
        <f t="shared" si="132"/>
        <v>0</v>
      </c>
      <c r="AE133" s="4519"/>
      <c r="AF133" s="4520"/>
      <c r="AG133" s="4504">
        <f t="shared" si="133"/>
        <v>0</v>
      </c>
      <c r="AH133" s="4504">
        <f t="shared" si="134"/>
        <v>31.83901463828656</v>
      </c>
      <c r="AI133" s="4519"/>
      <c r="AJ133" s="4520"/>
      <c r="AK133" s="4504">
        <f t="shared" si="135"/>
        <v>32.520750780998355</v>
      </c>
      <c r="AL133" s="4504">
        <f t="shared" si="136"/>
        <v>0</v>
      </c>
      <c r="AM133" s="4519"/>
      <c r="AN133" s="4520"/>
      <c r="AO133" s="4504">
        <f t="shared" si="137"/>
        <v>0</v>
      </c>
      <c r="AP133" s="4504">
        <f t="shared" si="138"/>
        <v>4.5837394381118743</v>
      </c>
      <c r="AQ133" s="4519"/>
      <c r="AR133" s="4520"/>
      <c r="AS133" s="4504">
        <f t="shared" si="139"/>
        <v>4.4623185125225149</v>
      </c>
    </row>
    <row r="134" spans="1:45" ht="24">
      <c r="A134" s="2553">
        <v>3</v>
      </c>
      <c r="B134" s="2554">
        <v>2030401</v>
      </c>
      <c r="C134" s="2560">
        <v>0.1</v>
      </c>
      <c r="D134" s="2590" t="s">
        <v>1031</v>
      </c>
      <c r="E134" s="2678">
        <f t="shared" si="169"/>
        <v>296.10638860883171</v>
      </c>
      <c r="F134" s="5384"/>
      <c r="G134" s="5385"/>
      <c r="H134" s="4453">
        <f t="shared" si="170"/>
        <v>303.28120001901272</v>
      </c>
      <c r="I134" s="2678">
        <f t="shared" si="170"/>
        <v>0</v>
      </c>
      <c r="J134" s="5384"/>
      <c r="K134" s="5385"/>
      <c r="L134" s="4453">
        <f t="shared" si="171"/>
        <v>0</v>
      </c>
      <c r="M134" s="2678">
        <f t="shared" si="171"/>
        <v>58.572959999999995</v>
      </c>
      <c r="N134" s="5384"/>
      <c r="O134" s="5385"/>
      <c r="P134" s="4453">
        <f t="shared" si="172"/>
        <v>62.300159999999991</v>
      </c>
      <c r="Q134" s="2678">
        <f t="shared" si="172"/>
        <v>0</v>
      </c>
      <c r="R134" s="5384"/>
      <c r="S134" s="5385"/>
      <c r="T134" s="4453">
        <f t="shared" si="173"/>
        <v>0</v>
      </c>
      <c r="U134" s="2678">
        <f t="shared" si="173"/>
        <v>65.510591391168347</v>
      </c>
      <c r="V134" s="5384"/>
      <c r="W134" s="5385"/>
      <c r="X134" s="4453">
        <f t="shared" si="174"/>
        <v>63.402159980987356</v>
      </c>
      <c r="Y134" s="4488"/>
      <c r="Z134" s="4504">
        <f t="shared" si="130"/>
        <v>151.39679246602807</v>
      </c>
      <c r="AA134" s="4519"/>
      <c r="AB134" s="4520"/>
      <c r="AC134" s="4504">
        <f t="shared" si="131"/>
        <v>155.06521528916764</v>
      </c>
      <c r="AD134" s="4504">
        <f t="shared" si="132"/>
        <v>0</v>
      </c>
      <c r="AE134" s="4519"/>
      <c r="AF134" s="4520"/>
      <c r="AG134" s="4504">
        <f t="shared" si="133"/>
        <v>0</v>
      </c>
      <c r="AH134" s="4504">
        <f t="shared" si="134"/>
        <v>29.947878905630855</v>
      </c>
      <c r="AI134" s="4519"/>
      <c r="AJ134" s="4520"/>
      <c r="AK134" s="4504">
        <f t="shared" si="135"/>
        <v>31.853566005225399</v>
      </c>
      <c r="AL134" s="4504">
        <f t="shared" si="136"/>
        <v>0</v>
      </c>
      <c r="AM134" s="4519"/>
      <c r="AN134" s="4520"/>
      <c r="AO134" s="4504">
        <f t="shared" si="137"/>
        <v>0</v>
      </c>
      <c r="AP134" s="4504">
        <f t="shared" si="138"/>
        <v>33.495033510667263</v>
      </c>
      <c r="AQ134" s="4519"/>
      <c r="AR134" s="4520"/>
      <c r="AS134" s="4504">
        <f t="shared" si="139"/>
        <v>32.417009648582628</v>
      </c>
    </row>
    <row r="135" spans="1:45">
      <c r="A135" s="2553">
        <v>4</v>
      </c>
      <c r="B135" s="2554">
        <v>2030402</v>
      </c>
      <c r="C135" s="2560">
        <v>0.1</v>
      </c>
      <c r="D135" s="2590" t="s">
        <v>429</v>
      </c>
      <c r="E135" s="2678">
        <f t="shared" si="169"/>
        <v>9.9574962683907842</v>
      </c>
      <c r="F135" s="5384"/>
      <c r="G135" s="5385"/>
      <c r="H135" s="4453">
        <f t="shared" si="170"/>
        <v>8.8293680383982043</v>
      </c>
      <c r="I135" s="2678">
        <f t="shared" si="170"/>
        <v>0</v>
      </c>
      <c r="J135" s="5384"/>
      <c r="K135" s="5385"/>
      <c r="L135" s="4453">
        <f t="shared" si="171"/>
        <v>0</v>
      </c>
      <c r="M135" s="2678">
        <f t="shared" si="171"/>
        <v>0</v>
      </c>
      <c r="N135" s="5384"/>
      <c r="O135" s="5385"/>
      <c r="P135" s="4453">
        <f t="shared" si="172"/>
        <v>0</v>
      </c>
      <c r="Q135" s="2678">
        <f t="shared" si="172"/>
        <v>0</v>
      </c>
      <c r="R135" s="5384"/>
      <c r="S135" s="5385"/>
      <c r="T135" s="4453">
        <f t="shared" si="173"/>
        <v>0</v>
      </c>
      <c r="U135" s="2678">
        <f t="shared" si="173"/>
        <v>0.9504337316092164</v>
      </c>
      <c r="V135" s="5384"/>
      <c r="W135" s="5385"/>
      <c r="X135" s="4453">
        <f t="shared" si="174"/>
        <v>0.81421196160179488</v>
      </c>
      <c r="Y135" s="4488"/>
      <c r="Z135" s="4504">
        <f t="shared" si="130"/>
        <v>5.0911869990698495</v>
      </c>
      <c r="AA135" s="4519"/>
      <c r="AB135" s="4520"/>
      <c r="AC135" s="4504">
        <f t="shared" si="131"/>
        <v>4.5143841941263831</v>
      </c>
      <c r="AD135" s="4504">
        <f t="shared" si="132"/>
        <v>0</v>
      </c>
      <c r="AE135" s="4519"/>
      <c r="AF135" s="4520"/>
      <c r="AG135" s="4504">
        <f t="shared" si="133"/>
        <v>0</v>
      </c>
      <c r="AH135" s="4504">
        <f t="shared" si="134"/>
        <v>0</v>
      </c>
      <c r="AI135" s="4519"/>
      <c r="AJ135" s="4520"/>
      <c r="AK135" s="4504">
        <f t="shared" si="135"/>
        <v>0</v>
      </c>
      <c r="AL135" s="4504">
        <f t="shared" si="136"/>
        <v>0</v>
      </c>
      <c r="AM135" s="4519"/>
      <c r="AN135" s="4520"/>
      <c r="AO135" s="4504">
        <f t="shared" si="137"/>
        <v>0</v>
      </c>
      <c r="AP135" s="4504">
        <f t="shared" si="138"/>
        <v>0.48594905058681809</v>
      </c>
      <c r="AQ135" s="4519"/>
      <c r="AR135" s="4520"/>
      <c r="AS135" s="4504">
        <f t="shared" si="139"/>
        <v>0.41629996553984494</v>
      </c>
    </row>
    <row r="136" spans="1:45">
      <c r="A136" s="2553">
        <v>5</v>
      </c>
      <c r="B136" s="2554">
        <v>2030501</v>
      </c>
      <c r="C136" s="2560">
        <v>0.1</v>
      </c>
      <c r="D136" s="2590" t="s">
        <v>408</v>
      </c>
      <c r="E136" s="2678">
        <f t="shared" si="169"/>
        <v>238.83468867867677</v>
      </c>
      <c r="F136" s="5384"/>
      <c r="G136" s="5385"/>
      <c r="H136" s="4453">
        <f t="shared" si="170"/>
        <v>343.79277089896755</v>
      </c>
      <c r="I136" s="2678">
        <f t="shared" si="170"/>
        <v>0</v>
      </c>
      <c r="J136" s="5384"/>
      <c r="K136" s="5385"/>
      <c r="L136" s="4453">
        <f t="shared" si="171"/>
        <v>0</v>
      </c>
      <c r="M136" s="2678">
        <f t="shared" si="171"/>
        <v>1.1214799999999996</v>
      </c>
      <c r="N136" s="5384"/>
      <c r="O136" s="5385"/>
      <c r="P136" s="4453">
        <f t="shared" si="172"/>
        <v>4.7663599999999997</v>
      </c>
      <c r="Q136" s="2678">
        <f t="shared" si="172"/>
        <v>0</v>
      </c>
      <c r="R136" s="5384"/>
      <c r="S136" s="5385"/>
      <c r="T136" s="4453">
        <f t="shared" si="173"/>
        <v>0</v>
      </c>
      <c r="U136" s="2678">
        <f t="shared" si="173"/>
        <v>35.282281321323232</v>
      </c>
      <c r="V136" s="5384"/>
      <c r="W136" s="5385"/>
      <c r="X136" s="4453">
        <f t="shared" si="174"/>
        <v>36.697299101032478</v>
      </c>
      <c r="Y136" s="4488"/>
      <c r="Z136" s="4504">
        <f t="shared" si="130"/>
        <v>122.11423726943383</v>
      </c>
      <c r="AA136" s="4519"/>
      <c r="AB136" s="4520"/>
      <c r="AC136" s="4504">
        <f t="shared" si="131"/>
        <v>175.77845257459367</v>
      </c>
      <c r="AD136" s="4504">
        <f t="shared" si="132"/>
        <v>0</v>
      </c>
      <c r="AE136" s="4519"/>
      <c r="AF136" s="4520"/>
      <c r="AG136" s="4504">
        <f t="shared" si="133"/>
        <v>0</v>
      </c>
      <c r="AH136" s="4504">
        <f t="shared" si="134"/>
        <v>0.57340361892393488</v>
      </c>
      <c r="AI136" s="4519"/>
      <c r="AJ136" s="4520"/>
      <c r="AK136" s="4504">
        <f t="shared" si="135"/>
        <v>2.4370011708584078</v>
      </c>
      <c r="AL136" s="4504">
        <f t="shared" si="136"/>
        <v>0</v>
      </c>
      <c r="AM136" s="4519"/>
      <c r="AN136" s="4520"/>
      <c r="AO136" s="4504">
        <f t="shared" si="137"/>
        <v>0</v>
      </c>
      <c r="AP136" s="4504">
        <f t="shared" si="138"/>
        <v>18.039543989673557</v>
      </c>
      <c r="AQ136" s="4519"/>
      <c r="AR136" s="4520"/>
      <c r="AS136" s="4504">
        <f t="shared" si="139"/>
        <v>18.763031092187195</v>
      </c>
    </row>
    <row r="137" spans="1:45" ht="36">
      <c r="A137" s="2553">
        <v>6</v>
      </c>
      <c r="B137" s="2554">
        <v>2030502</v>
      </c>
      <c r="C137" s="2560">
        <v>0.1</v>
      </c>
      <c r="D137" s="2590" t="s">
        <v>695</v>
      </c>
      <c r="E137" s="2678">
        <f t="shared" si="169"/>
        <v>73.729105110459756</v>
      </c>
      <c r="F137" s="5384"/>
      <c r="G137" s="5385"/>
      <c r="H137" s="4453">
        <f t="shared" si="170"/>
        <v>86.906292703030076</v>
      </c>
      <c r="I137" s="2678">
        <f t="shared" si="170"/>
        <v>0</v>
      </c>
      <c r="J137" s="5384"/>
      <c r="K137" s="5385"/>
      <c r="L137" s="4453">
        <f t="shared" si="171"/>
        <v>0</v>
      </c>
      <c r="M137" s="2678">
        <f t="shared" si="171"/>
        <v>134.06850000000006</v>
      </c>
      <c r="N137" s="5384"/>
      <c r="O137" s="5385"/>
      <c r="P137" s="4453">
        <f t="shared" si="172"/>
        <v>143.40194000000008</v>
      </c>
      <c r="Q137" s="2678">
        <f t="shared" si="172"/>
        <v>0</v>
      </c>
      <c r="R137" s="5384"/>
      <c r="S137" s="5385"/>
      <c r="T137" s="4453">
        <f t="shared" si="173"/>
        <v>0</v>
      </c>
      <c r="U137" s="2678">
        <f t="shared" si="173"/>
        <v>9.4296448895402438</v>
      </c>
      <c r="V137" s="5384"/>
      <c r="W137" s="5385"/>
      <c r="X137" s="4453">
        <f t="shared" si="174"/>
        <v>13.578277296969924</v>
      </c>
      <c r="Y137" s="4488"/>
      <c r="Z137" s="4504">
        <f t="shared" si="130"/>
        <v>37.697092850840697</v>
      </c>
      <c r="AA137" s="4519"/>
      <c r="AB137" s="4520"/>
      <c r="AC137" s="4504">
        <f t="shared" si="131"/>
        <v>44.434481883921443</v>
      </c>
      <c r="AD137" s="4504">
        <f t="shared" si="132"/>
        <v>0</v>
      </c>
      <c r="AE137" s="4519"/>
      <c r="AF137" s="4520"/>
      <c r="AG137" s="4504">
        <f t="shared" si="133"/>
        <v>0</v>
      </c>
      <c r="AH137" s="4504">
        <f t="shared" si="134"/>
        <v>68.548135574155253</v>
      </c>
      <c r="AI137" s="4519"/>
      <c r="AJ137" s="4520"/>
      <c r="AK137" s="4504">
        <f t="shared" si="135"/>
        <v>73.320247669787292</v>
      </c>
      <c r="AL137" s="4504">
        <f t="shared" si="136"/>
        <v>0</v>
      </c>
      <c r="AM137" s="4519"/>
      <c r="AN137" s="4520"/>
      <c r="AO137" s="4504">
        <f t="shared" si="137"/>
        <v>0</v>
      </c>
      <c r="AP137" s="4504">
        <f t="shared" si="138"/>
        <v>4.8213008745853392</v>
      </c>
      <c r="AQ137" s="4519"/>
      <c r="AR137" s="4520"/>
      <c r="AS137" s="4504">
        <f t="shared" si="139"/>
        <v>6.9424629425716571</v>
      </c>
    </row>
    <row r="138" spans="1:45">
      <c r="A138" s="2553">
        <v>7</v>
      </c>
      <c r="B138" s="2554">
        <v>2030503</v>
      </c>
      <c r="C138" s="2560">
        <v>0.1</v>
      </c>
      <c r="D138" s="2590" t="s">
        <v>713</v>
      </c>
      <c r="E138" s="2678">
        <f t="shared" si="169"/>
        <v>33.834918721400307</v>
      </c>
      <c r="F138" s="5384"/>
      <c r="G138" s="5385"/>
      <c r="H138" s="4453">
        <f t="shared" si="170"/>
        <v>30.409314904240588</v>
      </c>
      <c r="I138" s="2678">
        <f t="shared" si="170"/>
        <v>0</v>
      </c>
      <c r="J138" s="5384"/>
      <c r="K138" s="5385"/>
      <c r="L138" s="4453">
        <f t="shared" si="171"/>
        <v>0</v>
      </c>
      <c r="M138" s="2678">
        <f t="shared" si="171"/>
        <v>22.876279999999998</v>
      </c>
      <c r="N138" s="5384"/>
      <c r="O138" s="5385"/>
      <c r="P138" s="4453">
        <f t="shared" si="172"/>
        <v>20.574199999999998</v>
      </c>
      <c r="Q138" s="2678">
        <f t="shared" si="172"/>
        <v>0</v>
      </c>
      <c r="R138" s="5384"/>
      <c r="S138" s="5385"/>
      <c r="T138" s="4453">
        <f t="shared" si="173"/>
        <v>0</v>
      </c>
      <c r="U138" s="2678">
        <f t="shared" si="173"/>
        <v>2.2869712785996938</v>
      </c>
      <c r="V138" s="5384"/>
      <c r="W138" s="5385"/>
      <c r="X138" s="4453">
        <f t="shared" si="174"/>
        <v>1.8104750957594113</v>
      </c>
      <c r="Y138" s="4488"/>
      <c r="Z138" s="4504">
        <f t="shared" si="130"/>
        <v>17.299519243185916</v>
      </c>
      <c r="AA138" s="4519"/>
      <c r="AB138" s="4520"/>
      <c r="AC138" s="4504">
        <f t="shared" si="131"/>
        <v>15.548035823277376</v>
      </c>
      <c r="AD138" s="4504">
        <f t="shared" si="132"/>
        <v>0</v>
      </c>
      <c r="AE138" s="4519"/>
      <c r="AF138" s="4520"/>
      <c r="AG138" s="4504">
        <f t="shared" si="133"/>
        <v>0</v>
      </c>
      <c r="AH138" s="4504">
        <f t="shared" si="134"/>
        <v>11.696456235971429</v>
      </c>
      <c r="AI138" s="4519"/>
      <c r="AJ138" s="4520"/>
      <c r="AK138" s="4504">
        <f t="shared" si="135"/>
        <v>10.519421422107238</v>
      </c>
      <c r="AL138" s="4504">
        <f t="shared" si="136"/>
        <v>0</v>
      </c>
      <c r="AM138" s="4519"/>
      <c r="AN138" s="4520"/>
      <c r="AO138" s="4504">
        <f t="shared" si="137"/>
        <v>0</v>
      </c>
      <c r="AP138" s="4504">
        <f t="shared" si="138"/>
        <v>1.1693098472769585</v>
      </c>
      <c r="AQ138" s="4519"/>
      <c r="AR138" s="4520"/>
      <c r="AS138" s="4504">
        <f t="shared" si="139"/>
        <v>0.92568121756973321</v>
      </c>
    </row>
    <row r="139" spans="1:45">
      <c r="A139" s="2553">
        <v>8</v>
      </c>
      <c r="B139" s="2554">
        <v>2040101</v>
      </c>
      <c r="C139" s="2610">
        <v>0.1</v>
      </c>
      <c r="D139" s="2584" t="s">
        <v>1016</v>
      </c>
      <c r="E139" s="2678">
        <f t="shared" si="169"/>
        <v>20.811121847014427</v>
      </c>
      <c r="F139" s="5384"/>
      <c r="G139" s="5385"/>
      <c r="H139" s="4453">
        <f t="shared" si="170"/>
        <v>17.401695914436576</v>
      </c>
      <c r="I139" s="2678">
        <f t="shared" si="170"/>
        <v>0</v>
      </c>
      <c r="J139" s="5384"/>
      <c r="K139" s="5385"/>
      <c r="L139" s="4453">
        <f t="shared" si="171"/>
        <v>0</v>
      </c>
      <c r="M139" s="2678">
        <f t="shared" si="171"/>
        <v>0</v>
      </c>
      <c r="N139" s="5384"/>
      <c r="O139" s="5385"/>
      <c r="P139" s="4453">
        <f t="shared" si="172"/>
        <v>0</v>
      </c>
      <c r="Q139" s="2678">
        <f t="shared" si="172"/>
        <v>0</v>
      </c>
      <c r="R139" s="5384"/>
      <c r="S139" s="5385"/>
      <c r="T139" s="4453">
        <f t="shared" si="173"/>
        <v>0</v>
      </c>
      <c r="U139" s="2678">
        <f t="shared" si="173"/>
        <v>1.0411481529855715</v>
      </c>
      <c r="V139" s="5384"/>
      <c r="W139" s="5385"/>
      <c r="X139" s="4453">
        <f t="shared" si="174"/>
        <v>0.86623408556342207</v>
      </c>
      <c r="Y139" s="4488"/>
      <c r="Z139" s="4504">
        <f t="shared" si="130"/>
        <v>10.640557638963728</v>
      </c>
      <c r="AA139" s="4519"/>
      <c r="AB139" s="4520"/>
      <c r="AC139" s="4504">
        <f t="shared" si="131"/>
        <v>8.8973458400968273</v>
      </c>
      <c r="AD139" s="4504">
        <f t="shared" si="132"/>
        <v>0</v>
      </c>
      <c r="AE139" s="4519"/>
      <c r="AF139" s="4520"/>
      <c r="AG139" s="4504">
        <f t="shared" si="133"/>
        <v>0</v>
      </c>
      <c r="AH139" s="4504">
        <f t="shared" si="134"/>
        <v>0</v>
      </c>
      <c r="AI139" s="4519"/>
      <c r="AJ139" s="4520"/>
      <c r="AK139" s="4504">
        <f t="shared" si="135"/>
        <v>0</v>
      </c>
      <c r="AL139" s="4504">
        <f t="shared" si="136"/>
        <v>0</v>
      </c>
      <c r="AM139" s="4519"/>
      <c r="AN139" s="4520"/>
      <c r="AO139" s="4504">
        <f t="shared" si="137"/>
        <v>0</v>
      </c>
      <c r="AP139" s="4504">
        <f t="shared" si="138"/>
        <v>0.53233059774396119</v>
      </c>
      <c r="AQ139" s="4519"/>
      <c r="AR139" s="4520"/>
      <c r="AS139" s="4504">
        <f t="shared" si="139"/>
        <v>0.44289845516400816</v>
      </c>
    </row>
    <row r="140" spans="1:45">
      <c r="A140" s="2611">
        <v>9</v>
      </c>
      <c r="B140" s="2554">
        <v>2040102</v>
      </c>
      <c r="C140" s="2610">
        <v>0.04</v>
      </c>
      <c r="D140" s="2584" t="s">
        <v>432</v>
      </c>
      <c r="E140" s="2678">
        <f t="shared" si="169"/>
        <v>0.92132000000000003</v>
      </c>
      <c r="F140" s="5384"/>
      <c r="G140" s="5385"/>
      <c r="H140" s="4453">
        <f t="shared" si="170"/>
        <v>0.87007999999999996</v>
      </c>
      <c r="I140" s="2678">
        <f t="shared" si="170"/>
        <v>0</v>
      </c>
      <c r="J140" s="5384"/>
      <c r="K140" s="5385"/>
      <c r="L140" s="4453">
        <f t="shared" si="171"/>
        <v>0</v>
      </c>
      <c r="M140" s="2678">
        <f t="shared" si="171"/>
        <v>0</v>
      </c>
      <c r="N140" s="5384"/>
      <c r="O140" s="5385"/>
      <c r="P140" s="4453">
        <f t="shared" si="172"/>
        <v>0</v>
      </c>
      <c r="Q140" s="2678">
        <f t="shared" si="172"/>
        <v>0</v>
      </c>
      <c r="R140" s="5384"/>
      <c r="S140" s="5385"/>
      <c r="T140" s="4453">
        <f t="shared" si="173"/>
        <v>0</v>
      </c>
      <c r="U140" s="2678">
        <f t="shared" si="173"/>
        <v>0</v>
      </c>
      <c r="V140" s="5384"/>
      <c r="W140" s="5385"/>
      <c r="X140" s="4453">
        <f t="shared" si="174"/>
        <v>0</v>
      </c>
      <c r="Y140" s="4488"/>
      <c r="Z140" s="4504">
        <f t="shared" ref="Z140:Z203" si="175">IFERROR(E140/$D$1,0)</f>
        <v>0.47106343598370004</v>
      </c>
      <c r="AA140" s="4519"/>
      <c r="AB140" s="4520"/>
      <c r="AC140" s="4504">
        <f t="shared" ref="AC140:AC203" si="176">IFERROR(H140/$D$1,0)</f>
        <v>0.4448648399912058</v>
      </c>
      <c r="AD140" s="4504">
        <f t="shared" ref="AD140:AD203" si="177">IFERROR(I140/$D$1,0)</f>
        <v>0</v>
      </c>
      <c r="AE140" s="4519"/>
      <c r="AF140" s="4520"/>
      <c r="AG140" s="4504">
        <f t="shared" ref="AG140:AG203" si="178">IFERROR(L140/$D$1,0)</f>
        <v>0</v>
      </c>
      <c r="AH140" s="4504">
        <f t="shared" ref="AH140:AH203" si="179">IFERROR(M140/$D$1,0)</f>
        <v>0</v>
      </c>
      <c r="AI140" s="4519"/>
      <c r="AJ140" s="4520"/>
      <c r="AK140" s="4504">
        <f t="shared" ref="AK140:AK203" si="180">IFERROR(P140/$D$1,0)</f>
        <v>0</v>
      </c>
      <c r="AL140" s="4504">
        <f t="shared" ref="AL140:AL203" si="181">IFERROR(Q140/$D$1,0)</f>
        <v>0</v>
      </c>
      <c r="AM140" s="4519"/>
      <c r="AN140" s="4520"/>
      <c r="AO140" s="4504">
        <f t="shared" ref="AO140:AO203" si="182">IFERROR(T140/$D$1,0)</f>
        <v>0</v>
      </c>
      <c r="AP140" s="4504">
        <f t="shared" ref="AP140:AP203" si="183">IFERROR(U140/$D$1,0)</f>
        <v>0</v>
      </c>
      <c r="AQ140" s="4519"/>
      <c r="AR140" s="4520"/>
      <c r="AS140" s="4504">
        <f t="shared" ref="AS140:AS203" si="184">IFERROR(X140/$D$1,0)</f>
        <v>0</v>
      </c>
    </row>
    <row r="141" spans="1:45">
      <c r="A141" s="2611">
        <v>10</v>
      </c>
      <c r="B141" s="2554">
        <v>2040201</v>
      </c>
      <c r="C141" s="2555">
        <v>0.02</v>
      </c>
      <c r="D141" s="2585" t="s">
        <v>738</v>
      </c>
      <c r="E141" s="2678">
        <f t="shared" si="169"/>
        <v>0</v>
      </c>
      <c r="F141" s="5384"/>
      <c r="G141" s="5385"/>
      <c r="H141" s="4453">
        <f t="shared" si="170"/>
        <v>0</v>
      </c>
      <c r="I141" s="2678">
        <f t="shared" si="170"/>
        <v>0</v>
      </c>
      <c r="J141" s="5384"/>
      <c r="K141" s="5385"/>
      <c r="L141" s="4453">
        <f t="shared" si="171"/>
        <v>0</v>
      </c>
      <c r="M141" s="2678">
        <f t="shared" si="171"/>
        <v>0</v>
      </c>
      <c r="N141" s="5384"/>
      <c r="O141" s="5385"/>
      <c r="P141" s="4453">
        <f t="shared" si="172"/>
        <v>0</v>
      </c>
      <c r="Q141" s="2678">
        <f t="shared" si="172"/>
        <v>0</v>
      </c>
      <c r="R141" s="5384"/>
      <c r="S141" s="5385"/>
      <c r="T141" s="4453">
        <f t="shared" si="173"/>
        <v>0</v>
      </c>
      <c r="U141" s="2678">
        <f t="shared" si="173"/>
        <v>0</v>
      </c>
      <c r="V141" s="5384"/>
      <c r="W141" s="5385"/>
      <c r="X141" s="4453">
        <f t="shared" si="174"/>
        <v>0</v>
      </c>
      <c r="Y141" s="4488"/>
      <c r="Z141" s="4504">
        <f t="shared" si="175"/>
        <v>0</v>
      </c>
      <c r="AA141" s="4519"/>
      <c r="AB141" s="4520"/>
      <c r="AC141" s="4504">
        <f t="shared" si="176"/>
        <v>0</v>
      </c>
      <c r="AD141" s="4504">
        <f t="shared" si="177"/>
        <v>0</v>
      </c>
      <c r="AE141" s="4519"/>
      <c r="AF141" s="4520"/>
      <c r="AG141" s="4504">
        <f t="shared" si="178"/>
        <v>0</v>
      </c>
      <c r="AH141" s="4504">
        <f t="shared" si="179"/>
        <v>0</v>
      </c>
      <c r="AI141" s="4519"/>
      <c r="AJ141" s="4520"/>
      <c r="AK141" s="4504">
        <f t="shared" si="180"/>
        <v>0</v>
      </c>
      <c r="AL141" s="4504">
        <f t="shared" si="181"/>
        <v>0</v>
      </c>
      <c r="AM141" s="4519"/>
      <c r="AN141" s="4520"/>
      <c r="AO141" s="4504">
        <f t="shared" si="182"/>
        <v>0</v>
      </c>
      <c r="AP141" s="4504">
        <f t="shared" si="183"/>
        <v>0</v>
      </c>
      <c r="AQ141" s="4519"/>
      <c r="AR141" s="4520"/>
      <c r="AS141" s="4504">
        <f t="shared" si="184"/>
        <v>0</v>
      </c>
    </row>
    <row r="142" spans="1:45">
      <c r="A142" s="2611">
        <v>11</v>
      </c>
      <c r="B142" s="2554">
        <v>2040202</v>
      </c>
      <c r="C142" s="2555">
        <v>0.02</v>
      </c>
      <c r="D142" s="2585" t="s">
        <v>739</v>
      </c>
      <c r="E142" s="2678">
        <f t="shared" si="169"/>
        <v>92.453197691688686</v>
      </c>
      <c r="F142" s="5384"/>
      <c r="G142" s="5385"/>
      <c r="H142" s="4453">
        <f t="shared" si="170"/>
        <v>90.360300328818767</v>
      </c>
      <c r="I142" s="2678">
        <f t="shared" si="170"/>
        <v>0</v>
      </c>
      <c r="J142" s="5384"/>
      <c r="K142" s="5385"/>
      <c r="L142" s="4453">
        <f t="shared" si="171"/>
        <v>0</v>
      </c>
      <c r="M142" s="2678">
        <f t="shared" si="171"/>
        <v>0</v>
      </c>
      <c r="N142" s="5384"/>
      <c r="O142" s="5385"/>
      <c r="P142" s="4453">
        <f t="shared" si="172"/>
        <v>0</v>
      </c>
      <c r="Q142" s="2678">
        <f t="shared" si="172"/>
        <v>0</v>
      </c>
      <c r="R142" s="5384"/>
      <c r="S142" s="5385"/>
      <c r="T142" s="4453">
        <f t="shared" si="173"/>
        <v>0</v>
      </c>
      <c r="U142" s="2678">
        <f t="shared" si="173"/>
        <v>21.983222308311316</v>
      </c>
      <c r="V142" s="5384"/>
      <c r="W142" s="5385"/>
      <c r="X142" s="4453">
        <f t="shared" si="174"/>
        <v>21.487539671181242</v>
      </c>
      <c r="Y142" s="4488"/>
      <c r="Z142" s="4504">
        <f t="shared" si="175"/>
        <v>47.270569370389396</v>
      </c>
      <c r="AA142" s="4519"/>
      <c r="AB142" s="4520"/>
      <c r="AC142" s="4504">
        <f t="shared" si="176"/>
        <v>46.200487940577027</v>
      </c>
      <c r="AD142" s="4504">
        <f t="shared" si="177"/>
        <v>0</v>
      </c>
      <c r="AE142" s="4519"/>
      <c r="AF142" s="4520"/>
      <c r="AG142" s="4504">
        <f t="shared" si="178"/>
        <v>0</v>
      </c>
      <c r="AH142" s="4504">
        <f t="shared" si="179"/>
        <v>0</v>
      </c>
      <c r="AI142" s="4519"/>
      <c r="AJ142" s="4520"/>
      <c r="AK142" s="4504">
        <f t="shared" si="180"/>
        <v>0</v>
      </c>
      <c r="AL142" s="4504">
        <f t="shared" si="181"/>
        <v>0</v>
      </c>
      <c r="AM142" s="4519"/>
      <c r="AN142" s="4520"/>
      <c r="AO142" s="4504">
        <f t="shared" si="182"/>
        <v>0</v>
      </c>
      <c r="AP142" s="4504">
        <f t="shared" si="183"/>
        <v>11.239843088771169</v>
      </c>
      <c r="AQ142" s="4519"/>
      <c r="AR142" s="4520"/>
      <c r="AS142" s="4504">
        <f t="shared" si="184"/>
        <v>10.986404580756631</v>
      </c>
    </row>
    <row r="143" spans="1:45">
      <c r="A143" s="2611">
        <v>12</v>
      </c>
      <c r="B143" s="2554">
        <v>2040203</v>
      </c>
      <c r="C143" s="2555">
        <v>0.02</v>
      </c>
      <c r="D143" s="2585" t="s">
        <v>418</v>
      </c>
      <c r="E143" s="2678">
        <f t="shared" si="169"/>
        <v>0</v>
      </c>
      <c r="F143" s="5384"/>
      <c r="G143" s="5385"/>
      <c r="H143" s="4453">
        <f t="shared" si="170"/>
        <v>0</v>
      </c>
      <c r="I143" s="2678">
        <f t="shared" si="170"/>
        <v>0</v>
      </c>
      <c r="J143" s="5384"/>
      <c r="K143" s="5385"/>
      <c r="L143" s="4453">
        <f t="shared" si="171"/>
        <v>0</v>
      </c>
      <c r="M143" s="2678">
        <f t="shared" si="171"/>
        <v>0</v>
      </c>
      <c r="N143" s="5384"/>
      <c r="O143" s="5385"/>
      <c r="P143" s="4453">
        <f t="shared" si="172"/>
        <v>0</v>
      </c>
      <c r="Q143" s="2678">
        <f t="shared" si="172"/>
        <v>0</v>
      </c>
      <c r="R143" s="5384"/>
      <c r="S143" s="5385"/>
      <c r="T143" s="4453">
        <f t="shared" si="173"/>
        <v>0</v>
      </c>
      <c r="U143" s="2678">
        <f t="shared" si="173"/>
        <v>0</v>
      </c>
      <c r="V143" s="5384"/>
      <c r="W143" s="5385"/>
      <c r="X143" s="4453">
        <f t="shared" si="174"/>
        <v>0</v>
      </c>
      <c r="Y143" s="4488"/>
      <c r="Z143" s="4504">
        <f t="shared" si="175"/>
        <v>0</v>
      </c>
      <c r="AA143" s="4519"/>
      <c r="AB143" s="4520"/>
      <c r="AC143" s="4504">
        <f t="shared" si="176"/>
        <v>0</v>
      </c>
      <c r="AD143" s="4504">
        <f t="shared" si="177"/>
        <v>0</v>
      </c>
      <c r="AE143" s="4519"/>
      <c r="AF143" s="4520"/>
      <c r="AG143" s="4504">
        <f t="shared" si="178"/>
        <v>0</v>
      </c>
      <c r="AH143" s="4504">
        <f t="shared" si="179"/>
        <v>0</v>
      </c>
      <c r="AI143" s="4519"/>
      <c r="AJ143" s="4520"/>
      <c r="AK143" s="4504">
        <f t="shared" si="180"/>
        <v>0</v>
      </c>
      <c r="AL143" s="4504">
        <f t="shared" si="181"/>
        <v>0</v>
      </c>
      <c r="AM143" s="4519"/>
      <c r="AN143" s="4520"/>
      <c r="AO143" s="4504">
        <f t="shared" si="182"/>
        <v>0</v>
      </c>
      <c r="AP143" s="4504">
        <f t="shared" si="183"/>
        <v>0</v>
      </c>
      <c r="AQ143" s="4519"/>
      <c r="AR143" s="4520"/>
      <c r="AS143" s="4504">
        <f t="shared" si="184"/>
        <v>0</v>
      </c>
    </row>
    <row r="144" spans="1:45">
      <c r="A144" s="2611">
        <v>13</v>
      </c>
      <c r="B144" s="2554">
        <v>2040204</v>
      </c>
      <c r="C144" s="2555">
        <v>0.02</v>
      </c>
      <c r="D144" s="2584" t="s">
        <v>419</v>
      </c>
      <c r="E144" s="2678">
        <f t="shared" si="169"/>
        <v>0</v>
      </c>
      <c r="F144" s="5384"/>
      <c r="G144" s="5385"/>
      <c r="H144" s="4453">
        <f t="shared" si="170"/>
        <v>0</v>
      </c>
      <c r="I144" s="2678">
        <f t="shared" si="170"/>
        <v>0</v>
      </c>
      <c r="J144" s="5384"/>
      <c r="K144" s="5385"/>
      <c r="L144" s="4453">
        <f t="shared" si="171"/>
        <v>0</v>
      </c>
      <c r="M144" s="2678">
        <f t="shared" si="171"/>
        <v>0</v>
      </c>
      <c r="N144" s="5384"/>
      <c r="O144" s="5385"/>
      <c r="P144" s="4453">
        <f t="shared" si="172"/>
        <v>0</v>
      </c>
      <c r="Q144" s="2678">
        <f t="shared" si="172"/>
        <v>0</v>
      </c>
      <c r="R144" s="5384"/>
      <c r="S144" s="5385"/>
      <c r="T144" s="4453">
        <f t="shared" si="173"/>
        <v>0</v>
      </c>
      <c r="U144" s="2678">
        <f t="shared" si="173"/>
        <v>0</v>
      </c>
      <c r="V144" s="5384"/>
      <c r="W144" s="5385"/>
      <c r="X144" s="4453">
        <f t="shared" si="174"/>
        <v>0</v>
      </c>
      <c r="Y144" s="4488"/>
      <c r="Z144" s="4504">
        <f t="shared" si="175"/>
        <v>0</v>
      </c>
      <c r="AA144" s="4519"/>
      <c r="AB144" s="4520"/>
      <c r="AC144" s="4504">
        <f t="shared" si="176"/>
        <v>0</v>
      </c>
      <c r="AD144" s="4504">
        <f t="shared" si="177"/>
        <v>0</v>
      </c>
      <c r="AE144" s="4519"/>
      <c r="AF144" s="4520"/>
      <c r="AG144" s="4504">
        <f t="shared" si="178"/>
        <v>0</v>
      </c>
      <c r="AH144" s="4504">
        <f t="shared" si="179"/>
        <v>0</v>
      </c>
      <c r="AI144" s="4519"/>
      <c r="AJ144" s="4520"/>
      <c r="AK144" s="4504">
        <f t="shared" si="180"/>
        <v>0</v>
      </c>
      <c r="AL144" s="4504">
        <f t="shared" si="181"/>
        <v>0</v>
      </c>
      <c r="AM144" s="4519"/>
      <c r="AN144" s="4520"/>
      <c r="AO144" s="4504">
        <f t="shared" si="182"/>
        <v>0</v>
      </c>
      <c r="AP144" s="4504">
        <f t="shared" si="183"/>
        <v>0</v>
      </c>
      <c r="AQ144" s="4519"/>
      <c r="AR144" s="4520"/>
      <c r="AS144" s="4504">
        <f t="shared" si="184"/>
        <v>0</v>
      </c>
    </row>
    <row r="145" spans="1:45">
      <c r="A145" s="2611">
        <v>14</v>
      </c>
      <c r="B145" s="2554">
        <v>2040205</v>
      </c>
      <c r="C145" s="2555">
        <v>0.02</v>
      </c>
      <c r="D145" s="2585" t="s">
        <v>420</v>
      </c>
      <c r="E145" s="2678">
        <f t="shared" si="169"/>
        <v>2572.2811610828571</v>
      </c>
      <c r="F145" s="5384"/>
      <c r="G145" s="5385"/>
      <c r="H145" s="4453">
        <f t="shared" si="170"/>
        <v>3098.4793398968022</v>
      </c>
      <c r="I145" s="2678">
        <f t="shared" si="170"/>
        <v>0</v>
      </c>
      <c r="J145" s="5384"/>
      <c r="K145" s="5385"/>
      <c r="L145" s="4453">
        <f t="shared" si="171"/>
        <v>0</v>
      </c>
      <c r="M145" s="2678">
        <f t="shared" si="171"/>
        <v>12.49977</v>
      </c>
      <c r="N145" s="5384"/>
      <c r="O145" s="5385"/>
      <c r="P145" s="4453">
        <f t="shared" si="172"/>
        <v>12.24981</v>
      </c>
      <c r="Q145" s="2678">
        <f t="shared" si="172"/>
        <v>0</v>
      </c>
      <c r="R145" s="5384"/>
      <c r="S145" s="5385"/>
      <c r="T145" s="4453">
        <f t="shared" si="173"/>
        <v>0</v>
      </c>
      <c r="U145" s="2678">
        <f t="shared" si="173"/>
        <v>9.8369589171414464</v>
      </c>
      <c r="V145" s="5384"/>
      <c r="W145" s="5385"/>
      <c r="X145" s="4453">
        <f t="shared" si="174"/>
        <v>38.839310103196233</v>
      </c>
      <c r="Y145" s="4488"/>
      <c r="Z145" s="4504">
        <f t="shared" si="175"/>
        <v>1315.1864738156471</v>
      </c>
      <c r="AA145" s="4519"/>
      <c r="AB145" s="4520"/>
      <c r="AC145" s="4504">
        <f t="shared" si="176"/>
        <v>1584.2273305434533</v>
      </c>
      <c r="AD145" s="4504">
        <f t="shared" si="177"/>
        <v>0</v>
      </c>
      <c r="AE145" s="4519"/>
      <c r="AF145" s="4520"/>
      <c r="AG145" s="4504">
        <f t="shared" si="178"/>
        <v>0</v>
      </c>
      <c r="AH145" s="4504">
        <f t="shared" si="179"/>
        <v>6.3910309178200562</v>
      </c>
      <c r="AI145" s="4519"/>
      <c r="AJ145" s="4520"/>
      <c r="AK145" s="4504">
        <f t="shared" si="180"/>
        <v>6.2632283991962492</v>
      </c>
      <c r="AL145" s="4504">
        <f t="shared" si="181"/>
        <v>0</v>
      </c>
      <c r="AM145" s="4519"/>
      <c r="AN145" s="4520"/>
      <c r="AO145" s="4504">
        <f t="shared" si="182"/>
        <v>0</v>
      </c>
      <c r="AP145" s="4504">
        <f t="shared" si="183"/>
        <v>5.0295572299951665</v>
      </c>
      <c r="AQ145" s="4519"/>
      <c r="AR145" s="4520"/>
      <c r="AS145" s="4504">
        <f t="shared" si="184"/>
        <v>19.858223927026497</v>
      </c>
    </row>
    <row r="146" spans="1:45">
      <c r="A146" s="2611">
        <v>15</v>
      </c>
      <c r="B146" s="2554">
        <v>2040206</v>
      </c>
      <c r="C146" s="2555">
        <v>0.02</v>
      </c>
      <c r="D146" s="2590" t="s">
        <v>421</v>
      </c>
      <c r="E146" s="2678">
        <f t="shared" si="169"/>
        <v>0</v>
      </c>
      <c r="F146" s="5384"/>
      <c r="G146" s="5385"/>
      <c r="H146" s="4453">
        <f t="shared" si="170"/>
        <v>0</v>
      </c>
      <c r="I146" s="2678">
        <f t="shared" si="170"/>
        <v>67.508759999999995</v>
      </c>
      <c r="J146" s="5384"/>
      <c r="K146" s="5385"/>
      <c r="L146" s="4453">
        <f t="shared" si="171"/>
        <v>75.280409999999989</v>
      </c>
      <c r="M146" s="2678">
        <f t="shared" si="171"/>
        <v>0</v>
      </c>
      <c r="N146" s="5384"/>
      <c r="O146" s="5385"/>
      <c r="P146" s="4453">
        <f t="shared" si="172"/>
        <v>0</v>
      </c>
      <c r="Q146" s="2678">
        <f t="shared" si="172"/>
        <v>0</v>
      </c>
      <c r="R146" s="5384"/>
      <c r="S146" s="5385"/>
      <c r="T146" s="4453">
        <f t="shared" si="173"/>
        <v>0</v>
      </c>
      <c r="U146" s="2678">
        <f t="shared" si="173"/>
        <v>0</v>
      </c>
      <c r="V146" s="5384"/>
      <c r="W146" s="5385"/>
      <c r="X146" s="4453">
        <f t="shared" si="174"/>
        <v>0</v>
      </c>
      <c r="Y146" s="4488"/>
      <c r="Z146" s="4504">
        <f t="shared" si="175"/>
        <v>0</v>
      </c>
      <c r="AA146" s="4519"/>
      <c r="AB146" s="4520"/>
      <c r="AC146" s="4504">
        <f t="shared" si="176"/>
        <v>0</v>
      </c>
      <c r="AD146" s="4504">
        <f t="shared" si="177"/>
        <v>34.516680897624028</v>
      </c>
      <c r="AE146" s="4519"/>
      <c r="AF146" s="4520"/>
      <c r="AG146" s="4504">
        <f t="shared" si="178"/>
        <v>38.490262446122614</v>
      </c>
      <c r="AH146" s="4504">
        <f t="shared" si="179"/>
        <v>0</v>
      </c>
      <c r="AI146" s="4519"/>
      <c r="AJ146" s="4520"/>
      <c r="AK146" s="4504">
        <f t="shared" si="180"/>
        <v>0</v>
      </c>
      <c r="AL146" s="4504">
        <f t="shared" si="181"/>
        <v>0</v>
      </c>
      <c r="AM146" s="4519"/>
      <c r="AN146" s="4520"/>
      <c r="AO146" s="4504">
        <f t="shared" si="182"/>
        <v>0</v>
      </c>
      <c r="AP146" s="4504">
        <f t="shared" si="183"/>
        <v>0</v>
      </c>
      <c r="AQ146" s="4519"/>
      <c r="AR146" s="4520"/>
      <c r="AS146" s="4504">
        <f t="shared" si="184"/>
        <v>0</v>
      </c>
    </row>
    <row r="147" spans="1:45" ht="48">
      <c r="A147" s="2611">
        <v>16</v>
      </c>
      <c r="B147" s="2554">
        <v>2040207</v>
      </c>
      <c r="C147" s="2555">
        <v>0.04</v>
      </c>
      <c r="D147" s="2590" t="s">
        <v>422</v>
      </c>
      <c r="E147" s="2678">
        <f t="shared" si="169"/>
        <v>0</v>
      </c>
      <c r="F147" s="5384"/>
      <c r="G147" s="5385"/>
      <c r="H147" s="4453">
        <f t="shared" si="170"/>
        <v>0</v>
      </c>
      <c r="I147" s="2678">
        <f t="shared" si="170"/>
        <v>0</v>
      </c>
      <c r="J147" s="5384"/>
      <c r="K147" s="5385"/>
      <c r="L147" s="4453">
        <f t="shared" si="171"/>
        <v>0</v>
      </c>
      <c r="M147" s="2678">
        <f t="shared" si="171"/>
        <v>7.9749800000000004</v>
      </c>
      <c r="N147" s="5384"/>
      <c r="O147" s="5385"/>
      <c r="P147" s="4453">
        <f t="shared" si="172"/>
        <v>7.5650600000000008</v>
      </c>
      <c r="Q147" s="2678">
        <f t="shared" si="172"/>
        <v>0</v>
      </c>
      <c r="R147" s="5384"/>
      <c r="S147" s="5385"/>
      <c r="T147" s="4453">
        <f t="shared" si="173"/>
        <v>0</v>
      </c>
      <c r="U147" s="2678">
        <f t="shared" si="173"/>
        <v>0</v>
      </c>
      <c r="V147" s="5384"/>
      <c r="W147" s="5385"/>
      <c r="X147" s="4453">
        <f t="shared" si="174"/>
        <v>0</v>
      </c>
      <c r="Y147" s="4488"/>
      <c r="Z147" s="4504">
        <f t="shared" si="175"/>
        <v>0</v>
      </c>
      <c r="AA147" s="4519"/>
      <c r="AB147" s="4520"/>
      <c r="AC147" s="4504">
        <f t="shared" si="176"/>
        <v>0</v>
      </c>
      <c r="AD147" s="4504">
        <f t="shared" si="177"/>
        <v>0</v>
      </c>
      <c r="AE147" s="4519"/>
      <c r="AF147" s="4520"/>
      <c r="AG147" s="4504">
        <f t="shared" si="178"/>
        <v>0</v>
      </c>
      <c r="AH147" s="4504">
        <f t="shared" si="179"/>
        <v>4.077542526702219</v>
      </c>
      <c r="AI147" s="4519"/>
      <c r="AJ147" s="4520"/>
      <c r="AK147" s="4504">
        <f t="shared" si="180"/>
        <v>3.867953758762265</v>
      </c>
      <c r="AL147" s="4504">
        <f t="shared" si="181"/>
        <v>0</v>
      </c>
      <c r="AM147" s="4519"/>
      <c r="AN147" s="4520"/>
      <c r="AO147" s="4504">
        <f t="shared" si="182"/>
        <v>0</v>
      </c>
      <c r="AP147" s="4504">
        <f t="shared" si="183"/>
        <v>0</v>
      </c>
      <c r="AQ147" s="4519"/>
      <c r="AR147" s="4520"/>
      <c r="AS147" s="4504">
        <f t="shared" si="184"/>
        <v>0</v>
      </c>
    </row>
    <row r="148" spans="1:45">
      <c r="A148" s="2611">
        <v>17</v>
      </c>
      <c r="B148" s="2554">
        <v>2040208</v>
      </c>
      <c r="C148" s="2555">
        <v>0.04</v>
      </c>
      <c r="D148" s="2590" t="s">
        <v>423</v>
      </c>
      <c r="E148" s="2678">
        <f t="shared" si="169"/>
        <v>0</v>
      </c>
      <c r="F148" s="5384"/>
      <c r="G148" s="5385"/>
      <c r="H148" s="4453">
        <f t="shared" ref="H148:I150" si="185">H108-H128</f>
        <v>0</v>
      </c>
      <c r="I148" s="2678">
        <f t="shared" si="185"/>
        <v>0</v>
      </c>
      <c r="J148" s="5384"/>
      <c r="K148" s="5385"/>
      <c r="L148" s="4453">
        <f t="shared" ref="L148:M150" si="186">L108-L128</f>
        <v>0</v>
      </c>
      <c r="M148" s="2678">
        <f t="shared" si="186"/>
        <v>0</v>
      </c>
      <c r="N148" s="5384"/>
      <c r="O148" s="5385"/>
      <c r="P148" s="4453">
        <f t="shared" ref="P148:Q150" si="187">P108-P128</f>
        <v>0</v>
      </c>
      <c r="Q148" s="2678">
        <f t="shared" si="187"/>
        <v>0</v>
      </c>
      <c r="R148" s="5384"/>
      <c r="S148" s="5385"/>
      <c r="T148" s="4453">
        <f t="shared" ref="T148:U150" si="188">T108-T128</f>
        <v>0</v>
      </c>
      <c r="U148" s="2678">
        <f t="shared" si="188"/>
        <v>0</v>
      </c>
      <c r="V148" s="5384"/>
      <c r="W148" s="5385"/>
      <c r="X148" s="4453">
        <f t="shared" si="174"/>
        <v>0</v>
      </c>
      <c r="Y148" s="4488"/>
      <c r="Z148" s="4504">
        <f t="shared" si="175"/>
        <v>0</v>
      </c>
      <c r="AA148" s="4519"/>
      <c r="AB148" s="4520"/>
      <c r="AC148" s="4504">
        <f t="shared" si="176"/>
        <v>0</v>
      </c>
      <c r="AD148" s="4504">
        <f t="shared" si="177"/>
        <v>0</v>
      </c>
      <c r="AE148" s="4519"/>
      <c r="AF148" s="4520"/>
      <c r="AG148" s="4504">
        <f t="shared" si="178"/>
        <v>0</v>
      </c>
      <c r="AH148" s="4504">
        <f t="shared" si="179"/>
        <v>0</v>
      </c>
      <c r="AI148" s="4519"/>
      <c r="AJ148" s="4520"/>
      <c r="AK148" s="4504">
        <f t="shared" si="180"/>
        <v>0</v>
      </c>
      <c r="AL148" s="4504">
        <f t="shared" si="181"/>
        <v>0</v>
      </c>
      <c r="AM148" s="4519"/>
      <c r="AN148" s="4520"/>
      <c r="AO148" s="4504">
        <f t="shared" si="182"/>
        <v>0</v>
      </c>
      <c r="AP148" s="4504">
        <f t="shared" si="183"/>
        <v>0</v>
      </c>
      <c r="AQ148" s="4519"/>
      <c r="AR148" s="4520"/>
      <c r="AS148" s="4504">
        <f t="shared" si="184"/>
        <v>0</v>
      </c>
    </row>
    <row r="149" spans="1:45">
      <c r="A149" s="2611">
        <v>18</v>
      </c>
      <c r="B149" s="2612" t="s">
        <v>1051</v>
      </c>
      <c r="C149" s="2555">
        <v>0.04</v>
      </c>
      <c r="D149" s="2609" t="s">
        <v>434</v>
      </c>
      <c r="E149" s="2678">
        <f t="shared" si="169"/>
        <v>2.17319</v>
      </c>
      <c r="F149" s="5384"/>
      <c r="G149" s="5385"/>
      <c r="H149" s="4453">
        <f t="shared" si="185"/>
        <v>2.0825899999999997</v>
      </c>
      <c r="I149" s="2678">
        <f t="shared" si="185"/>
        <v>0</v>
      </c>
      <c r="J149" s="5384"/>
      <c r="K149" s="5385"/>
      <c r="L149" s="4453">
        <f t="shared" si="186"/>
        <v>0</v>
      </c>
      <c r="M149" s="2678">
        <f t="shared" si="186"/>
        <v>0</v>
      </c>
      <c r="N149" s="5384"/>
      <c r="O149" s="5385"/>
      <c r="P149" s="4453">
        <f t="shared" si="187"/>
        <v>0</v>
      </c>
      <c r="Q149" s="2678">
        <f t="shared" si="187"/>
        <v>0</v>
      </c>
      <c r="R149" s="5384"/>
      <c r="S149" s="5385"/>
      <c r="T149" s="4453">
        <f t="shared" si="188"/>
        <v>0</v>
      </c>
      <c r="U149" s="2678">
        <f t="shared" si="188"/>
        <v>0</v>
      </c>
      <c r="V149" s="5384"/>
      <c r="W149" s="5385"/>
      <c r="X149" s="4453">
        <f t="shared" si="174"/>
        <v>0</v>
      </c>
      <c r="Y149" s="4488"/>
      <c r="Z149" s="4504">
        <f t="shared" si="175"/>
        <v>1.11113440329681</v>
      </c>
      <c r="AA149" s="4519"/>
      <c r="AB149" s="4520"/>
      <c r="AC149" s="4504">
        <f t="shared" si="176"/>
        <v>1.0648113588604324</v>
      </c>
      <c r="AD149" s="4504">
        <f t="shared" si="177"/>
        <v>0</v>
      </c>
      <c r="AE149" s="4519"/>
      <c r="AF149" s="4520"/>
      <c r="AG149" s="4504">
        <f t="shared" si="178"/>
        <v>0</v>
      </c>
      <c r="AH149" s="4504">
        <f t="shared" si="179"/>
        <v>0</v>
      </c>
      <c r="AI149" s="4519"/>
      <c r="AJ149" s="4520"/>
      <c r="AK149" s="4504">
        <f t="shared" si="180"/>
        <v>0</v>
      </c>
      <c r="AL149" s="4504">
        <f t="shared" si="181"/>
        <v>0</v>
      </c>
      <c r="AM149" s="4519"/>
      <c r="AN149" s="4520"/>
      <c r="AO149" s="4504">
        <f t="shared" si="182"/>
        <v>0</v>
      </c>
      <c r="AP149" s="4504">
        <f t="shared" si="183"/>
        <v>0</v>
      </c>
      <c r="AQ149" s="4519"/>
      <c r="AR149" s="4520"/>
      <c r="AS149" s="4504">
        <f t="shared" si="184"/>
        <v>0</v>
      </c>
    </row>
    <row r="150" spans="1:45" ht="48.6" thickBot="1">
      <c r="A150" s="2611">
        <v>19</v>
      </c>
      <c r="B150" s="2554">
        <v>215</v>
      </c>
      <c r="C150" s="2560">
        <v>0.2</v>
      </c>
      <c r="D150" s="2590" t="s">
        <v>679</v>
      </c>
      <c r="E150" s="2678">
        <f t="shared" si="169"/>
        <v>0</v>
      </c>
      <c r="F150" s="5386"/>
      <c r="G150" s="5387"/>
      <c r="H150" s="4453">
        <f t="shared" si="185"/>
        <v>48</v>
      </c>
      <c r="I150" s="2678">
        <f t="shared" si="185"/>
        <v>0</v>
      </c>
      <c r="J150" s="5386"/>
      <c r="K150" s="5387"/>
      <c r="L150" s="4453">
        <f t="shared" si="186"/>
        <v>0</v>
      </c>
      <c r="M150" s="2678">
        <f t="shared" si="186"/>
        <v>0</v>
      </c>
      <c r="N150" s="5386"/>
      <c r="O150" s="5387"/>
      <c r="P150" s="4453">
        <f t="shared" si="187"/>
        <v>0</v>
      </c>
      <c r="Q150" s="2678">
        <f t="shared" si="187"/>
        <v>0</v>
      </c>
      <c r="R150" s="5386"/>
      <c r="S150" s="5387"/>
      <c r="T150" s="4453">
        <f t="shared" si="188"/>
        <v>0</v>
      </c>
      <c r="U150" s="2678">
        <f t="shared" si="188"/>
        <v>0</v>
      </c>
      <c r="V150" s="5386"/>
      <c r="W150" s="5387"/>
      <c r="X150" s="4453">
        <f t="shared" si="174"/>
        <v>0</v>
      </c>
      <c r="Y150" s="4488"/>
      <c r="Z150" s="4504">
        <f t="shared" si="175"/>
        <v>0</v>
      </c>
      <c r="AA150" s="4514"/>
      <c r="AB150" s="4515"/>
      <c r="AC150" s="4504">
        <f t="shared" si="176"/>
        <v>24.542010297418489</v>
      </c>
      <c r="AD150" s="4504">
        <f t="shared" si="177"/>
        <v>0</v>
      </c>
      <c r="AE150" s="4514"/>
      <c r="AF150" s="4515"/>
      <c r="AG150" s="4504">
        <f t="shared" si="178"/>
        <v>0</v>
      </c>
      <c r="AH150" s="4504">
        <f t="shared" si="179"/>
        <v>0</v>
      </c>
      <c r="AI150" s="4514"/>
      <c r="AJ150" s="4515"/>
      <c r="AK150" s="4504">
        <f t="shared" si="180"/>
        <v>0</v>
      </c>
      <c r="AL150" s="4504">
        <f t="shared" si="181"/>
        <v>0</v>
      </c>
      <c r="AM150" s="4514"/>
      <c r="AN150" s="4515"/>
      <c r="AO150" s="4504">
        <f t="shared" si="182"/>
        <v>0</v>
      </c>
      <c r="AP150" s="4504">
        <f t="shared" si="183"/>
        <v>0</v>
      </c>
      <c r="AQ150" s="4514"/>
      <c r="AR150" s="4515"/>
      <c r="AS150" s="4504">
        <f t="shared" si="184"/>
        <v>0</v>
      </c>
    </row>
    <row r="151" spans="1:45" ht="13.8" thickBot="1">
      <c r="A151" s="5393" t="s">
        <v>1791</v>
      </c>
      <c r="B151" s="5394"/>
      <c r="C151" s="5394"/>
      <c r="D151" s="5394"/>
      <c r="E151" s="5395"/>
      <c r="F151" s="4129">
        <f>SUM(F92:F110,F12:F13,F15:F19,F21:F29,F32,F33:F35,F38:F39)</f>
        <v>-29.204694187169707</v>
      </c>
      <c r="G151" s="5388"/>
      <c r="H151" s="5389"/>
      <c r="I151"/>
      <c r="J151" s="4129">
        <f>SUM(J92:J110,J12:J13,J15:J19,J21:J29,J32,J33:J35,J38:J39)</f>
        <v>-7.1054273576010019E-15</v>
      </c>
      <c r="K151" s="5388"/>
      <c r="L151" s="5389"/>
      <c r="M151"/>
      <c r="N151" s="4129">
        <f>SUM(N92:N110,N12:N13,N15:N19,N21:N29,N32,N33:N35,N38:N39)</f>
        <v>0</v>
      </c>
      <c r="O151" s="5388"/>
      <c r="P151" s="5389"/>
      <c r="Q151"/>
      <c r="R151" s="4129">
        <f>SUM(R92:R110,R12:R13,R15:R19,R21:R29,R32,R33:R35,R38:R39)</f>
        <v>0</v>
      </c>
      <c r="S151" s="5388"/>
      <c r="T151" s="5389"/>
      <c r="U151"/>
      <c r="V151" s="4129">
        <f>SUM(V92:V110,V12:V13,V15:V19,V21:V29,V32,V33:V35,V38:V39)</f>
        <v>29.204694187169252</v>
      </c>
      <c r="W151" s="5388"/>
      <c r="X151" s="5389"/>
      <c r="Y151" s="4488"/>
      <c r="Z151" s="4572"/>
      <c r="AA151" s="4510">
        <f>IFERROR(F151/$D$1,0)</f>
        <v>-14.932123030718266</v>
      </c>
      <c r="AB151" s="4572"/>
      <c r="AC151" s="4572"/>
      <c r="AD151" s="4572"/>
      <c r="AE151" s="4510">
        <f>IFERROR(J151/$D$1,0)</f>
        <v>-3.6329473203708921E-15</v>
      </c>
      <c r="AF151" s="4572"/>
      <c r="AG151" s="4572"/>
      <c r="AH151" s="4572"/>
      <c r="AI151" s="4510">
        <f>IFERROR(N151/$D$1,0)</f>
        <v>0</v>
      </c>
      <c r="AJ151" s="4572"/>
      <c r="AK151" s="4572"/>
      <c r="AL151" s="4572"/>
      <c r="AM151" s="4510">
        <f>IFERROR(R151/$D$1,0)</f>
        <v>0</v>
      </c>
      <c r="AN151" s="4572"/>
      <c r="AO151" s="4572"/>
      <c r="AP151" s="4572"/>
      <c r="AQ151" s="4510">
        <f>IFERROR(V151/$D$1,0)</f>
        <v>14.932123030718035</v>
      </c>
      <c r="AR151" s="4572"/>
      <c r="AS151" s="4572"/>
    </row>
    <row r="152" spans="1:45" ht="13.5" customHeight="1" thickBot="1">
      <c r="A152" s="2606" t="s">
        <v>424</v>
      </c>
      <c r="B152" s="5376" t="s">
        <v>645</v>
      </c>
      <c r="C152" s="5377"/>
      <c r="D152" s="5377"/>
      <c r="E152" s="5377"/>
      <c r="F152" s="5377"/>
      <c r="G152" s="5377"/>
      <c r="H152" s="5377"/>
      <c r="I152" s="5377"/>
      <c r="J152" s="5377"/>
      <c r="K152" s="5377"/>
      <c r="L152" s="5377"/>
      <c r="M152" s="5377"/>
      <c r="N152" s="5377"/>
      <c r="O152" s="5377"/>
      <c r="P152" s="5377"/>
      <c r="Q152" s="5377"/>
      <c r="R152" s="5377"/>
      <c r="S152" s="5377"/>
      <c r="T152" s="5377"/>
      <c r="U152" s="5377"/>
      <c r="V152" s="5377"/>
      <c r="W152" s="5377"/>
      <c r="X152" s="5378"/>
      <c r="Y152" s="4488"/>
      <c r="Z152" s="4573"/>
      <c r="AA152" s="4573"/>
      <c r="AB152" s="4573"/>
      <c r="AC152" s="4573"/>
      <c r="AD152" s="4573"/>
      <c r="AE152" s="4573"/>
      <c r="AF152" s="4573"/>
      <c r="AG152" s="4573"/>
      <c r="AH152" s="4573"/>
      <c r="AI152" s="4573"/>
      <c r="AJ152" s="4573"/>
      <c r="AK152" s="4573"/>
      <c r="AL152" s="4573"/>
      <c r="AM152" s="4573"/>
      <c r="AN152" s="4573"/>
      <c r="AO152" s="4573"/>
      <c r="AP152" s="4573"/>
      <c r="AQ152" s="4573"/>
      <c r="AR152" s="4573"/>
      <c r="AS152" s="4573"/>
    </row>
    <row r="153" spans="1:45" ht="13.8" thickBot="1">
      <c r="A153" s="2539" t="s">
        <v>205</v>
      </c>
      <c r="B153" s="5379" t="s">
        <v>334</v>
      </c>
      <c r="C153" s="5380"/>
      <c r="D153" s="5381"/>
      <c r="E153" s="1246">
        <f t="shared" ref="E153:X153" si="189">SUM(E154:E174)</f>
        <v>48920.21964524909</v>
      </c>
      <c r="F153" s="1246">
        <f t="shared" si="189"/>
        <v>8022.0422599999993</v>
      </c>
      <c r="G153" s="1246">
        <f t="shared" si="189"/>
        <v>0</v>
      </c>
      <c r="H153" s="1246">
        <f t="shared" si="189"/>
        <v>56942.261905249085</v>
      </c>
      <c r="I153" s="1246">
        <f t="shared" si="189"/>
        <v>42059.709390000025</v>
      </c>
      <c r="J153" s="1246">
        <f t="shared" si="189"/>
        <v>0</v>
      </c>
      <c r="K153" s="1246">
        <f t="shared" si="189"/>
        <v>0</v>
      </c>
      <c r="L153" s="1246">
        <f t="shared" si="189"/>
        <v>42059.709390000025</v>
      </c>
      <c r="M153" s="1246">
        <f t="shared" si="189"/>
        <v>34653.271649999995</v>
      </c>
      <c r="N153" s="1246">
        <f t="shared" si="189"/>
        <v>0</v>
      </c>
      <c r="O153" s="1246">
        <f t="shared" si="189"/>
        <v>0</v>
      </c>
      <c r="P153" s="1246">
        <f t="shared" si="189"/>
        <v>34653.271649999995</v>
      </c>
      <c r="Q153" s="1246">
        <f t="shared" si="189"/>
        <v>0</v>
      </c>
      <c r="R153" s="1246">
        <f t="shared" si="189"/>
        <v>0</v>
      </c>
      <c r="S153" s="1246">
        <f t="shared" si="189"/>
        <v>0</v>
      </c>
      <c r="T153" s="1246">
        <f t="shared" si="189"/>
        <v>0</v>
      </c>
      <c r="U153" s="1246">
        <f t="shared" si="189"/>
        <v>1811.4277347508857</v>
      </c>
      <c r="V153" s="1246">
        <f t="shared" si="189"/>
        <v>0</v>
      </c>
      <c r="W153" s="1246">
        <f t="shared" si="189"/>
        <v>0</v>
      </c>
      <c r="X153" s="1110">
        <f t="shared" si="189"/>
        <v>1811.4277347508857</v>
      </c>
      <c r="Y153" s="4488"/>
      <c r="Z153" s="4504">
        <f t="shared" si="175"/>
        <v>25012.511130951611</v>
      </c>
      <c r="AA153" s="4504">
        <f t="shared" ref="AA153:AA197" si="190">IFERROR(F153/$D$1,0)</f>
        <v>4101.6050781509639</v>
      </c>
      <c r="AB153" s="4504">
        <f t="shared" ref="AB153:AB197" si="191">IFERROR(G153/$D$1,0)</f>
        <v>0</v>
      </c>
      <c r="AC153" s="4504">
        <f t="shared" si="176"/>
        <v>29114.116209102573</v>
      </c>
      <c r="AD153" s="4504">
        <f t="shared" si="177"/>
        <v>21504.787936579367</v>
      </c>
      <c r="AE153" s="4504">
        <f t="shared" ref="AE153:AE197" si="192">IFERROR(J153/$D$1,0)</f>
        <v>0</v>
      </c>
      <c r="AF153" s="4504">
        <f t="shared" ref="AF153:AF197" si="193">IFERROR(K153/$D$1,0)</f>
        <v>0</v>
      </c>
      <c r="AG153" s="4504">
        <f t="shared" si="178"/>
        <v>21504.787936579367</v>
      </c>
      <c r="AH153" s="4504">
        <f t="shared" si="179"/>
        <v>17717.936451532085</v>
      </c>
      <c r="AI153" s="4504">
        <f t="shared" ref="AI153:AI197" si="194">IFERROR(N153/$D$1,0)</f>
        <v>0</v>
      </c>
      <c r="AJ153" s="4504">
        <f t="shared" ref="AJ153:AJ197" si="195">IFERROR(O153/$D$1,0)</f>
        <v>0</v>
      </c>
      <c r="AK153" s="4504">
        <f t="shared" si="180"/>
        <v>17717.936451532085</v>
      </c>
      <c r="AL153" s="4504">
        <f t="shared" si="181"/>
        <v>0</v>
      </c>
      <c r="AM153" s="4504">
        <f t="shared" ref="AM153:AM197" si="196">IFERROR(R153/$D$1,0)</f>
        <v>0</v>
      </c>
      <c r="AN153" s="4504">
        <f t="shared" ref="AN153:AN197" si="197">IFERROR(S153/$D$1,0)</f>
        <v>0</v>
      </c>
      <c r="AO153" s="4504">
        <f t="shared" si="182"/>
        <v>0</v>
      </c>
      <c r="AP153" s="4504">
        <f t="shared" si="183"/>
        <v>926.16829415178506</v>
      </c>
      <c r="AQ153" s="4504">
        <f t="shared" ref="AQ153:AQ197" si="198">IFERROR(V153/$D$1,0)</f>
        <v>0</v>
      </c>
      <c r="AR153" s="4504">
        <f t="shared" ref="AR153:AR197" si="199">IFERROR(W153/$D$1,0)</f>
        <v>0</v>
      </c>
      <c r="AS153" s="4504">
        <f t="shared" si="184"/>
        <v>926.16829415178506</v>
      </c>
    </row>
    <row r="154" spans="1:45">
      <c r="A154" s="2553">
        <v>1</v>
      </c>
      <c r="B154" s="2614" t="s">
        <v>696</v>
      </c>
      <c r="C154" s="2571">
        <v>0</v>
      </c>
      <c r="D154" s="2601" t="s">
        <v>558</v>
      </c>
      <c r="E154" s="411">
        <v>170.7975894027575</v>
      </c>
      <c r="F154" s="411">
        <v>0</v>
      </c>
      <c r="G154" s="411">
        <v>0</v>
      </c>
      <c r="H154" s="4453">
        <f t="shared" ref="H154:H196" si="200">+E154+F154-G154</f>
        <v>170.7975894027575</v>
      </c>
      <c r="I154" s="411">
        <v>0</v>
      </c>
      <c r="J154" s="411">
        <v>0</v>
      </c>
      <c r="K154" s="411">
        <v>0</v>
      </c>
      <c r="L154" s="4453">
        <f t="shared" ref="L154:L174" si="201">+I154+J154-K154</f>
        <v>0</v>
      </c>
      <c r="M154" s="411">
        <v>0</v>
      </c>
      <c r="N154" s="411"/>
      <c r="O154" s="411"/>
      <c r="P154" s="4453">
        <f t="shared" ref="P154:P174" si="202">+M154+N154-O154</f>
        <v>0</v>
      </c>
      <c r="Q154" s="411"/>
      <c r="R154" s="411"/>
      <c r="S154" s="411"/>
      <c r="T154" s="4453">
        <f t="shared" ref="T154:T174" si="203">+Q154+R154-S154</f>
        <v>0</v>
      </c>
      <c r="U154" s="411">
        <v>3.2137305972425696</v>
      </c>
      <c r="V154" s="411">
        <v>0</v>
      </c>
      <c r="W154" s="411">
        <v>0</v>
      </c>
      <c r="X154" s="4453">
        <f t="shared" ref="X154:X174" si="204">+U154+V154-W154</f>
        <v>3.2137305972425696</v>
      </c>
      <c r="Y154" s="4488"/>
      <c r="Z154" s="4504">
        <f t="shared" si="175"/>
        <v>87.327420789515187</v>
      </c>
      <c r="AA154" s="4504">
        <f t="shared" si="190"/>
        <v>0</v>
      </c>
      <c r="AB154" s="4504">
        <f t="shared" si="191"/>
        <v>0</v>
      </c>
      <c r="AC154" s="4504">
        <f t="shared" si="176"/>
        <v>87.327420789515187</v>
      </c>
      <c r="AD154" s="4504">
        <f t="shared" si="177"/>
        <v>0</v>
      </c>
      <c r="AE154" s="4504">
        <f t="shared" si="192"/>
        <v>0</v>
      </c>
      <c r="AF154" s="4504">
        <f t="shared" si="193"/>
        <v>0</v>
      </c>
      <c r="AG154" s="4504">
        <f t="shared" si="178"/>
        <v>0</v>
      </c>
      <c r="AH154" s="4504">
        <f t="shared" si="179"/>
        <v>0</v>
      </c>
      <c r="AI154" s="4504">
        <f t="shared" si="194"/>
        <v>0</v>
      </c>
      <c r="AJ154" s="4504">
        <f t="shared" si="195"/>
        <v>0</v>
      </c>
      <c r="AK154" s="4504">
        <f t="shared" si="180"/>
        <v>0</v>
      </c>
      <c r="AL154" s="4504">
        <f t="shared" si="181"/>
        <v>0</v>
      </c>
      <c r="AM154" s="4504">
        <f t="shared" si="196"/>
        <v>0</v>
      </c>
      <c r="AN154" s="4504">
        <f t="shared" si="197"/>
        <v>0</v>
      </c>
      <c r="AO154" s="4504">
        <f t="shared" si="182"/>
        <v>0</v>
      </c>
      <c r="AP154" s="4504">
        <f t="shared" si="183"/>
        <v>1.6431543627220002</v>
      </c>
      <c r="AQ154" s="4504">
        <f t="shared" si="198"/>
        <v>0</v>
      </c>
      <c r="AR154" s="4504">
        <f t="shared" si="199"/>
        <v>0</v>
      </c>
      <c r="AS154" s="4504">
        <f t="shared" si="184"/>
        <v>1.6431543627220002</v>
      </c>
    </row>
    <row r="155" spans="1:45">
      <c r="A155" s="2553">
        <v>2</v>
      </c>
      <c r="B155" s="2554" t="s">
        <v>697</v>
      </c>
      <c r="C155" s="2555">
        <v>0.03</v>
      </c>
      <c r="D155" s="2609" t="s">
        <v>426</v>
      </c>
      <c r="E155" s="411">
        <v>593.11997809480613</v>
      </c>
      <c r="F155" s="411">
        <v>0</v>
      </c>
      <c r="G155" s="411">
        <v>0</v>
      </c>
      <c r="H155" s="4453">
        <f t="shared" si="200"/>
        <v>593.11997809480613</v>
      </c>
      <c r="I155" s="411">
        <v>119.49959999999999</v>
      </c>
      <c r="J155" s="411">
        <v>0</v>
      </c>
      <c r="K155" s="411">
        <v>0</v>
      </c>
      <c r="L155" s="4453">
        <f t="shared" si="201"/>
        <v>119.49959999999999</v>
      </c>
      <c r="M155" s="411">
        <v>3567.2480500000001</v>
      </c>
      <c r="N155" s="411">
        <v>0</v>
      </c>
      <c r="O155" s="411">
        <v>0</v>
      </c>
      <c r="P155" s="4453">
        <f t="shared" si="202"/>
        <v>3567.2480500000001</v>
      </c>
      <c r="Q155" s="411"/>
      <c r="R155" s="411"/>
      <c r="S155" s="411"/>
      <c r="T155" s="4453">
        <f t="shared" si="203"/>
        <v>0</v>
      </c>
      <c r="U155" s="411">
        <v>77.157851905193468</v>
      </c>
      <c r="V155" s="411">
        <v>0</v>
      </c>
      <c r="W155" s="411">
        <v>0</v>
      </c>
      <c r="X155" s="4453">
        <f t="shared" si="204"/>
        <v>77.157851905193468</v>
      </c>
      <c r="Y155" s="4488"/>
      <c r="Z155" s="4504">
        <f t="shared" si="175"/>
        <v>303.25742937515332</v>
      </c>
      <c r="AA155" s="4504">
        <f t="shared" si="190"/>
        <v>0</v>
      </c>
      <c r="AB155" s="4504">
        <f t="shared" si="191"/>
        <v>0</v>
      </c>
      <c r="AC155" s="4504">
        <f t="shared" si="176"/>
        <v>303.25742937515332</v>
      </c>
      <c r="AD155" s="4504">
        <f t="shared" si="177"/>
        <v>61.099175286195624</v>
      </c>
      <c r="AE155" s="4504">
        <f t="shared" si="192"/>
        <v>0</v>
      </c>
      <c r="AF155" s="4504">
        <f t="shared" si="193"/>
        <v>0</v>
      </c>
      <c r="AG155" s="4504">
        <f t="shared" si="178"/>
        <v>61.099175286195624</v>
      </c>
      <c r="AH155" s="4504">
        <f t="shared" si="179"/>
        <v>1823.9049661780423</v>
      </c>
      <c r="AI155" s="4504">
        <f t="shared" si="194"/>
        <v>0</v>
      </c>
      <c r="AJ155" s="4504">
        <f t="shared" si="195"/>
        <v>0</v>
      </c>
      <c r="AK155" s="4504">
        <f t="shared" si="180"/>
        <v>1823.9049661780423</v>
      </c>
      <c r="AL155" s="4504">
        <f t="shared" si="181"/>
        <v>0</v>
      </c>
      <c r="AM155" s="4504">
        <f t="shared" si="196"/>
        <v>0</v>
      </c>
      <c r="AN155" s="4504">
        <f t="shared" si="197"/>
        <v>0</v>
      </c>
      <c r="AO155" s="4504">
        <f t="shared" si="182"/>
        <v>0</v>
      </c>
      <c r="AP155" s="4504">
        <f t="shared" si="183"/>
        <v>39.450183249665599</v>
      </c>
      <c r="AQ155" s="4504">
        <f t="shared" si="198"/>
        <v>0</v>
      </c>
      <c r="AR155" s="4504">
        <f t="shared" si="199"/>
        <v>0</v>
      </c>
      <c r="AS155" s="4504">
        <f t="shared" si="184"/>
        <v>39.450183249665599</v>
      </c>
    </row>
    <row r="156" spans="1:45">
      <c r="A156" s="2553">
        <v>3</v>
      </c>
      <c r="B156" s="2554">
        <v>911301</v>
      </c>
      <c r="C156" s="2555">
        <v>0.1</v>
      </c>
      <c r="D156" s="2609" t="s">
        <v>427</v>
      </c>
      <c r="E156" s="411">
        <v>0</v>
      </c>
      <c r="F156" s="411">
        <v>0</v>
      </c>
      <c r="G156" s="411">
        <v>0</v>
      </c>
      <c r="H156" s="4453">
        <f t="shared" si="200"/>
        <v>0</v>
      </c>
      <c r="I156" s="411">
        <v>0</v>
      </c>
      <c r="J156" s="411">
        <v>0</v>
      </c>
      <c r="K156" s="411">
        <v>0</v>
      </c>
      <c r="L156" s="4453">
        <f t="shared" si="201"/>
        <v>0</v>
      </c>
      <c r="M156" s="411">
        <v>0</v>
      </c>
      <c r="N156" s="411"/>
      <c r="O156" s="411"/>
      <c r="P156" s="4453">
        <f t="shared" si="202"/>
        <v>0</v>
      </c>
      <c r="Q156" s="411"/>
      <c r="R156" s="411"/>
      <c r="S156" s="411"/>
      <c r="T156" s="4453">
        <f t="shared" si="203"/>
        <v>0</v>
      </c>
      <c r="U156" s="411">
        <v>0</v>
      </c>
      <c r="V156" s="411">
        <v>0</v>
      </c>
      <c r="W156" s="411">
        <v>0</v>
      </c>
      <c r="X156" s="4453">
        <f t="shared" si="204"/>
        <v>0</v>
      </c>
      <c r="Y156" s="4488"/>
      <c r="Z156" s="4504">
        <f t="shared" si="175"/>
        <v>0</v>
      </c>
      <c r="AA156" s="4504">
        <f t="shared" si="190"/>
        <v>0</v>
      </c>
      <c r="AB156" s="4504">
        <f t="shared" si="191"/>
        <v>0</v>
      </c>
      <c r="AC156" s="4504">
        <f t="shared" si="176"/>
        <v>0</v>
      </c>
      <c r="AD156" s="4504">
        <f t="shared" si="177"/>
        <v>0</v>
      </c>
      <c r="AE156" s="4504">
        <f t="shared" si="192"/>
        <v>0</v>
      </c>
      <c r="AF156" s="4504">
        <f t="shared" si="193"/>
        <v>0</v>
      </c>
      <c r="AG156" s="4504">
        <f t="shared" si="178"/>
        <v>0</v>
      </c>
      <c r="AH156" s="4504">
        <f t="shared" si="179"/>
        <v>0</v>
      </c>
      <c r="AI156" s="4504">
        <f t="shared" si="194"/>
        <v>0</v>
      </c>
      <c r="AJ156" s="4504">
        <f t="shared" si="195"/>
        <v>0</v>
      </c>
      <c r="AK156" s="4504">
        <f t="shared" si="180"/>
        <v>0</v>
      </c>
      <c r="AL156" s="4504">
        <f t="shared" si="181"/>
        <v>0</v>
      </c>
      <c r="AM156" s="4504">
        <f t="shared" si="196"/>
        <v>0</v>
      </c>
      <c r="AN156" s="4504">
        <f t="shared" si="197"/>
        <v>0</v>
      </c>
      <c r="AO156" s="4504">
        <f t="shared" si="182"/>
        <v>0</v>
      </c>
      <c r="AP156" s="4504">
        <f t="shared" si="183"/>
        <v>0</v>
      </c>
      <c r="AQ156" s="4504">
        <f t="shared" si="198"/>
        <v>0</v>
      </c>
      <c r="AR156" s="4504">
        <f t="shared" si="199"/>
        <v>0</v>
      </c>
      <c r="AS156" s="4504">
        <f t="shared" si="184"/>
        <v>0</v>
      </c>
    </row>
    <row r="157" spans="1:45">
      <c r="A157" s="2553">
        <v>4</v>
      </c>
      <c r="B157" s="2554">
        <v>911302</v>
      </c>
      <c r="C157" s="2555">
        <v>0.1</v>
      </c>
      <c r="D157" s="2609" t="s">
        <v>428</v>
      </c>
      <c r="E157" s="411">
        <v>0</v>
      </c>
      <c r="F157" s="411">
        <v>0</v>
      </c>
      <c r="G157" s="411">
        <v>0</v>
      </c>
      <c r="H157" s="4453">
        <f t="shared" si="200"/>
        <v>0</v>
      </c>
      <c r="I157" s="411">
        <v>0</v>
      </c>
      <c r="J157" s="411">
        <v>0</v>
      </c>
      <c r="K157" s="411">
        <v>0</v>
      </c>
      <c r="L157" s="4453">
        <f t="shared" si="201"/>
        <v>0</v>
      </c>
      <c r="M157" s="411">
        <v>0</v>
      </c>
      <c r="N157" s="411"/>
      <c r="O157" s="411"/>
      <c r="P157" s="4453">
        <f t="shared" si="202"/>
        <v>0</v>
      </c>
      <c r="Q157" s="411"/>
      <c r="R157" s="411"/>
      <c r="S157" s="411"/>
      <c r="T157" s="4453">
        <f t="shared" si="203"/>
        <v>0</v>
      </c>
      <c r="U157" s="411">
        <v>0</v>
      </c>
      <c r="V157" s="411">
        <v>0</v>
      </c>
      <c r="W157" s="411">
        <v>0</v>
      </c>
      <c r="X157" s="4453">
        <f t="shared" si="204"/>
        <v>0</v>
      </c>
      <c r="Y157" s="4488"/>
      <c r="Z157" s="4504">
        <f t="shared" si="175"/>
        <v>0</v>
      </c>
      <c r="AA157" s="4504">
        <f t="shared" si="190"/>
        <v>0</v>
      </c>
      <c r="AB157" s="4504">
        <f t="shared" si="191"/>
        <v>0</v>
      </c>
      <c r="AC157" s="4504">
        <f t="shared" si="176"/>
        <v>0</v>
      </c>
      <c r="AD157" s="4504">
        <f t="shared" si="177"/>
        <v>0</v>
      </c>
      <c r="AE157" s="4504">
        <f t="shared" si="192"/>
        <v>0</v>
      </c>
      <c r="AF157" s="4504">
        <f t="shared" si="193"/>
        <v>0</v>
      </c>
      <c r="AG157" s="4504">
        <f t="shared" si="178"/>
        <v>0</v>
      </c>
      <c r="AH157" s="4504">
        <f t="shared" si="179"/>
        <v>0</v>
      </c>
      <c r="AI157" s="4504">
        <f t="shared" si="194"/>
        <v>0</v>
      </c>
      <c r="AJ157" s="4504">
        <f t="shared" si="195"/>
        <v>0</v>
      </c>
      <c r="AK157" s="4504">
        <f t="shared" si="180"/>
        <v>0</v>
      </c>
      <c r="AL157" s="4504">
        <f t="shared" si="181"/>
        <v>0</v>
      </c>
      <c r="AM157" s="4504">
        <f t="shared" si="196"/>
        <v>0</v>
      </c>
      <c r="AN157" s="4504">
        <f t="shared" si="197"/>
        <v>0</v>
      </c>
      <c r="AO157" s="4504">
        <f t="shared" si="182"/>
        <v>0</v>
      </c>
      <c r="AP157" s="4504">
        <f t="shared" si="183"/>
        <v>0</v>
      </c>
      <c r="AQ157" s="4504">
        <f t="shared" si="198"/>
        <v>0</v>
      </c>
      <c r="AR157" s="4504">
        <f t="shared" si="199"/>
        <v>0</v>
      </c>
      <c r="AS157" s="4504">
        <f t="shared" si="184"/>
        <v>0</v>
      </c>
    </row>
    <row r="158" spans="1:45">
      <c r="A158" s="2553">
        <v>5</v>
      </c>
      <c r="B158" s="2554" t="s">
        <v>714</v>
      </c>
      <c r="C158" s="2555">
        <v>0.1</v>
      </c>
      <c r="D158" s="2590" t="s">
        <v>407</v>
      </c>
      <c r="E158" s="411">
        <v>186.85247674047054</v>
      </c>
      <c r="F158" s="411">
        <v>0</v>
      </c>
      <c r="G158" s="411">
        <v>0</v>
      </c>
      <c r="H158" s="4453">
        <f t="shared" si="200"/>
        <v>186.85247674047054</v>
      </c>
      <c r="I158" s="411">
        <v>0</v>
      </c>
      <c r="J158" s="411">
        <v>0</v>
      </c>
      <c r="K158" s="411">
        <v>0</v>
      </c>
      <c r="L158" s="4453">
        <f t="shared" si="201"/>
        <v>0</v>
      </c>
      <c r="M158" s="411">
        <v>1417.28998</v>
      </c>
      <c r="N158" s="411">
        <v>0</v>
      </c>
      <c r="O158" s="411">
        <v>0</v>
      </c>
      <c r="P158" s="4453">
        <f t="shared" si="202"/>
        <v>1417.28998</v>
      </c>
      <c r="Q158" s="411"/>
      <c r="R158" s="411"/>
      <c r="S158" s="411"/>
      <c r="T158" s="4453">
        <f t="shared" si="203"/>
        <v>0</v>
      </c>
      <c r="U158" s="411">
        <v>17.366923259529507</v>
      </c>
      <c r="V158" s="411">
        <v>0</v>
      </c>
      <c r="W158" s="411">
        <v>0</v>
      </c>
      <c r="X158" s="4453">
        <f t="shared" si="204"/>
        <v>17.366923259529507</v>
      </c>
      <c r="Y158" s="4488"/>
      <c r="Z158" s="4504">
        <f t="shared" si="175"/>
        <v>95.536154338807847</v>
      </c>
      <c r="AA158" s="4504">
        <f t="shared" si="190"/>
        <v>0</v>
      </c>
      <c r="AB158" s="4504">
        <f t="shared" si="191"/>
        <v>0</v>
      </c>
      <c r="AC158" s="4504">
        <f t="shared" si="176"/>
        <v>95.536154338807847</v>
      </c>
      <c r="AD158" s="4504">
        <f t="shared" si="177"/>
        <v>0</v>
      </c>
      <c r="AE158" s="4504">
        <f t="shared" si="192"/>
        <v>0</v>
      </c>
      <c r="AF158" s="4504">
        <f t="shared" si="193"/>
        <v>0</v>
      </c>
      <c r="AG158" s="4504">
        <f t="shared" si="178"/>
        <v>0</v>
      </c>
      <c r="AH158" s="4504">
        <f t="shared" si="179"/>
        <v>724.64886007475093</v>
      </c>
      <c r="AI158" s="4504">
        <f t="shared" si="194"/>
        <v>0</v>
      </c>
      <c r="AJ158" s="4504">
        <f t="shared" si="195"/>
        <v>0</v>
      </c>
      <c r="AK158" s="4504">
        <f t="shared" si="180"/>
        <v>724.64886007475093</v>
      </c>
      <c r="AL158" s="4504">
        <f t="shared" si="181"/>
        <v>0</v>
      </c>
      <c r="AM158" s="4504">
        <f t="shared" si="196"/>
        <v>0</v>
      </c>
      <c r="AN158" s="4504">
        <f t="shared" si="197"/>
        <v>0</v>
      </c>
      <c r="AO158" s="4504">
        <f t="shared" si="182"/>
        <v>0</v>
      </c>
      <c r="AP158" s="4504">
        <f t="shared" si="183"/>
        <v>8.8795668639552048</v>
      </c>
      <c r="AQ158" s="4504">
        <f t="shared" si="198"/>
        <v>0</v>
      </c>
      <c r="AR158" s="4504">
        <f t="shared" si="199"/>
        <v>0</v>
      </c>
      <c r="AS158" s="4504">
        <f t="shared" si="184"/>
        <v>8.8795668639552048</v>
      </c>
    </row>
    <row r="159" spans="1:45">
      <c r="A159" s="2553">
        <v>6</v>
      </c>
      <c r="B159" s="2554" t="s">
        <v>715</v>
      </c>
      <c r="C159" s="2555">
        <v>0.1</v>
      </c>
      <c r="D159" s="2590" t="s">
        <v>1001</v>
      </c>
      <c r="E159" s="411">
        <v>103.2567585012527</v>
      </c>
      <c r="F159" s="411">
        <v>0</v>
      </c>
      <c r="G159" s="411">
        <v>0</v>
      </c>
      <c r="H159" s="4453">
        <f t="shared" si="200"/>
        <v>103.2567585012527</v>
      </c>
      <c r="I159" s="411">
        <v>0</v>
      </c>
      <c r="J159" s="411">
        <v>0</v>
      </c>
      <c r="K159" s="411">
        <v>0</v>
      </c>
      <c r="L159" s="4453">
        <f t="shared" si="201"/>
        <v>0</v>
      </c>
      <c r="M159" s="411">
        <v>42.437559999999998</v>
      </c>
      <c r="N159" s="411">
        <v>0</v>
      </c>
      <c r="O159" s="411">
        <v>0</v>
      </c>
      <c r="P159" s="4453">
        <f t="shared" si="202"/>
        <v>42.437559999999998</v>
      </c>
      <c r="Q159" s="411"/>
      <c r="R159" s="411"/>
      <c r="S159" s="411"/>
      <c r="T159" s="4453">
        <f t="shared" si="203"/>
        <v>0</v>
      </c>
      <c r="U159" s="411">
        <v>45.168631498747281</v>
      </c>
      <c r="V159" s="411">
        <v>0</v>
      </c>
      <c r="W159" s="411">
        <v>0</v>
      </c>
      <c r="X159" s="4453">
        <f t="shared" si="204"/>
        <v>45.168631498747281</v>
      </c>
      <c r="Y159" s="4488"/>
      <c r="Z159" s="4504">
        <f t="shared" si="175"/>
        <v>52.79434230032912</v>
      </c>
      <c r="AA159" s="4504">
        <f t="shared" si="190"/>
        <v>0</v>
      </c>
      <c r="AB159" s="4504">
        <f t="shared" si="191"/>
        <v>0</v>
      </c>
      <c r="AC159" s="4504">
        <f t="shared" si="176"/>
        <v>52.79434230032912</v>
      </c>
      <c r="AD159" s="4504">
        <f t="shared" si="177"/>
        <v>0</v>
      </c>
      <c r="AE159" s="4504">
        <f t="shared" si="192"/>
        <v>0</v>
      </c>
      <c r="AF159" s="4504">
        <f t="shared" si="193"/>
        <v>0</v>
      </c>
      <c r="AG159" s="4504">
        <f t="shared" si="178"/>
        <v>0</v>
      </c>
      <c r="AH159" s="4504">
        <f t="shared" si="179"/>
        <v>21.697979885777393</v>
      </c>
      <c r="AI159" s="4504">
        <f t="shared" si="194"/>
        <v>0</v>
      </c>
      <c r="AJ159" s="4504">
        <f t="shared" si="195"/>
        <v>0</v>
      </c>
      <c r="AK159" s="4504">
        <f t="shared" si="180"/>
        <v>21.697979885777393</v>
      </c>
      <c r="AL159" s="4504">
        <f t="shared" si="181"/>
        <v>0</v>
      </c>
      <c r="AM159" s="4504">
        <f t="shared" si="196"/>
        <v>0</v>
      </c>
      <c r="AN159" s="4504">
        <f t="shared" si="197"/>
        <v>0</v>
      </c>
      <c r="AO159" s="4504">
        <f t="shared" si="182"/>
        <v>0</v>
      </c>
      <c r="AP159" s="4504">
        <f t="shared" si="183"/>
        <v>23.094354570053266</v>
      </c>
      <c r="AQ159" s="4504">
        <f t="shared" si="198"/>
        <v>0</v>
      </c>
      <c r="AR159" s="4504">
        <f t="shared" si="199"/>
        <v>0</v>
      </c>
      <c r="AS159" s="4504">
        <f t="shared" si="184"/>
        <v>23.094354570053266</v>
      </c>
    </row>
    <row r="160" spans="1:45" ht="36">
      <c r="A160" s="2553">
        <v>7</v>
      </c>
      <c r="B160" s="2554" t="s">
        <v>706</v>
      </c>
      <c r="C160" s="2555">
        <v>0.1</v>
      </c>
      <c r="D160" s="2590" t="s">
        <v>695</v>
      </c>
      <c r="E160" s="411">
        <v>94.690167820852992</v>
      </c>
      <c r="F160" s="411">
        <v>0</v>
      </c>
      <c r="G160" s="411">
        <v>0</v>
      </c>
      <c r="H160" s="4453">
        <f t="shared" si="200"/>
        <v>94.690167820852992</v>
      </c>
      <c r="I160" s="411">
        <v>0</v>
      </c>
      <c r="J160" s="411">
        <v>0</v>
      </c>
      <c r="K160" s="411">
        <v>0</v>
      </c>
      <c r="L160" s="4453">
        <f t="shared" si="201"/>
        <v>0</v>
      </c>
      <c r="M160" s="411">
        <v>121.90919</v>
      </c>
      <c r="N160" s="411">
        <v>0</v>
      </c>
      <c r="O160" s="411">
        <v>0</v>
      </c>
      <c r="P160" s="4453">
        <f t="shared" si="202"/>
        <v>121.90919</v>
      </c>
      <c r="Q160" s="411"/>
      <c r="R160" s="411"/>
      <c r="S160" s="411"/>
      <c r="T160" s="4453">
        <f t="shared" si="203"/>
        <v>0</v>
      </c>
      <c r="U160" s="411">
        <v>18.195752179147036</v>
      </c>
      <c r="V160" s="411">
        <v>0</v>
      </c>
      <c r="W160" s="411">
        <v>0</v>
      </c>
      <c r="X160" s="4453">
        <f t="shared" si="204"/>
        <v>18.195752179147036</v>
      </c>
      <c r="Y160" s="4488"/>
      <c r="Z160" s="4504">
        <f t="shared" si="175"/>
        <v>48.414314035909563</v>
      </c>
      <c r="AA160" s="4504">
        <f t="shared" si="190"/>
        <v>0</v>
      </c>
      <c r="AB160" s="4504">
        <f t="shared" si="191"/>
        <v>0</v>
      </c>
      <c r="AC160" s="4504">
        <f t="shared" si="176"/>
        <v>48.414314035909563</v>
      </c>
      <c r="AD160" s="4504">
        <f t="shared" si="177"/>
        <v>0</v>
      </c>
      <c r="AE160" s="4504">
        <f t="shared" si="192"/>
        <v>0</v>
      </c>
      <c r="AF160" s="4504">
        <f t="shared" si="193"/>
        <v>0</v>
      </c>
      <c r="AG160" s="4504">
        <f t="shared" si="178"/>
        <v>0</v>
      </c>
      <c r="AH160" s="4504">
        <f t="shared" si="179"/>
        <v>62.331179090207229</v>
      </c>
      <c r="AI160" s="4504">
        <f t="shared" si="194"/>
        <v>0</v>
      </c>
      <c r="AJ160" s="4504">
        <f t="shared" si="195"/>
        <v>0</v>
      </c>
      <c r="AK160" s="4504">
        <f t="shared" si="180"/>
        <v>62.331179090207229</v>
      </c>
      <c r="AL160" s="4504">
        <f t="shared" si="181"/>
        <v>0</v>
      </c>
      <c r="AM160" s="4504">
        <f t="shared" si="196"/>
        <v>0</v>
      </c>
      <c r="AN160" s="4504">
        <f t="shared" si="197"/>
        <v>0</v>
      </c>
      <c r="AO160" s="4504">
        <f t="shared" si="182"/>
        <v>0</v>
      </c>
      <c r="AP160" s="4504">
        <f t="shared" si="183"/>
        <v>9.3033403614562804</v>
      </c>
      <c r="AQ160" s="4504">
        <f t="shared" si="198"/>
        <v>0</v>
      </c>
      <c r="AR160" s="4504">
        <f t="shared" si="199"/>
        <v>0</v>
      </c>
      <c r="AS160" s="4504">
        <f t="shared" si="184"/>
        <v>9.3033403614562804</v>
      </c>
    </row>
    <row r="161" spans="1:45">
      <c r="A161" s="2553">
        <v>8</v>
      </c>
      <c r="B161" s="2554" t="s">
        <v>716</v>
      </c>
      <c r="C161" s="2555">
        <v>0.1</v>
      </c>
      <c r="D161" s="2590" t="s">
        <v>713</v>
      </c>
      <c r="E161" s="411">
        <v>0</v>
      </c>
      <c r="F161" s="411">
        <v>0</v>
      </c>
      <c r="G161" s="411">
        <v>0</v>
      </c>
      <c r="H161" s="4453">
        <f t="shared" si="200"/>
        <v>0</v>
      </c>
      <c r="I161" s="411">
        <v>0</v>
      </c>
      <c r="J161" s="411">
        <v>0</v>
      </c>
      <c r="K161" s="411">
        <v>0</v>
      </c>
      <c r="L161" s="4453">
        <f t="shared" si="201"/>
        <v>0</v>
      </c>
      <c r="M161" s="411">
        <v>1060.6911699999998</v>
      </c>
      <c r="N161" s="411">
        <v>0</v>
      </c>
      <c r="O161" s="411">
        <v>0</v>
      </c>
      <c r="P161" s="4453">
        <f t="shared" si="202"/>
        <v>1060.6911699999998</v>
      </c>
      <c r="Q161" s="411"/>
      <c r="R161" s="411"/>
      <c r="S161" s="411"/>
      <c r="T161" s="4453">
        <f t="shared" si="203"/>
        <v>0</v>
      </c>
      <c r="U161" s="411">
        <v>0</v>
      </c>
      <c r="V161" s="411">
        <v>0</v>
      </c>
      <c r="W161" s="411">
        <v>0</v>
      </c>
      <c r="X161" s="4453">
        <f t="shared" si="204"/>
        <v>0</v>
      </c>
      <c r="Y161" s="4488"/>
      <c r="Z161" s="4504">
        <f t="shared" si="175"/>
        <v>0</v>
      </c>
      <c r="AA161" s="4504">
        <f t="shared" si="190"/>
        <v>0</v>
      </c>
      <c r="AB161" s="4504">
        <f t="shared" si="191"/>
        <v>0</v>
      </c>
      <c r="AC161" s="4504">
        <f t="shared" si="176"/>
        <v>0</v>
      </c>
      <c r="AD161" s="4504">
        <f t="shared" si="177"/>
        <v>0</v>
      </c>
      <c r="AE161" s="4504">
        <f t="shared" si="192"/>
        <v>0</v>
      </c>
      <c r="AF161" s="4504">
        <f t="shared" si="193"/>
        <v>0</v>
      </c>
      <c r="AG161" s="4504">
        <f t="shared" si="178"/>
        <v>0</v>
      </c>
      <c r="AH161" s="4504">
        <f t="shared" si="179"/>
        <v>542.32278367751792</v>
      </c>
      <c r="AI161" s="4504">
        <f t="shared" si="194"/>
        <v>0</v>
      </c>
      <c r="AJ161" s="4504">
        <f t="shared" si="195"/>
        <v>0</v>
      </c>
      <c r="AK161" s="4504">
        <f t="shared" si="180"/>
        <v>542.32278367751792</v>
      </c>
      <c r="AL161" s="4504">
        <f t="shared" si="181"/>
        <v>0</v>
      </c>
      <c r="AM161" s="4504">
        <f t="shared" si="196"/>
        <v>0</v>
      </c>
      <c r="AN161" s="4504">
        <f t="shared" si="197"/>
        <v>0</v>
      </c>
      <c r="AO161" s="4504">
        <f t="shared" si="182"/>
        <v>0</v>
      </c>
      <c r="AP161" s="4504">
        <f t="shared" si="183"/>
        <v>0</v>
      </c>
      <c r="AQ161" s="4504">
        <f t="shared" si="198"/>
        <v>0</v>
      </c>
      <c r="AR161" s="4504">
        <f t="shared" si="199"/>
        <v>0</v>
      </c>
      <c r="AS161" s="4504">
        <f t="shared" si="184"/>
        <v>0</v>
      </c>
    </row>
    <row r="162" spans="1:45" ht="24">
      <c r="A162" s="2611">
        <v>9</v>
      </c>
      <c r="B162" s="2554">
        <v>911306</v>
      </c>
      <c r="C162" s="2555">
        <v>0.1</v>
      </c>
      <c r="D162" s="2590" t="s">
        <v>1032</v>
      </c>
      <c r="E162" s="411">
        <v>64.639546888687661</v>
      </c>
      <c r="F162" s="411">
        <v>0</v>
      </c>
      <c r="G162" s="411">
        <v>0</v>
      </c>
      <c r="H162" s="4453">
        <f t="shared" si="200"/>
        <v>64.639546888687661</v>
      </c>
      <c r="I162" s="411">
        <v>28.180799999999998</v>
      </c>
      <c r="J162" s="411">
        <v>0</v>
      </c>
      <c r="K162" s="411">
        <v>0</v>
      </c>
      <c r="L162" s="4453">
        <f t="shared" si="201"/>
        <v>28.180799999999998</v>
      </c>
      <c r="M162" s="411">
        <v>5747.6260299999976</v>
      </c>
      <c r="N162" s="411">
        <v>0</v>
      </c>
      <c r="O162" s="411">
        <v>0</v>
      </c>
      <c r="P162" s="4453">
        <f t="shared" si="202"/>
        <v>5747.6260299999976</v>
      </c>
      <c r="Q162" s="411"/>
      <c r="R162" s="411"/>
      <c r="S162" s="411"/>
      <c r="T162" s="4453">
        <f t="shared" si="203"/>
        <v>0</v>
      </c>
      <c r="U162" s="411">
        <v>13.399183111312292</v>
      </c>
      <c r="V162" s="411">
        <v>0</v>
      </c>
      <c r="W162" s="411">
        <v>0</v>
      </c>
      <c r="X162" s="4453">
        <f t="shared" si="204"/>
        <v>13.399183111312292</v>
      </c>
      <c r="Y162" s="4488"/>
      <c r="Z162" s="4504">
        <f t="shared" si="175"/>
        <v>33.049675528388285</v>
      </c>
      <c r="AA162" s="4504">
        <f t="shared" si="190"/>
        <v>0</v>
      </c>
      <c r="AB162" s="4504">
        <f t="shared" si="191"/>
        <v>0</v>
      </c>
      <c r="AC162" s="4504">
        <f t="shared" si="176"/>
        <v>33.049675528388285</v>
      </c>
      <c r="AD162" s="4504">
        <f t="shared" si="177"/>
        <v>14.408614245614393</v>
      </c>
      <c r="AE162" s="4504">
        <f t="shared" si="192"/>
        <v>0</v>
      </c>
      <c r="AF162" s="4504">
        <f t="shared" si="193"/>
        <v>0</v>
      </c>
      <c r="AG162" s="4504">
        <f t="shared" si="178"/>
        <v>14.408614245614393</v>
      </c>
      <c r="AH162" s="4504">
        <f t="shared" si="179"/>
        <v>2938.7145252910518</v>
      </c>
      <c r="AI162" s="4504">
        <f t="shared" si="194"/>
        <v>0</v>
      </c>
      <c r="AJ162" s="4504">
        <f t="shared" si="195"/>
        <v>0</v>
      </c>
      <c r="AK162" s="4504">
        <f t="shared" si="180"/>
        <v>2938.7145252910518</v>
      </c>
      <c r="AL162" s="4504">
        <f t="shared" si="181"/>
        <v>0</v>
      </c>
      <c r="AM162" s="4504">
        <f t="shared" si="196"/>
        <v>0</v>
      </c>
      <c r="AN162" s="4504">
        <f t="shared" si="197"/>
        <v>0</v>
      </c>
      <c r="AO162" s="4504">
        <f t="shared" si="182"/>
        <v>0</v>
      </c>
      <c r="AP162" s="4504">
        <f t="shared" si="183"/>
        <v>6.8508935394754618</v>
      </c>
      <c r="AQ162" s="4504">
        <f t="shared" si="198"/>
        <v>0</v>
      </c>
      <c r="AR162" s="4504">
        <f t="shared" si="199"/>
        <v>0</v>
      </c>
      <c r="AS162" s="4504">
        <f t="shared" si="184"/>
        <v>6.8508935394754618</v>
      </c>
    </row>
    <row r="163" spans="1:45">
      <c r="A163" s="2611">
        <v>10</v>
      </c>
      <c r="B163" s="2554">
        <v>91140101</v>
      </c>
      <c r="C163" s="2610">
        <v>0.1</v>
      </c>
      <c r="D163" s="2584" t="s">
        <v>1016</v>
      </c>
      <c r="E163" s="411">
        <v>66.653299421452701</v>
      </c>
      <c r="F163" s="411">
        <v>0</v>
      </c>
      <c r="G163" s="411">
        <v>0</v>
      </c>
      <c r="H163" s="4453">
        <f t="shared" si="200"/>
        <v>66.653299421452701</v>
      </c>
      <c r="I163" s="411">
        <v>0</v>
      </c>
      <c r="J163" s="411">
        <v>0</v>
      </c>
      <c r="K163" s="411">
        <v>0</v>
      </c>
      <c r="L163" s="4453">
        <f t="shared" si="201"/>
        <v>0</v>
      </c>
      <c r="M163" s="411">
        <v>376.17076000000009</v>
      </c>
      <c r="N163" s="411">
        <v>0</v>
      </c>
      <c r="O163" s="411">
        <v>0</v>
      </c>
      <c r="P163" s="4453">
        <f t="shared" si="202"/>
        <v>376.17076000000009</v>
      </c>
      <c r="Q163" s="411"/>
      <c r="R163" s="411"/>
      <c r="S163" s="411"/>
      <c r="T163" s="4453">
        <f t="shared" si="203"/>
        <v>0</v>
      </c>
      <c r="U163" s="411">
        <v>1.9825705785472931</v>
      </c>
      <c r="V163" s="411">
        <v>0</v>
      </c>
      <c r="W163" s="411">
        <v>0</v>
      </c>
      <c r="X163" s="4453">
        <f t="shared" si="204"/>
        <v>1.9825705785472931</v>
      </c>
      <c r="Y163" s="4488"/>
      <c r="Z163" s="4504">
        <f t="shared" si="175"/>
        <v>34.079290849129372</v>
      </c>
      <c r="AA163" s="4504">
        <f t="shared" si="190"/>
        <v>0</v>
      </c>
      <c r="AB163" s="4504">
        <f t="shared" si="191"/>
        <v>0</v>
      </c>
      <c r="AC163" s="4504">
        <f t="shared" si="176"/>
        <v>34.079290849129372</v>
      </c>
      <c r="AD163" s="4504">
        <f t="shared" si="177"/>
        <v>0</v>
      </c>
      <c r="AE163" s="4504">
        <f t="shared" si="192"/>
        <v>0</v>
      </c>
      <c r="AF163" s="4504">
        <f t="shared" si="193"/>
        <v>0</v>
      </c>
      <c r="AG163" s="4504">
        <f t="shared" si="178"/>
        <v>0</v>
      </c>
      <c r="AH163" s="4504">
        <f t="shared" si="179"/>
        <v>192.33305553141128</v>
      </c>
      <c r="AI163" s="4504">
        <f t="shared" si="194"/>
        <v>0</v>
      </c>
      <c r="AJ163" s="4504">
        <f t="shared" si="195"/>
        <v>0</v>
      </c>
      <c r="AK163" s="4504">
        <f t="shared" si="180"/>
        <v>192.33305553141128</v>
      </c>
      <c r="AL163" s="4504">
        <f t="shared" si="181"/>
        <v>0</v>
      </c>
      <c r="AM163" s="4504">
        <f t="shared" si="196"/>
        <v>0</v>
      </c>
      <c r="AN163" s="4504">
        <f t="shared" si="197"/>
        <v>0</v>
      </c>
      <c r="AO163" s="4504">
        <f t="shared" si="182"/>
        <v>0</v>
      </c>
      <c r="AP163" s="4504">
        <f t="shared" si="183"/>
        <v>1.0136722407097207</v>
      </c>
      <c r="AQ163" s="4504">
        <f t="shared" si="198"/>
        <v>0</v>
      </c>
      <c r="AR163" s="4504">
        <f t="shared" si="199"/>
        <v>0</v>
      </c>
      <c r="AS163" s="4504">
        <f t="shared" si="184"/>
        <v>1.0136722407097207</v>
      </c>
    </row>
    <row r="164" spans="1:45">
      <c r="A164" s="2611">
        <v>11</v>
      </c>
      <c r="B164" s="2554">
        <v>91140102</v>
      </c>
      <c r="C164" s="2610">
        <v>0.04</v>
      </c>
      <c r="D164" s="2584" t="s">
        <v>432</v>
      </c>
      <c r="E164" s="411">
        <v>201.75973514171037</v>
      </c>
      <c r="F164" s="411">
        <v>0</v>
      </c>
      <c r="G164" s="411">
        <v>0</v>
      </c>
      <c r="H164" s="4453">
        <f t="shared" si="200"/>
        <v>201.75973514171037</v>
      </c>
      <c r="I164" s="411">
        <v>0</v>
      </c>
      <c r="J164" s="411">
        <v>0</v>
      </c>
      <c r="K164" s="411">
        <v>0</v>
      </c>
      <c r="L164" s="4453">
        <f t="shared" si="201"/>
        <v>0</v>
      </c>
      <c r="M164" s="411">
        <v>1251.5972200000001</v>
      </c>
      <c r="N164" s="411">
        <v>0</v>
      </c>
      <c r="O164" s="411">
        <v>0</v>
      </c>
      <c r="P164" s="4453">
        <f t="shared" si="202"/>
        <v>1251.5972200000001</v>
      </c>
      <c r="Q164" s="411"/>
      <c r="R164" s="411"/>
      <c r="S164" s="411"/>
      <c r="T164" s="4453">
        <f t="shared" si="203"/>
        <v>0</v>
      </c>
      <c r="U164" s="411">
        <v>12.632704858289637</v>
      </c>
      <c r="V164" s="411">
        <v>0</v>
      </c>
      <c r="W164" s="411">
        <v>0</v>
      </c>
      <c r="X164" s="4453">
        <f t="shared" si="204"/>
        <v>12.632704858289637</v>
      </c>
      <c r="Y164" s="4488"/>
      <c r="Z164" s="4504">
        <f t="shared" si="175"/>
        <v>103.15811453025589</v>
      </c>
      <c r="AA164" s="4504">
        <f t="shared" si="190"/>
        <v>0</v>
      </c>
      <c r="AB164" s="4504">
        <f t="shared" si="191"/>
        <v>0</v>
      </c>
      <c r="AC164" s="4504">
        <f t="shared" si="176"/>
        <v>103.15811453025589</v>
      </c>
      <c r="AD164" s="4504">
        <f t="shared" si="177"/>
        <v>0</v>
      </c>
      <c r="AE164" s="4504">
        <f t="shared" si="192"/>
        <v>0</v>
      </c>
      <c r="AF164" s="4504">
        <f t="shared" si="193"/>
        <v>0</v>
      </c>
      <c r="AG164" s="4504">
        <f t="shared" si="178"/>
        <v>0</v>
      </c>
      <c r="AH164" s="4504">
        <f t="shared" si="179"/>
        <v>639.93149711375736</v>
      </c>
      <c r="AI164" s="4504">
        <f t="shared" si="194"/>
        <v>0</v>
      </c>
      <c r="AJ164" s="4504">
        <f t="shared" si="195"/>
        <v>0</v>
      </c>
      <c r="AK164" s="4504">
        <f t="shared" si="180"/>
        <v>639.93149711375736</v>
      </c>
      <c r="AL164" s="4504">
        <f t="shared" si="181"/>
        <v>0</v>
      </c>
      <c r="AM164" s="4504">
        <f t="shared" si="196"/>
        <v>0</v>
      </c>
      <c r="AN164" s="4504">
        <f t="shared" si="197"/>
        <v>0</v>
      </c>
      <c r="AO164" s="4504">
        <f t="shared" si="182"/>
        <v>0</v>
      </c>
      <c r="AP164" s="4504">
        <f t="shared" si="183"/>
        <v>6.4589994315915176</v>
      </c>
      <c r="AQ164" s="4504">
        <f t="shared" si="198"/>
        <v>0</v>
      </c>
      <c r="AR164" s="4504">
        <f t="shared" si="199"/>
        <v>0</v>
      </c>
      <c r="AS164" s="4504">
        <f t="shared" si="184"/>
        <v>6.4589994315915176</v>
      </c>
    </row>
    <row r="165" spans="1:45">
      <c r="A165" s="2611">
        <v>12</v>
      </c>
      <c r="B165" s="2554" t="s">
        <v>698</v>
      </c>
      <c r="C165" s="2555">
        <v>0.02</v>
      </c>
      <c r="D165" s="2585" t="s">
        <v>738</v>
      </c>
      <c r="E165" s="411">
        <v>0</v>
      </c>
      <c r="F165" s="411">
        <v>0</v>
      </c>
      <c r="G165" s="411">
        <v>0</v>
      </c>
      <c r="H165" s="4453">
        <f t="shared" si="200"/>
        <v>0</v>
      </c>
      <c r="I165" s="411">
        <v>0</v>
      </c>
      <c r="J165" s="411">
        <v>0</v>
      </c>
      <c r="K165" s="411">
        <v>0</v>
      </c>
      <c r="L165" s="4453">
        <f t="shared" si="201"/>
        <v>0</v>
      </c>
      <c r="M165" s="411">
        <v>0</v>
      </c>
      <c r="N165" s="411"/>
      <c r="O165" s="411"/>
      <c r="P165" s="4453">
        <f t="shared" si="202"/>
        <v>0</v>
      </c>
      <c r="Q165" s="411"/>
      <c r="R165" s="411"/>
      <c r="S165" s="411"/>
      <c r="T165" s="4453">
        <f t="shared" si="203"/>
        <v>0</v>
      </c>
      <c r="U165" s="411">
        <v>0</v>
      </c>
      <c r="V165" s="411">
        <v>0</v>
      </c>
      <c r="W165" s="411">
        <v>0</v>
      </c>
      <c r="X165" s="4453">
        <f t="shared" si="204"/>
        <v>0</v>
      </c>
      <c r="Y165" s="4488"/>
      <c r="Z165" s="4504">
        <f t="shared" si="175"/>
        <v>0</v>
      </c>
      <c r="AA165" s="4504">
        <f t="shared" si="190"/>
        <v>0</v>
      </c>
      <c r="AB165" s="4504">
        <f t="shared" si="191"/>
        <v>0</v>
      </c>
      <c r="AC165" s="4504">
        <f t="shared" si="176"/>
        <v>0</v>
      </c>
      <c r="AD165" s="4504">
        <f t="shared" si="177"/>
        <v>0</v>
      </c>
      <c r="AE165" s="4504">
        <f t="shared" si="192"/>
        <v>0</v>
      </c>
      <c r="AF165" s="4504">
        <f t="shared" si="193"/>
        <v>0</v>
      </c>
      <c r="AG165" s="4504">
        <f t="shared" si="178"/>
        <v>0</v>
      </c>
      <c r="AH165" s="4504">
        <f t="shared" si="179"/>
        <v>0</v>
      </c>
      <c r="AI165" s="4504">
        <f t="shared" si="194"/>
        <v>0</v>
      </c>
      <c r="AJ165" s="4504">
        <f t="shared" si="195"/>
        <v>0</v>
      </c>
      <c r="AK165" s="4504">
        <f t="shared" si="180"/>
        <v>0</v>
      </c>
      <c r="AL165" s="4504">
        <f t="shared" si="181"/>
        <v>0</v>
      </c>
      <c r="AM165" s="4504">
        <f t="shared" si="196"/>
        <v>0</v>
      </c>
      <c r="AN165" s="4504">
        <f t="shared" si="197"/>
        <v>0</v>
      </c>
      <c r="AO165" s="4504">
        <f t="shared" si="182"/>
        <v>0</v>
      </c>
      <c r="AP165" s="4504">
        <f t="shared" si="183"/>
        <v>0</v>
      </c>
      <c r="AQ165" s="4504">
        <f t="shared" si="198"/>
        <v>0</v>
      </c>
      <c r="AR165" s="4504">
        <f t="shared" si="199"/>
        <v>0</v>
      </c>
      <c r="AS165" s="4504">
        <f t="shared" si="184"/>
        <v>0</v>
      </c>
    </row>
    <row r="166" spans="1:45">
      <c r="A166" s="2611">
        <v>13</v>
      </c>
      <c r="B166" s="2554" t="s">
        <v>699</v>
      </c>
      <c r="C166" s="2555">
        <v>0.02</v>
      </c>
      <c r="D166" s="2585" t="s">
        <v>739</v>
      </c>
      <c r="E166" s="411">
        <v>1332.3573292016081</v>
      </c>
      <c r="F166" s="411">
        <v>481.68142999999992</v>
      </c>
      <c r="G166" s="411">
        <v>0</v>
      </c>
      <c r="H166" s="4453">
        <f t="shared" si="200"/>
        <v>1814.0387592016079</v>
      </c>
      <c r="I166" s="411">
        <v>0</v>
      </c>
      <c r="J166" s="411">
        <v>0</v>
      </c>
      <c r="K166" s="411">
        <v>0</v>
      </c>
      <c r="L166" s="4453">
        <f t="shared" si="201"/>
        <v>0</v>
      </c>
      <c r="M166" s="411">
        <v>0</v>
      </c>
      <c r="N166" s="411"/>
      <c r="O166" s="411"/>
      <c r="P166" s="4453">
        <f t="shared" si="202"/>
        <v>0</v>
      </c>
      <c r="Q166" s="411"/>
      <c r="R166" s="411"/>
      <c r="S166" s="411"/>
      <c r="T166" s="4453">
        <f t="shared" si="203"/>
        <v>0</v>
      </c>
      <c r="U166" s="411">
        <v>24.981400798391864</v>
      </c>
      <c r="V166" s="411">
        <v>0</v>
      </c>
      <c r="W166" s="411">
        <v>0</v>
      </c>
      <c r="X166" s="4453">
        <f t="shared" si="204"/>
        <v>24.981400798391864</v>
      </c>
      <c r="Y166" s="4488"/>
      <c r="Z166" s="4504">
        <f t="shared" si="175"/>
        <v>681.22348527305962</v>
      </c>
      <c r="AA166" s="4504">
        <f t="shared" si="190"/>
        <v>246.2798044819846</v>
      </c>
      <c r="AB166" s="4504">
        <f t="shared" si="191"/>
        <v>0</v>
      </c>
      <c r="AC166" s="4504">
        <f t="shared" si="176"/>
        <v>927.50328975504419</v>
      </c>
      <c r="AD166" s="4504">
        <f t="shared" si="177"/>
        <v>0</v>
      </c>
      <c r="AE166" s="4504">
        <f t="shared" si="192"/>
        <v>0</v>
      </c>
      <c r="AF166" s="4504">
        <f t="shared" si="193"/>
        <v>0</v>
      </c>
      <c r="AG166" s="4504">
        <f t="shared" si="178"/>
        <v>0</v>
      </c>
      <c r="AH166" s="4504">
        <f t="shared" si="179"/>
        <v>0</v>
      </c>
      <c r="AI166" s="4504">
        <f t="shared" si="194"/>
        <v>0</v>
      </c>
      <c r="AJ166" s="4504">
        <f t="shared" si="195"/>
        <v>0</v>
      </c>
      <c r="AK166" s="4504">
        <f t="shared" si="180"/>
        <v>0</v>
      </c>
      <c r="AL166" s="4504">
        <f t="shared" si="181"/>
        <v>0</v>
      </c>
      <c r="AM166" s="4504">
        <f t="shared" si="196"/>
        <v>0</v>
      </c>
      <c r="AN166" s="4504">
        <f t="shared" si="197"/>
        <v>0</v>
      </c>
      <c r="AO166" s="4504">
        <f t="shared" si="182"/>
        <v>0</v>
      </c>
      <c r="AP166" s="4504">
        <f t="shared" si="183"/>
        <v>12.77278740912649</v>
      </c>
      <c r="AQ166" s="4504">
        <f t="shared" si="198"/>
        <v>0</v>
      </c>
      <c r="AR166" s="4504">
        <f t="shared" si="199"/>
        <v>0</v>
      </c>
      <c r="AS166" s="4504">
        <f t="shared" si="184"/>
        <v>12.77278740912649</v>
      </c>
    </row>
    <row r="167" spans="1:45">
      <c r="A167" s="2611">
        <v>14</v>
      </c>
      <c r="B167" s="2554" t="s">
        <v>700</v>
      </c>
      <c r="C167" s="2555">
        <v>0.02</v>
      </c>
      <c r="D167" s="2585" t="s">
        <v>418</v>
      </c>
      <c r="E167" s="411">
        <v>38.838676417861194</v>
      </c>
      <c r="F167" s="411">
        <v>0</v>
      </c>
      <c r="G167" s="411">
        <v>0</v>
      </c>
      <c r="H167" s="4453">
        <f t="shared" si="200"/>
        <v>38.838676417861194</v>
      </c>
      <c r="I167" s="411">
        <v>0</v>
      </c>
      <c r="J167" s="411">
        <v>0</v>
      </c>
      <c r="K167" s="411">
        <v>0</v>
      </c>
      <c r="L167" s="4453">
        <f t="shared" si="201"/>
        <v>0</v>
      </c>
      <c r="M167" s="411">
        <v>0</v>
      </c>
      <c r="N167" s="411"/>
      <c r="O167" s="411"/>
      <c r="P167" s="4453">
        <f t="shared" si="202"/>
        <v>0</v>
      </c>
      <c r="Q167" s="411"/>
      <c r="R167" s="411"/>
      <c r="S167" s="411"/>
      <c r="T167" s="4453">
        <f t="shared" si="203"/>
        <v>0</v>
      </c>
      <c r="U167" s="411">
        <v>0.51908358213880723</v>
      </c>
      <c r="V167" s="411">
        <v>0</v>
      </c>
      <c r="W167" s="411">
        <v>0</v>
      </c>
      <c r="X167" s="4453">
        <f t="shared" si="204"/>
        <v>0.51908358213880723</v>
      </c>
      <c r="Y167" s="4488"/>
      <c r="Z167" s="4504">
        <f t="shared" si="175"/>
        <v>19.85789992885946</v>
      </c>
      <c r="AA167" s="4504">
        <f t="shared" si="190"/>
        <v>0</v>
      </c>
      <c r="AB167" s="4504">
        <f t="shared" si="191"/>
        <v>0</v>
      </c>
      <c r="AC167" s="4504">
        <f t="shared" si="176"/>
        <v>19.85789992885946</v>
      </c>
      <c r="AD167" s="4504">
        <f t="shared" si="177"/>
        <v>0</v>
      </c>
      <c r="AE167" s="4504">
        <f t="shared" si="192"/>
        <v>0</v>
      </c>
      <c r="AF167" s="4504">
        <f t="shared" si="193"/>
        <v>0</v>
      </c>
      <c r="AG167" s="4504">
        <f t="shared" si="178"/>
        <v>0</v>
      </c>
      <c r="AH167" s="4504">
        <f t="shared" si="179"/>
        <v>0</v>
      </c>
      <c r="AI167" s="4504">
        <f t="shared" si="194"/>
        <v>0</v>
      </c>
      <c r="AJ167" s="4504">
        <f t="shared" si="195"/>
        <v>0</v>
      </c>
      <c r="AK167" s="4504">
        <f t="shared" si="180"/>
        <v>0</v>
      </c>
      <c r="AL167" s="4504">
        <f t="shared" si="181"/>
        <v>0</v>
      </c>
      <c r="AM167" s="4504">
        <f t="shared" si="196"/>
        <v>0</v>
      </c>
      <c r="AN167" s="4504">
        <f t="shared" si="197"/>
        <v>0</v>
      </c>
      <c r="AO167" s="4504">
        <f t="shared" si="182"/>
        <v>0</v>
      </c>
      <c r="AP167" s="4504">
        <f t="shared" si="183"/>
        <v>0.26540322120982257</v>
      </c>
      <c r="AQ167" s="4504">
        <f t="shared" si="198"/>
        <v>0</v>
      </c>
      <c r="AR167" s="4504">
        <f t="shared" si="199"/>
        <v>0</v>
      </c>
      <c r="AS167" s="4504">
        <f t="shared" si="184"/>
        <v>0.26540322120982257</v>
      </c>
    </row>
    <row r="168" spans="1:45">
      <c r="A168" s="2611">
        <v>15</v>
      </c>
      <c r="B168" s="2554" t="s">
        <v>701</v>
      </c>
      <c r="C168" s="2555">
        <v>0.02</v>
      </c>
      <c r="D168" s="2584" t="s">
        <v>419</v>
      </c>
      <c r="E168" s="411">
        <v>24.800379999999993</v>
      </c>
      <c r="F168" s="411">
        <v>0</v>
      </c>
      <c r="G168" s="411">
        <v>0</v>
      </c>
      <c r="H168" s="4453">
        <f t="shared" si="200"/>
        <v>24.800379999999993</v>
      </c>
      <c r="I168" s="411">
        <v>0</v>
      </c>
      <c r="J168" s="411">
        <v>0</v>
      </c>
      <c r="K168" s="411">
        <v>0</v>
      </c>
      <c r="L168" s="4453">
        <f t="shared" si="201"/>
        <v>0</v>
      </c>
      <c r="M168" s="411">
        <v>0</v>
      </c>
      <c r="N168" s="411"/>
      <c r="O168" s="411"/>
      <c r="P168" s="4453">
        <f t="shared" si="202"/>
        <v>0</v>
      </c>
      <c r="Q168" s="411"/>
      <c r="R168" s="411"/>
      <c r="S168" s="411"/>
      <c r="T168" s="4453">
        <f t="shared" si="203"/>
        <v>0</v>
      </c>
      <c r="U168" s="411">
        <v>0</v>
      </c>
      <c r="V168" s="411">
        <v>0</v>
      </c>
      <c r="W168" s="411">
        <v>0</v>
      </c>
      <c r="X168" s="4453">
        <f t="shared" si="204"/>
        <v>0</v>
      </c>
      <c r="Y168" s="4488"/>
      <c r="Z168" s="4504">
        <f t="shared" si="175"/>
        <v>12.68023294458107</v>
      </c>
      <c r="AA168" s="4504">
        <f t="shared" si="190"/>
        <v>0</v>
      </c>
      <c r="AB168" s="4504">
        <f t="shared" si="191"/>
        <v>0</v>
      </c>
      <c r="AC168" s="4504">
        <f t="shared" si="176"/>
        <v>12.68023294458107</v>
      </c>
      <c r="AD168" s="4504">
        <f t="shared" si="177"/>
        <v>0</v>
      </c>
      <c r="AE168" s="4504">
        <f t="shared" si="192"/>
        <v>0</v>
      </c>
      <c r="AF168" s="4504">
        <f t="shared" si="193"/>
        <v>0</v>
      </c>
      <c r="AG168" s="4504">
        <f t="shared" si="178"/>
        <v>0</v>
      </c>
      <c r="AH168" s="4504">
        <f t="shared" si="179"/>
        <v>0</v>
      </c>
      <c r="AI168" s="4504">
        <f t="shared" si="194"/>
        <v>0</v>
      </c>
      <c r="AJ168" s="4504">
        <f t="shared" si="195"/>
        <v>0</v>
      </c>
      <c r="AK168" s="4504">
        <f t="shared" si="180"/>
        <v>0</v>
      </c>
      <c r="AL168" s="4504">
        <f t="shared" si="181"/>
        <v>0</v>
      </c>
      <c r="AM168" s="4504">
        <f t="shared" si="196"/>
        <v>0</v>
      </c>
      <c r="AN168" s="4504">
        <f t="shared" si="197"/>
        <v>0</v>
      </c>
      <c r="AO168" s="4504">
        <f t="shared" si="182"/>
        <v>0</v>
      </c>
      <c r="AP168" s="4504">
        <f t="shared" si="183"/>
        <v>0</v>
      </c>
      <c r="AQ168" s="4504">
        <f t="shared" si="198"/>
        <v>0</v>
      </c>
      <c r="AR168" s="4504">
        <f t="shared" si="199"/>
        <v>0</v>
      </c>
      <c r="AS168" s="4504">
        <f t="shared" si="184"/>
        <v>0</v>
      </c>
    </row>
    <row r="169" spans="1:45">
      <c r="A169" s="2611">
        <v>16</v>
      </c>
      <c r="B169" s="2554" t="s">
        <v>702</v>
      </c>
      <c r="C169" s="2555">
        <v>0.02</v>
      </c>
      <c r="D169" s="2585" t="s">
        <v>420</v>
      </c>
      <c r="E169" s="411">
        <v>45469.140254361366</v>
      </c>
      <c r="F169" s="411">
        <v>7540.3608299999996</v>
      </c>
      <c r="G169" s="411">
        <v>0</v>
      </c>
      <c r="H169" s="4453">
        <f t="shared" si="200"/>
        <v>53009.501084361364</v>
      </c>
      <c r="I169" s="411">
        <v>0</v>
      </c>
      <c r="J169" s="411">
        <v>0</v>
      </c>
      <c r="K169" s="411">
        <v>0</v>
      </c>
      <c r="L169" s="4453">
        <f t="shared" si="201"/>
        <v>0</v>
      </c>
      <c r="M169" s="411">
        <v>27.218540000000001</v>
      </c>
      <c r="N169" s="411">
        <v>0</v>
      </c>
      <c r="O169" s="411">
        <v>0</v>
      </c>
      <c r="P169" s="4453">
        <f t="shared" si="202"/>
        <v>27.218540000000001</v>
      </c>
      <c r="Q169" s="411"/>
      <c r="R169" s="411"/>
      <c r="S169" s="411"/>
      <c r="T169" s="4453">
        <f t="shared" si="203"/>
        <v>0</v>
      </c>
      <c r="U169" s="411">
        <v>1551.0185656386111</v>
      </c>
      <c r="V169" s="411">
        <v>0</v>
      </c>
      <c r="W169" s="411">
        <v>0</v>
      </c>
      <c r="X169" s="4453">
        <f t="shared" si="204"/>
        <v>1551.0185656386111</v>
      </c>
      <c r="Y169" s="4488"/>
      <c r="Z169" s="4504">
        <f t="shared" si="175"/>
        <v>23248.002257027129</v>
      </c>
      <c r="AA169" s="4504">
        <f t="shared" si="190"/>
        <v>3855.3252736689792</v>
      </c>
      <c r="AB169" s="4504">
        <f t="shared" si="191"/>
        <v>0</v>
      </c>
      <c r="AC169" s="4504">
        <f t="shared" si="176"/>
        <v>27103.327530696104</v>
      </c>
      <c r="AD169" s="4504">
        <f t="shared" si="177"/>
        <v>0</v>
      </c>
      <c r="AE169" s="4504">
        <f t="shared" si="192"/>
        <v>0</v>
      </c>
      <c r="AF169" s="4504">
        <f t="shared" si="193"/>
        <v>0</v>
      </c>
      <c r="AG169" s="4504">
        <f t="shared" si="178"/>
        <v>0</v>
      </c>
      <c r="AH169" s="4504">
        <f t="shared" si="179"/>
        <v>13.916618520014522</v>
      </c>
      <c r="AI169" s="4504">
        <f t="shared" si="194"/>
        <v>0</v>
      </c>
      <c r="AJ169" s="4504">
        <f t="shared" si="195"/>
        <v>0</v>
      </c>
      <c r="AK169" s="4504">
        <f t="shared" si="180"/>
        <v>13.916618520014522</v>
      </c>
      <c r="AL169" s="4504">
        <f t="shared" si="181"/>
        <v>0</v>
      </c>
      <c r="AM169" s="4504">
        <f t="shared" si="196"/>
        <v>0</v>
      </c>
      <c r="AN169" s="4504">
        <f t="shared" si="197"/>
        <v>0</v>
      </c>
      <c r="AO169" s="4504">
        <f t="shared" si="182"/>
        <v>0</v>
      </c>
      <c r="AP169" s="4504">
        <f t="shared" si="183"/>
        <v>793.02320019562592</v>
      </c>
      <c r="AQ169" s="4504">
        <f t="shared" si="198"/>
        <v>0</v>
      </c>
      <c r="AR169" s="4504">
        <f t="shared" si="199"/>
        <v>0</v>
      </c>
      <c r="AS169" s="4504">
        <f t="shared" si="184"/>
        <v>793.02320019562592</v>
      </c>
    </row>
    <row r="170" spans="1:45">
      <c r="A170" s="2611">
        <v>17</v>
      </c>
      <c r="B170" s="2554" t="s">
        <v>703</v>
      </c>
      <c r="C170" s="2555">
        <v>0.02</v>
      </c>
      <c r="D170" s="2590" t="s">
        <v>421</v>
      </c>
      <c r="E170" s="411">
        <v>0</v>
      </c>
      <c r="F170" s="411">
        <v>0</v>
      </c>
      <c r="G170" s="411">
        <v>0</v>
      </c>
      <c r="H170" s="4453">
        <f t="shared" si="200"/>
        <v>0</v>
      </c>
      <c r="I170" s="411">
        <v>41857.984590000029</v>
      </c>
      <c r="J170" s="411">
        <v>0</v>
      </c>
      <c r="K170" s="411">
        <v>0</v>
      </c>
      <c r="L170" s="4453">
        <f t="shared" si="201"/>
        <v>41857.984590000029</v>
      </c>
      <c r="M170" s="411">
        <v>8.508659999999999</v>
      </c>
      <c r="N170" s="411">
        <v>0</v>
      </c>
      <c r="O170" s="411">
        <v>0</v>
      </c>
      <c r="P170" s="4453">
        <f t="shared" si="202"/>
        <v>8.508659999999999</v>
      </c>
      <c r="Q170" s="411"/>
      <c r="R170" s="411"/>
      <c r="S170" s="411"/>
      <c r="T170" s="4453">
        <f t="shared" si="203"/>
        <v>0</v>
      </c>
      <c r="U170" s="411">
        <v>0</v>
      </c>
      <c r="V170" s="411">
        <v>0</v>
      </c>
      <c r="W170" s="411">
        <v>0</v>
      </c>
      <c r="X170" s="4453">
        <f t="shared" si="204"/>
        <v>0</v>
      </c>
      <c r="Y170" s="4488"/>
      <c r="Z170" s="4504">
        <f t="shared" si="175"/>
        <v>0</v>
      </c>
      <c r="AA170" s="4504">
        <f t="shared" si="190"/>
        <v>0</v>
      </c>
      <c r="AB170" s="4504">
        <f t="shared" si="191"/>
        <v>0</v>
      </c>
      <c r="AC170" s="4504">
        <f t="shared" si="176"/>
        <v>0</v>
      </c>
      <c r="AD170" s="4504">
        <f t="shared" si="177"/>
        <v>21401.647684103438</v>
      </c>
      <c r="AE170" s="4504">
        <f t="shared" si="192"/>
        <v>0</v>
      </c>
      <c r="AF170" s="4504">
        <f t="shared" si="193"/>
        <v>0</v>
      </c>
      <c r="AG170" s="4504">
        <f t="shared" si="178"/>
        <v>21401.647684103438</v>
      </c>
      <c r="AH170" s="4504">
        <f t="shared" si="179"/>
        <v>4.3504087778590161</v>
      </c>
      <c r="AI170" s="4504">
        <f t="shared" si="194"/>
        <v>0</v>
      </c>
      <c r="AJ170" s="4504">
        <f t="shared" si="195"/>
        <v>0</v>
      </c>
      <c r="AK170" s="4504">
        <f t="shared" si="180"/>
        <v>4.3504087778590161</v>
      </c>
      <c r="AL170" s="4504">
        <f t="shared" si="181"/>
        <v>0</v>
      </c>
      <c r="AM170" s="4504">
        <f t="shared" si="196"/>
        <v>0</v>
      </c>
      <c r="AN170" s="4504">
        <f t="shared" si="197"/>
        <v>0</v>
      </c>
      <c r="AO170" s="4504">
        <f t="shared" si="182"/>
        <v>0</v>
      </c>
      <c r="AP170" s="4504">
        <f t="shared" si="183"/>
        <v>0</v>
      </c>
      <c r="AQ170" s="4504">
        <f t="shared" si="198"/>
        <v>0</v>
      </c>
      <c r="AR170" s="4504">
        <f t="shared" si="199"/>
        <v>0</v>
      </c>
      <c r="AS170" s="4504">
        <f t="shared" si="184"/>
        <v>0</v>
      </c>
    </row>
    <row r="171" spans="1:45" ht="48">
      <c r="A171" s="2611">
        <v>18</v>
      </c>
      <c r="B171" s="2554" t="s">
        <v>704</v>
      </c>
      <c r="C171" s="2555">
        <v>0.04</v>
      </c>
      <c r="D171" s="2590" t="s">
        <v>422</v>
      </c>
      <c r="E171" s="411">
        <v>431.05015999999995</v>
      </c>
      <c r="F171" s="411">
        <v>0</v>
      </c>
      <c r="G171" s="411">
        <v>0</v>
      </c>
      <c r="H171" s="4453">
        <f t="shared" si="200"/>
        <v>431.05015999999995</v>
      </c>
      <c r="I171" s="411">
        <v>54.044400000000003</v>
      </c>
      <c r="J171" s="411">
        <v>0</v>
      </c>
      <c r="K171" s="411">
        <v>0</v>
      </c>
      <c r="L171" s="4453">
        <f t="shared" si="201"/>
        <v>54.044400000000003</v>
      </c>
      <c r="M171" s="411">
        <v>15043.104059999998</v>
      </c>
      <c r="N171" s="411">
        <v>0</v>
      </c>
      <c r="O171" s="411">
        <v>0</v>
      </c>
      <c r="P171" s="4453">
        <f t="shared" si="202"/>
        <v>15043.104059999998</v>
      </c>
      <c r="Q171" s="411"/>
      <c r="R171" s="411"/>
      <c r="S171" s="411"/>
      <c r="T171" s="4453">
        <f t="shared" si="203"/>
        <v>0</v>
      </c>
      <c r="U171" s="411">
        <v>0</v>
      </c>
      <c r="V171" s="411">
        <v>0</v>
      </c>
      <c r="W171" s="411">
        <v>0</v>
      </c>
      <c r="X171" s="4453">
        <f t="shared" si="204"/>
        <v>0</v>
      </c>
      <c r="Y171" s="4488"/>
      <c r="Z171" s="4504">
        <f t="shared" si="175"/>
        <v>220.39244719633095</v>
      </c>
      <c r="AA171" s="4504">
        <f t="shared" si="190"/>
        <v>0</v>
      </c>
      <c r="AB171" s="4504">
        <f t="shared" si="191"/>
        <v>0</v>
      </c>
      <c r="AC171" s="4504">
        <f t="shared" si="176"/>
        <v>220.39244719633095</v>
      </c>
      <c r="AD171" s="4504">
        <f t="shared" si="177"/>
        <v>27.632462944120913</v>
      </c>
      <c r="AE171" s="4504">
        <f t="shared" si="192"/>
        <v>0</v>
      </c>
      <c r="AF171" s="4504">
        <f t="shared" si="193"/>
        <v>0</v>
      </c>
      <c r="AG171" s="4504">
        <f t="shared" si="178"/>
        <v>27.632462944120913</v>
      </c>
      <c r="AH171" s="4504">
        <f t="shared" si="179"/>
        <v>7691.4169738678711</v>
      </c>
      <c r="AI171" s="4504">
        <f t="shared" si="194"/>
        <v>0</v>
      </c>
      <c r="AJ171" s="4504">
        <f t="shared" si="195"/>
        <v>0</v>
      </c>
      <c r="AK171" s="4504">
        <f t="shared" si="180"/>
        <v>7691.4169738678711</v>
      </c>
      <c r="AL171" s="4504">
        <f t="shared" si="181"/>
        <v>0</v>
      </c>
      <c r="AM171" s="4504">
        <f t="shared" si="196"/>
        <v>0</v>
      </c>
      <c r="AN171" s="4504">
        <f t="shared" si="197"/>
        <v>0</v>
      </c>
      <c r="AO171" s="4504">
        <f t="shared" si="182"/>
        <v>0</v>
      </c>
      <c r="AP171" s="4504">
        <f t="shared" si="183"/>
        <v>0</v>
      </c>
      <c r="AQ171" s="4504">
        <f t="shared" si="198"/>
        <v>0</v>
      </c>
      <c r="AR171" s="4504">
        <f t="shared" si="199"/>
        <v>0</v>
      </c>
      <c r="AS171" s="4504">
        <f t="shared" si="184"/>
        <v>0</v>
      </c>
    </row>
    <row r="172" spans="1:45">
      <c r="A172" s="2611">
        <v>19</v>
      </c>
      <c r="B172" s="2554" t="s">
        <v>705</v>
      </c>
      <c r="C172" s="2555">
        <v>0.04</v>
      </c>
      <c r="D172" s="2590" t="s">
        <v>423</v>
      </c>
      <c r="E172" s="411">
        <v>12.412022127706551</v>
      </c>
      <c r="F172" s="411">
        <v>0</v>
      </c>
      <c r="G172" s="411">
        <v>0</v>
      </c>
      <c r="H172" s="4453">
        <f t="shared" si="200"/>
        <v>12.412022127706551</v>
      </c>
      <c r="I172" s="411">
        <v>0</v>
      </c>
      <c r="J172" s="411">
        <v>0</v>
      </c>
      <c r="K172" s="411">
        <v>0</v>
      </c>
      <c r="L172" s="4453">
        <f t="shared" si="201"/>
        <v>0</v>
      </c>
      <c r="M172" s="411">
        <v>0</v>
      </c>
      <c r="N172" s="411"/>
      <c r="O172" s="411"/>
      <c r="P172" s="4453">
        <f t="shared" si="202"/>
        <v>0</v>
      </c>
      <c r="Q172" s="411"/>
      <c r="R172" s="411"/>
      <c r="S172" s="411"/>
      <c r="T172" s="4453">
        <f t="shared" si="203"/>
        <v>0</v>
      </c>
      <c r="U172" s="411">
        <v>37.830407872293449</v>
      </c>
      <c r="V172" s="411">
        <v>0</v>
      </c>
      <c r="W172" s="411">
        <v>0</v>
      </c>
      <c r="X172" s="4453">
        <f t="shared" si="204"/>
        <v>37.830407872293449</v>
      </c>
      <c r="Y172" s="4488"/>
      <c r="Z172" s="4504">
        <f t="shared" si="175"/>
        <v>6.3461661431241732</v>
      </c>
      <c r="AA172" s="4504">
        <f t="shared" si="190"/>
        <v>0</v>
      </c>
      <c r="AB172" s="4504">
        <f t="shared" si="191"/>
        <v>0</v>
      </c>
      <c r="AC172" s="4504">
        <f t="shared" si="176"/>
        <v>6.3461661431241732</v>
      </c>
      <c r="AD172" s="4504">
        <f t="shared" si="177"/>
        <v>0</v>
      </c>
      <c r="AE172" s="4504">
        <f t="shared" si="192"/>
        <v>0</v>
      </c>
      <c r="AF172" s="4504">
        <f t="shared" si="193"/>
        <v>0</v>
      </c>
      <c r="AG172" s="4504">
        <f t="shared" si="178"/>
        <v>0</v>
      </c>
      <c r="AH172" s="4504">
        <f t="shared" si="179"/>
        <v>0</v>
      </c>
      <c r="AI172" s="4504">
        <f t="shared" si="194"/>
        <v>0</v>
      </c>
      <c r="AJ172" s="4504">
        <f t="shared" si="195"/>
        <v>0</v>
      </c>
      <c r="AK172" s="4504">
        <f t="shared" si="180"/>
        <v>0</v>
      </c>
      <c r="AL172" s="4504">
        <f t="shared" si="181"/>
        <v>0</v>
      </c>
      <c r="AM172" s="4504">
        <f t="shared" si="196"/>
        <v>0</v>
      </c>
      <c r="AN172" s="4504">
        <f t="shared" si="197"/>
        <v>0</v>
      </c>
      <c r="AO172" s="4504">
        <f t="shared" si="182"/>
        <v>0</v>
      </c>
      <c r="AP172" s="4504">
        <f t="shared" si="183"/>
        <v>19.342380407445152</v>
      </c>
      <c r="AQ172" s="4504">
        <f t="shared" si="198"/>
        <v>0</v>
      </c>
      <c r="AR172" s="4504">
        <f t="shared" si="199"/>
        <v>0</v>
      </c>
      <c r="AS172" s="4504">
        <f t="shared" si="184"/>
        <v>19.342380407445152</v>
      </c>
    </row>
    <row r="173" spans="1:45">
      <c r="A173" s="2611">
        <v>20</v>
      </c>
      <c r="B173" s="2554" t="s">
        <v>717</v>
      </c>
      <c r="C173" s="2555">
        <v>0.04</v>
      </c>
      <c r="D173" s="2609" t="s">
        <v>434</v>
      </c>
      <c r="E173" s="411">
        <v>129.85127112855838</v>
      </c>
      <c r="F173" s="411">
        <v>0</v>
      </c>
      <c r="G173" s="411">
        <v>0</v>
      </c>
      <c r="H173" s="4453">
        <f t="shared" si="200"/>
        <v>129.85127112855838</v>
      </c>
      <c r="I173" s="411">
        <v>0</v>
      </c>
      <c r="J173" s="411">
        <v>0</v>
      </c>
      <c r="K173" s="411">
        <v>0</v>
      </c>
      <c r="L173" s="4453">
        <f t="shared" si="201"/>
        <v>0</v>
      </c>
      <c r="M173" s="411">
        <v>5989.4704299999994</v>
      </c>
      <c r="N173" s="411">
        <v>0</v>
      </c>
      <c r="O173" s="411">
        <v>0</v>
      </c>
      <c r="P173" s="4453">
        <f t="shared" si="202"/>
        <v>5989.4704299999994</v>
      </c>
      <c r="Q173" s="411"/>
      <c r="R173" s="411"/>
      <c r="S173" s="411"/>
      <c r="T173" s="4453">
        <f t="shared" si="203"/>
        <v>0</v>
      </c>
      <c r="U173" s="411">
        <v>7.9609288714416087</v>
      </c>
      <c r="V173" s="411">
        <v>0</v>
      </c>
      <c r="W173" s="411">
        <v>0</v>
      </c>
      <c r="X173" s="4453">
        <f t="shared" si="204"/>
        <v>7.9609288714416087</v>
      </c>
      <c r="Y173" s="4488"/>
      <c r="Z173" s="4504">
        <f t="shared" si="175"/>
        <v>66.391900691040831</v>
      </c>
      <c r="AA173" s="4504">
        <f t="shared" si="190"/>
        <v>0</v>
      </c>
      <c r="AB173" s="4504">
        <f t="shared" si="191"/>
        <v>0</v>
      </c>
      <c r="AC173" s="4504">
        <f t="shared" si="176"/>
        <v>66.391900691040831</v>
      </c>
      <c r="AD173" s="4504">
        <f t="shared" si="177"/>
        <v>0</v>
      </c>
      <c r="AE173" s="4504">
        <f t="shared" si="192"/>
        <v>0</v>
      </c>
      <c r="AF173" s="4504">
        <f t="shared" si="193"/>
        <v>0</v>
      </c>
      <c r="AG173" s="4504">
        <f t="shared" si="178"/>
        <v>0</v>
      </c>
      <c r="AH173" s="4504">
        <f t="shared" si="179"/>
        <v>3062.3676035238236</v>
      </c>
      <c r="AI173" s="4504">
        <f t="shared" si="194"/>
        <v>0</v>
      </c>
      <c r="AJ173" s="4504">
        <f t="shared" si="195"/>
        <v>0</v>
      </c>
      <c r="AK173" s="4504">
        <f t="shared" si="180"/>
        <v>3062.3676035238236</v>
      </c>
      <c r="AL173" s="4504">
        <f t="shared" si="181"/>
        <v>0</v>
      </c>
      <c r="AM173" s="4504">
        <f t="shared" si="196"/>
        <v>0</v>
      </c>
      <c r="AN173" s="4504">
        <f t="shared" si="197"/>
        <v>0</v>
      </c>
      <c r="AO173" s="4504">
        <f t="shared" si="182"/>
        <v>0</v>
      </c>
      <c r="AP173" s="4504">
        <f t="shared" si="183"/>
        <v>4.0703582987486691</v>
      </c>
      <c r="AQ173" s="4504">
        <f t="shared" si="198"/>
        <v>0</v>
      </c>
      <c r="AR173" s="4504">
        <f t="shared" si="199"/>
        <v>0</v>
      </c>
      <c r="AS173" s="4504">
        <f t="shared" si="184"/>
        <v>4.0703582987486691</v>
      </c>
    </row>
    <row r="174" spans="1:45" ht="48.6" thickBot="1">
      <c r="A174" s="2611">
        <v>21</v>
      </c>
      <c r="B174" s="2554" t="s">
        <v>707</v>
      </c>
      <c r="C174" s="2560">
        <v>0.2</v>
      </c>
      <c r="D174" s="2590" t="s">
        <v>679</v>
      </c>
      <c r="E174" s="411">
        <v>0</v>
      </c>
      <c r="F174" s="411">
        <v>0</v>
      </c>
      <c r="G174" s="411">
        <v>0</v>
      </c>
      <c r="H174" s="4453">
        <f t="shared" si="200"/>
        <v>0</v>
      </c>
      <c r="I174" s="411">
        <v>0</v>
      </c>
      <c r="J174" s="411">
        <v>0</v>
      </c>
      <c r="K174" s="411">
        <v>0</v>
      </c>
      <c r="L174" s="4453">
        <f t="shared" si="201"/>
        <v>0</v>
      </c>
      <c r="M174" s="411">
        <v>0</v>
      </c>
      <c r="N174" s="411"/>
      <c r="O174" s="411"/>
      <c r="P174" s="4453">
        <f t="shared" si="202"/>
        <v>0</v>
      </c>
      <c r="Q174" s="411"/>
      <c r="R174" s="411"/>
      <c r="S174" s="411"/>
      <c r="T174" s="4453">
        <f t="shared" si="203"/>
        <v>0</v>
      </c>
      <c r="U174" s="411">
        <v>0</v>
      </c>
      <c r="V174" s="411">
        <v>0</v>
      </c>
      <c r="W174" s="411">
        <v>0</v>
      </c>
      <c r="X174" s="4453">
        <f t="shared" si="204"/>
        <v>0</v>
      </c>
      <c r="Y174" s="4488"/>
      <c r="Z174" s="4504">
        <f t="shared" si="175"/>
        <v>0</v>
      </c>
      <c r="AA174" s="4504">
        <f t="shared" si="190"/>
        <v>0</v>
      </c>
      <c r="AB174" s="4504">
        <f t="shared" si="191"/>
        <v>0</v>
      </c>
      <c r="AC174" s="4504">
        <f t="shared" si="176"/>
        <v>0</v>
      </c>
      <c r="AD174" s="4504">
        <f t="shared" si="177"/>
        <v>0</v>
      </c>
      <c r="AE174" s="4504">
        <f t="shared" si="192"/>
        <v>0</v>
      </c>
      <c r="AF174" s="4504">
        <f t="shared" si="193"/>
        <v>0</v>
      </c>
      <c r="AG174" s="4504">
        <f t="shared" si="178"/>
        <v>0</v>
      </c>
      <c r="AH174" s="4504">
        <f t="shared" si="179"/>
        <v>0</v>
      </c>
      <c r="AI174" s="4504">
        <f t="shared" si="194"/>
        <v>0</v>
      </c>
      <c r="AJ174" s="4504">
        <f t="shared" si="195"/>
        <v>0</v>
      </c>
      <c r="AK174" s="4504">
        <f t="shared" si="180"/>
        <v>0</v>
      </c>
      <c r="AL174" s="4504">
        <f t="shared" si="181"/>
        <v>0</v>
      </c>
      <c r="AM174" s="4504">
        <f t="shared" si="196"/>
        <v>0</v>
      </c>
      <c r="AN174" s="4504">
        <f t="shared" si="197"/>
        <v>0</v>
      </c>
      <c r="AO174" s="4504">
        <f t="shared" si="182"/>
        <v>0</v>
      </c>
      <c r="AP174" s="4504">
        <f t="shared" si="183"/>
        <v>0</v>
      </c>
      <c r="AQ174" s="4504">
        <f t="shared" si="198"/>
        <v>0</v>
      </c>
      <c r="AR174" s="4504">
        <f t="shared" si="199"/>
        <v>0</v>
      </c>
      <c r="AS174" s="4504">
        <f t="shared" si="184"/>
        <v>0</v>
      </c>
    </row>
    <row r="175" spans="1:45" ht="13.8" thickBot="1">
      <c r="A175" s="3746" t="s">
        <v>206</v>
      </c>
      <c r="B175" s="5379" t="s">
        <v>220</v>
      </c>
      <c r="C175" s="5380"/>
      <c r="D175" s="5381"/>
      <c r="E175" s="1246">
        <f t="shared" ref="E175:H175" si="205">SUM(E176:E196)</f>
        <v>16051.127925914971</v>
      </c>
      <c r="F175" s="1246">
        <f t="shared" si="205"/>
        <v>945.4039829159716</v>
      </c>
      <c r="G175" s="1246">
        <f t="shared" si="205"/>
        <v>0</v>
      </c>
      <c r="H175" s="1246">
        <f t="shared" si="205"/>
        <v>16996.531908830941</v>
      </c>
      <c r="I175" s="1246">
        <f t="shared" ref="I175:X175" si="206">SUM(I176:I196)</f>
        <v>10265.520210000001</v>
      </c>
      <c r="J175" s="1246">
        <f t="shared" si="206"/>
        <v>842.94337999999993</v>
      </c>
      <c r="K175" s="1246">
        <f t="shared" si="206"/>
        <v>0</v>
      </c>
      <c r="L175" s="1246">
        <f t="shared" si="206"/>
        <v>11108.463589999999</v>
      </c>
      <c r="M175" s="1246">
        <f t="shared" si="206"/>
        <v>21622.480369999994</v>
      </c>
      <c r="N175" s="1246">
        <f t="shared" si="206"/>
        <v>999.20738999999969</v>
      </c>
      <c r="O175" s="1246">
        <f t="shared" si="206"/>
        <v>0</v>
      </c>
      <c r="P175" s="1246">
        <f t="shared" si="206"/>
        <v>22621.687759999993</v>
      </c>
      <c r="Q175" s="1246">
        <f t="shared" si="206"/>
        <v>0</v>
      </c>
      <c r="R175" s="1246">
        <f t="shared" si="206"/>
        <v>0</v>
      </c>
      <c r="S175" s="1246">
        <f t="shared" si="206"/>
        <v>0</v>
      </c>
      <c r="T175" s="1246">
        <f t="shared" si="206"/>
        <v>0</v>
      </c>
      <c r="U175" s="1246">
        <f t="shared" si="206"/>
        <v>1447.0155740850207</v>
      </c>
      <c r="V175" s="1246">
        <f t="shared" si="206"/>
        <v>18.111887084027405</v>
      </c>
      <c r="W175" s="1246">
        <f t="shared" si="206"/>
        <v>0</v>
      </c>
      <c r="X175" s="1110">
        <f t="shared" si="206"/>
        <v>1465.1274611690478</v>
      </c>
      <c r="Y175" s="4488"/>
      <c r="Z175" s="4504">
        <f t="shared" si="175"/>
        <v>8206.811392562222</v>
      </c>
      <c r="AA175" s="4504">
        <f t="shared" si="190"/>
        <v>483.37738091550472</v>
      </c>
      <c r="AB175" s="4504">
        <f t="shared" si="191"/>
        <v>0</v>
      </c>
      <c r="AC175" s="4504">
        <f t="shared" si="176"/>
        <v>8690.1887734777265</v>
      </c>
      <c r="AD175" s="4504">
        <f t="shared" si="177"/>
        <v>5248.6771396287004</v>
      </c>
      <c r="AE175" s="4504">
        <f t="shared" si="192"/>
        <v>430.99010650209885</v>
      </c>
      <c r="AF175" s="4504">
        <f t="shared" si="193"/>
        <v>0</v>
      </c>
      <c r="AG175" s="4504">
        <f t="shared" si="178"/>
        <v>5679.667246130798</v>
      </c>
      <c r="AH175" s="4504">
        <f t="shared" si="179"/>
        <v>11055.398664505603</v>
      </c>
      <c r="AI175" s="4504">
        <f t="shared" si="194"/>
        <v>510.88662613826341</v>
      </c>
      <c r="AJ175" s="4504">
        <f t="shared" si="195"/>
        <v>0</v>
      </c>
      <c r="AK175" s="4504">
        <f t="shared" si="180"/>
        <v>11566.285290643867</v>
      </c>
      <c r="AL175" s="4504">
        <f t="shared" si="181"/>
        <v>0</v>
      </c>
      <c r="AM175" s="4504">
        <f t="shared" si="196"/>
        <v>0</v>
      </c>
      <c r="AN175" s="4504">
        <f t="shared" si="197"/>
        <v>0</v>
      </c>
      <c r="AO175" s="4504">
        <f t="shared" si="182"/>
        <v>0</v>
      </c>
      <c r="AP175" s="4504">
        <f t="shared" si="183"/>
        <v>739.84731499415636</v>
      </c>
      <c r="AQ175" s="4504">
        <f t="shared" si="198"/>
        <v>9.2604608192058642</v>
      </c>
      <c r="AR175" s="4504">
        <f t="shared" si="199"/>
        <v>0</v>
      </c>
      <c r="AS175" s="4504">
        <f t="shared" si="184"/>
        <v>749.10777581336208</v>
      </c>
    </row>
    <row r="176" spans="1:45">
      <c r="A176" s="2553">
        <v>1</v>
      </c>
      <c r="B176" s="2614" t="s">
        <v>696</v>
      </c>
      <c r="C176" s="2571">
        <v>0</v>
      </c>
      <c r="D176" s="2601" t="s">
        <v>558</v>
      </c>
      <c r="E176" s="411">
        <v>0</v>
      </c>
      <c r="F176" s="411">
        <v>0</v>
      </c>
      <c r="G176" s="411">
        <v>0</v>
      </c>
      <c r="H176" s="4453">
        <f t="shared" si="200"/>
        <v>0</v>
      </c>
      <c r="I176" s="411">
        <v>0</v>
      </c>
      <c r="J176" s="411">
        <v>0</v>
      </c>
      <c r="K176" s="411">
        <v>0</v>
      </c>
      <c r="L176" s="4453">
        <f t="shared" ref="L176:L196" si="207">+I176+J176-K176</f>
        <v>0</v>
      </c>
      <c r="M176" s="411">
        <v>0</v>
      </c>
      <c r="N176" s="411"/>
      <c r="O176" s="411"/>
      <c r="P176" s="4453">
        <f t="shared" ref="P176:P196" si="208">+M176+N176-O176</f>
        <v>0</v>
      </c>
      <c r="Q176" s="411"/>
      <c r="R176" s="411"/>
      <c r="S176" s="411"/>
      <c r="T176" s="4453">
        <f t="shared" ref="T176:T196" si="209">+Q176+R176-S176</f>
        <v>0</v>
      </c>
      <c r="U176" s="411">
        <v>0</v>
      </c>
      <c r="V176" s="411">
        <v>0</v>
      </c>
      <c r="W176" s="411">
        <v>0</v>
      </c>
      <c r="X176" s="4453">
        <f t="shared" ref="X176:X196" si="210">+U176+V176-W176</f>
        <v>0</v>
      </c>
      <c r="Y176" s="4488"/>
      <c r="Z176" s="4504">
        <f t="shared" si="175"/>
        <v>0</v>
      </c>
      <c r="AA176" s="4504">
        <f t="shared" si="190"/>
        <v>0</v>
      </c>
      <c r="AB176" s="4504">
        <f t="shared" si="191"/>
        <v>0</v>
      </c>
      <c r="AC176" s="4504">
        <f t="shared" si="176"/>
        <v>0</v>
      </c>
      <c r="AD176" s="4504">
        <f t="shared" si="177"/>
        <v>0</v>
      </c>
      <c r="AE176" s="4504">
        <f t="shared" si="192"/>
        <v>0</v>
      </c>
      <c r="AF176" s="4504">
        <f t="shared" si="193"/>
        <v>0</v>
      </c>
      <c r="AG176" s="4504">
        <f t="shared" si="178"/>
        <v>0</v>
      </c>
      <c r="AH176" s="4504">
        <f t="shared" si="179"/>
        <v>0</v>
      </c>
      <c r="AI176" s="4504">
        <f t="shared" si="194"/>
        <v>0</v>
      </c>
      <c r="AJ176" s="4504">
        <f t="shared" si="195"/>
        <v>0</v>
      </c>
      <c r="AK176" s="4504">
        <f t="shared" si="180"/>
        <v>0</v>
      </c>
      <c r="AL176" s="4504">
        <f t="shared" si="181"/>
        <v>0</v>
      </c>
      <c r="AM176" s="4504">
        <f t="shared" si="196"/>
        <v>0</v>
      </c>
      <c r="AN176" s="4504">
        <f t="shared" si="197"/>
        <v>0</v>
      </c>
      <c r="AO176" s="4504">
        <f t="shared" si="182"/>
        <v>0</v>
      </c>
      <c r="AP176" s="4504">
        <f t="shared" si="183"/>
        <v>0</v>
      </c>
      <c r="AQ176" s="4504">
        <f t="shared" si="198"/>
        <v>0</v>
      </c>
      <c r="AR176" s="4504">
        <f t="shared" si="199"/>
        <v>0</v>
      </c>
      <c r="AS176" s="4504">
        <f t="shared" si="184"/>
        <v>0</v>
      </c>
    </row>
    <row r="177" spans="1:45">
      <c r="A177" s="2553">
        <v>2</v>
      </c>
      <c r="B177" s="2554" t="s">
        <v>697</v>
      </c>
      <c r="C177" s="2555">
        <v>0.03</v>
      </c>
      <c r="D177" s="2609" t="s">
        <v>426</v>
      </c>
      <c r="E177" s="411">
        <v>532.3579735842452</v>
      </c>
      <c r="F177" s="411">
        <v>8.5566875898665415</v>
      </c>
      <c r="G177" s="411">
        <v>0</v>
      </c>
      <c r="H177" s="4453">
        <f t="shared" si="200"/>
        <v>540.91466117411176</v>
      </c>
      <c r="I177" s="411">
        <v>35.849969999999999</v>
      </c>
      <c r="J177" s="411">
        <v>3.585</v>
      </c>
      <c r="K177" s="411">
        <v>0</v>
      </c>
      <c r="L177" s="4453">
        <f t="shared" si="207"/>
        <v>39.43497</v>
      </c>
      <c r="M177" s="411">
        <v>1406.1732400000001</v>
      </c>
      <c r="N177" s="411">
        <v>107.1246</v>
      </c>
      <c r="O177" s="411">
        <v>0</v>
      </c>
      <c r="P177" s="4453">
        <f t="shared" si="208"/>
        <v>1513.2978400000002</v>
      </c>
      <c r="Q177" s="411"/>
      <c r="R177" s="411"/>
      <c r="S177" s="411"/>
      <c r="T177" s="4453">
        <f t="shared" si="209"/>
        <v>0</v>
      </c>
      <c r="U177" s="411">
        <v>69.047326415754583</v>
      </c>
      <c r="V177" s="411">
        <v>1.892062410133458</v>
      </c>
      <c r="W177" s="411">
        <v>0</v>
      </c>
      <c r="X177" s="4453">
        <f t="shared" si="210"/>
        <v>70.939388825888045</v>
      </c>
      <c r="Y177" s="4488"/>
      <c r="Z177" s="4504">
        <f t="shared" si="175"/>
        <v>272.19030978369551</v>
      </c>
      <c r="AA177" s="4504">
        <f t="shared" si="190"/>
        <v>4.3749648946312005</v>
      </c>
      <c r="AB177" s="4504">
        <f t="shared" si="191"/>
        <v>0</v>
      </c>
      <c r="AC177" s="4504">
        <f t="shared" si="176"/>
        <v>276.56527467832672</v>
      </c>
      <c r="AD177" s="4504">
        <f t="shared" si="177"/>
        <v>18.329798602127997</v>
      </c>
      <c r="AE177" s="4504">
        <f t="shared" si="192"/>
        <v>1.8329813940884432</v>
      </c>
      <c r="AF177" s="4504">
        <f t="shared" si="193"/>
        <v>0</v>
      </c>
      <c r="AG177" s="4504">
        <f t="shared" si="178"/>
        <v>20.16277999621644</v>
      </c>
      <c r="AH177" s="4504">
        <f t="shared" si="179"/>
        <v>718.96496116738172</v>
      </c>
      <c r="AI177" s="4504">
        <f t="shared" si="194"/>
        <v>54.771938256392431</v>
      </c>
      <c r="AJ177" s="4504">
        <f t="shared" si="195"/>
        <v>0</v>
      </c>
      <c r="AK177" s="4504">
        <f t="shared" si="180"/>
        <v>773.73689942377416</v>
      </c>
      <c r="AL177" s="4504">
        <f t="shared" si="181"/>
        <v>0</v>
      </c>
      <c r="AM177" s="4504">
        <f t="shared" si="196"/>
        <v>0</v>
      </c>
      <c r="AN177" s="4504">
        <f t="shared" si="197"/>
        <v>0</v>
      </c>
      <c r="AO177" s="4504">
        <f t="shared" si="182"/>
        <v>0</v>
      </c>
      <c r="AP177" s="4504">
        <f t="shared" si="183"/>
        <v>35.303337414680513</v>
      </c>
      <c r="AQ177" s="4504">
        <f t="shared" si="198"/>
        <v>0.96739614901778681</v>
      </c>
      <c r="AR177" s="4504">
        <f t="shared" si="199"/>
        <v>0</v>
      </c>
      <c r="AS177" s="4504">
        <f t="shared" si="184"/>
        <v>36.2707335636983</v>
      </c>
    </row>
    <row r="178" spans="1:45">
      <c r="A178" s="2553">
        <v>3</v>
      </c>
      <c r="B178" s="2554">
        <v>911301</v>
      </c>
      <c r="C178" s="2555">
        <v>0.1</v>
      </c>
      <c r="D178" s="2609" t="s">
        <v>427</v>
      </c>
      <c r="E178" s="411">
        <v>0</v>
      </c>
      <c r="F178" s="411">
        <v>0</v>
      </c>
      <c r="G178" s="411">
        <v>0</v>
      </c>
      <c r="H178" s="4453">
        <f t="shared" si="200"/>
        <v>0</v>
      </c>
      <c r="I178" s="411">
        <v>0</v>
      </c>
      <c r="J178" s="411">
        <v>0</v>
      </c>
      <c r="K178" s="411">
        <v>0</v>
      </c>
      <c r="L178" s="4453">
        <f t="shared" si="207"/>
        <v>0</v>
      </c>
      <c r="M178" s="411">
        <v>0</v>
      </c>
      <c r="N178" s="411"/>
      <c r="O178" s="411"/>
      <c r="P178" s="4453">
        <f t="shared" si="208"/>
        <v>0</v>
      </c>
      <c r="Q178" s="411"/>
      <c r="R178" s="411"/>
      <c r="S178" s="411"/>
      <c r="T178" s="4453">
        <f t="shared" si="209"/>
        <v>0</v>
      </c>
      <c r="U178" s="411">
        <v>0</v>
      </c>
      <c r="V178" s="411">
        <v>0</v>
      </c>
      <c r="W178" s="411">
        <v>0</v>
      </c>
      <c r="X178" s="4453">
        <f t="shared" si="210"/>
        <v>0</v>
      </c>
      <c r="Y178" s="4488"/>
      <c r="Z178" s="4504">
        <f t="shared" si="175"/>
        <v>0</v>
      </c>
      <c r="AA178" s="4504">
        <f t="shared" si="190"/>
        <v>0</v>
      </c>
      <c r="AB178" s="4504">
        <f t="shared" si="191"/>
        <v>0</v>
      </c>
      <c r="AC178" s="4504">
        <f t="shared" si="176"/>
        <v>0</v>
      </c>
      <c r="AD178" s="4504">
        <f t="shared" si="177"/>
        <v>0</v>
      </c>
      <c r="AE178" s="4504">
        <f t="shared" si="192"/>
        <v>0</v>
      </c>
      <c r="AF178" s="4504">
        <f t="shared" si="193"/>
        <v>0</v>
      </c>
      <c r="AG178" s="4504">
        <f t="shared" si="178"/>
        <v>0</v>
      </c>
      <c r="AH178" s="4504">
        <f t="shared" si="179"/>
        <v>0</v>
      </c>
      <c r="AI178" s="4504">
        <f t="shared" si="194"/>
        <v>0</v>
      </c>
      <c r="AJ178" s="4504">
        <f t="shared" si="195"/>
        <v>0</v>
      </c>
      <c r="AK178" s="4504">
        <f t="shared" si="180"/>
        <v>0</v>
      </c>
      <c r="AL178" s="4504">
        <f t="shared" si="181"/>
        <v>0</v>
      </c>
      <c r="AM178" s="4504">
        <f t="shared" si="196"/>
        <v>0</v>
      </c>
      <c r="AN178" s="4504">
        <f t="shared" si="197"/>
        <v>0</v>
      </c>
      <c r="AO178" s="4504">
        <f t="shared" si="182"/>
        <v>0</v>
      </c>
      <c r="AP178" s="4504">
        <f t="shared" si="183"/>
        <v>0</v>
      </c>
      <c r="AQ178" s="4504">
        <f t="shared" si="198"/>
        <v>0</v>
      </c>
      <c r="AR178" s="4504">
        <f t="shared" si="199"/>
        <v>0</v>
      </c>
      <c r="AS178" s="4504">
        <f t="shared" si="184"/>
        <v>0</v>
      </c>
    </row>
    <row r="179" spans="1:45">
      <c r="A179" s="2553">
        <v>4</v>
      </c>
      <c r="B179" s="2554">
        <v>911302</v>
      </c>
      <c r="C179" s="2555">
        <v>0.1</v>
      </c>
      <c r="D179" s="2609" t="s">
        <v>428</v>
      </c>
      <c r="E179" s="411">
        <v>0</v>
      </c>
      <c r="F179" s="411">
        <v>0</v>
      </c>
      <c r="G179" s="411">
        <v>0</v>
      </c>
      <c r="H179" s="4453">
        <f t="shared" si="200"/>
        <v>0</v>
      </c>
      <c r="I179" s="411">
        <v>0</v>
      </c>
      <c r="J179" s="411">
        <v>0</v>
      </c>
      <c r="K179" s="411">
        <v>0</v>
      </c>
      <c r="L179" s="4453">
        <f t="shared" si="207"/>
        <v>0</v>
      </c>
      <c r="M179" s="411">
        <v>0</v>
      </c>
      <c r="N179" s="411"/>
      <c r="O179" s="411"/>
      <c r="P179" s="4453">
        <f t="shared" si="208"/>
        <v>0</v>
      </c>
      <c r="Q179" s="411"/>
      <c r="R179" s="411"/>
      <c r="S179" s="411"/>
      <c r="T179" s="4453">
        <f t="shared" si="209"/>
        <v>0</v>
      </c>
      <c r="U179" s="411">
        <v>0</v>
      </c>
      <c r="V179" s="411">
        <v>0</v>
      </c>
      <c r="W179" s="411">
        <v>0</v>
      </c>
      <c r="X179" s="4453">
        <f t="shared" si="210"/>
        <v>0</v>
      </c>
      <c r="Y179" s="4488"/>
      <c r="Z179" s="4504">
        <f t="shared" si="175"/>
        <v>0</v>
      </c>
      <c r="AA179" s="4504">
        <f t="shared" si="190"/>
        <v>0</v>
      </c>
      <c r="AB179" s="4504">
        <f t="shared" si="191"/>
        <v>0</v>
      </c>
      <c r="AC179" s="4504">
        <f t="shared" si="176"/>
        <v>0</v>
      </c>
      <c r="AD179" s="4504">
        <f t="shared" si="177"/>
        <v>0</v>
      </c>
      <c r="AE179" s="4504">
        <f t="shared" si="192"/>
        <v>0</v>
      </c>
      <c r="AF179" s="4504">
        <f t="shared" si="193"/>
        <v>0</v>
      </c>
      <c r="AG179" s="4504">
        <f t="shared" si="178"/>
        <v>0</v>
      </c>
      <c r="AH179" s="4504">
        <f t="shared" si="179"/>
        <v>0</v>
      </c>
      <c r="AI179" s="4504">
        <f t="shared" si="194"/>
        <v>0</v>
      </c>
      <c r="AJ179" s="4504">
        <f t="shared" si="195"/>
        <v>0</v>
      </c>
      <c r="AK179" s="4504">
        <f t="shared" si="180"/>
        <v>0</v>
      </c>
      <c r="AL179" s="4504">
        <f t="shared" si="181"/>
        <v>0</v>
      </c>
      <c r="AM179" s="4504">
        <f t="shared" si="196"/>
        <v>0</v>
      </c>
      <c r="AN179" s="4504">
        <f t="shared" si="197"/>
        <v>0</v>
      </c>
      <c r="AO179" s="4504">
        <f t="shared" si="182"/>
        <v>0</v>
      </c>
      <c r="AP179" s="4504">
        <f t="shared" si="183"/>
        <v>0</v>
      </c>
      <c r="AQ179" s="4504">
        <f t="shared" si="198"/>
        <v>0</v>
      </c>
      <c r="AR179" s="4504">
        <f t="shared" si="199"/>
        <v>0</v>
      </c>
      <c r="AS179" s="4504">
        <f t="shared" si="184"/>
        <v>0</v>
      </c>
    </row>
    <row r="180" spans="1:45">
      <c r="A180" s="2553">
        <v>5</v>
      </c>
      <c r="B180" s="2554" t="s">
        <v>714</v>
      </c>
      <c r="C180" s="2555">
        <v>0.1</v>
      </c>
      <c r="D180" s="2590" t="s">
        <v>407</v>
      </c>
      <c r="E180" s="411">
        <v>186.48121475451418</v>
      </c>
      <c r="F180" s="411">
        <v>0.36935742742214939</v>
      </c>
      <c r="G180" s="411">
        <v>0</v>
      </c>
      <c r="H180" s="4453">
        <f t="shared" si="200"/>
        <v>186.85057218193634</v>
      </c>
      <c r="I180" s="411">
        <v>0</v>
      </c>
      <c r="J180" s="411">
        <v>0</v>
      </c>
      <c r="K180" s="411">
        <v>0</v>
      </c>
      <c r="L180" s="4453">
        <f t="shared" si="207"/>
        <v>0</v>
      </c>
      <c r="M180" s="411">
        <v>1417.2899799999998</v>
      </c>
      <c r="N180" s="411">
        <v>0</v>
      </c>
      <c r="O180" s="411">
        <v>0</v>
      </c>
      <c r="P180" s="4453">
        <f t="shared" si="208"/>
        <v>1417.2899799999998</v>
      </c>
      <c r="Q180" s="411"/>
      <c r="R180" s="411"/>
      <c r="S180" s="411"/>
      <c r="T180" s="4453">
        <f t="shared" si="209"/>
        <v>0</v>
      </c>
      <c r="U180" s="411">
        <v>17.129055245485851</v>
      </c>
      <c r="V180" s="411">
        <v>0.23977257257785062</v>
      </c>
      <c r="W180" s="411">
        <v>0</v>
      </c>
      <c r="X180" s="4453">
        <f t="shared" si="210"/>
        <v>17.368827818063703</v>
      </c>
      <c r="Y180" s="4488"/>
      <c r="Z180" s="4504">
        <f t="shared" si="175"/>
        <v>95.34633109959158</v>
      </c>
      <c r="AA180" s="4504">
        <f t="shared" si="190"/>
        <v>0.18884945390046651</v>
      </c>
      <c r="AB180" s="4504">
        <f t="shared" si="191"/>
        <v>0</v>
      </c>
      <c r="AC180" s="4504">
        <f t="shared" si="176"/>
        <v>95.53518055349204</v>
      </c>
      <c r="AD180" s="4504">
        <f t="shared" si="177"/>
        <v>0</v>
      </c>
      <c r="AE180" s="4504">
        <f t="shared" si="192"/>
        <v>0</v>
      </c>
      <c r="AF180" s="4504">
        <f t="shared" si="193"/>
        <v>0</v>
      </c>
      <c r="AG180" s="4504">
        <f t="shared" si="178"/>
        <v>0</v>
      </c>
      <c r="AH180" s="4504">
        <f t="shared" si="179"/>
        <v>724.64886007475081</v>
      </c>
      <c r="AI180" s="4504">
        <f t="shared" si="194"/>
        <v>0</v>
      </c>
      <c r="AJ180" s="4504">
        <f t="shared" si="195"/>
        <v>0</v>
      </c>
      <c r="AK180" s="4504">
        <f t="shared" si="180"/>
        <v>724.64886007475081</v>
      </c>
      <c r="AL180" s="4504">
        <f t="shared" si="181"/>
        <v>0</v>
      </c>
      <c r="AM180" s="4504">
        <f t="shared" si="196"/>
        <v>0</v>
      </c>
      <c r="AN180" s="4504">
        <f t="shared" si="197"/>
        <v>0</v>
      </c>
      <c r="AO180" s="4504">
        <f t="shared" si="182"/>
        <v>0</v>
      </c>
      <c r="AP180" s="4504">
        <f t="shared" si="183"/>
        <v>8.7579468795784159</v>
      </c>
      <c r="AQ180" s="4504">
        <f t="shared" si="198"/>
        <v>0.12259376969258608</v>
      </c>
      <c r="AR180" s="4504">
        <f t="shared" si="199"/>
        <v>0</v>
      </c>
      <c r="AS180" s="4504">
        <f t="shared" si="184"/>
        <v>8.8805406492710013</v>
      </c>
    </row>
    <row r="181" spans="1:45">
      <c r="A181" s="2553">
        <v>6</v>
      </c>
      <c r="B181" s="2554" t="s">
        <v>715</v>
      </c>
      <c r="C181" s="2555">
        <v>0.1</v>
      </c>
      <c r="D181" s="2590" t="s">
        <v>1001</v>
      </c>
      <c r="E181" s="411">
        <v>103.25643850125267</v>
      </c>
      <c r="F181" s="411">
        <v>3.2000000000000003E-4</v>
      </c>
      <c r="G181" s="411">
        <v>0</v>
      </c>
      <c r="H181" s="4453">
        <f t="shared" si="200"/>
        <v>103.25675850125268</v>
      </c>
      <c r="I181" s="411">
        <v>0</v>
      </c>
      <c r="J181" s="411">
        <v>0</v>
      </c>
      <c r="K181" s="411">
        <v>0</v>
      </c>
      <c r="L181" s="4453">
        <f t="shared" si="207"/>
        <v>0</v>
      </c>
      <c r="M181" s="411">
        <v>42.437559999999998</v>
      </c>
      <c r="N181" s="411">
        <v>0</v>
      </c>
      <c r="O181" s="411">
        <v>0</v>
      </c>
      <c r="P181" s="4453">
        <f t="shared" si="208"/>
        <v>42.437559999999998</v>
      </c>
      <c r="Q181" s="411"/>
      <c r="R181" s="411"/>
      <c r="S181" s="411"/>
      <c r="T181" s="4453">
        <f t="shared" si="209"/>
        <v>0</v>
      </c>
      <c r="U181" s="411">
        <v>45.168631498747281</v>
      </c>
      <c r="V181" s="411">
        <v>0</v>
      </c>
      <c r="W181" s="411">
        <v>0</v>
      </c>
      <c r="X181" s="4453">
        <f t="shared" si="210"/>
        <v>45.168631498747281</v>
      </c>
      <c r="Y181" s="4488"/>
      <c r="Z181" s="4504">
        <f t="shared" si="175"/>
        <v>52.794178686927125</v>
      </c>
      <c r="AA181" s="4504">
        <f t="shared" si="190"/>
        <v>1.6361340198278994E-4</v>
      </c>
      <c r="AB181" s="4504">
        <f t="shared" si="191"/>
        <v>0</v>
      </c>
      <c r="AC181" s="4504">
        <f t="shared" si="176"/>
        <v>52.794342300329106</v>
      </c>
      <c r="AD181" s="4504">
        <f t="shared" si="177"/>
        <v>0</v>
      </c>
      <c r="AE181" s="4504">
        <f t="shared" si="192"/>
        <v>0</v>
      </c>
      <c r="AF181" s="4504">
        <f t="shared" si="193"/>
        <v>0</v>
      </c>
      <c r="AG181" s="4504">
        <f t="shared" si="178"/>
        <v>0</v>
      </c>
      <c r="AH181" s="4504">
        <f t="shared" si="179"/>
        <v>21.697979885777393</v>
      </c>
      <c r="AI181" s="4504">
        <f t="shared" si="194"/>
        <v>0</v>
      </c>
      <c r="AJ181" s="4504">
        <f t="shared" si="195"/>
        <v>0</v>
      </c>
      <c r="AK181" s="4504">
        <f t="shared" si="180"/>
        <v>21.697979885777393</v>
      </c>
      <c r="AL181" s="4504">
        <f t="shared" si="181"/>
        <v>0</v>
      </c>
      <c r="AM181" s="4504">
        <f t="shared" si="196"/>
        <v>0</v>
      </c>
      <c r="AN181" s="4504">
        <f t="shared" si="197"/>
        <v>0</v>
      </c>
      <c r="AO181" s="4504">
        <f t="shared" si="182"/>
        <v>0</v>
      </c>
      <c r="AP181" s="4504">
        <f t="shared" si="183"/>
        <v>23.094354570053266</v>
      </c>
      <c r="AQ181" s="4504">
        <f t="shared" si="198"/>
        <v>0</v>
      </c>
      <c r="AR181" s="4504">
        <f t="shared" si="199"/>
        <v>0</v>
      </c>
      <c r="AS181" s="4504">
        <f t="shared" si="184"/>
        <v>23.094354570053266</v>
      </c>
    </row>
    <row r="182" spans="1:45" ht="36">
      <c r="A182" s="2553">
        <v>7</v>
      </c>
      <c r="B182" s="2554" t="s">
        <v>706</v>
      </c>
      <c r="C182" s="2555">
        <v>0.1</v>
      </c>
      <c r="D182" s="2590" t="s">
        <v>695</v>
      </c>
      <c r="E182" s="411">
        <v>94.690167820852992</v>
      </c>
      <c r="F182" s="411">
        <v>0</v>
      </c>
      <c r="G182" s="411">
        <v>0</v>
      </c>
      <c r="H182" s="4453">
        <f t="shared" si="200"/>
        <v>94.690167820852992</v>
      </c>
      <c r="I182" s="411">
        <v>0</v>
      </c>
      <c r="J182" s="411">
        <v>0</v>
      </c>
      <c r="K182" s="411">
        <v>0</v>
      </c>
      <c r="L182" s="4453">
        <f t="shared" si="207"/>
        <v>0</v>
      </c>
      <c r="M182" s="411">
        <v>121.90919</v>
      </c>
      <c r="N182" s="411">
        <v>0</v>
      </c>
      <c r="O182" s="411">
        <v>0</v>
      </c>
      <c r="P182" s="4453">
        <f t="shared" si="208"/>
        <v>121.90919</v>
      </c>
      <c r="Q182" s="411"/>
      <c r="R182" s="411"/>
      <c r="S182" s="411"/>
      <c r="T182" s="4453">
        <f t="shared" si="209"/>
        <v>0</v>
      </c>
      <c r="U182" s="411">
        <v>18.195752179147036</v>
      </c>
      <c r="V182" s="411">
        <v>0</v>
      </c>
      <c r="W182" s="411">
        <v>0</v>
      </c>
      <c r="X182" s="4453">
        <f t="shared" si="210"/>
        <v>18.195752179147036</v>
      </c>
      <c r="Y182" s="4488"/>
      <c r="Z182" s="4504">
        <f t="shared" si="175"/>
        <v>48.414314035909563</v>
      </c>
      <c r="AA182" s="4504">
        <f t="shared" si="190"/>
        <v>0</v>
      </c>
      <c r="AB182" s="4504">
        <f t="shared" si="191"/>
        <v>0</v>
      </c>
      <c r="AC182" s="4504">
        <f t="shared" si="176"/>
        <v>48.414314035909563</v>
      </c>
      <c r="AD182" s="4504">
        <f t="shared" si="177"/>
        <v>0</v>
      </c>
      <c r="AE182" s="4504">
        <f t="shared" si="192"/>
        <v>0</v>
      </c>
      <c r="AF182" s="4504">
        <f t="shared" si="193"/>
        <v>0</v>
      </c>
      <c r="AG182" s="4504">
        <f t="shared" si="178"/>
        <v>0</v>
      </c>
      <c r="AH182" s="4504">
        <f t="shared" si="179"/>
        <v>62.331179090207229</v>
      </c>
      <c r="AI182" s="4504">
        <f t="shared" si="194"/>
        <v>0</v>
      </c>
      <c r="AJ182" s="4504">
        <f t="shared" si="195"/>
        <v>0</v>
      </c>
      <c r="AK182" s="4504">
        <f t="shared" si="180"/>
        <v>62.331179090207229</v>
      </c>
      <c r="AL182" s="4504">
        <f t="shared" si="181"/>
        <v>0</v>
      </c>
      <c r="AM182" s="4504">
        <f t="shared" si="196"/>
        <v>0</v>
      </c>
      <c r="AN182" s="4504">
        <f t="shared" si="197"/>
        <v>0</v>
      </c>
      <c r="AO182" s="4504">
        <f t="shared" si="182"/>
        <v>0</v>
      </c>
      <c r="AP182" s="4504">
        <f t="shared" si="183"/>
        <v>9.3033403614562804</v>
      </c>
      <c r="AQ182" s="4504">
        <f t="shared" si="198"/>
        <v>0</v>
      </c>
      <c r="AR182" s="4504">
        <f t="shared" si="199"/>
        <v>0</v>
      </c>
      <c r="AS182" s="4504">
        <f t="shared" si="184"/>
        <v>9.3033403614562804</v>
      </c>
    </row>
    <row r="183" spans="1:45">
      <c r="A183" s="2553">
        <v>8</v>
      </c>
      <c r="B183" s="2554" t="s">
        <v>716</v>
      </c>
      <c r="C183" s="2555">
        <v>0.1</v>
      </c>
      <c r="D183" s="2590" t="s">
        <v>713</v>
      </c>
      <c r="E183" s="411">
        <v>0</v>
      </c>
      <c r="F183" s="411">
        <v>0</v>
      </c>
      <c r="G183" s="411">
        <v>0</v>
      </c>
      <c r="H183" s="4453">
        <f t="shared" si="200"/>
        <v>0</v>
      </c>
      <c r="I183" s="411">
        <v>0</v>
      </c>
      <c r="J183" s="411">
        <v>0</v>
      </c>
      <c r="K183" s="411">
        <v>0</v>
      </c>
      <c r="L183" s="4453">
        <f t="shared" si="207"/>
        <v>0</v>
      </c>
      <c r="M183" s="411">
        <v>1060.6911700000001</v>
      </c>
      <c r="N183" s="411">
        <v>0</v>
      </c>
      <c r="O183" s="411">
        <v>0</v>
      </c>
      <c r="P183" s="4453">
        <f t="shared" si="208"/>
        <v>1060.6911700000001</v>
      </c>
      <c r="Q183" s="411"/>
      <c r="R183" s="411"/>
      <c r="S183" s="411"/>
      <c r="T183" s="4453">
        <f t="shared" si="209"/>
        <v>0</v>
      </c>
      <c r="U183" s="411">
        <v>0</v>
      </c>
      <c r="V183" s="411">
        <v>0</v>
      </c>
      <c r="W183" s="411">
        <v>0</v>
      </c>
      <c r="X183" s="4453">
        <f t="shared" si="210"/>
        <v>0</v>
      </c>
      <c r="Y183" s="4488"/>
      <c r="Z183" s="4504">
        <f t="shared" si="175"/>
        <v>0</v>
      </c>
      <c r="AA183" s="4504">
        <f t="shared" si="190"/>
        <v>0</v>
      </c>
      <c r="AB183" s="4504">
        <f t="shared" si="191"/>
        <v>0</v>
      </c>
      <c r="AC183" s="4504">
        <f t="shared" si="176"/>
        <v>0</v>
      </c>
      <c r="AD183" s="4504">
        <f t="shared" si="177"/>
        <v>0</v>
      </c>
      <c r="AE183" s="4504">
        <f t="shared" si="192"/>
        <v>0</v>
      </c>
      <c r="AF183" s="4504">
        <f t="shared" si="193"/>
        <v>0</v>
      </c>
      <c r="AG183" s="4504">
        <f t="shared" si="178"/>
        <v>0</v>
      </c>
      <c r="AH183" s="4504">
        <f t="shared" si="179"/>
        <v>542.32278367751803</v>
      </c>
      <c r="AI183" s="4504">
        <f t="shared" si="194"/>
        <v>0</v>
      </c>
      <c r="AJ183" s="4504">
        <f t="shared" si="195"/>
        <v>0</v>
      </c>
      <c r="AK183" s="4504">
        <f t="shared" si="180"/>
        <v>542.32278367751803</v>
      </c>
      <c r="AL183" s="4504">
        <f t="shared" si="181"/>
        <v>0</v>
      </c>
      <c r="AM183" s="4504">
        <f t="shared" si="196"/>
        <v>0</v>
      </c>
      <c r="AN183" s="4504">
        <f t="shared" si="197"/>
        <v>0</v>
      </c>
      <c r="AO183" s="4504">
        <f t="shared" si="182"/>
        <v>0</v>
      </c>
      <c r="AP183" s="4504">
        <f t="shared" si="183"/>
        <v>0</v>
      </c>
      <c r="AQ183" s="4504">
        <f t="shared" si="198"/>
        <v>0</v>
      </c>
      <c r="AR183" s="4504">
        <f t="shared" si="199"/>
        <v>0</v>
      </c>
      <c r="AS183" s="4504">
        <f t="shared" si="184"/>
        <v>0</v>
      </c>
    </row>
    <row r="184" spans="1:45" ht="24">
      <c r="A184" s="2611">
        <v>9</v>
      </c>
      <c r="B184" s="2554">
        <v>911306</v>
      </c>
      <c r="C184" s="2555">
        <v>0.1</v>
      </c>
      <c r="D184" s="2590" t="s">
        <v>1032</v>
      </c>
      <c r="E184" s="411">
        <v>64.545346888687661</v>
      </c>
      <c r="F184" s="411">
        <v>9.4200000000000006E-2</v>
      </c>
      <c r="G184" s="411">
        <v>0</v>
      </c>
      <c r="H184" s="4453">
        <f t="shared" si="200"/>
        <v>64.639546888687661</v>
      </c>
      <c r="I184" s="411">
        <v>8.4607700000000001</v>
      </c>
      <c r="J184" s="411">
        <v>0.84623999999999999</v>
      </c>
      <c r="K184" s="411">
        <v>0</v>
      </c>
      <c r="L184" s="4453">
        <f t="shared" si="207"/>
        <v>9.30701</v>
      </c>
      <c r="M184" s="411">
        <v>5747.624439999995</v>
      </c>
      <c r="N184" s="411">
        <v>1.5900000000000003E-3</v>
      </c>
      <c r="O184" s="411">
        <v>0</v>
      </c>
      <c r="P184" s="4453">
        <f t="shared" si="208"/>
        <v>5747.6260299999949</v>
      </c>
      <c r="Q184" s="411"/>
      <c r="R184" s="411"/>
      <c r="S184" s="411"/>
      <c r="T184" s="4453">
        <f t="shared" si="209"/>
        <v>0</v>
      </c>
      <c r="U184" s="411">
        <v>13.399183111312292</v>
      </c>
      <c r="V184" s="411">
        <v>0</v>
      </c>
      <c r="W184" s="411">
        <v>0</v>
      </c>
      <c r="X184" s="4453">
        <f t="shared" si="210"/>
        <v>13.399183111312292</v>
      </c>
      <c r="Y184" s="4488"/>
      <c r="Z184" s="4504">
        <f t="shared" si="175"/>
        <v>33.001511833179606</v>
      </c>
      <c r="AA184" s="4504">
        <f t="shared" si="190"/>
        <v>4.8163695208683785E-2</v>
      </c>
      <c r="AB184" s="4504">
        <f t="shared" si="191"/>
        <v>0</v>
      </c>
      <c r="AC184" s="4504">
        <f t="shared" si="176"/>
        <v>33.049675528388285</v>
      </c>
      <c r="AD184" s="4504">
        <f t="shared" si="177"/>
        <v>4.3259230096685295</v>
      </c>
      <c r="AE184" s="4504">
        <f t="shared" si="192"/>
        <v>0.43267564154348792</v>
      </c>
      <c r="AF184" s="4504">
        <f t="shared" si="193"/>
        <v>0</v>
      </c>
      <c r="AG184" s="4504">
        <f t="shared" si="178"/>
        <v>4.7585986512120177</v>
      </c>
      <c r="AH184" s="4504">
        <f t="shared" si="179"/>
        <v>2938.7137123369594</v>
      </c>
      <c r="AI184" s="4504">
        <f t="shared" si="194"/>
        <v>8.1295409110198756E-4</v>
      </c>
      <c r="AJ184" s="4504">
        <f t="shared" si="195"/>
        <v>0</v>
      </c>
      <c r="AK184" s="4504">
        <f t="shared" si="180"/>
        <v>2938.7145252910504</v>
      </c>
      <c r="AL184" s="4504">
        <f t="shared" si="181"/>
        <v>0</v>
      </c>
      <c r="AM184" s="4504">
        <f t="shared" si="196"/>
        <v>0</v>
      </c>
      <c r="AN184" s="4504">
        <f t="shared" si="197"/>
        <v>0</v>
      </c>
      <c r="AO184" s="4504">
        <f t="shared" si="182"/>
        <v>0</v>
      </c>
      <c r="AP184" s="4504">
        <f t="shared" si="183"/>
        <v>6.8508935394754618</v>
      </c>
      <c r="AQ184" s="4504">
        <f t="shared" si="198"/>
        <v>0</v>
      </c>
      <c r="AR184" s="4504">
        <f t="shared" si="199"/>
        <v>0</v>
      </c>
      <c r="AS184" s="4504">
        <f t="shared" si="184"/>
        <v>6.8508935394754618</v>
      </c>
    </row>
    <row r="185" spans="1:45">
      <c r="A185" s="2611">
        <v>10</v>
      </c>
      <c r="B185" s="2554">
        <v>91140101</v>
      </c>
      <c r="C185" s="2610">
        <v>0.1</v>
      </c>
      <c r="D185" s="2584" t="s">
        <v>1016</v>
      </c>
      <c r="E185" s="411">
        <v>66.653299421452701</v>
      </c>
      <c r="F185" s="411">
        <v>0</v>
      </c>
      <c r="G185" s="411">
        <v>0</v>
      </c>
      <c r="H185" s="4453">
        <f t="shared" si="200"/>
        <v>66.653299421452701</v>
      </c>
      <c r="I185" s="411">
        <v>0</v>
      </c>
      <c r="J185" s="411">
        <v>0</v>
      </c>
      <c r="K185" s="411">
        <v>0</v>
      </c>
      <c r="L185" s="4453">
        <f t="shared" si="207"/>
        <v>0</v>
      </c>
      <c r="M185" s="411">
        <v>376.17076000000009</v>
      </c>
      <c r="N185" s="411">
        <v>0</v>
      </c>
      <c r="O185" s="411">
        <v>0</v>
      </c>
      <c r="P185" s="4453">
        <f t="shared" si="208"/>
        <v>376.17076000000009</v>
      </c>
      <c r="Q185" s="411"/>
      <c r="R185" s="411"/>
      <c r="S185" s="411"/>
      <c r="T185" s="4453">
        <f t="shared" si="209"/>
        <v>0</v>
      </c>
      <c r="U185" s="411">
        <v>1.9825705785472931</v>
      </c>
      <c r="V185" s="411">
        <v>0</v>
      </c>
      <c r="W185" s="411">
        <v>0</v>
      </c>
      <c r="X185" s="4453">
        <f t="shared" si="210"/>
        <v>1.9825705785472931</v>
      </c>
      <c r="Y185" s="4488"/>
      <c r="Z185" s="4504">
        <f t="shared" si="175"/>
        <v>34.079290849129372</v>
      </c>
      <c r="AA185" s="4504">
        <f t="shared" si="190"/>
        <v>0</v>
      </c>
      <c r="AB185" s="4504">
        <f t="shared" si="191"/>
        <v>0</v>
      </c>
      <c r="AC185" s="4504">
        <f t="shared" si="176"/>
        <v>34.079290849129372</v>
      </c>
      <c r="AD185" s="4504">
        <f t="shared" si="177"/>
        <v>0</v>
      </c>
      <c r="AE185" s="4504">
        <f t="shared" si="192"/>
        <v>0</v>
      </c>
      <c r="AF185" s="4504">
        <f t="shared" si="193"/>
        <v>0</v>
      </c>
      <c r="AG185" s="4504">
        <f t="shared" si="178"/>
        <v>0</v>
      </c>
      <c r="AH185" s="4504">
        <f t="shared" si="179"/>
        <v>192.33305553141128</v>
      </c>
      <c r="AI185" s="4504">
        <f t="shared" si="194"/>
        <v>0</v>
      </c>
      <c r="AJ185" s="4504">
        <f t="shared" si="195"/>
        <v>0</v>
      </c>
      <c r="AK185" s="4504">
        <f t="shared" si="180"/>
        <v>192.33305553141128</v>
      </c>
      <c r="AL185" s="4504">
        <f t="shared" si="181"/>
        <v>0</v>
      </c>
      <c r="AM185" s="4504">
        <f t="shared" si="196"/>
        <v>0</v>
      </c>
      <c r="AN185" s="4504">
        <f t="shared" si="197"/>
        <v>0</v>
      </c>
      <c r="AO185" s="4504">
        <f t="shared" si="182"/>
        <v>0</v>
      </c>
      <c r="AP185" s="4504">
        <f t="shared" si="183"/>
        <v>1.0136722407097207</v>
      </c>
      <c r="AQ185" s="4504">
        <f t="shared" si="198"/>
        <v>0</v>
      </c>
      <c r="AR185" s="4504">
        <f t="shared" si="199"/>
        <v>0</v>
      </c>
      <c r="AS185" s="4504">
        <f t="shared" si="184"/>
        <v>1.0136722407097207</v>
      </c>
    </row>
    <row r="186" spans="1:45">
      <c r="A186" s="2611">
        <v>11</v>
      </c>
      <c r="B186" s="2554">
        <v>91140102</v>
      </c>
      <c r="C186" s="2610">
        <v>0.04</v>
      </c>
      <c r="D186" s="2584" t="s">
        <v>432</v>
      </c>
      <c r="E186" s="411">
        <v>198.42233514171036</v>
      </c>
      <c r="F186" s="411">
        <v>1.46852</v>
      </c>
      <c r="G186" s="411">
        <v>0</v>
      </c>
      <c r="H186" s="4453">
        <f t="shared" si="200"/>
        <v>199.89085514171038</v>
      </c>
      <c r="I186" s="411">
        <v>0</v>
      </c>
      <c r="J186" s="411">
        <v>0</v>
      </c>
      <c r="K186" s="411">
        <v>0</v>
      </c>
      <c r="L186" s="4453">
        <f t="shared" si="207"/>
        <v>0</v>
      </c>
      <c r="M186" s="411">
        <v>718.17690999999979</v>
      </c>
      <c r="N186" s="411">
        <v>50.063879999999997</v>
      </c>
      <c r="O186" s="411">
        <v>0</v>
      </c>
      <c r="P186" s="4453">
        <f t="shared" si="208"/>
        <v>768.24078999999983</v>
      </c>
      <c r="Q186" s="411"/>
      <c r="R186" s="411"/>
      <c r="S186" s="411"/>
      <c r="T186" s="4453">
        <f t="shared" si="209"/>
        <v>0</v>
      </c>
      <c r="U186" s="411">
        <v>12.632704858289637</v>
      </c>
      <c r="V186" s="411">
        <v>0</v>
      </c>
      <c r="W186" s="411">
        <v>0</v>
      </c>
      <c r="X186" s="4453">
        <f t="shared" si="210"/>
        <v>12.632704858289637</v>
      </c>
      <c r="Y186" s="4488"/>
      <c r="Z186" s="4504">
        <f t="shared" si="175"/>
        <v>101.45172900595162</v>
      </c>
      <c r="AA186" s="4504">
        <f t="shared" si="190"/>
        <v>0.75084235337427085</v>
      </c>
      <c r="AB186" s="4504">
        <f t="shared" si="191"/>
        <v>0</v>
      </c>
      <c r="AC186" s="4504">
        <f t="shared" si="176"/>
        <v>102.2025713593259</v>
      </c>
      <c r="AD186" s="4504">
        <f t="shared" si="177"/>
        <v>0</v>
      </c>
      <c r="AE186" s="4504">
        <f t="shared" si="192"/>
        <v>0</v>
      </c>
      <c r="AF186" s="4504">
        <f t="shared" si="193"/>
        <v>0</v>
      </c>
      <c r="AG186" s="4504">
        <f t="shared" si="178"/>
        <v>0</v>
      </c>
      <c r="AH186" s="4504">
        <f t="shared" si="179"/>
        <v>367.19802334558722</v>
      </c>
      <c r="AI186" s="4504">
        <f t="shared" si="194"/>
        <v>25.597255385181739</v>
      </c>
      <c r="AJ186" s="4504">
        <f t="shared" si="195"/>
        <v>0</v>
      </c>
      <c r="AK186" s="4504">
        <f t="shared" si="180"/>
        <v>392.79527873076898</v>
      </c>
      <c r="AL186" s="4504">
        <f t="shared" si="181"/>
        <v>0</v>
      </c>
      <c r="AM186" s="4504">
        <f t="shared" si="196"/>
        <v>0</v>
      </c>
      <c r="AN186" s="4504">
        <f t="shared" si="197"/>
        <v>0</v>
      </c>
      <c r="AO186" s="4504">
        <f t="shared" si="182"/>
        <v>0</v>
      </c>
      <c r="AP186" s="4504">
        <f t="shared" si="183"/>
        <v>6.4589994315915176</v>
      </c>
      <c r="AQ186" s="4504">
        <f t="shared" si="198"/>
        <v>0</v>
      </c>
      <c r="AR186" s="4504">
        <f t="shared" si="199"/>
        <v>0</v>
      </c>
      <c r="AS186" s="4504">
        <f t="shared" si="184"/>
        <v>6.4589994315915176</v>
      </c>
    </row>
    <row r="187" spans="1:45">
      <c r="A187" s="2611">
        <v>12</v>
      </c>
      <c r="B187" s="2554" t="s">
        <v>698</v>
      </c>
      <c r="C187" s="2555">
        <v>0.02</v>
      </c>
      <c r="D187" s="2585" t="s">
        <v>738</v>
      </c>
      <c r="E187" s="411">
        <v>0</v>
      </c>
      <c r="F187" s="411">
        <v>0</v>
      </c>
      <c r="G187" s="411">
        <v>0</v>
      </c>
      <c r="H187" s="4453">
        <f t="shared" si="200"/>
        <v>0</v>
      </c>
      <c r="I187" s="411">
        <v>0</v>
      </c>
      <c r="J187" s="411">
        <v>0</v>
      </c>
      <c r="K187" s="411">
        <v>0</v>
      </c>
      <c r="L187" s="4453">
        <f t="shared" si="207"/>
        <v>0</v>
      </c>
      <c r="M187" s="411">
        <v>0</v>
      </c>
      <c r="N187" s="411"/>
      <c r="O187" s="411"/>
      <c r="P187" s="4453">
        <f t="shared" si="208"/>
        <v>0</v>
      </c>
      <c r="Q187" s="411"/>
      <c r="R187" s="411"/>
      <c r="S187" s="411"/>
      <c r="T187" s="4453">
        <f t="shared" si="209"/>
        <v>0</v>
      </c>
      <c r="U187" s="411">
        <v>0</v>
      </c>
      <c r="V187" s="411">
        <v>0</v>
      </c>
      <c r="W187" s="411">
        <v>0</v>
      </c>
      <c r="X187" s="4453">
        <f t="shared" si="210"/>
        <v>0</v>
      </c>
      <c r="Y187" s="4488"/>
      <c r="Z187" s="4504">
        <f t="shared" si="175"/>
        <v>0</v>
      </c>
      <c r="AA187" s="4504">
        <f t="shared" si="190"/>
        <v>0</v>
      </c>
      <c r="AB187" s="4504">
        <f t="shared" si="191"/>
        <v>0</v>
      </c>
      <c r="AC187" s="4504">
        <f t="shared" si="176"/>
        <v>0</v>
      </c>
      <c r="AD187" s="4504">
        <f t="shared" si="177"/>
        <v>0</v>
      </c>
      <c r="AE187" s="4504">
        <f t="shared" si="192"/>
        <v>0</v>
      </c>
      <c r="AF187" s="4504">
        <f t="shared" si="193"/>
        <v>0</v>
      </c>
      <c r="AG187" s="4504">
        <f t="shared" si="178"/>
        <v>0</v>
      </c>
      <c r="AH187" s="4504">
        <f t="shared" si="179"/>
        <v>0</v>
      </c>
      <c r="AI187" s="4504">
        <f t="shared" si="194"/>
        <v>0</v>
      </c>
      <c r="AJ187" s="4504">
        <f t="shared" si="195"/>
        <v>0</v>
      </c>
      <c r="AK187" s="4504">
        <f t="shared" si="180"/>
        <v>0</v>
      </c>
      <c r="AL187" s="4504">
        <f t="shared" si="181"/>
        <v>0</v>
      </c>
      <c r="AM187" s="4504">
        <f t="shared" si="196"/>
        <v>0</v>
      </c>
      <c r="AN187" s="4504">
        <f t="shared" si="197"/>
        <v>0</v>
      </c>
      <c r="AO187" s="4504">
        <f t="shared" si="182"/>
        <v>0</v>
      </c>
      <c r="AP187" s="4504">
        <f t="shared" si="183"/>
        <v>0</v>
      </c>
      <c r="AQ187" s="4504">
        <f t="shared" si="198"/>
        <v>0</v>
      </c>
      <c r="AR187" s="4504">
        <f t="shared" si="199"/>
        <v>0</v>
      </c>
      <c r="AS187" s="4504">
        <f t="shared" si="184"/>
        <v>0</v>
      </c>
    </row>
    <row r="188" spans="1:45">
      <c r="A188" s="2611">
        <v>13</v>
      </c>
      <c r="B188" s="2554" t="s">
        <v>699</v>
      </c>
      <c r="C188" s="2555">
        <v>0.02</v>
      </c>
      <c r="D188" s="2585" t="s">
        <v>739</v>
      </c>
      <c r="E188" s="411">
        <v>802.34248955221869</v>
      </c>
      <c r="F188" s="411">
        <v>26.470409632685548</v>
      </c>
      <c r="G188" s="411">
        <v>0</v>
      </c>
      <c r="H188" s="4453">
        <f t="shared" si="200"/>
        <v>828.81289918490427</v>
      </c>
      <c r="I188" s="411">
        <v>0</v>
      </c>
      <c r="J188" s="411">
        <v>0</v>
      </c>
      <c r="K188" s="411">
        <v>0</v>
      </c>
      <c r="L188" s="4453">
        <f t="shared" si="207"/>
        <v>0</v>
      </c>
      <c r="M188" s="411">
        <v>0</v>
      </c>
      <c r="N188" s="411"/>
      <c r="O188" s="411"/>
      <c r="P188" s="4453">
        <f t="shared" si="208"/>
        <v>0</v>
      </c>
      <c r="Q188" s="411"/>
      <c r="R188" s="411"/>
      <c r="S188" s="411"/>
      <c r="T188" s="4453">
        <f t="shared" si="209"/>
        <v>0</v>
      </c>
      <c r="U188" s="411">
        <v>15.030460447781431</v>
      </c>
      <c r="V188" s="411">
        <v>0.47770036731444621</v>
      </c>
      <c r="W188" s="411">
        <v>0</v>
      </c>
      <c r="X188" s="4453">
        <f t="shared" si="210"/>
        <v>15.508160815095877</v>
      </c>
      <c r="Y188" s="4488"/>
      <c r="Z188" s="4504">
        <f t="shared" si="175"/>
        <v>410.23120084681119</v>
      </c>
      <c r="AA188" s="4504">
        <f t="shared" si="190"/>
        <v>13.534105537130298</v>
      </c>
      <c r="AB188" s="4504">
        <f t="shared" si="191"/>
        <v>0</v>
      </c>
      <c r="AC188" s="4504">
        <f t="shared" si="176"/>
        <v>423.76530638394149</v>
      </c>
      <c r="AD188" s="4504">
        <f t="shared" si="177"/>
        <v>0</v>
      </c>
      <c r="AE188" s="4504">
        <f t="shared" si="192"/>
        <v>0</v>
      </c>
      <c r="AF188" s="4504">
        <f t="shared" si="193"/>
        <v>0</v>
      </c>
      <c r="AG188" s="4504">
        <f t="shared" si="178"/>
        <v>0</v>
      </c>
      <c r="AH188" s="4504">
        <f t="shared" si="179"/>
        <v>0</v>
      </c>
      <c r="AI188" s="4504">
        <f t="shared" si="194"/>
        <v>0</v>
      </c>
      <c r="AJ188" s="4504">
        <f t="shared" si="195"/>
        <v>0</v>
      </c>
      <c r="AK188" s="4504">
        <f t="shared" si="180"/>
        <v>0</v>
      </c>
      <c r="AL188" s="4504">
        <f t="shared" si="181"/>
        <v>0</v>
      </c>
      <c r="AM188" s="4504">
        <f t="shared" si="196"/>
        <v>0</v>
      </c>
      <c r="AN188" s="4504">
        <f t="shared" si="197"/>
        <v>0</v>
      </c>
      <c r="AO188" s="4504">
        <f t="shared" si="182"/>
        <v>0</v>
      </c>
      <c r="AP188" s="4504">
        <f t="shared" si="183"/>
        <v>7.6849523975915242</v>
      </c>
      <c r="AQ188" s="4504">
        <f t="shared" si="198"/>
        <v>0.24424431945232777</v>
      </c>
      <c r="AR188" s="4504">
        <f t="shared" si="199"/>
        <v>0</v>
      </c>
      <c r="AS188" s="4504">
        <f t="shared" si="184"/>
        <v>7.929196717043852</v>
      </c>
    </row>
    <row r="189" spans="1:45">
      <c r="A189" s="2611">
        <v>14</v>
      </c>
      <c r="B189" s="2554" t="s">
        <v>700</v>
      </c>
      <c r="C189" s="2555">
        <v>0.02</v>
      </c>
      <c r="D189" s="2585" t="s">
        <v>418</v>
      </c>
      <c r="E189" s="411">
        <v>34.546468892260535</v>
      </c>
      <c r="F189" s="411">
        <v>0.49985250891096844</v>
      </c>
      <c r="G189" s="411">
        <v>0</v>
      </c>
      <c r="H189" s="4453">
        <f t="shared" si="200"/>
        <v>35.046321401171504</v>
      </c>
      <c r="I189" s="411">
        <v>0</v>
      </c>
      <c r="J189" s="411">
        <v>0</v>
      </c>
      <c r="K189" s="411">
        <v>0</v>
      </c>
      <c r="L189" s="4453">
        <f t="shared" si="207"/>
        <v>0</v>
      </c>
      <c r="M189" s="411">
        <v>0</v>
      </c>
      <c r="N189" s="411"/>
      <c r="O189" s="411"/>
      <c r="P189" s="4453">
        <f t="shared" si="208"/>
        <v>0</v>
      </c>
      <c r="Q189" s="411"/>
      <c r="R189" s="411"/>
      <c r="S189" s="411"/>
      <c r="T189" s="4453">
        <f t="shared" si="209"/>
        <v>0</v>
      </c>
      <c r="U189" s="411">
        <v>0.39582110773946522</v>
      </c>
      <c r="V189" s="411">
        <v>1.7227491089031471E-2</v>
      </c>
      <c r="W189" s="411">
        <v>0</v>
      </c>
      <c r="X189" s="4453">
        <f t="shared" si="210"/>
        <v>0.4130485988284967</v>
      </c>
      <c r="Y189" s="4488"/>
      <c r="Z189" s="4504">
        <f t="shared" si="175"/>
        <v>17.66332906861053</v>
      </c>
      <c r="AA189" s="4504">
        <f t="shared" si="190"/>
        <v>0.25557052960173865</v>
      </c>
      <c r="AB189" s="4504">
        <f t="shared" si="191"/>
        <v>0</v>
      </c>
      <c r="AC189" s="4504">
        <f t="shared" si="176"/>
        <v>17.918899598212271</v>
      </c>
      <c r="AD189" s="4504">
        <f t="shared" si="177"/>
        <v>0</v>
      </c>
      <c r="AE189" s="4504">
        <f t="shared" si="192"/>
        <v>0</v>
      </c>
      <c r="AF189" s="4504">
        <f t="shared" si="193"/>
        <v>0</v>
      </c>
      <c r="AG189" s="4504">
        <f t="shared" si="178"/>
        <v>0</v>
      </c>
      <c r="AH189" s="4504">
        <f t="shared" si="179"/>
        <v>0</v>
      </c>
      <c r="AI189" s="4504">
        <f t="shared" si="194"/>
        <v>0</v>
      </c>
      <c r="AJ189" s="4504">
        <f t="shared" si="195"/>
        <v>0</v>
      </c>
      <c r="AK189" s="4504">
        <f t="shared" si="180"/>
        <v>0</v>
      </c>
      <c r="AL189" s="4504">
        <f t="shared" si="181"/>
        <v>0</v>
      </c>
      <c r="AM189" s="4504">
        <f t="shared" si="196"/>
        <v>0</v>
      </c>
      <c r="AN189" s="4504">
        <f t="shared" si="197"/>
        <v>0</v>
      </c>
      <c r="AO189" s="4504">
        <f t="shared" si="182"/>
        <v>0</v>
      </c>
      <c r="AP189" s="4504">
        <f t="shared" si="183"/>
        <v>0.20238011879328224</v>
      </c>
      <c r="AQ189" s="4504">
        <f t="shared" si="198"/>
        <v>8.8082763272019915E-3</v>
      </c>
      <c r="AR189" s="4504">
        <f t="shared" si="199"/>
        <v>0</v>
      </c>
      <c r="AS189" s="4504">
        <f t="shared" si="184"/>
        <v>0.21118839512048426</v>
      </c>
    </row>
    <row r="190" spans="1:45">
      <c r="A190" s="2611">
        <v>15</v>
      </c>
      <c r="B190" s="2554" t="s">
        <v>701</v>
      </c>
      <c r="C190" s="2555">
        <v>0.02</v>
      </c>
      <c r="D190" s="2584" t="s">
        <v>419</v>
      </c>
      <c r="E190" s="411">
        <v>16.762090000000001</v>
      </c>
      <c r="F190" s="411">
        <v>0.47748000000000007</v>
      </c>
      <c r="G190" s="411">
        <v>0</v>
      </c>
      <c r="H190" s="4453">
        <f t="shared" si="200"/>
        <v>17.239570000000001</v>
      </c>
      <c r="I190" s="411">
        <v>0</v>
      </c>
      <c r="J190" s="411">
        <v>0</v>
      </c>
      <c r="K190" s="411">
        <v>0</v>
      </c>
      <c r="L190" s="4453">
        <f t="shared" si="207"/>
        <v>0</v>
      </c>
      <c r="M190" s="411">
        <v>0</v>
      </c>
      <c r="N190" s="411"/>
      <c r="O190" s="411"/>
      <c r="P190" s="4453">
        <f t="shared" si="208"/>
        <v>0</v>
      </c>
      <c r="Q190" s="411"/>
      <c r="R190" s="411"/>
      <c r="S190" s="411"/>
      <c r="T190" s="4453">
        <f t="shared" si="209"/>
        <v>0</v>
      </c>
      <c r="U190" s="411">
        <v>0</v>
      </c>
      <c r="V190" s="411">
        <v>0</v>
      </c>
      <c r="W190" s="411">
        <v>0</v>
      </c>
      <c r="X190" s="4453">
        <f t="shared" si="210"/>
        <v>0</v>
      </c>
      <c r="Y190" s="4488"/>
      <c r="Z190" s="4504">
        <f t="shared" si="175"/>
        <v>8.5703205288803233</v>
      </c>
      <c r="AA190" s="4504">
        <f t="shared" si="190"/>
        <v>0.24413164743357044</v>
      </c>
      <c r="AB190" s="4504">
        <f t="shared" si="191"/>
        <v>0</v>
      </c>
      <c r="AC190" s="4504">
        <f t="shared" si="176"/>
        <v>8.8144521763138926</v>
      </c>
      <c r="AD190" s="4504">
        <f t="shared" si="177"/>
        <v>0</v>
      </c>
      <c r="AE190" s="4504">
        <f t="shared" si="192"/>
        <v>0</v>
      </c>
      <c r="AF190" s="4504">
        <f t="shared" si="193"/>
        <v>0</v>
      </c>
      <c r="AG190" s="4504">
        <f t="shared" si="178"/>
        <v>0</v>
      </c>
      <c r="AH190" s="4504">
        <f t="shared" si="179"/>
        <v>0</v>
      </c>
      <c r="AI190" s="4504">
        <f t="shared" si="194"/>
        <v>0</v>
      </c>
      <c r="AJ190" s="4504">
        <f t="shared" si="195"/>
        <v>0</v>
      </c>
      <c r="AK190" s="4504">
        <f t="shared" si="180"/>
        <v>0</v>
      </c>
      <c r="AL190" s="4504">
        <f t="shared" si="181"/>
        <v>0</v>
      </c>
      <c r="AM190" s="4504">
        <f t="shared" si="196"/>
        <v>0</v>
      </c>
      <c r="AN190" s="4504">
        <f t="shared" si="197"/>
        <v>0</v>
      </c>
      <c r="AO190" s="4504">
        <f t="shared" si="182"/>
        <v>0</v>
      </c>
      <c r="AP190" s="4504">
        <f t="shared" si="183"/>
        <v>0</v>
      </c>
      <c r="AQ190" s="4504">
        <f t="shared" si="198"/>
        <v>0</v>
      </c>
      <c r="AR190" s="4504">
        <f t="shared" si="199"/>
        <v>0</v>
      </c>
      <c r="AS190" s="4504">
        <f t="shared" si="184"/>
        <v>0</v>
      </c>
    </row>
    <row r="191" spans="1:45">
      <c r="A191" s="2611">
        <v>16</v>
      </c>
      <c r="B191" s="2554" t="s">
        <v>702</v>
      </c>
      <c r="C191" s="2555">
        <v>0.02</v>
      </c>
      <c r="D191" s="2585" t="s">
        <v>420</v>
      </c>
      <c r="E191" s="411">
        <v>13520.688719053876</v>
      </c>
      <c r="F191" s="411">
        <v>889.59762429265311</v>
      </c>
      <c r="G191" s="411">
        <v>0</v>
      </c>
      <c r="H191" s="4453">
        <f t="shared" si="200"/>
        <v>14410.28634334653</v>
      </c>
      <c r="I191" s="411">
        <v>0</v>
      </c>
      <c r="J191" s="411">
        <v>0</v>
      </c>
      <c r="K191" s="411">
        <v>0</v>
      </c>
      <c r="L191" s="4453">
        <f t="shared" si="207"/>
        <v>0</v>
      </c>
      <c r="M191" s="411">
        <v>8.1171900000000008</v>
      </c>
      <c r="N191" s="411">
        <v>0.54432000000000003</v>
      </c>
      <c r="O191" s="411">
        <v>0</v>
      </c>
      <c r="P191" s="4453">
        <f t="shared" si="208"/>
        <v>8.6615100000000016</v>
      </c>
      <c r="Q191" s="411"/>
      <c r="R191" s="411"/>
      <c r="S191" s="411"/>
      <c r="T191" s="4453">
        <f t="shared" si="209"/>
        <v>0</v>
      </c>
      <c r="U191" s="411">
        <v>1214.2367209461136</v>
      </c>
      <c r="V191" s="411">
        <v>14.517045707345957</v>
      </c>
      <c r="W191" s="411">
        <v>0</v>
      </c>
      <c r="X191" s="4453">
        <f t="shared" si="210"/>
        <v>1228.7537666534595</v>
      </c>
      <c r="Y191" s="4488"/>
      <c r="Z191" s="4504">
        <f t="shared" si="175"/>
        <v>6913.0183702335462</v>
      </c>
      <c r="AA191" s="4504">
        <f t="shared" si="190"/>
        <v>454.84404283227741</v>
      </c>
      <c r="AB191" s="4504">
        <f t="shared" si="191"/>
        <v>0</v>
      </c>
      <c r="AC191" s="4504">
        <f t="shared" si="176"/>
        <v>7367.8624130658236</v>
      </c>
      <c r="AD191" s="4504">
        <f t="shared" si="177"/>
        <v>0</v>
      </c>
      <c r="AE191" s="4504">
        <f t="shared" si="192"/>
        <v>0</v>
      </c>
      <c r="AF191" s="4504">
        <f t="shared" si="193"/>
        <v>0</v>
      </c>
      <c r="AG191" s="4504">
        <f t="shared" si="178"/>
        <v>0</v>
      </c>
      <c r="AH191" s="4504">
        <f t="shared" si="179"/>
        <v>4.1502533451271333</v>
      </c>
      <c r="AI191" s="4504">
        <f t="shared" si="194"/>
        <v>0.27830639677272567</v>
      </c>
      <c r="AJ191" s="4504">
        <f t="shared" si="195"/>
        <v>0</v>
      </c>
      <c r="AK191" s="4504">
        <f t="shared" si="180"/>
        <v>4.4285597418998597</v>
      </c>
      <c r="AL191" s="4504">
        <f t="shared" si="181"/>
        <v>0</v>
      </c>
      <c r="AM191" s="4504">
        <f t="shared" si="196"/>
        <v>0</v>
      </c>
      <c r="AN191" s="4504">
        <f t="shared" si="197"/>
        <v>0</v>
      </c>
      <c r="AO191" s="4504">
        <f t="shared" si="182"/>
        <v>0</v>
      </c>
      <c r="AP191" s="4504">
        <f t="shared" si="183"/>
        <v>620.82937727006617</v>
      </c>
      <c r="AQ191" s="4504">
        <f t="shared" si="198"/>
        <v>7.422447609120403</v>
      </c>
      <c r="AR191" s="4504">
        <f t="shared" si="199"/>
        <v>0</v>
      </c>
      <c r="AS191" s="4504">
        <f t="shared" si="184"/>
        <v>628.25182487918664</v>
      </c>
    </row>
    <row r="192" spans="1:45">
      <c r="A192" s="2611">
        <v>17</v>
      </c>
      <c r="B192" s="2554" t="s">
        <v>703</v>
      </c>
      <c r="C192" s="2555">
        <v>0.02</v>
      </c>
      <c r="D192" s="2590" t="s">
        <v>421</v>
      </c>
      <c r="E192" s="411">
        <v>0</v>
      </c>
      <c r="F192" s="411">
        <v>0</v>
      </c>
      <c r="G192" s="411">
        <v>0</v>
      </c>
      <c r="H192" s="4453">
        <f t="shared" si="200"/>
        <v>0</v>
      </c>
      <c r="I192" s="411">
        <v>10199.59152</v>
      </c>
      <c r="J192" s="411">
        <v>836.35033999999996</v>
      </c>
      <c r="K192" s="411">
        <v>0</v>
      </c>
      <c r="L192" s="4453">
        <f t="shared" si="207"/>
        <v>11035.941859999999</v>
      </c>
      <c r="M192" s="411">
        <v>1.7016300000000002</v>
      </c>
      <c r="N192" s="411">
        <v>0.17016000000000001</v>
      </c>
      <c r="O192" s="411">
        <v>0</v>
      </c>
      <c r="P192" s="4453">
        <f t="shared" si="208"/>
        <v>1.8717900000000003</v>
      </c>
      <c r="Q192" s="411"/>
      <c r="R192" s="411"/>
      <c r="S192" s="411"/>
      <c r="T192" s="4453">
        <f t="shared" si="209"/>
        <v>0</v>
      </c>
      <c r="U192" s="411">
        <v>0</v>
      </c>
      <c r="V192" s="411">
        <v>0</v>
      </c>
      <c r="W192" s="411">
        <v>0</v>
      </c>
      <c r="X192" s="4453">
        <f t="shared" si="210"/>
        <v>0</v>
      </c>
      <c r="Y192" s="4488"/>
      <c r="Z192" s="4504">
        <f t="shared" si="175"/>
        <v>0</v>
      </c>
      <c r="AA192" s="4504">
        <f t="shared" si="190"/>
        <v>0</v>
      </c>
      <c r="AB192" s="4504">
        <f t="shared" si="191"/>
        <v>0</v>
      </c>
      <c r="AC192" s="4504">
        <f t="shared" si="176"/>
        <v>0</v>
      </c>
      <c r="AD192" s="4504">
        <f t="shared" si="177"/>
        <v>5214.9683356937976</v>
      </c>
      <c r="AE192" s="4504">
        <f t="shared" si="192"/>
        <v>427.61913867769692</v>
      </c>
      <c r="AF192" s="4504">
        <f t="shared" si="193"/>
        <v>0</v>
      </c>
      <c r="AG192" s="4504">
        <f t="shared" si="178"/>
        <v>5642.587474371494</v>
      </c>
      <c r="AH192" s="4504">
        <f t="shared" si="179"/>
        <v>0.87002960379992134</v>
      </c>
      <c r="AI192" s="4504">
        <f t="shared" si="194"/>
        <v>8.7001426504348542E-2</v>
      </c>
      <c r="AJ192" s="4504">
        <f t="shared" si="195"/>
        <v>0</v>
      </c>
      <c r="AK192" s="4504">
        <f t="shared" si="180"/>
        <v>0.95703103030426995</v>
      </c>
      <c r="AL192" s="4504">
        <f t="shared" si="181"/>
        <v>0</v>
      </c>
      <c r="AM192" s="4504">
        <f t="shared" si="196"/>
        <v>0</v>
      </c>
      <c r="AN192" s="4504">
        <f t="shared" si="197"/>
        <v>0</v>
      </c>
      <c r="AO192" s="4504">
        <f t="shared" si="182"/>
        <v>0</v>
      </c>
      <c r="AP192" s="4504">
        <f t="shared" si="183"/>
        <v>0</v>
      </c>
      <c r="AQ192" s="4504">
        <f t="shared" si="198"/>
        <v>0</v>
      </c>
      <c r="AR192" s="4504">
        <f t="shared" si="199"/>
        <v>0</v>
      </c>
      <c r="AS192" s="4504">
        <f t="shared" si="184"/>
        <v>0</v>
      </c>
    </row>
    <row r="193" spans="1:45" ht="48">
      <c r="A193" s="2611">
        <v>18</v>
      </c>
      <c r="B193" s="2554" t="s">
        <v>704</v>
      </c>
      <c r="C193" s="2555">
        <v>0.04</v>
      </c>
      <c r="D193" s="2590" t="s">
        <v>422</v>
      </c>
      <c r="E193" s="411">
        <v>291.93724000000003</v>
      </c>
      <c r="F193" s="411">
        <v>17.241960000000002</v>
      </c>
      <c r="G193" s="411">
        <v>0</v>
      </c>
      <c r="H193" s="4453">
        <f t="shared" si="200"/>
        <v>309.17920000000004</v>
      </c>
      <c r="I193" s="411">
        <v>21.61795</v>
      </c>
      <c r="J193" s="411">
        <v>2.1618000000000004</v>
      </c>
      <c r="K193" s="411">
        <v>0</v>
      </c>
      <c r="L193" s="4453">
        <f t="shared" si="207"/>
        <v>23.77975</v>
      </c>
      <c r="M193" s="411">
        <v>7863.3997999999992</v>
      </c>
      <c r="N193" s="411">
        <v>601.72415999999976</v>
      </c>
      <c r="O193" s="411">
        <v>0</v>
      </c>
      <c r="P193" s="4453">
        <f t="shared" si="208"/>
        <v>8465.123959999999</v>
      </c>
      <c r="Q193" s="411"/>
      <c r="R193" s="411"/>
      <c r="S193" s="411"/>
      <c r="T193" s="4453">
        <f t="shared" si="209"/>
        <v>0</v>
      </c>
      <c r="U193" s="411">
        <v>0</v>
      </c>
      <c r="V193" s="411">
        <v>0</v>
      </c>
      <c r="W193" s="411">
        <v>0</v>
      </c>
      <c r="X193" s="4453">
        <f t="shared" si="210"/>
        <v>0</v>
      </c>
      <c r="Y193" s="4488"/>
      <c r="Z193" s="4504">
        <f t="shared" si="175"/>
        <v>149.26514063083195</v>
      </c>
      <c r="AA193" s="4504">
        <f t="shared" si="190"/>
        <v>8.8156741639099518</v>
      </c>
      <c r="AB193" s="4504">
        <f t="shared" si="191"/>
        <v>0</v>
      </c>
      <c r="AC193" s="4504">
        <f t="shared" si="176"/>
        <v>158.08081479474188</v>
      </c>
      <c r="AD193" s="4504">
        <f t="shared" si="177"/>
        <v>11.053082323105793</v>
      </c>
      <c r="AE193" s="4504">
        <f t="shared" si="192"/>
        <v>1.1053107887699853</v>
      </c>
      <c r="AF193" s="4504">
        <f t="shared" si="193"/>
        <v>0</v>
      </c>
      <c r="AG193" s="4504">
        <f t="shared" si="178"/>
        <v>12.158393111875776</v>
      </c>
      <c r="AH193" s="4504">
        <f t="shared" si="179"/>
        <v>4020.4924763399681</v>
      </c>
      <c r="AI193" s="4504">
        <f t="shared" si="194"/>
        <v>307.65667772761424</v>
      </c>
      <c r="AJ193" s="4504">
        <f t="shared" si="195"/>
        <v>0</v>
      </c>
      <c r="AK193" s="4504">
        <f t="shared" si="180"/>
        <v>4328.1491540675825</v>
      </c>
      <c r="AL193" s="4504">
        <f t="shared" si="181"/>
        <v>0</v>
      </c>
      <c r="AM193" s="4504">
        <f t="shared" si="196"/>
        <v>0</v>
      </c>
      <c r="AN193" s="4504">
        <f t="shared" si="197"/>
        <v>0</v>
      </c>
      <c r="AO193" s="4504">
        <f t="shared" si="182"/>
        <v>0</v>
      </c>
      <c r="AP193" s="4504">
        <f t="shared" si="183"/>
        <v>0</v>
      </c>
      <c r="AQ193" s="4504">
        <f t="shared" si="198"/>
        <v>0</v>
      </c>
      <c r="AR193" s="4504">
        <f t="shared" si="199"/>
        <v>0</v>
      </c>
      <c r="AS193" s="4504">
        <f t="shared" si="184"/>
        <v>0</v>
      </c>
    </row>
    <row r="194" spans="1:45">
      <c r="A194" s="2611">
        <v>19</v>
      </c>
      <c r="B194" s="2554" t="s">
        <v>705</v>
      </c>
      <c r="C194" s="2555">
        <v>0.04</v>
      </c>
      <c r="D194" s="2590" t="s">
        <v>423</v>
      </c>
      <c r="E194" s="411">
        <v>9.2866411753395575</v>
      </c>
      <c r="F194" s="411">
        <v>0.27992146443333782</v>
      </c>
      <c r="G194" s="411">
        <v>0</v>
      </c>
      <c r="H194" s="4453">
        <f t="shared" si="200"/>
        <v>9.5665626397728953</v>
      </c>
      <c r="I194" s="411">
        <v>0</v>
      </c>
      <c r="J194" s="411">
        <v>0</v>
      </c>
      <c r="K194" s="411">
        <v>0</v>
      </c>
      <c r="L194" s="4453">
        <f t="shared" si="207"/>
        <v>0</v>
      </c>
      <c r="M194" s="411">
        <v>0</v>
      </c>
      <c r="N194" s="411"/>
      <c r="O194" s="411"/>
      <c r="P194" s="4453">
        <f t="shared" si="208"/>
        <v>0</v>
      </c>
      <c r="Q194" s="411"/>
      <c r="R194" s="411"/>
      <c r="S194" s="411"/>
      <c r="T194" s="4453">
        <f t="shared" si="209"/>
        <v>0</v>
      </c>
      <c r="U194" s="411">
        <v>31.836418824660441</v>
      </c>
      <c r="V194" s="411">
        <v>0.96807853556666235</v>
      </c>
      <c r="W194" s="411">
        <v>0</v>
      </c>
      <c r="X194" s="4453">
        <f t="shared" si="210"/>
        <v>32.804497360227103</v>
      </c>
      <c r="Y194" s="4488"/>
      <c r="Z194" s="4504">
        <f t="shared" si="175"/>
        <v>4.748184236533624</v>
      </c>
      <c r="AA194" s="4504">
        <f t="shared" si="190"/>
        <v>0.14312157213732166</v>
      </c>
      <c r="AB194" s="4504">
        <f t="shared" si="191"/>
        <v>0</v>
      </c>
      <c r="AC194" s="4504">
        <f t="shared" si="176"/>
        <v>4.8913058086709453</v>
      </c>
      <c r="AD194" s="4504">
        <f t="shared" si="177"/>
        <v>0</v>
      </c>
      <c r="AE194" s="4504">
        <f t="shared" si="192"/>
        <v>0</v>
      </c>
      <c r="AF194" s="4504">
        <f t="shared" si="193"/>
        <v>0</v>
      </c>
      <c r="AG194" s="4504">
        <f t="shared" si="178"/>
        <v>0</v>
      </c>
      <c r="AH194" s="4504">
        <f t="shared" si="179"/>
        <v>0</v>
      </c>
      <c r="AI194" s="4504">
        <f t="shared" si="194"/>
        <v>0</v>
      </c>
      <c r="AJ194" s="4504">
        <f t="shared" si="195"/>
        <v>0</v>
      </c>
      <c r="AK194" s="4504">
        <f t="shared" si="180"/>
        <v>0</v>
      </c>
      <c r="AL194" s="4504">
        <f t="shared" si="181"/>
        <v>0</v>
      </c>
      <c r="AM194" s="4504">
        <f t="shared" si="196"/>
        <v>0</v>
      </c>
      <c r="AN194" s="4504">
        <f t="shared" si="197"/>
        <v>0</v>
      </c>
      <c r="AO194" s="4504">
        <f t="shared" si="182"/>
        <v>0</v>
      </c>
      <c r="AP194" s="4504">
        <f t="shared" si="183"/>
        <v>16.277702471411342</v>
      </c>
      <c r="AQ194" s="4504">
        <f t="shared" si="198"/>
        <v>0.49497069559555912</v>
      </c>
      <c r="AR194" s="4504">
        <f t="shared" si="199"/>
        <v>0</v>
      </c>
      <c r="AS194" s="4504">
        <f t="shared" si="184"/>
        <v>16.7726731670069</v>
      </c>
    </row>
    <row r="195" spans="1:45">
      <c r="A195" s="2611">
        <v>20</v>
      </c>
      <c r="B195" s="2554" t="s">
        <v>717</v>
      </c>
      <c r="C195" s="2555">
        <v>0.04</v>
      </c>
      <c r="D195" s="2609" t="s">
        <v>434</v>
      </c>
      <c r="E195" s="411">
        <v>129.15750112855838</v>
      </c>
      <c r="F195" s="411">
        <v>0.34764999999999996</v>
      </c>
      <c r="G195" s="411">
        <v>0</v>
      </c>
      <c r="H195" s="4453">
        <f t="shared" si="200"/>
        <v>129.50515112855837</v>
      </c>
      <c r="I195" s="411">
        <v>0</v>
      </c>
      <c r="J195" s="411">
        <v>0</v>
      </c>
      <c r="K195" s="411">
        <v>0</v>
      </c>
      <c r="L195" s="4453">
        <f t="shared" si="207"/>
        <v>0</v>
      </c>
      <c r="M195" s="411">
        <v>2858.7885000000001</v>
      </c>
      <c r="N195" s="411">
        <v>239.57867999999999</v>
      </c>
      <c r="O195" s="411">
        <v>0</v>
      </c>
      <c r="P195" s="4453">
        <f t="shared" si="208"/>
        <v>3098.3671800000002</v>
      </c>
      <c r="Q195" s="411"/>
      <c r="R195" s="411"/>
      <c r="S195" s="411"/>
      <c r="T195" s="4453">
        <f t="shared" si="209"/>
        <v>0</v>
      </c>
      <c r="U195" s="411">
        <v>7.9609288714416087</v>
      </c>
      <c r="V195" s="411">
        <v>0</v>
      </c>
      <c r="W195" s="411">
        <v>0</v>
      </c>
      <c r="X195" s="4453">
        <f t="shared" si="210"/>
        <v>7.9609288714416087</v>
      </c>
      <c r="Y195" s="4488"/>
      <c r="Z195" s="4504">
        <f t="shared" si="175"/>
        <v>66.03718172262333</v>
      </c>
      <c r="AA195" s="4504">
        <f t="shared" si="190"/>
        <v>0.17775062249786533</v>
      </c>
      <c r="AB195" s="4504">
        <f t="shared" si="191"/>
        <v>0</v>
      </c>
      <c r="AC195" s="4504">
        <f t="shared" si="176"/>
        <v>66.214932345121184</v>
      </c>
      <c r="AD195" s="4504">
        <f t="shared" si="177"/>
        <v>0</v>
      </c>
      <c r="AE195" s="4504">
        <f t="shared" si="192"/>
        <v>0</v>
      </c>
      <c r="AF195" s="4504">
        <f t="shared" si="193"/>
        <v>0</v>
      </c>
      <c r="AG195" s="4504">
        <f t="shared" si="178"/>
        <v>0</v>
      </c>
      <c r="AH195" s="4504">
        <f t="shared" si="179"/>
        <v>1461.6753501071157</v>
      </c>
      <c r="AI195" s="4504">
        <f t="shared" si="194"/>
        <v>122.49463399170685</v>
      </c>
      <c r="AJ195" s="4504">
        <f t="shared" si="195"/>
        <v>0</v>
      </c>
      <c r="AK195" s="4504">
        <f t="shared" si="180"/>
        <v>1584.1699840988226</v>
      </c>
      <c r="AL195" s="4504">
        <f t="shared" si="181"/>
        <v>0</v>
      </c>
      <c r="AM195" s="4504">
        <f t="shared" si="196"/>
        <v>0</v>
      </c>
      <c r="AN195" s="4504">
        <f t="shared" si="197"/>
        <v>0</v>
      </c>
      <c r="AO195" s="4504">
        <f t="shared" si="182"/>
        <v>0</v>
      </c>
      <c r="AP195" s="4504">
        <f t="shared" si="183"/>
        <v>4.0703582987486691</v>
      </c>
      <c r="AQ195" s="4504">
        <f t="shared" si="198"/>
        <v>0</v>
      </c>
      <c r="AR195" s="4504">
        <f t="shared" si="199"/>
        <v>0</v>
      </c>
      <c r="AS195" s="4504">
        <f t="shared" si="184"/>
        <v>4.0703582987486691</v>
      </c>
    </row>
    <row r="196" spans="1:45" ht="48.6" thickBot="1">
      <c r="A196" s="2611">
        <v>21</v>
      </c>
      <c r="B196" s="2554" t="s">
        <v>707</v>
      </c>
      <c r="C196" s="2560">
        <v>0.2</v>
      </c>
      <c r="D196" s="2590" t="s">
        <v>679</v>
      </c>
      <c r="E196" s="411">
        <v>0</v>
      </c>
      <c r="F196" s="411">
        <v>0</v>
      </c>
      <c r="G196" s="411">
        <v>0</v>
      </c>
      <c r="H196" s="4453">
        <f t="shared" si="200"/>
        <v>0</v>
      </c>
      <c r="I196" s="411">
        <v>0</v>
      </c>
      <c r="J196" s="411">
        <v>0</v>
      </c>
      <c r="K196" s="411">
        <v>0</v>
      </c>
      <c r="L196" s="4453">
        <f t="shared" si="207"/>
        <v>0</v>
      </c>
      <c r="M196" s="411">
        <v>0</v>
      </c>
      <c r="N196" s="411"/>
      <c r="O196" s="411"/>
      <c r="P196" s="4453">
        <f t="shared" si="208"/>
        <v>0</v>
      </c>
      <c r="Q196" s="411"/>
      <c r="R196" s="411"/>
      <c r="S196" s="411"/>
      <c r="T196" s="4453">
        <f t="shared" si="209"/>
        <v>0</v>
      </c>
      <c r="U196" s="411">
        <v>0</v>
      </c>
      <c r="V196" s="411">
        <v>0</v>
      </c>
      <c r="W196" s="411">
        <v>0</v>
      </c>
      <c r="X196" s="4453">
        <f t="shared" si="210"/>
        <v>0</v>
      </c>
      <c r="Y196" s="4488"/>
      <c r="Z196" s="4504">
        <f t="shared" si="175"/>
        <v>0</v>
      </c>
      <c r="AA196" s="4504">
        <f t="shared" si="190"/>
        <v>0</v>
      </c>
      <c r="AB196" s="4504">
        <f t="shared" si="191"/>
        <v>0</v>
      </c>
      <c r="AC196" s="4504">
        <f t="shared" si="176"/>
        <v>0</v>
      </c>
      <c r="AD196" s="4504">
        <f t="shared" si="177"/>
        <v>0</v>
      </c>
      <c r="AE196" s="4504">
        <f t="shared" si="192"/>
        <v>0</v>
      </c>
      <c r="AF196" s="4504">
        <f t="shared" si="193"/>
        <v>0</v>
      </c>
      <c r="AG196" s="4504">
        <f t="shared" si="178"/>
        <v>0</v>
      </c>
      <c r="AH196" s="4504">
        <f t="shared" si="179"/>
        <v>0</v>
      </c>
      <c r="AI196" s="4504">
        <f t="shared" si="194"/>
        <v>0</v>
      </c>
      <c r="AJ196" s="4504">
        <f t="shared" si="195"/>
        <v>0</v>
      </c>
      <c r="AK196" s="4504">
        <f t="shared" si="180"/>
        <v>0</v>
      </c>
      <c r="AL196" s="4504">
        <f t="shared" si="181"/>
        <v>0</v>
      </c>
      <c r="AM196" s="4504">
        <f t="shared" si="196"/>
        <v>0</v>
      </c>
      <c r="AN196" s="4504">
        <f t="shared" si="197"/>
        <v>0</v>
      </c>
      <c r="AO196" s="4504">
        <f t="shared" si="182"/>
        <v>0</v>
      </c>
      <c r="AP196" s="4504">
        <f t="shared" si="183"/>
        <v>0</v>
      </c>
      <c r="AQ196" s="4504">
        <f t="shared" si="198"/>
        <v>0</v>
      </c>
      <c r="AR196" s="4504">
        <f t="shared" si="199"/>
        <v>0</v>
      </c>
      <c r="AS196" s="4504">
        <f t="shared" si="184"/>
        <v>0</v>
      </c>
    </row>
    <row r="197" spans="1:45" ht="13.8" thickBot="1">
      <c r="A197" s="3746" t="s">
        <v>219</v>
      </c>
      <c r="B197" s="5379" t="s">
        <v>222</v>
      </c>
      <c r="C197" s="5380"/>
      <c r="D197" s="5381"/>
      <c r="E197" s="1246">
        <f t="shared" ref="E197:H197" si="211">SUM(E198:E218)</f>
        <v>32869.091719334123</v>
      </c>
      <c r="F197" s="1246"/>
      <c r="G197" s="1246"/>
      <c r="H197" s="1246">
        <f t="shared" si="211"/>
        <v>39945.729996418151</v>
      </c>
      <c r="I197" s="1246">
        <f t="shared" ref="I197" si="212">SUM(I198:I218)</f>
        <v>31794.189180000027</v>
      </c>
      <c r="J197" s="1246"/>
      <c r="K197" s="1246"/>
      <c r="L197" s="1246">
        <f t="shared" ref="L197:M197" si="213">SUM(L198:L218)</f>
        <v>30951.24580000003</v>
      </c>
      <c r="M197" s="1246">
        <f t="shared" si="213"/>
        <v>13030.791280000001</v>
      </c>
      <c r="N197" s="1246"/>
      <c r="O197" s="1246"/>
      <c r="P197" s="1246">
        <f t="shared" ref="P197:Q197" si="214">SUM(P198:P218)</f>
        <v>12031.583889999998</v>
      </c>
      <c r="Q197" s="1246">
        <f t="shared" si="214"/>
        <v>0</v>
      </c>
      <c r="R197" s="1246"/>
      <c r="S197" s="1246"/>
      <c r="T197" s="1246">
        <f t="shared" ref="T197:U197" si="215">SUM(T198:T218)</f>
        <v>0</v>
      </c>
      <c r="U197" s="1246">
        <f t="shared" si="215"/>
        <v>364.41216066586543</v>
      </c>
      <c r="V197" s="1246"/>
      <c r="W197" s="1246"/>
      <c r="X197" s="1110">
        <f t="shared" ref="X197" si="216">SUM(X198:X218)</f>
        <v>346.30027358183804</v>
      </c>
      <c r="Y197" s="4488"/>
      <c r="Z197" s="4504">
        <f t="shared" si="175"/>
        <v>16805.69973838939</v>
      </c>
      <c r="AA197" s="4504">
        <f t="shared" si="190"/>
        <v>0</v>
      </c>
      <c r="AB197" s="4504">
        <f t="shared" si="191"/>
        <v>0</v>
      </c>
      <c r="AC197" s="4504">
        <f t="shared" si="176"/>
        <v>20423.92743562485</v>
      </c>
      <c r="AD197" s="4504">
        <f t="shared" si="177"/>
        <v>16256.110796950668</v>
      </c>
      <c r="AE197" s="4504">
        <f t="shared" si="192"/>
        <v>0</v>
      </c>
      <c r="AF197" s="4504">
        <f t="shared" si="193"/>
        <v>0</v>
      </c>
      <c r="AG197" s="4504">
        <f t="shared" si="178"/>
        <v>15825.120690448572</v>
      </c>
      <c r="AH197" s="4504">
        <f t="shared" si="179"/>
        <v>6662.5377870264811</v>
      </c>
      <c r="AI197" s="4504">
        <f t="shared" si="194"/>
        <v>0</v>
      </c>
      <c r="AJ197" s="4504">
        <f t="shared" si="195"/>
        <v>0</v>
      </c>
      <c r="AK197" s="4504">
        <f t="shared" si="180"/>
        <v>6151.6511608882156</v>
      </c>
      <c r="AL197" s="4504">
        <f t="shared" si="181"/>
        <v>0</v>
      </c>
      <c r="AM197" s="4504">
        <f t="shared" si="196"/>
        <v>0</v>
      </c>
      <c r="AN197" s="4504">
        <f t="shared" si="197"/>
        <v>0</v>
      </c>
      <c r="AO197" s="4504">
        <f t="shared" si="182"/>
        <v>0</v>
      </c>
      <c r="AP197" s="4504">
        <f t="shared" si="183"/>
        <v>186.32097915762895</v>
      </c>
      <c r="AQ197" s="4504">
        <f t="shared" si="198"/>
        <v>0</v>
      </c>
      <c r="AR197" s="4504">
        <f t="shared" si="199"/>
        <v>0</v>
      </c>
      <c r="AS197" s="4504">
        <f t="shared" si="184"/>
        <v>177.06051833842309</v>
      </c>
    </row>
    <row r="198" spans="1:45">
      <c r="A198" s="2553">
        <v>1</v>
      </c>
      <c r="B198" s="2614" t="s">
        <v>696</v>
      </c>
      <c r="C198" s="2571">
        <v>0</v>
      </c>
      <c r="D198" s="2601" t="s">
        <v>558</v>
      </c>
      <c r="E198" s="1249">
        <f t="shared" ref="E198:E218" si="217">E154-E176</f>
        <v>170.7975894027575</v>
      </c>
      <c r="F198" s="5382"/>
      <c r="G198" s="5383"/>
      <c r="H198" s="1249">
        <f t="shared" ref="H198:I213" si="218">H154-H176</f>
        <v>170.7975894027575</v>
      </c>
      <c r="I198" s="1249">
        <f t="shared" si="218"/>
        <v>0</v>
      </c>
      <c r="J198" s="5382"/>
      <c r="K198" s="5383"/>
      <c r="L198" s="1249">
        <f t="shared" ref="L198:M213" si="219">L154-L176</f>
        <v>0</v>
      </c>
      <c r="M198" s="1249">
        <f t="shared" si="219"/>
        <v>0</v>
      </c>
      <c r="N198" s="5382"/>
      <c r="O198" s="5383"/>
      <c r="P198" s="1249">
        <f t="shared" ref="P198:Q213" si="220">P154-P176</f>
        <v>0</v>
      </c>
      <c r="Q198" s="1249">
        <f t="shared" si="220"/>
        <v>0</v>
      </c>
      <c r="R198" s="5382"/>
      <c r="S198" s="5383"/>
      <c r="T198" s="1249">
        <f t="shared" ref="T198:U213" si="221">T154-T176</f>
        <v>0</v>
      </c>
      <c r="U198" s="1249">
        <f t="shared" si="221"/>
        <v>3.2137305972425696</v>
      </c>
      <c r="V198" s="5382"/>
      <c r="W198" s="5383"/>
      <c r="X198" s="2679">
        <f t="shared" ref="X198:X218" si="222">X154-X176</f>
        <v>3.2137305972425696</v>
      </c>
      <c r="Y198" s="4488"/>
      <c r="Z198" s="4504">
        <f t="shared" si="175"/>
        <v>87.327420789515187</v>
      </c>
      <c r="AA198" s="4512"/>
      <c r="AB198" s="4513"/>
      <c r="AC198" s="4504">
        <f t="shared" si="176"/>
        <v>87.327420789515187</v>
      </c>
      <c r="AD198" s="4504">
        <f t="shared" si="177"/>
        <v>0</v>
      </c>
      <c r="AE198" s="4512"/>
      <c r="AF198" s="4513"/>
      <c r="AG198" s="4504">
        <f t="shared" si="178"/>
        <v>0</v>
      </c>
      <c r="AH198" s="4504">
        <f t="shared" si="179"/>
        <v>0</v>
      </c>
      <c r="AI198" s="4512"/>
      <c r="AJ198" s="4513"/>
      <c r="AK198" s="4504">
        <f t="shared" si="180"/>
        <v>0</v>
      </c>
      <c r="AL198" s="4504">
        <f t="shared" si="181"/>
        <v>0</v>
      </c>
      <c r="AM198" s="4512"/>
      <c r="AN198" s="4513"/>
      <c r="AO198" s="4504">
        <f t="shared" si="182"/>
        <v>0</v>
      </c>
      <c r="AP198" s="4504">
        <f t="shared" si="183"/>
        <v>1.6431543627220002</v>
      </c>
      <c r="AQ198" s="4512"/>
      <c r="AR198" s="4513"/>
      <c r="AS198" s="4504">
        <f t="shared" si="184"/>
        <v>1.6431543627220002</v>
      </c>
    </row>
    <row r="199" spans="1:45">
      <c r="A199" s="2553">
        <v>2</v>
      </c>
      <c r="B199" s="2554" t="s">
        <v>697</v>
      </c>
      <c r="C199" s="2555">
        <v>0.03</v>
      </c>
      <c r="D199" s="2609" t="s">
        <v>426</v>
      </c>
      <c r="E199" s="1249">
        <f t="shared" si="217"/>
        <v>60.762004510560928</v>
      </c>
      <c r="F199" s="5384"/>
      <c r="G199" s="5385"/>
      <c r="H199" s="1249">
        <f t="shared" si="218"/>
        <v>52.205316920694372</v>
      </c>
      <c r="I199" s="1249">
        <f t="shared" si="218"/>
        <v>83.649629999999988</v>
      </c>
      <c r="J199" s="5384"/>
      <c r="K199" s="5385"/>
      <c r="L199" s="1249">
        <f t="shared" si="219"/>
        <v>80.064629999999994</v>
      </c>
      <c r="M199" s="1249">
        <f t="shared" si="219"/>
        <v>2161.0748100000001</v>
      </c>
      <c r="N199" s="5384"/>
      <c r="O199" s="5385"/>
      <c r="P199" s="1249">
        <f t="shared" si="220"/>
        <v>2053.95021</v>
      </c>
      <c r="Q199" s="1249">
        <f t="shared" si="220"/>
        <v>0</v>
      </c>
      <c r="R199" s="5384"/>
      <c r="S199" s="5385"/>
      <c r="T199" s="1249">
        <f t="shared" si="221"/>
        <v>0</v>
      </c>
      <c r="U199" s="1249">
        <f t="shared" si="221"/>
        <v>8.110525489438885</v>
      </c>
      <c r="V199" s="5384"/>
      <c r="W199" s="5385"/>
      <c r="X199" s="2679">
        <f t="shared" si="222"/>
        <v>6.2184630793054225</v>
      </c>
      <c r="Y199" s="4488"/>
      <c r="Z199" s="4504">
        <f t="shared" si="175"/>
        <v>31.067119591457811</v>
      </c>
      <c r="AA199" s="4519"/>
      <c r="AB199" s="4520"/>
      <c r="AC199" s="4504">
        <f t="shared" si="176"/>
        <v>26.692154696826602</v>
      </c>
      <c r="AD199" s="4504">
        <f t="shared" si="177"/>
        <v>42.76937668406763</v>
      </c>
      <c r="AE199" s="4519"/>
      <c r="AF199" s="4520"/>
      <c r="AG199" s="4504">
        <f t="shared" si="178"/>
        <v>40.936395289979188</v>
      </c>
      <c r="AH199" s="4504">
        <f t="shared" si="179"/>
        <v>1104.9400050106606</v>
      </c>
      <c r="AI199" s="4519"/>
      <c r="AJ199" s="4520"/>
      <c r="AK199" s="4504">
        <f t="shared" si="180"/>
        <v>1050.168066754268</v>
      </c>
      <c r="AL199" s="4504">
        <f t="shared" si="181"/>
        <v>0</v>
      </c>
      <c r="AM199" s="4519"/>
      <c r="AN199" s="4520"/>
      <c r="AO199" s="4504">
        <f t="shared" si="182"/>
        <v>0</v>
      </c>
      <c r="AP199" s="4504">
        <f t="shared" si="183"/>
        <v>4.1468458349850881</v>
      </c>
      <c r="AQ199" s="4519"/>
      <c r="AR199" s="4520"/>
      <c r="AS199" s="4504">
        <f t="shared" si="184"/>
        <v>3.1794496859672989</v>
      </c>
    </row>
    <row r="200" spans="1:45">
      <c r="A200" s="2553">
        <v>3</v>
      </c>
      <c r="B200" s="2554">
        <v>911301</v>
      </c>
      <c r="C200" s="2555">
        <v>0.1</v>
      </c>
      <c r="D200" s="2609" t="s">
        <v>427</v>
      </c>
      <c r="E200" s="1249">
        <f t="shared" si="217"/>
        <v>0</v>
      </c>
      <c r="F200" s="5384"/>
      <c r="G200" s="5385"/>
      <c r="H200" s="1249">
        <f t="shared" si="218"/>
        <v>0</v>
      </c>
      <c r="I200" s="1249">
        <f t="shared" si="218"/>
        <v>0</v>
      </c>
      <c r="J200" s="5384"/>
      <c r="K200" s="5385"/>
      <c r="L200" s="1249">
        <f t="shared" si="219"/>
        <v>0</v>
      </c>
      <c r="M200" s="1249">
        <f t="shared" si="219"/>
        <v>0</v>
      </c>
      <c r="N200" s="5384"/>
      <c r="O200" s="5385"/>
      <c r="P200" s="1249">
        <f t="shared" si="220"/>
        <v>0</v>
      </c>
      <c r="Q200" s="1249">
        <f t="shared" si="220"/>
        <v>0</v>
      </c>
      <c r="R200" s="5384"/>
      <c r="S200" s="5385"/>
      <c r="T200" s="1249">
        <f t="shared" si="221"/>
        <v>0</v>
      </c>
      <c r="U200" s="1249">
        <f t="shared" si="221"/>
        <v>0</v>
      </c>
      <c r="V200" s="5384"/>
      <c r="W200" s="5385"/>
      <c r="X200" s="2679">
        <f t="shared" si="222"/>
        <v>0</v>
      </c>
      <c r="Y200" s="4488"/>
      <c r="Z200" s="4504">
        <f t="shared" si="175"/>
        <v>0</v>
      </c>
      <c r="AA200" s="4519"/>
      <c r="AB200" s="4520"/>
      <c r="AC200" s="4504">
        <f t="shared" si="176"/>
        <v>0</v>
      </c>
      <c r="AD200" s="4504">
        <f t="shared" si="177"/>
        <v>0</v>
      </c>
      <c r="AE200" s="4519"/>
      <c r="AF200" s="4520"/>
      <c r="AG200" s="4504">
        <f t="shared" si="178"/>
        <v>0</v>
      </c>
      <c r="AH200" s="4504">
        <f t="shared" si="179"/>
        <v>0</v>
      </c>
      <c r="AI200" s="4519"/>
      <c r="AJ200" s="4520"/>
      <c r="AK200" s="4504">
        <f t="shared" si="180"/>
        <v>0</v>
      </c>
      <c r="AL200" s="4504">
        <f t="shared" si="181"/>
        <v>0</v>
      </c>
      <c r="AM200" s="4519"/>
      <c r="AN200" s="4520"/>
      <c r="AO200" s="4504">
        <f t="shared" si="182"/>
        <v>0</v>
      </c>
      <c r="AP200" s="4504">
        <f t="shared" si="183"/>
        <v>0</v>
      </c>
      <c r="AQ200" s="4519"/>
      <c r="AR200" s="4520"/>
      <c r="AS200" s="4504">
        <f t="shared" si="184"/>
        <v>0</v>
      </c>
    </row>
    <row r="201" spans="1:45">
      <c r="A201" s="2553">
        <v>4</v>
      </c>
      <c r="B201" s="2554">
        <v>911302</v>
      </c>
      <c r="C201" s="2555">
        <v>0.1</v>
      </c>
      <c r="D201" s="2609" t="s">
        <v>428</v>
      </c>
      <c r="E201" s="1249">
        <f t="shared" si="217"/>
        <v>0</v>
      </c>
      <c r="F201" s="5384"/>
      <c r="G201" s="5385"/>
      <c r="H201" s="1249">
        <f t="shared" si="218"/>
        <v>0</v>
      </c>
      <c r="I201" s="1249">
        <f t="shared" si="218"/>
        <v>0</v>
      </c>
      <c r="J201" s="5384"/>
      <c r="K201" s="5385"/>
      <c r="L201" s="1249">
        <f t="shared" si="219"/>
        <v>0</v>
      </c>
      <c r="M201" s="1249">
        <f t="shared" si="219"/>
        <v>0</v>
      </c>
      <c r="N201" s="5384"/>
      <c r="O201" s="5385"/>
      <c r="P201" s="1249">
        <f t="shared" si="220"/>
        <v>0</v>
      </c>
      <c r="Q201" s="1249">
        <f t="shared" si="220"/>
        <v>0</v>
      </c>
      <c r="R201" s="5384"/>
      <c r="S201" s="5385"/>
      <c r="T201" s="1249">
        <f t="shared" si="221"/>
        <v>0</v>
      </c>
      <c r="U201" s="1249">
        <f t="shared" si="221"/>
        <v>0</v>
      </c>
      <c r="V201" s="5384"/>
      <c r="W201" s="5385"/>
      <c r="X201" s="2679">
        <f t="shared" si="222"/>
        <v>0</v>
      </c>
      <c r="Y201" s="4488"/>
      <c r="Z201" s="4504">
        <f t="shared" si="175"/>
        <v>0</v>
      </c>
      <c r="AA201" s="4519"/>
      <c r="AB201" s="4520"/>
      <c r="AC201" s="4504">
        <f t="shared" si="176"/>
        <v>0</v>
      </c>
      <c r="AD201" s="4504">
        <f t="shared" si="177"/>
        <v>0</v>
      </c>
      <c r="AE201" s="4519"/>
      <c r="AF201" s="4520"/>
      <c r="AG201" s="4504">
        <f t="shared" si="178"/>
        <v>0</v>
      </c>
      <c r="AH201" s="4504">
        <f t="shared" si="179"/>
        <v>0</v>
      </c>
      <c r="AI201" s="4519"/>
      <c r="AJ201" s="4520"/>
      <c r="AK201" s="4504">
        <f t="shared" si="180"/>
        <v>0</v>
      </c>
      <c r="AL201" s="4504">
        <f t="shared" si="181"/>
        <v>0</v>
      </c>
      <c r="AM201" s="4519"/>
      <c r="AN201" s="4520"/>
      <c r="AO201" s="4504">
        <f t="shared" si="182"/>
        <v>0</v>
      </c>
      <c r="AP201" s="4504">
        <f t="shared" si="183"/>
        <v>0</v>
      </c>
      <c r="AQ201" s="4519"/>
      <c r="AR201" s="4520"/>
      <c r="AS201" s="4504">
        <f t="shared" si="184"/>
        <v>0</v>
      </c>
    </row>
    <row r="202" spans="1:45">
      <c r="A202" s="2553">
        <v>5</v>
      </c>
      <c r="B202" s="2554" t="s">
        <v>714</v>
      </c>
      <c r="C202" s="2555">
        <v>0.1</v>
      </c>
      <c r="D202" s="2590" t="s">
        <v>407</v>
      </c>
      <c r="E202" s="1249">
        <f t="shared" si="217"/>
        <v>0.37126198595635174</v>
      </c>
      <c r="F202" s="5384"/>
      <c r="G202" s="5385"/>
      <c r="H202" s="1249">
        <f t="shared" si="218"/>
        <v>1.9045585341928017E-3</v>
      </c>
      <c r="I202" s="1249">
        <f t="shared" si="218"/>
        <v>0</v>
      </c>
      <c r="J202" s="5384"/>
      <c r="K202" s="5385"/>
      <c r="L202" s="1249">
        <f t="shared" si="219"/>
        <v>0</v>
      </c>
      <c r="M202" s="1249">
        <f t="shared" si="219"/>
        <v>0</v>
      </c>
      <c r="N202" s="5384"/>
      <c r="O202" s="5385"/>
      <c r="P202" s="1249">
        <f t="shared" si="220"/>
        <v>0</v>
      </c>
      <c r="Q202" s="1249">
        <f t="shared" si="220"/>
        <v>0</v>
      </c>
      <c r="R202" s="5384"/>
      <c r="S202" s="5385"/>
      <c r="T202" s="1249">
        <f t="shared" si="221"/>
        <v>0</v>
      </c>
      <c r="U202" s="1249">
        <f t="shared" si="221"/>
        <v>0.23786801404365576</v>
      </c>
      <c r="V202" s="5384"/>
      <c r="W202" s="5385"/>
      <c r="X202" s="2679">
        <f t="shared" si="222"/>
        <v>-1.9045585341963545E-3</v>
      </c>
      <c r="Y202" s="4488"/>
      <c r="Z202" s="4504">
        <f t="shared" si="175"/>
        <v>0.18982323921626712</v>
      </c>
      <c r="AA202" s="4519"/>
      <c r="AB202" s="4520"/>
      <c r="AC202" s="4504">
        <f t="shared" si="176"/>
        <v>9.7378531579575003E-4</v>
      </c>
      <c r="AD202" s="4504">
        <f t="shared" si="177"/>
        <v>0</v>
      </c>
      <c r="AE202" s="4519"/>
      <c r="AF202" s="4520"/>
      <c r="AG202" s="4504">
        <f t="shared" si="178"/>
        <v>0</v>
      </c>
      <c r="AH202" s="4504">
        <f t="shared" si="179"/>
        <v>0</v>
      </c>
      <c r="AI202" s="4519"/>
      <c r="AJ202" s="4520"/>
      <c r="AK202" s="4504">
        <f t="shared" si="180"/>
        <v>0</v>
      </c>
      <c r="AL202" s="4504">
        <f t="shared" si="181"/>
        <v>0</v>
      </c>
      <c r="AM202" s="4519"/>
      <c r="AN202" s="4520"/>
      <c r="AO202" s="4504">
        <f t="shared" si="182"/>
        <v>0</v>
      </c>
      <c r="AP202" s="4504">
        <f t="shared" si="183"/>
        <v>0.12161998437678928</v>
      </c>
      <c r="AQ202" s="4519"/>
      <c r="AR202" s="4520"/>
      <c r="AS202" s="4504">
        <f t="shared" si="184"/>
        <v>-9.737853157975665E-4</v>
      </c>
    </row>
    <row r="203" spans="1:45">
      <c r="A203" s="2553">
        <v>6</v>
      </c>
      <c r="B203" s="2554" t="s">
        <v>715</v>
      </c>
      <c r="C203" s="2555">
        <v>0.1</v>
      </c>
      <c r="D203" s="2590" t="s">
        <v>1001</v>
      </c>
      <c r="E203" s="1249">
        <f t="shared" si="217"/>
        <v>3.2000000003051809E-4</v>
      </c>
      <c r="F203" s="5384"/>
      <c r="G203" s="5385"/>
      <c r="H203" s="1249">
        <f t="shared" si="218"/>
        <v>0</v>
      </c>
      <c r="I203" s="1249">
        <f t="shared" si="218"/>
        <v>0</v>
      </c>
      <c r="J203" s="5384"/>
      <c r="K203" s="5385"/>
      <c r="L203" s="1249">
        <f t="shared" si="219"/>
        <v>0</v>
      </c>
      <c r="M203" s="1249">
        <f t="shared" si="219"/>
        <v>0</v>
      </c>
      <c r="N203" s="5384"/>
      <c r="O203" s="5385"/>
      <c r="P203" s="1249">
        <f t="shared" si="220"/>
        <v>0</v>
      </c>
      <c r="Q203" s="1249">
        <f t="shared" si="220"/>
        <v>0</v>
      </c>
      <c r="R203" s="5384"/>
      <c r="S203" s="5385"/>
      <c r="T203" s="1249">
        <f t="shared" si="221"/>
        <v>0</v>
      </c>
      <c r="U203" s="1249">
        <f t="shared" si="221"/>
        <v>0</v>
      </c>
      <c r="V203" s="5384"/>
      <c r="W203" s="5385"/>
      <c r="X203" s="2679">
        <f t="shared" si="222"/>
        <v>0</v>
      </c>
      <c r="Y203" s="4488"/>
      <c r="Z203" s="4504">
        <f t="shared" si="175"/>
        <v>1.6361340199839356E-4</v>
      </c>
      <c r="AA203" s="4519"/>
      <c r="AB203" s="4520"/>
      <c r="AC203" s="4504">
        <f t="shared" si="176"/>
        <v>0</v>
      </c>
      <c r="AD203" s="4504">
        <f t="shared" si="177"/>
        <v>0</v>
      </c>
      <c r="AE203" s="4519"/>
      <c r="AF203" s="4520"/>
      <c r="AG203" s="4504">
        <f t="shared" si="178"/>
        <v>0</v>
      </c>
      <c r="AH203" s="4504">
        <f t="shared" si="179"/>
        <v>0</v>
      </c>
      <c r="AI203" s="4519"/>
      <c r="AJ203" s="4520"/>
      <c r="AK203" s="4504">
        <f t="shared" si="180"/>
        <v>0</v>
      </c>
      <c r="AL203" s="4504">
        <f t="shared" si="181"/>
        <v>0</v>
      </c>
      <c r="AM203" s="4519"/>
      <c r="AN203" s="4520"/>
      <c r="AO203" s="4504">
        <f t="shared" si="182"/>
        <v>0</v>
      </c>
      <c r="AP203" s="4504">
        <f t="shared" si="183"/>
        <v>0</v>
      </c>
      <c r="AQ203" s="4519"/>
      <c r="AR203" s="4520"/>
      <c r="AS203" s="4504">
        <f t="shared" si="184"/>
        <v>0</v>
      </c>
    </row>
    <row r="204" spans="1:45" ht="36">
      <c r="A204" s="2553">
        <v>7</v>
      </c>
      <c r="B204" s="2554" t="s">
        <v>706</v>
      </c>
      <c r="C204" s="2555">
        <v>0.1</v>
      </c>
      <c r="D204" s="2590" t="s">
        <v>695</v>
      </c>
      <c r="E204" s="1249">
        <f t="shared" si="217"/>
        <v>0</v>
      </c>
      <c r="F204" s="5384"/>
      <c r="G204" s="5385"/>
      <c r="H204" s="1249">
        <f t="shared" si="218"/>
        <v>0</v>
      </c>
      <c r="I204" s="1249">
        <f t="shared" si="218"/>
        <v>0</v>
      </c>
      <c r="J204" s="5384"/>
      <c r="K204" s="5385"/>
      <c r="L204" s="1249">
        <f t="shared" si="219"/>
        <v>0</v>
      </c>
      <c r="M204" s="1249">
        <f t="shared" si="219"/>
        <v>0</v>
      </c>
      <c r="N204" s="5384"/>
      <c r="O204" s="5385"/>
      <c r="P204" s="1249">
        <f t="shared" si="220"/>
        <v>0</v>
      </c>
      <c r="Q204" s="1249">
        <f t="shared" si="220"/>
        <v>0</v>
      </c>
      <c r="R204" s="5384"/>
      <c r="S204" s="5385"/>
      <c r="T204" s="1249">
        <f t="shared" si="221"/>
        <v>0</v>
      </c>
      <c r="U204" s="1249">
        <f t="shared" si="221"/>
        <v>0</v>
      </c>
      <c r="V204" s="5384"/>
      <c r="W204" s="5385"/>
      <c r="X204" s="2679">
        <f t="shared" si="222"/>
        <v>0</v>
      </c>
      <c r="Y204" s="4488"/>
      <c r="Z204" s="4504">
        <f t="shared" ref="Z204:Z221" si="223">IFERROR(E204/$D$1,0)</f>
        <v>0</v>
      </c>
      <c r="AA204" s="4519"/>
      <c r="AB204" s="4520"/>
      <c r="AC204" s="4504">
        <f t="shared" ref="AC204:AC221" si="224">IFERROR(H204/$D$1,0)</f>
        <v>0</v>
      </c>
      <c r="AD204" s="4504">
        <f t="shared" ref="AD204:AD221" si="225">IFERROR(I204/$D$1,0)</f>
        <v>0</v>
      </c>
      <c r="AE204" s="4519"/>
      <c r="AF204" s="4520"/>
      <c r="AG204" s="4504">
        <f t="shared" ref="AG204:AG221" si="226">IFERROR(L204/$D$1,0)</f>
        <v>0</v>
      </c>
      <c r="AH204" s="4504">
        <f t="shared" ref="AH204:AH221" si="227">IFERROR(M204/$D$1,0)</f>
        <v>0</v>
      </c>
      <c r="AI204" s="4519"/>
      <c r="AJ204" s="4520"/>
      <c r="AK204" s="4504">
        <f t="shared" ref="AK204:AK221" si="228">IFERROR(P204/$D$1,0)</f>
        <v>0</v>
      </c>
      <c r="AL204" s="4504">
        <f t="shared" ref="AL204:AL221" si="229">IFERROR(Q204/$D$1,0)</f>
        <v>0</v>
      </c>
      <c r="AM204" s="4519"/>
      <c r="AN204" s="4520"/>
      <c r="AO204" s="4504">
        <f t="shared" ref="AO204:AO221" si="230">IFERROR(T204/$D$1,0)</f>
        <v>0</v>
      </c>
      <c r="AP204" s="4504">
        <f t="shared" ref="AP204:AP221" si="231">IFERROR(U204/$D$1,0)</f>
        <v>0</v>
      </c>
      <c r="AQ204" s="4519"/>
      <c r="AR204" s="4520"/>
      <c r="AS204" s="4504">
        <f t="shared" ref="AS204:AS221" si="232">IFERROR(X204/$D$1,0)</f>
        <v>0</v>
      </c>
    </row>
    <row r="205" spans="1:45">
      <c r="A205" s="2553">
        <v>8</v>
      </c>
      <c r="B205" s="2554" t="s">
        <v>716</v>
      </c>
      <c r="C205" s="2555">
        <v>0.1</v>
      </c>
      <c r="D205" s="2590" t="s">
        <v>713</v>
      </c>
      <c r="E205" s="1249">
        <f t="shared" si="217"/>
        <v>0</v>
      </c>
      <c r="F205" s="5384"/>
      <c r="G205" s="5385"/>
      <c r="H205" s="1249">
        <f t="shared" si="218"/>
        <v>0</v>
      </c>
      <c r="I205" s="1249">
        <f t="shared" si="218"/>
        <v>0</v>
      </c>
      <c r="J205" s="5384"/>
      <c r="K205" s="5385"/>
      <c r="L205" s="1249">
        <f t="shared" si="219"/>
        <v>0</v>
      </c>
      <c r="M205" s="1249">
        <f t="shared" si="219"/>
        <v>0</v>
      </c>
      <c r="N205" s="5384"/>
      <c r="O205" s="5385"/>
      <c r="P205" s="1249">
        <f t="shared" si="220"/>
        <v>0</v>
      </c>
      <c r="Q205" s="1249">
        <f t="shared" si="220"/>
        <v>0</v>
      </c>
      <c r="R205" s="5384"/>
      <c r="S205" s="5385"/>
      <c r="T205" s="1249">
        <f t="shared" si="221"/>
        <v>0</v>
      </c>
      <c r="U205" s="1249">
        <f t="shared" si="221"/>
        <v>0</v>
      </c>
      <c r="V205" s="5384"/>
      <c r="W205" s="5385"/>
      <c r="X205" s="2679">
        <f t="shared" si="222"/>
        <v>0</v>
      </c>
      <c r="Y205" s="4488"/>
      <c r="Z205" s="4504">
        <f t="shared" si="223"/>
        <v>0</v>
      </c>
      <c r="AA205" s="4519"/>
      <c r="AB205" s="4520"/>
      <c r="AC205" s="4504">
        <f t="shared" si="224"/>
        <v>0</v>
      </c>
      <c r="AD205" s="4504">
        <f t="shared" si="225"/>
        <v>0</v>
      </c>
      <c r="AE205" s="4519"/>
      <c r="AF205" s="4520"/>
      <c r="AG205" s="4504">
        <f t="shared" si="226"/>
        <v>0</v>
      </c>
      <c r="AH205" s="4504">
        <f t="shared" si="227"/>
        <v>0</v>
      </c>
      <c r="AI205" s="4519"/>
      <c r="AJ205" s="4520"/>
      <c r="AK205" s="4504">
        <f t="shared" si="228"/>
        <v>0</v>
      </c>
      <c r="AL205" s="4504">
        <f t="shared" si="229"/>
        <v>0</v>
      </c>
      <c r="AM205" s="4519"/>
      <c r="AN205" s="4520"/>
      <c r="AO205" s="4504">
        <f t="shared" si="230"/>
        <v>0</v>
      </c>
      <c r="AP205" s="4504">
        <f t="shared" si="231"/>
        <v>0</v>
      </c>
      <c r="AQ205" s="4519"/>
      <c r="AR205" s="4520"/>
      <c r="AS205" s="4504">
        <f t="shared" si="232"/>
        <v>0</v>
      </c>
    </row>
    <row r="206" spans="1:45" ht="24">
      <c r="A206" s="2611">
        <v>9</v>
      </c>
      <c r="B206" s="2554">
        <v>911306</v>
      </c>
      <c r="C206" s="2555">
        <v>0.1</v>
      </c>
      <c r="D206" s="2590" t="s">
        <v>1032</v>
      </c>
      <c r="E206" s="1249">
        <f t="shared" si="217"/>
        <v>9.4200000000000728E-2</v>
      </c>
      <c r="F206" s="5384"/>
      <c r="G206" s="5385"/>
      <c r="H206" s="1249">
        <f t="shared" si="218"/>
        <v>0</v>
      </c>
      <c r="I206" s="1249">
        <f t="shared" si="218"/>
        <v>19.720029999999998</v>
      </c>
      <c r="J206" s="5384"/>
      <c r="K206" s="5385"/>
      <c r="L206" s="1249">
        <f t="shared" si="219"/>
        <v>18.87379</v>
      </c>
      <c r="M206" s="1249">
        <f t="shared" si="219"/>
        <v>1.5900000025794725E-3</v>
      </c>
      <c r="N206" s="5384"/>
      <c r="O206" s="5385"/>
      <c r="P206" s="1249">
        <f t="shared" si="220"/>
        <v>0</v>
      </c>
      <c r="Q206" s="1249">
        <f t="shared" si="220"/>
        <v>0</v>
      </c>
      <c r="R206" s="5384"/>
      <c r="S206" s="5385"/>
      <c r="T206" s="1249">
        <f t="shared" si="221"/>
        <v>0</v>
      </c>
      <c r="U206" s="1249">
        <f t="shared" si="221"/>
        <v>0</v>
      </c>
      <c r="V206" s="5384"/>
      <c r="W206" s="5385"/>
      <c r="X206" s="2679">
        <f t="shared" si="222"/>
        <v>0</v>
      </c>
      <c r="Y206" s="4488"/>
      <c r="Z206" s="4504">
        <f t="shared" si="223"/>
        <v>4.8163695208684153E-2</v>
      </c>
      <c r="AA206" s="4519"/>
      <c r="AB206" s="4520"/>
      <c r="AC206" s="4504">
        <f t="shared" si="224"/>
        <v>0</v>
      </c>
      <c r="AD206" s="4504">
        <f t="shared" si="225"/>
        <v>10.082691235945864</v>
      </c>
      <c r="AE206" s="4519"/>
      <c r="AF206" s="4520"/>
      <c r="AG206" s="4504">
        <f t="shared" si="226"/>
        <v>9.650015594402376</v>
      </c>
      <c r="AH206" s="4504">
        <f t="shared" si="227"/>
        <v>8.1295409242085077E-4</v>
      </c>
      <c r="AI206" s="4519"/>
      <c r="AJ206" s="4520"/>
      <c r="AK206" s="4504">
        <f t="shared" si="228"/>
        <v>0</v>
      </c>
      <c r="AL206" s="4504">
        <f t="shared" si="229"/>
        <v>0</v>
      </c>
      <c r="AM206" s="4519"/>
      <c r="AN206" s="4520"/>
      <c r="AO206" s="4504">
        <f t="shared" si="230"/>
        <v>0</v>
      </c>
      <c r="AP206" s="4504">
        <f t="shared" si="231"/>
        <v>0</v>
      </c>
      <c r="AQ206" s="4519"/>
      <c r="AR206" s="4520"/>
      <c r="AS206" s="4504">
        <f t="shared" si="232"/>
        <v>0</v>
      </c>
    </row>
    <row r="207" spans="1:45">
      <c r="A207" s="2611">
        <v>10</v>
      </c>
      <c r="B207" s="2554">
        <v>91140101</v>
      </c>
      <c r="C207" s="2610">
        <v>0.1</v>
      </c>
      <c r="D207" s="2584" t="s">
        <v>1016</v>
      </c>
      <c r="E207" s="1249">
        <f t="shared" si="217"/>
        <v>0</v>
      </c>
      <c r="F207" s="5384"/>
      <c r="G207" s="5385"/>
      <c r="H207" s="1249">
        <f t="shared" si="218"/>
        <v>0</v>
      </c>
      <c r="I207" s="1249">
        <f t="shared" si="218"/>
        <v>0</v>
      </c>
      <c r="J207" s="5384"/>
      <c r="K207" s="5385"/>
      <c r="L207" s="1249">
        <f t="shared" si="219"/>
        <v>0</v>
      </c>
      <c r="M207" s="1249">
        <f t="shared" si="219"/>
        <v>0</v>
      </c>
      <c r="N207" s="5384"/>
      <c r="O207" s="5385"/>
      <c r="P207" s="1249">
        <f t="shared" si="220"/>
        <v>0</v>
      </c>
      <c r="Q207" s="1249">
        <f t="shared" si="220"/>
        <v>0</v>
      </c>
      <c r="R207" s="5384"/>
      <c r="S207" s="5385"/>
      <c r="T207" s="1249">
        <f t="shared" si="221"/>
        <v>0</v>
      </c>
      <c r="U207" s="1249">
        <f t="shared" si="221"/>
        <v>0</v>
      </c>
      <c r="V207" s="5384"/>
      <c r="W207" s="5385"/>
      <c r="X207" s="2679">
        <f t="shared" si="222"/>
        <v>0</v>
      </c>
      <c r="Y207" s="4488"/>
      <c r="Z207" s="4504">
        <f t="shared" si="223"/>
        <v>0</v>
      </c>
      <c r="AA207" s="4519"/>
      <c r="AB207" s="4520"/>
      <c r="AC207" s="4504">
        <f t="shared" si="224"/>
        <v>0</v>
      </c>
      <c r="AD207" s="4504">
        <f t="shared" si="225"/>
        <v>0</v>
      </c>
      <c r="AE207" s="4519"/>
      <c r="AF207" s="4520"/>
      <c r="AG207" s="4504">
        <f t="shared" si="226"/>
        <v>0</v>
      </c>
      <c r="AH207" s="4504">
        <f t="shared" si="227"/>
        <v>0</v>
      </c>
      <c r="AI207" s="4519"/>
      <c r="AJ207" s="4520"/>
      <c r="AK207" s="4504">
        <f t="shared" si="228"/>
        <v>0</v>
      </c>
      <c r="AL207" s="4504">
        <f t="shared" si="229"/>
        <v>0</v>
      </c>
      <c r="AM207" s="4519"/>
      <c r="AN207" s="4520"/>
      <c r="AO207" s="4504">
        <f t="shared" si="230"/>
        <v>0</v>
      </c>
      <c r="AP207" s="4504">
        <f t="shared" si="231"/>
        <v>0</v>
      </c>
      <c r="AQ207" s="4519"/>
      <c r="AR207" s="4520"/>
      <c r="AS207" s="4504">
        <f t="shared" si="232"/>
        <v>0</v>
      </c>
    </row>
    <row r="208" spans="1:45">
      <c r="A208" s="2611">
        <v>11</v>
      </c>
      <c r="B208" s="2554">
        <v>91140102</v>
      </c>
      <c r="C208" s="2610">
        <v>0.04</v>
      </c>
      <c r="D208" s="2584" t="s">
        <v>432</v>
      </c>
      <c r="E208" s="1249">
        <f t="shared" si="217"/>
        <v>3.3374000000000024</v>
      </c>
      <c r="F208" s="5384"/>
      <c r="G208" s="5385"/>
      <c r="H208" s="1249">
        <f t="shared" si="218"/>
        <v>1.8688799999999901</v>
      </c>
      <c r="I208" s="1249">
        <f t="shared" si="218"/>
        <v>0</v>
      </c>
      <c r="J208" s="5384"/>
      <c r="K208" s="5385"/>
      <c r="L208" s="1249">
        <f t="shared" si="219"/>
        <v>0</v>
      </c>
      <c r="M208" s="1249">
        <f t="shared" si="219"/>
        <v>533.42031000000031</v>
      </c>
      <c r="N208" s="5384"/>
      <c r="O208" s="5385"/>
      <c r="P208" s="1249">
        <f t="shared" si="220"/>
        <v>483.35643000000027</v>
      </c>
      <c r="Q208" s="1249">
        <f t="shared" si="220"/>
        <v>0</v>
      </c>
      <c r="R208" s="5384"/>
      <c r="S208" s="5385"/>
      <c r="T208" s="1249">
        <f t="shared" si="221"/>
        <v>0</v>
      </c>
      <c r="U208" s="1249">
        <f t="shared" si="221"/>
        <v>0</v>
      </c>
      <c r="V208" s="5384"/>
      <c r="W208" s="5385"/>
      <c r="X208" s="2679">
        <f t="shared" si="222"/>
        <v>0</v>
      </c>
      <c r="Y208" s="4488"/>
      <c r="Z208" s="4504">
        <f t="shared" si="223"/>
        <v>1.7063855243042607</v>
      </c>
      <c r="AA208" s="4519"/>
      <c r="AB208" s="4520"/>
      <c r="AC208" s="4504">
        <f t="shared" si="224"/>
        <v>0.95554317092998375</v>
      </c>
      <c r="AD208" s="4504">
        <f t="shared" si="225"/>
        <v>0</v>
      </c>
      <c r="AE208" s="4519"/>
      <c r="AF208" s="4520"/>
      <c r="AG208" s="4504">
        <f t="shared" si="226"/>
        <v>0</v>
      </c>
      <c r="AH208" s="4504">
        <f t="shared" si="227"/>
        <v>272.7334737681702</v>
      </c>
      <c r="AI208" s="4519"/>
      <c r="AJ208" s="4520"/>
      <c r="AK208" s="4504">
        <f t="shared" si="228"/>
        <v>247.13621838298843</v>
      </c>
      <c r="AL208" s="4504">
        <f t="shared" si="229"/>
        <v>0</v>
      </c>
      <c r="AM208" s="4519"/>
      <c r="AN208" s="4520"/>
      <c r="AO208" s="4504">
        <f t="shared" si="230"/>
        <v>0</v>
      </c>
      <c r="AP208" s="4504">
        <f t="shared" si="231"/>
        <v>0</v>
      </c>
      <c r="AQ208" s="4519"/>
      <c r="AR208" s="4520"/>
      <c r="AS208" s="4504">
        <f t="shared" si="232"/>
        <v>0</v>
      </c>
    </row>
    <row r="209" spans="1:45">
      <c r="A209" s="2611">
        <v>12</v>
      </c>
      <c r="B209" s="2554" t="s">
        <v>698</v>
      </c>
      <c r="C209" s="2555">
        <v>0.02</v>
      </c>
      <c r="D209" s="2585" t="s">
        <v>738</v>
      </c>
      <c r="E209" s="1249">
        <f t="shared" si="217"/>
        <v>0</v>
      </c>
      <c r="F209" s="5384"/>
      <c r="G209" s="5385"/>
      <c r="H209" s="1249">
        <f t="shared" si="218"/>
        <v>0</v>
      </c>
      <c r="I209" s="1249">
        <f t="shared" si="218"/>
        <v>0</v>
      </c>
      <c r="J209" s="5384"/>
      <c r="K209" s="5385"/>
      <c r="L209" s="1249">
        <f t="shared" si="219"/>
        <v>0</v>
      </c>
      <c r="M209" s="1249">
        <f t="shared" si="219"/>
        <v>0</v>
      </c>
      <c r="N209" s="5384"/>
      <c r="O209" s="5385"/>
      <c r="P209" s="1249">
        <f t="shared" si="220"/>
        <v>0</v>
      </c>
      <c r="Q209" s="1249">
        <f t="shared" si="220"/>
        <v>0</v>
      </c>
      <c r="R209" s="5384"/>
      <c r="S209" s="5385"/>
      <c r="T209" s="1249">
        <f t="shared" si="221"/>
        <v>0</v>
      </c>
      <c r="U209" s="1249">
        <f t="shared" si="221"/>
        <v>0</v>
      </c>
      <c r="V209" s="5384"/>
      <c r="W209" s="5385"/>
      <c r="X209" s="2679">
        <f t="shared" si="222"/>
        <v>0</v>
      </c>
      <c r="Y209" s="4488"/>
      <c r="Z209" s="4504">
        <f t="shared" si="223"/>
        <v>0</v>
      </c>
      <c r="AA209" s="4519"/>
      <c r="AB209" s="4520"/>
      <c r="AC209" s="4504">
        <f t="shared" si="224"/>
        <v>0</v>
      </c>
      <c r="AD209" s="4504">
        <f t="shared" si="225"/>
        <v>0</v>
      </c>
      <c r="AE209" s="4519"/>
      <c r="AF209" s="4520"/>
      <c r="AG209" s="4504">
        <f t="shared" si="226"/>
        <v>0</v>
      </c>
      <c r="AH209" s="4504">
        <f t="shared" si="227"/>
        <v>0</v>
      </c>
      <c r="AI209" s="4519"/>
      <c r="AJ209" s="4520"/>
      <c r="AK209" s="4504">
        <f t="shared" si="228"/>
        <v>0</v>
      </c>
      <c r="AL209" s="4504">
        <f t="shared" si="229"/>
        <v>0</v>
      </c>
      <c r="AM209" s="4519"/>
      <c r="AN209" s="4520"/>
      <c r="AO209" s="4504">
        <f t="shared" si="230"/>
        <v>0</v>
      </c>
      <c r="AP209" s="4504">
        <f t="shared" si="231"/>
        <v>0</v>
      </c>
      <c r="AQ209" s="4519"/>
      <c r="AR209" s="4520"/>
      <c r="AS209" s="4504">
        <f t="shared" si="232"/>
        <v>0</v>
      </c>
    </row>
    <row r="210" spans="1:45">
      <c r="A210" s="2611">
        <v>13</v>
      </c>
      <c r="B210" s="2554" t="s">
        <v>699</v>
      </c>
      <c r="C210" s="2555">
        <v>0.02</v>
      </c>
      <c r="D210" s="2585" t="s">
        <v>739</v>
      </c>
      <c r="E210" s="1249">
        <f t="shared" si="217"/>
        <v>530.01483964938939</v>
      </c>
      <c r="F210" s="5384"/>
      <c r="G210" s="5385"/>
      <c r="H210" s="1249">
        <f t="shared" si="218"/>
        <v>985.22586001670368</v>
      </c>
      <c r="I210" s="1249">
        <f t="shared" si="218"/>
        <v>0</v>
      </c>
      <c r="J210" s="5384"/>
      <c r="K210" s="5385"/>
      <c r="L210" s="1249">
        <f t="shared" si="219"/>
        <v>0</v>
      </c>
      <c r="M210" s="1249">
        <f t="shared" si="219"/>
        <v>0</v>
      </c>
      <c r="N210" s="5384"/>
      <c r="O210" s="5385"/>
      <c r="P210" s="1249">
        <f t="shared" si="220"/>
        <v>0</v>
      </c>
      <c r="Q210" s="1249">
        <f t="shared" si="220"/>
        <v>0</v>
      </c>
      <c r="R210" s="5384"/>
      <c r="S210" s="5385"/>
      <c r="T210" s="1249">
        <f t="shared" si="221"/>
        <v>0</v>
      </c>
      <c r="U210" s="1249">
        <f t="shared" si="221"/>
        <v>9.9509403506104324</v>
      </c>
      <c r="V210" s="5384"/>
      <c r="W210" s="5385"/>
      <c r="X210" s="2679">
        <f t="shared" si="222"/>
        <v>9.4732399832959864</v>
      </c>
      <c r="Y210" s="4488"/>
      <c r="Z210" s="4504">
        <f t="shared" si="223"/>
        <v>270.99228442624837</v>
      </c>
      <c r="AA210" s="4519"/>
      <c r="AB210" s="4520"/>
      <c r="AC210" s="4504">
        <f t="shared" si="224"/>
        <v>503.73798337110264</v>
      </c>
      <c r="AD210" s="4504">
        <f t="shared" si="225"/>
        <v>0</v>
      </c>
      <c r="AE210" s="4519"/>
      <c r="AF210" s="4520"/>
      <c r="AG210" s="4504">
        <f t="shared" si="226"/>
        <v>0</v>
      </c>
      <c r="AH210" s="4504">
        <f t="shared" si="227"/>
        <v>0</v>
      </c>
      <c r="AI210" s="4519"/>
      <c r="AJ210" s="4520"/>
      <c r="AK210" s="4504">
        <f t="shared" si="228"/>
        <v>0</v>
      </c>
      <c r="AL210" s="4504">
        <f t="shared" si="229"/>
        <v>0</v>
      </c>
      <c r="AM210" s="4519"/>
      <c r="AN210" s="4520"/>
      <c r="AO210" s="4504">
        <f t="shared" si="230"/>
        <v>0</v>
      </c>
      <c r="AP210" s="4504">
        <f t="shared" si="231"/>
        <v>5.087835011534966</v>
      </c>
      <c r="AQ210" s="4519"/>
      <c r="AR210" s="4520"/>
      <c r="AS210" s="4504">
        <f t="shared" si="232"/>
        <v>4.8435906920826381</v>
      </c>
    </row>
    <row r="211" spans="1:45">
      <c r="A211" s="2611">
        <v>14</v>
      </c>
      <c r="B211" s="2554" t="s">
        <v>700</v>
      </c>
      <c r="C211" s="2555">
        <v>0.02</v>
      </c>
      <c r="D211" s="2585" t="s">
        <v>418</v>
      </c>
      <c r="E211" s="1249">
        <f t="shared" si="217"/>
        <v>4.2922075256006593</v>
      </c>
      <c r="F211" s="5384"/>
      <c r="G211" s="5385"/>
      <c r="H211" s="1249">
        <f t="shared" si="218"/>
        <v>3.7923550166896902</v>
      </c>
      <c r="I211" s="1249">
        <f t="shared" si="218"/>
        <v>0</v>
      </c>
      <c r="J211" s="5384"/>
      <c r="K211" s="5385"/>
      <c r="L211" s="1249">
        <f t="shared" si="219"/>
        <v>0</v>
      </c>
      <c r="M211" s="1249">
        <f t="shared" si="219"/>
        <v>0</v>
      </c>
      <c r="N211" s="5384"/>
      <c r="O211" s="5385"/>
      <c r="P211" s="1249">
        <f t="shared" si="220"/>
        <v>0</v>
      </c>
      <c r="Q211" s="1249">
        <f t="shared" si="220"/>
        <v>0</v>
      </c>
      <c r="R211" s="5384"/>
      <c r="S211" s="5385"/>
      <c r="T211" s="1249">
        <f t="shared" si="221"/>
        <v>0</v>
      </c>
      <c r="U211" s="1249">
        <f t="shared" si="221"/>
        <v>0.12326247439934201</v>
      </c>
      <c r="V211" s="5384"/>
      <c r="W211" s="5385"/>
      <c r="X211" s="2679">
        <f t="shared" si="222"/>
        <v>0.10603498331031053</v>
      </c>
      <c r="Y211" s="4488"/>
      <c r="Z211" s="4504">
        <f t="shared" si="223"/>
        <v>2.1945708602489273</v>
      </c>
      <c r="AA211" s="4519"/>
      <c r="AB211" s="4520"/>
      <c r="AC211" s="4504">
        <f t="shared" si="224"/>
        <v>1.9390003306471884</v>
      </c>
      <c r="AD211" s="4504">
        <f t="shared" si="225"/>
        <v>0</v>
      </c>
      <c r="AE211" s="4519"/>
      <c r="AF211" s="4520"/>
      <c r="AG211" s="4504">
        <f t="shared" si="226"/>
        <v>0</v>
      </c>
      <c r="AH211" s="4504">
        <f t="shared" si="227"/>
        <v>0</v>
      </c>
      <c r="AI211" s="4519"/>
      <c r="AJ211" s="4520"/>
      <c r="AK211" s="4504">
        <f t="shared" si="228"/>
        <v>0</v>
      </c>
      <c r="AL211" s="4504">
        <f t="shared" si="229"/>
        <v>0</v>
      </c>
      <c r="AM211" s="4519"/>
      <c r="AN211" s="4520"/>
      <c r="AO211" s="4504">
        <f t="shared" si="230"/>
        <v>0</v>
      </c>
      <c r="AP211" s="4504">
        <f t="shared" si="231"/>
        <v>6.30231024165403E-2</v>
      </c>
      <c r="AQ211" s="4519"/>
      <c r="AR211" s="4520"/>
      <c r="AS211" s="4504">
        <f t="shared" si="232"/>
        <v>5.4214826089338301E-2</v>
      </c>
    </row>
    <row r="212" spans="1:45">
      <c r="A212" s="2611">
        <v>15</v>
      </c>
      <c r="B212" s="2554" t="s">
        <v>701</v>
      </c>
      <c r="C212" s="2555">
        <v>0.02</v>
      </c>
      <c r="D212" s="2584" t="s">
        <v>419</v>
      </c>
      <c r="E212" s="1249">
        <f t="shared" si="217"/>
        <v>8.0382899999999928</v>
      </c>
      <c r="F212" s="5384"/>
      <c r="G212" s="5385"/>
      <c r="H212" s="1249">
        <f t="shared" si="218"/>
        <v>7.5608099999999929</v>
      </c>
      <c r="I212" s="1249">
        <f t="shared" si="218"/>
        <v>0</v>
      </c>
      <c r="J212" s="5384"/>
      <c r="K212" s="5385"/>
      <c r="L212" s="1249">
        <f t="shared" si="219"/>
        <v>0</v>
      </c>
      <c r="M212" s="1249">
        <f t="shared" si="219"/>
        <v>0</v>
      </c>
      <c r="N212" s="5384"/>
      <c r="O212" s="5385"/>
      <c r="P212" s="1249">
        <f t="shared" si="220"/>
        <v>0</v>
      </c>
      <c r="Q212" s="1249">
        <f t="shared" si="220"/>
        <v>0</v>
      </c>
      <c r="R212" s="5384"/>
      <c r="S212" s="5385"/>
      <c r="T212" s="1249">
        <f t="shared" si="221"/>
        <v>0</v>
      </c>
      <c r="U212" s="1249">
        <f t="shared" si="221"/>
        <v>0</v>
      </c>
      <c r="V212" s="5384"/>
      <c r="W212" s="5385"/>
      <c r="X212" s="2679">
        <f t="shared" si="222"/>
        <v>0</v>
      </c>
      <c r="Y212" s="4488"/>
      <c r="Z212" s="4504">
        <f t="shared" si="223"/>
        <v>4.1099124157007472</v>
      </c>
      <c r="AA212" s="4519"/>
      <c r="AB212" s="4520"/>
      <c r="AC212" s="4504">
        <f t="shared" si="224"/>
        <v>3.865780768267177</v>
      </c>
      <c r="AD212" s="4504">
        <f t="shared" si="225"/>
        <v>0</v>
      </c>
      <c r="AE212" s="4519"/>
      <c r="AF212" s="4520"/>
      <c r="AG212" s="4504">
        <f t="shared" si="226"/>
        <v>0</v>
      </c>
      <c r="AH212" s="4504">
        <f t="shared" si="227"/>
        <v>0</v>
      </c>
      <c r="AI212" s="4519"/>
      <c r="AJ212" s="4520"/>
      <c r="AK212" s="4504">
        <f t="shared" si="228"/>
        <v>0</v>
      </c>
      <c r="AL212" s="4504">
        <f t="shared" si="229"/>
        <v>0</v>
      </c>
      <c r="AM212" s="4519"/>
      <c r="AN212" s="4520"/>
      <c r="AO212" s="4504">
        <f t="shared" si="230"/>
        <v>0</v>
      </c>
      <c r="AP212" s="4504">
        <f t="shared" si="231"/>
        <v>0</v>
      </c>
      <c r="AQ212" s="4519"/>
      <c r="AR212" s="4520"/>
      <c r="AS212" s="4504">
        <f t="shared" si="232"/>
        <v>0</v>
      </c>
    </row>
    <row r="213" spans="1:45">
      <c r="A213" s="2611">
        <v>16</v>
      </c>
      <c r="B213" s="2554" t="s">
        <v>702</v>
      </c>
      <c r="C213" s="2555">
        <v>0.02</v>
      </c>
      <c r="D213" s="2585" t="s">
        <v>420</v>
      </c>
      <c r="E213" s="1249">
        <f t="shared" si="217"/>
        <v>31948.451535307489</v>
      </c>
      <c r="F213" s="5384"/>
      <c r="G213" s="5385"/>
      <c r="H213" s="1249">
        <f t="shared" si="218"/>
        <v>38599.214741014832</v>
      </c>
      <c r="I213" s="1249">
        <f t="shared" si="218"/>
        <v>0</v>
      </c>
      <c r="J213" s="5384"/>
      <c r="K213" s="5385"/>
      <c r="L213" s="1249">
        <f t="shared" si="219"/>
        <v>0</v>
      </c>
      <c r="M213" s="1249">
        <f t="shared" si="219"/>
        <v>19.10135</v>
      </c>
      <c r="N213" s="5384"/>
      <c r="O213" s="5385"/>
      <c r="P213" s="1249">
        <f t="shared" si="220"/>
        <v>18.557029999999997</v>
      </c>
      <c r="Q213" s="1249">
        <f t="shared" si="220"/>
        <v>0</v>
      </c>
      <c r="R213" s="5384"/>
      <c r="S213" s="5385"/>
      <c r="T213" s="1249">
        <f t="shared" si="221"/>
        <v>0</v>
      </c>
      <c r="U213" s="1249">
        <f t="shared" si="221"/>
        <v>336.78184469249754</v>
      </c>
      <c r="V213" s="5384"/>
      <c r="W213" s="5385"/>
      <c r="X213" s="2679">
        <f t="shared" si="222"/>
        <v>322.26479898515163</v>
      </c>
      <c r="Y213" s="4488"/>
      <c r="Z213" s="4504">
        <f t="shared" si="223"/>
        <v>16334.983886793581</v>
      </c>
      <c r="AA213" s="4519"/>
      <c r="AB213" s="4520"/>
      <c r="AC213" s="4504">
        <f t="shared" si="224"/>
        <v>19735.46511763028</v>
      </c>
      <c r="AD213" s="4504">
        <f t="shared" si="225"/>
        <v>0</v>
      </c>
      <c r="AE213" s="4519"/>
      <c r="AF213" s="4520"/>
      <c r="AG213" s="4504">
        <f t="shared" si="226"/>
        <v>0</v>
      </c>
      <c r="AH213" s="4504">
        <f t="shared" si="227"/>
        <v>9.7663651748873885</v>
      </c>
      <c r="AI213" s="4519"/>
      <c r="AJ213" s="4520"/>
      <c r="AK213" s="4504">
        <f t="shared" si="228"/>
        <v>9.4880587781146613</v>
      </c>
      <c r="AL213" s="4504">
        <f t="shared" si="229"/>
        <v>0</v>
      </c>
      <c r="AM213" s="4519"/>
      <c r="AN213" s="4520"/>
      <c r="AO213" s="4504">
        <f t="shared" si="230"/>
        <v>0</v>
      </c>
      <c r="AP213" s="4504">
        <f t="shared" si="231"/>
        <v>172.19382292555977</v>
      </c>
      <c r="AQ213" s="4519"/>
      <c r="AR213" s="4520"/>
      <c r="AS213" s="4504">
        <f t="shared" si="232"/>
        <v>164.77137531643939</v>
      </c>
    </row>
    <row r="214" spans="1:45">
      <c r="A214" s="2611">
        <v>17</v>
      </c>
      <c r="B214" s="2554" t="s">
        <v>703</v>
      </c>
      <c r="C214" s="2555">
        <v>0.02</v>
      </c>
      <c r="D214" s="2590" t="s">
        <v>421</v>
      </c>
      <c r="E214" s="1249">
        <f t="shared" si="217"/>
        <v>0</v>
      </c>
      <c r="F214" s="5384"/>
      <c r="G214" s="5385"/>
      <c r="H214" s="1249">
        <f t="shared" ref="H214:I218" si="233">H170-H192</f>
        <v>0</v>
      </c>
      <c r="I214" s="1249">
        <f t="shared" si="233"/>
        <v>31658.393070000027</v>
      </c>
      <c r="J214" s="5384"/>
      <c r="K214" s="5385"/>
      <c r="L214" s="1249">
        <f t="shared" ref="L214:M218" si="234">L170-L192</f>
        <v>30822.04273000003</v>
      </c>
      <c r="M214" s="1249">
        <f t="shared" si="234"/>
        <v>6.8070299999999992</v>
      </c>
      <c r="N214" s="5384"/>
      <c r="O214" s="5385"/>
      <c r="P214" s="1249">
        <f t="shared" ref="P214:Q218" si="235">P170-P192</f>
        <v>6.6368699999999983</v>
      </c>
      <c r="Q214" s="1249">
        <f t="shared" si="235"/>
        <v>0</v>
      </c>
      <c r="R214" s="5384"/>
      <c r="S214" s="5385"/>
      <c r="T214" s="1249">
        <f t="shared" ref="T214:U218" si="236">T170-T192</f>
        <v>0</v>
      </c>
      <c r="U214" s="1249">
        <f t="shared" si="236"/>
        <v>0</v>
      </c>
      <c r="V214" s="5384"/>
      <c r="W214" s="5385"/>
      <c r="X214" s="2679">
        <f t="shared" si="222"/>
        <v>0</v>
      </c>
      <c r="Y214" s="4488"/>
      <c r="Z214" s="4504">
        <f t="shared" si="223"/>
        <v>0</v>
      </c>
      <c r="AA214" s="4519"/>
      <c r="AB214" s="4520"/>
      <c r="AC214" s="4504">
        <f t="shared" si="224"/>
        <v>0</v>
      </c>
      <c r="AD214" s="4504">
        <f t="shared" si="225"/>
        <v>16186.679348409642</v>
      </c>
      <c r="AE214" s="4519"/>
      <c r="AF214" s="4520"/>
      <c r="AG214" s="4504">
        <f t="shared" si="226"/>
        <v>15759.060209731946</v>
      </c>
      <c r="AH214" s="4504">
        <f t="shared" si="227"/>
        <v>3.4803791740590948</v>
      </c>
      <c r="AI214" s="4519"/>
      <c r="AJ214" s="4520"/>
      <c r="AK214" s="4504">
        <f t="shared" si="228"/>
        <v>3.3933777475547457</v>
      </c>
      <c r="AL214" s="4504">
        <f t="shared" si="229"/>
        <v>0</v>
      </c>
      <c r="AM214" s="4519"/>
      <c r="AN214" s="4520"/>
      <c r="AO214" s="4504">
        <f t="shared" si="230"/>
        <v>0</v>
      </c>
      <c r="AP214" s="4504">
        <f t="shared" si="231"/>
        <v>0</v>
      </c>
      <c r="AQ214" s="4519"/>
      <c r="AR214" s="4520"/>
      <c r="AS214" s="4504">
        <f t="shared" si="232"/>
        <v>0</v>
      </c>
    </row>
    <row r="215" spans="1:45" ht="48">
      <c r="A215" s="2611">
        <v>18</v>
      </c>
      <c r="B215" s="2554" t="s">
        <v>704</v>
      </c>
      <c r="C215" s="2555">
        <v>0.04</v>
      </c>
      <c r="D215" s="2590" t="s">
        <v>422</v>
      </c>
      <c r="E215" s="1249">
        <f t="shared" si="217"/>
        <v>139.11291999999992</v>
      </c>
      <c r="F215" s="5384"/>
      <c r="G215" s="5385"/>
      <c r="H215" s="1249">
        <f t="shared" si="233"/>
        <v>121.87095999999991</v>
      </c>
      <c r="I215" s="1249">
        <f t="shared" si="233"/>
        <v>32.426450000000003</v>
      </c>
      <c r="J215" s="5384"/>
      <c r="K215" s="5385"/>
      <c r="L215" s="1249">
        <f t="shared" si="234"/>
        <v>30.264650000000003</v>
      </c>
      <c r="M215" s="1249">
        <f t="shared" si="234"/>
        <v>7179.7042599999986</v>
      </c>
      <c r="N215" s="5384"/>
      <c r="O215" s="5385"/>
      <c r="P215" s="1249">
        <f t="shared" si="235"/>
        <v>6577.9800999999989</v>
      </c>
      <c r="Q215" s="1249">
        <f t="shared" si="235"/>
        <v>0</v>
      </c>
      <c r="R215" s="5384"/>
      <c r="S215" s="5385"/>
      <c r="T215" s="1249">
        <f t="shared" si="236"/>
        <v>0</v>
      </c>
      <c r="U215" s="1249">
        <f t="shared" si="236"/>
        <v>0</v>
      </c>
      <c r="V215" s="5384"/>
      <c r="W215" s="5385"/>
      <c r="X215" s="2679">
        <f t="shared" si="222"/>
        <v>0</v>
      </c>
      <c r="Y215" s="4488"/>
      <c r="Z215" s="4504">
        <f t="shared" si="223"/>
        <v>71.127306565499012</v>
      </c>
      <c r="AA215" s="4519"/>
      <c r="AB215" s="4520"/>
      <c r="AC215" s="4504">
        <f t="shared" si="224"/>
        <v>62.311632401589051</v>
      </c>
      <c r="AD215" s="4504">
        <f t="shared" si="225"/>
        <v>16.579380621015119</v>
      </c>
      <c r="AE215" s="4519"/>
      <c r="AF215" s="4520"/>
      <c r="AG215" s="4504">
        <f t="shared" si="226"/>
        <v>15.474069832245135</v>
      </c>
      <c r="AH215" s="4504">
        <f t="shared" si="227"/>
        <v>3670.924497527903</v>
      </c>
      <c r="AI215" s="4519"/>
      <c r="AJ215" s="4520"/>
      <c r="AK215" s="4504">
        <f t="shared" si="228"/>
        <v>3363.2678198002891</v>
      </c>
      <c r="AL215" s="4504">
        <f t="shared" si="229"/>
        <v>0</v>
      </c>
      <c r="AM215" s="4519"/>
      <c r="AN215" s="4520"/>
      <c r="AO215" s="4504">
        <f t="shared" si="230"/>
        <v>0</v>
      </c>
      <c r="AP215" s="4504">
        <f t="shared" si="231"/>
        <v>0</v>
      </c>
      <c r="AQ215" s="4519"/>
      <c r="AR215" s="4520"/>
      <c r="AS215" s="4504">
        <f t="shared" si="232"/>
        <v>0</v>
      </c>
    </row>
    <row r="216" spans="1:45">
      <c r="A216" s="2611">
        <v>19</v>
      </c>
      <c r="B216" s="2554" t="s">
        <v>705</v>
      </c>
      <c r="C216" s="2555">
        <v>0.04</v>
      </c>
      <c r="D216" s="2590" t="s">
        <v>423</v>
      </c>
      <c r="E216" s="1249">
        <f t="shared" si="217"/>
        <v>3.125380952366994</v>
      </c>
      <c r="F216" s="5384"/>
      <c r="G216" s="5385"/>
      <c r="H216" s="1249">
        <f t="shared" si="233"/>
        <v>2.8454594879336561</v>
      </c>
      <c r="I216" s="1249">
        <f t="shared" si="233"/>
        <v>0</v>
      </c>
      <c r="J216" s="5384"/>
      <c r="K216" s="5385"/>
      <c r="L216" s="1249">
        <f t="shared" si="234"/>
        <v>0</v>
      </c>
      <c r="M216" s="1249">
        <f t="shared" si="234"/>
        <v>0</v>
      </c>
      <c r="N216" s="5384"/>
      <c r="O216" s="5385"/>
      <c r="P216" s="1249">
        <f t="shared" si="235"/>
        <v>0</v>
      </c>
      <c r="Q216" s="1249">
        <f t="shared" si="235"/>
        <v>0</v>
      </c>
      <c r="R216" s="5384"/>
      <c r="S216" s="5385"/>
      <c r="T216" s="1249">
        <f t="shared" si="236"/>
        <v>0</v>
      </c>
      <c r="U216" s="1249">
        <f t="shared" si="236"/>
        <v>5.9939890476330078</v>
      </c>
      <c r="V216" s="5384"/>
      <c r="W216" s="5385"/>
      <c r="X216" s="2679">
        <f t="shared" si="222"/>
        <v>5.0259105120663463</v>
      </c>
      <c r="Y216" s="4488"/>
      <c r="Z216" s="4504">
        <f t="shared" si="223"/>
        <v>1.5979819065905494</v>
      </c>
      <c r="AA216" s="4519"/>
      <c r="AB216" s="4520"/>
      <c r="AC216" s="4504">
        <f t="shared" si="224"/>
        <v>1.4548603344532276</v>
      </c>
      <c r="AD216" s="4504">
        <f t="shared" si="225"/>
        <v>0</v>
      </c>
      <c r="AE216" s="4519"/>
      <c r="AF216" s="4520"/>
      <c r="AG216" s="4504">
        <f t="shared" si="226"/>
        <v>0</v>
      </c>
      <c r="AH216" s="4504">
        <f t="shared" si="227"/>
        <v>0</v>
      </c>
      <c r="AI216" s="4519"/>
      <c r="AJ216" s="4520"/>
      <c r="AK216" s="4504">
        <f t="shared" si="228"/>
        <v>0</v>
      </c>
      <c r="AL216" s="4504">
        <f t="shared" si="229"/>
        <v>0</v>
      </c>
      <c r="AM216" s="4519"/>
      <c r="AN216" s="4520"/>
      <c r="AO216" s="4504">
        <f t="shared" si="230"/>
        <v>0</v>
      </c>
      <c r="AP216" s="4504">
        <f t="shared" si="231"/>
        <v>3.0646779360338106</v>
      </c>
      <c r="AQ216" s="4519"/>
      <c r="AR216" s="4520"/>
      <c r="AS216" s="4504">
        <f t="shared" si="232"/>
        <v>2.5697072404382522</v>
      </c>
    </row>
    <row r="217" spans="1:45">
      <c r="A217" s="2611">
        <v>20</v>
      </c>
      <c r="B217" s="2554" t="s">
        <v>717</v>
      </c>
      <c r="C217" s="2555">
        <v>0.04</v>
      </c>
      <c r="D217" s="2609" t="s">
        <v>434</v>
      </c>
      <c r="E217" s="1249">
        <f t="shared" si="217"/>
        <v>0.69377000000000066</v>
      </c>
      <c r="F217" s="5384"/>
      <c r="G217" s="5385"/>
      <c r="H217" s="1249">
        <f t="shared" si="233"/>
        <v>0.34612000000001331</v>
      </c>
      <c r="I217" s="1249">
        <f t="shared" si="233"/>
        <v>0</v>
      </c>
      <c r="J217" s="5384"/>
      <c r="K217" s="5385"/>
      <c r="L217" s="1249">
        <f t="shared" si="234"/>
        <v>0</v>
      </c>
      <c r="M217" s="1249">
        <f t="shared" si="234"/>
        <v>3130.6819299999993</v>
      </c>
      <c r="N217" s="5384"/>
      <c r="O217" s="5385"/>
      <c r="P217" s="1249">
        <f t="shared" si="235"/>
        <v>2891.1032499999992</v>
      </c>
      <c r="Q217" s="1249">
        <f t="shared" si="235"/>
        <v>0</v>
      </c>
      <c r="R217" s="5384"/>
      <c r="S217" s="5385"/>
      <c r="T217" s="1249">
        <f t="shared" si="236"/>
        <v>0</v>
      </c>
      <c r="U217" s="1249">
        <f t="shared" si="236"/>
        <v>0</v>
      </c>
      <c r="V217" s="5384"/>
      <c r="W217" s="5385"/>
      <c r="X217" s="2679">
        <f t="shared" si="222"/>
        <v>0</v>
      </c>
      <c r="Y217" s="4488"/>
      <c r="Z217" s="4504">
        <f t="shared" si="223"/>
        <v>0.35471896841750084</v>
      </c>
      <c r="AA217" s="4519"/>
      <c r="AB217" s="4520"/>
      <c r="AC217" s="4504">
        <f t="shared" si="224"/>
        <v>0.17696834591964195</v>
      </c>
      <c r="AD217" s="4504">
        <f t="shared" si="225"/>
        <v>0</v>
      </c>
      <c r="AE217" s="4519"/>
      <c r="AF217" s="4520"/>
      <c r="AG217" s="4504">
        <f t="shared" si="226"/>
        <v>0</v>
      </c>
      <c r="AH217" s="4504">
        <f t="shared" si="227"/>
        <v>1600.6922534167077</v>
      </c>
      <c r="AI217" s="4519"/>
      <c r="AJ217" s="4520"/>
      <c r="AK217" s="4504">
        <f t="shared" si="228"/>
        <v>1478.1976194250008</v>
      </c>
      <c r="AL217" s="4504">
        <f t="shared" si="229"/>
        <v>0</v>
      </c>
      <c r="AM217" s="4519"/>
      <c r="AN217" s="4520"/>
      <c r="AO217" s="4504">
        <f t="shared" si="230"/>
        <v>0</v>
      </c>
      <c r="AP217" s="4504">
        <f t="shared" si="231"/>
        <v>0</v>
      </c>
      <c r="AQ217" s="4519"/>
      <c r="AR217" s="4520"/>
      <c r="AS217" s="4504">
        <f t="shared" si="232"/>
        <v>0</v>
      </c>
    </row>
    <row r="218" spans="1:45" ht="48.6" thickBot="1">
      <c r="A218" s="2611">
        <v>21</v>
      </c>
      <c r="B218" s="2554" t="s">
        <v>707</v>
      </c>
      <c r="C218" s="2560">
        <v>0.2</v>
      </c>
      <c r="D218" s="2590" t="s">
        <v>679</v>
      </c>
      <c r="E218" s="1249">
        <f t="shared" si="217"/>
        <v>0</v>
      </c>
      <c r="F218" s="5386"/>
      <c r="G218" s="5387"/>
      <c r="H218" s="1249">
        <f t="shared" si="233"/>
        <v>0</v>
      </c>
      <c r="I218" s="1249">
        <f t="shared" si="233"/>
        <v>0</v>
      </c>
      <c r="J218" s="5386"/>
      <c r="K218" s="5387"/>
      <c r="L218" s="1249">
        <f t="shared" si="234"/>
        <v>0</v>
      </c>
      <c r="M218" s="1249">
        <f t="shared" si="234"/>
        <v>0</v>
      </c>
      <c r="N218" s="5386"/>
      <c r="O218" s="5387"/>
      <c r="P218" s="1249">
        <f t="shared" si="235"/>
        <v>0</v>
      </c>
      <c r="Q218" s="1249">
        <f t="shared" si="235"/>
        <v>0</v>
      </c>
      <c r="R218" s="5386"/>
      <c r="S218" s="5387"/>
      <c r="T218" s="1249">
        <f t="shared" si="236"/>
        <v>0</v>
      </c>
      <c r="U218" s="1249">
        <f t="shared" si="236"/>
        <v>0</v>
      </c>
      <c r="V218" s="5386"/>
      <c r="W218" s="5387"/>
      <c r="X218" s="2679">
        <f t="shared" si="222"/>
        <v>0</v>
      </c>
      <c r="Y218" s="4488"/>
      <c r="Z218" s="4504">
        <f t="shared" si="223"/>
        <v>0</v>
      </c>
      <c r="AA218" s="4514"/>
      <c r="AB218" s="4515"/>
      <c r="AC218" s="4504">
        <f t="shared" si="224"/>
        <v>0</v>
      </c>
      <c r="AD218" s="4504">
        <f t="shared" si="225"/>
        <v>0</v>
      </c>
      <c r="AE218" s="4514"/>
      <c r="AF218" s="4515"/>
      <c r="AG218" s="4504">
        <f t="shared" si="226"/>
        <v>0</v>
      </c>
      <c r="AH218" s="4504">
        <f t="shared" si="227"/>
        <v>0</v>
      </c>
      <c r="AI218" s="4514"/>
      <c r="AJ218" s="4515"/>
      <c r="AK218" s="4504">
        <f t="shared" si="228"/>
        <v>0</v>
      </c>
      <c r="AL218" s="4504">
        <f t="shared" si="229"/>
        <v>0</v>
      </c>
      <c r="AM218" s="4514"/>
      <c r="AN218" s="4515"/>
      <c r="AO218" s="4504">
        <f t="shared" si="230"/>
        <v>0</v>
      </c>
      <c r="AP218" s="4504">
        <f t="shared" si="231"/>
        <v>0</v>
      </c>
      <c r="AQ218" s="4514"/>
      <c r="AR218" s="4515"/>
      <c r="AS218" s="4504">
        <f t="shared" si="232"/>
        <v>0</v>
      </c>
    </row>
    <row r="219" spans="1:45" ht="13.8" thickBot="1">
      <c r="A219" s="5373" t="s">
        <v>559</v>
      </c>
      <c r="B219" s="5374"/>
      <c r="C219" s="5374"/>
      <c r="D219" s="5375"/>
      <c r="E219" s="2680">
        <f t="shared" ref="E219:X219" si="237">E11+E91+E153</f>
        <v>58898.914045060905</v>
      </c>
      <c r="F219" s="2680">
        <f t="shared" si="237"/>
        <v>9690.5936309968565</v>
      </c>
      <c r="G219" s="2680">
        <f t="shared" si="237"/>
        <v>53.396213280001803</v>
      </c>
      <c r="H219" s="2680">
        <f t="shared" si="237"/>
        <v>68536.111462777757</v>
      </c>
      <c r="I219" s="2680">
        <f t="shared" si="237"/>
        <v>43185.865186740011</v>
      </c>
      <c r="J219" s="2680">
        <f t="shared" si="237"/>
        <v>221.39499809219953</v>
      </c>
      <c r="K219" s="2680">
        <f t="shared" si="237"/>
        <v>18.756462199673116</v>
      </c>
      <c r="L219" s="2680">
        <f t="shared" si="237"/>
        <v>43388.503722632537</v>
      </c>
      <c r="M219" s="2680">
        <f t="shared" si="237"/>
        <v>36028.442625154312</v>
      </c>
      <c r="N219" s="2680">
        <f t="shared" si="237"/>
        <v>173.00331922373493</v>
      </c>
      <c r="O219" s="2680">
        <f t="shared" si="237"/>
        <v>22.886307348476539</v>
      </c>
      <c r="P219" s="2680">
        <f t="shared" si="237"/>
        <v>36178.559637029568</v>
      </c>
      <c r="Q219" s="2680">
        <f t="shared" si="237"/>
        <v>0</v>
      </c>
      <c r="R219" s="2680">
        <f t="shared" si="237"/>
        <v>0</v>
      </c>
      <c r="S219" s="2680">
        <f t="shared" si="237"/>
        <v>0</v>
      </c>
      <c r="T219" s="2680">
        <f t="shared" si="237"/>
        <v>0</v>
      </c>
      <c r="U219" s="2680">
        <f t="shared" si="237"/>
        <v>2507.33369204159</v>
      </c>
      <c r="V219" s="2680">
        <f t="shared" si="237"/>
        <v>234.29246864482366</v>
      </c>
      <c r="W219" s="2680">
        <f t="shared" si="237"/>
        <v>5.9143230730361607</v>
      </c>
      <c r="X219" s="2680">
        <f t="shared" si="237"/>
        <v>2735.7118376133776</v>
      </c>
      <c r="Y219" s="4488"/>
      <c r="Z219" s="4504">
        <f t="shared" si="223"/>
        <v>30114.536562513564</v>
      </c>
      <c r="AA219" s="4504">
        <f t="shared" ref="AA219:AA221" si="238">IFERROR(F219/$D$1,0)</f>
        <v>4954.7218475004765</v>
      </c>
      <c r="AB219" s="4504">
        <f t="shared" ref="AB219:AB221" si="239">IFERROR(G219/$D$1,0)</f>
        <v>27.301050336686625</v>
      </c>
      <c r="AC219" s="4504">
        <f t="shared" si="224"/>
        <v>35041.957359677355</v>
      </c>
      <c r="AD219" s="4504">
        <f t="shared" si="225"/>
        <v>22080.582252414581</v>
      </c>
      <c r="AE219" s="4504">
        <f t="shared" ref="AE219:AE221" si="240">IFERROR(J219/$D$1,0)</f>
        <v>113.1974650619939</v>
      </c>
      <c r="AF219" s="4504">
        <f t="shared" ref="AF219:AF221" si="241">IFERROR(K219/$D$1,0)</f>
        <v>9.5900268426566306</v>
      </c>
      <c r="AG219" s="4504">
        <f t="shared" si="226"/>
        <v>22184.189690633921</v>
      </c>
      <c r="AH219" s="4504">
        <f t="shared" si="227"/>
        <v>18421.050206385175</v>
      </c>
      <c r="AI219" s="4504">
        <f t="shared" ref="AI219:AI221" si="242">IFERROR(N219/$D$1,0)</f>
        <v>88.455192539093346</v>
      </c>
      <c r="AJ219" s="4504">
        <f t="shared" ref="AJ219:AJ221" si="243">IFERROR(O219/$D$1,0)</f>
        <v>11.701583137837408</v>
      </c>
      <c r="AK219" s="4504">
        <f t="shared" si="228"/>
        <v>18497.803815786428</v>
      </c>
      <c r="AL219" s="4504">
        <f t="shared" si="229"/>
        <v>0</v>
      </c>
      <c r="AM219" s="4504">
        <f t="shared" ref="AM219:AM221" si="244">IFERROR(R219/$D$1,0)</f>
        <v>0</v>
      </c>
      <c r="AN219" s="4504">
        <f t="shared" ref="AN219:AN221" si="245">IFERROR(S219/$D$1,0)</f>
        <v>0</v>
      </c>
      <c r="AO219" s="4504">
        <f t="shared" si="230"/>
        <v>0</v>
      </c>
      <c r="AP219" s="4504">
        <f t="shared" si="231"/>
        <v>1281.9793601906044</v>
      </c>
      <c r="AQ219" s="4504">
        <f t="shared" ref="AQ219:AQ221" si="246">IFERROR(V219/$D$1,0)</f>
        <v>119.79183704351793</v>
      </c>
      <c r="AR219" s="4504">
        <f t="shared" ref="AR219:AR221" si="247">IFERROR(W219/$D$1,0)</f>
        <v>3.0239453700148586</v>
      </c>
      <c r="AS219" s="4504">
        <f t="shared" si="232"/>
        <v>1398.7472518641077</v>
      </c>
    </row>
    <row r="220" spans="1:45" ht="13.8" thickBot="1">
      <c r="A220" s="5373" t="s">
        <v>561</v>
      </c>
      <c r="B220" s="5374"/>
      <c r="C220" s="5374"/>
      <c r="D220" s="5375"/>
      <c r="E220" s="2680">
        <f t="shared" ref="E220:X220" si="248">E40+E111+E175</f>
        <v>20868.207200153436</v>
      </c>
      <c r="F220" s="2680">
        <f t="shared" si="248"/>
        <v>1187.80523216846</v>
      </c>
      <c r="G220" s="2680">
        <f t="shared" si="248"/>
        <v>53.244577999492137</v>
      </c>
      <c r="H220" s="2680">
        <f t="shared" si="248"/>
        <v>22002.767854322399</v>
      </c>
      <c r="I220" s="2680">
        <f t="shared" si="248"/>
        <v>11171.668425078422</v>
      </c>
      <c r="J220" s="2680">
        <f t="shared" si="248"/>
        <v>860.06429193286669</v>
      </c>
      <c r="K220" s="2680">
        <f t="shared" si="248"/>
        <v>18.646666345410452</v>
      </c>
      <c r="L220" s="2680">
        <f t="shared" si="248"/>
        <v>12013.086050665877</v>
      </c>
      <c r="M220" s="2680">
        <f t="shared" si="248"/>
        <v>22484.3203094481</v>
      </c>
      <c r="N220" s="2680">
        <f t="shared" si="248"/>
        <v>1046.984512339827</v>
      </c>
      <c r="O220" s="2680">
        <f t="shared" si="248"/>
        <v>22.75233636612958</v>
      </c>
      <c r="P220" s="2680">
        <f t="shared" si="248"/>
        <v>23508.552485421795</v>
      </c>
      <c r="Q220" s="2680">
        <f t="shared" si="248"/>
        <v>0</v>
      </c>
      <c r="R220" s="2680">
        <f t="shared" si="248"/>
        <v>0</v>
      </c>
      <c r="S220" s="2680">
        <f t="shared" si="248"/>
        <v>0</v>
      </c>
      <c r="T220" s="2680">
        <f t="shared" si="248"/>
        <v>0</v>
      </c>
      <c r="U220" s="2680">
        <f t="shared" si="248"/>
        <v>1964.682908175419</v>
      </c>
      <c r="V220" s="2680">
        <f t="shared" si="248"/>
        <v>49.041663038299674</v>
      </c>
      <c r="W220" s="2680">
        <f t="shared" si="248"/>
        <v>5.9080466248209502</v>
      </c>
      <c r="X220" s="2680">
        <f t="shared" si="248"/>
        <v>2007.8165245888972</v>
      </c>
      <c r="Y220" s="4488"/>
      <c r="Z220" s="4504">
        <f t="shared" si="223"/>
        <v>10669.744916558922</v>
      </c>
      <c r="AA220" s="4504">
        <f t="shared" si="238"/>
        <v>607.31517165012292</v>
      </c>
      <c r="AB220" s="4504">
        <f t="shared" si="239"/>
        <v>27.223520448859123</v>
      </c>
      <c r="AC220" s="4504">
        <f t="shared" si="224"/>
        <v>11249.836567760183</v>
      </c>
      <c r="AD220" s="4504">
        <f t="shared" si="225"/>
        <v>5711.9833651587423</v>
      </c>
      <c r="AE220" s="4504">
        <f t="shared" si="240"/>
        <v>439.74388977204904</v>
      </c>
      <c r="AF220" s="4504">
        <f t="shared" si="241"/>
        <v>9.5338891137831272</v>
      </c>
      <c r="AG220" s="4504">
        <f t="shared" si="226"/>
        <v>6142.1933658170074</v>
      </c>
      <c r="AH220" s="4504">
        <f t="shared" si="227"/>
        <v>11496.050428436061</v>
      </c>
      <c r="AI220" s="4504">
        <f t="shared" si="242"/>
        <v>535.3146808975356</v>
      </c>
      <c r="AJ220" s="4504">
        <f t="shared" si="243"/>
        <v>11.633084862247527</v>
      </c>
      <c r="AK220" s="4504">
        <f t="shared" si="228"/>
        <v>12019.732024471346</v>
      </c>
      <c r="AL220" s="4504">
        <f t="shared" si="229"/>
        <v>0</v>
      </c>
      <c r="AM220" s="4504">
        <f t="shared" si="244"/>
        <v>0</v>
      </c>
      <c r="AN220" s="4504">
        <f t="shared" si="245"/>
        <v>0</v>
      </c>
      <c r="AO220" s="4504">
        <f t="shared" si="230"/>
        <v>0</v>
      </c>
      <c r="AP220" s="4504">
        <f t="shared" si="231"/>
        <v>1004.5264200750674</v>
      </c>
      <c r="AQ220" s="4504">
        <f t="shared" si="246"/>
        <v>25.074604151843296</v>
      </c>
      <c r="AR220" s="4504">
        <f t="shared" si="247"/>
        <v>3.020736272999673</v>
      </c>
      <c r="AS220" s="4504">
        <f t="shared" si="232"/>
        <v>1026.5802879539108</v>
      </c>
    </row>
    <row r="221" spans="1:45" ht="13.8" thickBot="1">
      <c r="A221" s="5373" t="s">
        <v>562</v>
      </c>
      <c r="B221" s="5374"/>
      <c r="C221" s="5374"/>
      <c r="D221" s="5375"/>
      <c r="E221" s="2680">
        <f>E65+E131+E197</f>
        <v>38030.706844907472</v>
      </c>
      <c r="F221" s="2680"/>
      <c r="G221" s="2680"/>
      <c r="H221" s="2680">
        <f>H65+H131+H197</f>
        <v>46533.343608455361</v>
      </c>
      <c r="I221" s="2680">
        <f>I65+I131+I197</f>
        <v>32014.196761661591</v>
      </c>
      <c r="J221" s="2680"/>
      <c r="K221" s="2680"/>
      <c r="L221" s="2680">
        <f>L65+L131+L197</f>
        <v>31375.417671966661</v>
      </c>
      <c r="M221" s="2680">
        <f>M65+M131+M197</f>
        <v>13544.122315706212</v>
      </c>
      <c r="N221" s="2680"/>
      <c r="O221" s="2680"/>
      <c r="P221" s="2680">
        <f>P65+P131+P197</f>
        <v>12670.00715160777</v>
      </c>
      <c r="Q221" s="2680">
        <f>Q65+Q131+Q197</f>
        <v>0</v>
      </c>
      <c r="R221" s="2680"/>
      <c r="S221" s="2680"/>
      <c r="T221" s="2680">
        <f>T65+T131+T197</f>
        <v>0</v>
      </c>
      <c r="U221" s="2680">
        <f>U65+U131+U197</f>
        <v>542.6507838661712</v>
      </c>
      <c r="V221" s="2680"/>
      <c r="W221" s="2680"/>
      <c r="X221" s="2680">
        <f>X65+X131+X197</f>
        <v>727.89531302447995</v>
      </c>
      <c r="Y221" s="4488"/>
      <c r="Z221" s="4504">
        <f t="shared" si="223"/>
        <v>19444.791645954643</v>
      </c>
      <c r="AA221" s="4504">
        <f t="shared" si="238"/>
        <v>0</v>
      </c>
      <c r="AB221" s="4504">
        <f t="shared" si="239"/>
        <v>0</v>
      </c>
      <c r="AC221" s="4504">
        <f t="shared" si="224"/>
        <v>23792.120791917172</v>
      </c>
      <c r="AD221" s="4504">
        <f t="shared" si="225"/>
        <v>16368.598887255841</v>
      </c>
      <c r="AE221" s="4504">
        <f t="shared" si="240"/>
        <v>0</v>
      </c>
      <c r="AF221" s="4504">
        <f t="shared" si="241"/>
        <v>0</v>
      </c>
      <c r="AG221" s="4504">
        <f t="shared" si="226"/>
        <v>16041.996324816913</v>
      </c>
      <c r="AH221" s="4504">
        <f t="shared" si="227"/>
        <v>6924.9997779491123</v>
      </c>
      <c r="AI221" s="4504">
        <f t="shared" si="242"/>
        <v>0</v>
      </c>
      <c r="AJ221" s="4504">
        <f t="shared" si="243"/>
        <v>0</v>
      </c>
      <c r="AK221" s="4504">
        <f t="shared" si="228"/>
        <v>6478.0717913150784</v>
      </c>
      <c r="AL221" s="4504">
        <f t="shared" si="229"/>
        <v>0</v>
      </c>
      <c r="AM221" s="4504">
        <f t="shared" si="244"/>
        <v>0</v>
      </c>
      <c r="AN221" s="4504">
        <f t="shared" si="245"/>
        <v>0</v>
      </c>
      <c r="AO221" s="4504">
        <f t="shared" si="230"/>
        <v>0</v>
      </c>
      <c r="AP221" s="4504">
        <f t="shared" si="231"/>
        <v>277.45294011553722</v>
      </c>
      <c r="AQ221" s="4504">
        <f t="shared" si="246"/>
        <v>0</v>
      </c>
      <c r="AR221" s="4504">
        <f t="shared" si="247"/>
        <v>0</v>
      </c>
      <c r="AS221" s="4504">
        <f t="shared" si="232"/>
        <v>372.16696391019667</v>
      </c>
    </row>
    <row r="222" spans="1:45" ht="13.8" thickBot="1">
      <c r="A222" s="178"/>
      <c r="B222" s="31"/>
      <c r="C222" s="31"/>
      <c r="D222" s="2619"/>
      <c r="E222" s="353"/>
      <c r="F222" s="353"/>
      <c r="G222" s="353"/>
      <c r="H222" s="353"/>
      <c r="I222" s="353"/>
      <c r="J222" s="353"/>
      <c r="K222" s="353"/>
      <c r="L222" s="353"/>
      <c r="M222" s="353"/>
      <c r="N222" s="353"/>
      <c r="O222" s="353"/>
      <c r="P222" s="353"/>
      <c r="Q222" s="353"/>
      <c r="R222" s="353"/>
      <c r="S222" s="353"/>
      <c r="T222" s="353"/>
      <c r="U222" s="353"/>
      <c r="V222" s="353"/>
      <c r="W222" s="353"/>
      <c r="X222" s="353"/>
      <c r="Y222" s="4488"/>
    </row>
    <row r="223" spans="1:45" ht="24.6" thickBot="1">
      <c r="D223" s="267" t="s">
        <v>1039</v>
      </c>
      <c r="E223" s="268">
        <f>E219-E220-E221</f>
        <v>0</v>
      </c>
      <c r="F223" s="268"/>
      <c r="G223" s="268"/>
      <c r="H223" s="268">
        <f>H219-H220-H221</f>
        <v>0</v>
      </c>
      <c r="I223" s="268">
        <f>I219-I220-I221</f>
        <v>0</v>
      </c>
      <c r="J223" s="268"/>
      <c r="K223" s="268"/>
      <c r="L223" s="268">
        <f>L219-L220-L221</f>
        <v>0</v>
      </c>
      <c r="M223" s="268">
        <f>M219-M220-M221</f>
        <v>0</v>
      </c>
      <c r="N223" s="268"/>
      <c r="O223" s="268"/>
      <c r="P223" s="268">
        <f>P219-P220-P221</f>
        <v>0</v>
      </c>
      <c r="Q223" s="268">
        <f>Q219-Q220-Q221</f>
        <v>0</v>
      </c>
      <c r="R223" s="268"/>
      <c r="S223" s="268"/>
      <c r="T223" s="268">
        <f>T219-T220-T221</f>
        <v>0</v>
      </c>
      <c r="U223" s="268">
        <f>U219-U220-U221</f>
        <v>0</v>
      </c>
      <c r="V223" s="268"/>
      <c r="W223" s="268"/>
      <c r="X223" s="268">
        <f>X219-X220-X221</f>
        <v>0</v>
      </c>
      <c r="Y223" s="4488"/>
      <c r="Z223" s="4510">
        <f t="shared" ref="Z223" si="249">IFERROR(E223/$D$1,0)</f>
        <v>0</v>
      </c>
      <c r="AA223" s="4510"/>
      <c r="AB223" s="4510"/>
      <c r="AC223" s="4510">
        <f t="shared" ref="AC223" si="250">IFERROR(H223/$D$1,0)</f>
        <v>0</v>
      </c>
      <c r="AD223" s="4510">
        <f t="shared" ref="AD223" si="251">IFERROR(I223/$D$1,0)</f>
        <v>0</v>
      </c>
      <c r="AE223" s="4510"/>
      <c r="AF223" s="4510"/>
      <c r="AG223" s="4510">
        <f t="shared" ref="AG223" si="252">IFERROR(L223/$D$1,0)</f>
        <v>0</v>
      </c>
      <c r="AH223" s="4510">
        <f t="shared" ref="AH223" si="253">IFERROR(M223/$D$1,0)</f>
        <v>0</v>
      </c>
      <c r="AI223" s="4510"/>
      <c r="AJ223" s="4510"/>
      <c r="AK223" s="4510">
        <f t="shared" ref="AK223" si="254">IFERROR(P223/$D$1,0)</f>
        <v>0</v>
      </c>
      <c r="AL223" s="4510">
        <f t="shared" ref="AL223" si="255">IFERROR(Q223/$D$1,0)</f>
        <v>0</v>
      </c>
      <c r="AM223" s="4510"/>
      <c r="AN223" s="4510"/>
      <c r="AO223" s="4510">
        <f t="shared" ref="AO223" si="256">IFERROR(T223/$D$1,0)</f>
        <v>0</v>
      </c>
      <c r="AP223" s="4510">
        <f t="shared" ref="AP223" si="257">IFERROR(U223/$D$1,0)</f>
        <v>0</v>
      </c>
      <c r="AQ223" s="4510"/>
      <c r="AR223" s="4510"/>
      <c r="AS223" s="4510">
        <f t="shared" ref="AS223" si="258">IFERROR(X223/$D$1,0)</f>
        <v>0</v>
      </c>
    </row>
    <row r="224" spans="1:45">
      <c r="D224" s="1439"/>
      <c r="E224" s="1440"/>
      <c r="F224" s="1440"/>
      <c r="G224" s="1440"/>
      <c r="H224" s="1440"/>
      <c r="I224" s="1440"/>
      <c r="J224" s="1440"/>
      <c r="K224" s="1440"/>
      <c r="L224" s="1440"/>
      <c r="M224" s="1440"/>
      <c r="N224" s="1440"/>
      <c r="O224" s="1440"/>
      <c r="P224" s="1440"/>
      <c r="Q224" s="1440"/>
      <c r="R224" s="1440"/>
      <c r="S224" s="1440"/>
      <c r="T224" s="1440"/>
      <c r="U224" s="1440"/>
      <c r="V224" s="1440"/>
      <c r="W224" s="1440"/>
      <c r="X224" s="1440"/>
    </row>
    <row r="225" spans="1:24">
      <c r="B225" s="2623" t="str">
        <f>'Приложение '!$B$82</f>
        <v>Дата: 16.03.2026</v>
      </c>
      <c r="D225" s="1439"/>
      <c r="E225" s="1440"/>
      <c r="F225" s="1440"/>
      <c r="G225" s="1440"/>
      <c r="H225" s="1440"/>
      <c r="I225" s="1440"/>
      <c r="J225" s="1440"/>
      <c r="K225" s="1440"/>
      <c r="L225" s="1440"/>
      <c r="M225" s="1440"/>
      <c r="N225" s="1440"/>
      <c r="O225" s="1440"/>
      <c r="P225" s="1440"/>
      <c r="Q225" s="1440"/>
      <c r="R225" s="1440"/>
      <c r="S225" s="1440"/>
      <c r="T225" s="1440"/>
      <c r="U225" s="1440"/>
      <c r="V225" s="1440"/>
      <c r="W225" s="1440"/>
      <c r="X225" s="1440"/>
    </row>
    <row r="226" spans="1:24">
      <c r="D226" s="1439"/>
      <c r="E226" s="1440"/>
      <c r="F226" s="1440"/>
      <c r="G226" s="1440"/>
      <c r="H226" s="1440"/>
      <c r="I226" s="1440"/>
      <c r="J226" s="1440"/>
      <c r="K226" s="1440"/>
      <c r="L226" s="1440"/>
      <c r="M226" s="1440"/>
      <c r="N226" s="1440"/>
      <c r="O226" s="1440"/>
      <c r="P226" s="1440"/>
      <c r="Q226" s="1440"/>
      <c r="R226" s="1440"/>
      <c r="S226" s="1440"/>
      <c r="T226" s="1440"/>
      <c r="U226" s="1440"/>
      <c r="V226" s="1440"/>
      <c r="W226" s="1440"/>
      <c r="X226" s="1440"/>
    </row>
    <row r="227" spans="1:24">
      <c r="D227" s="1439"/>
      <c r="E227" s="1440"/>
      <c r="F227" s="1440"/>
      <c r="G227" s="1440"/>
      <c r="H227" s="1440"/>
      <c r="I227" s="1440"/>
      <c r="J227" s="1440"/>
      <c r="K227" s="1440"/>
      <c r="L227" s="1440"/>
      <c r="M227" s="1440"/>
      <c r="N227" s="1440"/>
      <c r="O227" s="1440"/>
      <c r="P227" s="1440"/>
      <c r="Q227" s="1440"/>
      <c r="R227" s="1440"/>
      <c r="S227" s="1440"/>
      <c r="T227" s="1440"/>
      <c r="U227" s="1440"/>
      <c r="V227" s="1440"/>
      <c r="W227" s="1440"/>
      <c r="X227" s="1440"/>
    </row>
    <row r="228" spans="1:24">
      <c r="A228" s="3897" t="s">
        <v>187</v>
      </c>
      <c r="B228" s="352"/>
      <c r="C228" s="352"/>
      <c r="D228" s="352"/>
      <c r="E228" s="352"/>
      <c r="F228" s="352"/>
      <c r="G228" s="352"/>
      <c r="H228" s="353"/>
      <c r="I228" s="352"/>
      <c r="J228" s="352"/>
      <c r="K228" s="352"/>
      <c r="L228" s="352"/>
      <c r="M228" s="352"/>
      <c r="N228" s="352"/>
      <c r="O228" s="353"/>
      <c r="P228" s="352"/>
      <c r="Q228" s="352"/>
      <c r="R228" s="352"/>
      <c r="S228" s="352"/>
      <c r="T228" s="352"/>
      <c r="U228" s="352"/>
      <c r="V228" s="2630"/>
      <c r="W228" s="2630"/>
      <c r="X228" s="2630"/>
    </row>
    <row r="229" spans="1:24">
      <c r="A229" s="4225" t="s">
        <v>188</v>
      </c>
      <c r="B229" s="4226"/>
      <c r="C229" s="4226"/>
      <c r="D229" s="4226"/>
      <c r="E229" s="4226"/>
      <c r="F229" s="4226"/>
      <c r="G229" s="4227"/>
      <c r="H229" s="1175"/>
      <c r="I229" s="4227"/>
      <c r="J229" s="4226"/>
      <c r="K229" s="4226"/>
      <c r="L229" s="4226"/>
      <c r="M229" s="4226"/>
      <c r="N229" s="4226"/>
      <c r="O229" s="1175"/>
      <c r="P229" s="4226"/>
      <c r="Q229" s="4226"/>
      <c r="R229" s="4226"/>
      <c r="S229" s="4226"/>
      <c r="T229" s="4226"/>
      <c r="U229" s="4226"/>
      <c r="V229"/>
      <c r="W229"/>
      <c r="X229"/>
    </row>
    <row r="230" spans="1:24" ht="12.75" customHeight="1">
      <c r="A230" s="5372" t="str">
        <f>"2. В Група 1 Собствени дълготрайни активи за отчетната "&amp;$E$8&amp;" се попълват ДА, които са собственост на ВиК оператора през отчетната година и няма да бъдат извадени от капитала му при реализиране разпоредбите на ЗВ."</f>
        <v>2. В Група 1 Собствени дълготрайни активи за отчетната 2024 г. се попълват ДА, които са собственост на ВиК оператора през отчетната година и няма да бъдат извадени от капитала му при реализиране разпоредбите на ЗВ.</v>
      </c>
      <c r="B230" s="5372"/>
      <c r="C230" s="5372"/>
      <c r="D230" s="5372"/>
      <c r="E230" s="5372"/>
      <c r="F230" s="5372"/>
      <c r="G230" s="5372"/>
      <c r="H230" s="5372"/>
      <c r="I230" s="5372"/>
      <c r="J230" s="5372"/>
      <c r="K230" s="5372"/>
      <c r="L230" s="5372"/>
      <c r="M230" s="5372"/>
      <c r="N230" s="5372"/>
      <c r="O230" s="5372"/>
      <c r="P230" s="5372"/>
      <c r="Q230" s="5372"/>
      <c r="R230" s="5372"/>
      <c r="S230" s="5372"/>
      <c r="T230" s="5372"/>
      <c r="U230" s="5372"/>
      <c r="V230"/>
      <c r="W230"/>
      <c r="X230"/>
    </row>
    <row r="231" spans="1:24" ht="12.75" customHeight="1">
      <c r="A231" s="5372" t="str">
        <f>"3. В Група 2 Публични Дълготрайни Активи, изградени със собствени средства за отчетната "&amp;$E$8&amp;" се попълват публични ДА, изградени след сключване на договор по реда на Закона за водите или Закона за концесиите, респективно след реализиране на дейностите по изваждане на публични ДА от баланса на ВиК оператора."</f>
        <v>3. В Група 2 Публични Дълготрайни Активи, изградени със собствени средства за отчетната 2024 г. се попълват публични ДА, изградени след сключване на договор по реда на Закона за водите или Закона за концесиите, респективно след реализиране на дейностите по изваждане на публични ДА от баланса на ВиК оператора.</v>
      </c>
      <c r="B231" s="5372"/>
      <c r="C231" s="5372"/>
      <c r="D231" s="5372"/>
      <c r="E231" s="5372"/>
      <c r="F231" s="5372"/>
      <c r="G231" s="5372"/>
      <c r="H231" s="5372"/>
      <c r="I231" s="5372"/>
      <c r="J231" s="5372"/>
      <c r="K231" s="5372"/>
      <c r="L231" s="5372"/>
      <c r="M231" s="5372"/>
      <c r="N231" s="5372"/>
      <c r="O231" s="5372"/>
      <c r="P231" s="5372"/>
      <c r="Q231" s="5372"/>
      <c r="R231" s="5372"/>
      <c r="S231" s="5372"/>
      <c r="T231" s="5372"/>
      <c r="U231" s="5372"/>
      <c r="V231"/>
      <c r="W231"/>
      <c r="X231"/>
    </row>
    <row r="232" spans="1:24" ht="12.75" customHeight="1">
      <c r="A232" s="5372" t="str">
        <f>"4. В Група 3 Публични Дълготрайни Активи, предоставени на ВиК оператора за експлоатация и поддръжка за отчетната "&amp;$E$8&amp;" се попълват всички ДА  които са  предоставени на ВиК оператора за стопанисване, експлоатация и поддръжка с договор по реда на Закона за водите или Закона за концесиите."</f>
        <v>4. В Група 3 Публични Дълготрайни Активи, предоставени на ВиК оператора за експлоатация и поддръжка за отчетната 2024 г. се попълват всички ДА  които са  предоставени на ВиК оператора за стопанисване, експлоатация и поддръжка с договор по реда на Закона за водите или Закона за концесиите.</v>
      </c>
      <c r="B232" s="5372"/>
      <c r="C232" s="5372"/>
      <c r="D232" s="5372"/>
      <c r="E232" s="5372"/>
      <c r="F232" s="5372"/>
      <c r="G232" s="5372"/>
      <c r="H232" s="5372"/>
      <c r="I232" s="5372"/>
      <c r="J232" s="5372"/>
      <c r="K232" s="5372"/>
      <c r="L232" s="5372"/>
      <c r="M232" s="5372"/>
      <c r="N232" s="5372"/>
      <c r="O232" s="5372"/>
      <c r="P232" s="5372"/>
      <c r="Q232" s="5372"/>
      <c r="R232" s="5372"/>
      <c r="S232" s="5372"/>
      <c r="T232" s="5372"/>
      <c r="U232" s="5372"/>
      <c r="V232"/>
      <c r="W232"/>
      <c r="X232"/>
    </row>
    <row r="233" spans="1:24" ht="12.75" customHeight="1">
      <c r="A233" s="5372" t="s">
        <v>1847</v>
      </c>
      <c r="B233" s="5372"/>
      <c r="C233" s="5372"/>
      <c r="D233" s="5372"/>
      <c r="E233" s="5372"/>
      <c r="F233" s="5372"/>
      <c r="G233" s="5372"/>
      <c r="H233" s="5372"/>
      <c r="I233" s="5372"/>
      <c r="J233" s="5372"/>
      <c r="K233" s="5372"/>
      <c r="L233" s="5372"/>
      <c r="M233" s="5372"/>
      <c r="N233" s="5372"/>
      <c r="O233" s="5372"/>
      <c r="P233" s="5372"/>
      <c r="Q233" s="5372"/>
      <c r="R233" s="5372"/>
      <c r="S233" s="5372"/>
      <c r="T233" s="5372"/>
      <c r="U233" s="5372"/>
      <c r="V233" s="3896"/>
      <c r="W233" s="3896"/>
      <c r="X233" s="3896"/>
    </row>
    <row r="234" spans="1:24">
      <c r="B234" s="3747"/>
      <c r="C234" s="3747"/>
      <c r="D234" s="3747"/>
      <c r="E234" s="3747"/>
      <c r="F234" s="3747"/>
      <c r="G234" s="3747"/>
      <c r="H234" s="3747"/>
      <c r="I234" s="3747"/>
      <c r="J234" s="3747"/>
      <c r="K234" s="3747"/>
      <c r="L234" s="3747"/>
      <c r="M234" s="3747"/>
      <c r="N234" s="3747"/>
      <c r="O234" s="3747"/>
      <c r="P234" s="3747"/>
      <c r="Q234" s="3747"/>
      <c r="R234" s="3747"/>
      <c r="S234" s="3747"/>
      <c r="T234" s="3747"/>
      <c r="U234" s="3747"/>
      <c r="V234" s="3747"/>
      <c r="W234" s="3747"/>
      <c r="X234" s="3747"/>
    </row>
    <row r="235" spans="1:24">
      <c r="B235" s="3747"/>
      <c r="C235" s="3747"/>
      <c r="D235" s="3747"/>
      <c r="E235" s="3747"/>
      <c r="F235" s="3747"/>
      <c r="G235" s="3747"/>
      <c r="H235" s="3747"/>
      <c r="I235" s="3747"/>
      <c r="J235" s="3747"/>
      <c r="K235" s="3747"/>
      <c r="L235" s="3747"/>
      <c r="M235" s="3747"/>
      <c r="N235" s="3747"/>
      <c r="O235" s="3747"/>
      <c r="P235" s="3747"/>
      <c r="Q235" s="3747"/>
      <c r="R235" s="3747"/>
      <c r="S235" s="3747"/>
      <c r="T235" s="3747"/>
      <c r="U235" s="3747"/>
      <c r="V235" s="3747"/>
      <c r="W235" s="3747"/>
      <c r="X235" s="3747"/>
    </row>
    <row r="236" spans="1:24">
      <c r="B236" s="3747"/>
      <c r="C236" s="3747"/>
      <c r="D236" s="3747"/>
      <c r="E236" s="3747"/>
      <c r="F236" s="3747"/>
      <c r="G236" s="3747"/>
      <c r="H236" s="3747"/>
      <c r="I236" s="3747"/>
      <c r="J236" s="3747"/>
      <c r="K236" s="3747"/>
      <c r="L236" s="3747"/>
      <c r="M236" s="3747"/>
      <c r="N236" s="3747"/>
      <c r="O236" s="3747"/>
      <c r="P236" s="3747"/>
      <c r="Q236" s="3747"/>
      <c r="R236" s="3747"/>
      <c r="S236" s="3747"/>
      <c r="T236" s="3747"/>
      <c r="U236" s="3747"/>
      <c r="V236" s="3747"/>
      <c r="W236" s="3747"/>
      <c r="X236" s="3747"/>
    </row>
    <row r="237" spans="1:24">
      <c r="B237" s="3747"/>
      <c r="C237" s="3747"/>
      <c r="D237" s="3747"/>
      <c r="E237" s="3747"/>
      <c r="F237" s="3747"/>
      <c r="G237" s="3747"/>
      <c r="H237" s="3747"/>
      <c r="I237" s="3747"/>
      <c r="J237" s="3747"/>
      <c r="W237" s="3747"/>
      <c r="X237" s="3747"/>
    </row>
    <row r="238" spans="1:24">
      <c r="B238" s="3747"/>
      <c r="C238" s="3747"/>
      <c r="D238" s="3747"/>
      <c r="E238" s="3747"/>
      <c r="F238" s="3747"/>
      <c r="G238" s="3747"/>
      <c r="H238" s="3747"/>
      <c r="I238" s="3747"/>
      <c r="J238" s="3747"/>
      <c r="W238" s="3747"/>
      <c r="X238" s="3747"/>
    </row>
    <row r="239" spans="1:24">
      <c r="M239" s="181"/>
      <c r="N239" s="181"/>
      <c r="O239" s="2626"/>
      <c r="P239" s="2628"/>
      <c r="Q239" s="2631"/>
      <c r="R239" s="2629"/>
      <c r="S239" s="2622"/>
      <c r="T239" s="2521"/>
      <c r="U239" s="2521"/>
      <c r="V239" s="181"/>
      <c r="W239" s="688"/>
      <c r="X239" s="181"/>
    </row>
    <row r="240" spans="1:24">
      <c r="M240" s="181"/>
      <c r="N240" s="181"/>
      <c r="O240" s="1721"/>
      <c r="P240" s="2632"/>
      <c r="Q240" s="2633"/>
      <c r="R240" s="2626"/>
      <c r="S240" s="2622"/>
      <c r="T240" s="2521"/>
      <c r="U240" s="2521"/>
      <c r="V240" s="2627"/>
      <c r="W240" s="1324"/>
      <c r="X240" s="181"/>
    </row>
    <row r="241" spans="13:24">
      <c r="M241" s="181"/>
      <c r="N241" s="181"/>
      <c r="O241" s="2626"/>
      <c r="P241" s="2635"/>
      <c r="Q241" s="2625"/>
      <c r="R241" s="692"/>
      <c r="S241" s="2634"/>
      <c r="T241" s="181"/>
      <c r="U241" s="181"/>
      <c r="V241" s="181"/>
      <c r="W241" s="2630"/>
      <c r="X241" s="181"/>
    </row>
  </sheetData>
  <sheetProtection algorithmName="SHA-512" hashValue="7vRJRJt1JBC6gWaqFusDDNGxKCSDbKDSvEP5d4CIDhs8EpbCb/K9euEnoo7BaIZxPZHBwtvc2ePof7mziUTtQA==" saltValue="IOWiFJV0Qbbj6K0LJwxUnw==" spinCount="100000" sheet="1" objects="1" scenarios="1"/>
  <mergeCells count="78">
    <mergeCell ref="M31:M32"/>
    <mergeCell ref="A2:X2"/>
    <mergeCell ref="A3:X3"/>
    <mergeCell ref="A4:X4"/>
    <mergeCell ref="A5:X5"/>
    <mergeCell ref="A7:A9"/>
    <mergeCell ref="B7:B9"/>
    <mergeCell ref="C7:C9"/>
    <mergeCell ref="D7:D9"/>
    <mergeCell ref="E7:H7"/>
    <mergeCell ref="I7:L7"/>
    <mergeCell ref="M7:P7"/>
    <mergeCell ref="Q7:T7"/>
    <mergeCell ref="U7:X7"/>
    <mergeCell ref="B10:X10"/>
    <mergeCell ref="B11:D11"/>
    <mergeCell ref="X37:X38"/>
    <mergeCell ref="B40:D40"/>
    <mergeCell ref="P31:P32"/>
    <mergeCell ref="Q31:Q32"/>
    <mergeCell ref="T31:T32"/>
    <mergeCell ref="U31:U32"/>
    <mergeCell ref="X31:X32"/>
    <mergeCell ref="E37:E38"/>
    <mergeCell ref="H37:H38"/>
    <mergeCell ref="I37:I38"/>
    <mergeCell ref="L37:L38"/>
    <mergeCell ref="M37:M38"/>
    <mergeCell ref="E31:E32"/>
    <mergeCell ref="H31:H32"/>
    <mergeCell ref="I31:I32"/>
    <mergeCell ref="L31:L32"/>
    <mergeCell ref="V66:W89"/>
    <mergeCell ref="P37:P38"/>
    <mergeCell ref="Q37:Q38"/>
    <mergeCell ref="T37:T38"/>
    <mergeCell ref="U37:U38"/>
    <mergeCell ref="B65:D65"/>
    <mergeCell ref="F66:G89"/>
    <mergeCell ref="J66:K89"/>
    <mergeCell ref="N66:O89"/>
    <mergeCell ref="R66:S89"/>
    <mergeCell ref="W151:X151"/>
    <mergeCell ref="B90:X90"/>
    <mergeCell ref="B91:D91"/>
    <mergeCell ref="B111:D111"/>
    <mergeCell ref="B131:D131"/>
    <mergeCell ref="F132:G150"/>
    <mergeCell ref="J132:K150"/>
    <mergeCell ref="N132:O150"/>
    <mergeCell ref="R132:S150"/>
    <mergeCell ref="V132:W150"/>
    <mergeCell ref="A151:E151"/>
    <mergeCell ref="G151:H151"/>
    <mergeCell ref="K151:L151"/>
    <mergeCell ref="O151:P151"/>
    <mergeCell ref="S151:T151"/>
    <mergeCell ref="B152:X152"/>
    <mergeCell ref="B153:D153"/>
    <mergeCell ref="B175:D175"/>
    <mergeCell ref="B197:D197"/>
    <mergeCell ref="F198:G218"/>
    <mergeCell ref="J198:K218"/>
    <mergeCell ref="N198:O218"/>
    <mergeCell ref="R198:S218"/>
    <mergeCell ref="V198:W218"/>
    <mergeCell ref="A233:U233"/>
    <mergeCell ref="A219:D219"/>
    <mergeCell ref="A220:D220"/>
    <mergeCell ref="A221:D221"/>
    <mergeCell ref="A230:U230"/>
    <mergeCell ref="A231:U231"/>
    <mergeCell ref="A232:U232"/>
    <mergeCell ref="AP7:AS7"/>
    <mergeCell ref="A1:C1"/>
    <mergeCell ref="Z7:AC7"/>
    <mergeCell ref="AD7:AG7"/>
    <mergeCell ref="AH7:AK7"/>
  </mergeCells>
  <pageMargins left="0" right="0" top="0.55118110236220474" bottom="0.15748031496062992" header="0.31496062992125984" footer="0"/>
  <pageSetup paperSize="9" scale="65" orientation="landscape" r:id="rId1"/>
  <rowBreaks count="1" manualBreakCount="1">
    <brk id="39" max="2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BCF6C6"/>
  </sheetPr>
  <dimension ref="A1:DJ501"/>
  <sheetViews>
    <sheetView showGridLines="0" topLeftCell="AA76" zoomScale="90" zoomScaleNormal="90" zoomScaleSheetLayoutView="100" workbookViewId="0">
      <selection activeCell="AQ94" sqref="AQ94:AV94"/>
    </sheetView>
  </sheetViews>
  <sheetFormatPr defaultColWidth="9.109375" defaultRowHeight="13.8"/>
  <cols>
    <col min="1" max="1" width="5.88671875" style="44" customWidth="1"/>
    <col min="2" max="2" width="40" style="44" customWidth="1"/>
    <col min="3" max="3" width="6.88671875" style="45" customWidth="1"/>
    <col min="4" max="8" width="7" style="45" customWidth="1"/>
    <col min="9" max="9" width="8.109375" style="844" customWidth="1"/>
    <col min="10" max="10" width="8.6640625" style="45" customWidth="1"/>
    <col min="11" max="16" width="7" style="45" customWidth="1"/>
    <col min="17" max="17" width="8.33203125" style="844" customWidth="1"/>
    <col min="18" max="18" width="9.109375" style="45" customWidth="1"/>
    <col min="19" max="24" width="7" style="45" customWidth="1"/>
    <col min="25" max="25" width="8" style="844" customWidth="1"/>
    <col min="26" max="26" width="9.109375" style="45" customWidth="1"/>
    <col min="27" max="32" width="6.88671875" style="45" customWidth="1"/>
    <col min="33" max="33" width="8.33203125" style="844" customWidth="1"/>
    <col min="34" max="34" width="9.109375" style="45" customWidth="1"/>
    <col min="35" max="40" width="7" style="45" customWidth="1"/>
    <col min="41" max="41" width="7.6640625" style="844" customWidth="1"/>
    <col min="42" max="42" width="9.109375" style="45" customWidth="1"/>
    <col min="43" max="60" width="7" style="45" customWidth="1"/>
    <col min="61" max="61" width="2.33203125" style="669" customWidth="1"/>
    <col min="62" max="16384" width="9.109375" style="669"/>
  </cols>
  <sheetData>
    <row r="1" spans="1:114" ht="16.8" thickBot="1">
      <c r="A1" s="5285" t="str">
        <f>+'1. Обща информация'!B40</f>
        <v>Фиксиран курс на лева към 1 евро</v>
      </c>
      <c r="B1" s="5286"/>
      <c r="C1" s="5287"/>
      <c r="D1" s="5406">
        <f>+'1. Обща информация'!$C$40</f>
        <v>1.95583</v>
      </c>
      <c r="E1" s="5407"/>
      <c r="Y1" s="2852" t="s">
        <v>189</v>
      </c>
      <c r="AU1" s="3047"/>
      <c r="AV1" s="3048"/>
    </row>
    <row r="2" spans="1:114" ht="17.399999999999999">
      <c r="A2" s="5339" t="s">
        <v>1375</v>
      </c>
      <c r="B2" s="5339"/>
      <c r="C2" s="5339"/>
      <c r="D2" s="5339"/>
      <c r="E2" s="5339"/>
      <c r="F2" s="5339"/>
      <c r="G2" s="5339"/>
      <c r="H2" s="5339"/>
      <c r="I2" s="5339"/>
      <c r="J2" s="5339"/>
      <c r="K2" s="5339"/>
      <c r="L2" s="5339"/>
      <c r="M2" s="5339"/>
      <c r="N2" s="5339"/>
      <c r="O2" s="5339"/>
      <c r="P2" s="5339"/>
      <c r="Q2" s="5339"/>
      <c r="R2" s="5339"/>
      <c r="S2" s="5339"/>
      <c r="T2" s="5339"/>
      <c r="U2" s="5339"/>
      <c r="V2" s="5339"/>
      <c r="W2" s="5339"/>
      <c r="X2" s="5339"/>
      <c r="Y2" s="5339"/>
      <c r="Z2" s="5339"/>
      <c r="AA2" s="670"/>
      <c r="AB2" s="670"/>
      <c r="AC2" s="670"/>
      <c r="AD2" s="670"/>
      <c r="AE2" s="670"/>
      <c r="AF2" s="670"/>
      <c r="AG2" s="860"/>
      <c r="AH2" s="670"/>
      <c r="AI2" s="670"/>
      <c r="AJ2" s="670"/>
      <c r="AK2" s="670"/>
      <c r="AL2" s="670"/>
      <c r="AM2" s="670"/>
      <c r="AN2" s="670"/>
      <c r="AO2" s="860"/>
      <c r="AP2" s="670"/>
      <c r="AQ2" s="670"/>
      <c r="AR2" s="670"/>
      <c r="AS2" s="670"/>
      <c r="AT2" s="670"/>
      <c r="AU2" s="670"/>
      <c r="AV2" s="670"/>
      <c r="AW2" s="670"/>
      <c r="AX2" s="670"/>
      <c r="AY2" s="670"/>
      <c r="AZ2" s="670"/>
      <c r="BA2" s="670"/>
      <c r="BB2" s="670"/>
      <c r="BC2" s="670"/>
      <c r="BD2" s="670"/>
      <c r="BE2" s="670"/>
      <c r="BF2" s="670"/>
      <c r="BG2" s="670"/>
      <c r="BH2" s="670"/>
    </row>
    <row r="3" spans="1:114" ht="17.399999999999999">
      <c r="A3" s="5339" t="s">
        <v>1376</v>
      </c>
      <c r="B3" s="5339"/>
      <c r="C3" s="5339"/>
      <c r="D3" s="5339"/>
      <c r="E3" s="5339"/>
      <c r="F3" s="5339"/>
      <c r="G3" s="5339"/>
      <c r="H3" s="5339"/>
      <c r="I3" s="5339"/>
      <c r="J3" s="5339"/>
      <c r="K3" s="5339"/>
      <c r="L3" s="5339"/>
      <c r="M3" s="5339"/>
      <c r="N3" s="5339"/>
      <c r="O3" s="5339"/>
      <c r="P3" s="5339"/>
      <c r="Q3" s="5339"/>
      <c r="R3" s="5339"/>
      <c r="S3" s="5339"/>
      <c r="T3" s="5339"/>
      <c r="U3" s="5339"/>
      <c r="V3" s="5339"/>
      <c r="W3" s="5339"/>
      <c r="X3" s="5339"/>
      <c r="Y3" s="5339"/>
      <c r="Z3" s="5339"/>
      <c r="AA3" s="3049"/>
      <c r="AB3" s="3049"/>
      <c r="AC3" s="3049"/>
      <c r="AD3" s="3049"/>
      <c r="AE3" s="3049"/>
      <c r="AF3" s="3049"/>
      <c r="AG3" s="3050"/>
      <c r="AH3" s="3049"/>
      <c r="AI3" s="3049"/>
      <c r="AJ3" s="3049"/>
      <c r="AK3" s="3049"/>
      <c r="AL3" s="3049"/>
      <c r="AM3" s="3049"/>
      <c r="AN3" s="3049"/>
      <c r="AO3" s="3050"/>
      <c r="AP3" s="3049"/>
      <c r="AQ3" s="3049"/>
      <c r="AR3" s="3049"/>
      <c r="AS3" s="3049"/>
      <c r="AT3" s="3049"/>
      <c r="AU3" s="3049"/>
      <c r="AV3" s="3049"/>
      <c r="AW3" s="3049"/>
      <c r="AX3" s="3049"/>
      <c r="AY3" s="3049"/>
      <c r="AZ3" s="3049"/>
      <c r="BA3" s="3049"/>
      <c r="BB3" s="3049"/>
      <c r="BC3" s="3049"/>
      <c r="BD3" s="3049"/>
      <c r="BE3" s="3049"/>
      <c r="BF3" s="3049"/>
      <c r="BG3" s="3049"/>
      <c r="BH3" s="3049"/>
    </row>
    <row r="4" spans="1:114" ht="15.6">
      <c r="A4" s="5370" t="str">
        <f>'1. Обща информация'!A4:D4</f>
        <v>на "В И К" АД, гр. Ловеч</v>
      </c>
      <c r="B4" s="5370"/>
      <c r="C4" s="5370"/>
      <c r="D4" s="5370"/>
      <c r="E4" s="5370"/>
      <c r="F4" s="5370"/>
      <c r="G4" s="5370"/>
      <c r="H4" s="5370"/>
      <c r="I4" s="5370"/>
      <c r="J4" s="5370"/>
      <c r="K4" s="5370"/>
      <c r="L4" s="5370"/>
      <c r="M4" s="5370"/>
      <c r="N4" s="5370"/>
      <c r="O4" s="5370"/>
      <c r="P4" s="5370"/>
      <c r="Q4" s="5370"/>
      <c r="R4" s="5370"/>
      <c r="S4" s="5370"/>
      <c r="T4" s="5370"/>
      <c r="U4" s="5370"/>
      <c r="V4" s="5370"/>
      <c r="W4" s="5370"/>
      <c r="X4" s="5370"/>
      <c r="Y4" s="5370"/>
      <c r="Z4" s="5370"/>
      <c r="AA4" s="3049"/>
      <c r="AB4" s="3049"/>
      <c r="AC4" s="3049"/>
      <c r="AD4" s="3049"/>
      <c r="AE4" s="3049"/>
      <c r="AF4" s="3049"/>
      <c r="AG4" s="3050"/>
      <c r="AH4" s="3049"/>
      <c r="AI4" s="3051"/>
      <c r="AJ4" s="3051"/>
      <c r="AK4" s="3051"/>
      <c r="AL4" s="3051"/>
      <c r="AM4" s="3051"/>
      <c r="AN4" s="3051"/>
      <c r="AO4" s="3050"/>
      <c r="AP4" s="3049"/>
      <c r="AQ4" s="3049"/>
      <c r="AR4" s="3049"/>
      <c r="AS4" s="3049"/>
      <c r="AT4" s="3049"/>
      <c r="AU4" s="3049"/>
      <c r="AV4" s="3049"/>
      <c r="AW4" s="3051"/>
      <c r="AX4" s="3051"/>
      <c r="AY4" s="3051"/>
      <c r="AZ4" s="3051"/>
      <c r="BA4" s="3051"/>
      <c r="BB4" s="3051"/>
      <c r="BC4" s="3051"/>
      <c r="BD4" s="3051"/>
      <c r="BE4" s="3051"/>
      <c r="BF4" s="3051"/>
      <c r="BG4" s="3051"/>
      <c r="BH4" s="3051"/>
    </row>
    <row r="5" spans="1:114" ht="15.6">
      <c r="A5" s="5370" t="str">
        <f>'1. Обща информация'!A5:D5</f>
        <v>ЕИК по БУЛСТАТ: 110549443</v>
      </c>
      <c r="B5" s="5370"/>
      <c r="C5" s="5370"/>
      <c r="D5" s="5370"/>
      <c r="E5" s="5370"/>
      <c r="F5" s="5370"/>
      <c r="G5" s="5370"/>
      <c r="H5" s="5370"/>
      <c r="I5" s="5370"/>
      <c r="J5" s="5370"/>
      <c r="K5" s="5370"/>
      <c r="L5" s="5370"/>
      <c r="M5" s="5370"/>
      <c r="N5" s="5370"/>
      <c r="O5" s="5370"/>
      <c r="P5" s="5370"/>
      <c r="Q5" s="5370"/>
      <c r="R5" s="5370"/>
      <c r="S5" s="5370"/>
      <c r="T5" s="5370"/>
      <c r="U5" s="5370"/>
      <c r="V5" s="5370"/>
      <c r="W5" s="5370"/>
      <c r="X5" s="5370"/>
      <c r="Y5" s="5370"/>
      <c r="Z5" s="5370"/>
      <c r="AA5" s="652"/>
      <c r="AB5" s="652"/>
      <c r="AC5" s="652"/>
      <c r="AD5" s="652"/>
      <c r="AE5" s="652"/>
      <c r="AF5" s="652"/>
      <c r="AG5" s="3052"/>
      <c r="AH5" s="652"/>
      <c r="AI5" s="3053"/>
      <c r="AJ5" s="3053"/>
      <c r="AK5" s="3053"/>
      <c r="AL5" s="3053"/>
      <c r="AM5" s="3053"/>
      <c r="AN5" s="3053"/>
      <c r="AO5" s="3052"/>
      <c r="AP5" s="652"/>
      <c r="AQ5" s="652"/>
      <c r="AR5" s="652"/>
      <c r="AS5" s="652"/>
      <c r="AT5" s="652"/>
      <c r="AU5" s="652"/>
      <c r="AV5" s="652"/>
      <c r="AW5" s="3053"/>
      <c r="AX5" s="3053"/>
      <c r="AY5" s="3053"/>
      <c r="AZ5" s="3053"/>
      <c r="BA5" s="3053"/>
      <c r="BB5" s="3053"/>
      <c r="BC5" s="3053"/>
      <c r="BD5" s="3053"/>
      <c r="BE5" s="3053"/>
      <c r="BF5" s="3053"/>
      <c r="BG5" s="3053"/>
      <c r="BH5" s="3053"/>
    </row>
    <row r="6" spans="1:114">
      <c r="A6" s="673"/>
      <c r="B6" s="673"/>
      <c r="C6" s="673"/>
      <c r="D6" s="673"/>
      <c r="E6" s="673"/>
      <c r="F6" s="673"/>
      <c r="G6" s="673"/>
      <c r="H6" s="673"/>
      <c r="I6" s="849"/>
      <c r="J6" s="687"/>
      <c r="K6" s="673"/>
      <c r="L6" s="687"/>
      <c r="M6" s="687"/>
      <c r="N6" s="687"/>
      <c r="O6" s="687"/>
      <c r="P6" s="687"/>
      <c r="Q6" s="849"/>
      <c r="R6" s="687"/>
      <c r="S6" s="687"/>
      <c r="T6" s="687"/>
      <c r="U6" s="687"/>
      <c r="V6" s="687"/>
      <c r="W6" s="687"/>
      <c r="X6" s="687"/>
      <c r="Y6" s="849"/>
      <c r="Z6" s="687"/>
      <c r="AA6" s="687"/>
      <c r="AB6" s="687"/>
      <c r="AC6" s="687"/>
      <c r="AD6" s="687"/>
      <c r="AE6" s="687"/>
      <c r="AF6" s="687"/>
      <c r="AG6" s="849"/>
      <c r="AH6" s="687"/>
      <c r="AI6" s="3054"/>
      <c r="AJ6" s="3054"/>
      <c r="AK6" s="3054"/>
      <c r="AL6" s="3054"/>
      <c r="AM6" s="3054"/>
      <c r="AN6" s="3054"/>
      <c r="AO6" s="849"/>
      <c r="AP6" s="687"/>
      <c r="AQ6" s="687"/>
      <c r="AR6" s="687"/>
      <c r="AS6" s="687"/>
      <c r="AT6" s="687"/>
      <c r="AU6" s="687"/>
      <c r="AV6" s="687"/>
      <c r="AW6" s="3054"/>
      <c r="AX6" s="3054"/>
      <c r="AY6" s="3054"/>
      <c r="AZ6" s="3054"/>
      <c r="BA6" s="3054"/>
      <c r="BB6" s="3054"/>
      <c r="BC6" s="3054"/>
      <c r="BD6" s="3054"/>
      <c r="BE6" s="3054"/>
      <c r="BF6" s="3054"/>
      <c r="BG6" s="3054"/>
      <c r="BH6" s="3054"/>
    </row>
    <row r="7" spans="1:114" ht="14.4" thickBot="1">
      <c r="A7" s="179"/>
      <c r="B7" s="179"/>
      <c r="C7" s="674"/>
      <c r="D7" s="675"/>
      <c r="E7" s="675"/>
      <c r="F7" s="676"/>
      <c r="G7" s="673"/>
      <c r="H7" s="673"/>
      <c r="K7" s="673"/>
      <c r="L7" s="675"/>
      <c r="M7" s="675"/>
      <c r="N7" s="675"/>
      <c r="O7" s="675"/>
      <c r="X7" s="675"/>
      <c r="Y7" s="3055"/>
      <c r="AF7" s="675"/>
      <c r="AI7" s="3056"/>
      <c r="AJ7" s="3056"/>
      <c r="AK7" s="3056"/>
      <c r="AL7" s="3056"/>
      <c r="AM7" s="3056"/>
      <c r="AN7" s="677"/>
      <c r="AQ7" s="675"/>
      <c r="AR7" s="675"/>
      <c r="AS7" s="675"/>
      <c r="AT7" s="675"/>
      <c r="AU7" s="678"/>
      <c r="AW7" s="3056"/>
      <c r="AX7" s="3056"/>
      <c r="AY7" s="3056"/>
      <c r="AZ7" s="3056"/>
      <c r="BA7" s="3056"/>
      <c r="BB7" s="677"/>
      <c r="BC7" s="3056"/>
      <c r="BD7" s="3056"/>
      <c r="BE7" s="3056"/>
      <c r="BF7" s="3056"/>
      <c r="BG7" s="3056"/>
      <c r="BH7" s="3055" t="s">
        <v>190</v>
      </c>
      <c r="DJ7" s="660" t="s">
        <v>1889</v>
      </c>
    </row>
    <row r="8" spans="1:114" ht="15.75" customHeight="1" thickBot="1">
      <c r="A8" s="5421" t="s">
        <v>1</v>
      </c>
      <c r="B8" s="5408" t="s">
        <v>223</v>
      </c>
      <c r="C8" s="5424" t="s">
        <v>224</v>
      </c>
      <c r="D8" s="5425"/>
      <c r="E8" s="5425"/>
      <c r="F8" s="5425"/>
      <c r="G8" s="5425"/>
      <c r="H8" s="5425"/>
      <c r="I8" s="5425"/>
      <c r="J8" s="5425"/>
      <c r="K8" s="5425"/>
      <c r="L8" s="5425"/>
      <c r="M8" s="5425"/>
      <c r="N8" s="5425"/>
      <c r="O8" s="5425"/>
      <c r="P8" s="5425"/>
      <c r="Q8" s="5425"/>
      <c r="R8" s="5425"/>
      <c r="S8" s="5425"/>
      <c r="T8" s="5425"/>
      <c r="U8" s="5425"/>
      <c r="V8" s="5425"/>
      <c r="W8" s="5425"/>
      <c r="X8" s="5425"/>
      <c r="Y8" s="5425"/>
      <c r="Z8" s="5425"/>
      <c r="AA8" s="5425"/>
      <c r="AB8" s="5425"/>
      <c r="AC8" s="5425"/>
      <c r="AD8" s="5425"/>
      <c r="AE8" s="5425"/>
      <c r="AF8" s="5425"/>
      <c r="AG8" s="5425"/>
      <c r="AH8" s="5425"/>
      <c r="AI8" s="5425"/>
      <c r="AJ8" s="5425"/>
      <c r="AK8" s="5425"/>
      <c r="AL8" s="5425"/>
      <c r="AM8" s="5425"/>
      <c r="AN8" s="5425"/>
      <c r="AO8" s="5425"/>
      <c r="AP8" s="5426"/>
      <c r="AQ8" s="5340" t="s">
        <v>225</v>
      </c>
      <c r="AR8" s="5342"/>
      <c r="AS8" s="5342"/>
      <c r="AT8" s="5342"/>
      <c r="AU8" s="5342"/>
      <c r="AV8" s="5343"/>
      <c r="AW8" s="5340" t="s">
        <v>1250</v>
      </c>
      <c r="AX8" s="5342"/>
      <c r="AY8" s="5342"/>
      <c r="AZ8" s="5342"/>
      <c r="BA8" s="5342"/>
      <c r="BB8" s="5343"/>
      <c r="BC8" s="5340" t="s">
        <v>1251</v>
      </c>
      <c r="BD8" s="5342"/>
      <c r="BE8" s="5342"/>
      <c r="BF8" s="5342"/>
      <c r="BG8" s="5342"/>
      <c r="BH8" s="5343"/>
      <c r="BI8" s="4488"/>
      <c r="BJ8" s="5404" t="s">
        <v>224</v>
      </c>
      <c r="BK8" s="5404"/>
      <c r="BL8" s="5404"/>
      <c r="BM8" s="5404"/>
      <c r="BN8" s="5404"/>
      <c r="BO8" s="5404"/>
      <c r="BP8" s="5404"/>
      <c r="BQ8" s="5404"/>
      <c r="BR8" s="5404"/>
      <c r="BS8" s="5404"/>
      <c r="BT8" s="5404"/>
      <c r="BU8" s="5404"/>
      <c r="BV8" s="5404"/>
      <c r="BW8" s="5404"/>
      <c r="BX8" s="5404"/>
      <c r="BY8" s="5404"/>
      <c r="BZ8" s="5404"/>
      <c r="CA8" s="5404"/>
      <c r="CB8" s="5404"/>
      <c r="CC8" s="5404"/>
      <c r="CD8" s="5404"/>
      <c r="CE8" s="5404"/>
      <c r="CF8" s="5404"/>
      <c r="CG8" s="5404"/>
      <c r="CH8" s="5404"/>
      <c r="CI8" s="5404"/>
      <c r="CJ8" s="5404"/>
      <c r="CK8" s="5404"/>
      <c r="CL8" s="5404"/>
      <c r="CM8" s="5404"/>
      <c r="CN8" s="5404"/>
      <c r="CO8" s="5404"/>
      <c r="CP8" s="5404"/>
      <c r="CQ8" s="5404"/>
      <c r="CR8" s="5404"/>
      <c r="CS8" s="5404" t="s">
        <v>225</v>
      </c>
      <c r="CT8" s="5404"/>
      <c r="CU8" s="5404"/>
      <c r="CV8" s="5404"/>
      <c r="CW8" s="5404"/>
      <c r="CX8" s="5404"/>
      <c r="CY8" s="5404" t="s">
        <v>1250</v>
      </c>
      <c r="CZ8" s="5404"/>
      <c r="DA8" s="5404"/>
      <c r="DB8" s="5404"/>
      <c r="DC8" s="5404"/>
      <c r="DD8" s="5404"/>
      <c r="DE8" s="5404" t="s">
        <v>1251</v>
      </c>
      <c r="DF8" s="5404"/>
      <c r="DG8" s="5404"/>
      <c r="DH8" s="5404"/>
      <c r="DI8" s="5404"/>
      <c r="DJ8" s="5404"/>
    </row>
    <row r="9" spans="1:114" ht="15.75" customHeight="1" thickBot="1">
      <c r="A9" s="5430"/>
      <c r="B9" s="5409"/>
      <c r="C9" s="5427" t="s">
        <v>207</v>
      </c>
      <c r="D9" s="5428"/>
      <c r="E9" s="5428"/>
      <c r="F9" s="5428"/>
      <c r="G9" s="5428"/>
      <c r="H9" s="5428"/>
      <c r="I9" s="5428"/>
      <c r="J9" s="5429"/>
      <c r="K9" s="5424" t="s">
        <v>208</v>
      </c>
      <c r="L9" s="5425"/>
      <c r="M9" s="5425"/>
      <c r="N9" s="5425"/>
      <c r="O9" s="5425"/>
      <c r="P9" s="5425"/>
      <c r="Q9" s="5425"/>
      <c r="R9" s="5426"/>
      <c r="S9" s="5424" t="s">
        <v>209</v>
      </c>
      <c r="T9" s="5425"/>
      <c r="U9" s="5425"/>
      <c r="V9" s="5425"/>
      <c r="W9" s="5425"/>
      <c r="X9" s="5425"/>
      <c r="Y9" s="5425"/>
      <c r="Z9" s="5426"/>
      <c r="AA9" s="5424" t="s">
        <v>1215</v>
      </c>
      <c r="AB9" s="5425"/>
      <c r="AC9" s="5425"/>
      <c r="AD9" s="5425"/>
      <c r="AE9" s="5425"/>
      <c r="AF9" s="5425"/>
      <c r="AG9" s="5425"/>
      <c r="AH9" s="5426"/>
      <c r="AI9" s="5424" t="s">
        <v>1216</v>
      </c>
      <c r="AJ9" s="5425"/>
      <c r="AK9" s="5425"/>
      <c r="AL9" s="5425"/>
      <c r="AM9" s="5425"/>
      <c r="AN9" s="5425"/>
      <c r="AO9" s="5425"/>
      <c r="AP9" s="5426"/>
      <c r="AQ9" s="5341"/>
      <c r="AR9" s="5411"/>
      <c r="AS9" s="5411"/>
      <c r="AT9" s="5411"/>
      <c r="AU9" s="5411"/>
      <c r="AV9" s="5412"/>
      <c r="AW9" s="5341"/>
      <c r="AX9" s="5411"/>
      <c r="AY9" s="5411"/>
      <c r="AZ9" s="5411"/>
      <c r="BA9" s="5411"/>
      <c r="BB9" s="5412"/>
      <c r="BC9" s="5341"/>
      <c r="BD9" s="5411"/>
      <c r="BE9" s="5411"/>
      <c r="BF9" s="5411"/>
      <c r="BG9" s="5411"/>
      <c r="BH9" s="5412"/>
      <c r="BI9" s="4488"/>
      <c r="BJ9" s="5405" t="s">
        <v>207</v>
      </c>
      <c r="BK9" s="5405"/>
      <c r="BL9" s="5405"/>
      <c r="BM9" s="5405"/>
      <c r="BN9" s="5405"/>
      <c r="BO9" s="5405"/>
      <c r="BP9" s="5405"/>
      <c r="BQ9" s="5404" t="s">
        <v>208</v>
      </c>
      <c r="BR9" s="5404"/>
      <c r="BS9" s="5404"/>
      <c r="BT9" s="5404"/>
      <c r="BU9" s="5404"/>
      <c r="BV9" s="5404"/>
      <c r="BW9" s="5404"/>
      <c r="BX9" s="5404" t="s">
        <v>209</v>
      </c>
      <c r="BY9" s="5404"/>
      <c r="BZ9" s="5404"/>
      <c r="CA9" s="5404"/>
      <c r="CB9" s="5404"/>
      <c r="CC9" s="5404"/>
      <c r="CD9" s="5404"/>
      <c r="CE9" s="5404" t="s">
        <v>1215</v>
      </c>
      <c r="CF9" s="5404"/>
      <c r="CG9" s="5404"/>
      <c r="CH9" s="5404"/>
      <c r="CI9" s="5404"/>
      <c r="CJ9" s="5404"/>
      <c r="CK9" s="5404"/>
      <c r="CL9" s="5404" t="s">
        <v>1216</v>
      </c>
      <c r="CM9" s="5404"/>
      <c r="CN9" s="5404"/>
      <c r="CO9" s="5404"/>
      <c r="CP9" s="5404"/>
      <c r="CQ9" s="5404"/>
      <c r="CR9" s="5404"/>
      <c r="CS9" s="5404"/>
      <c r="CT9" s="5404"/>
      <c r="CU9" s="5404"/>
      <c r="CV9" s="5404"/>
      <c r="CW9" s="5404"/>
      <c r="CX9" s="5404"/>
      <c r="CY9" s="5404"/>
      <c r="CZ9" s="5404"/>
      <c r="DA9" s="5404"/>
      <c r="DB9" s="5404"/>
      <c r="DC9" s="5404"/>
      <c r="DD9" s="5404"/>
      <c r="DE9" s="5404"/>
      <c r="DF9" s="5404"/>
      <c r="DG9" s="5404"/>
      <c r="DH9" s="5404"/>
      <c r="DI9" s="5404"/>
      <c r="DJ9" s="5404"/>
    </row>
    <row r="10" spans="1:114" ht="57.6" thickBot="1">
      <c r="A10" s="5431"/>
      <c r="B10" s="5410"/>
      <c r="C10" s="679" t="str">
        <f>'Приложение '!C12</f>
        <v>2024 г.</v>
      </c>
      <c r="D10" s="680" t="str">
        <f>'Приложение '!C14</f>
        <v>2027 г.</v>
      </c>
      <c r="E10" s="681" t="str">
        <f>'Приложение '!C15</f>
        <v>2028 г.</v>
      </c>
      <c r="F10" s="681" t="str">
        <f>'Приложение '!C16</f>
        <v>2029 г.</v>
      </c>
      <c r="G10" s="681" t="str">
        <f>'Приложение '!C17</f>
        <v>2030 г.</v>
      </c>
      <c r="H10" s="701" t="str">
        <f>'Приложение '!C18</f>
        <v>2031 г.</v>
      </c>
      <c r="I10" s="4267" t="str">
        <f>CONCATENATE("разлика ",$D$10," спрямо ",$C$10)</f>
        <v>разлика 2027 г. спрямо 2024 г.</v>
      </c>
      <c r="J10" s="4268" t="str">
        <f>CONCATENATE("изменение в % ",$D$10," спрямо ",$C$10)</f>
        <v>изменение в % 2027 г. спрямо 2024 г.</v>
      </c>
      <c r="K10" s="679" t="str">
        <f t="shared" ref="K10:P10" si="0">C10</f>
        <v>2024 г.</v>
      </c>
      <c r="L10" s="680" t="str">
        <f t="shared" si="0"/>
        <v>2027 г.</v>
      </c>
      <c r="M10" s="680" t="str">
        <f t="shared" si="0"/>
        <v>2028 г.</v>
      </c>
      <c r="N10" s="680" t="str">
        <f t="shared" si="0"/>
        <v>2029 г.</v>
      </c>
      <c r="O10" s="680" t="str">
        <f t="shared" si="0"/>
        <v>2030 г.</v>
      </c>
      <c r="P10" s="702" t="str">
        <f t="shared" si="0"/>
        <v>2031 г.</v>
      </c>
      <c r="Q10" s="4267" t="str">
        <f>+I10</f>
        <v>разлика 2027 г. спрямо 2024 г.</v>
      </c>
      <c r="R10" s="4268" t="str">
        <f>+J10</f>
        <v>изменение в % 2027 г. спрямо 2024 г.</v>
      </c>
      <c r="S10" s="679" t="str">
        <f t="shared" ref="S10:X10" si="1">K10</f>
        <v>2024 г.</v>
      </c>
      <c r="T10" s="3816" t="str">
        <f t="shared" si="1"/>
        <v>2027 г.</v>
      </c>
      <c r="U10" s="3816" t="str">
        <f t="shared" si="1"/>
        <v>2028 г.</v>
      </c>
      <c r="V10" s="3816" t="str">
        <f t="shared" si="1"/>
        <v>2029 г.</v>
      </c>
      <c r="W10" s="3816" t="str">
        <f t="shared" si="1"/>
        <v>2030 г.</v>
      </c>
      <c r="X10" s="703" t="str">
        <f t="shared" si="1"/>
        <v>2031 г.</v>
      </c>
      <c r="Y10" s="4267" t="str">
        <f>+Q10</f>
        <v>разлика 2027 г. спрямо 2024 г.</v>
      </c>
      <c r="Z10" s="4268" t="str">
        <f>+R10</f>
        <v>изменение в % 2027 г. спрямо 2024 г.</v>
      </c>
      <c r="AA10" s="679" t="str">
        <f t="shared" ref="AA10:AF10" si="2">S10</f>
        <v>2024 г.</v>
      </c>
      <c r="AB10" s="3816" t="str">
        <f t="shared" si="2"/>
        <v>2027 г.</v>
      </c>
      <c r="AC10" s="3816" t="str">
        <f t="shared" si="2"/>
        <v>2028 г.</v>
      </c>
      <c r="AD10" s="3816" t="str">
        <f t="shared" si="2"/>
        <v>2029 г.</v>
      </c>
      <c r="AE10" s="3816" t="str">
        <f t="shared" si="2"/>
        <v>2030 г.</v>
      </c>
      <c r="AF10" s="703" t="str">
        <f t="shared" si="2"/>
        <v>2031 г.</v>
      </c>
      <c r="AG10" s="4267" t="str">
        <f>+Y10</f>
        <v>разлика 2027 г. спрямо 2024 г.</v>
      </c>
      <c r="AH10" s="4268" t="str">
        <f>+Z10</f>
        <v>изменение в % 2027 г. спрямо 2024 г.</v>
      </c>
      <c r="AI10" s="679" t="str">
        <f t="shared" ref="AI10:AN10" si="3">AA10</f>
        <v>2024 г.</v>
      </c>
      <c r="AJ10" s="3816" t="str">
        <f t="shared" si="3"/>
        <v>2027 г.</v>
      </c>
      <c r="AK10" s="3816" t="str">
        <f t="shared" si="3"/>
        <v>2028 г.</v>
      </c>
      <c r="AL10" s="3816" t="str">
        <f t="shared" si="3"/>
        <v>2029 г.</v>
      </c>
      <c r="AM10" s="3816" t="str">
        <f t="shared" si="3"/>
        <v>2030 г.</v>
      </c>
      <c r="AN10" s="682" t="str">
        <f t="shared" si="3"/>
        <v>2031 г.</v>
      </c>
      <c r="AO10" s="4267" t="str">
        <f>+AG10</f>
        <v>разлика 2027 г. спрямо 2024 г.</v>
      </c>
      <c r="AP10" s="4268" t="str">
        <f>+AH10</f>
        <v>изменение в % 2027 г. спрямо 2024 г.</v>
      </c>
      <c r="AQ10" s="679" t="str">
        <f t="shared" ref="AQ10:AV10" si="4">S10</f>
        <v>2024 г.</v>
      </c>
      <c r="AR10" s="3816" t="str">
        <f t="shared" si="4"/>
        <v>2027 г.</v>
      </c>
      <c r="AS10" s="3816" t="str">
        <f t="shared" si="4"/>
        <v>2028 г.</v>
      </c>
      <c r="AT10" s="3816" t="str">
        <f t="shared" si="4"/>
        <v>2029 г.</v>
      </c>
      <c r="AU10" s="3816" t="str">
        <f t="shared" si="4"/>
        <v>2030 г.</v>
      </c>
      <c r="AV10" s="682" t="str">
        <f t="shared" si="4"/>
        <v>2031 г.</v>
      </c>
      <c r="AW10" s="679" t="str">
        <f>+AQ10</f>
        <v>2024 г.</v>
      </c>
      <c r="AX10" s="3816" t="str">
        <f t="shared" ref="AX10:BH10" si="5">+AR10</f>
        <v>2027 г.</v>
      </c>
      <c r="AY10" s="3816" t="str">
        <f t="shared" si="5"/>
        <v>2028 г.</v>
      </c>
      <c r="AZ10" s="3816" t="str">
        <f t="shared" si="5"/>
        <v>2029 г.</v>
      </c>
      <c r="BA10" s="3816" t="str">
        <f t="shared" si="5"/>
        <v>2030 г.</v>
      </c>
      <c r="BB10" s="682" t="str">
        <f t="shared" si="5"/>
        <v>2031 г.</v>
      </c>
      <c r="BC10" s="679" t="str">
        <f t="shared" si="5"/>
        <v>2024 г.</v>
      </c>
      <c r="BD10" s="3816" t="str">
        <f t="shared" si="5"/>
        <v>2027 г.</v>
      </c>
      <c r="BE10" s="3816" t="str">
        <f t="shared" si="5"/>
        <v>2028 г.</v>
      </c>
      <c r="BF10" s="3816" t="str">
        <f t="shared" si="5"/>
        <v>2029 г.</v>
      </c>
      <c r="BG10" s="3816" t="str">
        <f t="shared" si="5"/>
        <v>2030 г.</v>
      </c>
      <c r="BH10" s="682" t="str">
        <f t="shared" si="5"/>
        <v>2031 г.</v>
      </c>
      <c r="BI10" s="4488"/>
      <c r="BJ10" s="4522" t="str">
        <f>+C10</f>
        <v>2024 г.</v>
      </c>
      <c r="BK10" s="4522" t="str">
        <f t="shared" ref="BK10:BO10" si="6">+D10</f>
        <v>2027 г.</v>
      </c>
      <c r="BL10" s="4522" t="str">
        <f t="shared" si="6"/>
        <v>2028 г.</v>
      </c>
      <c r="BM10" s="4522" t="str">
        <f t="shared" si="6"/>
        <v>2029 г.</v>
      </c>
      <c r="BN10" s="4522" t="str">
        <f t="shared" si="6"/>
        <v>2030 г.</v>
      </c>
      <c r="BO10" s="4522" t="str">
        <f t="shared" si="6"/>
        <v>2031 г.</v>
      </c>
      <c r="BP10" s="4523" t="str">
        <f>CONCATENATE("разлика ",$D$10," спрямо ",$C$10)</f>
        <v>разлика 2027 г. спрямо 2024 г.</v>
      </c>
      <c r="BQ10" s="4522" t="str">
        <f t="shared" ref="BQ10:BV10" si="7">BJ10</f>
        <v>2024 г.</v>
      </c>
      <c r="BR10" s="4522" t="str">
        <f t="shared" si="7"/>
        <v>2027 г.</v>
      </c>
      <c r="BS10" s="4522" t="str">
        <f t="shared" si="7"/>
        <v>2028 г.</v>
      </c>
      <c r="BT10" s="4522" t="str">
        <f t="shared" si="7"/>
        <v>2029 г.</v>
      </c>
      <c r="BU10" s="4522" t="str">
        <f t="shared" si="7"/>
        <v>2030 г.</v>
      </c>
      <c r="BV10" s="4522" t="str">
        <f t="shared" si="7"/>
        <v>2031 г.</v>
      </c>
      <c r="BW10" s="4523" t="str">
        <f>+BP10</f>
        <v>разлика 2027 г. спрямо 2024 г.</v>
      </c>
      <c r="BX10" s="4522" t="str">
        <f t="shared" ref="BX10:CC10" si="8">BQ10</f>
        <v>2024 г.</v>
      </c>
      <c r="BY10" s="4522" t="str">
        <f t="shared" si="8"/>
        <v>2027 г.</v>
      </c>
      <c r="BZ10" s="4522" t="str">
        <f t="shared" si="8"/>
        <v>2028 г.</v>
      </c>
      <c r="CA10" s="4522" t="str">
        <f t="shared" si="8"/>
        <v>2029 г.</v>
      </c>
      <c r="CB10" s="4522" t="str">
        <f t="shared" si="8"/>
        <v>2030 г.</v>
      </c>
      <c r="CC10" s="4522" t="str">
        <f t="shared" si="8"/>
        <v>2031 г.</v>
      </c>
      <c r="CD10" s="4523" t="str">
        <f>+BW10</f>
        <v>разлика 2027 г. спрямо 2024 г.</v>
      </c>
      <c r="CE10" s="4522" t="str">
        <f t="shared" ref="CE10:CJ10" si="9">BX10</f>
        <v>2024 г.</v>
      </c>
      <c r="CF10" s="4522" t="str">
        <f t="shared" si="9"/>
        <v>2027 г.</v>
      </c>
      <c r="CG10" s="4522" t="str">
        <f t="shared" si="9"/>
        <v>2028 г.</v>
      </c>
      <c r="CH10" s="4522" t="str">
        <f t="shared" si="9"/>
        <v>2029 г.</v>
      </c>
      <c r="CI10" s="4522" t="str">
        <f t="shared" si="9"/>
        <v>2030 г.</v>
      </c>
      <c r="CJ10" s="4522" t="str">
        <f t="shared" si="9"/>
        <v>2031 г.</v>
      </c>
      <c r="CK10" s="4523" t="str">
        <f>+CD10</f>
        <v>разлика 2027 г. спрямо 2024 г.</v>
      </c>
      <c r="CL10" s="4522" t="str">
        <f t="shared" ref="CL10:CQ10" si="10">CE10</f>
        <v>2024 г.</v>
      </c>
      <c r="CM10" s="4522" t="str">
        <f t="shared" si="10"/>
        <v>2027 г.</v>
      </c>
      <c r="CN10" s="4522" t="str">
        <f t="shared" si="10"/>
        <v>2028 г.</v>
      </c>
      <c r="CO10" s="4522" t="str">
        <f t="shared" si="10"/>
        <v>2029 г.</v>
      </c>
      <c r="CP10" s="4522" t="str">
        <f t="shared" si="10"/>
        <v>2030 г.</v>
      </c>
      <c r="CQ10" s="4522" t="str">
        <f t="shared" si="10"/>
        <v>2031 г.</v>
      </c>
      <c r="CR10" s="4523" t="str">
        <f>+CK10</f>
        <v>разлика 2027 г. спрямо 2024 г.</v>
      </c>
      <c r="CS10" s="4522" t="str">
        <f t="shared" ref="CS10:CX10" si="11">BX10</f>
        <v>2024 г.</v>
      </c>
      <c r="CT10" s="4522" t="str">
        <f t="shared" si="11"/>
        <v>2027 г.</v>
      </c>
      <c r="CU10" s="4522" t="str">
        <f t="shared" si="11"/>
        <v>2028 г.</v>
      </c>
      <c r="CV10" s="4522" t="str">
        <f t="shared" si="11"/>
        <v>2029 г.</v>
      </c>
      <c r="CW10" s="4522" t="str">
        <f t="shared" si="11"/>
        <v>2030 г.</v>
      </c>
      <c r="CX10" s="4522" t="str">
        <f t="shared" si="11"/>
        <v>2031 г.</v>
      </c>
      <c r="CY10" s="4522" t="str">
        <f>+CS10</f>
        <v>2024 г.</v>
      </c>
      <c r="CZ10" s="4522" t="str">
        <f t="shared" ref="CZ10" si="12">+CT10</f>
        <v>2027 г.</v>
      </c>
      <c r="DA10" s="4522" t="str">
        <f t="shared" ref="DA10" si="13">+CU10</f>
        <v>2028 г.</v>
      </c>
      <c r="DB10" s="4522" t="str">
        <f t="shared" ref="DB10" si="14">+CV10</f>
        <v>2029 г.</v>
      </c>
      <c r="DC10" s="4522" t="str">
        <f t="shared" ref="DC10" si="15">+CW10</f>
        <v>2030 г.</v>
      </c>
      <c r="DD10" s="4522" t="str">
        <f t="shared" ref="DD10" si="16">+CX10</f>
        <v>2031 г.</v>
      </c>
      <c r="DE10" s="4522" t="str">
        <f t="shared" ref="DE10" si="17">+CY10</f>
        <v>2024 г.</v>
      </c>
      <c r="DF10" s="4522" t="str">
        <f t="shared" ref="DF10" si="18">+CZ10</f>
        <v>2027 г.</v>
      </c>
      <c r="DG10" s="4522" t="str">
        <f t="shared" ref="DG10" si="19">+DA10</f>
        <v>2028 г.</v>
      </c>
      <c r="DH10" s="4522" t="str">
        <f t="shared" ref="DH10" si="20">+DB10</f>
        <v>2029 г.</v>
      </c>
      <c r="DI10" s="4522" t="str">
        <f t="shared" ref="DI10" si="21">+DC10</f>
        <v>2030 г.</v>
      </c>
      <c r="DJ10" s="4522" t="str">
        <f t="shared" ref="DJ10" si="22">+DD10</f>
        <v>2031 г.</v>
      </c>
    </row>
    <row r="11" spans="1:114" thickBot="1">
      <c r="A11" s="109" t="s">
        <v>141</v>
      </c>
      <c r="B11" s="894" t="s">
        <v>226</v>
      </c>
      <c r="C11" s="1110">
        <f>SUM(C12:C28)-C12-C18-C25</f>
        <v>2514.1377450844034</v>
      </c>
      <c r="D11" s="905">
        <f t="shared" ref="D11:AV11" si="23">SUM(D12:D28)-D12-D18-D25</f>
        <v>2949.7268850005094</v>
      </c>
      <c r="E11" s="1147">
        <f t="shared" si="23"/>
        <v>2905.0024813039731</v>
      </c>
      <c r="F11" s="1147">
        <f t="shared" si="23"/>
        <v>2855.3751192850964</v>
      </c>
      <c r="G11" s="1147">
        <f t="shared" si="23"/>
        <v>2785.9380629032412</v>
      </c>
      <c r="H11" s="1150">
        <f t="shared" si="23"/>
        <v>2691.0767562752148</v>
      </c>
      <c r="I11" s="1246">
        <f>D11-C11</f>
        <v>435.58913991610598</v>
      </c>
      <c r="J11" s="820">
        <f>IFERROR((D11-C11)/C11,0)</f>
        <v>0.17325587699709849</v>
      </c>
      <c r="K11" s="1110">
        <f t="shared" si="23"/>
        <v>28.895134562316255</v>
      </c>
      <c r="L11" s="905">
        <f t="shared" si="23"/>
        <v>32.618635563952701</v>
      </c>
      <c r="M11" s="1147">
        <f t="shared" si="23"/>
        <v>32.141328089889093</v>
      </c>
      <c r="N11" s="1147">
        <f t="shared" si="23"/>
        <v>31.284798538189317</v>
      </c>
      <c r="O11" s="1147">
        <f t="shared" si="23"/>
        <v>32.244298724236586</v>
      </c>
      <c r="P11" s="1150">
        <f t="shared" si="23"/>
        <v>30.920884922980932</v>
      </c>
      <c r="Q11" s="1246">
        <f>L11-K11</f>
        <v>3.7235010016364463</v>
      </c>
      <c r="R11" s="875">
        <f>IFERROR((L11-K11)/K11,0)</f>
        <v>0.12886255966748361</v>
      </c>
      <c r="S11" s="1110">
        <f t="shared" si="23"/>
        <v>488.01550500956137</v>
      </c>
      <c r="T11" s="905">
        <f t="shared" si="23"/>
        <v>602.30172362323981</v>
      </c>
      <c r="U11" s="1147">
        <f t="shared" si="23"/>
        <v>597.10814164345356</v>
      </c>
      <c r="V11" s="1147">
        <f t="shared" si="23"/>
        <v>593.69408307101799</v>
      </c>
      <c r="W11" s="1147">
        <f t="shared" si="23"/>
        <v>590.49935721270595</v>
      </c>
      <c r="X11" s="1150">
        <f t="shared" si="23"/>
        <v>588.66511721204415</v>
      </c>
      <c r="Y11" s="1246">
        <f>T11-S11</f>
        <v>114.28621861367844</v>
      </c>
      <c r="Z11" s="875">
        <f>IFERROR((T11-S11)/S11,0)</f>
        <v>0.23418563025254557</v>
      </c>
      <c r="AA11" s="1110">
        <f t="shared" ref="AA11:AN11" si="24">SUM(AA12:AA28)-AA12-AA18-AA25</f>
        <v>0</v>
      </c>
      <c r="AB11" s="905">
        <f t="shared" si="24"/>
        <v>0</v>
      </c>
      <c r="AC11" s="1147">
        <f t="shared" si="24"/>
        <v>0</v>
      </c>
      <c r="AD11" s="1147">
        <f t="shared" si="24"/>
        <v>0</v>
      </c>
      <c r="AE11" s="1147">
        <f t="shared" si="24"/>
        <v>0</v>
      </c>
      <c r="AF11" s="1150">
        <f t="shared" si="24"/>
        <v>0</v>
      </c>
      <c r="AG11" s="1246">
        <f>AB11-AA11</f>
        <v>0</v>
      </c>
      <c r="AH11" s="875">
        <f>IFERROR((AB11-AA11)/AA11,0)</f>
        <v>0</v>
      </c>
      <c r="AI11" s="1110">
        <f t="shared" si="24"/>
        <v>390.65483100591996</v>
      </c>
      <c r="AJ11" s="905">
        <f t="shared" si="24"/>
        <v>532.97447359353191</v>
      </c>
      <c r="AK11" s="1147">
        <f t="shared" si="24"/>
        <v>535.3976749282408</v>
      </c>
      <c r="AL11" s="1147">
        <f t="shared" si="24"/>
        <v>538.39731452372325</v>
      </c>
      <c r="AM11" s="1147">
        <f t="shared" si="24"/>
        <v>540.87608892572678</v>
      </c>
      <c r="AN11" s="2671">
        <f t="shared" si="24"/>
        <v>544.03841950529443</v>
      </c>
      <c r="AO11" s="1246">
        <f>AJ11-AI11</f>
        <v>142.31964258761195</v>
      </c>
      <c r="AP11" s="875">
        <f>IFERROR((AJ11-AI11)/AI11,0)</f>
        <v>0.36431046359044067</v>
      </c>
      <c r="AQ11" s="1110">
        <f t="shared" si="23"/>
        <v>12.785504824685322</v>
      </c>
      <c r="AR11" s="905">
        <f t="shared" si="23"/>
        <v>18.677159362158104</v>
      </c>
      <c r="AS11" s="1147">
        <f t="shared" si="23"/>
        <v>18.677159362158104</v>
      </c>
      <c r="AT11" s="1147">
        <f t="shared" si="23"/>
        <v>18.677159362158104</v>
      </c>
      <c r="AU11" s="1147">
        <f t="shared" si="23"/>
        <v>18.677159362158104</v>
      </c>
      <c r="AV11" s="2671">
        <f t="shared" si="23"/>
        <v>18.677159362158104</v>
      </c>
      <c r="AW11" s="1110">
        <f t="shared" ref="AW11:BB11" si="25">SUM(AW12:AW28)-AW12-AW18-AW25</f>
        <v>3421.7032156622008</v>
      </c>
      <c r="AX11" s="905">
        <f t="shared" si="25"/>
        <v>4117.6217177812323</v>
      </c>
      <c r="AY11" s="1147">
        <f t="shared" si="25"/>
        <v>4069.6496259655555</v>
      </c>
      <c r="AZ11" s="1147">
        <f t="shared" si="25"/>
        <v>4018.7513154180274</v>
      </c>
      <c r="BA11" s="1147">
        <f t="shared" si="25"/>
        <v>3949.5578077659115</v>
      </c>
      <c r="BB11" s="2671">
        <f t="shared" si="25"/>
        <v>3854.7011779155355</v>
      </c>
      <c r="BC11" s="1110">
        <f t="shared" ref="BC11:BH11" si="26">SUM(BC12:BC28)-BC12-BC18-BC25</f>
        <v>2904.7925760903227</v>
      </c>
      <c r="BD11" s="905">
        <f t="shared" si="26"/>
        <v>3482.7013585940408</v>
      </c>
      <c r="BE11" s="1147">
        <f t="shared" si="26"/>
        <v>3440.4001562322142</v>
      </c>
      <c r="BF11" s="1147">
        <f t="shared" si="26"/>
        <v>3393.7724338088196</v>
      </c>
      <c r="BG11" s="1147">
        <f t="shared" si="26"/>
        <v>3326.8141518289681</v>
      </c>
      <c r="BH11" s="2671">
        <f t="shared" si="26"/>
        <v>3235.1151757805105</v>
      </c>
      <c r="BI11" s="4488"/>
      <c r="BJ11" s="4504">
        <f>IFERROR(C11/$D$1,0)</f>
        <v>1285.4582172706234</v>
      </c>
      <c r="BK11" s="4504">
        <f t="shared" ref="BK11:BP11" si="27">IFERROR(D11/$D$1,0)</f>
        <v>1508.1714080469721</v>
      </c>
      <c r="BL11" s="4504">
        <f t="shared" si="27"/>
        <v>1485.3041835455911</v>
      </c>
      <c r="BM11" s="4504">
        <f t="shared" si="27"/>
        <v>1459.9301162601537</v>
      </c>
      <c r="BN11" s="4504">
        <f t="shared" si="27"/>
        <v>1424.4275130779472</v>
      </c>
      <c r="BO11" s="4504">
        <f t="shared" si="27"/>
        <v>1375.9256971593722</v>
      </c>
      <c r="BP11" s="4504">
        <f t="shared" si="27"/>
        <v>222.71319077634865</v>
      </c>
      <c r="BQ11" s="4504">
        <f t="shared" ref="BQ11:BW11" si="28">IFERROR(K11/$D$1,0)</f>
        <v>14.773847707784549</v>
      </c>
      <c r="BR11" s="4504">
        <f t="shared" si="28"/>
        <v>16.677643539547251</v>
      </c>
      <c r="BS11" s="4504">
        <f t="shared" si="28"/>
        <v>16.433600103224254</v>
      </c>
      <c r="BT11" s="4504">
        <f t="shared" si="28"/>
        <v>15.995663497435523</v>
      </c>
      <c r="BU11" s="4504">
        <f t="shared" si="28"/>
        <v>16.486248152567754</v>
      </c>
      <c r="BV11" s="4504">
        <f t="shared" si="28"/>
        <v>15.80959742052271</v>
      </c>
      <c r="BW11" s="4504">
        <f t="shared" si="28"/>
        <v>1.9037958317627024</v>
      </c>
      <c r="BX11" s="4504">
        <f t="shared" ref="BX11:CD11" si="29">IFERROR(S11/$D$1,0)</f>
        <v>249.51836560926122</v>
      </c>
      <c r="BY11" s="4504">
        <f t="shared" si="29"/>
        <v>307.95198131905113</v>
      </c>
      <c r="BZ11" s="4504">
        <f t="shared" si="29"/>
        <v>305.29654501845948</v>
      </c>
      <c r="CA11" s="4504">
        <f t="shared" si="29"/>
        <v>303.5509645884448</v>
      </c>
      <c r="CB11" s="4504">
        <f t="shared" si="29"/>
        <v>301.91752719444224</v>
      </c>
      <c r="CC11" s="4504">
        <f t="shared" si="29"/>
        <v>300.97969517393852</v>
      </c>
      <c r="CD11" s="4504">
        <f t="shared" si="29"/>
        <v>58.433615709789933</v>
      </c>
      <c r="CE11" s="4504">
        <f t="shared" ref="CE11:CK11" si="30">IFERROR(AA11/$D$1,0)</f>
        <v>0</v>
      </c>
      <c r="CF11" s="4504">
        <f t="shared" si="30"/>
        <v>0</v>
      </c>
      <c r="CG11" s="4504">
        <f t="shared" si="30"/>
        <v>0</v>
      </c>
      <c r="CH11" s="4504">
        <f t="shared" si="30"/>
        <v>0</v>
      </c>
      <c r="CI11" s="4504">
        <f t="shared" si="30"/>
        <v>0</v>
      </c>
      <c r="CJ11" s="4504">
        <f t="shared" si="30"/>
        <v>0</v>
      </c>
      <c r="CK11" s="4504">
        <f t="shared" si="30"/>
        <v>0</v>
      </c>
      <c r="CL11" s="4504">
        <f t="shared" ref="CL11:CR11" si="31">IFERROR(AI11/$D$1,0)</f>
        <v>199.73864344340765</v>
      </c>
      <c r="CM11" s="4504">
        <f t="shared" si="31"/>
        <v>272.50552123320119</v>
      </c>
      <c r="CN11" s="4504">
        <f t="shared" si="31"/>
        <v>273.74448440214172</v>
      </c>
      <c r="CO11" s="4504">
        <f t="shared" si="31"/>
        <v>275.2781757738266</v>
      </c>
      <c r="CP11" s="4504">
        <f t="shared" si="31"/>
        <v>276.54555300088799</v>
      </c>
      <c r="CQ11" s="4504">
        <f t="shared" si="31"/>
        <v>278.16242695187947</v>
      </c>
      <c r="CR11" s="4504">
        <f t="shared" si="31"/>
        <v>72.766877789793568</v>
      </c>
      <c r="CS11" s="4504">
        <f t="shared" ref="CS11:DJ11" si="32">IFERROR(AQ11/$D$1,0)</f>
        <v>6.5371248138566864</v>
      </c>
      <c r="CT11" s="4504">
        <f t="shared" si="32"/>
        <v>9.5494799456793817</v>
      </c>
      <c r="CU11" s="4504">
        <f t="shared" si="32"/>
        <v>9.5494799456793817</v>
      </c>
      <c r="CV11" s="4504">
        <f t="shared" si="32"/>
        <v>9.5494799456793817</v>
      </c>
      <c r="CW11" s="4504">
        <f t="shared" si="32"/>
        <v>9.5494799456793817</v>
      </c>
      <c r="CX11" s="4504">
        <f t="shared" si="32"/>
        <v>9.5494799456793817</v>
      </c>
      <c r="CY11" s="4504">
        <f t="shared" si="32"/>
        <v>1749.4890740310768</v>
      </c>
      <c r="CZ11" s="4504">
        <f t="shared" si="32"/>
        <v>2105.3065541387709</v>
      </c>
      <c r="DA11" s="4504">
        <f t="shared" si="32"/>
        <v>2080.7788130694157</v>
      </c>
      <c r="DB11" s="4504">
        <f t="shared" si="32"/>
        <v>2054.7549201198608</v>
      </c>
      <c r="DC11" s="4504">
        <f t="shared" si="32"/>
        <v>2019.3768414258457</v>
      </c>
      <c r="DD11" s="4504">
        <f t="shared" si="32"/>
        <v>1970.8774167057134</v>
      </c>
      <c r="DE11" s="4504">
        <f t="shared" si="32"/>
        <v>1485.1968607140307</v>
      </c>
      <c r="DF11" s="4504">
        <f t="shared" si="32"/>
        <v>1780.676929280173</v>
      </c>
      <c r="DG11" s="4504">
        <f t="shared" si="32"/>
        <v>1759.0486679477328</v>
      </c>
      <c r="DH11" s="4504">
        <f t="shared" si="32"/>
        <v>1735.2082920339803</v>
      </c>
      <c r="DI11" s="4504">
        <f t="shared" si="32"/>
        <v>1700.9730660788352</v>
      </c>
      <c r="DJ11" s="4504">
        <f t="shared" si="32"/>
        <v>1654.0881241112522</v>
      </c>
    </row>
    <row r="12" spans="1:114" ht="13.2">
      <c r="A12" s="108" t="s">
        <v>90</v>
      </c>
      <c r="B12" s="895" t="s">
        <v>227</v>
      </c>
      <c r="C12" s="1186">
        <f>SUM(C13:C16)</f>
        <v>23.482430089295654</v>
      </c>
      <c r="D12" s="1130">
        <f t="shared" ref="D12:AV12" si="33">SUM(D13:D16)</f>
        <v>24.97548234308957</v>
      </c>
      <c r="E12" s="1131">
        <f t="shared" si="33"/>
        <v>24.643608707192239</v>
      </c>
      <c r="F12" s="1131">
        <f t="shared" si="33"/>
        <v>24.24801533320262</v>
      </c>
      <c r="G12" s="1131">
        <f t="shared" si="33"/>
        <v>23.717017515766891</v>
      </c>
      <c r="H12" s="1144">
        <f t="shared" si="33"/>
        <v>22.959018131377384</v>
      </c>
      <c r="I12" s="1247">
        <f t="shared" ref="I12:I48" si="34">D12-C12</f>
        <v>1.4930522537939162</v>
      </c>
      <c r="J12" s="821">
        <f t="shared" ref="J12:J48" si="35">IFERROR((D12-C12)/C12,0)</f>
        <v>6.3581675666289597E-2</v>
      </c>
      <c r="K12" s="1186">
        <f t="shared" si="33"/>
        <v>2.8648442270393825E-4</v>
      </c>
      <c r="L12" s="1130">
        <f t="shared" si="33"/>
        <v>0</v>
      </c>
      <c r="M12" s="1131">
        <f t="shared" si="33"/>
        <v>0</v>
      </c>
      <c r="N12" s="1131">
        <f t="shared" si="33"/>
        <v>0</v>
      </c>
      <c r="O12" s="1131">
        <f t="shared" si="33"/>
        <v>0</v>
      </c>
      <c r="P12" s="1144">
        <f t="shared" si="33"/>
        <v>0</v>
      </c>
      <c r="Q12" s="1247">
        <f t="shared" ref="Q12:Q30" si="36">L12-K12</f>
        <v>-2.8648442270393825E-4</v>
      </c>
      <c r="R12" s="876">
        <f t="shared" ref="R12:R30" si="37">IFERROR((L12-K12)/K12,0)</f>
        <v>-1</v>
      </c>
      <c r="S12" s="1186">
        <f t="shared" si="33"/>
        <v>76.62812931972104</v>
      </c>
      <c r="T12" s="1130">
        <f t="shared" si="33"/>
        <v>95.113048402517876</v>
      </c>
      <c r="U12" s="1131">
        <f t="shared" si="33"/>
        <v>95.189473489341381</v>
      </c>
      <c r="V12" s="1131">
        <f t="shared" si="33"/>
        <v>95.268623052998677</v>
      </c>
      <c r="W12" s="1131">
        <f t="shared" si="33"/>
        <v>95.350508828239512</v>
      </c>
      <c r="X12" s="1144">
        <f t="shared" si="33"/>
        <v>95.435148177645658</v>
      </c>
      <c r="Y12" s="1247">
        <f t="shared" ref="Y12:Y30" si="38">T12-S12</f>
        <v>18.484919082796836</v>
      </c>
      <c r="Z12" s="876">
        <f t="shared" ref="Z12:Z30" si="39">IFERROR((T12-S12)/S12,0)</f>
        <v>0.24122889658014332</v>
      </c>
      <c r="AA12" s="1186">
        <f t="shared" si="33"/>
        <v>0</v>
      </c>
      <c r="AB12" s="1130">
        <f t="shared" si="33"/>
        <v>0</v>
      </c>
      <c r="AC12" s="1131">
        <f t="shared" si="33"/>
        <v>0</v>
      </c>
      <c r="AD12" s="1131">
        <f t="shared" si="33"/>
        <v>0</v>
      </c>
      <c r="AE12" s="1131">
        <f t="shared" si="33"/>
        <v>0</v>
      </c>
      <c r="AF12" s="1144">
        <f t="shared" si="33"/>
        <v>0</v>
      </c>
      <c r="AG12" s="1247">
        <f t="shared" ref="AG12:AG48" si="40">AB12-AA12</f>
        <v>0</v>
      </c>
      <c r="AH12" s="821">
        <f t="shared" ref="AH12:AH48" si="41">IFERROR((AB12-AA12)/AA12,0)</f>
        <v>0</v>
      </c>
      <c r="AI12" s="1186">
        <f t="shared" si="33"/>
        <v>27.77862410656061</v>
      </c>
      <c r="AJ12" s="1130">
        <f t="shared" si="33"/>
        <v>30.079448321353489</v>
      </c>
      <c r="AK12" s="1131">
        <f t="shared" si="33"/>
        <v>30.08916762901411</v>
      </c>
      <c r="AL12" s="1131">
        <f t="shared" si="33"/>
        <v>30.098910048535053</v>
      </c>
      <c r="AM12" s="1131">
        <f t="shared" si="33"/>
        <v>30.108670957544252</v>
      </c>
      <c r="AN12" s="1144">
        <f t="shared" si="33"/>
        <v>30.118459600785837</v>
      </c>
      <c r="AO12" s="1247">
        <f t="shared" ref="AO12:AO48" si="42">AJ12-AI12</f>
        <v>2.300824214792879</v>
      </c>
      <c r="AP12" s="821">
        <f t="shared" ref="AP12:AP48" si="43">IFERROR((AJ12-AI12)/AI12,0)</f>
        <v>8.282714816856182E-2</v>
      </c>
      <c r="AQ12" s="1186">
        <f t="shared" si="33"/>
        <v>0</v>
      </c>
      <c r="AR12" s="1130">
        <f t="shared" si="33"/>
        <v>0</v>
      </c>
      <c r="AS12" s="1131">
        <f t="shared" si="33"/>
        <v>0</v>
      </c>
      <c r="AT12" s="1131">
        <f t="shared" si="33"/>
        <v>0</v>
      </c>
      <c r="AU12" s="1131">
        <f t="shared" si="33"/>
        <v>0</v>
      </c>
      <c r="AV12" s="3110">
        <f t="shared" si="33"/>
        <v>0</v>
      </c>
      <c r="AW12" s="1186">
        <f t="shared" ref="AW12:BB12" si="44">SUM(AW13:AW16)</f>
        <v>127.88947000000002</v>
      </c>
      <c r="AX12" s="1130">
        <f t="shared" si="44"/>
        <v>150.16797906696095</v>
      </c>
      <c r="AY12" s="1131">
        <f t="shared" si="44"/>
        <v>149.92224982554774</v>
      </c>
      <c r="AZ12" s="1131">
        <f t="shared" si="44"/>
        <v>149.61554843473635</v>
      </c>
      <c r="BA12" s="1131">
        <f t="shared" si="44"/>
        <v>149.17619730155067</v>
      </c>
      <c r="BB12" s="1144">
        <f t="shared" si="44"/>
        <v>148.51262590980886</v>
      </c>
      <c r="BC12" s="1186">
        <f t="shared" ref="BC12:BH12" si="45">SUM(BC13:BC16)</f>
        <v>51.261054195856261</v>
      </c>
      <c r="BD12" s="1130">
        <f t="shared" si="45"/>
        <v>55.054930664443063</v>
      </c>
      <c r="BE12" s="1131">
        <f t="shared" si="45"/>
        <v>54.732776336206349</v>
      </c>
      <c r="BF12" s="1131">
        <f t="shared" si="45"/>
        <v>54.346925381737677</v>
      </c>
      <c r="BG12" s="1131">
        <f t="shared" si="45"/>
        <v>53.825688473311146</v>
      </c>
      <c r="BH12" s="3110">
        <f t="shared" si="45"/>
        <v>53.077477732163217</v>
      </c>
      <c r="BI12" s="4488"/>
      <c r="BJ12" s="4504">
        <f t="shared" ref="BJ12:BJ75" si="46">IFERROR(C12/$D$1,0)</f>
        <v>12.00637585541466</v>
      </c>
      <c r="BK12" s="4504">
        <f t="shared" ref="BK12:BK75" si="47">IFERROR(D12/$D$1,0)</f>
        <v>12.769761350981206</v>
      </c>
      <c r="BL12" s="4504">
        <f t="shared" ref="BL12:BL75" si="48">IFERROR(E12/$D$1,0)</f>
        <v>12.60007705536383</v>
      </c>
      <c r="BM12" s="4504">
        <f t="shared" ref="BM12:BM75" si="49">IFERROR(F12/$D$1,0)</f>
        <v>12.397813374987919</v>
      </c>
      <c r="BN12" s="4504">
        <f t="shared" ref="BN12:BN75" si="50">IFERROR(G12/$D$1,0)</f>
        <v>12.126318502000117</v>
      </c>
      <c r="BO12" s="4504">
        <f t="shared" ref="BO12:BO75" si="51">IFERROR(H12/$D$1,0)</f>
        <v>11.738759570810032</v>
      </c>
      <c r="BP12" s="4504">
        <f t="shared" ref="BP12:BP75" si="52">IFERROR(I12/$D$1,0)</f>
        <v>0.76338549556654522</v>
      </c>
      <c r="BQ12" s="4504">
        <f t="shared" ref="BQ12:BQ75" si="53">IFERROR(K12/$D$1,0)</f>
        <v>1.4647715941770923E-4</v>
      </c>
      <c r="BR12" s="4504">
        <f t="shared" ref="BR12:BR75" si="54">IFERROR(L12/$D$1,0)</f>
        <v>0</v>
      </c>
      <c r="BS12" s="4504">
        <f t="shared" ref="BS12:BS75" si="55">IFERROR(M12/$D$1,0)</f>
        <v>0</v>
      </c>
      <c r="BT12" s="4504">
        <f t="shared" ref="BT12:BT75" si="56">IFERROR(N12/$D$1,0)</f>
        <v>0</v>
      </c>
      <c r="BU12" s="4504">
        <f t="shared" ref="BU12:BU75" si="57">IFERROR(O12/$D$1,0)</f>
        <v>0</v>
      </c>
      <c r="BV12" s="4504">
        <f t="shared" ref="BV12:BV75" si="58">IFERROR(P12/$D$1,0)</f>
        <v>0</v>
      </c>
      <c r="BW12" s="4504">
        <f t="shared" ref="BW12:BW75" si="59">IFERROR(Q12/$D$1,0)</f>
        <v>-1.4647715941770923E-4</v>
      </c>
      <c r="BX12" s="4504">
        <f t="shared" ref="BX12:BX75" si="60">IFERROR(S12/$D$1,0)</f>
        <v>39.179340392427278</v>
      </c>
      <c r="BY12" s="4504">
        <f t="shared" ref="BY12:BY75" si="61">IFERROR(T12/$D$1,0)</f>
        <v>48.630529444030351</v>
      </c>
      <c r="BZ12" s="4504">
        <f t="shared" ref="BZ12:BZ75" si="62">IFERROR(U12/$D$1,0)</f>
        <v>48.669604970442926</v>
      </c>
      <c r="CA12" s="4504">
        <f t="shared" ref="CA12:CA75" si="63">IFERROR(V12/$D$1,0)</f>
        <v>48.710073499741121</v>
      </c>
      <c r="CB12" s="4504">
        <f t="shared" ref="CB12:CB75" si="64">IFERROR(W12/$D$1,0)</f>
        <v>48.75194103180722</v>
      </c>
      <c r="CC12" s="4504">
        <f t="shared" ref="CC12:CC75" si="65">IFERROR(X12/$D$1,0)</f>
        <v>48.795216443988309</v>
      </c>
      <c r="CD12" s="4504">
        <f t="shared" ref="CD12:CD75" si="66">IFERROR(Y12/$D$1,0)</f>
        <v>9.4511890516030714</v>
      </c>
      <c r="CE12" s="4504">
        <f t="shared" ref="CE12:CE75" si="67">IFERROR(AA12/$D$1,0)</f>
        <v>0</v>
      </c>
      <c r="CF12" s="4504">
        <f t="shared" ref="CF12:CF75" si="68">IFERROR(AB12/$D$1,0)</f>
        <v>0</v>
      </c>
      <c r="CG12" s="4504">
        <f t="shared" ref="CG12:CG75" si="69">IFERROR(AC12/$D$1,0)</f>
        <v>0</v>
      </c>
      <c r="CH12" s="4504">
        <f t="shared" ref="CH12:CH75" si="70">IFERROR(AD12/$D$1,0)</f>
        <v>0</v>
      </c>
      <c r="CI12" s="4504">
        <f t="shared" ref="CI12:CI75" si="71">IFERROR(AE12/$D$1,0)</f>
        <v>0</v>
      </c>
      <c r="CJ12" s="4504">
        <f t="shared" ref="CJ12:CJ75" si="72">IFERROR(AF12/$D$1,0)</f>
        <v>0</v>
      </c>
      <c r="CK12" s="4504">
        <f t="shared" ref="CK12:CK75" si="73">IFERROR(AG12/$D$1,0)</f>
        <v>0</v>
      </c>
      <c r="CL12" s="4504">
        <f t="shared" ref="CL12:CL75" si="74">IFERROR(AI12/$D$1,0)</f>
        <v>14.202984976485999</v>
      </c>
      <c r="CM12" s="4504">
        <f t="shared" ref="CM12:CM75" si="75">IFERROR(AJ12/$D$1,0)</f>
        <v>15.379377717569263</v>
      </c>
      <c r="CN12" s="4504">
        <f t="shared" ref="CN12:CN75" si="76">IFERROR(AK12/$D$1,0)</f>
        <v>15.384347120666986</v>
      </c>
      <c r="CO12" s="4504">
        <f t="shared" ref="CO12:CO75" si="77">IFERROR(AL12/$D$1,0)</f>
        <v>15.389328340671252</v>
      </c>
      <c r="CP12" s="4504">
        <f t="shared" ref="CP12:CP75" si="78">IFERROR(AM12/$D$1,0)</f>
        <v>15.39431901420075</v>
      </c>
      <c r="CQ12" s="4504">
        <f t="shared" ref="CQ12:CQ75" si="79">IFERROR(AN12/$D$1,0)</f>
        <v>15.399323868018099</v>
      </c>
      <c r="CR12" s="4504">
        <f t="shared" ref="CR12:CR75" si="80">IFERROR(AO12/$D$1,0)</f>
        <v>1.1763927410832633</v>
      </c>
      <c r="CS12" s="4504">
        <f t="shared" ref="CS12:CS75" si="81">IFERROR(AQ12/$D$1,0)</f>
        <v>0</v>
      </c>
      <c r="CT12" s="4504">
        <f t="shared" ref="CT12:CT75" si="82">IFERROR(AR12/$D$1,0)</f>
        <v>0</v>
      </c>
      <c r="CU12" s="4504">
        <f t="shared" ref="CU12:CU75" si="83">IFERROR(AS12/$D$1,0)</f>
        <v>0</v>
      </c>
      <c r="CV12" s="4504">
        <f t="shared" ref="CV12:CV75" si="84">IFERROR(AT12/$D$1,0)</f>
        <v>0</v>
      </c>
      <c r="CW12" s="4504">
        <f t="shared" ref="CW12:CW75" si="85">IFERROR(AU12/$D$1,0)</f>
        <v>0</v>
      </c>
      <c r="CX12" s="4504">
        <f t="shared" ref="CX12:CX75" si="86">IFERROR(AV12/$D$1,0)</f>
        <v>0</v>
      </c>
      <c r="CY12" s="4504">
        <f t="shared" ref="CY12:CY75" si="87">IFERROR(AW12/$D$1,0)</f>
        <v>65.388847701487364</v>
      </c>
      <c r="CZ12" s="4504">
        <f t="shared" ref="CZ12:CZ75" si="88">IFERROR(AX12/$D$1,0)</f>
        <v>76.779668512580827</v>
      </c>
      <c r="DA12" s="4504">
        <f t="shared" ref="DA12:DA75" si="89">IFERROR(AY12/$D$1,0)</f>
        <v>76.654029146473746</v>
      </c>
      <c r="DB12" s="4504">
        <f t="shared" ref="DB12:DB75" si="90">IFERROR(AZ12/$D$1,0)</f>
        <v>76.497215215400288</v>
      </c>
      <c r="DC12" s="4504">
        <f t="shared" ref="DC12:DC75" si="91">IFERROR(BA12/$D$1,0)</f>
        <v>76.272578548008099</v>
      </c>
      <c r="DD12" s="4504">
        <f t="shared" ref="DD12:DD75" si="92">IFERROR(BB12/$D$1,0)</f>
        <v>75.933299882816428</v>
      </c>
      <c r="DE12" s="4504">
        <f t="shared" ref="DE12:DE75" si="93">IFERROR(BC12/$D$1,0)</f>
        <v>26.209360831900657</v>
      </c>
      <c r="DF12" s="4504">
        <f t="shared" ref="DF12:DF75" si="94">IFERROR(BD12/$D$1,0)</f>
        <v>28.149139068550468</v>
      </c>
      <c r="DG12" s="4504">
        <f t="shared" ref="DG12:DG75" si="95">IFERROR(BE12/$D$1,0)</f>
        <v>27.984424176030817</v>
      </c>
      <c r="DH12" s="4504">
        <f t="shared" ref="DH12:DH75" si="96">IFERROR(BF12/$D$1,0)</f>
        <v>27.787141715659171</v>
      </c>
      <c r="DI12" s="4504">
        <f t="shared" ref="DI12:DI75" si="97">IFERROR(BG12/$D$1,0)</f>
        <v>27.520637516200871</v>
      </c>
      <c r="DJ12" s="4504">
        <f t="shared" ref="DJ12:DJ75" si="98">IFERROR(BH12/$D$1,0)</f>
        <v>27.138083438828129</v>
      </c>
    </row>
    <row r="13" spans="1:114" s="683" customFormat="1" ht="13.2">
      <c r="A13" s="840" t="s">
        <v>335</v>
      </c>
      <c r="B13" s="3912" t="s">
        <v>228</v>
      </c>
      <c r="C13" s="411">
        <v>23.482430089295654</v>
      </c>
      <c r="D13" s="415">
        <v>24.97548234308957</v>
      </c>
      <c r="E13" s="413">
        <v>24.643608707192239</v>
      </c>
      <c r="F13" s="413">
        <v>24.24801533320262</v>
      </c>
      <c r="G13" s="413">
        <v>23.717017515766891</v>
      </c>
      <c r="H13" s="271">
        <v>22.959018131377384</v>
      </c>
      <c r="I13" s="1248">
        <f t="shared" si="34"/>
        <v>1.4930522537939162</v>
      </c>
      <c r="J13" s="1196">
        <f t="shared" si="35"/>
        <v>6.3581675666289597E-2</v>
      </c>
      <c r="K13" s="411">
        <v>2.8648442270393825E-4</v>
      </c>
      <c r="L13" s="415">
        <v>0</v>
      </c>
      <c r="M13" s="413">
        <v>0</v>
      </c>
      <c r="N13" s="413">
        <v>0</v>
      </c>
      <c r="O13" s="413">
        <v>0</v>
      </c>
      <c r="P13" s="271">
        <v>0</v>
      </c>
      <c r="Q13" s="1248">
        <f t="shared" si="36"/>
        <v>-2.8648442270393825E-4</v>
      </c>
      <c r="R13" s="1192">
        <f t="shared" si="37"/>
        <v>-1</v>
      </c>
      <c r="S13" s="411">
        <v>2.4693197210352929E-3</v>
      </c>
      <c r="T13" s="415">
        <v>1.47</v>
      </c>
      <c r="U13" s="413">
        <v>1.47</v>
      </c>
      <c r="V13" s="413">
        <v>1.47</v>
      </c>
      <c r="W13" s="413">
        <v>1.47</v>
      </c>
      <c r="X13" s="271">
        <v>1.47</v>
      </c>
      <c r="Y13" s="1248">
        <f t="shared" si="38"/>
        <v>1.4675306802789647</v>
      </c>
      <c r="Z13" s="1192">
        <f t="shared" si="39"/>
        <v>594.30565745600745</v>
      </c>
      <c r="AA13" s="411"/>
      <c r="AB13" s="415"/>
      <c r="AC13" s="413"/>
      <c r="AD13" s="413"/>
      <c r="AE13" s="413"/>
      <c r="AF13" s="271"/>
      <c r="AG13" s="1248">
        <f t="shared" si="40"/>
        <v>0</v>
      </c>
      <c r="AH13" s="1196">
        <f t="shared" si="41"/>
        <v>0</v>
      </c>
      <c r="AI13" s="411">
        <v>27.77862410656061</v>
      </c>
      <c r="AJ13" s="415">
        <v>30.079448321353489</v>
      </c>
      <c r="AK13" s="413">
        <v>30.08916762901411</v>
      </c>
      <c r="AL13" s="413">
        <v>30.098910048535053</v>
      </c>
      <c r="AM13" s="413">
        <v>30.108670957544252</v>
      </c>
      <c r="AN13" s="271">
        <v>30.118459600785837</v>
      </c>
      <c r="AO13" s="1248">
        <f t="shared" si="42"/>
        <v>2.300824214792879</v>
      </c>
      <c r="AP13" s="1196">
        <f t="shared" si="43"/>
        <v>8.282714816856182E-2</v>
      </c>
      <c r="AQ13" s="411">
        <v>0</v>
      </c>
      <c r="AR13" s="415">
        <v>0</v>
      </c>
      <c r="AS13" s="413">
        <v>0</v>
      </c>
      <c r="AT13" s="413">
        <v>0</v>
      </c>
      <c r="AU13" s="413">
        <v>0</v>
      </c>
      <c r="AV13" s="414">
        <v>0</v>
      </c>
      <c r="AW13" s="3111">
        <f>C13+K13+S13+AA13+AI13</f>
        <v>51.263810000000007</v>
      </c>
      <c r="AX13" s="3112">
        <f t="shared" ref="AX13:BB13" si="99">D13+L13+T13+AB13+AJ13</f>
        <v>56.524930664443062</v>
      </c>
      <c r="AY13" s="3113">
        <f t="shared" si="99"/>
        <v>56.202776336206348</v>
      </c>
      <c r="AZ13" s="3113">
        <f t="shared" si="99"/>
        <v>55.816925381737676</v>
      </c>
      <c r="BA13" s="3113">
        <f t="shared" si="99"/>
        <v>55.295688473311145</v>
      </c>
      <c r="BB13" s="3114">
        <f t="shared" si="99"/>
        <v>54.547477732163216</v>
      </c>
      <c r="BC13" s="3111">
        <f>C13+AA13+AI13</f>
        <v>51.261054195856261</v>
      </c>
      <c r="BD13" s="3112">
        <f t="shared" ref="BD13:BG13" si="100">D13+AB13+AJ13</f>
        <v>55.054930664443063</v>
      </c>
      <c r="BE13" s="3113">
        <f t="shared" si="100"/>
        <v>54.732776336206349</v>
      </c>
      <c r="BF13" s="3113">
        <f t="shared" si="100"/>
        <v>54.346925381737677</v>
      </c>
      <c r="BG13" s="3113">
        <f t="shared" si="100"/>
        <v>53.825688473311146</v>
      </c>
      <c r="BH13" s="3115">
        <f>H13+AF13+AN13</f>
        <v>53.077477732163217</v>
      </c>
      <c r="BI13" s="4488"/>
      <c r="BJ13" s="4504">
        <f t="shared" si="46"/>
        <v>12.00637585541466</v>
      </c>
      <c r="BK13" s="4504">
        <f t="shared" si="47"/>
        <v>12.769761350981206</v>
      </c>
      <c r="BL13" s="4504">
        <f t="shared" si="48"/>
        <v>12.60007705536383</v>
      </c>
      <c r="BM13" s="4504">
        <f t="shared" si="49"/>
        <v>12.397813374987919</v>
      </c>
      <c r="BN13" s="4504">
        <f t="shared" si="50"/>
        <v>12.126318502000117</v>
      </c>
      <c r="BO13" s="4504">
        <f t="shared" si="51"/>
        <v>11.738759570810032</v>
      </c>
      <c r="BP13" s="4504">
        <f t="shared" si="52"/>
        <v>0.76338549556654522</v>
      </c>
      <c r="BQ13" s="4504">
        <f t="shared" si="53"/>
        <v>1.4647715941770923E-4</v>
      </c>
      <c r="BR13" s="4504">
        <f t="shared" si="54"/>
        <v>0</v>
      </c>
      <c r="BS13" s="4504">
        <f t="shared" si="55"/>
        <v>0</v>
      </c>
      <c r="BT13" s="4504">
        <f t="shared" si="56"/>
        <v>0</v>
      </c>
      <c r="BU13" s="4504">
        <f t="shared" si="57"/>
        <v>0</v>
      </c>
      <c r="BV13" s="4504">
        <f t="shared" si="58"/>
        <v>0</v>
      </c>
      <c r="BW13" s="4504">
        <f t="shared" si="59"/>
        <v>-1.4647715941770923E-4</v>
      </c>
      <c r="BX13" s="4504">
        <f t="shared" si="60"/>
        <v>1.2625431254430564E-3</v>
      </c>
      <c r="BY13" s="4504">
        <f t="shared" si="61"/>
        <v>0.75159906535844112</v>
      </c>
      <c r="BZ13" s="4504">
        <f t="shared" si="62"/>
        <v>0.75159906535844112</v>
      </c>
      <c r="CA13" s="4504">
        <f t="shared" si="63"/>
        <v>0.75159906535844112</v>
      </c>
      <c r="CB13" s="4504">
        <f t="shared" si="64"/>
        <v>0.75159906535844112</v>
      </c>
      <c r="CC13" s="4504">
        <f t="shared" si="65"/>
        <v>0.75159906535844112</v>
      </c>
      <c r="CD13" s="4504">
        <f t="shared" si="66"/>
        <v>0.75033652223299818</v>
      </c>
      <c r="CE13" s="4504">
        <f t="shared" si="67"/>
        <v>0</v>
      </c>
      <c r="CF13" s="4504">
        <f t="shared" si="68"/>
        <v>0</v>
      </c>
      <c r="CG13" s="4504">
        <f t="shared" si="69"/>
        <v>0</v>
      </c>
      <c r="CH13" s="4504">
        <f t="shared" si="70"/>
        <v>0</v>
      </c>
      <c r="CI13" s="4504">
        <f t="shared" si="71"/>
        <v>0</v>
      </c>
      <c r="CJ13" s="4504">
        <f t="shared" si="72"/>
        <v>0</v>
      </c>
      <c r="CK13" s="4504">
        <f t="shared" si="73"/>
        <v>0</v>
      </c>
      <c r="CL13" s="4504">
        <f t="shared" si="74"/>
        <v>14.202984976485999</v>
      </c>
      <c r="CM13" s="4504">
        <f t="shared" si="75"/>
        <v>15.379377717569263</v>
      </c>
      <c r="CN13" s="4504">
        <f t="shared" si="76"/>
        <v>15.384347120666986</v>
      </c>
      <c r="CO13" s="4504">
        <f t="shared" si="77"/>
        <v>15.389328340671252</v>
      </c>
      <c r="CP13" s="4504">
        <f t="shared" si="78"/>
        <v>15.39431901420075</v>
      </c>
      <c r="CQ13" s="4504">
        <f t="shared" si="79"/>
        <v>15.399323868018099</v>
      </c>
      <c r="CR13" s="4504">
        <f t="shared" si="80"/>
        <v>1.1763927410832633</v>
      </c>
      <c r="CS13" s="4504">
        <f t="shared" si="81"/>
        <v>0</v>
      </c>
      <c r="CT13" s="4504">
        <f t="shared" si="82"/>
        <v>0</v>
      </c>
      <c r="CU13" s="4504">
        <f t="shared" si="83"/>
        <v>0</v>
      </c>
      <c r="CV13" s="4504">
        <f t="shared" si="84"/>
        <v>0</v>
      </c>
      <c r="CW13" s="4504">
        <f t="shared" si="85"/>
        <v>0</v>
      </c>
      <c r="CX13" s="4504">
        <f t="shared" si="86"/>
        <v>0</v>
      </c>
      <c r="CY13" s="4504">
        <f t="shared" si="87"/>
        <v>26.210769852185521</v>
      </c>
      <c r="CZ13" s="4504">
        <f t="shared" si="88"/>
        <v>28.900738133908909</v>
      </c>
      <c r="DA13" s="4504">
        <f t="shared" si="89"/>
        <v>28.736023241389255</v>
      </c>
      <c r="DB13" s="4504">
        <f t="shared" si="90"/>
        <v>28.538740781017612</v>
      </c>
      <c r="DC13" s="4504">
        <f t="shared" si="91"/>
        <v>28.272236581559312</v>
      </c>
      <c r="DD13" s="4504">
        <f t="shared" si="92"/>
        <v>27.88968250418657</v>
      </c>
      <c r="DE13" s="4504">
        <f t="shared" si="93"/>
        <v>26.209360831900657</v>
      </c>
      <c r="DF13" s="4504">
        <f t="shared" si="94"/>
        <v>28.149139068550468</v>
      </c>
      <c r="DG13" s="4504">
        <f t="shared" si="95"/>
        <v>27.984424176030817</v>
      </c>
      <c r="DH13" s="4504">
        <f t="shared" si="96"/>
        <v>27.787141715659171</v>
      </c>
      <c r="DI13" s="4504">
        <f t="shared" si="97"/>
        <v>27.520637516200871</v>
      </c>
      <c r="DJ13" s="4504">
        <f t="shared" si="98"/>
        <v>27.138083438828129</v>
      </c>
    </row>
    <row r="14" spans="1:114" s="683" customFormat="1" ht="13.2">
      <c r="A14" s="840" t="s">
        <v>336</v>
      </c>
      <c r="B14" s="3912" t="s">
        <v>229</v>
      </c>
      <c r="C14" s="411">
        <v>0</v>
      </c>
      <c r="D14" s="415">
        <v>0</v>
      </c>
      <c r="E14" s="413">
        <v>0</v>
      </c>
      <c r="F14" s="413">
        <v>0</v>
      </c>
      <c r="G14" s="413">
        <v>0</v>
      </c>
      <c r="H14" s="271">
        <v>0</v>
      </c>
      <c r="I14" s="1248">
        <f t="shared" si="34"/>
        <v>0</v>
      </c>
      <c r="J14" s="1196">
        <f t="shared" si="35"/>
        <v>0</v>
      </c>
      <c r="K14" s="411">
        <v>0</v>
      </c>
      <c r="L14" s="415">
        <v>0</v>
      </c>
      <c r="M14" s="413">
        <v>0</v>
      </c>
      <c r="N14" s="413">
        <v>0</v>
      </c>
      <c r="O14" s="413">
        <v>0</v>
      </c>
      <c r="P14" s="271">
        <v>0</v>
      </c>
      <c r="Q14" s="1248">
        <f t="shared" si="36"/>
        <v>0</v>
      </c>
      <c r="R14" s="1192">
        <f t="shared" si="37"/>
        <v>0</v>
      </c>
      <c r="S14" s="411">
        <v>0</v>
      </c>
      <c r="T14" s="415">
        <v>14.112578774712928</v>
      </c>
      <c r="U14" s="413">
        <v>14.068666771728553</v>
      </c>
      <c r="V14" s="413">
        <v>14.025503483801836</v>
      </c>
      <c r="W14" s="413">
        <v>13.98308350504788</v>
      </c>
      <c r="X14" s="271">
        <v>13.941401429581793</v>
      </c>
      <c r="Y14" s="1248">
        <f t="shared" si="38"/>
        <v>14.112578774712928</v>
      </c>
      <c r="Z14" s="1192">
        <f t="shared" si="39"/>
        <v>0</v>
      </c>
      <c r="AA14" s="411"/>
      <c r="AB14" s="415"/>
      <c r="AC14" s="413"/>
      <c r="AD14" s="413"/>
      <c r="AE14" s="413"/>
      <c r="AF14" s="271"/>
      <c r="AG14" s="1248">
        <f t="shared" si="40"/>
        <v>0</v>
      </c>
      <c r="AH14" s="1196">
        <f t="shared" si="41"/>
        <v>0</v>
      </c>
      <c r="AI14" s="411">
        <v>0</v>
      </c>
      <c r="AJ14" s="415">
        <v>0</v>
      </c>
      <c r="AK14" s="413">
        <v>0</v>
      </c>
      <c r="AL14" s="413">
        <v>0</v>
      </c>
      <c r="AM14" s="413">
        <v>0</v>
      </c>
      <c r="AN14" s="271">
        <v>0</v>
      </c>
      <c r="AO14" s="1248">
        <f t="shared" si="42"/>
        <v>0</v>
      </c>
      <c r="AP14" s="1196">
        <f t="shared" si="43"/>
        <v>0</v>
      </c>
      <c r="AQ14" s="411">
        <v>0</v>
      </c>
      <c r="AR14" s="415">
        <v>0</v>
      </c>
      <c r="AS14" s="413">
        <v>0</v>
      </c>
      <c r="AT14" s="413">
        <v>0</v>
      </c>
      <c r="AU14" s="413">
        <v>0</v>
      </c>
      <c r="AV14" s="414">
        <v>0</v>
      </c>
      <c r="AW14" s="3111">
        <f t="shared" ref="AW14:AW17" si="101">C14+K14+S14+AA14+AI14</f>
        <v>0</v>
      </c>
      <c r="AX14" s="3112">
        <f t="shared" ref="AX14:AX17" si="102">D14+L14+T14+AB14+AJ14</f>
        <v>14.112578774712928</v>
      </c>
      <c r="AY14" s="3113">
        <f t="shared" ref="AY14:AY17" si="103">E14+M14+U14+AC14+AK14</f>
        <v>14.068666771728553</v>
      </c>
      <c r="AZ14" s="3113">
        <f t="shared" ref="AZ14:AZ17" si="104">F14+N14+V14+AD14+AL14</f>
        <v>14.025503483801836</v>
      </c>
      <c r="BA14" s="3113">
        <f t="shared" ref="BA14:BA17" si="105">G14+O14+W14+AE14+AM14</f>
        <v>13.98308350504788</v>
      </c>
      <c r="BB14" s="3114">
        <f t="shared" ref="BB14:BB17" si="106">H14+P14+X14+AF14+AN14</f>
        <v>13.941401429581793</v>
      </c>
      <c r="BC14" s="3111">
        <f t="shared" ref="BC14:BC17" si="107">C14+AA14+AI14</f>
        <v>0</v>
      </c>
      <c r="BD14" s="3112">
        <f t="shared" ref="BD14:BD17" si="108">D14+AB14+AJ14</f>
        <v>0</v>
      </c>
      <c r="BE14" s="3113">
        <f t="shared" ref="BE14:BE17" si="109">E14+AC14+AK14</f>
        <v>0</v>
      </c>
      <c r="BF14" s="3113">
        <f t="shared" ref="BF14:BF17" si="110">F14+AD14+AL14</f>
        <v>0</v>
      </c>
      <c r="BG14" s="3113">
        <f t="shared" ref="BG14:BG17" si="111">G14+AE14+AM14</f>
        <v>0</v>
      </c>
      <c r="BH14" s="3115">
        <f t="shared" ref="BH14:BH17" si="112">H14+AF14+AN14</f>
        <v>0</v>
      </c>
      <c r="BI14" s="4488"/>
      <c r="BJ14" s="4504">
        <f t="shared" si="46"/>
        <v>0</v>
      </c>
      <c r="BK14" s="4504">
        <f t="shared" si="47"/>
        <v>0</v>
      </c>
      <c r="BL14" s="4504">
        <f t="shared" si="48"/>
        <v>0</v>
      </c>
      <c r="BM14" s="4504">
        <f t="shared" si="49"/>
        <v>0</v>
      </c>
      <c r="BN14" s="4504">
        <f t="shared" si="50"/>
        <v>0</v>
      </c>
      <c r="BO14" s="4504">
        <f t="shared" si="51"/>
        <v>0</v>
      </c>
      <c r="BP14" s="4504">
        <f t="shared" si="52"/>
        <v>0</v>
      </c>
      <c r="BQ14" s="4504">
        <f t="shared" si="53"/>
        <v>0</v>
      </c>
      <c r="BR14" s="4504">
        <f t="shared" si="54"/>
        <v>0</v>
      </c>
      <c r="BS14" s="4504">
        <f t="shared" si="55"/>
        <v>0</v>
      </c>
      <c r="BT14" s="4504">
        <f t="shared" si="56"/>
        <v>0</v>
      </c>
      <c r="BU14" s="4504">
        <f t="shared" si="57"/>
        <v>0</v>
      </c>
      <c r="BV14" s="4504">
        <f t="shared" si="58"/>
        <v>0</v>
      </c>
      <c r="BW14" s="4504">
        <f t="shared" si="59"/>
        <v>0</v>
      </c>
      <c r="BX14" s="4504">
        <f t="shared" si="60"/>
        <v>0</v>
      </c>
      <c r="BY14" s="4504">
        <f t="shared" si="61"/>
        <v>7.2156469502527969</v>
      </c>
      <c r="BZ14" s="4504">
        <f t="shared" si="62"/>
        <v>7.193195099639822</v>
      </c>
      <c r="CA14" s="4504">
        <f t="shared" si="63"/>
        <v>7.1711260609571568</v>
      </c>
      <c r="CB14" s="4504">
        <f t="shared" si="64"/>
        <v>7.1494370702197427</v>
      </c>
      <c r="CC14" s="4504">
        <f t="shared" si="65"/>
        <v>7.1281253634425248</v>
      </c>
      <c r="CD14" s="4504">
        <f t="shared" si="66"/>
        <v>7.2156469502527969</v>
      </c>
      <c r="CE14" s="4504">
        <f t="shared" si="67"/>
        <v>0</v>
      </c>
      <c r="CF14" s="4504">
        <f t="shared" si="68"/>
        <v>0</v>
      </c>
      <c r="CG14" s="4504">
        <f t="shared" si="69"/>
        <v>0</v>
      </c>
      <c r="CH14" s="4504">
        <f t="shared" si="70"/>
        <v>0</v>
      </c>
      <c r="CI14" s="4504">
        <f t="shared" si="71"/>
        <v>0</v>
      </c>
      <c r="CJ14" s="4504">
        <f t="shared" si="72"/>
        <v>0</v>
      </c>
      <c r="CK14" s="4504">
        <f t="shared" si="73"/>
        <v>0</v>
      </c>
      <c r="CL14" s="4504">
        <f t="shared" si="74"/>
        <v>0</v>
      </c>
      <c r="CM14" s="4504">
        <f t="shared" si="75"/>
        <v>0</v>
      </c>
      <c r="CN14" s="4504">
        <f t="shared" si="76"/>
        <v>0</v>
      </c>
      <c r="CO14" s="4504">
        <f t="shared" si="77"/>
        <v>0</v>
      </c>
      <c r="CP14" s="4504">
        <f t="shared" si="78"/>
        <v>0</v>
      </c>
      <c r="CQ14" s="4504">
        <f t="shared" si="79"/>
        <v>0</v>
      </c>
      <c r="CR14" s="4504">
        <f t="shared" si="80"/>
        <v>0</v>
      </c>
      <c r="CS14" s="4504">
        <f t="shared" si="81"/>
        <v>0</v>
      </c>
      <c r="CT14" s="4504">
        <f t="shared" si="82"/>
        <v>0</v>
      </c>
      <c r="CU14" s="4504">
        <f t="shared" si="83"/>
        <v>0</v>
      </c>
      <c r="CV14" s="4504">
        <f t="shared" si="84"/>
        <v>0</v>
      </c>
      <c r="CW14" s="4504">
        <f t="shared" si="85"/>
        <v>0</v>
      </c>
      <c r="CX14" s="4504">
        <f t="shared" si="86"/>
        <v>0</v>
      </c>
      <c r="CY14" s="4504">
        <f t="shared" si="87"/>
        <v>0</v>
      </c>
      <c r="CZ14" s="4504">
        <f t="shared" si="88"/>
        <v>7.2156469502527969</v>
      </c>
      <c r="DA14" s="4504">
        <f t="shared" si="89"/>
        <v>7.193195099639822</v>
      </c>
      <c r="DB14" s="4504">
        <f t="shared" si="90"/>
        <v>7.1711260609571568</v>
      </c>
      <c r="DC14" s="4504">
        <f t="shared" si="91"/>
        <v>7.1494370702197427</v>
      </c>
      <c r="DD14" s="4504">
        <f t="shared" si="92"/>
        <v>7.1281253634425248</v>
      </c>
      <c r="DE14" s="4504">
        <f t="shared" si="93"/>
        <v>0</v>
      </c>
      <c r="DF14" s="4504">
        <f t="shared" si="94"/>
        <v>0</v>
      </c>
      <c r="DG14" s="4504">
        <f t="shared" si="95"/>
        <v>0</v>
      </c>
      <c r="DH14" s="4504">
        <f t="shared" si="96"/>
        <v>0</v>
      </c>
      <c r="DI14" s="4504">
        <f t="shared" si="97"/>
        <v>0</v>
      </c>
      <c r="DJ14" s="4504">
        <f t="shared" si="98"/>
        <v>0</v>
      </c>
    </row>
    <row r="15" spans="1:114" s="683" customFormat="1" ht="13.2">
      <c r="A15" s="840" t="s">
        <v>337</v>
      </c>
      <c r="B15" s="3913" t="s">
        <v>230</v>
      </c>
      <c r="C15" s="411">
        <v>0</v>
      </c>
      <c r="D15" s="415">
        <v>0</v>
      </c>
      <c r="E15" s="413">
        <v>0</v>
      </c>
      <c r="F15" s="413">
        <v>0</v>
      </c>
      <c r="G15" s="413">
        <v>0</v>
      </c>
      <c r="H15" s="271">
        <v>0</v>
      </c>
      <c r="I15" s="1248">
        <f t="shared" si="34"/>
        <v>0</v>
      </c>
      <c r="J15" s="1196">
        <f t="shared" si="35"/>
        <v>0</v>
      </c>
      <c r="K15" s="411">
        <v>0</v>
      </c>
      <c r="L15" s="415">
        <v>0</v>
      </c>
      <c r="M15" s="413">
        <v>0</v>
      </c>
      <c r="N15" s="413">
        <v>0</v>
      </c>
      <c r="O15" s="413">
        <v>0</v>
      </c>
      <c r="P15" s="271">
        <v>0</v>
      </c>
      <c r="Q15" s="1248">
        <f t="shared" si="36"/>
        <v>0</v>
      </c>
      <c r="R15" s="1192">
        <f t="shared" si="37"/>
        <v>0</v>
      </c>
      <c r="S15" s="411">
        <v>42.629940000000005</v>
      </c>
      <c r="T15" s="415">
        <v>43.755543565043652</v>
      </c>
      <c r="U15" s="413">
        <v>43.630825935261534</v>
      </c>
      <c r="V15" s="413">
        <v>43.508204903482472</v>
      </c>
      <c r="W15" s="413">
        <v>43.387665494006455</v>
      </c>
      <c r="X15" s="271">
        <v>43.269192731133465</v>
      </c>
      <c r="Y15" s="1248">
        <f t="shared" si="38"/>
        <v>1.1256035650436473</v>
      </c>
      <c r="Z15" s="1192">
        <f t="shared" si="39"/>
        <v>2.6404061676925824E-2</v>
      </c>
      <c r="AA15" s="411"/>
      <c r="AB15" s="415"/>
      <c r="AC15" s="413"/>
      <c r="AD15" s="413"/>
      <c r="AE15" s="413"/>
      <c r="AF15" s="271"/>
      <c r="AG15" s="1248">
        <f t="shared" si="40"/>
        <v>0</v>
      </c>
      <c r="AH15" s="1196">
        <f t="shared" si="41"/>
        <v>0</v>
      </c>
      <c r="AI15" s="411">
        <v>0</v>
      </c>
      <c r="AJ15" s="415">
        <v>0</v>
      </c>
      <c r="AK15" s="413">
        <v>0</v>
      </c>
      <c r="AL15" s="413">
        <v>0</v>
      </c>
      <c r="AM15" s="413">
        <v>0</v>
      </c>
      <c r="AN15" s="271">
        <v>0</v>
      </c>
      <c r="AO15" s="1248">
        <f t="shared" si="42"/>
        <v>0</v>
      </c>
      <c r="AP15" s="1196">
        <f t="shared" si="43"/>
        <v>0</v>
      </c>
      <c r="AQ15" s="411">
        <v>0</v>
      </c>
      <c r="AR15" s="415">
        <v>0</v>
      </c>
      <c r="AS15" s="413">
        <v>0</v>
      </c>
      <c r="AT15" s="413">
        <v>0</v>
      </c>
      <c r="AU15" s="413">
        <v>0</v>
      </c>
      <c r="AV15" s="414">
        <v>0</v>
      </c>
      <c r="AW15" s="3111">
        <f t="shared" si="101"/>
        <v>42.629940000000005</v>
      </c>
      <c r="AX15" s="3112">
        <f t="shared" si="102"/>
        <v>43.755543565043652</v>
      </c>
      <c r="AY15" s="3113">
        <f t="shared" si="103"/>
        <v>43.630825935261534</v>
      </c>
      <c r="AZ15" s="3113">
        <f t="shared" si="104"/>
        <v>43.508204903482472</v>
      </c>
      <c r="BA15" s="3113">
        <f t="shared" si="105"/>
        <v>43.387665494006455</v>
      </c>
      <c r="BB15" s="3114">
        <f t="shared" si="106"/>
        <v>43.269192731133465</v>
      </c>
      <c r="BC15" s="3111">
        <f t="shared" si="107"/>
        <v>0</v>
      </c>
      <c r="BD15" s="3112">
        <f t="shared" si="108"/>
        <v>0</v>
      </c>
      <c r="BE15" s="3113">
        <f t="shared" si="109"/>
        <v>0</v>
      </c>
      <c r="BF15" s="3113">
        <f t="shared" si="110"/>
        <v>0</v>
      </c>
      <c r="BG15" s="3113">
        <f t="shared" si="111"/>
        <v>0</v>
      </c>
      <c r="BH15" s="3115">
        <f t="shared" si="112"/>
        <v>0</v>
      </c>
      <c r="BI15" s="4488"/>
      <c r="BJ15" s="4504">
        <f t="shared" si="46"/>
        <v>0</v>
      </c>
      <c r="BK15" s="4504">
        <f t="shared" si="47"/>
        <v>0</v>
      </c>
      <c r="BL15" s="4504">
        <f t="shared" si="48"/>
        <v>0</v>
      </c>
      <c r="BM15" s="4504">
        <f t="shared" si="49"/>
        <v>0</v>
      </c>
      <c r="BN15" s="4504">
        <f t="shared" si="50"/>
        <v>0</v>
      </c>
      <c r="BO15" s="4504">
        <f t="shared" si="51"/>
        <v>0</v>
      </c>
      <c r="BP15" s="4504">
        <f t="shared" si="52"/>
        <v>0</v>
      </c>
      <c r="BQ15" s="4504">
        <f t="shared" si="53"/>
        <v>0</v>
      </c>
      <c r="BR15" s="4504">
        <f t="shared" si="54"/>
        <v>0</v>
      </c>
      <c r="BS15" s="4504">
        <f t="shared" si="55"/>
        <v>0</v>
      </c>
      <c r="BT15" s="4504">
        <f t="shared" si="56"/>
        <v>0</v>
      </c>
      <c r="BU15" s="4504">
        <f t="shared" si="57"/>
        <v>0</v>
      </c>
      <c r="BV15" s="4504">
        <f t="shared" si="58"/>
        <v>0</v>
      </c>
      <c r="BW15" s="4504">
        <f t="shared" si="59"/>
        <v>0</v>
      </c>
      <c r="BX15" s="4504">
        <f t="shared" si="60"/>
        <v>21.796342217881925</v>
      </c>
      <c r="BY15" s="4504">
        <f t="shared" si="61"/>
        <v>22.37185418213426</v>
      </c>
      <c r="BZ15" s="4504">
        <f t="shared" si="62"/>
        <v>22.30808707058463</v>
      </c>
      <c r="CA15" s="4504">
        <f t="shared" si="63"/>
        <v>22.24539193257209</v>
      </c>
      <c r="CB15" s="4504">
        <f t="shared" si="64"/>
        <v>22.183761111142818</v>
      </c>
      <c r="CC15" s="4504">
        <f t="shared" si="65"/>
        <v>22.123186949342973</v>
      </c>
      <c r="CD15" s="4504">
        <f t="shared" si="66"/>
        <v>0.57551196425233653</v>
      </c>
      <c r="CE15" s="4504">
        <f t="shared" si="67"/>
        <v>0</v>
      </c>
      <c r="CF15" s="4504">
        <f t="shared" si="68"/>
        <v>0</v>
      </c>
      <c r="CG15" s="4504">
        <f t="shared" si="69"/>
        <v>0</v>
      </c>
      <c r="CH15" s="4504">
        <f t="shared" si="70"/>
        <v>0</v>
      </c>
      <c r="CI15" s="4504">
        <f t="shared" si="71"/>
        <v>0</v>
      </c>
      <c r="CJ15" s="4504">
        <f t="shared" si="72"/>
        <v>0</v>
      </c>
      <c r="CK15" s="4504">
        <f t="shared" si="73"/>
        <v>0</v>
      </c>
      <c r="CL15" s="4504">
        <f t="shared" si="74"/>
        <v>0</v>
      </c>
      <c r="CM15" s="4504">
        <f t="shared" si="75"/>
        <v>0</v>
      </c>
      <c r="CN15" s="4504">
        <f t="shared" si="76"/>
        <v>0</v>
      </c>
      <c r="CO15" s="4504">
        <f t="shared" si="77"/>
        <v>0</v>
      </c>
      <c r="CP15" s="4504">
        <f t="shared" si="78"/>
        <v>0</v>
      </c>
      <c r="CQ15" s="4504">
        <f t="shared" si="79"/>
        <v>0</v>
      </c>
      <c r="CR15" s="4504">
        <f t="shared" si="80"/>
        <v>0</v>
      </c>
      <c r="CS15" s="4504">
        <f t="shared" si="81"/>
        <v>0</v>
      </c>
      <c r="CT15" s="4504">
        <f t="shared" si="82"/>
        <v>0</v>
      </c>
      <c r="CU15" s="4504">
        <f t="shared" si="83"/>
        <v>0</v>
      </c>
      <c r="CV15" s="4504">
        <f t="shared" si="84"/>
        <v>0</v>
      </c>
      <c r="CW15" s="4504">
        <f t="shared" si="85"/>
        <v>0</v>
      </c>
      <c r="CX15" s="4504">
        <f t="shared" si="86"/>
        <v>0</v>
      </c>
      <c r="CY15" s="4504">
        <f t="shared" si="87"/>
        <v>21.796342217881925</v>
      </c>
      <c r="CZ15" s="4504">
        <f t="shared" si="88"/>
        <v>22.37185418213426</v>
      </c>
      <c r="DA15" s="4504">
        <f t="shared" si="89"/>
        <v>22.30808707058463</v>
      </c>
      <c r="DB15" s="4504">
        <f t="shared" si="90"/>
        <v>22.24539193257209</v>
      </c>
      <c r="DC15" s="4504">
        <f t="shared" si="91"/>
        <v>22.183761111142818</v>
      </c>
      <c r="DD15" s="4504">
        <f t="shared" si="92"/>
        <v>22.123186949342973</v>
      </c>
      <c r="DE15" s="4504">
        <f t="shared" si="93"/>
        <v>0</v>
      </c>
      <c r="DF15" s="4504">
        <f t="shared" si="94"/>
        <v>0</v>
      </c>
      <c r="DG15" s="4504">
        <f t="shared" si="95"/>
        <v>0</v>
      </c>
      <c r="DH15" s="4504">
        <f t="shared" si="96"/>
        <v>0</v>
      </c>
      <c r="DI15" s="4504">
        <f t="shared" si="97"/>
        <v>0</v>
      </c>
      <c r="DJ15" s="4504">
        <f t="shared" si="98"/>
        <v>0</v>
      </c>
    </row>
    <row r="16" spans="1:114" s="683" customFormat="1" ht="24.75" customHeight="1">
      <c r="A16" s="840" t="s">
        <v>338</v>
      </c>
      <c r="B16" s="3913" t="s">
        <v>231</v>
      </c>
      <c r="C16" s="411">
        <v>0</v>
      </c>
      <c r="D16" s="415">
        <v>0</v>
      </c>
      <c r="E16" s="413">
        <v>0</v>
      </c>
      <c r="F16" s="413">
        <v>0</v>
      </c>
      <c r="G16" s="413">
        <v>0</v>
      </c>
      <c r="H16" s="271">
        <v>0</v>
      </c>
      <c r="I16" s="1248">
        <f t="shared" si="34"/>
        <v>0</v>
      </c>
      <c r="J16" s="1196">
        <f t="shared" si="35"/>
        <v>0</v>
      </c>
      <c r="K16" s="411">
        <v>0</v>
      </c>
      <c r="L16" s="415">
        <v>0</v>
      </c>
      <c r="M16" s="413">
        <v>0</v>
      </c>
      <c r="N16" s="413">
        <v>0</v>
      </c>
      <c r="O16" s="413">
        <v>0</v>
      </c>
      <c r="P16" s="271">
        <v>0</v>
      </c>
      <c r="Q16" s="1248">
        <f t="shared" si="36"/>
        <v>0</v>
      </c>
      <c r="R16" s="1192">
        <f t="shared" si="37"/>
        <v>0</v>
      </c>
      <c r="S16" s="411">
        <v>33.995719999999999</v>
      </c>
      <c r="T16" s="415">
        <v>35.774926062761303</v>
      </c>
      <c r="U16" s="413">
        <v>36.019980782351297</v>
      </c>
      <c r="V16" s="413">
        <v>36.264914665714372</v>
      </c>
      <c r="W16" s="413">
        <v>36.509759829185178</v>
      </c>
      <c r="X16" s="271">
        <v>36.754554016930406</v>
      </c>
      <c r="Y16" s="1248">
        <f t="shared" si="38"/>
        <v>1.779206062761304</v>
      </c>
      <c r="Z16" s="1192">
        <f t="shared" si="39"/>
        <v>5.2336178282480973E-2</v>
      </c>
      <c r="AA16" s="411"/>
      <c r="AB16" s="415"/>
      <c r="AC16" s="413"/>
      <c r="AD16" s="413"/>
      <c r="AE16" s="413"/>
      <c r="AF16" s="271"/>
      <c r="AG16" s="1248">
        <f t="shared" si="40"/>
        <v>0</v>
      </c>
      <c r="AH16" s="1196">
        <f t="shared" si="41"/>
        <v>0</v>
      </c>
      <c r="AI16" s="411">
        <v>0</v>
      </c>
      <c r="AJ16" s="415">
        <v>0</v>
      </c>
      <c r="AK16" s="413">
        <v>0</v>
      </c>
      <c r="AL16" s="413">
        <v>0</v>
      </c>
      <c r="AM16" s="413">
        <v>0</v>
      </c>
      <c r="AN16" s="271">
        <v>0</v>
      </c>
      <c r="AO16" s="1248">
        <f t="shared" si="42"/>
        <v>0</v>
      </c>
      <c r="AP16" s="1196">
        <f t="shared" si="43"/>
        <v>0</v>
      </c>
      <c r="AQ16" s="411">
        <v>0</v>
      </c>
      <c r="AR16" s="415">
        <v>0</v>
      </c>
      <c r="AS16" s="413">
        <v>0</v>
      </c>
      <c r="AT16" s="413">
        <v>0</v>
      </c>
      <c r="AU16" s="413">
        <v>0</v>
      </c>
      <c r="AV16" s="414">
        <v>0</v>
      </c>
      <c r="AW16" s="3111">
        <f t="shared" si="101"/>
        <v>33.995719999999999</v>
      </c>
      <c r="AX16" s="3112">
        <f t="shared" si="102"/>
        <v>35.774926062761303</v>
      </c>
      <c r="AY16" s="3113">
        <f t="shared" si="103"/>
        <v>36.019980782351297</v>
      </c>
      <c r="AZ16" s="3113">
        <f t="shared" si="104"/>
        <v>36.264914665714372</v>
      </c>
      <c r="BA16" s="3113">
        <f t="shared" si="105"/>
        <v>36.509759829185178</v>
      </c>
      <c r="BB16" s="3114">
        <f t="shared" si="106"/>
        <v>36.754554016930406</v>
      </c>
      <c r="BC16" s="3111">
        <f t="shared" si="107"/>
        <v>0</v>
      </c>
      <c r="BD16" s="3112">
        <f t="shared" si="108"/>
        <v>0</v>
      </c>
      <c r="BE16" s="3113">
        <f t="shared" si="109"/>
        <v>0</v>
      </c>
      <c r="BF16" s="3113">
        <f t="shared" si="110"/>
        <v>0</v>
      </c>
      <c r="BG16" s="3113">
        <f t="shared" si="111"/>
        <v>0</v>
      </c>
      <c r="BH16" s="3115">
        <f t="shared" si="112"/>
        <v>0</v>
      </c>
      <c r="BI16" s="4488"/>
      <c r="BJ16" s="4504">
        <f t="shared" si="46"/>
        <v>0</v>
      </c>
      <c r="BK16" s="4504">
        <f t="shared" si="47"/>
        <v>0</v>
      </c>
      <c r="BL16" s="4504">
        <f t="shared" si="48"/>
        <v>0</v>
      </c>
      <c r="BM16" s="4504">
        <f t="shared" si="49"/>
        <v>0</v>
      </c>
      <c r="BN16" s="4504">
        <f t="shared" si="50"/>
        <v>0</v>
      </c>
      <c r="BO16" s="4504">
        <f t="shared" si="51"/>
        <v>0</v>
      </c>
      <c r="BP16" s="4504">
        <f t="shared" si="52"/>
        <v>0</v>
      </c>
      <c r="BQ16" s="4504">
        <f t="shared" si="53"/>
        <v>0</v>
      </c>
      <c r="BR16" s="4504">
        <f t="shared" si="54"/>
        <v>0</v>
      </c>
      <c r="BS16" s="4504">
        <f t="shared" si="55"/>
        <v>0</v>
      </c>
      <c r="BT16" s="4504">
        <f t="shared" si="56"/>
        <v>0</v>
      </c>
      <c r="BU16" s="4504">
        <f t="shared" si="57"/>
        <v>0</v>
      </c>
      <c r="BV16" s="4504">
        <f t="shared" si="58"/>
        <v>0</v>
      </c>
      <c r="BW16" s="4504">
        <f t="shared" si="59"/>
        <v>0</v>
      </c>
      <c r="BX16" s="4504">
        <f t="shared" si="60"/>
        <v>17.381735631419907</v>
      </c>
      <c r="BY16" s="4504">
        <f t="shared" si="61"/>
        <v>18.291429246284853</v>
      </c>
      <c r="BZ16" s="4504">
        <f t="shared" si="62"/>
        <v>18.416723734860032</v>
      </c>
      <c r="CA16" s="4504">
        <f t="shared" si="63"/>
        <v>18.541956440853433</v>
      </c>
      <c r="CB16" s="4504">
        <f t="shared" si="64"/>
        <v>18.667143785086218</v>
      </c>
      <c r="CC16" s="4504">
        <f t="shared" si="65"/>
        <v>18.792305065844378</v>
      </c>
      <c r="CD16" s="4504">
        <f t="shared" si="66"/>
        <v>0.90969361486494427</v>
      </c>
      <c r="CE16" s="4504">
        <f t="shared" si="67"/>
        <v>0</v>
      </c>
      <c r="CF16" s="4504">
        <f t="shared" si="68"/>
        <v>0</v>
      </c>
      <c r="CG16" s="4504">
        <f t="shared" si="69"/>
        <v>0</v>
      </c>
      <c r="CH16" s="4504">
        <f t="shared" si="70"/>
        <v>0</v>
      </c>
      <c r="CI16" s="4504">
        <f t="shared" si="71"/>
        <v>0</v>
      </c>
      <c r="CJ16" s="4504">
        <f t="shared" si="72"/>
        <v>0</v>
      </c>
      <c r="CK16" s="4504">
        <f t="shared" si="73"/>
        <v>0</v>
      </c>
      <c r="CL16" s="4504">
        <f t="shared" si="74"/>
        <v>0</v>
      </c>
      <c r="CM16" s="4504">
        <f t="shared" si="75"/>
        <v>0</v>
      </c>
      <c r="CN16" s="4504">
        <f t="shared" si="76"/>
        <v>0</v>
      </c>
      <c r="CO16" s="4504">
        <f t="shared" si="77"/>
        <v>0</v>
      </c>
      <c r="CP16" s="4504">
        <f t="shared" si="78"/>
        <v>0</v>
      </c>
      <c r="CQ16" s="4504">
        <f t="shared" si="79"/>
        <v>0</v>
      </c>
      <c r="CR16" s="4504">
        <f t="shared" si="80"/>
        <v>0</v>
      </c>
      <c r="CS16" s="4504">
        <f t="shared" si="81"/>
        <v>0</v>
      </c>
      <c r="CT16" s="4504">
        <f t="shared" si="82"/>
        <v>0</v>
      </c>
      <c r="CU16" s="4504">
        <f t="shared" si="83"/>
        <v>0</v>
      </c>
      <c r="CV16" s="4504">
        <f t="shared" si="84"/>
        <v>0</v>
      </c>
      <c r="CW16" s="4504">
        <f t="shared" si="85"/>
        <v>0</v>
      </c>
      <c r="CX16" s="4504">
        <f t="shared" si="86"/>
        <v>0</v>
      </c>
      <c r="CY16" s="4504">
        <f t="shared" si="87"/>
        <v>17.381735631419907</v>
      </c>
      <c r="CZ16" s="4504">
        <f t="shared" si="88"/>
        <v>18.291429246284853</v>
      </c>
      <c r="DA16" s="4504">
        <f t="shared" si="89"/>
        <v>18.416723734860032</v>
      </c>
      <c r="DB16" s="4504">
        <f t="shared" si="90"/>
        <v>18.541956440853433</v>
      </c>
      <c r="DC16" s="4504">
        <f t="shared" si="91"/>
        <v>18.667143785086218</v>
      </c>
      <c r="DD16" s="4504">
        <f t="shared" si="92"/>
        <v>18.792305065844378</v>
      </c>
      <c r="DE16" s="4504">
        <f t="shared" si="93"/>
        <v>0</v>
      </c>
      <c r="DF16" s="4504">
        <f t="shared" si="94"/>
        <v>0</v>
      </c>
      <c r="DG16" s="4504">
        <f t="shared" si="95"/>
        <v>0</v>
      </c>
      <c r="DH16" s="4504">
        <f t="shared" si="96"/>
        <v>0</v>
      </c>
      <c r="DI16" s="4504">
        <f t="shared" si="97"/>
        <v>0</v>
      </c>
      <c r="DJ16" s="4504">
        <f t="shared" si="98"/>
        <v>0</v>
      </c>
    </row>
    <row r="17" spans="1:114" s="684" customFormat="1" ht="13.2">
      <c r="A17" s="108" t="s">
        <v>91</v>
      </c>
      <c r="B17" s="896" t="s">
        <v>232</v>
      </c>
      <c r="C17" s="1506">
        <f>'6. Ел.Енергия'!I18</f>
        <v>1711.7496171907223</v>
      </c>
      <c r="D17" s="1143">
        <f>'6. Ел.Енергия'!J18</f>
        <v>2129.4196828499189</v>
      </c>
      <c r="E17" s="1133">
        <f>'6. Ел.Енергия'!K18</f>
        <v>2096.24498970694</v>
      </c>
      <c r="F17" s="1133">
        <f>'6. Ел.Енергия'!L18</f>
        <v>2052.2195582674922</v>
      </c>
      <c r="G17" s="1133">
        <f>'6. Ел.Енергия'!M18</f>
        <v>1987.8836364910649</v>
      </c>
      <c r="H17" s="1143">
        <f>'6. Ел.Енергия'!N18</f>
        <v>1901.2896591193185</v>
      </c>
      <c r="I17" s="1249">
        <f t="shared" si="34"/>
        <v>417.67006565919655</v>
      </c>
      <c r="J17" s="822">
        <f t="shared" si="35"/>
        <v>0.24400184551795928</v>
      </c>
      <c r="K17" s="2679">
        <f>'6. Ел.Енергия'!I34</f>
        <v>0.10119588130589609</v>
      </c>
      <c r="L17" s="1143">
        <f>'6. Ел.Енергия'!J34</f>
        <v>0.1608089622382991</v>
      </c>
      <c r="M17" s="1133">
        <f>'6. Ел.Енергия'!K34</f>
        <v>0.1608089622382991</v>
      </c>
      <c r="N17" s="1133">
        <f>'6. Ел.Енергия'!L34</f>
        <v>0.1608089622382991</v>
      </c>
      <c r="O17" s="1133">
        <f>'6. Ел.Енергия'!M34</f>
        <v>0.1608089622382991</v>
      </c>
      <c r="P17" s="1143">
        <f>'6. Ел.Енергия'!N34</f>
        <v>0.1608089622382991</v>
      </c>
      <c r="Q17" s="1249">
        <f t="shared" si="36"/>
        <v>5.9613080932403015E-2</v>
      </c>
      <c r="R17" s="877">
        <f t="shared" si="37"/>
        <v>0.58908603950198235</v>
      </c>
      <c r="S17" s="2679">
        <f>'6. Ел.Енергия'!I49</f>
        <v>364.53395739713028</v>
      </c>
      <c r="T17" s="1143">
        <f>'6. Ел.Енергия'!J49</f>
        <v>451.79413745830556</v>
      </c>
      <c r="U17" s="1133">
        <f>'6. Ел.Енергия'!K49</f>
        <v>447.48456954858585</v>
      </c>
      <c r="V17" s="1133">
        <f>'6. Ел.Енергия'!L49</f>
        <v>443.21163649052198</v>
      </c>
      <c r="W17" s="1133">
        <f>'6. Ел.Енергия'!M49</f>
        <v>438.97458570007905</v>
      </c>
      <c r="X17" s="1143">
        <f>'6. Ел.Енергия'!N49</f>
        <v>436.21696502337039</v>
      </c>
      <c r="Y17" s="1255">
        <f t="shared" si="38"/>
        <v>87.260180061175276</v>
      </c>
      <c r="Z17" s="877">
        <f t="shared" si="39"/>
        <v>0.23937462694624184</v>
      </c>
      <c r="AA17" s="2679">
        <f>'6. Ел.Енергия'!I65</f>
        <v>0</v>
      </c>
      <c r="AB17" s="1143">
        <f>'6. Ел.Енергия'!J65</f>
        <v>0</v>
      </c>
      <c r="AC17" s="1133">
        <f>'6. Ел.Енергия'!K65</f>
        <v>0</v>
      </c>
      <c r="AD17" s="1133">
        <f>'6. Ел.Енергия'!L65</f>
        <v>0</v>
      </c>
      <c r="AE17" s="1133">
        <f>'6. Ел.Енергия'!M65</f>
        <v>0</v>
      </c>
      <c r="AF17" s="1143">
        <f>'6. Ел.Енергия'!N65</f>
        <v>0</v>
      </c>
      <c r="AG17" s="1249">
        <f t="shared" si="40"/>
        <v>0</v>
      </c>
      <c r="AH17" s="822">
        <f t="shared" si="41"/>
        <v>0</v>
      </c>
      <c r="AI17" s="1112">
        <f>'6. Ел.Енергия'!I81</f>
        <v>273.41679996740476</v>
      </c>
      <c r="AJ17" s="1141">
        <f>'6. Ел.Енергия'!J81</f>
        <v>387.19523685636199</v>
      </c>
      <c r="AK17" s="1136">
        <f>'6. Ел.Енергия'!K81</f>
        <v>387.66540248461638</v>
      </c>
      <c r="AL17" s="1136">
        <f>'6. Ел.Енергия'!L81</f>
        <v>388.13624904687413</v>
      </c>
      <c r="AM17" s="1136">
        <f>'6. Ел.Енергия'!M81</f>
        <v>388.60783804313564</v>
      </c>
      <c r="AN17" s="1141">
        <f>'6. Ел.Енергия'!N81</f>
        <v>389.08091190740419</v>
      </c>
      <c r="AO17" s="1249">
        <f t="shared" si="42"/>
        <v>113.77843688895723</v>
      </c>
      <c r="AP17" s="822">
        <f t="shared" si="43"/>
        <v>0.4161355004612784</v>
      </c>
      <c r="AQ17" s="2679">
        <f>'6. Ел.Енергия'!I95</f>
        <v>0.61509005032253827</v>
      </c>
      <c r="AR17" s="1143">
        <f>'6. Ел.Енергия'!J95</f>
        <v>5.3920350202554239</v>
      </c>
      <c r="AS17" s="1133">
        <f>'6. Ел.Енергия'!K95</f>
        <v>5.3920350202554239</v>
      </c>
      <c r="AT17" s="1133">
        <f>'6. Ел.Енергия'!L95</f>
        <v>5.3920350202554239</v>
      </c>
      <c r="AU17" s="1133">
        <f>'6. Ел.Енергия'!M95</f>
        <v>5.3920350202554239</v>
      </c>
      <c r="AV17" s="3116">
        <f>'6. Ел.Енергия'!N95</f>
        <v>5.3920350202554239</v>
      </c>
      <c r="AW17" s="1112">
        <f t="shared" si="101"/>
        <v>2349.801570436563</v>
      </c>
      <c r="AX17" s="1141">
        <f t="shared" si="102"/>
        <v>2968.5698661268248</v>
      </c>
      <c r="AY17" s="1136">
        <f t="shared" si="103"/>
        <v>2931.5557707023809</v>
      </c>
      <c r="AZ17" s="1136">
        <f t="shared" si="104"/>
        <v>2883.7282527671264</v>
      </c>
      <c r="BA17" s="1136">
        <f t="shared" si="105"/>
        <v>2815.6268691965179</v>
      </c>
      <c r="BB17" s="1141">
        <f t="shared" si="106"/>
        <v>2726.7483450123314</v>
      </c>
      <c r="BC17" s="3111">
        <f t="shared" si="107"/>
        <v>1985.1664171581272</v>
      </c>
      <c r="BD17" s="3112">
        <f t="shared" si="108"/>
        <v>2516.6149197062809</v>
      </c>
      <c r="BE17" s="3113">
        <f t="shared" si="109"/>
        <v>2483.9103921915566</v>
      </c>
      <c r="BF17" s="3113">
        <f t="shared" si="110"/>
        <v>2440.3558073143663</v>
      </c>
      <c r="BG17" s="3113">
        <f t="shared" si="111"/>
        <v>2376.4914745342003</v>
      </c>
      <c r="BH17" s="3115">
        <f t="shared" si="112"/>
        <v>2290.3705710267227</v>
      </c>
      <c r="BI17" s="4488"/>
      <c r="BJ17" s="4504">
        <f t="shared" si="46"/>
        <v>875.20368191035129</v>
      </c>
      <c r="BK17" s="4504">
        <f t="shared" si="47"/>
        <v>1088.75499550059</v>
      </c>
      <c r="BL17" s="4504">
        <f t="shared" si="48"/>
        <v>1071.7930442354091</v>
      </c>
      <c r="BM17" s="4504">
        <f t="shared" si="49"/>
        <v>1049.2831985742587</v>
      </c>
      <c r="BN17" s="4504">
        <f t="shared" si="50"/>
        <v>1016.3887641006963</v>
      </c>
      <c r="BO17" s="4504">
        <f t="shared" si="51"/>
        <v>972.11396651003338</v>
      </c>
      <c r="BP17" s="4504">
        <f t="shared" si="52"/>
        <v>213.55131359023869</v>
      </c>
      <c r="BQ17" s="4504">
        <f t="shared" si="53"/>
        <v>5.1740632522200854E-2</v>
      </c>
      <c r="BR17" s="4504">
        <f t="shared" si="54"/>
        <v>8.2220316816031605E-2</v>
      </c>
      <c r="BS17" s="4504">
        <f t="shared" si="55"/>
        <v>8.2220316816031605E-2</v>
      </c>
      <c r="BT17" s="4504">
        <f t="shared" si="56"/>
        <v>8.2220316816031605E-2</v>
      </c>
      <c r="BU17" s="4504">
        <f t="shared" si="57"/>
        <v>8.2220316816031605E-2</v>
      </c>
      <c r="BV17" s="4504">
        <f t="shared" si="58"/>
        <v>8.2220316816031605E-2</v>
      </c>
      <c r="BW17" s="4504">
        <f t="shared" si="59"/>
        <v>3.0479684293830762E-2</v>
      </c>
      <c r="BX17" s="4504">
        <f t="shared" si="60"/>
        <v>186.38325283748091</v>
      </c>
      <c r="BY17" s="4504">
        <f t="shared" si="61"/>
        <v>230.99867445447998</v>
      </c>
      <c r="BZ17" s="4504">
        <f t="shared" si="62"/>
        <v>228.79522737077653</v>
      </c>
      <c r="CA17" s="4504">
        <f t="shared" si="63"/>
        <v>226.61051138929355</v>
      </c>
      <c r="CB17" s="4504">
        <f t="shared" si="64"/>
        <v>224.44414171992406</v>
      </c>
      <c r="CC17" s="4504">
        <f t="shared" si="65"/>
        <v>223.0341926565041</v>
      </c>
      <c r="CD17" s="4504">
        <f t="shared" si="66"/>
        <v>44.615421616999065</v>
      </c>
      <c r="CE17" s="4504">
        <f t="shared" si="67"/>
        <v>0</v>
      </c>
      <c r="CF17" s="4504">
        <f t="shared" si="68"/>
        <v>0</v>
      </c>
      <c r="CG17" s="4504">
        <f t="shared" si="69"/>
        <v>0</v>
      </c>
      <c r="CH17" s="4504">
        <f t="shared" si="70"/>
        <v>0</v>
      </c>
      <c r="CI17" s="4504">
        <f t="shared" si="71"/>
        <v>0</v>
      </c>
      <c r="CJ17" s="4504">
        <f t="shared" si="72"/>
        <v>0</v>
      </c>
      <c r="CK17" s="4504">
        <f t="shared" si="73"/>
        <v>0</v>
      </c>
      <c r="CL17" s="4504">
        <f t="shared" si="74"/>
        <v>139.79579000598454</v>
      </c>
      <c r="CM17" s="4504">
        <f t="shared" si="75"/>
        <v>197.96978104250471</v>
      </c>
      <c r="CN17" s="4504">
        <f t="shared" si="76"/>
        <v>198.21017291104872</v>
      </c>
      <c r="CO17" s="4504">
        <f t="shared" si="77"/>
        <v>198.45091293562024</v>
      </c>
      <c r="CP17" s="4504">
        <f t="shared" si="78"/>
        <v>198.69203256067024</v>
      </c>
      <c r="CQ17" s="4504">
        <f t="shared" si="79"/>
        <v>198.93391138667687</v>
      </c>
      <c r="CR17" s="4504">
        <f t="shared" si="80"/>
        <v>58.173991036520164</v>
      </c>
      <c r="CS17" s="4504">
        <f t="shared" si="81"/>
        <v>0.3144905489344873</v>
      </c>
      <c r="CT17" s="4504">
        <f t="shared" si="82"/>
        <v>2.756903728982286</v>
      </c>
      <c r="CU17" s="4504">
        <f t="shared" si="83"/>
        <v>2.756903728982286</v>
      </c>
      <c r="CV17" s="4504">
        <f t="shared" si="84"/>
        <v>2.756903728982286</v>
      </c>
      <c r="CW17" s="4504">
        <f t="shared" si="85"/>
        <v>2.756903728982286</v>
      </c>
      <c r="CX17" s="4504">
        <f t="shared" si="86"/>
        <v>2.756903728982286</v>
      </c>
      <c r="CY17" s="4504">
        <f t="shared" si="87"/>
        <v>1201.4344653863388</v>
      </c>
      <c r="CZ17" s="4504">
        <f t="shared" si="88"/>
        <v>1517.8056713143908</v>
      </c>
      <c r="DA17" s="4504">
        <f t="shared" si="89"/>
        <v>1498.8806648340505</v>
      </c>
      <c r="DB17" s="4504">
        <f t="shared" si="90"/>
        <v>1474.4268432159884</v>
      </c>
      <c r="DC17" s="4504">
        <f t="shared" si="91"/>
        <v>1439.6071586981066</v>
      </c>
      <c r="DD17" s="4504">
        <f t="shared" si="92"/>
        <v>1394.1642908700303</v>
      </c>
      <c r="DE17" s="4504">
        <f t="shared" si="93"/>
        <v>1014.9994719163359</v>
      </c>
      <c r="DF17" s="4504">
        <f t="shared" si="94"/>
        <v>1286.7247765430948</v>
      </c>
      <c r="DG17" s="4504">
        <f t="shared" si="95"/>
        <v>1270.0032171464579</v>
      </c>
      <c r="DH17" s="4504">
        <f t="shared" si="96"/>
        <v>1247.7341115098789</v>
      </c>
      <c r="DI17" s="4504">
        <f t="shared" si="97"/>
        <v>1215.0807966613665</v>
      </c>
      <c r="DJ17" s="4504">
        <f t="shared" si="98"/>
        <v>1171.0478778967101</v>
      </c>
    </row>
    <row r="18" spans="1:114" ht="13.2">
      <c r="A18" s="838" t="s">
        <v>93</v>
      </c>
      <c r="B18" s="896" t="s">
        <v>233</v>
      </c>
      <c r="C18" s="1185">
        <f t="shared" ref="C18:X18" si="113">SUM(C19:C21)</f>
        <v>244.33163169437893</v>
      </c>
      <c r="D18" s="1134">
        <f t="shared" si="113"/>
        <v>255.96310487885268</v>
      </c>
      <c r="E18" s="1135">
        <f t="shared" si="113"/>
        <v>252.96298789062826</v>
      </c>
      <c r="F18" s="1135">
        <f t="shared" si="113"/>
        <v>251.49325077401238</v>
      </c>
      <c r="G18" s="1149">
        <f t="shared" si="113"/>
        <v>250.27683591989538</v>
      </c>
      <c r="H18" s="1149">
        <f t="shared" si="113"/>
        <v>248.12892392311574</v>
      </c>
      <c r="I18" s="1250">
        <f t="shared" si="34"/>
        <v>11.631473184473748</v>
      </c>
      <c r="J18" s="711">
        <f t="shared" si="35"/>
        <v>4.7605269542107108E-2</v>
      </c>
      <c r="K18" s="1185">
        <f t="shared" si="113"/>
        <v>17.064241313553886</v>
      </c>
      <c r="L18" s="1134">
        <f t="shared" si="113"/>
        <v>18.809073606673977</v>
      </c>
      <c r="M18" s="1135">
        <f t="shared" si="113"/>
        <v>18.651489606673977</v>
      </c>
      <c r="N18" s="1135">
        <f t="shared" si="113"/>
        <v>18.490859327262211</v>
      </c>
      <c r="O18" s="1149">
        <f t="shared" si="113"/>
        <v>18.608292660595545</v>
      </c>
      <c r="P18" s="1149">
        <f t="shared" si="113"/>
        <v>18.309399047850448</v>
      </c>
      <c r="Q18" s="1250">
        <f t="shared" si="36"/>
        <v>1.7448322931200906</v>
      </c>
      <c r="R18" s="878">
        <f t="shared" si="37"/>
        <v>0.10225079809051897</v>
      </c>
      <c r="S18" s="1185">
        <f t="shared" si="113"/>
        <v>13.269015937379905</v>
      </c>
      <c r="T18" s="1134">
        <f t="shared" si="113"/>
        <v>15.307459246804168</v>
      </c>
      <c r="U18" s="1135">
        <f t="shared" si="113"/>
        <v>15.597522668372795</v>
      </c>
      <c r="V18" s="1135">
        <f t="shared" si="113"/>
        <v>15.57850819778456</v>
      </c>
      <c r="W18" s="1149">
        <f t="shared" si="113"/>
        <v>15.288444776215933</v>
      </c>
      <c r="X18" s="1149">
        <f t="shared" si="113"/>
        <v>15.827373599745345</v>
      </c>
      <c r="Y18" s="1250">
        <f t="shared" si="38"/>
        <v>2.0384433094242631</v>
      </c>
      <c r="Z18" s="878">
        <f t="shared" si="39"/>
        <v>0.15362430183551151</v>
      </c>
      <c r="AA18" s="1185">
        <f>SUM(AA19:AA21)</f>
        <v>0</v>
      </c>
      <c r="AB18" s="1134">
        <f t="shared" ref="AB18:AV18" si="114">SUM(AB19:AB21)</f>
        <v>0</v>
      </c>
      <c r="AC18" s="1135">
        <f t="shared" si="114"/>
        <v>0</v>
      </c>
      <c r="AD18" s="1135">
        <f t="shared" si="114"/>
        <v>0</v>
      </c>
      <c r="AE18" s="1149">
        <f t="shared" si="114"/>
        <v>0</v>
      </c>
      <c r="AF18" s="1149">
        <f t="shared" si="114"/>
        <v>0</v>
      </c>
      <c r="AG18" s="1250">
        <f t="shared" si="40"/>
        <v>0</v>
      </c>
      <c r="AH18" s="711">
        <f t="shared" si="41"/>
        <v>0</v>
      </c>
      <c r="AI18" s="1185">
        <f t="shared" si="114"/>
        <v>44.20595267617972</v>
      </c>
      <c r="AJ18" s="1134">
        <f t="shared" si="114"/>
        <v>53.611273328894029</v>
      </c>
      <c r="AK18" s="1135">
        <f t="shared" si="114"/>
        <v>54.135702032771817</v>
      </c>
      <c r="AL18" s="1135">
        <f t="shared" si="114"/>
        <v>54.753055030414615</v>
      </c>
      <c r="AM18" s="1149">
        <f t="shared" si="114"/>
        <v>55.284064376543526</v>
      </c>
      <c r="AN18" s="1149">
        <f t="shared" si="114"/>
        <v>55.913044973039277</v>
      </c>
      <c r="AO18" s="1250">
        <f t="shared" si="42"/>
        <v>9.4053206527143089</v>
      </c>
      <c r="AP18" s="711">
        <f t="shared" si="43"/>
        <v>0.21276140617556116</v>
      </c>
      <c r="AQ18" s="1185">
        <f t="shared" si="114"/>
        <v>8.0771383785074899</v>
      </c>
      <c r="AR18" s="1134">
        <f t="shared" si="114"/>
        <v>8.8848522163582402</v>
      </c>
      <c r="AS18" s="1135">
        <f t="shared" si="114"/>
        <v>8.8848522163582402</v>
      </c>
      <c r="AT18" s="1135">
        <f t="shared" si="114"/>
        <v>8.8848522163582402</v>
      </c>
      <c r="AU18" s="1149">
        <f t="shared" si="114"/>
        <v>8.8848522163582402</v>
      </c>
      <c r="AV18" s="3101">
        <f t="shared" si="114"/>
        <v>8.8848522163582402</v>
      </c>
      <c r="AW18" s="1185">
        <f t="shared" ref="AW18:BB18" si="115">SUM(AW19:AW21)</f>
        <v>318.87084162149245</v>
      </c>
      <c r="AX18" s="1134">
        <f t="shared" si="115"/>
        <v>343.69091106122488</v>
      </c>
      <c r="AY18" s="1135">
        <f t="shared" si="115"/>
        <v>341.34770219844688</v>
      </c>
      <c r="AZ18" s="1135">
        <f t="shared" si="115"/>
        <v>340.31567332947384</v>
      </c>
      <c r="BA18" s="1149">
        <f t="shared" si="115"/>
        <v>339.45763773325041</v>
      </c>
      <c r="BB18" s="1149">
        <f t="shared" si="115"/>
        <v>338.17874154375085</v>
      </c>
      <c r="BC18" s="1185">
        <f t="shared" ref="BC18:BH18" si="116">SUM(BC19:BC21)</f>
        <v>288.53758437055865</v>
      </c>
      <c r="BD18" s="1134">
        <f t="shared" si="116"/>
        <v>309.57437820774669</v>
      </c>
      <c r="BE18" s="1135">
        <f t="shared" si="116"/>
        <v>307.09868992340012</v>
      </c>
      <c r="BF18" s="1135">
        <f t="shared" si="116"/>
        <v>306.24630580442704</v>
      </c>
      <c r="BG18" s="1149">
        <f t="shared" si="116"/>
        <v>305.56090029643894</v>
      </c>
      <c r="BH18" s="3101">
        <f t="shared" si="116"/>
        <v>304.04196889615503</v>
      </c>
      <c r="BI18" s="4488"/>
      <c r="BJ18" s="4504">
        <f t="shared" si="46"/>
        <v>124.9247796047606</v>
      </c>
      <c r="BK18" s="4504">
        <f t="shared" si="47"/>
        <v>130.87185741033355</v>
      </c>
      <c r="BL18" s="4504">
        <f t="shared" si="48"/>
        <v>129.33792195161556</v>
      </c>
      <c r="BM18" s="4504">
        <f t="shared" si="49"/>
        <v>128.58645729639713</v>
      </c>
      <c r="BN18" s="4504">
        <f t="shared" si="50"/>
        <v>127.96451425732062</v>
      </c>
      <c r="BO18" s="4504">
        <f t="shared" si="51"/>
        <v>126.86630429184322</v>
      </c>
      <c r="BP18" s="4504">
        <f t="shared" si="52"/>
        <v>5.9470778055729525</v>
      </c>
      <c r="BQ18" s="4504">
        <f t="shared" si="53"/>
        <v>8.7248080423931977</v>
      </c>
      <c r="BR18" s="4504">
        <f t="shared" si="54"/>
        <v>9.6169266279144789</v>
      </c>
      <c r="BS18" s="4504">
        <f t="shared" si="55"/>
        <v>9.5363552081080556</v>
      </c>
      <c r="BT18" s="4504">
        <f t="shared" si="56"/>
        <v>9.4542262503705388</v>
      </c>
      <c r="BU18" s="4504">
        <f t="shared" si="57"/>
        <v>9.5142689602856816</v>
      </c>
      <c r="BV18" s="4504">
        <f t="shared" si="58"/>
        <v>9.3614470827477074</v>
      </c>
      <c r="BW18" s="4504">
        <f t="shared" si="59"/>
        <v>0.89211858552128287</v>
      </c>
      <c r="BX18" s="4504">
        <f t="shared" si="60"/>
        <v>6.7843401202455764</v>
      </c>
      <c r="BY18" s="4504">
        <f t="shared" si="61"/>
        <v>7.826579634632953</v>
      </c>
      <c r="BZ18" s="4504">
        <f t="shared" si="62"/>
        <v>7.9748867071129883</v>
      </c>
      <c r="CA18" s="4504">
        <f t="shared" si="63"/>
        <v>7.9651647626759789</v>
      </c>
      <c r="CB18" s="4504">
        <f t="shared" si="64"/>
        <v>7.8168576901959437</v>
      </c>
      <c r="CC18" s="4504">
        <f t="shared" si="65"/>
        <v>8.0924076222091621</v>
      </c>
      <c r="CD18" s="4504">
        <f t="shared" si="66"/>
        <v>1.0422395143873768</v>
      </c>
      <c r="CE18" s="4504">
        <f t="shared" si="67"/>
        <v>0</v>
      </c>
      <c r="CF18" s="4504">
        <f t="shared" si="68"/>
        <v>0</v>
      </c>
      <c r="CG18" s="4504">
        <f t="shared" si="69"/>
        <v>0</v>
      </c>
      <c r="CH18" s="4504">
        <f t="shared" si="70"/>
        <v>0</v>
      </c>
      <c r="CI18" s="4504">
        <f t="shared" si="71"/>
        <v>0</v>
      </c>
      <c r="CJ18" s="4504">
        <f t="shared" si="72"/>
        <v>0</v>
      </c>
      <c r="CK18" s="4504">
        <f t="shared" si="73"/>
        <v>0</v>
      </c>
      <c r="CL18" s="4504">
        <f t="shared" si="74"/>
        <v>22.602144703874938</v>
      </c>
      <c r="CM18" s="4504">
        <f t="shared" si="75"/>
        <v>27.411008793654883</v>
      </c>
      <c r="CN18" s="4504">
        <f t="shared" si="76"/>
        <v>27.679144932213852</v>
      </c>
      <c r="CO18" s="4504">
        <f t="shared" si="77"/>
        <v>27.994792507740762</v>
      </c>
      <c r="CP18" s="4504">
        <f t="shared" si="78"/>
        <v>28.266293275255787</v>
      </c>
      <c r="CQ18" s="4504">
        <f t="shared" si="79"/>
        <v>28.587885947674021</v>
      </c>
      <c r="CR18" s="4504">
        <f t="shared" si="80"/>
        <v>4.8088640897799451</v>
      </c>
      <c r="CS18" s="4504">
        <f t="shared" si="81"/>
        <v>4.1297752762292683</v>
      </c>
      <c r="CT18" s="4504">
        <f t="shared" si="82"/>
        <v>4.5427528038521956</v>
      </c>
      <c r="CU18" s="4504">
        <f t="shared" si="83"/>
        <v>4.5427528038521956</v>
      </c>
      <c r="CV18" s="4504">
        <f t="shared" si="84"/>
        <v>4.5427528038521956</v>
      </c>
      <c r="CW18" s="4504">
        <f t="shared" si="85"/>
        <v>4.5427528038521956</v>
      </c>
      <c r="CX18" s="4504">
        <f t="shared" si="86"/>
        <v>4.5427528038521956</v>
      </c>
      <c r="CY18" s="4504">
        <f t="shared" si="87"/>
        <v>163.03607247127431</v>
      </c>
      <c r="CZ18" s="4504">
        <f t="shared" si="88"/>
        <v>175.72637246653588</v>
      </c>
      <c r="DA18" s="4504">
        <f t="shared" si="89"/>
        <v>174.52830879905048</v>
      </c>
      <c r="DB18" s="4504">
        <f t="shared" si="90"/>
        <v>174.00064081718443</v>
      </c>
      <c r="DC18" s="4504">
        <f t="shared" si="91"/>
        <v>173.56193418305804</v>
      </c>
      <c r="DD18" s="4504">
        <f t="shared" si="92"/>
        <v>172.90804494447414</v>
      </c>
      <c r="DE18" s="4504">
        <f t="shared" si="93"/>
        <v>147.52692430863553</v>
      </c>
      <c r="DF18" s="4504">
        <f t="shared" si="94"/>
        <v>158.28286620398842</v>
      </c>
      <c r="DG18" s="4504">
        <f t="shared" si="95"/>
        <v>157.01706688382944</v>
      </c>
      <c r="DH18" s="4504">
        <f t="shared" si="96"/>
        <v>156.58124980413791</v>
      </c>
      <c r="DI18" s="4504">
        <f t="shared" si="97"/>
        <v>156.23080753257642</v>
      </c>
      <c r="DJ18" s="4504">
        <f t="shared" si="98"/>
        <v>155.45419023951726</v>
      </c>
    </row>
    <row r="19" spans="1:114" s="683" customFormat="1" ht="13.2">
      <c r="A19" s="839" t="s">
        <v>234</v>
      </c>
      <c r="B19" s="3914" t="s">
        <v>235</v>
      </c>
      <c r="C19" s="3070">
        <v>0</v>
      </c>
      <c r="D19" s="3071">
        <v>0</v>
      </c>
      <c r="E19" s="3071">
        <v>0</v>
      </c>
      <c r="F19" s="3071">
        <v>0</v>
      </c>
      <c r="G19" s="3071">
        <v>0</v>
      </c>
      <c r="H19" s="3072">
        <v>0</v>
      </c>
      <c r="I19" s="1251">
        <f t="shared" si="34"/>
        <v>0</v>
      </c>
      <c r="J19" s="1209">
        <f t="shared" si="35"/>
        <v>0</v>
      </c>
      <c r="K19" s="3070">
        <v>0</v>
      </c>
      <c r="L19" s="3071">
        <v>0</v>
      </c>
      <c r="M19" s="3071">
        <v>0</v>
      </c>
      <c r="N19" s="3071">
        <v>0</v>
      </c>
      <c r="O19" s="3071">
        <v>0</v>
      </c>
      <c r="P19" s="3072">
        <v>0</v>
      </c>
      <c r="Q19" s="1251">
        <f t="shared" si="36"/>
        <v>0</v>
      </c>
      <c r="R19" s="1205">
        <f t="shared" si="37"/>
        <v>0</v>
      </c>
      <c r="S19" s="3070">
        <v>0</v>
      </c>
      <c r="T19" s="3071">
        <v>0</v>
      </c>
      <c r="U19" s="3071">
        <v>0</v>
      </c>
      <c r="V19" s="3071">
        <v>0</v>
      </c>
      <c r="W19" s="3071">
        <v>0</v>
      </c>
      <c r="X19" s="3072">
        <v>0</v>
      </c>
      <c r="Y19" s="1251">
        <f t="shared" si="38"/>
        <v>0</v>
      </c>
      <c r="Z19" s="1205">
        <f t="shared" si="39"/>
        <v>0</v>
      </c>
      <c r="AA19" s="3070"/>
      <c r="AB19" s="3071"/>
      <c r="AC19" s="3071"/>
      <c r="AD19" s="3071"/>
      <c r="AE19" s="3071"/>
      <c r="AF19" s="3072"/>
      <c r="AG19" s="1251">
        <f t="shared" si="40"/>
        <v>0</v>
      </c>
      <c r="AH19" s="1209">
        <f t="shared" si="41"/>
        <v>0</v>
      </c>
      <c r="AI19" s="3070">
        <v>0</v>
      </c>
      <c r="AJ19" s="3071">
        <v>0</v>
      </c>
      <c r="AK19" s="3071">
        <v>0</v>
      </c>
      <c r="AL19" s="3071">
        <v>0</v>
      </c>
      <c r="AM19" s="3071">
        <v>0</v>
      </c>
      <c r="AN19" s="3072">
        <v>0</v>
      </c>
      <c r="AO19" s="1251">
        <f t="shared" si="42"/>
        <v>0</v>
      </c>
      <c r="AP19" s="1209">
        <f t="shared" si="43"/>
        <v>0</v>
      </c>
      <c r="AQ19" s="3070">
        <v>0</v>
      </c>
      <c r="AR19" s="3071">
        <v>0</v>
      </c>
      <c r="AS19" s="3071">
        <v>0</v>
      </c>
      <c r="AT19" s="3071">
        <v>0</v>
      </c>
      <c r="AU19" s="3071">
        <v>0</v>
      </c>
      <c r="AV19" s="3100">
        <v>0</v>
      </c>
      <c r="AW19" s="1112">
        <f t="shared" ref="AW19:AW24" si="117">C19+K19+S19+AA19+AI19</f>
        <v>0</v>
      </c>
      <c r="AX19" s="3090">
        <f t="shared" ref="AX19:AX24" si="118">D19+L19+T19+AB19+AJ19</f>
        <v>0</v>
      </c>
      <c r="AY19" s="3090">
        <f t="shared" ref="AY19:AY24" si="119">E19+M19+U19+AC19+AK19</f>
        <v>0</v>
      </c>
      <c r="AZ19" s="3090">
        <f t="shared" ref="AZ19:AZ24" si="120">F19+N19+V19+AD19+AL19</f>
        <v>0</v>
      </c>
      <c r="BA19" s="3090">
        <f t="shared" ref="BA19:BA24" si="121">G19+O19+W19+AE19+AM19</f>
        <v>0</v>
      </c>
      <c r="BB19" s="3091">
        <f t="shared" ref="BB19:BB24" si="122">H19+P19+X19+AF19+AN19</f>
        <v>0</v>
      </c>
      <c r="BC19" s="3111">
        <f t="shared" ref="BC19:BC24" si="123">C19+AA19+AI19</f>
        <v>0</v>
      </c>
      <c r="BD19" s="3112">
        <f t="shared" ref="BD19:BD24" si="124">D19+AB19+AJ19</f>
        <v>0</v>
      </c>
      <c r="BE19" s="3113">
        <f t="shared" ref="BE19:BE24" si="125">E19+AC19+AK19</f>
        <v>0</v>
      </c>
      <c r="BF19" s="3113">
        <f t="shared" ref="BF19:BF24" si="126">F19+AD19+AL19</f>
        <v>0</v>
      </c>
      <c r="BG19" s="3113">
        <f t="shared" ref="BG19:BG24" si="127">G19+AE19+AM19</f>
        <v>0</v>
      </c>
      <c r="BH19" s="3115">
        <f t="shared" ref="BH19:BH24" si="128">H19+AF19+AN19</f>
        <v>0</v>
      </c>
      <c r="BI19" s="4488"/>
      <c r="BJ19" s="4504">
        <f t="shared" si="46"/>
        <v>0</v>
      </c>
      <c r="BK19" s="4504">
        <f t="shared" si="47"/>
        <v>0</v>
      </c>
      <c r="BL19" s="4504">
        <f t="shared" si="48"/>
        <v>0</v>
      </c>
      <c r="BM19" s="4504">
        <f t="shared" si="49"/>
        <v>0</v>
      </c>
      <c r="BN19" s="4504">
        <f t="shared" si="50"/>
        <v>0</v>
      </c>
      <c r="BO19" s="4504">
        <f t="shared" si="51"/>
        <v>0</v>
      </c>
      <c r="BP19" s="4504">
        <f t="shared" si="52"/>
        <v>0</v>
      </c>
      <c r="BQ19" s="4504">
        <f t="shared" si="53"/>
        <v>0</v>
      </c>
      <c r="BR19" s="4504">
        <f t="shared" si="54"/>
        <v>0</v>
      </c>
      <c r="BS19" s="4504">
        <f t="shared" si="55"/>
        <v>0</v>
      </c>
      <c r="BT19" s="4504">
        <f t="shared" si="56"/>
        <v>0</v>
      </c>
      <c r="BU19" s="4504">
        <f t="shared" si="57"/>
        <v>0</v>
      </c>
      <c r="BV19" s="4504">
        <f t="shared" si="58"/>
        <v>0</v>
      </c>
      <c r="BW19" s="4504">
        <f t="shared" si="59"/>
        <v>0</v>
      </c>
      <c r="BX19" s="4504">
        <f t="shared" si="60"/>
        <v>0</v>
      </c>
      <c r="BY19" s="4504">
        <f t="shared" si="61"/>
        <v>0</v>
      </c>
      <c r="BZ19" s="4504">
        <f t="shared" si="62"/>
        <v>0</v>
      </c>
      <c r="CA19" s="4504">
        <f t="shared" si="63"/>
        <v>0</v>
      </c>
      <c r="CB19" s="4504">
        <f t="shared" si="64"/>
        <v>0</v>
      </c>
      <c r="CC19" s="4504">
        <f t="shared" si="65"/>
        <v>0</v>
      </c>
      <c r="CD19" s="4504">
        <f t="shared" si="66"/>
        <v>0</v>
      </c>
      <c r="CE19" s="4504">
        <f t="shared" si="67"/>
        <v>0</v>
      </c>
      <c r="CF19" s="4504">
        <f t="shared" si="68"/>
        <v>0</v>
      </c>
      <c r="CG19" s="4504">
        <f t="shared" si="69"/>
        <v>0</v>
      </c>
      <c r="CH19" s="4504">
        <f t="shared" si="70"/>
        <v>0</v>
      </c>
      <c r="CI19" s="4504">
        <f t="shared" si="71"/>
        <v>0</v>
      </c>
      <c r="CJ19" s="4504">
        <f t="shared" si="72"/>
        <v>0</v>
      </c>
      <c r="CK19" s="4504">
        <f t="shared" si="73"/>
        <v>0</v>
      </c>
      <c r="CL19" s="4504">
        <f t="shared" si="74"/>
        <v>0</v>
      </c>
      <c r="CM19" s="4504">
        <f t="shared" si="75"/>
        <v>0</v>
      </c>
      <c r="CN19" s="4504">
        <f t="shared" si="76"/>
        <v>0</v>
      </c>
      <c r="CO19" s="4504">
        <f t="shared" si="77"/>
        <v>0</v>
      </c>
      <c r="CP19" s="4504">
        <f t="shared" si="78"/>
        <v>0</v>
      </c>
      <c r="CQ19" s="4504">
        <f t="shared" si="79"/>
        <v>0</v>
      </c>
      <c r="CR19" s="4504">
        <f t="shared" si="80"/>
        <v>0</v>
      </c>
      <c r="CS19" s="4504">
        <f t="shared" si="81"/>
        <v>0</v>
      </c>
      <c r="CT19" s="4504">
        <f t="shared" si="82"/>
        <v>0</v>
      </c>
      <c r="CU19" s="4504">
        <f t="shared" si="83"/>
        <v>0</v>
      </c>
      <c r="CV19" s="4504">
        <f t="shared" si="84"/>
        <v>0</v>
      </c>
      <c r="CW19" s="4504">
        <f t="shared" si="85"/>
        <v>0</v>
      </c>
      <c r="CX19" s="4504">
        <f t="shared" si="86"/>
        <v>0</v>
      </c>
      <c r="CY19" s="4504">
        <f t="shared" si="87"/>
        <v>0</v>
      </c>
      <c r="CZ19" s="4504">
        <f t="shared" si="88"/>
        <v>0</v>
      </c>
      <c r="DA19" s="4504">
        <f t="shared" si="89"/>
        <v>0</v>
      </c>
      <c r="DB19" s="4504">
        <f t="shared" si="90"/>
        <v>0</v>
      </c>
      <c r="DC19" s="4504">
        <f t="shared" si="91"/>
        <v>0</v>
      </c>
      <c r="DD19" s="4504">
        <f t="shared" si="92"/>
        <v>0</v>
      </c>
      <c r="DE19" s="4504">
        <f t="shared" si="93"/>
        <v>0</v>
      </c>
      <c r="DF19" s="4504">
        <f t="shared" si="94"/>
        <v>0</v>
      </c>
      <c r="DG19" s="4504">
        <f t="shared" si="95"/>
        <v>0</v>
      </c>
      <c r="DH19" s="4504">
        <f t="shared" si="96"/>
        <v>0</v>
      </c>
      <c r="DI19" s="4504">
        <f t="shared" si="97"/>
        <v>0</v>
      </c>
      <c r="DJ19" s="4504">
        <f t="shared" si="98"/>
        <v>0</v>
      </c>
    </row>
    <row r="20" spans="1:114" s="683" customFormat="1" ht="13.2">
      <c r="A20" s="839" t="s">
        <v>436</v>
      </c>
      <c r="B20" s="3914" t="s">
        <v>1219</v>
      </c>
      <c r="C20" s="3070">
        <v>89.716528239874478</v>
      </c>
      <c r="D20" s="3071">
        <v>98.688181063861919</v>
      </c>
      <c r="E20" s="3071">
        <v>98.688181063861919</v>
      </c>
      <c r="F20" s="3071">
        <v>98.688181063861919</v>
      </c>
      <c r="G20" s="3071">
        <v>98.688181063861919</v>
      </c>
      <c r="H20" s="3072">
        <v>98.688181063861919</v>
      </c>
      <c r="I20" s="1251">
        <f t="shared" si="34"/>
        <v>8.9716528239874407</v>
      </c>
      <c r="J20" s="1209">
        <f t="shared" si="35"/>
        <v>9.9999999999999922E-2</v>
      </c>
      <c r="K20" s="3070">
        <v>10.276901313553884</v>
      </c>
      <c r="L20" s="3071">
        <v>11.304591444909271</v>
      </c>
      <c r="M20" s="3071">
        <v>11.304591444909271</v>
      </c>
      <c r="N20" s="3071">
        <v>11.304591444909271</v>
      </c>
      <c r="O20" s="3071">
        <v>11.304591444909271</v>
      </c>
      <c r="P20" s="3072">
        <v>11.304591444909271</v>
      </c>
      <c r="Q20" s="1251">
        <f t="shared" si="36"/>
        <v>1.0276901313553868</v>
      </c>
      <c r="R20" s="1205">
        <f t="shared" si="37"/>
        <v>9.9999999999999839E-2</v>
      </c>
      <c r="S20" s="3070">
        <v>11.649005937379904</v>
      </c>
      <c r="T20" s="3071">
        <v>13.263906531117893</v>
      </c>
      <c r="U20" s="3071">
        <v>13.263906531117893</v>
      </c>
      <c r="V20" s="3071">
        <v>13.263906531117893</v>
      </c>
      <c r="W20" s="3071">
        <v>13.263906531117893</v>
      </c>
      <c r="X20" s="3072">
        <v>13.263906531117893</v>
      </c>
      <c r="Y20" s="1251">
        <f t="shared" si="38"/>
        <v>1.614900593737989</v>
      </c>
      <c r="Z20" s="1205">
        <f t="shared" si="39"/>
        <v>0.13862990562619737</v>
      </c>
      <c r="AA20" s="3070"/>
      <c r="AB20" s="3071"/>
      <c r="AC20" s="3071"/>
      <c r="AD20" s="3071"/>
      <c r="AE20" s="3071"/>
      <c r="AF20" s="3072"/>
      <c r="AG20" s="1251">
        <f t="shared" si="40"/>
        <v>0</v>
      </c>
      <c r="AH20" s="1209">
        <f t="shared" si="41"/>
        <v>0</v>
      </c>
      <c r="AI20" s="3070">
        <v>33.984746130684158</v>
      </c>
      <c r="AJ20" s="3071">
        <v>37.383220743752574</v>
      </c>
      <c r="AK20" s="3071">
        <v>37.383220743752574</v>
      </c>
      <c r="AL20" s="3071">
        <v>37.383220743752574</v>
      </c>
      <c r="AM20" s="3071">
        <v>37.383220743752574</v>
      </c>
      <c r="AN20" s="3072">
        <v>37.383220743752574</v>
      </c>
      <c r="AO20" s="1251">
        <f t="shared" si="42"/>
        <v>3.3984746130684158</v>
      </c>
      <c r="AP20" s="1209">
        <f t="shared" si="43"/>
        <v>0.1</v>
      </c>
      <c r="AQ20" s="3070">
        <v>8.0771383785074899</v>
      </c>
      <c r="AR20" s="3071">
        <v>8.8848522163582402</v>
      </c>
      <c r="AS20" s="3071">
        <v>8.8848522163582402</v>
      </c>
      <c r="AT20" s="3071">
        <v>8.8848522163582402</v>
      </c>
      <c r="AU20" s="3071">
        <v>8.8848522163582402</v>
      </c>
      <c r="AV20" s="3100">
        <v>8.8848522163582402</v>
      </c>
      <c r="AW20" s="1112">
        <f t="shared" si="117"/>
        <v>145.62718162149241</v>
      </c>
      <c r="AX20" s="3090">
        <f t="shared" si="118"/>
        <v>160.63989978364168</v>
      </c>
      <c r="AY20" s="3090">
        <f t="shared" si="119"/>
        <v>160.63989978364168</v>
      </c>
      <c r="AZ20" s="3090">
        <f t="shared" si="120"/>
        <v>160.63989978364168</v>
      </c>
      <c r="BA20" s="3090">
        <f t="shared" si="121"/>
        <v>160.63989978364168</v>
      </c>
      <c r="BB20" s="3091">
        <f t="shared" si="122"/>
        <v>160.63989978364168</v>
      </c>
      <c r="BC20" s="3111">
        <f t="shared" si="123"/>
        <v>123.70127437055864</v>
      </c>
      <c r="BD20" s="3112">
        <f t="shared" si="124"/>
        <v>136.07140180761451</v>
      </c>
      <c r="BE20" s="3113">
        <f t="shared" si="125"/>
        <v>136.07140180761451</v>
      </c>
      <c r="BF20" s="3113">
        <f t="shared" si="126"/>
        <v>136.07140180761451</v>
      </c>
      <c r="BG20" s="3113">
        <f t="shared" si="127"/>
        <v>136.07140180761451</v>
      </c>
      <c r="BH20" s="3115">
        <f t="shared" si="128"/>
        <v>136.07140180761451</v>
      </c>
      <c r="BI20" s="4488"/>
      <c r="BJ20" s="4504">
        <f t="shared" si="46"/>
        <v>45.871332498159084</v>
      </c>
      <c r="BK20" s="4504">
        <f t="shared" si="47"/>
        <v>50.458465747974991</v>
      </c>
      <c r="BL20" s="4504">
        <f t="shared" si="48"/>
        <v>50.458465747974991</v>
      </c>
      <c r="BM20" s="4504">
        <f t="shared" si="49"/>
        <v>50.458465747974991</v>
      </c>
      <c r="BN20" s="4504">
        <f t="shared" si="50"/>
        <v>50.458465747974991</v>
      </c>
      <c r="BO20" s="4504">
        <f t="shared" si="51"/>
        <v>50.458465747974991</v>
      </c>
      <c r="BP20" s="4504">
        <f t="shared" si="52"/>
        <v>4.5871332498159045</v>
      </c>
      <c r="BQ20" s="4504">
        <f t="shared" si="53"/>
        <v>5.2544962054748545</v>
      </c>
      <c r="BR20" s="4504">
        <f t="shared" si="54"/>
        <v>5.7799458260223391</v>
      </c>
      <c r="BS20" s="4504">
        <f t="shared" si="55"/>
        <v>5.7799458260223391</v>
      </c>
      <c r="BT20" s="4504">
        <f t="shared" si="56"/>
        <v>5.7799458260223391</v>
      </c>
      <c r="BU20" s="4504">
        <f t="shared" si="57"/>
        <v>5.7799458260223391</v>
      </c>
      <c r="BV20" s="4504">
        <f t="shared" si="58"/>
        <v>5.7799458260223391</v>
      </c>
      <c r="BW20" s="4504">
        <f t="shared" si="59"/>
        <v>0.52544962054748456</v>
      </c>
      <c r="BX20" s="4504">
        <f t="shared" si="60"/>
        <v>5.9560421597888897</v>
      </c>
      <c r="BY20" s="4504">
        <f t="shared" si="61"/>
        <v>6.7817277223060763</v>
      </c>
      <c r="BZ20" s="4504">
        <f t="shared" si="62"/>
        <v>6.7817277223060763</v>
      </c>
      <c r="CA20" s="4504">
        <f t="shared" si="63"/>
        <v>6.7817277223060763</v>
      </c>
      <c r="CB20" s="4504">
        <f t="shared" si="64"/>
        <v>6.7817277223060763</v>
      </c>
      <c r="CC20" s="4504">
        <f t="shared" si="65"/>
        <v>6.7817277223060763</v>
      </c>
      <c r="CD20" s="4504">
        <f t="shared" si="66"/>
        <v>0.82568556251718661</v>
      </c>
      <c r="CE20" s="4504">
        <f t="shared" si="67"/>
        <v>0</v>
      </c>
      <c r="CF20" s="4504">
        <f t="shared" si="68"/>
        <v>0</v>
      </c>
      <c r="CG20" s="4504">
        <f t="shared" si="69"/>
        <v>0</v>
      </c>
      <c r="CH20" s="4504">
        <f t="shared" si="70"/>
        <v>0</v>
      </c>
      <c r="CI20" s="4504">
        <f t="shared" si="71"/>
        <v>0</v>
      </c>
      <c r="CJ20" s="4504">
        <f t="shared" si="72"/>
        <v>0</v>
      </c>
      <c r="CK20" s="4504">
        <f t="shared" si="73"/>
        <v>0</v>
      </c>
      <c r="CL20" s="4504">
        <f t="shared" si="74"/>
        <v>17.376124781133409</v>
      </c>
      <c r="CM20" s="4504">
        <f t="shared" si="75"/>
        <v>19.113737259246751</v>
      </c>
      <c r="CN20" s="4504">
        <f t="shared" si="76"/>
        <v>19.113737259246751</v>
      </c>
      <c r="CO20" s="4504">
        <f t="shared" si="77"/>
        <v>19.113737259246751</v>
      </c>
      <c r="CP20" s="4504">
        <f t="shared" si="78"/>
        <v>19.113737259246751</v>
      </c>
      <c r="CQ20" s="4504">
        <f t="shared" si="79"/>
        <v>19.113737259246751</v>
      </c>
      <c r="CR20" s="4504">
        <f t="shared" si="80"/>
        <v>1.7376124781133411</v>
      </c>
      <c r="CS20" s="4504">
        <f t="shared" si="81"/>
        <v>4.1297752762292683</v>
      </c>
      <c r="CT20" s="4504">
        <f t="shared" si="82"/>
        <v>4.5427528038521956</v>
      </c>
      <c r="CU20" s="4504">
        <f t="shared" si="83"/>
        <v>4.5427528038521956</v>
      </c>
      <c r="CV20" s="4504">
        <f t="shared" si="84"/>
        <v>4.5427528038521956</v>
      </c>
      <c r="CW20" s="4504">
        <f t="shared" si="85"/>
        <v>4.5427528038521956</v>
      </c>
      <c r="CX20" s="4504">
        <f t="shared" si="86"/>
        <v>4.5427528038521956</v>
      </c>
      <c r="CY20" s="4504">
        <f t="shared" si="87"/>
        <v>74.457995644556235</v>
      </c>
      <c r="CZ20" s="4504">
        <f t="shared" si="88"/>
        <v>82.133876555550174</v>
      </c>
      <c r="DA20" s="4504">
        <f t="shared" si="89"/>
        <v>82.133876555550174</v>
      </c>
      <c r="DB20" s="4504">
        <f t="shared" si="90"/>
        <v>82.133876555550174</v>
      </c>
      <c r="DC20" s="4504">
        <f t="shared" si="91"/>
        <v>82.133876555550174</v>
      </c>
      <c r="DD20" s="4504">
        <f t="shared" si="92"/>
        <v>82.133876555550174</v>
      </c>
      <c r="DE20" s="4504">
        <f t="shared" si="93"/>
        <v>63.247457279292497</v>
      </c>
      <c r="DF20" s="4504">
        <f t="shared" si="94"/>
        <v>69.572203007221745</v>
      </c>
      <c r="DG20" s="4504">
        <f t="shared" si="95"/>
        <v>69.572203007221745</v>
      </c>
      <c r="DH20" s="4504">
        <f t="shared" si="96"/>
        <v>69.572203007221745</v>
      </c>
      <c r="DI20" s="4504">
        <f t="shared" si="97"/>
        <v>69.572203007221745</v>
      </c>
      <c r="DJ20" s="4504">
        <f t="shared" si="98"/>
        <v>69.572203007221745</v>
      </c>
    </row>
    <row r="21" spans="1:114" s="683" customFormat="1" ht="13.2">
      <c r="A21" s="839" t="s">
        <v>1220</v>
      </c>
      <c r="B21" s="3057" t="s">
        <v>1217</v>
      </c>
      <c r="C21" s="3073">
        <f>'8. Ремонтна програма'!J27</f>
        <v>154.61510345450446</v>
      </c>
      <c r="D21" s="3693">
        <f>'8. Ремонтна програма'!K27</f>
        <v>157.27492381499076</v>
      </c>
      <c r="E21" s="3074">
        <f>'8. Ремонтна програма'!L27</f>
        <v>154.27480682676634</v>
      </c>
      <c r="F21" s="3074">
        <f>'8. Ремонтна програма'!M27</f>
        <v>152.80506971015046</v>
      </c>
      <c r="G21" s="3074">
        <f>'8. Ремонтна програма'!N27</f>
        <v>151.58865485603346</v>
      </c>
      <c r="H21" s="3074">
        <f>'8. Ремонтна програма'!O27</f>
        <v>149.44074285925382</v>
      </c>
      <c r="I21" s="3091">
        <f t="shared" si="34"/>
        <v>2.6598203604862931</v>
      </c>
      <c r="J21" s="1209">
        <f t="shared" si="35"/>
        <v>1.7202849534482548E-2</v>
      </c>
      <c r="K21" s="3073">
        <f>'8. Ремонтна програма'!J56</f>
        <v>6.7873400000000013</v>
      </c>
      <c r="L21" s="1258">
        <f>'8. Ремонтна програма'!K56</f>
        <v>7.5044821617647059</v>
      </c>
      <c r="M21" s="3074">
        <f>'8. Ремонтна програма'!L56</f>
        <v>7.3468981617647042</v>
      </c>
      <c r="N21" s="3074">
        <f>'8. Ремонтна програма'!M56</f>
        <v>7.18626788235294</v>
      </c>
      <c r="O21" s="3074">
        <f>'8. Ремонтна програма'!N56</f>
        <v>7.3037012156862735</v>
      </c>
      <c r="P21" s="3694">
        <f>'8. Ремонтна програма'!O56</f>
        <v>7.0048076029411774</v>
      </c>
      <c r="Q21" s="1251">
        <f t="shared" si="36"/>
        <v>0.71714216176470469</v>
      </c>
      <c r="R21" s="1205">
        <f t="shared" si="37"/>
        <v>0.10565879442678643</v>
      </c>
      <c r="S21" s="3073">
        <f>'8. Ремонтна програма'!J82</f>
        <v>1.62001</v>
      </c>
      <c r="T21" s="1258">
        <f>'8. Ремонтна програма'!K82</f>
        <v>2.0435527156862743</v>
      </c>
      <c r="U21" s="3074">
        <f>'8. Ремонтна програма'!L82</f>
        <v>2.3336161372549022</v>
      </c>
      <c r="V21" s="3074">
        <f>'8. Ремонтна програма'!M82</f>
        <v>2.3146016666666669</v>
      </c>
      <c r="W21" s="3074">
        <f>'8. Ремонтна програма'!N82</f>
        <v>2.0245382450980389</v>
      </c>
      <c r="X21" s="3694">
        <f>'8. Ремонтна програма'!O82</f>
        <v>2.5634670686274514</v>
      </c>
      <c r="Y21" s="1258">
        <f t="shared" si="38"/>
        <v>0.42354271568627433</v>
      </c>
      <c r="Z21" s="1205">
        <f t="shared" si="39"/>
        <v>0.26144450693901539</v>
      </c>
      <c r="AA21" s="3073">
        <f>'8. Ремонтна програма'!J113</f>
        <v>0</v>
      </c>
      <c r="AB21" s="1258">
        <f>'8. Ремонтна програма'!K113</f>
        <v>0</v>
      </c>
      <c r="AC21" s="3074">
        <f>'8. Ремонтна програма'!L113</f>
        <v>0</v>
      </c>
      <c r="AD21" s="3074">
        <f>'8. Ремонтна програма'!M113</f>
        <v>0</v>
      </c>
      <c r="AE21" s="3074">
        <f>'8. Ремонтна програма'!N113</f>
        <v>0</v>
      </c>
      <c r="AF21" s="3694">
        <f>'8. Ремонтна програма'!O113</f>
        <v>0</v>
      </c>
      <c r="AG21" s="1258">
        <f t="shared" si="40"/>
        <v>0</v>
      </c>
      <c r="AH21" s="1209">
        <f t="shared" si="41"/>
        <v>0</v>
      </c>
      <c r="AI21" s="3073">
        <f>'8. Ремонтна програма'!J144</f>
        <v>10.22120654549556</v>
      </c>
      <c r="AJ21" s="1258">
        <f>'8. Ремонтна програма'!K144</f>
        <v>16.228052585141455</v>
      </c>
      <c r="AK21" s="3074">
        <f>'8. Ремонтна програма'!L144</f>
        <v>16.752481289019244</v>
      </c>
      <c r="AL21" s="3074">
        <f>'8. Ремонтна програма'!M144</f>
        <v>17.369834286662041</v>
      </c>
      <c r="AM21" s="3074">
        <f>'8. Ремонтна програма'!N144</f>
        <v>17.900843632790952</v>
      </c>
      <c r="AN21" s="3694">
        <f>'8. Ремонтна програма'!O144</f>
        <v>18.529824229286703</v>
      </c>
      <c r="AO21" s="1258">
        <f t="shared" si="42"/>
        <v>6.0068460396458949</v>
      </c>
      <c r="AP21" s="1209">
        <f t="shared" si="43"/>
        <v>0.58768463516600056</v>
      </c>
      <c r="AQ21" s="3070">
        <v>0</v>
      </c>
      <c r="AR21" s="3071">
        <v>0</v>
      </c>
      <c r="AS21" s="3071">
        <v>0</v>
      </c>
      <c r="AT21" s="3071">
        <v>0</v>
      </c>
      <c r="AU21" s="3071">
        <v>0</v>
      </c>
      <c r="AV21" s="3100">
        <v>0</v>
      </c>
      <c r="AW21" s="3117">
        <f t="shared" si="117"/>
        <v>173.24366000000003</v>
      </c>
      <c r="AX21" s="3091">
        <f t="shared" si="118"/>
        <v>183.0510112775832</v>
      </c>
      <c r="AY21" s="3118">
        <f t="shared" si="119"/>
        <v>180.70780241480517</v>
      </c>
      <c r="AZ21" s="3118">
        <f t="shared" si="120"/>
        <v>179.67577354583213</v>
      </c>
      <c r="BA21" s="3118">
        <f t="shared" si="121"/>
        <v>178.8177379496087</v>
      </c>
      <c r="BB21" s="3091">
        <f t="shared" si="122"/>
        <v>177.53884176010916</v>
      </c>
      <c r="BC21" s="3111">
        <f t="shared" si="123"/>
        <v>164.83631000000003</v>
      </c>
      <c r="BD21" s="3112">
        <f t="shared" si="124"/>
        <v>173.50297640013221</v>
      </c>
      <c r="BE21" s="3113">
        <f t="shared" si="125"/>
        <v>171.02728811578558</v>
      </c>
      <c r="BF21" s="3113">
        <f t="shared" si="126"/>
        <v>170.1749039968125</v>
      </c>
      <c r="BG21" s="3113">
        <f t="shared" si="127"/>
        <v>169.48949848882441</v>
      </c>
      <c r="BH21" s="3115">
        <f t="shared" si="128"/>
        <v>167.97056708854052</v>
      </c>
      <c r="BI21" s="4488"/>
      <c r="BJ21" s="4504">
        <f t="shared" si="46"/>
        <v>79.053447106601524</v>
      </c>
      <c r="BK21" s="4504">
        <f t="shared" si="47"/>
        <v>80.413391662358563</v>
      </c>
      <c r="BL21" s="4504">
        <f t="shared" si="48"/>
        <v>78.879456203640572</v>
      </c>
      <c r="BM21" s="4504">
        <f t="shared" si="49"/>
        <v>78.127991548422131</v>
      </c>
      <c r="BN21" s="4504">
        <f t="shared" si="50"/>
        <v>77.506048509345632</v>
      </c>
      <c r="BO21" s="4504">
        <f t="shared" si="51"/>
        <v>76.407838543868237</v>
      </c>
      <c r="BP21" s="4504">
        <f t="shared" si="52"/>
        <v>1.3599445557570409</v>
      </c>
      <c r="BQ21" s="4504">
        <f t="shared" si="53"/>
        <v>3.4703118369183423</v>
      </c>
      <c r="BR21" s="4504">
        <f t="shared" si="54"/>
        <v>3.8369808018921412</v>
      </c>
      <c r="BS21" s="4504">
        <f t="shared" si="55"/>
        <v>3.7564093820857152</v>
      </c>
      <c r="BT21" s="4504">
        <f t="shared" si="56"/>
        <v>3.6742804243482001</v>
      </c>
      <c r="BU21" s="4504">
        <f t="shared" si="57"/>
        <v>3.7343231342633429</v>
      </c>
      <c r="BV21" s="4504">
        <f t="shared" si="58"/>
        <v>3.5815012567253683</v>
      </c>
      <c r="BW21" s="4504">
        <f t="shared" si="59"/>
        <v>0.36666896497379869</v>
      </c>
      <c r="BX21" s="4504">
        <f t="shared" si="60"/>
        <v>0.82829796045668591</v>
      </c>
      <c r="BY21" s="4504">
        <f t="shared" si="61"/>
        <v>1.0448519123268762</v>
      </c>
      <c r="BZ21" s="4504">
        <f t="shared" si="62"/>
        <v>1.1931589848069117</v>
      </c>
      <c r="CA21" s="4504">
        <f t="shared" si="63"/>
        <v>1.1834370403699028</v>
      </c>
      <c r="CB21" s="4504">
        <f t="shared" si="64"/>
        <v>1.0351299678898671</v>
      </c>
      <c r="CC21" s="4504">
        <f t="shared" si="65"/>
        <v>1.3106798999030853</v>
      </c>
      <c r="CD21" s="4504">
        <f t="shared" si="66"/>
        <v>0.21655395187019033</v>
      </c>
      <c r="CE21" s="4504">
        <f t="shared" si="67"/>
        <v>0</v>
      </c>
      <c r="CF21" s="4504">
        <f t="shared" si="68"/>
        <v>0</v>
      </c>
      <c r="CG21" s="4504">
        <f t="shared" si="69"/>
        <v>0</v>
      </c>
      <c r="CH21" s="4504">
        <f t="shared" si="70"/>
        <v>0</v>
      </c>
      <c r="CI21" s="4504">
        <f t="shared" si="71"/>
        <v>0</v>
      </c>
      <c r="CJ21" s="4504">
        <f t="shared" si="72"/>
        <v>0</v>
      </c>
      <c r="CK21" s="4504">
        <f t="shared" si="73"/>
        <v>0</v>
      </c>
      <c r="CL21" s="4504">
        <f t="shared" si="74"/>
        <v>5.2260199227415267</v>
      </c>
      <c r="CM21" s="4504">
        <f t="shared" si="75"/>
        <v>8.2972715344081305</v>
      </c>
      <c r="CN21" s="4504">
        <f t="shared" si="76"/>
        <v>8.5654076729671011</v>
      </c>
      <c r="CO21" s="4504">
        <f t="shared" si="77"/>
        <v>8.8810552484940111</v>
      </c>
      <c r="CP21" s="4504">
        <f t="shared" si="78"/>
        <v>9.1525560160090365</v>
      </c>
      <c r="CQ21" s="4504">
        <f t="shared" si="79"/>
        <v>9.4741486884272685</v>
      </c>
      <c r="CR21" s="4504">
        <f t="shared" si="80"/>
        <v>3.0712516116666047</v>
      </c>
      <c r="CS21" s="4504">
        <f t="shared" si="81"/>
        <v>0</v>
      </c>
      <c r="CT21" s="4504">
        <f t="shared" si="82"/>
        <v>0</v>
      </c>
      <c r="CU21" s="4504">
        <f t="shared" si="83"/>
        <v>0</v>
      </c>
      <c r="CV21" s="4504">
        <f t="shared" si="84"/>
        <v>0</v>
      </c>
      <c r="CW21" s="4504">
        <f t="shared" si="85"/>
        <v>0</v>
      </c>
      <c r="CX21" s="4504">
        <f t="shared" si="86"/>
        <v>0</v>
      </c>
      <c r="CY21" s="4504">
        <f t="shared" si="87"/>
        <v>88.578076826718089</v>
      </c>
      <c r="CZ21" s="4504">
        <f t="shared" si="88"/>
        <v>93.592495910985718</v>
      </c>
      <c r="DA21" s="4504">
        <f t="shared" si="89"/>
        <v>92.39443224350029</v>
      </c>
      <c r="DB21" s="4504">
        <f t="shared" si="90"/>
        <v>91.866764261634259</v>
      </c>
      <c r="DC21" s="4504">
        <f t="shared" si="91"/>
        <v>91.428057627507869</v>
      </c>
      <c r="DD21" s="4504">
        <f t="shared" si="92"/>
        <v>90.774168388923968</v>
      </c>
      <c r="DE21" s="4504">
        <f t="shared" si="93"/>
        <v>84.279467029343053</v>
      </c>
      <c r="DF21" s="4504">
        <f t="shared" si="94"/>
        <v>88.710663196766703</v>
      </c>
      <c r="DG21" s="4504">
        <f t="shared" si="95"/>
        <v>87.44486387660767</v>
      </c>
      <c r="DH21" s="4504">
        <f t="shared" si="96"/>
        <v>87.009046796916152</v>
      </c>
      <c r="DI21" s="4504">
        <f t="shared" si="97"/>
        <v>86.658604525354662</v>
      </c>
      <c r="DJ21" s="4504">
        <f t="shared" si="98"/>
        <v>85.881987232295515</v>
      </c>
    </row>
    <row r="22" spans="1:114" ht="13.2">
      <c r="A22" s="838" t="s">
        <v>145</v>
      </c>
      <c r="B22" s="896" t="s">
        <v>236</v>
      </c>
      <c r="C22" s="3070">
        <v>73.592928818965262</v>
      </c>
      <c r="D22" s="3071">
        <v>79.112398480387654</v>
      </c>
      <c r="E22" s="3071">
        <v>79.112398480387654</v>
      </c>
      <c r="F22" s="3071">
        <v>79.112398480387654</v>
      </c>
      <c r="G22" s="3071">
        <v>79.112398480387654</v>
      </c>
      <c r="H22" s="3072">
        <v>79.112398480387654</v>
      </c>
      <c r="I22" s="1251">
        <f t="shared" si="34"/>
        <v>5.5194696614223915</v>
      </c>
      <c r="J22" s="826">
        <f t="shared" si="35"/>
        <v>7.4999999999999956E-2</v>
      </c>
      <c r="K22" s="3070">
        <v>1.6675244878671369</v>
      </c>
      <c r="L22" s="3071">
        <v>1.7925888244571724</v>
      </c>
      <c r="M22" s="3071">
        <v>1.7925888244571724</v>
      </c>
      <c r="N22" s="3071">
        <v>1.7925888244571724</v>
      </c>
      <c r="O22" s="3071">
        <v>1.7925888244571724</v>
      </c>
      <c r="P22" s="3072">
        <v>1.7925888244571724</v>
      </c>
      <c r="Q22" s="1251">
        <f t="shared" si="36"/>
        <v>0.12506433659003546</v>
      </c>
      <c r="R22" s="1121">
        <f t="shared" si="37"/>
        <v>7.5000000000000122E-2</v>
      </c>
      <c r="S22" s="3070">
        <v>13.03147941162379</v>
      </c>
      <c r="T22" s="3071">
        <v>14.758840367495576</v>
      </c>
      <c r="U22" s="3071">
        <v>14.758840367495576</v>
      </c>
      <c r="V22" s="3071">
        <v>14.758840367495576</v>
      </c>
      <c r="W22" s="3071">
        <v>14.758840367495576</v>
      </c>
      <c r="X22" s="3072">
        <v>14.758840367495576</v>
      </c>
      <c r="Y22" s="1251">
        <f t="shared" si="38"/>
        <v>1.7273609558717862</v>
      </c>
      <c r="Z22" s="1121">
        <f t="shared" si="39"/>
        <v>0.13255294363056114</v>
      </c>
      <c r="AA22" s="3070"/>
      <c r="AB22" s="3071"/>
      <c r="AC22" s="3071"/>
      <c r="AD22" s="3071"/>
      <c r="AE22" s="3071"/>
      <c r="AF22" s="3072"/>
      <c r="AG22" s="1251">
        <f t="shared" si="40"/>
        <v>0</v>
      </c>
      <c r="AH22" s="826">
        <f t="shared" si="41"/>
        <v>0</v>
      </c>
      <c r="AI22" s="3070">
        <v>13.077370085644342</v>
      </c>
      <c r="AJ22" s="3071">
        <v>14.358172842067669</v>
      </c>
      <c r="AK22" s="3071">
        <v>14.058172842067668</v>
      </c>
      <c r="AL22" s="3071">
        <v>14.058172842067668</v>
      </c>
      <c r="AM22" s="3071">
        <v>14.058172842067668</v>
      </c>
      <c r="AN22" s="3072">
        <v>14.058172842067668</v>
      </c>
      <c r="AO22" s="1251">
        <f t="shared" si="42"/>
        <v>1.2808027564233271</v>
      </c>
      <c r="AP22" s="826">
        <f t="shared" si="43"/>
        <v>9.7940392298702772E-2</v>
      </c>
      <c r="AQ22" s="3070">
        <v>0.29207719589946873</v>
      </c>
      <c r="AR22" s="3071">
        <v>0.31398298559192889</v>
      </c>
      <c r="AS22" s="3071">
        <v>0.31398298559192889</v>
      </c>
      <c r="AT22" s="3071">
        <v>0.31398298559192889</v>
      </c>
      <c r="AU22" s="3071">
        <v>0.31398298559192889</v>
      </c>
      <c r="AV22" s="3100">
        <v>0.31398298559192889</v>
      </c>
      <c r="AW22" s="1112">
        <f t="shared" si="117"/>
        <v>101.36930280410054</v>
      </c>
      <c r="AX22" s="3090">
        <f t="shared" si="118"/>
        <v>110.02200051440808</v>
      </c>
      <c r="AY22" s="3090">
        <f t="shared" si="119"/>
        <v>109.72200051440807</v>
      </c>
      <c r="AZ22" s="3090">
        <f t="shared" si="120"/>
        <v>109.72200051440807</v>
      </c>
      <c r="BA22" s="3090">
        <f t="shared" si="121"/>
        <v>109.72200051440807</v>
      </c>
      <c r="BB22" s="3091">
        <f t="shared" si="122"/>
        <v>109.72200051440807</v>
      </c>
      <c r="BC22" s="3111">
        <f t="shared" si="123"/>
        <v>86.670298904609609</v>
      </c>
      <c r="BD22" s="3112">
        <f t="shared" si="124"/>
        <v>93.470571322455328</v>
      </c>
      <c r="BE22" s="3113">
        <f t="shared" si="125"/>
        <v>93.170571322455316</v>
      </c>
      <c r="BF22" s="3113">
        <f t="shared" si="126"/>
        <v>93.170571322455316</v>
      </c>
      <c r="BG22" s="3113">
        <f t="shared" si="127"/>
        <v>93.170571322455316</v>
      </c>
      <c r="BH22" s="3115">
        <f t="shared" si="128"/>
        <v>93.170571322455316</v>
      </c>
      <c r="BI22" s="4488"/>
      <c r="BJ22" s="4504">
        <f t="shared" si="46"/>
        <v>37.627467018588149</v>
      </c>
      <c r="BK22" s="4504">
        <f t="shared" si="47"/>
        <v>40.449527044982261</v>
      </c>
      <c r="BL22" s="4504">
        <f t="shared" si="48"/>
        <v>40.449527044982261</v>
      </c>
      <c r="BM22" s="4504">
        <f t="shared" si="49"/>
        <v>40.449527044982261</v>
      </c>
      <c r="BN22" s="4504">
        <f t="shared" si="50"/>
        <v>40.449527044982261</v>
      </c>
      <c r="BO22" s="4504">
        <f t="shared" si="51"/>
        <v>40.449527044982261</v>
      </c>
      <c r="BP22" s="4504">
        <f t="shared" si="52"/>
        <v>2.8220600263941096</v>
      </c>
      <c r="BQ22" s="4504">
        <f t="shared" si="53"/>
        <v>0.85259173234234931</v>
      </c>
      <c r="BR22" s="4504">
        <f t="shared" si="54"/>
        <v>0.91653611226802556</v>
      </c>
      <c r="BS22" s="4504">
        <f t="shared" si="55"/>
        <v>0.91653611226802556</v>
      </c>
      <c r="BT22" s="4504">
        <f t="shared" si="56"/>
        <v>0.91653611226802556</v>
      </c>
      <c r="BU22" s="4504">
        <f t="shared" si="57"/>
        <v>0.91653611226802556</v>
      </c>
      <c r="BV22" s="4504">
        <f t="shared" si="58"/>
        <v>0.91653611226802556</v>
      </c>
      <c r="BW22" s="4504">
        <f t="shared" si="59"/>
        <v>6.3944379925676295E-2</v>
      </c>
      <c r="BX22" s="4504">
        <f t="shared" si="60"/>
        <v>6.6628896231389181</v>
      </c>
      <c r="BY22" s="4504">
        <f t="shared" si="61"/>
        <v>7.5460752557715018</v>
      </c>
      <c r="BZ22" s="4504">
        <f t="shared" si="62"/>
        <v>7.5460752557715018</v>
      </c>
      <c r="CA22" s="4504">
        <f t="shared" si="63"/>
        <v>7.5460752557715018</v>
      </c>
      <c r="CB22" s="4504">
        <f t="shared" si="64"/>
        <v>7.5460752557715018</v>
      </c>
      <c r="CC22" s="4504">
        <f t="shared" si="65"/>
        <v>7.5460752557715018</v>
      </c>
      <c r="CD22" s="4504">
        <f t="shared" si="66"/>
        <v>0.88318563263258376</v>
      </c>
      <c r="CE22" s="4504">
        <f t="shared" si="67"/>
        <v>0</v>
      </c>
      <c r="CF22" s="4504">
        <f t="shared" si="68"/>
        <v>0</v>
      </c>
      <c r="CG22" s="4504">
        <f t="shared" si="69"/>
        <v>0</v>
      </c>
      <c r="CH22" s="4504">
        <f t="shared" si="70"/>
        <v>0</v>
      </c>
      <c r="CI22" s="4504">
        <f t="shared" si="71"/>
        <v>0</v>
      </c>
      <c r="CJ22" s="4504">
        <f t="shared" si="72"/>
        <v>0</v>
      </c>
      <c r="CK22" s="4504">
        <f t="shared" si="73"/>
        <v>0</v>
      </c>
      <c r="CL22" s="4504">
        <f t="shared" si="74"/>
        <v>6.6863531521882482</v>
      </c>
      <c r="CM22" s="4504">
        <f t="shared" si="75"/>
        <v>7.341217202961233</v>
      </c>
      <c r="CN22" s="4504">
        <f t="shared" si="76"/>
        <v>7.1878296386023672</v>
      </c>
      <c r="CO22" s="4504">
        <f t="shared" si="77"/>
        <v>7.1878296386023672</v>
      </c>
      <c r="CP22" s="4504">
        <f t="shared" si="78"/>
        <v>7.1878296386023672</v>
      </c>
      <c r="CQ22" s="4504">
        <f t="shared" si="79"/>
        <v>7.1878296386023672</v>
      </c>
      <c r="CR22" s="4504">
        <f t="shared" si="80"/>
        <v>0.65486405077298493</v>
      </c>
      <c r="CS22" s="4504">
        <f t="shared" si="81"/>
        <v>0.1493366989459558</v>
      </c>
      <c r="CT22" s="4504">
        <f t="shared" si="82"/>
        <v>0.16053695136690249</v>
      </c>
      <c r="CU22" s="4504">
        <f t="shared" si="83"/>
        <v>0.16053695136690249</v>
      </c>
      <c r="CV22" s="4504">
        <f t="shared" si="84"/>
        <v>0.16053695136690249</v>
      </c>
      <c r="CW22" s="4504">
        <f t="shared" si="85"/>
        <v>0.16053695136690249</v>
      </c>
      <c r="CX22" s="4504">
        <f t="shared" si="86"/>
        <v>0.16053695136690249</v>
      </c>
      <c r="CY22" s="4504">
        <f t="shared" si="87"/>
        <v>51.829301526257673</v>
      </c>
      <c r="CZ22" s="4504">
        <f t="shared" si="88"/>
        <v>56.253355615983025</v>
      </c>
      <c r="DA22" s="4504">
        <f t="shared" si="89"/>
        <v>56.099968051624153</v>
      </c>
      <c r="DB22" s="4504">
        <f t="shared" si="90"/>
        <v>56.099968051624153</v>
      </c>
      <c r="DC22" s="4504">
        <f t="shared" si="91"/>
        <v>56.099968051624153</v>
      </c>
      <c r="DD22" s="4504">
        <f t="shared" si="92"/>
        <v>56.099968051624153</v>
      </c>
      <c r="DE22" s="4504">
        <f t="shared" si="93"/>
        <v>44.313820170776403</v>
      </c>
      <c r="DF22" s="4504">
        <f t="shared" si="94"/>
        <v>47.790744247943501</v>
      </c>
      <c r="DG22" s="4504">
        <f t="shared" si="95"/>
        <v>47.637356683584628</v>
      </c>
      <c r="DH22" s="4504">
        <f t="shared" si="96"/>
        <v>47.637356683584628</v>
      </c>
      <c r="DI22" s="4504">
        <f t="shared" si="97"/>
        <v>47.637356683584628</v>
      </c>
      <c r="DJ22" s="4504">
        <f t="shared" si="98"/>
        <v>47.637356683584628</v>
      </c>
    </row>
    <row r="23" spans="1:114" ht="13.2">
      <c r="A23" s="838" t="s">
        <v>147</v>
      </c>
      <c r="B23" s="896" t="s">
        <v>237</v>
      </c>
      <c r="C23" s="3070">
        <v>10.138799553587996</v>
      </c>
      <c r="D23" s="3071">
        <v>10.899209520107096</v>
      </c>
      <c r="E23" s="3071">
        <v>10.899209520107096</v>
      </c>
      <c r="F23" s="3071">
        <v>10.899209520107096</v>
      </c>
      <c r="G23" s="3071">
        <v>10.899209520107096</v>
      </c>
      <c r="H23" s="3072">
        <v>10.899209520107096</v>
      </c>
      <c r="I23" s="1251">
        <f t="shared" si="34"/>
        <v>0.76040996651910042</v>
      </c>
      <c r="J23" s="826">
        <f t="shared" si="35"/>
        <v>7.500000000000008E-2</v>
      </c>
      <c r="K23" s="3070">
        <v>0.23652563608425636</v>
      </c>
      <c r="L23" s="3071">
        <v>0.25426505879057565</v>
      </c>
      <c r="M23" s="3071">
        <v>0.25426505879057565</v>
      </c>
      <c r="N23" s="3071">
        <v>0.25426505879057565</v>
      </c>
      <c r="O23" s="3071">
        <v>0.25426505879057565</v>
      </c>
      <c r="P23" s="3072">
        <v>0.25426505879057565</v>
      </c>
      <c r="Q23" s="1251">
        <f t="shared" si="36"/>
        <v>1.7739422706319286E-2</v>
      </c>
      <c r="R23" s="1121">
        <f t="shared" si="37"/>
        <v>7.5000000000000247E-2</v>
      </c>
      <c r="S23" s="3070">
        <v>1.768431061089397</v>
      </c>
      <c r="T23" s="3071">
        <v>2.0510633906711022</v>
      </c>
      <c r="U23" s="3071">
        <v>2.0510633906711022</v>
      </c>
      <c r="V23" s="3071">
        <v>2.0510633906711022</v>
      </c>
      <c r="W23" s="3071">
        <v>2.0510633906711022</v>
      </c>
      <c r="X23" s="3072">
        <v>2.0510633906711022</v>
      </c>
      <c r="Y23" s="1251">
        <f t="shared" si="38"/>
        <v>0.28263232958170525</v>
      </c>
      <c r="Z23" s="1121">
        <f t="shared" si="39"/>
        <v>0.15982094852348772</v>
      </c>
      <c r="AA23" s="3070"/>
      <c r="AB23" s="3071"/>
      <c r="AC23" s="3071"/>
      <c r="AD23" s="3071"/>
      <c r="AE23" s="3071"/>
      <c r="AF23" s="3072"/>
      <c r="AG23" s="1251">
        <f t="shared" si="40"/>
        <v>0</v>
      </c>
      <c r="AH23" s="826">
        <f t="shared" si="41"/>
        <v>0</v>
      </c>
      <c r="AI23" s="3070">
        <v>1.3176088862129602</v>
      </c>
      <c r="AJ23" s="3071">
        <v>1.4164295526789323</v>
      </c>
      <c r="AK23" s="3071">
        <v>1.4164295526789323</v>
      </c>
      <c r="AL23" s="3071">
        <v>1.4164295526789323</v>
      </c>
      <c r="AM23" s="3071">
        <v>1.4164295526789323</v>
      </c>
      <c r="AN23" s="3072">
        <v>1.4164295526789323</v>
      </c>
      <c r="AO23" s="1251">
        <f t="shared" si="42"/>
        <v>9.8820666465972096E-2</v>
      </c>
      <c r="AP23" s="826">
        <f t="shared" si="43"/>
        <v>7.5000000000000053E-2</v>
      </c>
      <c r="AQ23" s="3070">
        <v>3.0934863025390988E-2</v>
      </c>
      <c r="AR23" s="3071">
        <v>3.3254977752295314E-2</v>
      </c>
      <c r="AS23" s="3071">
        <v>3.3254977752295314E-2</v>
      </c>
      <c r="AT23" s="3071">
        <v>3.3254977752295314E-2</v>
      </c>
      <c r="AU23" s="3071">
        <v>3.3254977752295314E-2</v>
      </c>
      <c r="AV23" s="3100">
        <v>3.3254977752295314E-2</v>
      </c>
      <c r="AW23" s="1112">
        <f t="shared" si="117"/>
        <v>13.461365136974608</v>
      </c>
      <c r="AX23" s="3090">
        <f t="shared" si="118"/>
        <v>14.620967522247707</v>
      </c>
      <c r="AY23" s="3090">
        <f t="shared" si="119"/>
        <v>14.620967522247707</v>
      </c>
      <c r="AZ23" s="3090">
        <f t="shared" si="120"/>
        <v>14.620967522247707</v>
      </c>
      <c r="BA23" s="3090">
        <f t="shared" si="121"/>
        <v>14.620967522247707</v>
      </c>
      <c r="BB23" s="3091">
        <f t="shared" si="122"/>
        <v>14.620967522247707</v>
      </c>
      <c r="BC23" s="3111">
        <f t="shared" si="123"/>
        <v>11.456408439800956</v>
      </c>
      <c r="BD23" s="3112">
        <f t="shared" si="124"/>
        <v>12.315639072786029</v>
      </c>
      <c r="BE23" s="3113">
        <f t="shared" si="125"/>
        <v>12.315639072786029</v>
      </c>
      <c r="BF23" s="3113">
        <f t="shared" si="126"/>
        <v>12.315639072786029</v>
      </c>
      <c r="BG23" s="3113">
        <f t="shared" si="127"/>
        <v>12.315639072786029</v>
      </c>
      <c r="BH23" s="3115">
        <f t="shared" si="128"/>
        <v>12.315639072786029</v>
      </c>
      <c r="BI23" s="4488"/>
      <c r="BJ23" s="4504">
        <f t="shared" si="46"/>
        <v>5.1838858968253865</v>
      </c>
      <c r="BK23" s="4504">
        <f t="shared" si="47"/>
        <v>5.5726773390872912</v>
      </c>
      <c r="BL23" s="4504">
        <f t="shared" si="48"/>
        <v>5.5726773390872912</v>
      </c>
      <c r="BM23" s="4504">
        <f t="shared" si="49"/>
        <v>5.5726773390872912</v>
      </c>
      <c r="BN23" s="4504">
        <f t="shared" si="50"/>
        <v>5.5726773390872912</v>
      </c>
      <c r="BO23" s="4504">
        <f t="shared" si="51"/>
        <v>5.5726773390872912</v>
      </c>
      <c r="BP23" s="4504">
        <f t="shared" si="52"/>
        <v>0.38879144226190437</v>
      </c>
      <c r="BQ23" s="4504">
        <f t="shared" si="53"/>
        <v>0.12093363742465162</v>
      </c>
      <c r="BR23" s="4504">
        <f t="shared" si="54"/>
        <v>0.13000366023150051</v>
      </c>
      <c r="BS23" s="4504">
        <f t="shared" si="55"/>
        <v>0.13000366023150051</v>
      </c>
      <c r="BT23" s="4504">
        <f t="shared" si="56"/>
        <v>0.13000366023150051</v>
      </c>
      <c r="BU23" s="4504">
        <f t="shared" si="57"/>
        <v>0.13000366023150051</v>
      </c>
      <c r="BV23" s="4504">
        <f t="shared" si="58"/>
        <v>0.13000366023150051</v>
      </c>
      <c r="BW23" s="4504">
        <f t="shared" si="59"/>
        <v>9.0700228068489007E-3</v>
      </c>
      <c r="BX23" s="4504">
        <f t="shared" si="60"/>
        <v>0.90418444399022257</v>
      </c>
      <c r="BY23" s="4504">
        <f t="shared" si="61"/>
        <v>1.0486920594689222</v>
      </c>
      <c r="BZ23" s="4504">
        <f t="shared" si="62"/>
        <v>1.0486920594689222</v>
      </c>
      <c r="CA23" s="4504">
        <f t="shared" si="63"/>
        <v>1.0486920594689222</v>
      </c>
      <c r="CB23" s="4504">
        <f t="shared" si="64"/>
        <v>1.0486920594689222</v>
      </c>
      <c r="CC23" s="4504">
        <f t="shared" si="65"/>
        <v>1.0486920594689222</v>
      </c>
      <c r="CD23" s="4504">
        <f t="shared" si="66"/>
        <v>0.14450761547869972</v>
      </c>
      <c r="CE23" s="4504">
        <f t="shared" si="67"/>
        <v>0</v>
      </c>
      <c r="CF23" s="4504">
        <f t="shared" si="68"/>
        <v>0</v>
      </c>
      <c r="CG23" s="4504">
        <f t="shared" si="69"/>
        <v>0</v>
      </c>
      <c r="CH23" s="4504">
        <f t="shared" si="70"/>
        <v>0</v>
      </c>
      <c r="CI23" s="4504">
        <f t="shared" si="71"/>
        <v>0</v>
      </c>
      <c r="CJ23" s="4504">
        <f t="shared" si="72"/>
        <v>0</v>
      </c>
      <c r="CK23" s="4504">
        <f t="shared" si="73"/>
        <v>0</v>
      </c>
      <c r="CL23" s="4504">
        <f t="shared" si="74"/>
        <v>0.67368272611267865</v>
      </c>
      <c r="CM23" s="4504">
        <f t="shared" si="75"/>
        <v>0.72420893057112956</v>
      </c>
      <c r="CN23" s="4504">
        <f t="shared" si="76"/>
        <v>0.72420893057112956</v>
      </c>
      <c r="CO23" s="4504">
        <f t="shared" si="77"/>
        <v>0.72420893057112956</v>
      </c>
      <c r="CP23" s="4504">
        <f t="shared" si="78"/>
        <v>0.72420893057112956</v>
      </c>
      <c r="CQ23" s="4504">
        <f t="shared" si="79"/>
        <v>0.72420893057112956</v>
      </c>
      <c r="CR23" s="4504">
        <f t="shared" si="80"/>
        <v>5.0526204458450935E-2</v>
      </c>
      <c r="CS23" s="4504">
        <f t="shared" si="81"/>
        <v>1.5816744310799501E-2</v>
      </c>
      <c r="CT23" s="4504">
        <f t="shared" si="82"/>
        <v>1.7003000134109464E-2</v>
      </c>
      <c r="CU23" s="4504">
        <f t="shared" si="83"/>
        <v>1.7003000134109464E-2</v>
      </c>
      <c r="CV23" s="4504">
        <f t="shared" si="84"/>
        <v>1.7003000134109464E-2</v>
      </c>
      <c r="CW23" s="4504">
        <f t="shared" si="85"/>
        <v>1.7003000134109464E-2</v>
      </c>
      <c r="CX23" s="4504">
        <f t="shared" si="86"/>
        <v>1.7003000134109464E-2</v>
      </c>
      <c r="CY23" s="4504">
        <f t="shared" si="87"/>
        <v>6.8826867043529392</v>
      </c>
      <c r="CZ23" s="4504">
        <f t="shared" si="88"/>
        <v>7.4755819893588438</v>
      </c>
      <c r="DA23" s="4504">
        <f t="shared" si="89"/>
        <v>7.4755819893588438</v>
      </c>
      <c r="DB23" s="4504">
        <f t="shared" si="90"/>
        <v>7.4755819893588438</v>
      </c>
      <c r="DC23" s="4504">
        <f t="shared" si="91"/>
        <v>7.4755819893588438</v>
      </c>
      <c r="DD23" s="4504">
        <f t="shared" si="92"/>
        <v>7.4755819893588438</v>
      </c>
      <c r="DE23" s="4504">
        <f t="shared" si="93"/>
        <v>5.8575686229380652</v>
      </c>
      <c r="DF23" s="4504">
        <f t="shared" si="94"/>
        <v>6.2968862696584207</v>
      </c>
      <c r="DG23" s="4504">
        <f t="shared" si="95"/>
        <v>6.2968862696584207</v>
      </c>
      <c r="DH23" s="4504">
        <f t="shared" si="96"/>
        <v>6.2968862696584207</v>
      </c>
      <c r="DI23" s="4504">
        <f t="shared" si="97"/>
        <v>6.2968862696584207</v>
      </c>
      <c r="DJ23" s="4504">
        <f t="shared" si="98"/>
        <v>6.2968862696584207</v>
      </c>
    </row>
    <row r="24" spans="1:114" s="685" customFormat="1" ht="13.2">
      <c r="A24" s="838" t="s">
        <v>149</v>
      </c>
      <c r="B24" s="896" t="s">
        <v>642</v>
      </c>
      <c r="C24" s="2679">
        <f>'8. Ремонтна програма'!J29</f>
        <v>426.39587756462765</v>
      </c>
      <c r="D24" s="1249">
        <f>'8. Ремонтна програма'!K29</f>
        <v>423.07706224236631</v>
      </c>
      <c r="E24" s="1133">
        <f>'8. Ремонтна програма'!L29</f>
        <v>414.85934231293044</v>
      </c>
      <c r="F24" s="1133">
        <f>'8. Ремонтна програма'!M29</f>
        <v>411.12274222410815</v>
      </c>
      <c r="G24" s="1133">
        <f>'8. Ремонтна програма'!N29</f>
        <v>407.7690202902333</v>
      </c>
      <c r="H24" s="3116">
        <f>'8. Ремонтна програма'!O29</f>
        <v>402.40760241512243</v>
      </c>
      <c r="I24" s="1249">
        <f t="shared" si="34"/>
        <v>-3.3188153222613437</v>
      </c>
      <c r="J24" s="822">
        <f t="shared" si="35"/>
        <v>-7.7834132478410744E-3</v>
      </c>
      <c r="K24" s="2679">
        <f>'8. Ремонтна програма'!J58</f>
        <v>9.5276337941480236</v>
      </c>
      <c r="L24" s="1249">
        <f>'8. Ремонтна програма'!K58</f>
        <v>11.281842624488245</v>
      </c>
      <c r="M24" s="1133">
        <f>'8. Ремонтна програма'!L58</f>
        <v>10.962119150424643</v>
      </c>
      <c r="N24" s="1133">
        <f>'8. Ремонтна програма'!M58</f>
        <v>10.266219878136628</v>
      </c>
      <c r="O24" s="1133">
        <f>'8. Ремонтна програма'!N58</f>
        <v>11.108286730850562</v>
      </c>
      <c r="P24" s="3116">
        <f>'8. Ремонтна програма'!O58</f>
        <v>10.08376654234001</v>
      </c>
      <c r="Q24" s="1249">
        <f t="shared" si="36"/>
        <v>1.7542088303402217</v>
      </c>
      <c r="R24" s="877">
        <f t="shared" si="37"/>
        <v>0.18411799490212102</v>
      </c>
      <c r="S24" s="2679">
        <f>'8. Ремонтна програма'!J84</f>
        <v>14.229999220778385</v>
      </c>
      <c r="T24" s="1249">
        <f>'8. Ремонтна програма'!K84</f>
        <v>17.631095145968899</v>
      </c>
      <c r="U24" s="1133">
        <f>'8. Ремонтна програма'!L84</f>
        <v>16.380592567510107</v>
      </c>
      <c r="V24" s="1133">
        <f>'8. Ремонтна програма'!M84</f>
        <v>17.179331960069316</v>
      </c>
      <c r="W24" s="1133">
        <f>'8. Ремонтна програма'!N84</f>
        <v>18.429834538528102</v>
      </c>
      <c r="X24" s="3116">
        <f>'8. Ремонтна програма'!O84</f>
        <v>18.729647041639428</v>
      </c>
      <c r="Y24" s="1249">
        <f t="shared" si="38"/>
        <v>3.4010959251905142</v>
      </c>
      <c r="Z24" s="877">
        <f t="shared" si="39"/>
        <v>0.23900886236341432</v>
      </c>
      <c r="AA24" s="2679">
        <f>'8. Ремонтна програма'!J115</f>
        <v>0</v>
      </c>
      <c r="AB24" s="1249">
        <f>'8. Ремонтна програма'!K115</f>
        <v>0</v>
      </c>
      <c r="AC24" s="1133">
        <f>'8. Ремонтна програма'!L115</f>
        <v>0</v>
      </c>
      <c r="AD24" s="1133">
        <f>'8. Ремонтна програма'!M115</f>
        <v>0</v>
      </c>
      <c r="AE24" s="1133">
        <f>'8. Ремонтна програма'!N115</f>
        <v>0</v>
      </c>
      <c r="AF24" s="3116">
        <f>'8. Ремонтна програма'!O115</f>
        <v>0</v>
      </c>
      <c r="AG24" s="1249">
        <f t="shared" si="40"/>
        <v>0</v>
      </c>
      <c r="AH24" s="822">
        <f t="shared" si="41"/>
        <v>0</v>
      </c>
      <c r="AI24" s="1112">
        <f>'8. Ремонтна програма'!J146</f>
        <v>27.90869178882723</v>
      </c>
      <c r="AJ24" s="1255">
        <f>'8. Ремонтна програма'!K146</f>
        <v>43.142895434953971</v>
      </c>
      <c r="AK24" s="1136">
        <f>'8. Ремонтна програма'!L146</f>
        <v>44.861783129870048</v>
      </c>
      <c r="AL24" s="1136">
        <f>'8. Ремонтна програма'!M146</f>
        <v>46.763480745930963</v>
      </c>
      <c r="AM24" s="1136">
        <f>'8. Ремонтна програма'!N146</f>
        <v>48.229895896534799</v>
      </c>
      <c r="AN24" s="3107">
        <f>'8. Ремонтна програма'!O146</f>
        <v>50.280383372096708</v>
      </c>
      <c r="AO24" s="1249">
        <f t="shared" si="42"/>
        <v>15.23420364612674</v>
      </c>
      <c r="AP24" s="822">
        <f t="shared" si="43"/>
        <v>0.54585875115169302</v>
      </c>
      <c r="AQ24" s="3070">
        <v>0</v>
      </c>
      <c r="AR24" s="3071">
        <v>0</v>
      </c>
      <c r="AS24" s="3071">
        <v>0</v>
      </c>
      <c r="AT24" s="3071">
        <v>0</v>
      </c>
      <c r="AU24" s="3071">
        <v>0</v>
      </c>
      <c r="AV24" s="3100">
        <v>0</v>
      </c>
      <c r="AW24" s="1112">
        <f t="shared" si="117"/>
        <v>478.06220236838129</v>
      </c>
      <c r="AX24" s="907">
        <f t="shared" si="118"/>
        <v>495.13289544777746</v>
      </c>
      <c r="AY24" s="907">
        <f t="shared" si="119"/>
        <v>487.06383716073526</v>
      </c>
      <c r="AZ24" s="907">
        <f t="shared" si="120"/>
        <v>485.33177480824503</v>
      </c>
      <c r="BA24" s="907">
        <f t="shared" si="121"/>
        <v>485.53703745614678</v>
      </c>
      <c r="BB24" s="1141">
        <f t="shared" si="122"/>
        <v>481.5013993711986</v>
      </c>
      <c r="BC24" s="3111">
        <f t="shared" si="123"/>
        <v>454.30456935345489</v>
      </c>
      <c r="BD24" s="3112">
        <f t="shared" si="124"/>
        <v>466.21995767732028</v>
      </c>
      <c r="BE24" s="3113">
        <f t="shared" si="125"/>
        <v>459.72112544280048</v>
      </c>
      <c r="BF24" s="3113">
        <f t="shared" si="126"/>
        <v>457.88622297003911</v>
      </c>
      <c r="BG24" s="3113">
        <f t="shared" si="127"/>
        <v>455.9989161867681</v>
      </c>
      <c r="BH24" s="3115">
        <f t="shared" si="128"/>
        <v>452.68798578721913</v>
      </c>
      <c r="BI24" s="4488"/>
      <c r="BJ24" s="4504">
        <f t="shared" si="46"/>
        <v>218.01275037433092</v>
      </c>
      <c r="BK24" s="4504">
        <f t="shared" si="47"/>
        <v>216.31586704486909</v>
      </c>
      <c r="BL24" s="4504">
        <f t="shared" si="48"/>
        <v>212.11421356300417</v>
      </c>
      <c r="BM24" s="4504">
        <f t="shared" si="49"/>
        <v>210.20372027431227</v>
      </c>
      <c r="BN24" s="4504">
        <f t="shared" si="50"/>
        <v>208.48898947773236</v>
      </c>
      <c r="BO24" s="4504">
        <f t="shared" si="51"/>
        <v>205.74774004648791</v>
      </c>
      <c r="BP24" s="4504">
        <f t="shared" si="52"/>
        <v>-1.6968833294618366</v>
      </c>
      <c r="BQ24" s="4504">
        <f t="shared" si="53"/>
        <v>4.8714018059586079</v>
      </c>
      <c r="BR24" s="4504">
        <f t="shared" si="54"/>
        <v>5.7683145388342778</v>
      </c>
      <c r="BS24" s="4504">
        <f t="shared" si="55"/>
        <v>5.6048425223177079</v>
      </c>
      <c r="BT24" s="4504">
        <f t="shared" si="56"/>
        <v>5.2490348742664894</v>
      </c>
      <c r="BU24" s="4504">
        <f t="shared" si="57"/>
        <v>5.6795768194835761</v>
      </c>
      <c r="BV24" s="4504">
        <f t="shared" si="58"/>
        <v>5.155747964976511</v>
      </c>
      <c r="BW24" s="4504">
        <f t="shared" si="59"/>
        <v>0.89691273287567008</v>
      </c>
      <c r="BX24" s="4504">
        <f t="shared" si="60"/>
        <v>7.2756830710125042</v>
      </c>
      <c r="BY24" s="4504">
        <f t="shared" si="61"/>
        <v>9.0146358047319559</v>
      </c>
      <c r="BZ24" s="4504">
        <f t="shared" si="62"/>
        <v>8.375263988951037</v>
      </c>
      <c r="CA24" s="4504">
        <f t="shared" si="63"/>
        <v>8.7836529555581606</v>
      </c>
      <c r="CB24" s="4504">
        <f t="shared" si="64"/>
        <v>9.4230247713390742</v>
      </c>
      <c r="CC24" s="4504">
        <f t="shared" si="65"/>
        <v>9.5763164700610108</v>
      </c>
      <c r="CD24" s="4504">
        <f t="shared" si="66"/>
        <v>1.7389527337194512</v>
      </c>
      <c r="CE24" s="4504">
        <f t="shared" si="67"/>
        <v>0</v>
      </c>
      <c r="CF24" s="4504">
        <f t="shared" si="68"/>
        <v>0</v>
      </c>
      <c r="CG24" s="4504">
        <f t="shared" si="69"/>
        <v>0</v>
      </c>
      <c r="CH24" s="4504">
        <f t="shared" si="70"/>
        <v>0</v>
      </c>
      <c r="CI24" s="4504">
        <f t="shared" si="71"/>
        <v>0</v>
      </c>
      <c r="CJ24" s="4504">
        <f t="shared" si="72"/>
        <v>0</v>
      </c>
      <c r="CK24" s="4504">
        <f t="shared" si="73"/>
        <v>0</v>
      </c>
      <c r="CL24" s="4504">
        <f t="shared" si="74"/>
        <v>14.269487526434931</v>
      </c>
      <c r="CM24" s="4504">
        <f t="shared" si="75"/>
        <v>22.058612167189363</v>
      </c>
      <c r="CN24" s="4504">
        <f t="shared" si="76"/>
        <v>22.937465490288037</v>
      </c>
      <c r="CO24" s="4504">
        <f t="shared" si="77"/>
        <v>23.909788041870186</v>
      </c>
      <c r="CP24" s="4504">
        <f t="shared" si="78"/>
        <v>24.659554202837057</v>
      </c>
      <c r="CQ24" s="4504">
        <f t="shared" si="79"/>
        <v>25.70795180158639</v>
      </c>
      <c r="CR24" s="4504">
        <f t="shared" si="80"/>
        <v>7.7891246407544319</v>
      </c>
      <c r="CS24" s="4504">
        <f t="shared" si="81"/>
        <v>0</v>
      </c>
      <c r="CT24" s="4504">
        <f t="shared" si="82"/>
        <v>0</v>
      </c>
      <c r="CU24" s="4504">
        <f t="shared" si="83"/>
        <v>0</v>
      </c>
      <c r="CV24" s="4504">
        <f t="shared" si="84"/>
        <v>0</v>
      </c>
      <c r="CW24" s="4504">
        <f t="shared" si="85"/>
        <v>0</v>
      </c>
      <c r="CX24" s="4504">
        <f t="shared" si="86"/>
        <v>0</v>
      </c>
      <c r="CY24" s="4504">
        <f t="shared" si="87"/>
        <v>244.42932277773699</v>
      </c>
      <c r="CZ24" s="4504">
        <f t="shared" si="88"/>
        <v>253.1574295556247</v>
      </c>
      <c r="DA24" s="4504">
        <f t="shared" si="89"/>
        <v>249.03178556456098</v>
      </c>
      <c r="DB24" s="4504">
        <f t="shared" si="90"/>
        <v>248.1461961460071</v>
      </c>
      <c r="DC24" s="4504">
        <f t="shared" si="91"/>
        <v>248.25114527139209</v>
      </c>
      <c r="DD24" s="4504">
        <f t="shared" si="92"/>
        <v>246.18775628311184</v>
      </c>
      <c r="DE24" s="4504">
        <f t="shared" si="93"/>
        <v>232.28223790076586</v>
      </c>
      <c r="DF24" s="4504">
        <f t="shared" si="94"/>
        <v>238.37447921205845</v>
      </c>
      <c r="DG24" s="4504">
        <f t="shared" si="95"/>
        <v>235.05167905329222</v>
      </c>
      <c r="DH24" s="4504">
        <f t="shared" si="96"/>
        <v>234.11350831618245</v>
      </c>
      <c r="DI24" s="4504">
        <f t="shared" si="97"/>
        <v>233.14854368056942</v>
      </c>
      <c r="DJ24" s="4504">
        <f t="shared" si="98"/>
        <v>231.45569184807428</v>
      </c>
    </row>
    <row r="25" spans="1:114" ht="13.2">
      <c r="A25" s="838" t="s">
        <v>151</v>
      </c>
      <c r="B25" s="896" t="s">
        <v>437</v>
      </c>
      <c r="C25" s="1185">
        <f>SUM(C26:C28)</f>
        <v>24.446460172824786</v>
      </c>
      <c r="D25" s="1134">
        <f t="shared" ref="D25:BB25" si="129">SUM(D26:D28)</f>
        <v>26.279944685786642</v>
      </c>
      <c r="E25" s="1135">
        <f t="shared" si="129"/>
        <v>26.279944685786642</v>
      </c>
      <c r="F25" s="1135">
        <f t="shared" si="129"/>
        <v>26.279944685786642</v>
      </c>
      <c r="G25" s="1135">
        <f t="shared" si="129"/>
        <v>26.279944685786642</v>
      </c>
      <c r="H25" s="1149">
        <f t="shared" si="129"/>
        <v>26.279944685786642</v>
      </c>
      <c r="I25" s="1250">
        <f t="shared" si="34"/>
        <v>1.8334845129618564</v>
      </c>
      <c r="J25" s="711">
        <f t="shared" si="35"/>
        <v>7.49999999999999E-2</v>
      </c>
      <c r="K25" s="1185">
        <f t="shared" si="129"/>
        <v>0.29772696493435824</v>
      </c>
      <c r="L25" s="1134">
        <f t="shared" si="129"/>
        <v>0.32005648730443503</v>
      </c>
      <c r="M25" s="1135">
        <f t="shared" si="129"/>
        <v>0.32005648730443503</v>
      </c>
      <c r="N25" s="1135">
        <f t="shared" si="129"/>
        <v>0.32005648730443503</v>
      </c>
      <c r="O25" s="1135">
        <f t="shared" si="129"/>
        <v>0.32005648730443503</v>
      </c>
      <c r="P25" s="1149">
        <f t="shared" si="129"/>
        <v>0.32005648730443503</v>
      </c>
      <c r="Q25" s="1250">
        <f t="shared" si="36"/>
        <v>2.2329522370076793E-2</v>
      </c>
      <c r="R25" s="878">
        <f t="shared" si="37"/>
        <v>7.4999999999999747E-2</v>
      </c>
      <c r="S25" s="1185">
        <f t="shared" si="129"/>
        <v>4.5544926618387525</v>
      </c>
      <c r="T25" s="1134">
        <f t="shared" si="129"/>
        <v>5.6460796114766589</v>
      </c>
      <c r="U25" s="1135">
        <f t="shared" si="129"/>
        <v>5.6460796114766589</v>
      </c>
      <c r="V25" s="1135">
        <f t="shared" si="129"/>
        <v>5.6460796114766589</v>
      </c>
      <c r="W25" s="1135">
        <f t="shared" si="129"/>
        <v>5.6460796114766589</v>
      </c>
      <c r="X25" s="1149">
        <f t="shared" si="129"/>
        <v>5.6460796114766589</v>
      </c>
      <c r="Y25" s="1250">
        <f t="shared" si="38"/>
        <v>1.0915869496379065</v>
      </c>
      <c r="Z25" s="878">
        <f t="shared" si="39"/>
        <v>0.23967256743744714</v>
      </c>
      <c r="AA25" s="1185">
        <f>SUM(AA26:AA28)</f>
        <v>0</v>
      </c>
      <c r="AB25" s="1134">
        <f t="shared" ref="AB25:AN25" si="130">SUM(AB26:AB28)</f>
        <v>0</v>
      </c>
      <c r="AC25" s="1135">
        <f t="shared" si="130"/>
        <v>0</v>
      </c>
      <c r="AD25" s="1135">
        <f t="shared" si="130"/>
        <v>0</v>
      </c>
      <c r="AE25" s="1135">
        <f t="shared" si="130"/>
        <v>0</v>
      </c>
      <c r="AF25" s="1149">
        <f t="shared" si="130"/>
        <v>0</v>
      </c>
      <c r="AG25" s="1250">
        <f t="shared" si="40"/>
        <v>0</v>
      </c>
      <c r="AH25" s="711">
        <f t="shared" si="41"/>
        <v>0</v>
      </c>
      <c r="AI25" s="1185">
        <f t="shared" si="130"/>
        <v>2.9497834950902999</v>
      </c>
      <c r="AJ25" s="1134">
        <f t="shared" si="130"/>
        <v>3.1710172572220721</v>
      </c>
      <c r="AK25" s="1135">
        <f t="shared" si="130"/>
        <v>3.1710172572220721</v>
      </c>
      <c r="AL25" s="1135">
        <f t="shared" si="130"/>
        <v>3.1710172572220721</v>
      </c>
      <c r="AM25" s="1135">
        <f t="shared" si="130"/>
        <v>3.1710172572220721</v>
      </c>
      <c r="AN25" s="1149">
        <f t="shared" si="130"/>
        <v>3.1710172572220721</v>
      </c>
      <c r="AO25" s="1250">
        <f t="shared" si="42"/>
        <v>0.22123376213177215</v>
      </c>
      <c r="AP25" s="711">
        <f t="shared" si="43"/>
        <v>7.4999999999999886E-2</v>
      </c>
      <c r="AQ25" s="1185">
        <f>SUM(AQ26:AQ28)</f>
        <v>3.7702643369304343</v>
      </c>
      <c r="AR25" s="1134">
        <f t="shared" si="129"/>
        <v>4.0530341622002162</v>
      </c>
      <c r="AS25" s="1135">
        <f t="shared" si="129"/>
        <v>4.0530341622002162</v>
      </c>
      <c r="AT25" s="1135">
        <f t="shared" si="129"/>
        <v>4.0530341622002162</v>
      </c>
      <c r="AU25" s="1135">
        <f t="shared" si="129"/>
        <v>4.0530341622002162</v>
      </c>
      <c r="AV25" s="3101">
        <f t="shared" si="129"/>
        <v>4.0530341622002162</v>
      </c>
      <c r="AW25" s="1185">
        <f t="shared" si="129"/>
        <v>32.2484632946882</v>
      </c>
      <c r="AX25" s="1134">
        <f t="shared" si="129"/>
        <v>35.417098041789814</v>
      </c>
      <c r="AY25" s="1135">
        <f t="shared" si="129"/>
        <v>35.417098041789814</v>
      </c>
      <c r="AZ25" s="1135">
        <f t="shared" si="129"/>
        <v>35.417098041789814</v>
      </c>
      <c r="BA25" s="1135">
        <f t="shared" si="129"/>
        <v>35.417098041789814</v>
      </c>
      <c r="BB25" s="1149">
        <f t="shared" si="129"/>
        <v>35.417098041789814</v>
      </c>
      <c r="BC25" s="1185">
        <f t="shared" ref="BC25:BH25" si="131">SUM(BC26:BC28)</f>
        <v>27.396243667915087</v>
      </c>
      <c r="BD25" s="1134">
        <f t="shared" si="131"/>
        <v>29.450961943008714</v>
      </c>
      <c r="BE25" s="1135">
        <f t="shared" si="131"/>
        <v>29.450961943008714</v>
      </c>
      <c r="BF25" s="1135">
        <f t="shared" si="131"/>
        <v>29.450961943008714</v>
      </c>
      <c r="BG25" s="1135">
        <f t="shared" si="131"/>
        <v>29.450961943008714</v>
      </c>
      <c r="BH25" s="3101">
        <f t="shared" si="131"/>
        <v>29.450961943008714</v>
      </c>
      <c r="BI25" s="4488"/>
      <c r="BJ25" s="4504">
        <f t="shared" si="46"/>
        <v>12.499276610352018</v>
      </c>
      <c r="BK25" s="4504">
        <f t="shared" si="47"/>
        <v>13.436722356128417</v>
      </c>
      <c r="BL25" s="4504">
        <f t="shared" si="48"/>
        <v>13.436722356128417</v>
      </c>
      <c r="BM25" s="4504">
        <f t="shared" si="49"/>
        <v>13.436722356128417</v>
      </c>
      <c r="BN25" s="4504">
        <f t="shared" si="50"/>
        <v>13.436722356128417</v>
      </c>
      <c r="BO25" s="4504">
        <f t="shared" si="51"/>
        <v>13.436722356128417</v>
      </c>
      <c r="BP25" s="4504">
        <f t="shared" si="52"/>
        <v>0.93744574577640005</v>
      </c>
      <c r="BQ25" s="4504">
        <f t="shared" si="53"/>
        <v>0.15222537998412861</v>
      </c>
      <c r="BR25" s="4504">
        <f t="shared" si="54"/>
        <v>0.16364228348293822</v>
      </c>
      <c r="BS25" s="4504">
        <f t="shared" si="55"/>
        <v>0.16364228348293822</v>
      </c>
      <c r="BT25" s="4504">
        <f t="shared" si="56"/>
        <v>0.16364228348293822</v>
      </c>
      <c r="BU25" s="4504">
        <f t="shared" si="57"/>
        <v>0.16364228348293822</v>
      </c>
      <c r="BV25" s="4504">
        <f t="shared" si="58"/>
        <v>0.16364228348293822</v>
      </c>
      <c r="BW25" s="4504">
        <f t="shared" si="59"/>
        <v>1.1416903498809607E-2</v>
      </c>
      <c r="BX25" s="4504">
        <f t="shared" si="60"/>
        <v>2.3286751209659085</v>
      </c>
      <c r="BY25" s="4504">
        <f t="shared" si="61"/>
        <v>2.8867946659355153</v>
      </c>
      <c r="BZ25" s="4504">
        <f t="shared" si="62"/>
        <v>2.8867946659355153</v>
      </c>
      <c r="CA25" s="4504">
        <f t="shared" si="63"/>
        <v>2.8867946659355153</v>
      </c>
      <c r="CB25" s="4504">
        <f t="shared" si="64"/>
        <v>2.8867946659355153</v>
      </c>
      <c r="CC25" s="4504">
        <f t="shared" si="65"/>
        <v>2.8867946659355153</v>
      </c>
      <c r="CD25" s="4504">
        <f t="shared" si="66"/>
        <v>0.55811954496960703</v>
      </c>
      <c r="CE25" s="4504">
        <f t="shared" si="67"/>
        <v>0</v>
      </c>
      <c r="CF25" s="4504">
        <f t="shared" si="68"/>
        <v>0</v>
      </c>
      <c r="CG25" s="4504">
        <f t="shared" si="69"/>
        <v>0</v>
      </c>
      <c r="CH25" s="4504">
        <f t="shared" si="70"/>
        <v>0</v>
      </c>
      <c r="CI25" s="4504">
        <f t="shared" si="71"/>
        <v>0</v>
      </c>
      <c r="CJ25" s="4504">
        <f t="shared" si="72"/>
        <v>0</v>
      </c>
      <c r="CK25" s="4504">
        <f t="shared" si="73"/>
        <v>0</v>
      </c>
      <c r="CL25" s="4504">
        <f t="shared" si="74"/>
        <v>1.5082003523262757</v>
      </c>
      <c r="CM25" s="4504">
        <f t="shared" si="75"/>
        <v>1.6213153787507464</v>
      </c>
      <c r="CN25" s="4504">
        <f t="shared" si="76"/>
        <v>1.6213153787507464</v>
      </c>
      <c r="CO25" s="4504">
        <f t="shared" si="77"/>
        <v>1.6213153787507464</v>
      </c>
      <c r="CP25" s="4504">
        <f t="shared" si="78"/>
        <v>1.6213153787507464</v>
      </c>
      <c r="CQ25" s="4504">
        <f t="shared" si="79"/>
        <v>1.6213153787507464</v>
      </c>
      <c r="CR25" s="4504">
        <f t="shared" si="80"/>
        <v>0.11311502642447051</v>
      </c>
      <c r="CS25" s="4504">
        <f t="shared" si="81"/>
        <v>1.9277055454361751</v>
      </c>
      <c r="CT25" s="4504">
        <f t="shared" si="82"/>
        <v>2.0722834613438881</v>
      </c>
      <c r="CU25" s="4504">
        <f t="shared" si="83"/>
        <v>2.0722834613438881</v>
      </c>
      <c r="CV25" s="4504">
        <f t="shared" si="84"/>
        <v>2.0722834613438881</v>
      </c>
      <c r="CW25" s="4504">
        <f t="shared" si="85"/>
        <v>2.0722834613438881</v>
      </c>
      <c r="CX25" s="4504">
        <f t="shared" si="86"/>
        <v>2.0722834613438881</v>
      </c>
      <c r="CY25" s="4504">
        <f t="shared" si="87"/>
        <v>16.488377463628332</v>
      </c>
      <c r="CZ25" s="4504">
        <f t="shared" si="88"/>
        <v>18.108474684297619</v>
      </c>
      <c r="DA25" s="4504">
        <f t="shared" si="89"/>
        <v>18.108474684297619</v>
      </c>
      <c r="DB25" s="4504">
        <f t="shared" si="90"/>
        <v>18.108474684297619</v>
      </c>
      <c r="DC25" s="4504">
        <f t="shared" si="91"/>
        <v>18.108474684297619</v>
      </c>
      <c r="DD25" s="4504">
        <f t="shared" si="92"/>
        <v>18.108474684297619</v>
      </c>
      <c r="DE25" s="4504">
        <f t="shared" si="93"/>
        <v>14.007476962678293</v>
      </c>
      <c r="DF25" s="4504">
        <f t="shared" si="94"/>
        <v>15.058037734879164</v>
      </c>
      <c r="DG25" s="4504">
        <f t="shared" si="95"/>
        <v>15.058037734879164</v>
      </c>
      <c r="DH25" s="4504">
        <f t="shared" si="96"/>
        <v>15.058037734879164</v>
      </c>
      <c r="DI25" s="4504">
        <f t="shared" si="97"/>
        <v>15.058037734879164</v>
      </c>
      <c r="DJ25" s="4504">
        <f t="shared" si="98"/>
        <v>15.058037734879164</v>
      </c>
    </row>
    <row r="26" spans="1:114" ht="13.2">
      <c r="A26" s="839" t="s">
        <v>438</v>
      </c>
      <c r="B26" s="4622" t="s">
        <v>437</v>
      </c>
      <c r="C26" s="3070">
        <v>24.446460172824786</v>
      </c>
      <c r="D26" s="3071">
        <v>26.279944685786642</v>
      </c>
      <c r="E26" s="3071">
        <v>26.279944685786642</v>
      </c>
      <c r="F26" s="3071">
        <v>26.279944685786642</v>
      </c>
      <c r="G26" s="3071">
        <v>26.279944685786642</v>
      </c>
      <c r="H26" s="3072">
        <v>26.279944685786642</v>
      </c>
      <c r="I26" s="1251">
        <f t="shared" si="34"/>
        <v>1.8334845129618564</v>
      </c>
      <c r="J26" s="826">
        <f t="shared" si="35"/>
        <v>7.49999999999999E-2</v>
      </c>
      <c r="K26" s="3070">
        <v>0.29772696493435824</v>
      </c>
      <c r="L26" s="3071">
        <v>0.32005648730443503</v>
      </c>
      <c r="M26" s="3071">
        <v>0.32005648730443503</v>
      </c>
      <c r="N26" s="3071">
        <v>0.32005648730443503</v>
      </c>
      <c r="O26" s="3071">
        <v>0.32005648730443503</v>
      </c>
      <c r="P26" s="3072">
        <v>0.32005648730443503</v>
      </c>
      <c r="Q26" s="1251">
        <f t="shared" si="36"/>
        <v>2.2329522370076793E-2</v>
      </c>
      <c r="R26" s="1121">
        <f t="shared" si="37"/>
        <v>7.4999999999999747E-2</v>
      </c>
      <c r="S26" s="3070">
        <v>4.5544926618387525</v>
      </c>
      <c r="T26" s="3071">
        <v>5.6460796114766589</v>
      </c>
      <c r="U26" s="3071">
        <v>5.6460796114766589</v>
      </c>
      <c r="V26" s="3071">
        <v>5.6460796114766589</v>
      </c>
      <c r="W26" s="3071">
        <v>5.6460796114766589</v>
      </c>
      <c r="X26" s="3072">
        <v>5.6460796114766589</v>
      </c>
      <c r="Y26" s="1251">
        <f t="shared" si="38"/>
        <v>1.0915869496379065</v>
      </c>
      <c r="Z26" s="1121">
        <f t="shared" si="39"/>
        <v>0.23967256743744714</v>
      </c>
      <c r="AA26" s="3070"/>
      <c r="AB26" s="3071"/>
      <c r="AC26" s="3071"/>
      <c r="AD26" s="3071"/>
      <c r="AE26" s="3071"/>
      <c r="AF26" s="3072"/>
      <c r="AG26" s="1251">
        <f t="shared" si="40"/>
        <v>0</v>
      </c>
      <c r="AH26" s="826">
        <f t="shared" si="41"/>
        <v>0</v>
      </c>
      <c r="AI26" s="3070">
        <v>2.9497834950902999</v>
      </c>
      <c r="AJ26" s="3071">
        <v>3.1710172572220721</v>
      </c>
      <c r="AK26" s="3071">
        <v>3.1710172572220721</v>
      </c>
      <c r="AL26" s="3071">
        <v>3.1710172572220721</v>
      </c>
      <c r="AM26" s="3071">
        <v>3.1710172572220721</v>
      </c>
      <c r="AN26" s="3072">
        <v>3.1710172572220721</v>
      </c>
      <c r="AO26" s="1251">
        <f t="shared" si="42"/>
        <v>0.22123376213177215</v>
      </c>
      <c r="AP26" s="826">
        <f t="shared" si="43"/>
        <v>7.4999999999999886E-2</v>
      </c>
      <c r="AQ26" s="3070">
        <v>3.7702643369304343</v>
      </c>
      <c r="AR26" s="3071">
        <v>4.0530341622002162</v>
      </c>
      <c r="AS26" s="3071">
        <v>4.0530341622002162</v>
      </c>
      <c r="AT26" s="3071">
        <v>4.0530341622002162</v>
      </c>
      <c r="AU26" s="3071">
        <v>4.0530341622002162</v>
      </c>
      <c r="AV26" s="3100">
        <v>4.0530341622002162</v>
      </c>
      <c r="AW26" s="1112">
        <f t="shared" ref="AW26:AW28" si="132">C26+K26+S26+AA26+AI26</f>
        <v>32.2484632946882</v>
      </c>
      <c r="AX26" s="3090">
        <f t="shared" ref="AX26:AX28" si="133">D26+L26+T26+AB26+AJ26</f>
        <v>35.417098041789814</v>
      </c>
      <c r="AY26" s="3090">
        <f t="shared" ref="AY26:AY28" si="134">E26+M26+U26+AC26+AK26</f>
        <v>35.417098041789814</v>
      </c>
      <c r="AZ26" s="3090">
        <f t="shared" ref="AZ26:AZ28" si="135">F26+N26+V26+AD26+AL26</f>
        <v>35.417098041789814</v>
      </c>
      <c r="BA26" s="3090">
        <f t="shared" ref="BA26:BA28" si="136">G26+O26+W26+AE26+AM26</f>
        <v>35.417098041789814</v>
      </c>
      <c r="BB26" s="3091">
        <f t="shared" ref="BB26:BB28" si="137">H26+P26+X26+AF26+AN26</f>
        <v>35.417098041789814</v>
      </c>
      <c r="BC26" s="3111">
        <f t="shared" ref="BC26:BC28" si="138">C26+AA26+AI26</f>
        <v>27.396243667915087</v>
      </c>
      <c r="BD26" s="3112">
        <f t="shared" ref="BD26:BD28" si="139">D26+AB26+AJ26</f>
        <v>29.450961943008714</v>
      </c>
      <c r="BE26" s="3113">
        <f t="shared" ref="BE26:BE28" si="140">E26+AC26+AK26</f>
        <v>29.450961943008714</v>
      </c>
      <c r="BF26" s="3113">
        <f t="shared" ref="BF26:BF28" si="141">F26+AD26+AL26</f>
        <v>29.450961943008714</v>
      </c>
      <c r="BG26" s="3113">
        <f t="shared" ref="BG26:BG28" si="142">G26+AE26+AM26</f>
        <v>29.450961943008714</v>
      </c>
      <c r="BH26" s="3115">
        <f t="shared" ref="BH26:BH28" si="143">H26+AF26+AN26</f>
        <v>29.450961943008714</v>
      </c>
      <c r="BI26" s="4488"/>
      <c r="BJ26" s="4504">
        <f t="shared" si="46"/>
        <v>12.499276610352018</v>
      </c>
      <c r="BK26" s="4504">
        <f t="shared" si="47"/>
        <v>13.436722356128417</v>
      </c>
      <c r="BL26" s="4504">
        <f t="shared" si="48"/>
        <v>13.436722356128417</v>
      </c>
      <c r="BM26" s="4504">
        <f t="shared" si="49"/>
        <v>13.436722356128417</v>
      </c>
      <c r="BN26" s="4504">
        <f t="shared" si="50"/>
        <v>13.436722356128417</v>
      </c>
      <c r="BO26" s="4504">
        <f t="shared" si="51"/>
        <v>13.436722356128417</v>
      </c>
      <c r="BP26" s="4504">
        <f t="shared" si="52"/>
        <v>0.93744574577640005</v>
      </c>
      <c r="BQ26" s="4504">
        <f t="shared" si="53"/>
        <v>0.15222537998412861</v>
      </c>
      <c r="BR26" s="4504">
        <f t="shared" si="54"/>
        <v>0.16364228348293822</v>
      </c>
      <c r="BS26" s="4504">
        <f t="shared" si="55"/>
        <v>0.16364228348293822</v>
      </c>
      <c r="BT26" s="4504">
        <f t="shared" si="56"/>
        <v>0.16364228348293822</v>
      </c>
      <c r="BU26" s="4504">
        <f t="shared" si="57"/>
        <v>0.16364228348293822</v>
      </c>
      <c r="BV26" s="4504">
        <f t="shared" si="58"/>
        <v>0.16364228348293822</v>
      </c>
      <c r="BW26" s="4504">
        <f t="shared" si="59"/>
        <v>1.1416903498809607E-2</v>
      </c>
      <c r="BX26" s="4504">
        <f t="shared" si="60"/>
        <v>2.3286751209659085</v>
      </c>
      <c r="BY26" s="4504">
        <f t="shared" si="61"/>
        <v>2.8867946659355153</v>
      </c>
      <c r="BZ26" s="4504">
        <f t="shared" si="62"/>
        <v>2.8867946659355153</v>
      </c>
      <c r="CA26" s="4504">
        <f t="shared" si="63"/>
        <v>2.8867946659355153</v>
      </c>
      <c r="CB26" s="4504">
        <f t="shared" si="64"/>
        <v>2.8867946659355153</v>
      </c>
      <c r="CC26" s="4504">
        <f t="shared" si="65"/>
        <v>2.8867946659355153</v>
      </c>
      <c r="CD26" s="4504">
        <f t="shared" si="66"/>
        <v>0.55811954496960703</v>
      </c>
      <c r="CE26" s="4504">
        <f t="shared" si="67"/>
        <v>0</v>
      </c>
      <c r="CF26" s="4504">
        <f t="shared" si="68"/>
        <v>0</v>
      </c>
      <c r="CG26" s="4504">
        <f t="shared" si="69"/>
        <v>0</v>
      </c>
      <c r="CH26" s="4504">
        <f t="shared" si="70"/>
        <v>0</v>
      </c>
      <c r="CI26" s="4504">
        <f t="shared" si="71"/>
        <v>0</v>
      </c>
      <c r="CJ26" s="4504">
        <f t="shared" si="72"/>
        <v>0</v>
      </c>
      <c r="CK26" s="4504">
        <f t="shared" si="73"/>
        <v>0</v>
      </c>
      <c r="CL26" s="4504">
        <f t="shared" si="74"/>
        <v>1.5082003523262757</v>
      </c>
      <c r="CM26" s="4504">
        <f t="shared" si="75"/>
        <v>1.6213153787507464</v>
      </c>
      <c r="CN26" s="4504">
        <f t="shared" si="76"/>
        <v>1.6213153787507464</v>
      </c>
      <c r="CO26" s="4504">
        <f t="shared" si="77"/>
        <v>1.6213153787507464</v>
      </c>
      <c r="CP26" s="4504">
        <f t="shared" si="78"/>
        <v>1.6213153787507464</v>
      </c>
      <c r="CQ26" s="4504">
        <f t="shared" si="79"/>
        <v>1.6213153787507464</v>
      </c>
      <c r="CR26" s="4504">
        <f t="shared" si="80"/>
        <v>0.11311502642447051</v>
      </c>
      <c r="CS26" s="4504">
        <f t="shared" si="81"/>
        <v>1.9277055454361751</v>
      </c>
      <c r="CT26" s="4504">
        <f t="shared" si="82"/>
        <v>2.0722834613438881</v>
      </c>
      <c r="CU26" s="4504">
        <f t="shared" si="83"/>
        <v>2.0722834613438881</v>
      </c>
      <c r="CV26" s="4504">
        <f t="shared" si="84"/>
        <v>2.0722834613438881</v>
      </c>
      <c r="CW26" s="4504">
        <f t="shared" si="85"/>
        <v>2.0722834613438881</v>
      </c>
      <c r="CX26" s="4504">
        <f t="shared" si="86"/>
        <v>2.0722834613438881</v>
      </c>
      <c r="CY26" s="4504">
        <f t="shared" si="87"/>
        <v>16.488377463628332</v>
      </c>
      <c r="CZ26" s="4504">
        <f t="shared" si="88"/>
        <v>18.108474684297619</v>
      </c>
      <c r="DA26" s="4504">
        <f t="shared" si="89"/>
        <v>18.108474684297619</v>
      </c>
      <c r="DB26" s="4504">
        <f t="shared" si="90"/>
        <v>18.108474684297619</v>
      </c>
      <c r="DC26" s="4504">
        <f t="shared" si="91"/>
        <v>18.108474684297619</v>
      </c>
      <c r="DD26" s="4504">
        <f t="shared" si="92"/>
        <v>18.108474684297619</v>
      </c>
      <c r="DE26" s="4504">
        <f t="shared" si="93"/>
        <v>14.007476962678293</v>
      </c>
      <c r="DF26" s="4504">
        <f t="shared" si="94"/>
        <v>15.058037734879164</v>
      </c>
      <c r="DG26" s="4504">
        <f t="shared" si="95"/>
        <v>15.058037734879164</v>
      </c>
      <c r="DH26" s="4504">
        <f t="shared" si="96"/>
        <v>15.058037734879164</v>
      </c>
      <c r="DI26" s="4504">
        <f t="shared" si="97"/>
        <v>15.058037734879164</v>
      </c>
      <c r="DJ26" s="4504">
        <f t="shared" si="98"/>
        <v>15.058037734879164</v>
      </c>
    </row>
    <row r="27" spans="1:114" ht="13.2">
      <c r="A27" s="841" t="s">
        <v>439</v>
      </c>
      <c r="B27" s="414"/>
      <c r="C27" s="3070"/>
      <c r="D27" s="3071"/>
      <c r="E27" s="3071"/>
      <c r="F27" s="3071"/>
      <c r="G27" s="3071"/>
      <c r="H27" s="3072"/>
      <c r="I27" s="1251">
        <f t="shared" si="34"/>
        <v>0</v>
      </c>
      <c r="J27" s="826">
        <f t="shared" si="35"/>
        <v>0</v>
      </c>
      <c r="K27" s="3070"/>
      <c r="L27" s="3071"/>
      <c r="M27" s="3071"/>
      <c r="N27" s="3071"/>
      <c r="O27" s="3071"/>
      <c r="P27" s="3072"/>
      <c r="Q27" s="1251">
        <f t="shared" si="36"/>
        <v>0</v>
      </c>
      <c r="R27" s="1121">
        <f t="shared" si="37"/>
        <v>0</v>
      </c>
      <c r="S27" s="3070"/>
      <c r="T27" s="3071"/>
      <c r="U27" s="3071"/>
      <c r="V27" s="3071"/>
      <c r="W27" s="3071"/>
      <c r="X27" s="3072"/>
      <c r="Y27" s="1251">
        <f t="shared" si="38"/>
        <v>0</v>
      </c>
      <c r="Z27" s="1121">
        <f t="shared" si="39"/>
        <v>0</v>
      </c>
      <c r="AA27" s="3070"/>
      <c r="AB27" s="3071"/>
      <c r="AC27" s="3071"/>
      <c r="AD27" s="3071"/>
      <c r="AE27" s="3071"/>
      <c r="AF27" s="3072"/>
      <c r="AG27" s="1251">
        <f t="shared" si="40"/>
        <v>0</v>
      </c>
      <c r="AH27" s="826">
        <f t="shared" si="41"/>
        <v>0</v>
      </c>
      <c r="AI27" s="3070"/>
      <c r="AJ27" s="3071"/>
      <c r="AK27" s="3071"/>
      <c r="AL27" s="3071"/>
      <c r="AM27" s="3071"/>
      <c r="AN27" s="3072"/>
      <c r="AO27" s="1251">
        <f t="shared" si="42"/>
        <v>0</v>
      </c>
      <c r="AP27" s="826">
        <f t="shared" si="43"/>
        <v>0</v>
      </c>
      <c r="AQ27" s="3070">
        <v>0</v>
      </c>
      <c r="AR27" s="3071">
        <v>0</v>
      </c>
      <c r="AS27" s="3071">
        <v>0</v>
      </c>
      <c r="AT27" s="3071">
        <v>0</v>
      </c>
      <c r="AU27" s="3071">
        <v>0</v>
      </c>
      <c r="AV27" s="3100">
        <v>0</v>
      </c>
      <c r="AW27" s="1112">
        <f t="shared" si="132"/>
        <v>0</v>
      </c>
      <c r="AX27" s="3090">
        <f t="shared" si="133"/>
        <v>0</v>
      </c>
      <c r="AY27" s="3090">
        <f t="shared" si="134"/>
        <v>0</v>
      </c>
      <c r="AZ27" s="3090">
        <f t="shared" si="135"/>
        <v>0</v>
      </c>
      <c r="BA27" s="3090">
        <f t="shared" si="136"/>
        <v>0</v>
      </c>
      <c r="BB27" s="3091">
        <f t="shared" si="137"/>
        <v>0</v>
      </c>
      <c r="BC27" s="3111">
        <f t="shared" si="138"/>
        <v>0</v>
      </c>
      <c r="BD27" s="3112">
        <f t="shared" si="139"/>
        <v>0</v>
      </c>
      <c r="BE27" s="3113">
        <f t="shared" si="140"/>
        <v>0</v>
      </c>
      <c r="BF27" s="3113">
        <f t="shared" si="141"/>
        <v>0</v>
      </c>
      <c r="BG27" s="3113">
        <f t="shared" si="142"/>
        <v>0</v>
      </c>
      <c r="BH27" s="3115">
        <f t="shared" si="143"/>
        <v>0</v>
      </c>
      <c r="BI27" s="4488"/>
      <c r="BJ27" s="4504">
        <f t="shared" si="46"/>
        <v>0</v>
      </c>
      <c r="BK27" s="4504">
        <f t="shared" si="47"/>
        <v>0</v>
      </c>
      <c r="BL27" s="4504">
        <f t="shared" si="48"/>
        <v>0</v>
      </c>
      <c r="BM27" s="4504">
        <f t="shared" si="49"/>
        <v>0</v>
      </c>
      <c r="BN27" s="4504">
        <f t="shared" si="50"/>
        <v>0</v>
      </c>
      <c r="BO27" s="4504">
        <f t="shared" si="51"/>
        <v>0</v>
      </c>
      <c r="BP27" s="4504">
        <f t="shared" si="52"/>
        <v>0</v>
      </c>
      <c r="BQ27" s="4504">
        <f t="shared" si="53"/>
        <v>0</v>
      </c>
      <c r="BR27" s="4504">
        <f t="shared" si="54"/>
        <v>0</v>
      </c>
      <c r="BS27" s="4504">
        <f t="shared" si="55"/>
        <v>0</v>
      </c>
      <c r="BT27" s="4504">
        <f t="shared" si="56"/>
        <v>0</v>
      </c>
      <c r="BU27" s="4504">
        <f t="shared" si="57"/>
        <v>0</v>
      </c>
      <c r="BV27" s="4504">
        <f t="shared" si="58"/>
        <v>0</v>
      </c>
      <c r="BW27" s="4504">
        <f t="shared" si="59"/>
        <v>0</v>
      </c>
      <c r="BX27" s="4504">
        <f t="shared" si="60"/>
        <v>0</v>
      </c>
      <c r="BY27" s="4504">
        <f t="shared" si="61"/>
        <v>0</v>
      </c>
      <c r="BZ27" s="4504">
        <f t="shared" si="62"/>
        <v>0</v>
      </c>
      <c r="CA27" s="4504">
        <f t="shared" si="63"/>
        <v>0</v>
      </c>
      <c r="CB27" s="4504">
        <f t="shared" si="64"/>
        <v>0</v>
      </c>
      <c r="CC27" s="4504">
        <f t="shared" si="65"/>
        <v>0</v>
      </c>
      <c r="CD27" s="4504">
        <f t="shared" si="66"/>
        <v>0</v>
      </c>
      <c r="CE27" s="4504">
        <f t="shared" si="67"/>
        <v>0</v>
      </c>
      <c r="CF27" s="4504">
        <f t="shared" si="68"/>
        <v>0</v>
      </c>
      <c r="CG27" s="4504">
        <f t="shared" si="69"/>
        <v>0</v>
      </c>
      <c r="CH27" s="4504">
        <f t="shared" si="70"/>
        <v>0</v>
      </c>
      <c r="CI27" s="4504">
        <f t="shared" si="71"/>
        <v>0</v>
      </c>
      <c r="CJ27" s="4504">
        <f t="shared" si="72"/>
        <v>0</v>
      </c>
      <c r="CK27" s="4504">
        <f t="shared" si="73"/>
        <v>0</v>
      </c>
      <c r="CL27" s="4504">
        <f t="shared" si="74"/>
        <v>0</v>
      </c>
      <c r="CM27" s="4504">
        <f t="shared" si="75"/>
        <v>0</v>
      </c>
      <c r="CN27" s="4504">
        <f t="shared" si="76"/>
        <v>0</v>
      </c>
      <c r="CO27" s="4504">
        <f t="shared" si="77"/>
        <v>0</v>
      </c>
      <c r="CP27" s="4504">
        <f t="shared" si="78"/>
        <v>0</v>
      </c>
      <c r="CQ27" s="4504">
        <f t="shared" si="79"/>
        <v>0</v>
      </c>
      <c r="CR27" s="4504">
        <f t="shared" si="80"/>
        <v>0</v>
      </c>
      <c r="CS27" s="4504">
        <f t="shared" si="81"/>
        <v>0</v>
      </c>
      <c r="CT27" s="4504">
        <f t="shared" si="82"/>
        <v>0</v>
      </c>
      <c r="CU27" s="4504">
        <f t="shared" si="83"/>
        <v>0</v>
      </c>
      <c r="CV27" s="4504">
        <f t="shared" si="84"/>
        <v>0</v>
      </c>
      <c r="CW27" s="4504">
        <f t="shared" si="85"/>
        <v>0</v>
      </c>
      <c r="CX27" s="4504">
        <f t="shared" si="86"/>
        <v>0</v>
      </c>
      <c r="CY27" s="4504">
        <f t="shared" si="87"/>
        <v>0</v>
      </c>
      <c r="CZ27" s="4504">
        <f t="shared" si="88"/>
        <v>0</v>
      </c>
      <c r="DA27" s="4504">
        <f t="shared" si="89"/>
        <v>0</v>
      </c>
      <c r="DB27" s="4504">
        <f t="shared" si="90"/>
        <v>0</v>
      </c>
      <c r="DC27" s="4504">
        <f t="shared" si="91"/>
        <v>0</v>
      </c>
      <c r="DD27" s="4504">
        <f t="shared" si="92"/>
        <v>0</v>
      </c>
      <c r="DE27" s="4504">
        <f t="shared" si="93"/>
        <v>0</v>
      </c>
      <c r="DF27" s="4504">
        <f t="shared" si="94"/>
        <v>0</v>
      </c>
      <c r="DG27" s="4504">
        <f t="shared" si="95"/>
        <v>0</v>
      </c>
      <c r="DH27" s="4504">
        <f t="shared" si="96"/>
        <v>0</v>
      </c>
      <c r="DI27" s="4504">
        <f t="shared" si="97"/>
        <v>0</v>
      </c>
      <c r="DJ27" s="4504">
        <f t="shared" si="98"/>
        <v>0</v>
      </c>
    </row>
    <row r="28" spans="1:114" thickBot="1">
      <c r="A28" s="841" t="s">
        <v>440</v>
      </c>
      <c r="B28" s="414"/>
      <c r="C28" s="3127"/>
      <c r="D28" s="3071"/>
      <c r="E28" s="3071"/>
      <c r="F28" s="3071"/>
      <c r="G28" s="3071"/>
      <c r="H28" s="3072"/>
      <c r="I28" s="1251">
        <f t="shared" si="34"/>
        <v>0</v>
      </c>
      <c r="J28" s="1182">
        <f t="shared" si="35"/>
        <v>0</v>
      </c>
      <c r="K28" s="3070"/>
      <c r="L28" s="3071"/>
      <c r="M28" s="3071"/>
      <c r="N28" s="3071"/>
      <c r="O28" s="3071"/>
      <c r="P28" s="3072"/>
      <c r="Q28" s="1251">
        <f t="shared" si="36"/>
        <v>0</v>
      </c>
      <c r="R28" s="1123">
        <f t="shared" si="37"/>
        <v>0</v>
      </c>
      <c r="S28" s="3070"/>
      <c r="T28" s="3071"/>
      <c r="U28" s="3071"/>
      <c r="V28" s="3071"/>
      <c r="W28" s="3071"/>
      <c r="X28" s="3072"/>
      <c r="Y28" s="1251">
        <f t="shared" si="38"/>
        <v>0</v>
      </c>
      <c r="Z28" s="1123">
        <f t="shared" si="39"/>
        <v>0</v>
      </c>
      <c r="AA28" s="3070"/>
      <c r="AB28" s="3071"/>
      <c r="AC28" s="3071"/>
      <c r="AD28" s="3071"/>
      <c r="AE28" s="3071"/>
      <c r="AF28" s="3072"/>
      <c r="AG28" s="1251">
        <f t="shared" si="40"/>
        <v>0</v>
      </c>
      <c r="AH28" s="1182">
        <f t="shared" si="41"/>
        <v>0</v>
      </c>
      <c r="AI28" s="3070"/>
      <c r="AJ28" s="3071"/>
      <c r="AK28" s="3071"/>
      <c r="AL28" s="3071"/>
      <c r="AM28" s="3071"/>
      <c r="AN28" s="3072"/>
      <c r="AO28" s="1251">
        <f t="shared" si="42"/>
        <v>0</v>
      </c>
      <c r="AP28" s="1182">
        <f t="shared" si="43"/>
        <v>0</v>
      </c>
      <c r="AQ28" s="3070">
        <v>0</v>
      </c>
      <c r="AR28" s="3071">
        <v>0</v>
      </c>
      <c r="AS28" s="3071">
        <v>0</v>
      </c>
      <c r="AT28" s="3071">
        <v>0</v>
      </c>
      <c r="AU28" s="3071">
        <v>0</v>
      </c>
      <c r="AV28" s="3100">
        <v>0</v>
      </c>
      <c r="AW28" s="1112">
        <f t="shared" si="132"/>
        <v>0</v>
      </c>
      <c r="AX28" s="3090">
        <f t="shared" si="133"/>
        <v>0</v>
      </c>
      <c r="AY28" s="3090">
        <f t="shared" si="134"/>
        <v>0</v>
      </c>
      <c r="AZ28" s="3090">
        <f t="shared" si="135"/>
        <v>0</v>
      </c>
      <c r="BA28" s="3090">
        <f t="shared" si="136"/>
        <v>0</v>
      </c>
      <c r="BB28" s="3091">
        <f t="shared" si="137"/>
        <v>0</v>
      </c>
      <c r="BC28" s="3111">
        <f t="shared" si="138"/>
        <v>0</v>
      </c>
      <c r="BD28" s="3112">
        <f t="shared" si="139"/>
        <v>0</v>
      </c>
      <c r="BE28" s="3113">
        <f t="shared" si="140"/>
        <v>0</v>
      </c>
      <c r="BF28" s="3113">
        <f t="shared" si="141"/>
        <v>0</v>
      </c>
      <c r="BG28" s="3113">
        <f t="shared" si="142"/>
        <v>0</v>
      </c>
      <c r="BH28" s="3115">
        <f t="shared" si="143"/>
        <v>0</v>
      </c>
      <c r="BI28" s="4488"/>
      <c r="BJ28" s="4504">
        <f t="shared" si="46"/>
        <v>0</v>
      </c>
      <c r="BK28" s="4504">
        <f t="shared" si="47"/>
        <v>0</v>
      </c>
      <c r="BL28" s="4504">
        <f t="shared" si="48"/>
        <v>0</v>
      </c>
      <c r="BM28" s="4504">
        <f t="shared" si="49"/>
        <v>0</v>
      </c>
      <c r="BN28" s="4504">
        <f t="shared" si="50"/>
        <v>0</v>
      </c>
      <c r="BO28" s="4504">
        <f t="shared" si="51"/>
        <v>0</v>
      </c>
      <c r="BP28" s="4504">
        <f t="shared" si="52"/>
        <v>0</v>
      </c>
      <c r="BQ28" s="4504">
        <f t="shared" si="53"/>
        <v>0</v>
      </c>
      <c r="BR28" s="4504">
        <f t="shared" si="54"/>
        <v>0</v>
      </c>
      <c r="BS28" s="4504">
        <f t="shared" si="55"/>
        <v>0</v>
      </c>
      <c r="BT28" s="4504">
        <f t="shared" si="56"/>
        <v>0</v>
      </c>
      <c r="BU28" s="4504">
        <f t="shared" si="57"/>
        <v>0</v>
      </c>
      <c r="BV28" s="4504">
        <f t="shared" si="58"/>
        <v>0</v>
      </c>
      <c r="BW28" s="4504">
        <f t="shared" si="59"/>
        <v>0</v>
      </c>
      <c r="BX28" s="4504">
        <f t="shared" si="60"/>
        <v>0</v>
      </c>
      <c r="BY28" s="4504">
        <f t="shared" si="61"/>
        <v>0</v>
      </c>
      <c r="BZ28" s="4504">
        <f t="shared" si="62"/>
        <v>0</v>
      </c>
      <c r="CA28" s="4504">
        <f t="shared" si="63"/>
        <v>0</v>
      </c>
      <c r="CB28" s="4504">
        <f t="shared" si="64"/>
        <v>0</v>
      </c>
      <c r="CC28" s="4504">
        <f t="shared" si="65"/>
        <v>0</v>
      </c>
      <c r="CD28" s="4504">
        <f t="shared" si="66"/>
        <v>0</v>
      </c>
      <c r="CE28" s="4504">
        <f t="shared" si="67"/>
        <v>0</v>
      </c>
      <c r="CF28" s="4504">
        <f t="shared" si="68"/>
        <v>0</v>
      </c>
      <c r="CG28" s="4504">
        <f t="shared" si="69"/>
        <v>0</v>
      </c>
      <c r="CH28" s="4504">
        <f t="shared" si="70"/>
        <v>0</v>
      </c>
      <c r="CI28" s="4504">
        <f t="shared" si="71"/>
        <v>0</v>
      </c>
      <c r="CJ28" s="4504">
        <f t="shared" si="72"/>
        <v>0</v>
      </c>
      <c r="CK28" s="4504">
        <f t="shared" si="73"/>
        <v>0</v>
      </c>
      <c r="CL28" s="4504">
        <f t="shared" si="74"/>
        <v>0</v>
      </c>
      <c r="CM28" s="4504">
        <f t="shared" si="75"/>
        <v>0</v>
      </c>
      <c r="CN28" s="4504">
        <f t="shared" si="76"/>
        <v>0</v>
      </c>
      <c r="CO28" s="4504">
        <f t="shared" si="77"/>
        <v>0</v>
      </c>
      <c r="CP28" s="4504">
        <f t="shared" si="78"/>
        <v>0</v>
      </c>
      <c r="CQ28" s="4504">
        <f t="shared" si="79"/>
        <v>0</v>
      </c>
      <c r="CR28" s="4504">
        <f t="shared" si="80"/>
        <v>0</v>
      </c>
      <c r="CS28" s="4504">
        <f t="shared" si="81"/>
        <v>0</v>
      </c>
      <c r="CT28" s="4504">
        <f t="shared" si="82"/>
        <v>0</v>
      </c>
      <c r="CU28" s="4504">
        <f t="shared" si="83"/>
        <v>0</v>
      </c>
      <c r="CV28" s="4504">
        <f t="shared" si="84"/>
        <v>0</v>
      </c>
      <c r="CW28" s="4504">
        <f t="shared" si="85"/>
        <v>0</v>
      </c>
      <c r="CX28" s="4504">
        <f t="shared" si="86"/>
        <v>0</v>
      </c>
      <c r="CY28" s="4504">
        <f t="shared" si="87"/>
        <v>0</v>
      </c>
      <c r="CZ28" s="4504">
        <f t="shared" si="88"/>
        <v>0</v>
      </c>
      <c r="DA28" s="4504">
        <f t="shared" si="89"/>
        <v>0</v>
      </c>
      <c r="DB28" s="4504">
        <f t="shared" si="90"/>
        <v>0</v>
      </c>
      <c r="DC28" s="4504">
        <f t="shared" si="91"/>
        <v>0</v>
      </c>
      <c r="DD28" s="4504">
        <f t="shared" si="92"/>
        <v>0</v>
      </c>
      <c r="DE28" s="4504">
        <f t="shared" si="93"/>
        <v>0</v>
      </c>
      <c r="DF28" s="4504">
        <f t="shared" si="94"/>
        <v>0</v>
      </c>
      <c r="DG28" s="4504">
        <f t="shared" si="95"/>
        <v>0</v>
      </c>
      <c r="DH28" s="4504">
        <f t="shared" si="96"/>
        <v>0</v>
      </c>
      <c r="DI28" s="4504">
        <f t="shared" si="97"/>
        <v>0</v>
      </c>
      <c r="DJ28" s="4504">
        <f t="shared" si="98"/>
        <v>0</v>
      </c>
    </row>
    <row r="29" spans="1:114" thickBot="1">
      <c r="A29" s="109" t="s">
        <v>95</v>
      </c>
      <c r="B29" s="897" t="s">
        <v>239</v>
      </c>
      <c r="C29" s="1110">
        <f>SUM(C30:C54)-C38-C51</f>
        <v>773.75609888426754</v>
      </c>
      <c r="D29" s="905">
        <f t="shared" ref="D29:X29" si="144">SUM(D30:D54)-D38-D51</f>
        <v>866.67024897420299</v>
      </c>
      <c r="E29" s="1147">
        <f t="shared" si="144"/>
        <v>868.14851677056879</v>
      </c>
      <c r="F29" s="1147">
        <f t="shared" si="144"/>
        <v>861.83188950694682</v>
      </c>
      <c r="G29" s="1147">
        <f t="shared" si="144"/>
        <v>865.0654766489738</v>
      </c>
      <c r="H29" s="1150">
        <f t="shared" si="144"/>
        <v>858.19871765239009</v>
      </c>
      <c r="I29" s="1246">
        <f t="shared" si="34"/>
        <v>92.914150089935447</v>
      </c>
      <c r="J29" s="820">
        <f t="shared" si="35"/>
        <v>0.12008196151722073</v>
      </c>
      <c r="K29" s="1110">
        <f t="shared" si="144"/>
        <v>31.803552062251342</v>
      </c>
      <c r="L29" s="905">
        <f t="shared" si="144"/>
        <v>31.73133924565569</v>
      </c>
      <c r="M29" s="1147">
        <f t="shared" si="144"/>
        <v>31.553135620472325</v>
      </c>
      <c r="N29" s="1147">
        <f t="shared" si="144"/>
        <v>30.816293493210374</v>
      </c>
      <c r="O29" s="1147">
        <f t="shared" si="144"/>
        <v>31.680532371125409</v>
      </c>
      <c r="P29" s="1150">
        <f t="shared" si="144"/>
        <v>30.959358042465631</v>
      </c>
      <c r="Q29" s="1246">
        <f t="shared" si="36"/>
        <v>-7.221281659565193E-2</v>
      </c>
      <c r="R29" s="875">
        <f t="shared" si="37"/>
        <v>-2.2705896641452084E-3</v>
      </c>
      <c r="S29" s="1110">
        <f t="shared" si="144"/>
        <v>244.59925512739284</v>
      </c>
      <c r="T29" s="905">
        <f t="shared" si="144"/>
        <v>261.49212466517702</v>
      </c>
      <c r="U29" s="1147">
        <f t="shared" si="144"/>
        <v>262.14565633799248</v>
      </c>
      <c r="V29" s="1147">
        <f t="shared" si="144"/>
        <v>262.91631955948776</v>
      </c>
      <c r="W29" s="1147">
        <f t="shared" si="144"/>
        <v>264.21864372272188</v>
      </c>
      <c r="X29" s="1150">
        <f t="shared" si="144"/>
        <v>265.9260759950883</v>
      </c>
      <c r="Y29" s="1246">
        <f t="shared" si="38"/>
        <v>16.892869537784179</v>
      </c>
      <c r="Z29" s="875">
        <f t="shared" si="39"/>
        <v>6.9063454543170991E-2</v>
      </c>
      <c r="AA29" s="1110">
        <f t="shared" ref="AA29:AN29" si="145">SUM(AA30:AA54)-AA38-AA51</f>
        <v>0</v>
      </c>
      <c r="AB29" s="905">
        <f t="shared" si="145"/>
        <v>0</v>
      </c>
      <c r="AC29" s="1147">
        <f t="shared" si="145"/>
        <v>0</v>
      </c>
      <c r="AD29" s="1147">
        <f t="shared" si="145"/>
        <v>0</v>
      </c>
      <c r="AE29" s="1147">
        <f t="shared" si="145"/>
        <v>0</v>
      </c>
      <c r="AF29" s="1150">
        <f t="shared" si="145"/>
        <v>0</v>
      </c>
      <c r="AG29" s="1246">
        <f t="shared" si="40"/>
        <v>0</v>
      </c>
      <c r="AH29" s="820">
        <f t="shared" si="41"/>
        <v>0</v>
      </c>
      <c r="AI29" s="1110">
        <f t="shared" si="145"/>
        <v>96.249440048971195</v>
      </c>
      <c r="AJ29" s="905">
        <f t="shared" si="145"/>
        <v>130.66925413983037</v>
      </c>
      <c r="AK29" s="1147">
        <f t="shared" si="145"/>
        <v>131.51547840202358</v>
      </c>
      <c r="AL29" s="1147">
        <f t="shared" si="145"/>
        <v>132.2451345944697</v>
      </c>
      <c r="AM29" s="1147">
        <f t="shared" si="145"/>
        <v>133.30508410847096</v>
      </c>
      <c r="AN29" s="2671">
        <f t="shared" si="145"/>
        <v>134.05657878966491</v>
      </c>
      <c r="AO29" s="1246">
        <f t="shared" si="42"/>
        <v>34.419814090859177</v>
      </c>
      <c r="AP29" s="820">
        <f t="shared" si="43"/>
        <v>0.35761053854803271</v>
      </c>
      <c r="AQ29" s="1110">
        <f t="shared" ref="AQ29" si="146">SUM(AQ30:AQ54)-AQ38-AQ51</f>
        <v>2.3003862773144421</v>
      </c>
      <c r="AR29" s="905">
        <f t="shared" ref="AR29" si="147">SUM(AR30:AR54)-AR38-AR51</f>
        <v>2.4916337565611681</v>
      </c>
      <c r="AS29" s="1147">
        <f t="shared" ref="AS29" si="148">SUM(AS30:AS54)-AS38-AS51</f>
        <v>2.4921250065775311</v>
      </c>
      <c r="AT29" s="1147">
        <f t="shared" ref="AT29" si="149">SUM(AT30:AT54)-AT38-AT51</f>
        <v>2.4926162565938941</v>
      </c>
      <c r="AU29" s="1147">
        <f t="shared" ref="AU29" si="150">SUM(AU30:AU54)-AU38-AU51</f>
        <v>2.493107506610257</v>
      </c>
      <c r="AV29" s="2671">
        <f t="shared" ref="AV29" si="151">SUM(AV30:AV54)-AV38-AV51</f>
        <v>2.49359875662662</v>
      </c>
      <c r="AW29" s="1110">
        <f t="shared" ref="AW29:BB29" si="152">SUM(AW30:AW54)-AW38-AW51</f>
        <v>1146.4083461228827</v>
      </c>
      <c r="AX29" s="905">
        <f t="shared" si="152"/>
        <v>1290.5629670248661</v>
      </c>
      <c r="AY29" s="1147">
        <f t="shared" si="152"/>
        <v>1293.3627871310568</v>
      </c>
      <c r="AZ29" s="1147">
        <f t="shared" si="152"/>
        <v>1287.8096371541144</v>
      </c>
      <c r="BA29" s="1147">
        <f t="shared" si="152"/>
        <v>1294.269736851292</v>
      </c>
      <c r="BB29" s="2671">
        <f t="shared" si="152"/>
        <v>1289.1407304796091</v>
      </c>
      <c r="BC29" s="1110">
        <f t="shared" ref="BC29:BH29" si="153">SUM(BC30:BC54)-BC38-BC51</f>
        <v>870.00553893323888</v>
      </c>
      <c r="BD29" s="905">
        <f t="shared" si="153"/>
        <v>997.33950311403305</v>
      </c>
      <c r="BE29" s="1147">
        <f t="shared" si="153"/>
        <v>999.66399517259197</v>
      </c>
      <c r="BF29" s="1147">
        <f t="shared" si="153"/>
        <v>994.0770241014161</v>
      </c>
      <c r="BG29" s="1147">
        <f t="shared" si="153"/>
        <v>998.37056075744431</v>
      </c>
      <c r="BH29" s="2671">
        <f t="shared" si="153"/>
        <v>992.25529644205471</v>
      </c>
      <c r="BI29" s="4488"/>
      <c r="BJ29" s="4504">
        <f t="shared" si="46"/>
        <v>395.61521138558442</v>
      </c>
      <c r="BK29" s="4504">
        <f t="shared" si="47"/>
        <v>443.1214619748153</v>
      </c>
      <c r="BL29" s="4504">
        <f t="shared" si="48"/>
        <v>443.87728829733095</v>
      </c>
      <c r="BM29" s="4504">
        <f t="shared" si="49"/>
        <v>440.64764806089835</v>
      </c>
      <c r="BN29" s="4504">
        <f t="shared" si="50"/>
        <v>442.30095491375721</v>
      </c>
      <c r="BO29" s="4504">
        <f t="shared" si="51"/>
        <v>438.79003678867292</v>
      </c>
      <c r="BP29" s="4504">
        <f t="shared" si="52"/>
        <v>47.506250589230888</v>
      </c>
      <c r="BQ29" s="4504">
        <f t="shared" si="53"/>
        <v>16.260897962630363</v>
      </c>
      <c r="BR29" s="4504">
        <f t="shared" si="54"/>
        <v>16.223976135786696</v>
      </c>
      <c r="BS29" s="4504">
        <f t="shared" si="55"/>
        <v>16.132862069030708</v>
      </c>
      <c r="BT29" s="4504">
        <f t="shared" si="56"/>
        <v>15.756120671638319</v>
      </c>
      <c r="BU29" s="4504">
        <f t="shared" si="57"/>
        <v>16.197998993330408</v>
      </c>
      <c r="BV29" s="4504">
        <f t="shared" si="58"/>
        <v>15.829268414159529</v>
      </c>
      <c r="BW29" s="4504">
        <f t="shared" si="59"/>
        <v>-3.6921826843668383E-2</v>
      </c>
      <c r="BX29" s="4504">
        <f t="shared" si="60"/>
        <v>125.06161329327847</v>
      </c>
      <c r="BY29" s="4504">
        <f t="shared" si="61"/>
        <v>133.69880033805444</v>
      </c>
      <c r="BZ29" s="4504">
        <f t="shared" si="62"/>
        <v>134.03294577646957</v>
      </c>
      <c r="CA29" s="4504">
        <f t="shared" si="63"/>
        <v>134.42697962475663</v>
      </c>
      <c r="CB29" s="4504">
        <f t="shared" si="64"/>
        <v>135.09284739610391</v>
      </c>
      <c r="CC29" s="4504">
        <f t="shared" si="65"/>
        <v>135.96584365465725</v>
      </c>
      <c r="CD29" s="4504">
        <f t="shared" si="66"/>
        <v>8.6371870447759669</v>
      </c>
      <c r="CE29" s="4504">
        <f t="shared" si="67"/>
        <v>0</v>
      </c>
      <c r="CF29" s="4504">
        <f t="shared" si="68"/>
        <v>0</v>
      </c>
      <c r="CG29" s="4504">
        <f t="shared" si="69"/>
        <v>0</v>
      </c>
      <c r="CH29" s="4504">
        <f t="shared" si="70"/>
        <v>0</v>
      </c>
      <c r="CI29" s="4504">
        <f t="shared" si="71"/>
        <v>0</v>
      </c>
      <c r="CJ29" s="4504">
        <f t="shared" si="72"/>
        <v>0</v>
      </c>
      <c r="CK29" s="4504">
        <f t="shared" si="73"/>
        <v>0</v>
      </c>
      <c r="CL29" s="4504">
        <f t="shared" si="74"/>
        <v>49.211557266721137</v>
      </c>
      <c r="CM29" s="4504">
        <f t="shared" si="75"/>
        <v>66.810128763660629</v>
      </c>
      <c r="CN29" s="4504">
        <f t="shared" si="76"/>
        <v>67.242796358591278</v>
      </c>
      <c r="CO29" s="4504">
        <f t="shared" si="77"/>
        <v>67.615863645853523</v>
      </c>
      <c r="CP29" s="4504">
        <f t="shared" si="78"/>
        <v>68.157807226840248</v>
      </c>
      <c r="CQ29" s="4504">
        <f t="shared" si="79"/>
        <v>68.542040356096862</v>
      </c>
      <c r="CR29" s="4504">
        <f t="shared" si="80"/>
        <v>17.598571496939499</v>
      </c>
      <c r="CS29" s="4504">
        <f t="shared" si="81"/>
        <v>1.1761688272060671</v>
      </c>
      <c r="CT29" s="4504">
        <f t="shared" si="82"/>
        <v>1.2739521106441605</v>
      </c>
      <c r="CU29" s="4504">
        <f t="shared" si="83"/>
        <v>1.2742032827891643</v>
      </c>
      <c r="CV29" s="4504">
        <f t="shared" si="84"/>
        <v>1.2744544549341681</v>
      </c>
      <c r="CW29" s="4504">
        <f t="shared" si="85"/>
        <v>1.2747056270791721</v>
      </c>
      <c r="CX29" s="4504">
        <f t="shared" si="86"/>
        <v>1.2749567992241759</v>
      </c>
      <c r="CY29" s="4504">
        <f t="shared" si="87"/>
        <v>586.14927990821423</v>
      </c>
      <c r="CZ29" s="4504">
        <f t="shared" si="88"/>
        <v>659.85436721231713</v>
      </c>
      <c r="DA29" s="4504">
        <f t="shared" si="89"/>
        <v>661.28589250142238</v>
      </c>
      <c r="DB29" s="4504">
        <f t="shared" si="90"/>
        <v>658.4466120031467</v>
      </c>
      <c r="DC29" s="4504">
        <f t="shared" si="91"/>
        <v>661.74960853003176</v>
      </c>
      <c r="DD29" s="4504">
        <f t="shared" si="92"/>
        <v>659.12718921358669</v>
      </c>
      <c r="DE29" s="4504">
        <f t="shared" si="93"/>
        <v>444.82676865230565</v>
      </c>
      <c r="DF29" s="4504">
        <f t="shared" si="94"/>
        <v>509.93159073847579</v>
      </c>
      <c r="DG29" s="4504">
        <f t="shared" si="95"/>
        <v>511.12008465592203</v>
      </c>
      <c r="DH29" s="4504">
        <f t="shared" si="96"/>
        <v>508.26351170675167</v>
      </c>
      <c r="DI29" s="4504">
        <f t="shared" si="97"/>
        <v>510.45876214059723</v>
      </c>
      <c r="DJ29" s="4504">
        <f t="shared" si="98"/>
        <v>507.33207714476958</v>
      </c>
    </row>
    <row r="30" spans="1:114" ht="13.2">
      <c r="A30" s="108" t="s">
        <v>96</v>
      </c>
      <c r="B30" s="898" t="s">
        <v>240</v>
      </c>
      <c r="C30" s="3075">
        <v>27.564038381790539</v>
      </c>
      <c r="D30" s="3076">
        <v>29.906981644242734</v>
      </c>
      <c r="E30" s="3076">
        <v>29.906981644242734</v>
      </c>
      <c r="F30" s="3076">
        <v>29.906981644242734</v>
      </c>
      <c r="G30" s="3076">
        <v>29.906981644242734</v>
      </c>
      <c r="H30" s="3077">
        <v>29.906981644242734</v>
      </c>
      <c r="I30" s="1251">
        <f t="shared" si="34"/>
        <v>2.3429432624521951</v>
      </c>
      <c r="J30" s="1244">
        <f t="shared" si="35"/>
        <v>8.4999999999999978E-2</v>
      </c>
      <c r="K30" s="3070">
        <v>2.389802386281715</v>
      </c>
      <c r="L30" s="3071">
        <v>2.5929355891156609</v>
      </c>
      <c r="M30" s="3071">
        <v>2.5929355891156609</v>
      </c>
      <c r="N30" s="3071">
        <v>2.5929355891156609</v>
      </c>
      <c r="O30" s="3071">
        <v>2.5929355891156609</v>
      </c>
      <c r="P30" s="3072">
        <v>2.5929355891156609</v>
      </c>
      <c r="Q30" s="1251">
        <f t="shared" si="36"/>
        <v>0.20313320283394587</v>
      </c>
      <c r="R30" s="1125">
        <f t="shared" si="37"/>
        <v>8.5000000000000034E-2</v>
      </c>
      <c r="S30" s="3070">
        <v>6.3920102611748586</v>
      </c>
      <c r="T30" s="3071">
        <v>7.7353311333747214</v>
      </c>
      <c r="U30" s="3071">
        <v>7.7353311333747214</v>
      </c>
      <c r="V30" s="3071">
        <v>7.7353311333747214</v>
      </c>
      <c r="W30" s="3071">
        <v>7.7353311333747214</v>
      </c>
      <c r="X30" s="3072">
        <v>7.7353311333747214</v>
      </c>
      <c r="Y30" s="1251">
        <f t="shared" si="38"/>
        <v>1.3433208721998628</v>
      </c>
      <c r="Z30" s="1125">
        <f t="shared" si="39"/>
        <v>0.21015624464172231</v>
      </c>
      <c r="AA30" s="3070"/>
      <c r="AB30" s="3071"/>
      <c r="AC30" s="3071"/>
      <c r="AD30" s="3071"/>
      <c r="AE30" s="3071"/>
      <c r="AF30" s="3072"/>
      <c r="AG30" s="1251">
        <f t="shared" si="40"/>
        <v>0</v>
      </c>
      <c r="AH30" s="1244">
        <f t="shared" si="41"/>
        <v>0</v>
      </c>
      <c r="AI30" s="3070">
        <v>4.242563478643107</v>
      </c>
      <c r="AJ30" s="3071">
        <v>4.6031813743277707</v>
      </c>
      <c r="AK30" s="3071">
        <v>4.6031813743277707</v>
      </c>
      <c r="AL30" s="3071">
        <v>4.6031813743277707</v>
      </c>
      <c r="AM30" s="3071">
        <v>4.6031813743277707</v>
      </c>
      <c r="AN30" s="3100">
        <v>4.6031813743277707</v>
      </c>
      <c r="AO30" s="1251">
        <f t="shared" si="42"/>
        <v>0.36061789568466374</v>
      </c>
      <c r="AP30" s="1244">
        <f t="shared" si="43"/>
        <v>8.4999999999999909E-2</v>
      </c>
      <c r="AQ30" s="3075">
        <v>4.8745492109785932E-2</v>
      </c>
      <c r="AR30" s="3076">
        <v>5.2888858939117739E-2</v>
      </c>
      <c r="AS30" s="3076">
        <v>5.2888858939117739E-2</v>
      </c>
      <c r="AT30" s="3076">
        <v>5.2888858939117739E-2</v>
      </c>
      <c r="AU30" s="3076">
        <v>5.2888858939117739E-2</v>
      </c>
      <c r="AV30" s="3119">
        <v>5.2888858939117739E-2</v>
      </c>
      <c r="AW30" s="1112">
        <f t="shared" ref="AW30:AW37" si="154">C30+K30+S30+AA30+AI30</f>
        <v>40.588414507890221</v>
      </c>
      <c r="AX30" s="3090">
        <f t="shared" ref="AX30:AX37" si="155">D30+L30+T30+AB30+AJ30</f>
        <v>44.838429741060885</v>
      </c>
      <c r="AY30" s="3090">
        <f t="shared" ref="AY30:AY37" si="156">E30+M30+U30+AC30+AK30</f>
        <v>44.838429741060885</v>
      </c>
      <c r="AZ30" s="3090">
        <f t="shared" ref="AZ30:AZ37" si="157">F30+N30+V30+AD30+AL30</f>
        <v>44.838429741060885</v>
      </c>
      <c r="BA30" s="3090">
        <f t="shared" ref="BA30:BA37" si="158">G30+O30+W30+AE30+AM30</f>
        <v>44.838429741060885</v>
      </c>
      <c r="BB30" s="3091">
        <f t="shared" ref="BB30:BB37" si="159">H30+P30+X30+AF30+AN30</f>
        <v>44.838429741060885</v>
      </c>
      <c r="BC30" s="3111">
        <f t="shared" ref="BC30:BC37" si="160">C30+AA30+AI30</f>
        <v>31.806601860433645</v>
      </c>
      <c r="BD30" s="3112">
        <f t="shared" ref="BD30:BD37" si="161">D30+AB30+AJ30</f>
        <v>34.510163018570502</v>
      </c>
      <c r="BE30" s="3113">
        <f t="shared" ref="BE30:BE37" si="162">E30+AC30+AK30</f>
        <v>34.510163018570502</v>
      </c>
      <c r="BF30" s="3113">
        <f t="shared" ref="BF30:BF37" si="163">F30+AD30+AL30</f>
        <v>34.510163018570502</v>
      </c>
      <c r="BG30" s="3113">
        <f t="shared" ref="BG30:BG37" si="164">G30+AE30+AM30</f>
        <v>34.510163018570502</v>
      </c>
      <c r="BH30" s="3115">
        <f t="shared" ref="BH30:BH37" si="165">H30+AF30+AN30</f>
        <v>34.510163018570502</v>
      </c>
      <c r="BI30" s="4488"/>
      <c r="BJ30" s="4504">
        <f t="shared" si="46"/>
        <v>14.093269037590455</v>
      </c>
      <c r="BK30" s="4504">
        <f t="shared" si="47"/>
        <v>15.291196905785643</v>
      </c>
      <c r="BL30" s="4504">
        <f t="shared" si="48"/>
        <v>15.291196905785643</v>
      </c>
      <c r="BM30" s="4504">
        <f t="shared" si="49"/>
        <v>15.291196905785643</v>
      </c>
      <c r="BN30" s="4504">
        <f t="shared" si="50"/>
        <v>15.291196905785643</v>
      </c>
      <c r="BO30" s="4504">
        <f t="shared" si="51"/>
        <v>15.291196905785643</v>
      </c>
      <c r="BP30" s="4504">
        <f t="shared" si="52"/>
        <v>1.1979278681951884</v>
      </c>
      <c r="BQ30" s="4504">
        <f t="shared" si="53"/>
        <v>1.2218865577691902</v>
      </c>
      <c r="BR30" s="4504">
        <f t="shared" si="54"/>
        <v>1.3257469151795713</v>
      </c>
      <c r="BS30" s="4504">
        <f t="shared" si="55"/>
        <v>1.3257469151795713</v>
      </c>
      <c r="BT30" s="4504">
        <f t="shared" si="56"/>
        <v>1.3257469151795713</v>
      </c>
      <c r="BU30" s="4504">
        <f t="shared" si="57"/>
        <v>1.3257469151795713</v>
      </c>
      <c r="BV30" s="4504">
        <f t="shared" si="58"/>
        <v>1.3257469151795713</v>
      </c>
      <c r="BW30" s="4504">
        <f t="shared" si="59"/>
        <v>0.1038603574103812</v>
      </c>
      <c r="BX30" s="4504">
        <f t="shared" si="60"/>
        <v>3.2681829510616254</v>
      </c>
      <c r="BY30" s="4504">
        <f t="shared" si="61"/>
        <v>3.9550120068588384</v>
      </c>
      <c r="BZ30" s="4504">
        <f t="shared" si="62"/>
        <v>3.9550120068588384</v>
      </c>
      <c r="CA30" s="4504">
        <f t="shared" si="63"/>
        <v>3.9550120068588384</v>
      </c>
      <c r="CB30" s="4504">
        <f t="shared" si="64"/>
        <v>3.9550120068588384</v>
      </c>
      <c r="CC30" s="4504">
        <f t="shared" si="65"/>
        <v>3.9550120068588384</v>
      </c>
      <c r="CD30" s="4504">
        <f t="shared" si="66"/>
        <v>0.68682905579721287</v>
      </c>
      <c r="CE30" s="4504">
        <f t="shared" si="67"/>
        <v>0</v>
      </c>
      <c r="CF30" s="4504">
        <f t="shared" si="68"/>
        <v>0</v>
      </c>
      <c r="CG30" s="4504">
        <f t="shared" si="69"/>
        <v>0</v>
      </c>
      <c r="CH30" s="4504">
        <f t="shared" si="70"/>
        <v>0</v>
      </c>
      <c r="CI30" s="4504">
        <f t="shared" si="71"/>
        <v>0</v>
      </c>
      <c r="CJ30" s="4504">
        <f t="shared" si="72"/>
        <v>0</v>
      </c>
      <c r="CK30" s="4504">
        <f t="shared" si="73"/>
        <v>0</v>
      </c>
      <c r="CL30" s="4504">
        <f t="shared" si="74"/>
        <v>2.1691882620898069</v>
      </c>
      <c r="CM30" s="4504">
        <f t="shared" si="75"/>
        <v>2.3535692643674402</v>
      </c>
      <c r="CN30" s="4504">
        <f t="shared" si="76"/>
        <v>2.3535692643674402</v>
      </c>
      <c r="CO30" s="4504">
        <f t="shared" si="77"/>
        <v>2.3535692643674402</v>
      </c>
      <c r="CP30" s="4504">
        <f t="shared" si="78"/>
        <v>2.3535692643674402</v>
      </c>
      <c r="CQ30" s="4504">
        <f t="shared" si="79"/>
        <v>2.3535692643674402</v>
      </c>
      <c r="CR30" s="4504">
        <f t="shared" si="80"/>
        <v>0.1843810022776334</v>
      </c>
      <c r="CS30" s="4504">
        <f t="shared" si="81"/>
        <v>2.4923174360647875E-2</v>
      </c>
      <c r="CT30" s="4504">
        <f t="shared" si="82"/>
        <v>2.7041644181302945E-2</v>
      </c>
      <c r="CU30" s="4504">
        <f t="shared" si="83"/>
        <v>2.7041644181302945E-2</v>
      </c>
      <c r="CV30" s="4504">
        <f t="shared" si="84"/>
        <v>2.7041644181302945E-2</v>
      </c>
      <c r="CW30" s="4504">
        <f t="shared" si="85"/>
        <v>2.7041644181302945E-2</v>
      </c>
      <c r="CX30" s="4504">
        <f t="shared" si="86"/>
        <v>2.7041644181302945E-2</v>
      </c>
      <c r="CY30" s="4504">
        <f t="shared" si="87"/>
        <v>20.752526808511078</v>
      </c>
      <c r="CZ30" s="4504">
        <f t="shared" si="88"/>
        <v>22.925525092191492</v>
      </c>
      <c r="DA30" s="4504">
        <f t="shared" si="89"/>
        <v>22.925525092191492</v>
      </c>
      <c r="DB30" s="4504">
        <f t="shared" si="90"/>
        <v>22.925525092191492</v>
      </c>
      <c r="DC30" s="4504">
        <f t="shared" si="91"/>
        <v>22.925525092191492</v>
      </c>
      <c r="DD30" s="4504">
        <f t="shared" si="92"/>
        <v>22.925525092191492</v>
      </c>
      <c r="DE30" s="4504">
        <f t="shared" si="93"/>
        <v>16.262457299680261</v>
      </c>
      <c r="DF30" s="4504">
        <f t="shared" si="94"/>
        <v>17.644766170153083</v>
      </c>
      <c r="DG30" s="4504">
        <f t="shared" si="95"/>
        <v>17.644766170153083</v>
      </c>
      <c r="DH30" s="4504">
        <f t="shared" si="96"/>
        <v>17.644766170153083</v>
      </c>
      <c r="DI30" s="4504">
        <f t="shared" si="97"/>
        <v>17.644766170153083</v>
      </c>
      <c r="DJ30" s="4504">
        <f t="shared" si="98"/>
        <v>17.644766170153083</v>
      </c>
    </row>
    <row r="31" spans="1:114" ht="24">
      <c r="A31" s="838" t="s">
        <v>97</v>
      </c>
      <c r="B31" s="896" t="s">
        <v>241</v>
      </c>
      <c r="C31" s="3070">
        <v>55.423260585311525</v>
      </c>
      <c r="D31" s="3071">
        <v>104.88260000000001</v>
      </c>
      <c r="E31" s="3071">
        <v>104.88921000000001</v>
      </c>
      <c r="F31" s="3071">
        <v>104.91212</v>
      </c>
      <c r="G31" s="3071">
        <v>104.92433</v>
      </c>
      <c r="H31" s="3072">
        <v>104.93960000000001</v>
      </c>
      <c r="I31" s="1251">
        <f t="shared" si="34"/>
        <v>49.459339414688486</v>
      </c>
      <c r="J31" s="826">
        <f t="shared" si="35"/>
        <v>0.89239317377506266</v>
      </c>
      <c r="K31" s="3078"/>
      <c r="L31" s="3079"/>
      <c r="M31" s="2007"/>
      <c r="N31" s="2007"/>
      <c r="O31" s="2007"/>
      <c r="P31" s="3098"/>
      <c r="Q31" s="2070"/>
      <c r="R31" s="3058"/>
      <c r="S31" s="3078"/>
      <c r="T31" s="3079"/>
      <c r="U31" s="2007"/>
      <c r="V31" s="2007"/>
      <c r="W31" s="2007"/>
      <c r="X31" s="3098"/>
      <c r="Y31" s="2070"/>
      <c r="Z31" s="3058"/>
      <c r="AA31" s="3070"/>
      <c r="AB31" s="3071"/>
      <c r="AC31" s="3071"/>
      <c r="AD31" s="3071"/>
      <c r="AE31" s="3071"/>
      <c r="AF31" s="3072"/>
      <c r="AG31" s="1251">
        <f t="shared" si="40"/>
        <v>0</v>
      </c>
      <c r="AH31" s="826">
        <f t="shared" si="41"/>
        <v>0</v>
      </c>
      <c r="AI31" s="3070">
        <v>2.9362994146884711</v>
      </c>
      <c r="AJ31" s="3071">
        <v>5.3674099999999996</v>
      </c>
      <c r="AK31" s="3071">
        <v>5.3607899999999997</v>
      </c>
      <c r="AL31" s="3071">
        <v>5.3378800000000002</v>
      </c>
      <c r="AM31" s="3071">
        <v>5.3256699999999997</v>
      </c>
      <c r="AN31" s="3100">
        <v>5.3103999999999996</v>
      </c>
      <c r="AO31" s="1251">
        <f t="shared" si="42"/>
        <v>2.4311105853115285</v>
      </c>
      <c r="AP31" s="826">
        <f t="shared" si="43"/>
        <v>0.82795050571144124</v>
      </c>
      <c r="AQ31" s="3078"/>
      <c r="AR31" s="3079"/>
      <c r="AS31" s="2007"/>
      <c r="AT31" s="2007"/>
      <c r="AU31" s="2007"/>
      <c r="AV31" s="2071"/>
      <c r="AW31" s="1112">
        <f t="shared" si="154"/>
        <v>58.359559999999995</v>
      </c>
      <c r="AX31" s="3090">
        <f t="shared" si="155"/>
        <v>110.25001</v>
      </c>
      <c r="AY31" s="3090">
        <f t="shared" si="156"/>
        <v>110.25</v>
      </c>
      <c r="AZ31" s="3090">
        <f t="shared" si="157"/>
        <v>110.25</v>
      </c>
      <c r="BA31" s="3090">
        <f t="shared" si="158"/>
        <v>110.25</v>
      </c>
      <c r="BB31" s="3091">
        <f t="shared" si="159"/>
        <v>110.25000000000001</v>
      </c>
      <c r="BC31" s="3111">
        <f t="shared" si="160"/>
        <v>58.359559999999995</v>
      </c>
      <c r="BD31" s="3112">
        <f t="shared" si="161"/>
        <v>110.25001</v>
      </c>
      <c r="BE31" s="3113">
        <f t="shared" si="162"/>
        <v>110.25</v>
      </c>
      <c r="BF31" s="3113">
        <f t="shared" si="163"/>
        <v>110.25</v>
      </c>
      <c r="BG31" s="3113">
        <f t="shared" si="164"/>
        <v>110.25</v>
      </c>
      <c r="BH31" s="3115">
        <f t="shared" si="165"/>
        <v>110.25000000000001</v>
      </c>
      <c r="BI31" s="4488"/>
      <c r="BJ31" s="4504">
        <f t="shared" si="46"/>
        <v>28.33746316669216</v>
      </c>
      <c r="BK31" s="4504">
        <f t="shared" si="47"/>
        <v>53.625621858750513</v>
      </c>
      <c r="BL31" s="4504">
        <f t="shared" si="48"/>
        <v>53.629001498085216</v>
      </c>
      <c r="BM31" s="4504">
        <f t="shared" si="49"/>
        <v>53.640715195083416</v>
      </c>
      <c r="BN31" s="4504">
        <f t="shared" si="50"/>
        <v>53.64695806895282</v>
      </c>
      <c r="BO31" s="4504">
        <f t="shared" si="51"/>
        <v>53.654765495978694</v>
      </c>
      <c r="BP31" s="4504">
        <f t="shared" si="52"/>
        <v>25.288158692058353</v>
      </c>
      <c r="BQ31" s="4504">
        <f t="shared" si="53"/>
        <v>0</v>
      </c>
      <c r="BR31" s="4504">
        <f t="shared" si="54"/>
        <v>0</v>
      </c>
      <c r="BS31" s="4504">
        <f t="shared" si="55"/>
        <v>0</v>
      </c>
      <c r="BT31" s="4504">
        <f t="shared" si="56"/>
        <v>0</v>
      </c>
      <c r="BU31" s="4504">
        <f t="shared" si="57"/>
        <v>0</v>
      </c>
      <c r="BV31" s="4504">
        <f t="shared" si="58"/>
        <v>0</v>
      </c>
      <c r="BW31" s="4504">
        <f t="shared" si="59"/>
        <v>0</v>
      </c>
      <c r="BX31" s="4504">
        <f t="shared" si="60"/>
        <v>0</v>
      </c>
      <c r="BY31" s="4504">
        <f t="shared" si="61"/>
        <v>0</v>
      </c>
      <c r="BZ31" s="4504">
        <f t="shared" si="62"/>
        <v>0</v>
      </c>
      <c r="CA31" s="4504">
        <f t="shared" si="63"/>
        <v>0</v>
      </c>
      <c r="CB31" s="4504">
        <f t="shared" si="64"/>
        <v>0</v>
      </c>
      <c r="CC31" s="4504">
        <f t="shared" si="65"/>
        <v>0</v>
      </c>
      <c r="CD31" s="4504">
        <f t="shared" si="66"/>
        <v>0</v>
      </c>
      <c r="CE31" s="4504">
        <f t="shared" si="67"/>
        <v>0</v>
      </c>
      <c r="CF31" s="4504">
        <f t="shared" si="68"/>
        <v>0</v>
      </c>
      <c r="CG31" s="4504">
        <f t="shared" si="69"/>
        <v>0</v>
      </c>
      <c r="CH31" s="4504">
        <f t="shared" si="70"/>
        <v>0</v>
      </c>
      <c r="CI31" s="4504">
        <f t="shared" si="71"/>
        <v>0</v>
      </c>
      <c r="CJ31" s="4504">
        <f t="shared" si="72"/>
        <v>0</v>
      </c>
      <c r="CK31" s="4504">
        <f t="shared" si="73"/>
        <v>0</v>
      </c>
      <c r="CL31" s="4504">
        <f t="shared" si="74"/>
        <v>1.5013060514914236</v>
      </c>
      <c r="CM31" s="4504">
        <f t="shared" si="75"/>
        <v>2.7443131560513949</v>
      </c>
      <c r="CN31" s="4504">
        <f t="shared" si="76"/>
        <v>2.7409284037978758</v>
      </c>
      <c r="CO31" s="4504">
        <f t="shared" si="77"/>
        <v>2.729214706799671</v>
      </c>
      <c r="CP31" s="4504">
        <f t="shared" si="78"/>
        <v>2.722971832930265</v>
      </c>
      <c r="CQ31" s="4504">
        <f t="shared" si="79"/>
        <v>2.7151644059043987</v>
      </c>
      <c r="CR31" s="4504">
        <f t="shared" si="80"/>
        <v>1.2430071045599713</v>
      </c>
      <c r="CS31" s="4504">
        <f t="shared" si="81"/>
        <v>0</v>
      </c>
      <c r="CT31" s="4504">
        <f t="shared" si="82"/>
        <v>0</v>
      </c>
      <c r="CU31" s="4504">
        <f t="shared" si="83"/>
        <v>0</v>
      </c>
      <c r="CV31" s="4504">
        <f t="shared" si="84"/>
        <v>0</v>
      </c>
      <c r="CW31" s="4504">
        <f t="shared" si="85"/>
        <v>0</v>
      </c>
      <c r="CX31" s="4504">
        <f t="shared" si="86"/>
        <v>0</v>
      </c>
      <c r="CY31" s="4504">
        <f t="shared" si="87"/>
        <v>29.838769218183582</v>
      </c>
      <c r="CZ31" s="4504">
        <f t="shared" si="88"/>
        <v>56.369935014801904</v>
      </c>
      <c r="DA31" s="4504">
        <f t="shared" si="89"/>
        <v>56.36992990188309</v>
      </c>
      <c r="DB31" s="4504">
        <f t="shared" si="90"/>
        <v>56.36992990188309</v>
      </c>
      <c r="DC31" s="4504">
        <f t="shared" si="91"/>
        <v>56.36992990188309</v>
      </c>
      <c r="DD31" s="4504">
        <f t="shared" si="92"/>
        <v>56.369929901883097</v>
      </c>
      <c r="DE31" s="4504">
        <f t="shared" si="93"/>
        <v>29.838769218183582</v>
      </c>
      <c r="DF31" s="4504">
        <f t="shared" si="94"/>
        <v>56.369935014801904</v>
      </c>
      <c r="DG31" s="4504">
        <f t="shared" si="95"/>
        <v>56.36992990188309</v>
      </c>
      <c r="DH31" s="4504">
        <f t="shared" si="96"/>
        <v>56.36992990188309</v>
      </c>
      <c r="DI31" s="4504">
        <f t="shared" si="97"/>
        <v>56.36992990188309</v>
      </c>
      <c r="DJ31" s="4504">
        <f t="shared" si="98"/>
        <v>56.369929901883097</v>
      </c>
    </row>
    <row r="32" spans="1:114" ht="13.2">
      <c r="A32" s="838" t="s">
        <v>169</v>
      </c>
      <c r="B32" s="3915" t="s">
        <v>1218</v>
      </c>
      <c r="C32" s="3070">
        <v>48.55429917524414</v>
      </c>
      <c r="D32" s="3071">
        <v>52.681414605139885</v>
      </c>
      <c r="E32" s="3071">
        <v>52.681414605139885</v>
      </c>
      <c r="F32" s="3071">
        <v>52.681414605139885</v>
      </c>
      <c r="G32" s="3071">
        <v>52.681414605139885</v>
      </c>
      <c r="H32" s="3072">
        <v>52.681414605139885</v>
      </c>
      <c r="I32" s="1251">
        <f t="shared" si="34"/>
        <v>4.1271154298957455</v>
      </c>
      <c r="J32" s="826">
        <f t="shared" si="35"/>
        <v>8.4999999999999867E-2</v>
      </c>
      <c r="K32" s="3070">
        <v>1.3601990783153497</v>
      </c>
      <c r="L32" s="3071">
        <v>1.4758159999721543</v>
      </c>
      <c r="M32" s="3071">
        <v>1.4758159999721543</v>
      </c>
      <c r="N32" s="3071">
        <v>1.4758159999721543</v>
      </c>
      <c r="O32" s="3071">
        <v>1.4758159999721543</v>
      </c>
      <c r="P32" s="3072">
        <v>1.4758159999721543</v>
      </c>
      <c r="Q32" s="1251">
        <f t="shared" ref="Q32:Q48" si="166">L32-K32</f>
        <v>0.11561692165680459</v>
      </c>
      <c r="R32" s="1121">
        <f t="shared" ref="R32:R48" si="167">IFERROR((L32-K32)/K32,0)</f>
        <v>8.4999999999999909E-2</v>
      </c>
      <c r="S32" s="3070">
        <v>28.804085867031297</v>
      </c>
      <c r="T32" s="3071">
        <v>33.252433165728959</v>
      </c>
      <c r="U32" s="3071">
        <v>33.252433165728959</v>
      </c>
      <c r="V32" s="3071">
        <v>33.252433165728959</v>
      </c>
      <c r="W32" s="3071">
        <v>33.252433165728959</v>
      </c>
      <c r="X32" s="3072">
        <v>33.252433165728959</v>
      </c>
      <c r="Y32" s="1251">
        <f t="shared" ref="Y32:Y72" si="168">T32-S32</f>
        <v>4.4483472986976622</v>
      </c>
      <c r="Z32" s="1121">
        <f t="shared" ref="Z32:Z72" si="169">IFERROR((T32-S32)/S32,0)</f>
        <v>0.15443459373203614</v>
      </c>
      <c r="AA32" s="3070"/>
      <c r="AB32" s="3071"/>
      <c r="AC32" s="3071"/>
      <c r="AD32" s="3071"/>
      <c r="AE32" s="3071"/>
      <c r="AF32" s="3072"/>
      <c r="AG32" s="1251">
        <f t="shared" si="40"/>
        <v>0</v>
      </c>
      <c r="AH32" s="826">
        <f t="shared" si="41"/>
        <v>0</v>
      </c>
      <c r="AI32" s="3070">
        <v>13.032340468487114</v>
      </c>
      <c r="AJ32" s="3071">
        <v>14.330089408308517</v>
      </c>
      <c r="AK32" s="3071">
        <v>14.140089408308517</v>
      </c>
      <c r="AL32" s="3071">
        <v>14.140089408308517</v>
      </c>
      <c r="AM32" s="3071">
        <v>14.140089408308517</v>
      </c>
      <c r="AN32" s="3100">
        <v>14.140089408308517</v>
      </c>
      <c r="AO32" s="1251">
        <f t="shared" si="42"/>
        <v>1.2977489398214033</v>
      </c>
      <c r="AP32" s="826">
        <f t="shared" si="43"/>
        <v>9.9579115735920848E-2</v>
      </c>
      <c r="AQ32" s="3070">
        <v>0.21680541092210295</v>
      </c>
      <c r="AR32" s="3071">
        <v>0.2352338708504817</v>
      </c>
      <c r="AS32" s="3071">
        <v>0.2352338708504817</v>
      </c>
      <c r="AT32" s="3071">
        <v>0.2352338708504817</v>
      </c>
      <c r="AU32" s="3071">
        <v>0.2352338708504817</v>
      </c>
      <c r="AV32" s="3100">
        <v>0.2352338708504817</v>
      </c>
      <c r="AW32" s="1112">
        <f t="shared" si="154"/>
        <v>91.750924589077897</v>
      </c>
      <c r="AX32" s="3090">
        <f t="shared" si="155"/>
        <v>101.73975317914952</v>
      </c>
      <c r="AY32" s="3090">
        <f t="shared" si="156"/>
        <v>101.54975317914952</v>
      </c>
      <c r="AZ32" s="3090">
        <f t="shared" si="157"/>
        <v>101.54975317914952</v>
      </c>
      <c r="BA32" s="3090">
        <f t="shared" si="158"/>
        <v>101.54975317914952</v>
      </c>
      <c r="BB32" s="3091">
        <f t="shared" si="159"/>
        <v>101.54975317914952</v>
      </c>
      <c r="BC32" s="3111">
        <f t="shared" si="160"/>
        <v>61.586639643731253</v>
      </c>
      <c r="BD32" s="3112">
        <f t="shared" si="161"/>
        <v>67.011504013448402</v>
      </c>
      <c r="BE32" s="3113">
        <f t="shared" si="162"/>
        <v>66.821504013448404</v>
      </c>
      <c r="BF32" s="3113">
        <f t="shared" si="163"/>
        <v>66.821504013448404</v>
      </c>
      <c r="BG32" s="3113">
        <f t="shared" si="164"/>
        <v>66.821504013448404</v>
      </c>
      <c r="BH32" s="3115">
        <f t="shared" si="165"/>
        <v>66.821504013448404</v>
      </c>
      <c r="BI32" s="4488"/>
      <c r="BJ32" s="4504">
        <f t="shared" si="46"/>
        <v>24.825418965474576</v>
      </c>
      <c r="BK32" s="4504">
        <f t="shared" si="47"/>
        <v>26.935579577539912</v>
      </c>
      <c r="BL32" s="4504">
        <f t="shared" si="48"/>
        <v>26.935579577539912</v>
      </c>
      <c r="BM32" s="4504">
        <f t="shared" si="49"/>
        <v>26.935579577539912</v>
      </c>
      <c r="BN32" s="4504">
        <f t="shared" si="50"/>
        <v>26.935579577539912</v>
      </c>
      <c r="BO32" s="4504">
        <f t="shared" si="51"/>
        <v>26.935579577539912</v>
      </c>
      <c r="BP32" s="4504">
        <f t="shared" si="52"/>
        <v>2.1101606120653358</v>
      </c>
      <c r="BQ32" s="4504">
        <f t="shared" si="53"/>
        <v>0.69545874555321763</v>
      </c>
      <c r="BR32" s="4504">
        <f t="shared" si="54"/>
        <v>0.75457273892524113</v>
      </c>
      <c r="BS32" s="4504">
        <f t="shared" si="55"/>
        <v>0.75457273892524113</v>
      </c>
      <c r="BT32" s="4504">
        <f t="shared" si="56"/>
        <v>0.75457273892524113</v>
      </c>
      <c r="BU32" s="4504">
        <f t="shared" si="57"/>
        <v>0.75457273892524113</v>
      </c>
      <c r="BV32" s="4504">
        <f t="shared" si="58"/>
        <v>0.75457273892524113</v>
      </c>
      <c r="BW32" s="4504">
        <f t="shared" si="59"/>
        <v>5.9113993372023436E-2</v>
      </c>
      <c r="BX32" s="4504">
        <f t="shared" si="60"/>
        <v>14.727295249091842</v>
      </c>
      <c r="BY32" s="4504">
        <f t="shared" si="61"/>
        <v>17.001699107657085</v>
      </c>
      <c r="BZ32" s="4504">
        <f t="shared" si="62"/>
        <v>17.001699107657085</v>
      </c>
      <c r="CA32" s="4504">
        <f t="shared" si="63"/>
        <v>17.001699107657085</v>
      </c>
      <c r="CB32" s="4504">
        <f t="shared" si="64"/>
        <v>17.001699107657085</v>
      </c>
      <c r="CC32" s="4504">
        <f t="shared" si="65"/>
        <v>17.001699107657085</v>
      </c>
      <c r="CD32" s="4504">
        <f t="shared" si="66"/>
        <v>2.2744038585652446</v>
      </c>
      <c r="CE32" s="4504">
        <f t="shared" si="67"/>
        <v>0</v>
      </c>
      <c r="CF32" s="4504">
        <f t="shared" si="68"/>
        <v>0</v>
      </c>
      <c r="CG32" s="4504">
        <f t="shared" si="69"/>
        <v>0</v>
      </c>
      <c r="CH32" s="4504">
        <f t="shared" si="70"/>
        <v>0</v>
      </c>
      <c r="CI32" s="4504">
        <f t="shared" si="71"/>
        <v>0</v>
      </c>
      <c r="CJ32" s="4504">
        <f t="shared" si="72"/>
        <v>0</v>
      </c>
      <c r="CK32" s="4504">
        <f t="shared" si="73"/>
        <v>0</v>
      </c>
      <c r="CL32" s="4504">
        <f t="shared" si="74"/>
        <v>6.6633298745223835</v>
      </c>
      <c r="CM32" s="4504">
        <f t="shared" si="75"/>
        <v>7.3268583712840671</v>
      </c>
      <c r="CN32" s="4504">
        <f t="shared" si="76"/>
        <v>7.2297129138567859</v>
      </c>
      <c r="CO32" s="4504">
        <f t="shared" si="77"/>
        <v>7.2297129138567859</v>
      </c>
      <c r="CP32" s="4504">
        <f t="shared" si="78"/>
        <v>7.2297129138567859</v>
      </c>
      <c r="CQ32" s="4504">
        <f t="shared" si="79"/>
        <v>7.2297129138567859</v>
      </c>
      <c r="CR32" s="4504">
        <f t="shared" si="80"/>
        <v>0.66352849676168346</v>
      </c>
      <c r="CS32" s="4504">
        <f t="shared" si="81"/>
        <v>0.1108508464038812</v>
      </c>
      <c r="CT32" s="4504">
        <f t="shared" si="82"/>
        <v>0.1202731683482111</v>
      </c>
      <c r="CU32" s="4504">
        <f t="shared" si="83"/>
        <v>0.1202731683482111</v>
      </c>
      <c r="CV32" s="4504">
        <f t="shared" si="84"/>
        <v>0.1202731683482111</v>
      </c>
      <c r="CW32" s="4504">
        <f t="shared" si="85"/>
        <v>0.1202731683482111</v>
      </c>
      <c r="CX32" s="4504">
        <f t="shared" si="86"/>
        <v>0.1202731683482111</v>
      </c>
      <c r="CY32" s="4504">
        <f t="shared" si="87"/>
        <v>46.911502834642022</v>
      </c>
      <c r="CZ32" s="4504">
        <f t="shared" si="88"/>
        <v>52.018709795406309</v>
      </c>
      <c r="DA32" s="4504">
        <f t="shared" si="89"/>
        <v>51.921564337979028</v>
      </c>
      <c r="DB32" s="4504">
        <f t="shared" si="90"/>
        <v>51.921564337979028</v>
      </c>
      <c r="DC32" s="4504">
        <f t="shared" si="91"/>
        <v>51.921564337979028</v>
      </c>
      <c r="DD32" s="4504">
        <f t="shared" si="92"/>
        <v>51.921564337979028</v>
      </c>
      <c r="DE32" s="4504">
        <f t="shared" si="93"/>
        <v>31.488748839996958</v>
      </c>
      <c r="DF32" s="4504">
        <f t="shared" si="94"/>
        <v>34.26243794882398</v>
      </c>
      <c r="DG32" s="4504">
        <f t="shared" si="95"/>
        <v>34.165292491396698</v>
      </c>
      <c r="DH32" s="4504">
        <f t="shared" si="96"/>
        <v>34.165292491396698</v>
      </c>
      <c r="DI32" s="4504">
        <f t="shared" si="97"/>
        <v>34.165292491396698</v>
      </c>
      <c r="DJ32" s="4504">
        <f t="shared" si="98"/>
        <v>34.165292491396698</v>
      </c>
    </row>
    <row r="33" spans="1:114" ht="13.2">
      <c r="A33" s="108" t="s">
        <v>242</v>
      </c>
      <c r="B33" s="896" t="s">
        <v>243</v>
      </c>
      <c r="C33" s="3070">
        <v>0.39066992354669172</v>
      </c>
      <c r="D33" s="3071">
        <v>0.42387686704816052</v>
      </c>
      <c r="E33" s="3071">
        <v>0.42387686704816052</v>
      </c>
      <c r="F33" s="3071">
        <v>0.42387686704816052</v>
      </c>
      <c r="G33" s="3071">
        <v>0.42387686704816052</v>
      </c>
      <c r="H33" s="3072">
        <v>0.42387686704816052</v>
      </c>
      <c r="I33" s="1251">
        <f t="shared" si="34"/>
        <v>3.32069435014688E-2</v>
      </c>
      <c r="J33" s="826">
        <f t="shared" si="35"/>
        <v>8.5000000000000006E-2</v>
      </c>
      <c r="K33" s="3070">
        <v>3.3513272089894669E-4</v>
      </c>
      <c r="L33" s="3071">
        <v>3.6361900217535715E-4</v>
      </c>
      <c r="M33" s="3071">
        <v>3.6361900217535715E-4</v>
      </c>
      <c r="N33" s="3071">
        <v>3.6361900217535715E-4</v>
      </c>
      <c r="O33" s="3071">
        <v>3.6361900217535715E-4</v>
      </c>
      <c r="P33" s="3072">
        <v>3.6361900217535715E-4</v>
      </c>
      <c r="Q33" s="1251">
        <f t="shared" si="166"/>
        <v>2.8486281276410459E-5</v>
      </c>
      <c r="R33" s="1121">
        <f t="shared" si="167"/>
        <v>8.4999999999999978E-2</v>
      </c>
      <c r="S33" s="3070">
        <v>2.8886381642299654E-3</v>
      </c>
      <c r="T33" s="3071">
        <v>3.1341724081895127E-3</v>
      </c>
      <c r="U33" s="3071">
        <v>3.1341724081895127E-3</v>
      </c>
      <c r="V33" s="3071">
        <v>3.1341724081895127E-3</v>
      </c>
      <c r="W33" s="3071">
        <v>3.1341724081895127E-3</v>
      </c>
      <c r="X33" s="3072">
        <v>3.1341724081895127E-3</v>
      </c>
      <c r="Y33" s="1251">
        <f t="shared" si="168"/>
        <v>2.4553424395954739E-4</v>
      </c>
      <c r="Z33" s="1121">
        <f t="shared" si="169"/>
        <v>8.5000000000000117E-2</v>
      </c>
      <c r="AA33" s="3070"/>
      <c r="AB33" s="3071"/>
      <c r="AC33" s="3071"/>
      <c r="AD33" s="3071"/>
      <c r="AE33" s="3071"/>
      <c r="AF33" s="3072"/>
      <c r="AG33" s="1251">
        <f t="shared" si="40"/>
        <v>0</v>
      </c>
      <c r="AH33" s="826">
        <f t="shared" si="41"/>
        <v>0</v>
      </c>
      <c r="AI33" s="3070">
        <v>3.0606305568179344E-2</v>
      </c>
      <c r="AJ33" s="3071">
        <v>3.3207841541474589E-2</v>
      </c>
      <c r="AK33" s="3071">
        <v>3.3207841541474589E-2</v>
      </c>
      <c r="AL33" s="3071">
        <v>3.3207841541474589E-2</v>
      </c>
      <c r="AM33" s="3071">
        <v>3.3207841541474589E-2</v>
      </c>
      <c r="AN33" s="3100">
        <v>3.3207841541474589E-2</v>
      </c>
      <c r="AO33" s="1251">
        <f t="shared" si="42"/>
        <v>2.6015359732952451E-3</v>
      </c>
      <c r="AP33" s="826">
        <f t="shared" si="43"/>
        <v>8.500000000000002E-2</v>
      </c>
      <c r="AQ33" s="3070">
        <v>0</v>
      </c>
      <c r="AR33" s="3071">
        <v>0</v>
      </c>
      <c r="AS33" s="3071">
        <v>0</v>
      </c>
      <c r="AT33" s="3071">
        <v>0</v>
      </c>
      <c r="AU33" s="3071">
        <v>0</v>
      </c>
      <c r="AV33" s="3100">
        <v>0</v>
      </c>
      <c r="AW33" s="1112">
        <f t="shared" si="154"/>
        <v>0.42449999999999999</v>
      </c>
      <c r="AX33" s="3090">
        <f t="shared" si="155"/>
        <v>0.46058250000000001</v>
      </c>
      <c r="AY33" s="3090">
        <f t="shared" si="156"/>
        <v>0.46058250000000001</v>
      </c>
      <c r="AZ33" s="3090">
        <f t="shared" si="157"/>
        <v>0.46058250000000001</v>
      </c>
      <c r="BA33" s="3090">
        <f t="shared" si="158"/>
        <v>0.46058250000000001</v>
      </c>
      <c r="BB33" s="3091">
        <f t="shared" si="159"/>
        <v>0.46058250000000001</v>
      </c>
      <c r="BC33" s="3111">
        <f t="shared" si="160"/>
        <v>0.42127622911487106</v>
      </c>
      <c r="BD33" s="3112">
        <f t="shared" si="161"/>
        <v>0.45708470858963512</v>
      </c>
      <c r="BE33" s="3113">
        <f t="shared" si="162"/>
        <v>0.45708470858963512</v>
      </c>
      <c r="BF33" s="3113">
        <f t="shared" si="163"/>
        <v>0.45708470858963512</v>
      </c>
      <c r="BG33" s="3113">
        <f t="shared" si="164"/>
        <v>0.45708470858963512</v>
      </c>
      <c r="BH33" s="3115">
        <f t="shared" si="165"/>
        <v>0.45708470858963512</v>
      </c>
      <c r="BI33" s="4488"/>
      <c r="BJ33" s="4504">
        <f t="shared" si="46"/>
        <v>0.19974636013697086</v>
      </c>
      <c r="BK33" s="4504">
        <f t="shared" si="47"/>
        <v>0.21672480074861339</v>
      </c>
      <c r="BL33" s="4504">
        <f t="shared" si="48"/>
        <v>0.21672480074861339</v>
      </c>
      <c r="BM33" s="4504">
        <f t="shared" si="49"/>
        <v>0.21672480074861339</v>
      </c>
      <c r="BN33" s="4504">
        <f t="shared" si="50"/>
        <v>0.21672480074861339</v>
      </c>
      <c r="BO33" s="4504">
        <f t="shared" si="51"/>
        <v>0.21672480074861339</v>
      </c>
      <c r="BP33" s="4504">
        <f t="shared" si="52"/>
        <v>1.6978440611642526E-2</v>
      </c>
      <c r="BQ33" s="4504">
        <f t="shared" si="53"/>
        <v>1.7135063931882969E-4</v>
      </c>
      <c r="BR33" s="4504">
        <f t="shared" si="54"/>
        <v>1.8591544366093022E-4</v>
      </c>
      <c r="BS33" s="4504">
        <f t="shared" si="55"/>
        <v>1.8591544366093022E-4</v>
      </c>
      <c r="BT33" s="4504">
        <f t="shared" si="56"/>
        <v>1.8591544366093022E-4</v>
      </c>
      <c r="BU33" s="4504">
        <f t="shared" si="57"/>
        <v>1.8591544366093022E-4</v>
      </c>
      <c r="BV33" s="4504">
        <f t="shared" si="58"/>
        <v>1.8591544366093022E-4</v>
      </c>
      <c r="BW33" s="4504">
        <f t="shared" si="59"/>
        <v>1.456480434210052E-5</v>
      </c>
      <c r="BX33" s="4504">
        <f t="shared" si="60"/>
        <v>1.4769372410843302E-3</v>
      </c>
      <c r="BY33" s="4504">
        <f t="shared" si="61"/>
        <v>1.6024769065764984E-3</v>
      </c>
      <c r="BZ33" s="4504">
        <f t="shared" si="62"/>
        <v>1.6024769065764984E-3</v>
      </c>
      <c r="CA33" s="4504">
        <f t="shared" si="63"/>
        <v>1.6024769065764984E-3</v>
      </c>
      <c r="CB33" s="4504">
        <f t="shared" si="64"/>
        <v>1.6024769065764984E-3</v>
      </c>
      <c r="CC33" s="4504">
        <f t="shared" si="65"/>
        <v>1.6024769065764984E-3</v>
      </c>
      <c r="CD33" s="4504">
        <f t="shared" si="66"/>
        <v>1.2553966549216824E-4</v>
      </c>
      <c r="CE33" s="4504">
        <f t="shared" si="67"/>
        <v>0</v>
      </c>
      <c r="CF33" s="4504">
        <f t="shared" si="68"/>
        <v>0</v>
      </c>
      <c r="CG33" s="4504">
        <f t="shared" si="69"/>
        <v>0</v>
      </c>
      <c r="CH33" s="4504">
        <f t="shared" si="70"/>
        <v>0</v>
      </c>
      <c r="CI33" s="4504">
        <f t="shared" si="71"/>
        <v>0</v>
      </c>
      <c r="CJ33" s="4504">
        <f t="shared" si="72"/>
        <v>0</v>
      </c>
      <c r="CK33" s="4504">
        <f t="shared" si="73"/>
        <v>0</v>
      </c>
      <c r="CL33" s="4504">
        <f t="shared" si="74"/>
        <v>1.5648755550420713E-2</v>
      </c>
      <c r="CM33" s="4504">
        <f t="shared" si="75"/>
        <v>1.6978899772206475E-2</v>
      </c>
      <c r="CN33" s="4504">
        <f t="shared" si="76"/>
        <v>1.6978899772206475E-2</v>
      </c>
      <c r="CO33" s="4504">
        <f t="shared" si="77"/>
        <v>1.6978899772206475E-2</v>
      </c>
      <c r="CP33" s="4504">
        <f t="shared" si="78"/>
        <v>1.6978899772206475E-2</v>
      </c>
      <c r="CQ33" s="4504">
        <f t="shared" si="79"/>
        <v>1.6978899772206475E-2</v>
      </c>
      <c r="CR33" s="4504">
        <f t="shared" si="80"/>
        <v>1.3301442217857611E-3</v>
      </c>
      <c r="CS33" s="4504">
        <f t="shared" si="81"/>
        <v>0</v>
      </c>
      <c r="CT33" s="4504">
        <f t="shared" si="82"/>
        <v>0</v>
      </c>
      <c r="CU33" s="4504">
        <f t="shared" si="83"/>
        <v>0</v>
      </c>
      <c r="CV33" s="4504">
        <f t="shared" si="84"/>
        <v>0</v>
      </c>
      <c r="CW33" s="4504">
        <f t="shared" si="85"/>
        <v>0</v>
      </c>
      <c r="CX33" s="4504">
        <f t="shared" si="86"/>
        <v>0</v>
      </c>
      <c r="CY33" s="4504">
        <f t="shared" si="87"/>
        <v>0.21704340356779475</v>
      </c>
      <c r="CZ33" s="4504">
        <f t="shared" si="88"/>
        <v>0.2354920928710573</v>
      </c>
      <c r="DA33" s="4504">
        <f t="shared" si="89"/>
        <v>0.2354920928710573</v>
      </c>
      <c r="DB33" s="4504">
        <f t="shared" si="90"/>
        <v>0.2354920928710573</v>
      </c>
      <c r="DC33" s="4504">
        <f t="shared" si="91"/>
        <v>0.2354920928710573</v>
      </c>
      <c r="DD33" s="4504">
        <f t="shared" si="92"/>
        <v>0.2354920928710573</v>
      </c>
      <c r="DE33" s="4504">
        <f t="shared" si="93"/>
        <v>0.21539511568739159</v>
      </c>
      <c r="DF33" s="4504">
        <f t="shared" si="94"/>
        <v>0.23370370052081987</v>
      </c>
      <c r="DG33" s="4504">
        <f t="shared" si="95"/>
        <v>0.23370370052081987</v>
      </c>
      <c r="DH33" s="4504">
        <f t="shared" si="96"/>
        <v>0.23370370052081987</v>
      </c>
      <c r="DI33" s="4504">
        <f t="shared" si="97"/>
        <v>0.23370370052081987</v>
      </c>
      <c r="DJ33" s="4504">
        <f t="shared" si="98"/>
        <v>0.23370370052081987</v>
      </c>
    </row>
    <row r="34" spans="1:114" ht="13.2">
      <c r="A34" s="838" t="s">
        <v>244</v>
      </c>
      <c r="B34" s="896" t="s">
        <v>245</v>
      </c>
      <c r="C34" s="3070">
        <v>37.941606701630832</v>
      </c>
      <c r="D34" s="3071">
        <v>41.166643271269457</v>
      </c>
      <c r="E34" s="3071">
        <v>41.166643271269457</v>
      </c>
      <c r="F34" s="3071">
        <v>41.166643271269457</v>
      </c>
      <c r="G34" s="3071">
        <v>41.166643271269457</v>
      </c>
      <c r="H34" s="3072">
        <v>41.166643271269457</v>
      </c>
      <c r="I34" s="1251">
        <f t="shared" si="34"/>
        <v>3.2250365696386254</v>
      </c>
      <c r="J34" s="826">
        <f t="shared" si="35"/>
        <v>8.5000000000000117E-2</v>
      </c>
      <c r="K34" s="3070">
        <v>1.3683307765312893</v>
      </c>
      <c r="L34" s="3071">
        <v>1.4846388925364489</v>
      </c>
      <c r="M34" s="3071">
        <v>1.4846388925364489</v>
      </c>
      <c r="N34" s="3071">
        <v>1.4846388925364489</v>
      </c>
      <c r="O34" s="3071">
        <v>1.4846388925364489</v>
      </c>
      <c r="P34" s="3072">
        <v>1.4846388925364489</v>
      </c>
      <c r="Q34" s="1251">
        <f t="shared" si="166"/>
        <v>0.11630811600515956</v>
      </c>
      <c r="R34" s="1121">
        <f t="shared" si="167"/>
        <v>8.4999999999999978E-2</v>
      </c>
      <c r="S34" s="3070">
        <v>7.469776752190068</v>
      </c>
      <c r="T34" s="3071">
        <v>8.4047077761262248</v>
      </c>
      <c r="U34" s="3071">
        <v>8.4047077761262248</v>
      </c>
      <c r="V34" s="3071">
        <v>8.4047077761262248</v>
      </c>
      <c r="W34" s="3071">
        <v>8.4047077761262248</v>
      </c>
      <c r="X34" s="3072">
        <v>8.4047077761262248</v>
      </c>
      <c r="Y34" s="1251">
        <f t="shared" si="168"/>
        <v>0.93493102393615679</v>
      </c>
      <c r="Z34" s="1121">
        <f t="shared" si="169"/>
        <v>0.12516184284383652</v>
      </c>
      <c r="AA34" s="3070"/>
      <c r="AB34" s="3071"/>
      <c r="AC34" s="3071"/>
      <c r="AD34" s="3071"/>
      <c r="AE34" s="3071"/>
      <c r="AF34" s="3072"/>
      <c r="AG34" s="1251">
        <f t="shared" si="40"/>
        <v>0</v>
      </c>
      <c r="AH34" s="826">
        <f t="shared" si="41"/>
        <v>0</v>
      </c>
      <c r="AI34" s="3070">
        <v>6.4033139404160107</v>
      </c>
      <c r="AJ34" s="3071">
        <v>7.0175956253513716</v>
      </c>
      <c r="AK34" s="3071">
        <v>6.9475956253513713</v>
      </c>
      <c r="AL34" s="3071">
        <v>6.9475956253513713</v>
      </c>
      <c r="AM34" s="3071">
        <v>6.9475956253513713</v>
      </c>
      <c r="AN34" s="3100">
        <v>6.9475956253513713</v>
      </c>
      <c r="AO34" s="1251">
        <f t="shared" si="42"/>
        <v>0.61428168493536095</v>
      </c>
      <c r="AP34" s="826">
        <f t="shared" si="43"/>
        <v>9.5931839458655729E-2</v>
      </c>
      <c r="AQ34" s="3070">
        <v>0.6671718292318044</v>
      </c>
      <c r="AR34" s="3071">
        <v>0.72388143471650779</v>
      </c>
      <c r="AS34" s="3071">
        <v>0.72388143471650779</v>
      </c>
      <c r="AT34" s="3071">
        <v>0.72388143471650779</v>
      </c>
      <c r="AU34" s="3071">
        <v>0.72388143471650779</v>
      </c>
      <c r="AV34" s="3100">
        <v>0.72388143471650779</v>
      </c>
      <c r="AW34" s="1112">
        <f t="shared" si="154"/>
        <v>53.183028170768196</v>
      </c>
      <c r="AX34" s="3090">
        <f t="shared" si="155"/>
        <v>58.073585565283501</v>
      </c>
      <c r="AY34" s="3090">
        <f t="shared" si="156"/>
        <v>58.003585565283501</v>
      </c>
      <c r="AZ34" s="3090">
        <f t="shared" si="157"/>
        <v>58.003585565283501</v>
      </c>
      <c r="BA34" s="3090">
        <f t="shared" si="158"/>
        <v>58.003585565283501</v>
      </c>
      <c r="BB34" s="3091">
        <f t="shared" si="159"/>
        <v>58.003585565283501</v>
      </c>
      <c r="BC34" s="3111">
        <f t="shared" si="160"/>
        <v>44.344920642046844</v>
      </c>
      <c r="BD34" s="3112">
        <f t="shared" si="161"/>
        <v>48.184238896620826</v>
      </c>
      <c r="BE34" s="3113">
        <f t="shared" si="162"/>
        <v>48.114238896620826</v>
      </c>
      <c r="BF34" s="3113">
        <f t="shared" si="163"/>
        <v>48.114238896620826</v>
      </c>
      <c r="BG34" s="3113">
        <f t="shared" si="164"/>
        <v>48.114238896620826</v>
      </c>
      <c r="BH34" s="3115">
        <f t="shared" si="165"/>
        <v>48.114238896620826</v>
      </c>
      <c r="BI34" s="4488"/>
      <c r="BJ34" s="4504">
        <f t="shared" si="46"/>
        <v>19.39923546608388</v>
      </c>
      <c r="BK34" s="4504">
        <f t="shared" si="47"/>
        <v>21.04817048070101</v>
      </c>
      <c r="BL34" s="4504">
        <f t="shared" si="48"/>
        <v>21.04817048070101</v>
      </c>
      <c r="BM34" s="4504">
        <f t="shared" si="49"/>
        <v>21.04817048070101</v>
      </c>
      <c r="BN34" s="4504">
        <f t="shared" si="50"/>
        <v>21.04817048070101</v>
      </c>
      <c r="BO34" s="4504">
        <f t="shared" si="51"/>
        <v>21.04817048070101</v>
      </c>
      <c r="BP34" s="4504">
        <f t="shared" si="52"/>
        <v>1.648935014617132</v>
      </c>
      <c r="BQ34" s="4504">
        <f t="shared" si="53"/>
        <v>0.69961641683136533</v>
      </c>
      <c r="BR34" s="4504">
        <f t="shared" si="54"/>
        <v>0.75908381226203137</v>
      </c>
      <c r="BS34" s="4504">
        <f t="shared" si="55"/>
        <v>0.75908381226203137</v>
      </c>
      <c r="BT34" s="4504">
        <f t="shared" si="56"/>
        <v>0.75908381226203137</v>
      </c>
      <c r="BU34" s="4504">
        <f t="shared" si="57"/>
        <v>0.75908381226203137</v>
      </c>
      <c r="BV34" s="4504">
        <f t="shared" si="58"/>
        <v>0.75908381226203137</v>
      </c>
      <c r="BW34" s="4504">
        <f t="shared" si="59"/>
        <v>5.9467395430666037E-2</v>
      </c>
      <c r="BX34" s="4504">
        <f t="shared" si="60"/>
        <v>3.8192362077430393</v>
      </c>
      <c r="BY34" s="4504">
        <f t="shared" si="61"/>
        <v>4.2972588497600634</v>
      </c>
      <c r="BZ34" s="4504">
        <f t="shared" si="62"/>
        <v>4.2972588497600634</v>
      </c>
      <c r="CA34" s="4504">
        <f t="shared" si="63"/>
        <v>4.2972588497600634</v>
      </c>
      <c r="CB34" s="4504">
        <f t="shared" si="64"/>
        <v>4.2972588497600634</v>
      </c>
      <c r="CC34" s="4504">
        <f t="shared" si="65"/>
        <v>4.2972588497600634</v>
      </c>
      <c r="CD34" s="4504">
        <f t="shared" si="66"/>
        <v>0.47802264201702438</v>
      </c>
      <c r="CE34" s="4504">
        <f t="shared" si="67"/>
        <v>0</v>
      </c>
      <c r="CF34" s="4504">
        <f t="shared" si="68"/>
        <v>0</v>
      </c>
      <c r="CG34" s="4504">
        <f t="shared" si="69"/>
        <v>0</v>
      </c>
      <c r="CH34" s="4504">
        <f t="shared" si="70"/>
        <v>0</v>
      </c>
      <c r="CI34" s="4504">
        <f t="shared" si="71"/>
        <v>0</v>
      </c>
      <c r="CJ34" s="4504">
        <f t="shared" si="72"/>
        <v>0</v>
      </c>
      <c r="CK34" s="4504">
        <f t="shared" si="73"/>
        <v>0</v>
      </c>
      <c r="CL34" s="4504">
        <f t="shared" si="74"/>
        <v>3.2739624304852728</v>
      </c>
      <c r="CM34" s="4504">
        <f t="shared" si="75"/>
        <v>3.5880396687602563</v>
      </c>
      <c r="CN34" s="4504">
        <f t="shared" si="76"/>
        <v>3.5522492370765208</v>
      </c>
      <c r="CO34" s="4504">
        <f t="shared" si="77"/>
        <v>3.5522492370765208</v>
      </c>
      <c r="CP34" s="4504">
        <f t="shared" si="78"/>
        <v>3.5522492370765208</v>
      </c>
      <c r="CQ34" s="4504">
        <f t="shared" si="79"/>
        <v>3.5522492370765208</v>
      </c>
      <c r="CR34" s="4504">
        <f t="shared" si="80"/>
        <v>0.31407723827498352</v>
      </c>
      <c r="CS34" s="4504">
        <f t="shared" si="81"/>
        <v>0.34111953964905151</v>
      </c>
      <c r="CT34" s="4504">
        <f t="shared" si="82"/>
        <v>0.37011470051922091</v>
      </c>
      <c r="CU34" s="4504">
        <f t="shared" si="83"/>
        <v>0.37011470051922091</v>
      </c>
      <c r="CV34" s="4504">
        <f t="shared" si="84"/>
        <v>0.37011470051922091</v>
      </c>
      <c r="CW34" s="4504">
        <f t="shared" si="85"/>
        <v>0.37011470051922091</v>
      </c>
      <c r="CX34" s="4504">
        <f t="shared" si="86"/>
        <v>0.37011470051922091</v>
      </c>
      <c r="CY34" s="4504">
        <f t="shared" si="87"/>
        <v>27.192050521143553</v>
      </c>
      <c r="CZ34" s="4504">
        <f t="shared" si="88"/>
        <v>29.69255281148336</v>
      </c>
      <c r="DA34" s="4504">
        <f t="shared" si="89"/>
        <v>29.656762379799627</v>
      </c>
      <c r="DB34" s="4504">
        <f t="shared" si="90"/>
        <v>29.656762379799627</v>
      </c>
      <c r="DC34" s="4504">
        <f t="shared" si="91"/>
        <v>29.656762379799627</v>
      </c>
      <c r="DD34" s="4504">
        <f t="shared" si="92"/>
        <v>29.656762379799627</v>
      </c>
      <c r="DE34" s="4504">
        <f t="shared" si="93"/>
        <v>22.673197896569153</v>
      </c>
      <c r="DF34" s="4504">
        <f t="shared" si="94"/>
        <v>24.636210149461267</v>
      </c>
      <c r="DG34" s="4504">
        <f t="shared" si="95"/>
        <v>24.60041971777753</v>
      </c>
      <c r="DH34" s="4504">
        <f t="shared" si="96"/>
        <v>24.60041971777753</v>
      </c>
      <c r="DI34" s="4504">
        <f t="shared" si="97"/>
        <v>24.60041971777753</v>
      </c>
      <c r="DJ34" s="4504">
        <f t="shared" si="98"/>
        <v>24.60041971777753</v>
      </c>
    </row>
    <row r="35" spans="1:114" ht="13.2">
      <c r="A35" s="838" t="s">
        <v>246</v>
      </c>
      <c r="B35" s="896" t="s">
        <v>247</v>
      </c>
      <c r="C35" s="3070">
        <v>0.43</v>
      </c>
      <c r="D35" s="3071">
        <v>0.46654999999999996</v>
      </c>
      <c r="E35" s="3071">
        <v>0.46654999999999996</v>
      </c>
      <c r="F35" s="3071">
        <v>0.46654999999999996</v>
      </c>
      <c r="G35" s="3071">
        <v>0.46654999999999996</v>
      </c>
      <c r="H35" s="3072">
        <v>0.46654999999999996</v>
      </c>
      <c r="I35" s="1251">
        <f t="shared" si="34"/>
        <v>3.6549999999999971E-2</v>
      </c>
      <c r="J35" s="826">
        <f t="shared" si="35"/>
        <v>8.4999999999999937E-2</v>
      </c>
      <c r="K35" s="3070">
        <v>0</v>
      </c>
      <c r="L35" s="3071">
        <v>0</v>
      </c>
      <c r="M35" s="3071">
        <v>0</v>
      </c>
      <c r="N35" s="3071">
        <v>0</v>
      </c>
      <c r="O35" s="3071">
        <v>0</v>
      </c>
      <c r="P35" s="3072">
        <v>0</v>
      </c>
      <c r="Q35" s="1251">
        <f t="shared" si="166"/>
        <v>0</v>
      </c>
      <c r="R35" s="1121">
        <f t="shared" si="167"/>
        <v>0</v>
      </c>
      <c r="S35" s="3070">
        <v>0.96</v>
      </c>
      <c r="T35" s="3071">
        <v>1.0416000000000001</v>
      </c>
      <c r="U35" s="3071">
        <v>1.0416000000000001</v>
      </c>
      <c r="V35" s="3071">
        <v>1.0416000000000001</v>
      </c>
      <c r="W35" s="3071">
        <v>1.0416000000000001</v>
      </c>
      <c r="X35" s="3072">
        <v>1.0416000000000001</v>
      </c>
      <c r="Y35" s="1251">
        <f t="shared" si="168"/>
        <v>8.1600000000000117E-2</v>
      </c>
      <c r="Z35" s="1121">
        <f t="shared" si="169"/>
        <v>8.5000000000000131E-2</v>
      </c>
      <c r="AA35" s="3070"/>
      <c r="AB35" s="3071"/>
      <c r="AC35" s="3071"/>
      <c r="AD35" s="3071"/>
      <c r="AE35" s="3071"/>
      <c r="AF35" s="3072"/>
      <c r="AG35" s="1251">
        <f t="shared" si="40"/>
        <v>0</v>
      </c>
      <c r="AH35" s="826">
        <f t="shared" si="41"/>
        <v>0</v>
      </c>
      <c r="AI35" s="3070">
        <v>0</v>
      </c>
      <c r="AJ35" s="3071">
        <v>0</v>
      </c>
      <c r="AK35" s="3071">
        <v>0</v>
      </c>
      <c r="AL35" s="3071">
        <v>0</v>
      </c>
      <c r="AM35" s="3071">
        <v>0</v>
      </c>
      <c r="AN35" s="3100">
        <v>0</v>
      </c>
      <c r="AO35" s="1251">
        <f t="shared" si="42"/>
        <v>0</v>
      </c>
      <c r="AP35" s="826">
        <f t="shared" si="43"/>
        <v>0</v>
      </c>
      <c r="AQ35" s="3070">
        <v>0</v>
      </c>
      <c r="AR35" s="3071">
        <v>0</v>
      </c>
      <c r="AS35" s="3071">
        <v>0</v>
      </c>
      <c r="AT35" s="3071">
        <v>0</v>
      </c>
      <c r="AU35" s="3071">
        <v>0</v>
      </c>
      <c r="AV35" s="3100">
        <v>0</v>
      </c>
      <c r="AW35" s="1112">
        <f t="shared" si="154"/>
        <v>1.39</v>
      </c>
      <c r="AX35" s="3090">
        <f t="shared" si="155"/>
        <v>1.5081500000000001</v>
      </c>
      <c r="AY35" s="3090">
        <f t="shared" si="156"/>
        <v>1.5081500000000001</v>
      </c>
      <c r="AZ35" s="3090">
        <f t="shared" si="157"/>
        <v>1.5081500000000001</v>
      </c>
      <c r="BA35" s="3090">
        <f t="shared" si="158"/>
        <v>1.5081500000000001</v>
      </c>
      <c r="BB35" s="3091">
        <f t="shared" si="159"/>
        <v>1.5081500000000001</v>
      </c>
      <c r="BC35" s="3111">
        <f t="shared" si="160"/>
        <v>0.43</v>
      </c>
      <c r="BD35" s="3112">
        <f t="shared" si="161"/>
        <v>0.46654999999999996</v>
      </c>
      <c r="BE35" s="3113">
        <f t="shared" si="162"/>
        <v>0.46654999999999996</v>
      </c>
      <c r="BF35" s="3113">
        <f t="shared" si="163"/>
        <v>0.46654999999999996</v>
      </c>
      <c r="BG35" s="3113">
        <f t="shared" si="164"/>
        <v>0.46654999999999996</v>
      </c>
      <c r="BH35" s="3115">
        <f t="shared" si="165"/>
        <v>0.46654999999999996</v>
      </c>
      <c r="BI35" s="4488"/>
      <c r="BJ35" s="4504">
        <f t="shared" si="46"/>
        <v>0.21985550891437394</v>
      </c>
      <c r="BK35" s="4504">
        <f t="shared" si="47"/>
        <v>0.23854322717209572</v>
      </c>
      <c r="BL35" s="4504">
        <f t="shared" si="48"/>
        <v>0.23854322717209572</v>
      </c>
      <c r="BM35" s="4504">
        <f t="shared" si="49"/>
        <v>0.23854322717209572</v>
      </c>
      <c r="BN35" s="4504">
        <f t="shared" si="50"/>
        <v>0.23854322717209572</v>
      </c>
      <c r="BO35" s="4504">
        <f t="shared" si="51"/>
        <v>0.23854322717209572</v>
      </c>
      <c r="BP35" s="4504">
        <f t="shared" si="52"/>
        <v>1.868771825772177E-2</v>
      </c>
      <c r="BQ35" s="4504">
        <f t="shared" si="53"/>
        <v>0</v>
      </c>
      <c r="BR35" s="4504">
        <f t="shared" si="54"/>
        <v>0</v>
      </c>
      <c r="BS35" s="4504">
        <f t="shared" si="55"/>
        <v>0</v>
      </c>
      <c r="BT35" s="4504">
        <f t="shared" si="56"/>
        <v>0</v>
      </c>
      <c r="BU35" s="4504">
        <f t="shared" si="57"/>
        <v>0</v>
      </c>
      <c r="BV35" s="4504">
        <f t="shared" si="58"/>
        <v>0</v>
      </c>
      <c r="BW35" s="4504">
        <f t="shared" si="59"/>
        <v>0</v>
      </c>
      <c r="BX35" s="4504">
        <f t="shared" si="60"/>
        <v>0.49084020594836975</v>
      </c>
      <c r="BY35" s="4504">
        <f t="shared" si="61"/>
        <v>0.53256162345398128</v>
      </c>
      <c r="BZ35" s="4504">
        <f t="shared" si="62"/>
        <v>0.53256162345398128</v>
      </c>
      <c r="CA35" s="4504">
        <f t="shared" si="63"/>
        <v>0.53256162345398128</v>
      </c>
      <c r="CB35" s="4504">
        <f t="shared" si="64"/>
        <v>0.53256162345398128</v>
      </c>
      <c r="CC35" s="4504">
        <f t="shared" si="65"/>
        <v>0.53256162345398128</v>
      </c>
      <c r="CD35" s="4504">
        <f t="shared" si="66"/>
        <v>4.1721417505611487E-2</v>
      </c>
      <c r="CE35" s="4504">
        <f t="shared" si="67"/>
        <v>0</v>
      </c>
      <c r="CF35" s="4504">
        <f t="shared" si="68"/>
        <v>0</v>
      </c>
      <c r="CG35" s="4504">
        <f t="shared" si="69"/>
        <v>0</v>
      </c>
      <c r="CH35" s="4504">
        <f t="shared" si="70"/>
        <v>0</v>
      </c>
      <c r="CI35" s="4504">
        <f t="shared" si="71"/>
        <v>0</v>
      </c>
      <c r="CJ35" s="4504">
        <f t="shared" si="72"/>
        <v>0</v>
      </c>
      <c r="CK35" s="4504">
        <f t="shared" si="73"/>
        <v>0</v>
      </c>
      <c r="CL35" s="4504">
        <f t="shared" si="74"/>
        <v>0</v>
      </c>
      <c r="CM35" s="4504">
        <f t="shared" si="75"/>
        <v>0</v>
      </c>
      <c r="CN35" s="4504">
        <f t="shared" si="76"/>
        <v>0</v>
      </c>
      <c r="CO35" s="4504">
        <f t="shared" si="77"/>
        <v>0</v>
      </c>
      <c r="CP35" s="4504">
        <f t="shared" si="78"/>
        <v>0</v>
      </c>
      <c r="CQ35" s="4504">
        <f t="shared" si="79"/>
        <v>0</v>
      </c>
      <c r="CR35" s="4504">
        <f t="shared" si="80"/>
        <v>0</v>
      </c>
      <c r="CS35" s="4504">
        <f t="shared" si="81"/>
        <v>0</v>
      </c>
      <c r="CT35" s="4504">
        <f t="shared" si="82"/>
        <v>0</v>
      </c>
      <c r="CU35" s="4504">
        <f t="shared" si="83"/>
        <v>0</v>
      </c>
      <c r="CV35" s="4504">
        <f t="shared" si="84"/>
        <v>0</v>
      </c>
      <c r="CW35" s="4504">
        <f t="shared" si="85"/>
        <v>0</v>
      </c>
      <c r="CX35" s="4504">
        <f t="shared" si="86"/>
        <v>0</v>
      </c>
      <c r="CY35" s="4504">
        <f t="shared" si="87"/>
        <v>0.71069571486274363</v>
      </c>
      <c r="CZ35" s="4504">
        <f t="shared" si="88"/>
        <v>0.77110485062607703</v>
      </c>
      <c r="DA35" s="4504">
        <f t="shared" si="89"/>
        <v>0.77110485062607703</v>
      </c>
      <c r="DB35" s="4504">
        <f t="shared" si="90"/>
        <v>0.77110485062607703</v>
      </c>
      <c r="DC35" s="4504">
        <f t="shared" si="91"/>
        <v>0.77110485062607703</v>
      </c>
      <c r="DD35" s="4504">
        <f t="shared" si="92"/>
        <v>0.77110485062607703</v>
      </c>
      <c r="DE35" s="4504">
        <f t="shared" si="93"/>
        <v>0.21985550891437394</v>
      </c>
      <c r="DF35" s="4504">
        <f t="shared" si="94"/>
        <v>0.23854322717209572</v>
      </c>
      <c r="DG35" s="4504">
        <f t="shared" si="95"/>
        <v>0.23854322717209572</v>
      </c>
      <c r="DH35" s="4504">
        <f t="shared" si="96"/>
        <v>0.23854322717209572</v>
      </c>
      <c r="DI35" s="4504">
        <f t="shared" si="97"/>
        <v>0.23854322717209572</v>
      </c>
      <c r="DJ35" s="4504">
        <f t="shared" si="98"/>
        <v>0.23854322717209572</v>
      </c>
    </row>
    <row r="36" spans="1:114" ht="13.2">
      <c r="A36" s="108" t="s">
        <v>248</v>
      </c>
      <c r="B36" s="896" t="s">
        <v>249</v>
      </c>
      <c r="C36" s="3070">
        <v>65.859355123614762</v>
      </c>
      <c r="D36" s="3071">
        <v>71.391540953998401</v>
      </c>
      <c r="E36" s="3071">
        <v>71.457400309122022</v>
      </c>
      <c r="F36" s="3071">
        <v>71.523259664245629</v>
      </c>
      <c r="G36" s="3071">
        <v>71.589119019369249</v>
      </c>
      <c r="H36" s="3072">
        <v>71.654978374492856</v>
      </c>
      <c r="I36" s="1251">
        <f t="shared" si="34"/>
        <v>5.5321858303836393</v>
      </c>
      <c r="J36" s="826">
        <f t="shared" si="35"/>
        <v>8.3999999999999991E-2</v>
      </c>
      <c r="K36" s="3070">
        <v>1.5490622149382189</v>
      </c>
      <c r="L36" s="3071">
        <v>1.6791834409930293</v>
      </c>
      <c r="M36" s="3071">
        <v>1.6807325032079676</v>
      </c>
      <c r="N36" s="3071">
        <v>1.6822815654229057</v>
      </c>
      <c r="O36" s="3071">
        <v>1.6838306276378439</v>
      </c>
      <c r="P36" s="3072">
        <v>1.6853796898527822</v>
      </c>
      <c r="Q36" s="1251">
        <f t="shared" si="166"/>
        <v>0.13012122605481036</v>
      </c>
      <c r="R36" s="1121">
        <f t="shared" si="167"/>
        <v>8.3999999999999977E-2</v>
      </c>
      <c r="S36" s="3070">
        <v>38.947918024773493</v>
      </c>
      <c r="T36" s="3071">
        <v>42.719543138854469</v>
      </c>
      <c r="U36" s="3071">
        <v>42.758491056879237</v>
      </c>
      <c r="V36" s="3071">
        <v>42.797438974904011</v>
      </c>
      <c r="W36" s="3071">
        <v>42.836386892928786</v>
      </c>
      <c r="X36" s="3072">
        <v>42.875334810953561</v>
      </c>
      <c r="Y36" s="1251">
        <f t="shared" si="168"/>
        <v>3.771625114080976</v>
      </c>
      <c r="Z36" s="1121">
        <f t="shared" si="169"/>
        <v>9.6837656679927511E-2</v>
      </c>
      <c r="AA36" s="3070"/>
      <c r="AB36" s="3071"/>
      <c r="AC36" s="3071"/>
      <c r="AD36" s="3071"/>
      <c r="AE36" s="3071"/>
      <c r="AF36" s="3072"/>
      <c r="AG36" s="1251">
        <f t="shared" si="40"/>
        <v>0</v>
      </c>
      <c r="AH36" s="826">
        <f t="shared" si="41"/>
        <v>0</v>
      </c>
      <c r="AI36" s="3070">
        <v>10.37797300342465</v>
      </c>
      <c r="AJ36" s="3071">
        <v>11.24972273571232</v>
      </c>
      <c r="AK36" s="3071">
        <v>11.260100708715745</v>
      </c>
      <c r="AL36" s="3071">
        <v>11.270478681719169</v>
      </c>
      <c r="AM36" s="3071">
        <v>11.280856654722594</v>
      </c>
      <c r="AN36" s="3100">
        <v>11.29123462772602</v>
      </c>
      <c r="AO36" s="1251">
        <f t="shared" si="42"/>
        <v>0.87174973228766994</v>
      </c>
      <c r="AP36" s="826">
        <f t="shared" si="43"/>
        <v>8.3999999999999936E-2</v>
      </c>
      <c r="AQ36" s="3070">
        <v>0.49125001636291171</v>
      </c>
      <c r="AR36" s="3071">
        <v>0.53251501773739629</v>
      </c>
      <c r="AS36" s="3071">
        <v>0.53300626775375926</v>
      </c>
      <c r="AT36" s="3071">
        <v>0.53349751777012211</v>
      </c>
      <c r="AU36" s="3071">
        <v>0.53398876778648507</v>
      </c>
      <c r="AV36" s="3100">
        <v>0.53448001780284793</v>
      </c>
      <c r="AW36" s="1112">
        <f t="shared" si="154"/>
        <v>116.73430836675112</v>
      </c>
      <c r="AX36" s="3090">
        <f t="shared" si="155"/>
        <v>127.03999026955823</v>
      </c>
      <c r="AY36" s="3090">
        <f t="shared" si="156"/>
        <v>127.15672457792496</v>
      </c>
      <c r="AZ36" s="3090">
        <f t="shared" si="157"/>
        <v>127.27345888629172</v>
      </c>
      <c r="BA36" s="3090">
        <f t="shared" si="158"/>
        <v>127.39019319465848</v>
      </c>
      <c r="BB36" s="3091">
        <f t="shared" si="159"/>
        <v>127.50692750302522</v>
      </c>
      <c r="BC36" s="3111">
        <f t="shared" si="160"/>
        <v>76.237328127039405</v>
      </c>
      <c r="BD36" s="3112">
        <f t="shared" si="161"/>
        <v>82.641263689710726</v>
      </c>
      <c r="BE36" s="3113">
        <f t="shared" si="162"/>
        <v>82.717501017837762</v>
      </c>
      <c r="BF36" s="3113">
        <f t="shared" si="163"/>
        <v>82.793738345964798</v>
      </c>
      <c r="BG36" s="3113">
        <f t="shared" si="164"/>
        <v>82.869975674091847</v>
      </c>
      <c r="BH36" s="3115">
        <f t="shared" si="165"/>
        <v>82.946213002218883</v>
      </c>
      <c r="BI36" s="4488"/>
      <c r="BJ36" s="4504">
        <f t="shared" si="46"/>
        <v>33.673353575522803</v>
      </c>
      <c r="BK36" s="4504">
        <f t="shared" si="47"/>
        <v>36.501915275866715</v>
      </c>
      <c r="BL36" s="4504">
        <f t="shared" si="48"/>
        <v>36.535588629442245</v>
      </c>
      <c r="BM36" s="4504">
        <f t="shared" si="49"/>
        <v>36.569261983017761</v>
      </c>
      <c r="BN36" s="4504">
        <f t="shared" si="50"/>
        <v>36.602935336593291</v>
      </c>
      <c r="BO36" s="4504">
        <f t="shared" si="51"/>
        <v>36.636608690168806</v>
      </c>
      <c r="BP36" s="4504">
        <f t="shared" si="52"/>
        <v>2.828561700343915</v>
      </c>
      <c r="BQ36" s="4504">
        <f t="shared" si="53"/>
        <v>0.79202293396574297</v>
      </c>
      <c r="BR36" s="4504">
        <f t="shared" si="54"/>
        <v>0.85855286041886536</v>
      </c>
      <c r="BS36" s="4504">
        <f t="shared" si="55"/>
        <v>0.8593448833528311</v>
      </c>
      <c r="BT36" s="4504">
        <f t="shared" si="56"/>
        <v>0.86013690628679684</v>
      </c>
      <c r="BU36" s="4504">
        <f t="shared" si="57"/>
        <v>0.86092892922076247</v>
      </c>
      <c r="BV36" s="4504">
        <f t="shared" si="58"/>
        <v>0.86172095215472833</v>
      </c>
      <c r="BW36" s="4504">
        <f t="shared" si="59"/>
        <v>6.652992645312239E-2</v>
      </c>
      <c r="BX36" s="4504">
        <f t="shared" si="60"/>
        <v>19.913754275562546</v>
      </c>
      <c r="BY36" s="4504">
        <f t="shared" si="61"/>
        <v>21.84215557530791</v>
      </c>
      <c r="BZ36" s="4504">
        <f t="shared" si="62"/>
        <v>21.86206932958347</v>
      </c>
      <c r="CA36" s="4504">
        <f t="shared" si="63"/>
        <v>21.881983083859033</v>
      </c>
      <c r="CB36" s="4504">
        <f t="shared" si="64"/>
        <v>21.901896838134597</v>
      </c>
      <c r="CC36" s="4504">
        <f t="shared" si="65"/>
        <v>21.921810592410161</v>
      </c>
      <c r="CD36" s="4504">
        <f t="shared" si="66"/>
        <v>1.9284012997453643</v>
      </c>
      <c r="CE36" s="4504">
        <f t="shared" si="67"/>
        <v>0</v>
      </c>
      <c r="CF36" s="4504">
        <f t="shared" si="68"/>
        <v>0</v>
      </c>
      <c r="CG36" s="4504">
        <f t="shared" si="69"/>
        <v>0</v>
      </c>
      <c r="CH36" s="4504">
        <f t="shared" si="70"/>
        <v>0</v>
      </c>
      <c r="CI36" s="4504">
        <f t="shared" si="71"/>
        <v>0</v>
      </c>
      <c r="CJ36" s="4504">
        <f t="shared" si="72"/>
        <v>0</v>
      </c>
      <c r="CK36" s="4504">
        <f t="shared" si="73"/>
        <v>0</v>
      </c>
      <c r="CL36" s="4504">
        <f t="shared" si="74"/>
        <v>5.306173339924559</v>
      </c>
      <c r="CM36" s="4504">
        <f t="shared" si="75"/>
        <v>5.7518919004782214</v>
      </c>
      <c r="CN36" s="4504">
        <f t="shared" si="76"/>
        <v>5.7571980738181461</v>
      </c>
      <c r="CO36" s="4504">
        <f t="shared" si="77"/>
        <v>5.7625042471580707</v>
      </c>
      <c r="CP36" s="4504">
        <f t="shared" si="78"/>
        <v>5.7678104204979954</v>
      </c>
      <c r="CQ36" s="4504">
        <f t="shared" si="79"/>
        <v>5.7731165938379201</v>
      </c>
      <c r="CR36" s="4504">
        <f t="shared" si="80"/>
        <v>0.4457185605536626</v>
      </c>
      <c r="CS36" s="4504">
        <f t="shared" si="81"/>
        <v>0.25117214500386625</v>
      </c>
      <c r="CT36" s="4504">
        <f t="shared" si="82"/>
        <v>0.27227060518419099</v>
      </c>
      <c r="CU36" s="4504">
        <f t="shared" si="83"/>
        <v>0.27252177732919491</v>
      </c>
      <c r="CV36" s="4504">
        <f t="shared" si="84"/>
        <v>0.27277294947419872</v>
      </c>
      <c r="CW36" s="4504">
        <f t="shared" si="85"/>
        <v>0.27302412161920264</v>
      </c>
      <c r="CX36" s="4504">
        <f t="shared" si="86"/>
        <v>0.27327529376420645</v>
      </c>
      <c r="CY36" s="4504">
        <f t="shared" si="87"/>
        <v>59.685304124975652</v>
      </c>
      <c r="CZ36" s="4504">
        <f t="shared" si="88"/>
        <v>64.954515612071717</v>
      </c>
      <c r="DA36" s="4504">
        <f t="shared" si="89"/>
        <v>65.014200916196685</v>
      </c>
      <c r="DB36" s="4504">
        <f t="shared" si="90"/>
        <v>65.073886220321668</v>
      </c>
      <c r="DC36" s="4504">
        <f t="shared" si="91"/>
        <v>65.133571524446651</v>
      </c>
      <c r="DD36" s="4504">
        <f t="shared" si="92"/>
        <v>65.19325682857162</v>
      </c>
      <c r="DE36" s="4504">
        <f t="shared" si="93"/>
        <v>38.979526915447359</v>
      </c>
      <c r="DF36" s="4504">
        <f t="shared" si="94"/>
        <v>42.253807176344942</v>
      </c>
      <c r="DG36" s="4504">
        <f t="shared" si="95"/>
        <v>42.29278670326039</v>
      </c>
      <c r="DH36" s="4504">
        <f t="shared" si="96"/>
        <v>42.33176623017583</v>
      </c>
      <c r="DI36" s="4504">
        <f t="shared" si="97"/>
        <v>42.370745757091285</v>
      </c>
      <c r="DJ36" s="4504">
        <f t="shared" si="98"/>
        <v>42.409725284006733</v>
      </c>
    </row>
    <row r="37" spans="1:114" ht="13.2">
      <c r="A37" s="838" t="s">
        <v>250</v>
      </c>
      <c r="B37" s="896" t="s">
        <v>251</v>
      </c>
      <c r="C37" s="3070">
        <v>0.17765085966412575</v>
      </c>
      <c r="D37" s="3071">
        <v>0.19275118273557643</v>
      </c>
      <c r="E37" s="3071">
        <v>0.19275118273557643</v>
      </c>
      <c r="F37" s="3071">
        <v>0.19275118273557643</v>
      </c>
      <c r="G37" s="3071">
        <v>0.19275118273557643</v>
      </c>
      <c r="H37" s="3072">
        <v>0.19275118273557643</v>
      </c>
      <c r="I37" s="1251">
        <f t="shared" si="34"/>
        <v>1.5100323071450678E-2</v>
      </c>
      <c r="J37" s="826">
        <f t="shared" si="35"/>
        <v>8.4999999999999937E-2</v>
      </c>
      <c r="K37" s="3070">
        <v>4.8444741380218341E-3</v>
      </c>
      <c r="L37" s="3071">
        <v>5.2562544397536893E-3</v>
      </c>
      <c r="M37" s="3071">
        <v>5.2562544397536893E-3</v>
      </c>
      <c r="N37" s="3071">
        <v>5.2562544397536893E-3</v>
      </c>
      <c r="O37" s="3071">
        <v>5.2562544397536893E-3</v>
      </c>
      <c r="P37" s="3072">
        <v>5.2562544397536893E-3</v>
      </c>
      <c r="Q37" s="1251">
        <f t="shared" si="166"/>
        <v>4.1178030173185526E-4</v>
      </c>
      <c r="R37" s="1121">
        <f t="shared" si="167"/>
        <v>8.4999999999999867E-2</v>
      </c>
      <c r="S37" s="3070">
        <v>4.175639085069989E-2</v>
      </c>
      <c r="T37" s="3071">
        <v>4.5305684073009382E-2</v>
      </c>
      <c r="U37" s="3071">
        <v>4.5305684073009382E-2</v>
      </c>
      <c r="V37" s="3071">
        <v>4.5305684073009382E-2</v>
      </c>
      <c r="W37" s="3071">
        <v>4.5305684073009382E-2</v>
      </c>
      <c r="X37" s="3072">
        <v>4.5305684073009382E-2</v>
      </c>
      <c r="Y37" s="1251">
        <f t="shared" si="168"/>
        <v>3.5492932223094922E-3</v>
      </c>
      <c r="Z37" s="1121">
        <f t="shared" si="169"/>
        <v>8.5000000000000034E-2</v>
      </c>
      <c r="AA37" s="3070"/>
      <c r="AB37" s="3071"/>
      <c r="AC37" s="3071"/>
      <c r="AD37" s="3071"/>
      <c r="AE37" s="3071"/>
      <c r="AF37" s="3072"/>
      <c r="AG37" s="1251">
        <f t="shared" si="40"/>
        <v>0</v>
      </c>
      <c r="AH37" s="826">
        <f t="shared" si="41"/>
        <v>0</v>
      </c>
      <c r="AI37" s="3070">
        <v>4.461852688662054E-2</v>
      </c>
      <c r="AJ37" s="3071">
        <v>4.841110167198328E-2</v>
      </c>
      <c r="AK37" s="3071">
        <v>4.841110167198328E-2</v>
      </c>
      <c r="AL37" s="3071">
        <v>4.841110167198328E-2</v>
      </c>
      <c r="AM37" s="3071">
        <v>4.841110167198328E-2</v>
      </c>
      <c r="AN37" s="3100">
        <v>4.841110167198328E-2</v>
      </c>
      <c r="AO37" s="1251">
        <f t="shared" si="42"/>
        <v>3.7925747853627401E-3</v>
      </c>
      <c r="AP37" s="826">
        <f t="shared" si="43"/>
        <v>8.4999999999999867E-2</v>
      </c>
      <c r="AQ37" s="3070">
        <v>1.5297484605319824E-3</v>
      </c>
      <c r="AR37" s="3071">
        <v>1.6597770796772009E-3</v>
      </c>
      <c r="AS37" s="3071">
        <v>1.6597770796772009E-3</v>
      </c>
      <c r="AT37" s="3071">
        <v>1.6597770796772009E-3</v>
      </c>
      <c r="AU37" s="3071">
        <v>1.6597770796772009E-3</v>
      </c>
      <c r="AV37" s="3100">
        <v>1.6597770796772009E-3</v>
      </c>
      <c r="AW37" s="1112">
        <f t="shared" si="154"/>
        <v>0.26887025153946803</v>
      </c>
      <c r="AX37" s="3090">
        <f t="shared" si="155"/>
        <v>0.2917242229203228</v>
      </c>
      <c r="AY37" s="3090">
        <f t="shared" si="156"/>
        <v>0.2917242229203228</v>
      </c>
      <c r="AZ37" s="3090">
        <f t="shared" si="157"/>
        <v>0.2917242229203228</v>
      </c>
      <c r="BA37" s="3090">
        <f t="shared" si="158"/>
        <v>0.2917242229203228</v>
      </c>
      <c r="BB37" s="3091">
        <f t="shared" si="159"/>
        <v>0.2917242229203228</v>
      </c>
      <c r="BC37" s="3111">
        <f t="shared" si="160"/>
        <v>0.2222693865507463</v>
      </c>
      <c r="BD37" s="3112">
        <f t="shared" si="161"/>
        <v>0.24116228440755971</v>
      </c>
      <c r="BE37" s="3113">
        <f t="shared" si="162"/>
        <v>0.24116228440755971</v>
      </c>
      <c r="BF37" s="3113">
        <f t="shared" si="163"/>
        <v>0.24116228440755971</v>
      </c>
      <c r="BG37" s="3113">
        <f t="shared" si="164"/>
        <v>0.24116228440755971</v>
      </c>
      <c r="BH37" s="3115">
        <f t="shared" si="165"/>
        <v>0.24116228440755971</v>
      </c>
      <c r="BI37" s="4488"/>
      <c r="BJ37" s="4504">
        <f t="shared" si="46"/>
        <v>9.0831442233796272E-2</v>
      </c>
      <c r="BK37" s="4504">
        <f t="shared" si="47"/>
        <v>9.8552114823668949E-2</v>
      </c>
      <c r="BL37" s="4504">
        <f t="shared" si="48"/>
        <v>9.8552114823668949E-2</v>
      </c>
      <c r="BM37" s="4504">
        <f t="shared" si="49"/>
        <v>9.8552114823668949E-2</v>
      </c>
      <c r="BN37" s="4504">
        <f t="shared" si="50"/>
        <v>9.8552114823668949E-2</v>
      </c>
      <c r="BO37" s="4504">
        <f t="shared" si="51"/>
        <v>9.8552114823668949E-2</v>
      </c>
      <c r="BP37" s="4504">
        <f t="shared" si="52"/>
        <v>7.7206725898726772E-3</v>
      </c>
      <c r="BQ37" s="4504">
        <f t="shared" si="53"/>
        <v>2.4769402954356126E-3</v>
      </c>
      <c r="BR37" s="4504">
        <f t="shared" si="54"/>
        <v>2.6874802205476395E-3</v>
      </c>
      <c r="BS37" s="4504">
        <f t="shared" si="55"/>
        <v>2.6874802205476395E-3</v>
      </c>
      <c r="BT37" s="4504">
        <f t="shared" si="56"/>
        <v>2.6874802205476395E-3</v>
      </c>
      <c r="BU37" s="4504">
        <f t="shared" si="57"/>
        <v>2.6874802205476395E-3</v>
      </c>
      <c r="BV37" s="4504">
        <f t="shared" si="58"/>
        <v>2.6874802205476395E-3</v>
      </c>
      <c r="BW37" s="4504">
        <f t="shared" si="59"/>
        <v>2.1053992511202674E-4</v>
      </c>
      <c r="BX37" s="4504">
        <f t="shared" si="60"/>
        <v>2.1349703630018913E-2</v>
      </c>
      <c r="BY37" s="4504">
        <f t="shared" si="61"/>
        <v>2.3164428438570521E-2</v>
      </c>
      <c r="BZ37" s="4504">
        <f t="shared" si="62"/>
        <v>2.3164428438570521E-2</v>
      </c>
      <c r="CA37" s="4504">
        <f t="shared" si="63"/>
        <v>2.3164428438570521E-2</v>
      </c>
      <c r="CB37" s="4504">
        <f t="shared" si="64"/>
        <v>2.3164428438570521E-2</v>
      </c>
      <c r="CC37" s="4504">
        <f t="shared" si="65"/>
        <v>2.3164428438570521E-2</v>
      </c>
      <c r="CD37" s="4504">
        <f t="shared" si="66"/>
        <v>1.8147248085516085E-3</v>
      </c>
      <c r="CE37" s="4504">
        <f t="shared" si="67"/>
        <v>0</v>
      </c>
      <c r="CF37" s="4504">
        <f t="shared" si="68"/>
        <v>0</v>
      </c>
      <c r="CG37" s="4504">
        <f t="shared" si="69"/>
        <v>0</v>
      </c>
      <c r="CH37" s="4504">
        <f t="shared" si="70"/>
        <v>0</v>
      </c>
      <c r="CI37" s="4504">
        <f t="shared" si="71"/>
        <v>0</v>
      </c>
      <c r="CJ37" s="4504">
        <f t="shared" si="72"/>
        <v>0</v>
      </c>
      <c r="CK37" s="4504">
        <f t="shared" si="73"/>
        <v>0</v>
      </c>
      <c r="CL37" s="4504">
        <f t="shared" si="74"/>
        <v>2.2813090548064269E-2</v>
      </c>
      <c r="CM37" s="4504">
        <f t="shared" si="75"/>
        <v>2.4752203244649728E-2</v>
      </c>
      <c r="CN37" s="4504">
        <f t="shared" si="76"/>
        <v>2.4752203244649728E-2</v>
      </c>
      <c r="CO37" s="4504">
        <f t="shared" si="77"/>
        <v>2.4752203244649728E-2</v>
      </c>
      <c r="CP37" s="4504">
        <f t="shared" si="78"/>
        <v>2.4752203244649728E-2</v>
      </c>
      <c r="CQ37" s="4504">
        <f t="shared" si="79"/>
        <v>2.4752203244649728E-2</v>
      </c>
      <c r="CR37" s="4504">
        <f t="shared" si="80"/>
        <v>1.9391126965854599E-3</v>
      </c>
      <c r="CS37" s="4504">
        <f t="shared" si="81"/>
        <v>7.8214796814241646E-4</v>
      </c>
      <c r="CT37" s="4504">
        <f t="shared" si="82"/>
        <v>8.4863054543452183E-4</v>
      </c>
      <c r="CU37" s="4504">
        <f t="shared" si="83"/>
        <v>8.4863054543452183E-4</v>
      </c>
      <c r="CV37" s="4504">
        <f t="shared" si="84"/>
        <v>8.4863054543452183E-4</v>
      </c>
      <c r="CW37" s="4504">
        <f t="shared" si="85"/>
        <v>8.4863054543452183E-4</v>
      </c>
      <c r="CX37" s="4504">
        <f t="shared" si="86"/>
        <v>8.4863054543452183E-4</v>
      </c>
      <c r="CY37" s="4504">
        <f t="shared" si="87"/>
        <v>0.13747117670731507</v>
      </c>
      <c r="CZ37" s="4504">
        <f t="shared" si="88"/>
        <v>0.14915622672743684</v>
      </c>
      <c r="DA37" s="4504">
        <f t="shared" si="89"/>
        <v>0.14915622672743684</v>
      </c>
      <c r="DB37" s="4504">
        <f t="shared" si="90"/>
        <v>0.14915622672743684</v>
      </c>
      <c r="DC37" s="4504">
        <f t="shared" si="91"/>
        <v>0.14915622672743684</v>
      </c>
      <c r="DD37" s="4504">
        <f t="shared" si="92"/>
        <v>0.14915622672743684</v>
      </c>
      <c r="DE37" s="4504">
        <f t="shared" si="93"/>
        <v>0.11364453278186054</v>
      </c>
      <c r="DF37" s="4504">
        <f t="shared" si="94"/>
        <v>0.12330431806831868</v>
      </c>
      <c r="DG37" s="4504">
        <f t="shared" si="95"/>
        <v>0.12330431806831868</v>
      </c>
      <c r="DH37" s="4504">
        <f t="shared" si="96"/>
        <v>0.12330431806831868</v>
      </c>
      <c r="DI37" s="4504">
        <f t="shared" si="97"/>
        <v>0.12330431806831868</v>
      </c>
      <c r="DJ37" s="4504">
        <f t="shared" si="98"/>
        <v>0.12330431806831868</v>
      </c>
    </row>
    <row r="38" spans="1:114" ht="13.2">
      <c r="A38" s="838" t="s">
        <v>252</v>
      </c>
      <c r="B38" s="896" t="s">
        <v>441</v>
      </c>
      <c r="C38" s="1185">
        <f>SUM(C39:C42)</f>
        <v>49.132153963958409</v>
      </c>
      <c r="D38" s="1134">
        <f t="shared" ref="D38:BB38" si="170">SUM(D39:D42)</f>
        <v>62.664990250783369</v>
      </c>
      <c r="E38" s="1135">
        <f t="shared" si="170"/>
        <v>62.664990250783369</v>
      </c>
      <c r="F38" s="1135">
        <f t="shared" si="170"/>
        <v>62.664990250783369</v>
      </c>
      <c r="G38" s="1135">
        <f t="shared" si="170"/>
        <v>62.664990250783369</v>
      </c>
      <c r="H38" s="1149">
        <f t="shared" si="170"/>
        <v>62.664990250783369</v>
      </c>
      <c r="I38" s="1250">
        <f t="shared" si="34"/>
        <v>13.53283628682496</v>
      </c>
      <c r="J38" s="711">
        <f t="shared" si="35"/>
        <v>0.27543747210334324</v>
      </c>
      <c r="K38" s="1185">
        <f t="shared" si="170"/>
        <v>1.4985134335260735</v>
      </c>
      <c r="L38" s="1134">
        <f t="shared" si="170"/>
        <v>1.613871740388126</v>
      </c>
      <c r="M38" s="1135">
        <f t="shared" si="170"/>
        <v>1.613871740388126</v>
      </c>
      <c r="N38" s="1135">
        <f t="shared" si="170"/>
        <v>1.613871740388126</v>
      </c>
      <c r="O38" s="1135">
        <f t="shared" si="170"/>
        <v>1.613871740388126</v>
      </c>
      <c r="P38" s="1149">
        <f t="shared" si="170"/>
        <v>1.613871740388126</v>
      </c>
      <c r="Q38" s="1250">
        <f t="shared" si="166"/>
        <v>0.11535830686205251</v>
      </c>
      <c r="R38" s="878">
        <f t="shared" si="167"/>
        <v>7.69818303133986E-2</v>
      </c>
      <c r="S38" s="1185">
        <f t="shared" si="170"/>
        <v>11.001570742278481</v>
      </c>
      <c r="T38" s="1134">
        <f t="shared" si="170"/>
        <v>11.833139449440122</v>
      </c>
      <c r="U38" s="1135">
        <f t="shared" si="170"/>
        <v>11.833139449440122</v>
      </c>
      <c r="V38" s="1135">
        <f t="shared" si="170"/>
        <v>11.833139449440122</v>
      </c>
      <c r="W38" s="1135">
        <f t="shared" si="170"/>
        <v>11.833139449440122</v>
      </c>
      <c r="X38" s="1149">
        <f t="shared" si="170"/>
        <v>11.833139449440122</v>
      </c>
      <c r="Y38" s="1250">
        <f t="shared" si="168"/>
        <v>0.83156870716164022</v>
      </c>
      <c r="Z38" s="878">
        <f t="shared" si="169"/>
        <v>7.5586361860671733E-2</v>
      </c>
      <c r="AA38" s="1185">
        <f>SUM(AA39:AA42)</f>
        <v>0</v>
      </c>
      <c r="AB38" s="1134">
        <f t="shared" ref="AB38:AN38" si="171">SUM(AB39:AB42)</f>
        <v>0</v>
      </c>
      <c r="AC38" s="1135">
        <f t="shared" si="171"/>
        <v>0</v>
      </c>
      <c r="AD38" s="1135">
        <f t="shared" si="171"/>
        <v>0</v>
      </c>
      <c r="AE38" s="1135">
        <f t="shared" si="171"/>
        <v>0</v>
      </c>
      <c r="AF38" s="1149">
        <f t="shared" si="171"/>
        <v>0</v>
      </c>
      <c r="AG38" s="1250">
        <f t="shared" si="40"/>
        <v>0</v>
      </c>
      <c r="AH38" s="711">
        <f t="shared" si="41"/>
        <v>0</v>
      </c>
      <c r="AI38" s="1185">
        <f t="shared" si="171"/>
        <v>6.6855871866511443</v>
      </c>
      <c r="AJ38" s="1134">
        <f t="shared" si="171"/>
        <v>22.014508584967984</v>
      </c>
      <c r="AK38" s="1135">
        <f t="shared" si="171"/>
        <v>21.984508584967987</v>
      </c>
      <c r="AL38" s="1135">
        <f t="shared" si="171"/>
        <v>21.984508584967987</v>
      </c>
      <c r="AM38" s="1135">
        <f t="shared" si="171"/>
        <v>21.984508584967987</v>
      </c>
      <c r="AN38" s="3101">
        <f t="shared" si="171"/>
        <v>21.984508584967987</v>
      </c>
      <c r="AO38" s="1250">
        <f t="shared" si="42"/>
        <v>15.32892139831684</v>
      </c>
      <c r="AP38" s="711">
        <f t="shared" si="43"/>
        <v>2.2928309766004564</v>
      </c>
      <c r="AQ38" s="1185">
        <f t="shared" si="170"/>
        <v>0.21232467358589535</v>
      </c>
      <c r="AR38" s="1134">
        <f t="shared" si="170"/>
        <v>0.2265781665320582</v>
      </c>
      <c r="AS38" s="1135">
        <f t="shared" si="170"/>
        <v>0.2265781665320582</v>
      </c>
      <c r="AT38" s="1135">
        <f t="shared" si="170"/>
        <v>0.2265781665320582</v>
      </c>
      <c r="AU38" s="1135">
        <f t="shared" si="170"/>
        <v>0.2265781665320582</v>
      </c>
      <c r="AV38" s="3101">
        <f t="shared" si="170"/>
        <v>0.2265781665320582</v>
      </c>
      <c r="AW38" s="1185">
        <f t="shared" si="170"/>
        <v>68.317825326414123</v>
      </c>
      <c r="AX38" s="1134">
        <f t="shared" si="170"/>
        <v>98.12651002557962</v>
      </c>
      <c r="AY38" s="1135">
        <f t="shared" si="170"/>
        <v>98.096510025579619</v>
      </c>
      <c r="AZ38" s="1135">
        <f t="shared" si="170"/>
        <v>98.096510025579619</v>
      </c>
      <c r="BA38" s="1135">
        <f t="shared" si="170"/>
        <v>98.096510025579619</v>
      </c>
      <c r="BB38" s="3101">
        <f t="shared" si="170"/>
        <v>98.096510025579619</v>
      </c>
      <c r="BC38" s="1185">
        <f t="shared" ref="BC38:BH38" si="172">SUM(BC39:BC42)</f>
        <v>55.817741150609557</v>
      </c>
      <c r="BD38" s="1134">
        <f t="shared" si="172"/>
        <v>84.67949883575136</v>
      </c>
      <c r="BE38" s="1135">
        <f t="shared" si="172"/>
        <v>84.649498835751359</v>
      </c>
      <c r="BF38" s="1135">
        <f t="shared" si="172"/>
        <v>84.649498835751359</v>
      </c>
      <c r="BG38" s="1135">
        <f t="shared" si="172"/>
        <v>84.649498835751359</v>
      </c>
      <c r="BH38" s="3101">
        <f t="shared" si="172"/>
        <v>84.649498835751359</v>
      </c>
      <c r="BI38" s="4488"/>
      <c r="BJ38" s="4504">
        <f t="shared" si="46"/>
        <v>25.120871427454539</v>
      </c>
      <c r="BK38" s="4504">
        <f t="shared" si="47"/>
        <v>32.040100750465719</v>
      </c>
      <c r="BL38" s="4504">
        <f t="shared" si="48"/>
        <v>32.040100750465719</v>
      </c>
      <c r="BM38" s="4504">
        <f t="shared" si="49"/>
        <v>32.040100750465719</v>
      </c>
      <c r="BN38" s="4504">
        <f t="shared" si="50"/>
        <v>32.040100750465719</v>
      </c>
      <c r="BO38" s="4504">
        <f t="shared" si="51"/>
        <v>32.040100750465719</v>
      </c>
      <c r="BP38" s="4504">
        <f t="shared" si="52"/>
        <v>6.9192293230111819</v>
      </c>
      <c r="BQ38" s="4504">
        <f t="shared" si="53"/>
        <v>0.76617775242535058</v>
      </c>
      <c r="BR38" s="4504">
        <f t="shared" si="54"/>
        <v>0.82515951815246014</v>
      </c>
      <c r="BS38" s="4504">
        <f t="shared" si="55"/>
        <v>0.82515951815246014</v>
      </c>
      <c r="BT38" s="4504">
        <f t="shared" si="56"/>
        <v>0.82515951815246014</v>
      </c>
      <c r="BU38" s="4504">
        <f t="shared" si="57"/>
        <v>0.82515951815246014</v>
      </c>
      <c r="BV38" s="4504">
        <f t="shared" si="58"/>
        <v>0.82515951815246014</v>
      </c>
      <c r="BW38" s="4504">
        <f t="shared" si="59"/>
        <v>5.8981765727109468E-2</v>
      </c>
      <c r="BX38" s="4504">
        <f t="shared" si="60"/>
        <v>5.6250138009328428</v>
      </c>
      <c r="BY38" s="4504">
        <f t="shared" si="61"/>
        <v>6.050188129561425</v>
      </c>
      <c r="BZ38" s="4504">
        <f t="shared" si="62"/>
        <v>6.050188129561425</v>
      </c>
      <c r="CA38" s="4504">
        <f t="shared" si="63"/>
        <v>6.050188129561425</v>
      </c>
      <c r="CB38" s="4504">
        <f t="shared" si="64"/>
        <v>6.050188129561425</v>
      </c>
      <c r="CC38" s="4504">
        <f t="shared" si="65"/>
        <v>6.050188129561425</v>
      </c>
      <c r="CD38" s="4504">
        <f t="shared" si="66"/>
        <v>0.42517432862858234</v>
      </c>
      <c r="CE38" s="4504">
        <f t="shared" si="67"/>
        <v>0</v>
      </c>
      <c r="CF38" s="4504">
        <f t="shared" si="68"/>
        <v>0</v>
      </c>
      <c r="CG38" s="4504">
        <f t="shared" si="69"/>
        <v>0</v>
      </c>
      <c r="CH38" s="4504">
        <f t="shared" si="70"/>
        <v>0</v>
      </c>
      <c r="CI38" s="4504">
        <f t="shared" si="71"/>
        <v>0</v>
      </c>
      <c r="CJ38" s="4504">
        <f t="shared" si="72"/>
        <v>0</v>
      </c>
      <c r="CK38" s="4504">
        <f t="shared" si="73"/>
        <v>0</v>
      </c>
      <c r="CL38" s="4504">
        <f t="shared" si="74"/>
        <v>3.4182864495641976</v>
      </c>
      <c r="CM38" s="4504">
        <f t="shared" si="75"/>
        <v>11.255839508018584</v>
      </c>
      <c r="CN38" s="4504">
        <f t="shared" si="76"/>
        <v>11.240500751582697</v>
      </c>
      <c r="CO38" s="4504">
        <f t="shared" si="77"/>
        <v>11.240500751582697</v>
      </c>
      <c r="CP38" s="4504">
        <f t="shared" si="78"/>
        <v>11.240500751582697</v>
      </c>
      <c r="CQ38" s="4504">
        <f t="shared" si="79"/>
        <v>11.240500751582697</v>
      </c>
      <c r="CR38" s="4504">
        <f t="shared" si="80"/>
        <v>7.8375530584543851</v>
      </c>
      <c r="CS38" s="4504">
        <f t="shared" si="81"/>
        <v>0.10855988178210547</v>
      </c>
      <c r="CT38" s="4504">
        <f t="shared" si="82"/>
        <v>0.11584757700416611</v>
      </c>
      <c r="CU38" s="4504">
        <f t="shared" si="83"/>
        <v>0.11584757700416611</v>
      </c>
      <c r="CV38" s="4504">
        <f t="shared" si="84"/>
        <v>0.11584757700416611</v>
      </c>
      <c r="CW38" s="4504">
        <f t="shared" si="85"/>
        <v>0.11584757700416611</v>
      </c>
      <c r="CX38" s="4504">
        <f t="shared" si="86"/>
        <v>0.11584757700416611</v>
      </c>
      <c r="CY38" s="4504">
        <f t="shared" si="87"/>
        <v>34.930349430376936</v>
      </c>
      <c r="CZ38" s="4504">
        <f t="shared" si="88"/>
        <v>50.171287906198195</v>
      </c>
      <c r="DA38" s="4504">
        <f t="shared" si="89"/>
        <v>50.155949149762314</v>
      </c>
      <c r="DB38" s="4504">
        <f t="shared" si="90"/>
        <v>50.155949149762314</v>
      </c>
      <c r="DC38" s="4504">
        <f t="shared" si="91"/>
        <v>50.155949149762314</v>
      </c>
      <c r="DD38" s="4504">
        <f t="shared" si="92"/>
        <v>50.155949149762314</v>
      </c>
      <c r="DE38" s="4504">
        <f t="shared" si="93"/>
        <v>28.539157877018738</v>
      </c>
      <c r="DF38" s="4504">
        <f t="shared" si="94"/>
        <v>43.295940258484308</v>
      </c>
      <c r="DG38" s="4504">
        <f t="shared" si="95"/>
        <v>43.28060150204842</v>
      </c>
      <c r="DH38" s="4504">
        <f t="shared" si="96"/>
        <v>43.28060150204842</v>
      </c>
      <c r="DI38" s="4504">
        <f t="shared" si="97"/>
        <v>43.28060150204842</v>
      </c>
      <c r="DJ38" s="4504">
        <f t="shared" si="98"/>
        <v>43.28060150204842</v>
      </c>
    </row>
    <row r="39" spans="1:114" s="683" customFormat="1" ht="13.2">
      <c r="A39" s="839" t="s">
        <v>1221</v>
      </c>
      <c r="B39" s="3914" t="s">
        <v>253</v>
      </c>
      <c r="C39" s="3070">
        <v>34.554337666378657</v>
      </c>
      <c r="D39" s="3071">
        <v>37.491456368020842</v>
      </c>
      <c r="E39" s="3071">
        <v>37.491456368020842</v>
      </c>
      <c r="F39" s="3071">
        <v>37.491456368020842</v>
      </c>
      <c r="G39" s="3071">
        <v>37.491456368020842</v>
      </c>
      <c r="H39" s="3072">
        <v>37.491456368020842</v>
      </c>
      <c r="I39" s="1251">
        <f t="shared" si="34"/>
        <v>2.9371187016421842</v>
      </c>
      <c r="J39" s="1209">
        <f t="shared" si="35"/>
        <v>8.4999999999999951E-2</v>
      </c>
      <c r="K39" s="3070">
        <v>0.9422841831316443</v>
      </c>
      <c r="L39" s="3071">
        <v>1.0223783386978342</v>
      </c>
      <c r="M39" s="3071">
        <v>1.0223783386978342</v>
      </c>
      <c r="N39" s="3071">
        <v>1.0223783386978342</v>
      </c>
      <c r="O39" s="3071">
        <v>1.0223783386978342</v>
      </c>
      <c r="P39" s="3072">
        <v>1.0223783386978342</v>
      </c>
      <c r="Q39" s="1251">
        <f t="shared" si="166"/>
        <v>8.0094155566189928E-2</v>
      </c>
      <c r="R39" s="1205">
        <f t="shared" si="167"/>
        <v>8.5000000000000173E-2</v>
      </c>
      <c r="S39" s="3070">
        <v>8.121910763124415</v>
      </c>
      <c r="T39" s="3071">
        <v>8.8122731779899919</v>
      </c>
      <c r="U39" s="3071">
        <v>8.8122731779899919</v>
      </c>
      <c r="V39" s="3071">
        <v>8.8122731779899919</v>
      </c>
      <c r="W39" s="3071">
        <v>8.8122731779899919</v>
      </c>
      <c r="X39" s="3072">
        <v>8.8122731779899919</v>
      </c>
      <c r="Y39" s="1251">
        <f t="shared" si="168"/>
        <v>0.69036241486557692</v>
      </c>
      <c r="Z39" s="1205">
        <f t="shared" si="169"/>
        <v>8.50000000000002E-2</v>
      </c>
      <c r="AA39" s="3070"/>
      <c r="AB39" s="3071"/>
      <c r="AC39" s="3071"/>
      <c r="AD39" s="3071"/>
      <c r="AE39" s="3071"/>
      <c r="AF39" s="3072"/>
      <c r="AG39" s="1251">
        <f t="shared" si="40"/>
        <v>0</v>
      </c>
      <c r="AH39" s="1209">
        <f t="shared" si="41"/>
        <v>0</v>
      </c>
      <c r="AI39" s="3070">
        <v>3.7044597951354699</v>
      </c>
      <c r="AJ39" s="3071">
        <v>4.0493388777219845</v>
      </c>
      <c r="AK39" s="3071">
        <v>4.0193388777219843</v>
      </c>
      <c r="AL39" s="3071">
        <v>4.0193388777219843</v>
      </c>
      <c r="AM39" s="3071">
        <v>4.0193388777219843</v>
      </c>
      <c r="AN39" s="3100">
        <v>4.0193388777219843</v>
      </c>
      <c r="AO39" s="1251">
        <f t="shared" si="42"/>
        <v>0.34487908258651467</v>
      </c>
      <c r="AP39" s="1209">
        <f t="shared" si="43"/>
        <v>9.3098346765537687E-2</v>
      </c>
      <c r="AQ39" s="3070">
        <v>0.12700759222981881</v>
      </c>
      <c r="AR39" s="3071">
        <v>0.13780323756935339</v>
      </c>
      <c r="AS39" s="3071">
        <v>0.13780323756935339</v>
      </c>
      <c r="AT39" s="3071">
        <v>0.13780323756935339</v>
      </c>
      <c r="AU39" s="3071">
        <v>0.13780323756935339</v>
      </c>
      <c r="AV39" s="3100">
        <v>0.13780323756935339</v>
      </c>
      <c r="AW39" s="1112">
        <f t="shared" ref="AW39:AW48" si="173">C39+K39+S39+AA39+AI39</f>
        <v>47.322992407770194</v>
      </c>
      <c r="AX39" s="3090">
        <f t="shared" ref="AX39:AX48" si="174">D39+L39+T39+AB39+AJ39</f>
        <v>51.375446762430656</v>
      </c>
      <c r="AY39" s="3090">
        <f t="shared" ref="AY39:AY48" si="175">E39+M39+U39+AC39+AK39</f>
        <v>51.345446762430655</v>
      </c>
      <c r="AZ39" s="3090">
        <f t="shared" ref="AZ39:AZ48" si="176">F39+N39+V39+AD39+AL39</f>
        <v>51.345446762430655</v>
      </c>
      <c r="BA39" s="3090">
        <f t="shared" ref="BA39:BA48" si="177">G39+O39+W39+AE39+AM39</f>
        <v>51.345446762430655</v>
      </c>
      <c r="BB39" s="3091">
        <f t="shared" ref="BB39:BB48" si="178">H39+P39+X39+AF39+AN39</f>
        <v>51.345446762430655</v>
      </c>
      <c r="BC39" s="3111">
        <f t="shared" ref="BC39:BC48" si="179">C39+AA39+AI39</f>
        <v>38.258797461514128</v>
      </c>
      <c r="BD39" s="3112">
        <f t="shared" ref="BD39:BD48" si="180">D39+AB39+AJ39</f>
        <v>41.540795245742828</v>
      </c>
      <c r="BE39" s="3113">
        <f t="shared" ref="BE39:BE48" si="181">E39+AC39+AK39</f>
        <v>41.510795245742827</v>
      </c>
      <c r="BF39" s="3113">
        <f t="shared" ref="BF39:BF48" si="182">F39+AD39+AL39</f>
        <v>41.510795245742827</v>
      </c>
      <c r="BG39" s="3113">
        <f t="shared" ref="BG39:BG48" si="183">G39+AE39+AM39</f>
        <v>41.510795245742827</v>
      </c>
      <c r="BH39" s="3115">
        <f t="shared" ref="BH39:BH48" si="184">H39+AF39+AN39</f>
        <v>41.510795245742827</v>
      </c>
      <c r="BI39" s="4488"/>
      <c r="BJ39" s="4504">
        <f t="shared" si="46"/>
        <v>17.667352308932095</v>
      </c>
      <c r="BK39" s="4504">
        <f t="shared" si="47"/>
        <v>19.169077255191322</v>
      </c>
      <c r="BL39" s="4504">
        <f t="shared" si="48"/>
        <v>19.169077255191322</v>
      </c>
      <c r="BM39" s="4504">
        <f t="shared" si="49"/>
        <v>19.169077255191322</v>
      </c>
      <c r="BN39" s="4504">
        <f t="shared" si="50"/>
        <v>19.169077255191322</v>
      </c>
      <c r="BO39" s="4504">
        <f t="shared" si="51"/>
        <v>19.169077255191322</v>
      </c>
      <c r="BP39" s="4504">
        <f t="shared" si="52"/>
        <v>1.5017249462592273</v>
      </c>
      <c r="BQ39" s="4504">
        <f t="shared" si="53"/>
        <v>0.48178225261482049</v>
      </c>
      <c r="BR39" s="4504">
        <f t="shared" si="54"/>
        <v>0.52273374408708029</v>
      </c>
      <c r="BS39" s="4504">
        <f t="shared" si="55"/>
        <v>0.52273374408708029</v>
      </c>
      <c r="BT39" s="4504">
        <f t="shared" si="56"/>
        <v>0.52273374408708029</v>
      </c>
      <c r="BU39" s="4504">
        <f t="shared" si="57"/>
        <v>0.52273374408708029</v>
      </c>
      <c r="BV39" s="4504">
        <f t="shared" si="58"/>
        <v>0.52273374408708029</v>
      </c>
      <c r="BW39" s="4504">
        <f t="shared" si="59"/>
        <v>4.0951491472259821E-2</v>
      </c>
      <c r="BX39" s="4504">
        <f t="shared" si="60"/>
        <v>4.1526670329856969</v>
      </c>
      <c r="BY39" s="4504">
        <f t="shared" si="61"/>
        <v>4.5056437307894814</v>
      </c>
      <c r="BZ39" s="4504">
        <f t="shared" si="62"/>
        <v>4.5056437307894814</v>
      </c>
      <c r="CA39" s="4504">
        <f t="shared" si="63"/>
        <v>4.5056437307894814</v>
      </c>
      <c r="CB39" s="4504">
        <f t="shared" si="64"/>
        <v>4.5056437307894814</v>
      </c>
      <c r="CC39" s="4504">
        <f t="shared" si="65"/>
        <v>4.5056437307894814</v>
      </c>
      <c r="CD39" s="4504">
        <f t="shared" si="66"/>
        <v>0.35297669780378504</v>
      </c>
      <c r="CE39" s="4504">
        <f t="shared" si="67"/>
        <v>0</v>
      </c>
      <c r="CF39" s="4504">
        <f t="shared" si="68"/>
        <v>0</v>
      </c>
      <c r="CG39" s="4504">
        <f t="shared" si="69"/>
        <v>0</v>
      </c>
      <c r="CH39" s="4504">
        <f t="shared" si="70"/>
        <v>0</v>
      </c>
      <c r="CI39" s="4504">
        <f t="shared" si="71"/>
        <v>0</v>
      </c>
      <c r="CJ39" s="4504">
        <f t="shared" si="72"/>
        <v>0</v>
      </c>
      <c r="CK39" s="4504">
        <f t="shared" si="73"/>
        <v>0</v>
      </c>
      <c r="CL39" s="4504">
        <f t="shared" si="74"/>
        <v>1.8940602174705725</v>
      </c>
      <c r="CM39" s="4504">
        <f t="shared" si="75"/>
        <v>2.0703940923914574</v>
      </c>
      <c r="CN39" s="4504">
        <f t="shared" si="76"/>
        <v>2.0550553359555708</v>
      </c>
      <c r="CO39" s="4504">
        <f t="shared" si="77"/>
        <v>2.0550553359555708</v>
      </c>
      <c r="CP39" s="4504">
        <f t="shared" si="78"/>
        <v>2.0550553359555708</v>
      </c>
      <c r="CQ39" s="4504">
        <f t="shared" si="79"/>
        <v>2.0550553359555708</v>
      </c>
      <c r="CR39" s="4504">
        <f t="shared" si="80"/>
        <v>0.17633387492088509</v>
      </c>
      <c r="CS39" s="4504">
        <f t="shared" si="81"/>
        <v>6.4937950757386287E-2</v>
      </c>
      <c r="CT39" s="4504">
        <f t="shared" si="82"/>
        <v>7.0457676571764105E-2</v>
      </c>
      <c r="CU39" s="4504">
        <f t="shared" si="83"/>
        <v>7.0457676571764105E-2</v>
      </c>
      <c r="CV39" s="4504">
        <f t="shared" si="84"/>
        <v>7.0457676571764105E-2</v>
      </c>
      <c r="CW39" s="4504">
        <f t="shared" si="85"/>
        <v>7.0457676571764105E-2</v>
      </c>
      <c r="CX39" s="4504">
        <f t="shared" si="86"/>
        <v>7.0457676571764105E-2</v>
      </c>
      <c r="CY39" s="4504">
        <f t="shared" si="87"/>
        <v>24.195861812003187</v>
      </c>
      <c r="CZ39" s="4504">
        <f t="shared" si="88"/>
        <v>26.267848822459342</v>
      </c>
      <c r="DA39" s="4504">
        <f t="shared" si="89"/>
        <v>26.252510066023454</v>
      </c>
      <c r="DB39" s="4504">
        <f t="shared" si="90"/>
        <v>26.252510066023454</v>
      </c>
      <c r="DC39" s="4504">
        <f t="shared" si="91"/>
        <v>26.252510066023454</v>
      </c>
      <c r="DD39" s="4504">
        <f t="shared" si="92"/>
        <v>26.252510066023454</v>
      </c>
      <c r="DE39" s="4504">
        <f t="shared" si="93"/>
        <v>19.561412526402666</v>
      </c>
      <c r="DF39" s="4504">
        <f t="shared" si="94"/>
        <v>21.239471347582779</v>
      </c>
      <c r="DG39" s="4504">
        <f t="shared" si="95"/>
        <v>21.224132591146894</v>
      </c>
      <c r="DH39" s="4504">
        <f t="shared" si="96"/>
        <v>21.224132591146894</v>
      </c>
      <c r="DI39" s="4504">
        <f t="shared" si="97"/>
        <v>21.224132591146894</v>
      </c>
      <c r="DJ39" s="4504">
        <f t="shared" si="98"/>
        <v>21.224132591146894</v>
      </c>
    </row>
    <row r="40" spans="1:114" s="683" customFormat="1" ht="13.2">
      <c r="A40" s="839" t="s">
        <v>1222</v>
      </c>
      <c r="B40" s="3914" t="s">
        <v>254</v>
      </c>
      <c r="C40" s="3070">
        <v>4.5989497694115409</v>
      </c>
      <c r="D40" s="3071">
        <v>4.9898604998115221</v>
      </c>
      <c r="E40" s="3071">
        <v>4.9898604998115221</v>
      </c>
      <c r="F40" s="3071">
        <v>4.9898604998115221</v>
      </c>
      <c r="G40" s="3071">
        <v>4.9898604998115221</v>
      </c>
      <c r="H40" s="3072">
        <v>4.9898604998115221</v>
      </c>
      <c r="I40" s="1251">
        <f t="shared" si="34"/>
        <v>0.39091073039998125</v>
      </c>
      <c r="J40" s="1209">
        <f t="shared" si="35"/>
        <v>8.5000000000000062E-2</v>
      </c>
      <c r="K40" s="3070">
        <v>0.12541168256713328</v>
      </c>
      <c r="L40" s="3071">
        <v>0.13607167558533961</v>
      </c>
      <c r="M40" s="3071">
        <v>0.13607167558533961</v>
      </c>
      <c r="N40" s="3071">
        <v>0.13607167558533961</v>
      </c>
      <c r="O40" s="3071">
        <v>0.13607167558533961</v>
      </c>
      <c r="P40" s="3072">
        <v>0.13607167558533961</v>
      </c>
      <c r="Q40" s="1251">
        <f t="shared" si="166"/>
        <v>1.0659993018206332E-2</v>
      </c>
      <c r="R40" s="1205">
        <f t="shared" si="167"/>
        <v>8.500000000000002E-2</v>
      </c>
      <c r="S40" s="3070">
        <v>1.0809716566379408</v>
      </c>
      <c r="T40" s="3071">
        <v>1.1728542474521659</v>
      </c>
      <c r="U40" s="3071">
        <v>1.1728542474521659</v>
      </c>
      <c r="V40" s="3071">
        <v>1.1728542474521659</v>
      </c>
      <c r="W40" s="3071">
        <v>1.1728542474521659</v>
      </c>
      <c r="X40" s="3072">
        <v>1.1728542474521659</v>
      </c>
      <c r="Y40" s="1251">
        <f t="shared" si="168"/>
        <v>9.1882590814225118E-2</v>
      </c>
      <c r="Z40" s="1205">
        <f t="shared" si="169"/>
        <v>8.5000000000000131E-2</v>
      </c>
      <c r="AA40" s="3070"/>
      <c r="AB40" s="3071"/>
      <c r="AC40" s="3071"/>
      <c r="AD40" s="3071"/>
      <c r="AE40" s="3071"/>
      <c r="AF40" s="3072"/>
      <c r="AG40" s="1251">
        <f t="shared" si="40"/>
        <v>0</v>
      </c>
      <c r="AH40" s="1209">
        <f t="shared" si="41"/>
        <v>0</v>
      </c>
      <c r="AI40" s="3070">
        <v>1.1550654149642892</v>
      </c>
      <c r="AJ40" s="3071">
        <v>1.2532459752362539</v>
      </c>
      <c r="AK40" s="3071">
        <v>1.2532459752362539</v>
      </c>
      <c r="AL40" s="3071">
        <v>1.2532459752362539</v>
      </c>
      <c r="AM40" s="3071">
        <v>1.2532459752362539</v>
      </c>
      <c r="AN40" s="3100">
        <v>1.2532459752362539</v>
      </c>
      <c r="AO40" s="1251">
        <f t="shared" si="42"/>
        <v>9.8180560271964756E-2</v>
      </c>
      <c r="AP40" s="1209">
        <f t="shared" si="43"/>
        <v>8.5000000000000159E-2</v>
      </c>
      <c r="AQ40" s="3070">
        <v>3.9601476419097184E-2</v>
      </c>
      <c r="AR40" s="3071">
        <v>4.2967601914720446E-2</v>
      </c>
      <c r="AS40" s="3071">
        <v>4.2967601914720446E-2</v>
      </c>
      <c r="AT40" s="3071">
        <v>4.2967601914720446E-2</v>
      </c>
      <c r="AU40" s="3071">
        <v>4.2967601914720446E-2</v>
      </c>
      <c r="AV40" s="3100">
        <v>4.2967601914720446E-2</v>
      </c>
      <c r="AW40" s="1112">
        <f t="shared" si="173"/>
        <v>6.9603985235809045</v>
      </c>
      <c r="AX40" s="3090">
        <f t="shared" si="174"/>
        <v>7.5520323980852826</v>
      </c>
      <c r="AY40" s="3090">
        <f t="shared" si="175"/>
        <v>7.5520323980852826</v>
      </c>
      <c r="AZ40" s="3090">
        <f t="shared" si="176"/>
        <v>7.5520323980852826</v>
      </c>
      <c r="BA40" s="3090">
        <f t="shared" si="177"/>
        <v>7.5520323980852826</v>
      </c>
      <c r="BB40" s="3091">
        <f t="shared" si="178"/>
        <v>7.5520323980852826</v>
      </c>
      <c r="BC40" s="3111">
        <f t="shared" si="179"/>
        <v>5.75401518437583</v>
      </c>
      <c r="BD40" s="3112">
        <f t="shared" si="180"/>
        <v>6.2431064750477763</v>
      </c>
      <c r="BE40" s="3113">
        <f t="shared" si="181"/>
        <v>6.2431064750477763</v>
      </c>
      <c r="BF40" s="3113">
        <f t="shared" si="182"/>
        <v>6.2431064750477763</v>
      </c>
      <c r="BG40" s="3113">
        <f t="shared" si="183"/>
        <v>6.2431064750477763</v>
      </c>
      <c r="BH40" s="3115">
        <f t="shared" si="184"/>
        <v>6.2431064750477763</v>
      </c>
      <c r="BI40" s="4488"/>
      <c r="BJ40" s="4504">
        <f t="shared" si="46"/>
        <v>2.3514056791293418</v>
      </c>
      <c r="BK40" s="4504">
        <f t="shared" si="47"/>
        <v>2.5512751618553362</v>
      </c>
      <c r="BL40" s="4504">
        <f t="shared" si="48"/>
        <v>2.5512751618553362</v>
      </c>
      <c r="BM40" s="4504">
        <f t="shared" si="49"/>
        <v>2.5512751618553362</v>
      </c>
      <c r="BN40" s="4504">
        <f t="shared" si="50"/>
        <v>2.5512751618553362</v>
      </c>
      <c r="BO40" s="4504">
        <f t="shared" si="51"/>
        <v>2.5512751618553362</v>
      </c>
      <c r="BP40" s="4504">
        <f t="shared" si="52"/>
        <v>0.19986948272599422</v>
      </c>
      <c r="BQ40" s="4504">
        <f t="shared" si="53"/>
        <v>6.4121975103732576E-2</v>
      </c>
      <c r="BR40" s="4504">
        <f t="shared" si="54"/>
        <v>6.9572342987549843E-2</v>
      </c>
      <c r="BS40" s="4504">
        <f t="shared" si="55"/>
        <v>6.9572342987549843E-2</v>
      </c>
      <c r="BT40" s="4504">
        <f t="shared" si="56"/>
        <v>6.9572342987549843E-2</v>
      </c>
      <c r="BU40" s="4504">
        <f t="shared" si="57"/>
        <v>6.9572342987549843E-2</v>
      </c>
      <c r="BV40" s="4504">
        <f t="shared" si="58"/>
        <v>6.9572342987549843E-2</v>
      </c>
      <c r="BW40" s="4504">
        <f t="shared" si="59"/>
        <v>5.4503678838172705E-3</v>
      </c>
      <c r="BX40" s="4504">
        <f t="shared" si="60"/>
        <v>0.5526920318422055</v>
      </c>
      <c r="BY40" s="4504">
        <f t="shared" si="61"/>
        <v>0.5996708545487931</v>
      </c>
      <c r="BZ40" s="4504">
        <f t="shared" si="62"/>
        <v>0.5996708545487931</v>
      </c>
      <c r="CA40" s="4504">
        <f t="shared" si="63"/>
        <v>0.5996708545487931</v>
      </c>
      <c r="CB40" s="4504">
        <f t="shared" si="64"/>
        <v>0.5996708545487931</v>
      </c>
      <c r="CC40" s="4504">
        <f t="shared" si="65"/>
        <v>0.5996708545487931</v>
      </c>
      <c r="CD40" s="4504">
        <f t="shared" si="66"/>
        <v>4.6978822706587549E-2</v>
      </c>
      <c r="CE40" s="4504">
        <f t="shared" si="67"/>
        <v>0</v>
      </c>
      <c r="CF40" s="4504">
        <f t="shared" si="68"/>
        <v>0</v>
      </c>
      <c r="CG40" s="4504">
        <f t="shared" si="69"/>
        <v>0</v>
      </c>
      <c r="CH40" s="4504">
        <f t="shared" si="70"/>
        <v>0</v>
      </c>
      <c r="CI40" s="4504">
        <f t="shared" si="71"/>
        <v>0</v>
      </c>
      <c r="CJ40" s="4504">
        <f t="shared" si="72"/>
        <v>0</v>
      </c>
      <c r="CK40" s="4504">
        <f t="shared" si="73"/>
        <v>0</v>
      </c>
      <c r="CL40" s="4504">
        <f t="shared" si="74"/>
        <v>0.5905755689217822</v>
      </c>
      <c r="CM40" s="4504">
        <f t="shared" si="75"/>
        <v>0.64077449228013372</v>
      </c>
      <c r="CN40" s="4504">
        <f t="shared" si="76"/>
        <v>0.64077449228013372</v>
      </c>
      <c r="CO40" s="4504">
        <f t="shared" si="77"/>
        <v>0.64077449228013372</v>
      </c>
      <c r="CP40" s="4504">
        <f t="shared" si="78"/>
        <v>0.64077449228013372</v>
      </c>
      <c r="CQ40" s="4504">
        <f t="shared" si="79"/>
        <v>0.64077449228013372</v>
      </c>
      <c r="CR40" s="4504">
        <f t="shared" si="80"/>
        <v>5.0198923358351577E-2</v>
      </c>
      <c r="CS40" s="4504">
        <f t="shared" si="81"/>
        <v>2.0247913376467887E-2</v>
      </c>
      <c r="CT40" s="4504">
        <f t="shared" si="82"/>
        <v>2.1968986013467657E-2</v>
      </c>
      <c r="CU40" s="4504">
        <f t="shared" si="83"/>
        <v>2.1968986013467657E-2</v>
      </c>
      <c r="CV40" s="4504">
        <f t="shared" si="84"/>
        <v>2.1968986013467657E-2</v>
      </c>
      <c r="CW40" s="4504">
        <f t="shared" si="85"/>
        <v>2.1968986013467657E-2</v>
      </c>
      <c r="CX40" s="4504">
        <f t="shared" si="86"/>
        <v>2.1968986013467657E-2</v>
      </c>
      <c r="CY40" s="4504">
        <f t="shared" si="87"/>
        <v>3.5587952549970625</v>
      </c>
      <c r="CZ40" s="4504">
        <f t="shared" si="88"/>
        <v>3.8612928516718132</v>
      </c>
      <c r="DA40" s="4504">
        <f t="shared" si="89"/>
        <v>3.8612928516718132</v>
      </c>
      <c r="DB40" s="4504">
        <f t="shared" si="90"/>
        <v>3.8612928516718132</v>
      </c>
      <c r="DC40" s="4504">
        <f t="shared" si="91"/>
        <v>3.8612928516718132</v>
      </c>
      <c r="DD40" s="4504">
        <f t="shared" si="92"/>
        <v>3.8612928516718132</v>
      </c>
      <c r="DE40" s="4504">
        <f t="shared" si="93"/>
        <v>2.9419812480511243</v>
      </c>
      <c r="DF40" s="4504">
        <f t="shared" si="94"/>
        <v>3.1920496541354701</v>
      </c>
      <c r="DG40" s="4504">
        <f t="shared" si="95"/>
        <v>3.1920496541354701</v>
      </c>
      <c r="DH40" s="4504">
        <f t="shared" si="96"/>
        <v>3.1920496541354701</v>
      </c>
      <c r="DI40" s="4504">
        <f t="shared" si="97"/>
        <v>3.1920496541354701</v>
      </c>
      <c r="DJ40" s="4504">
        <f t="shared" si="98"/>
        <v>3.1920496541354701</v>
      </c>
    </row>
    <row r="41" spans="1:114" s="683" customFormat="1" ht="13.2">
      <c r="A41" s="839" t="s">
        <v>1223</v>
      </c>
      <c r="B41" s="3914" t="s">
        <v>255</v>
      </c>
      <c r="C41" s="3070">
        <v>4.7951931452172056</v>
      </c>
      <c r="D41" s="3071">
        <v>15</v>
      </c>
      <c r="E41" s="3071">
        <v>15</v>
      </c>
      <c r="F41" s="3071">
        <v>15</v>
      </c>
      <c r="G41" s="3071">
        <v>15</v>
      </c>
      <c r="H41" s="3072">
        <v>15</v>
      </c>
      <c r="I41" s="1251">
        <f t="shared" si="34"/>
        <v>10.204806854782795</v>
      </c>
      <c r="J41" s="1209">
        <f t="shared" si="35"/>
        <v>2.1281325998226404</v>
      </c>
      <c r="K41" s="3070">
        <v>0.28946068561948418</v>
      </c>
      <c r="L41" s="3071">
        <v>0.31406484389714034</v>
      </c>
      <c r="M41" s="3071">
        <v>0.31406484389714034</v>
      </c>
      <c r="N41" s="3071">
        <v>0.31406484389714034</v>
      </c>
      <c r="O41" s="3071">
        <v>0.31406484389714034</v>
      </c>
      <c r="P41" s="3072">
        <v>0.31406484389714034</v>
      </c>
      <c r="Q41" s="1251">
        <f t="shared" si="166"/>
        <v>2.4604158277656163E-2</v>
      </c>
      <c r="R41" s="1205">
        <f t="shared" si="167"/>
        <v>8.500000000000002E-2</v>
      </c>
      <c r="S41" s="3070">
        <v>0.5802788409627907</v>
      </c>
      <c r="T41" s="3071">
        <v>0.62960254244462799</v>
      </c>
      <c r="U41" s="3071">
        <v>0.62960254244462799</v>
      </c>
      <c r="V41" s="3071">
        <v>0.62960254244462799</v>
      </c>
      <c r="W41" s="3071">
        <v>0.62960254244462799</v>
      </c>
      <c r="X41" s="3072">
        <v>0.62960254244462799</v>
      </c>
      <c r="Y41" s="1251">
        <f t="shared" si="168"/>
        <v>4.932370148183729E-2</v>
      </c>
      <c r="Z41" s="1205">
        <f t="shared" si="169"/>
        <v>8.5000000000000145E-2</v>
      </c>
      <c r="AA41" s="3070"/>
      <c r="AB41" s="3071"/>
      <c r="AC41" s="3071"/>
      <c r="AD41" s="3071"/>
      <c r="AE41" s="3071"/>
      <c r="AF41" s="3072"/>
      <c r="AG41" s="1251">
        <f t="shared" si="40"/>
        <v>0</v>
      </c>
      <c r="AH41" s="1209">
        <f t="shared" si="41"/>
        <v>0</v>
      </c>
      <c r="AI41" s="3070">
        <v>0.5241382445416366</v>
      </c>
      <c r="AJ41" s="3071">
        <v>15.41</v>
      </c>
      <c r="AK41" s="3071">
        <v>15.41</v>
      </c>
      <c r="AL41" s="3071">
        <v>15.41</v>
      </c>
      <c r="AM41" s="3071">
        <v>15.41</v>
      </c>
      <c r="AN41" s="3100">
        <v>15.41</v>
      </c>
      <c r="AO41" s="1251">
        <f t="shared" si="42"/>
        <v>14.885861755458363</v>
      </c>
      <c r="AP41" s="1209">
        <f t="shared" si="43"/>
        <v>28.400640309077573</v>
      </c>
      <c r="AQ41" s="3070">
        <v>1.0790836588826568E-3</v>
      </c>
      <c r="AR41" s="3071">
        <v>1.1708057698876825E-3</v>
      </c>
      <c r="AS41" s="3071">
        <v>1.1708057698876825E-3</v>
      </c>
      <c r="AT41" s="3071">
        <v>1.1708057698876825E-3</v>
      </c>
      <c r="AU41" s="3071">
        <v>1.1708057698876825E-3</v>
      </c>
      <c r="AV41" s="3100">
        <v>1.1708057698876825E-3</v>
      </c>
      <c r="AW41" s="1112">
        <f t="shared" si="173"/>
        <v>6.1890709163411168</v>
      </c>
      <c r="AX41" s="3090">
        <f t="shared" si="174"/>
        <v>31.353667386341769</v>
      </c>
      <c r="AY41" s="3090">
        <f t="shared" si="175"/>
        <v>31.353667386341769</v>
      </c>
      <c r="AZ41" s="3090">
        <f t="shared" si="176"/>
        <v>31.353667386341769</v>
      </c>
      <c r="BA41" s="3090">
        <f t="shared" si="177"/>
        <v>31.353667386341769</v>
      </c>
      <c r="BB41" s="3091">
        <f t="shared" si="178"/>
        <v>31.353667386341769</v>
      </c>
      <c r="BC41" s="3111">
        <f t="shared" si="179"/>
        <v>5.3193313897588421</v>
      </c>
      <c r="BD41" s="3112">
        <f t="shared" si="180"/>
        <v>30.41</v>
      </c>
      <c r="BE41" s="3113">
        <f t="shared" si="181"/>
        <v>30.41</v>
      </c>
      <c r="BF41" s="3113">
        <f t="shared" si="182"/>
        <v>30.41</v>
      </c>
      <c r="BG41" s="3113">
        <f t="shared" si="183"/>
        <v>30.41</v>
      </c>
      <c r="BH41" s="3115">
        <f t="shared" si="184"/>
        <v>30.41</v>
      </c>
      <c r="BI41" s="4488"/>
      <c r="BJ41" s="4504">
        <f t="shared" si="46"/>
        <v>2.451743323917317</v>
      </c>
      <c r="BK41" s="4504">
        <f t="shared" si="47"/>
        <v>7.6693782179432777</v>
      </c>
      <c r="BL41" s="4504">
        <f t="shared" si="48"/>
        <v>7.6693782179432777</v>
      </c>
      <c r="BM41" s="4504">
        <f t="shared" si="49"/>
        <v>7.6693782179432777</v>
      </c>
      <c r="BN41" s="4504">
        <f t="shared" si="50"/>
        <v>7.6693782179432777</v>
      </c>
      <c r="BO41" s="4504">
        <f t="shared" si="51"/>
        <v>7.6693782179432777</v>
      </c>
      <c r="BP41" s="4504">
        <f t="shared" si="52"/>
        <v>5.2176348940259611</v>
      </c>
      <c r="BQ41" s="4504">
        <f t="shared" si="53"/>
        <v>0.14799889848273326</v>
      </c>
      <c r="BR41" s="4504">
        <f t="shared" si="54"/>
        <v>0.16057880485376558</v>
      </c>
      <c r="BS41" s="4504">
        <f t="shared" si="55"/>
        <v>0.16057880485376558</v>
      </c>
      <c r="BT41" s="4504">
        <f t="shared" si="56"/>
        <v>0.16057880485376558</v>
      </c>
      <c r="BU41" s="4504">
        <f t="shared" si="57"/>
        <v>0.16057880485376558</v>
      </c>
      <c r="BV41" s="4504">
        <f t="shared" si="58"/>
        <v>0.16057880485376558</v>
      </c>
      <c r="BW41" s="4504">
        <f t="shared" si="59"/>
        <v>1.257990637103233E-2</v>
      </c>
      <c r="BX41" s="4504">
        <f t="shared" si="60"/>
        <v>0.29669186021422655</v>
      </c>
      <c r="BY41" s="4504">
        <f t="shared" si="61"/>
        <v>0.32191066833243587</v>
      </c>
      <c r="BZ41" s="4504">
        <f t="shared" si="62"/>
        <v>0.32191066833243587</v>
      </c>
      <c r="CA41" s="4504">
        <f t="shared" si="63"/>
        <v>0.32191066833243587</v>
      </c>
      <c r="CB41" s="4504">
        <f t="shared" si="64"/>
        <v>0.32191066833243587</v>
      </c>
      <c r="CC41" s="4504">
        <f t="shared" si="65"/>
        <v>0.32191066833243587</v>
      </c>
      <c r="CD41" s="4504">
        <f t="shared" si="66"/>
        <v>2.5218808118209299E-2</v>
      </c>
      <c r="CE41" s="4504">
        <f t="shared" si="67"/>
        <v>0</v>
      </c>
      <c r="CF41" s="4504">
        <f t="shared" si="68"/>
        <v>0</v>
      </c>
      <c r="CG41" s="4504">
        <f t="shared" si="69"/>
        <v>0</v>
      </c>
      <c r="CH41" s="4504">
        <f t="shared" si="70"/>
        <v>0</v>
      </c>
      <c r="CI41" s="4504">
        <f t="shared" si="71"/>
        <v>0</v>
      </c>
      <c r="CJ41" s="4504">
        <f t="shared" si="72"/>
        <v>0</v>
      </c>
      <c r="CK41" s="4504">
        <f t="shared" si="73"/>
        <v>0</v>
      </c>
      <c r="CL41" s="4504">
        <f t="shared" si="74"/>
        <v>0.26798762905857698</v>
      </c>
      <c r="CM41" s="4504">
        <f t="shared" si="75"/>
        <v>7.8790078892337272</v>
      </c>
      <c r="CN41" s="4504">
        <f t="shared" si="76"/>
        <v>7.8790078892337272</v>
      </c>
      <c r="CO41" s="4504">
        <f t="shared" si="77"/>
        <v>7.8790078892337272</v>
      </c>
      <c r="CP41" s="4504">
        <f t="shared" si="78"/>
        <v>7.8790078892337272</v>
      </c>
      <c r="CQ41" s="4504">
        <f t="shared" si="79"/>
        <v>7.8790078892337272</v>
      </c>
      <c r="CR41" s="4504">
        <f t="shared" si="80"/>
        <v>7.6110202601751498</v>
      </c>
      <c r="CS41" s="4504">
        <f t="shared" si="81"/>
        <v>5.5172671391821209E-4</v>
      </c>
      <c r="CT41" s="4504">
        <f t="shared" si="82"/>
        <v>5.9862348460126011E-4</v>
      </c>
      <c r="CU41" s="4504">
        <f t="shared" si="83"/>
        <v>5.9862348460126011E-4</v>
      </c>
      <c r="CV41" s="4504">
        <f t="shared" si="84"/>
        <v>5.9862348460126011E-4</v>
      </c>
      <c r="CW41" s="4504">
        <f t="shared" si="85"/>
        <v>5.9862348460126011E-4</v>
      </c>
      <c r="CX41" s="4504">
        <f t="shared" si="86"/>
        <v>5.9862348460126011E-4</v>
      </c>
      <c r="CY41" s="4504">
        <f t="shared" si="87"/>
        <v>3.1644217116728535</v>
      </c>
      <c r="CZ41" s="4504">
        <f t="shared" si="88"/>
        <v>16.030875580363205</v>
      </c>
      <c r="DA41" s="4504">
        <f t="shared" si="89"/>
        <v>16.030875580363205</v>
      </c>
      <c r="DB41" s="4504">
        <f t="shared" si="90"/>
        <v>16.030875580363205</v>
      </c>
      <c r="DC41" s="4504">
        <f t="shared" si="91"/>
        <v>16.030875580363205</v>
      </c>
      <c r="DD41" s="4504">
        <f t="shared" si="92"/>
        <v>16.030875580363205</v>
      </c>
      <c r="DE41" s="4504">
        <f t="shared" si="93"/>
        <v>2.7197309529758935</v>
      </c>
      <c r="DF41" s="4504">
        <f t="shared" si="94"/>
        <v>15.548386107177004</v>
      </c>
      <c r="DG41" s="4504">
        <f t="shared" si="95"/>
        <v>15.548386107177004</v>
      </c>
      <c r="DH41" s="4504">
        <f t="shared" si="96"/>
        <v>15.548386107177004</v>
      </c>
      <c r="DI41" s="4504">
        <f t="shared" si="97"/>
        <v>15.548386107177004</v>
      </c>
      <c r="DJ41" s="4504">
        <f t="shared" si="98"/>
        <v>15.548386107177004</v>
      </c>
    </row>
    <row r="42" spans="1:114" s="683" customFormat="1" ht="13.2">
      <c r="A42" s="839" t="s">
        <v>1224</v>
      </c>
      <c r="B42" s="3914" t="s">
        <v>442</v>
      </c>
      <c r="C42" s="3070">
        <v>5.1836733829510075</v>
      </c>
      <c r="D42" s="3071">
        <v>5.1836733829510075</v>
      </c>
      <c r="E42" s="3071">
        <v>5.1836733829510075</v>
      </c>
      <c r="F42" s="3071">
        <v>5.1836733829510075</v>
      </c>
      <c r="G42" s="3071">
        <v>5.1836733829510075</v>
      </c>
      <c r="H42" s="3072">
        <v>5.1836733829510075</v>
      </c>
      <c r="I42" s="1251">
        <f t="shared" si="34"/>
        <v>0</v>
      </c>
      <c r="J42" s="1209">
        <f t="shared" si="35"/>
        <v>0</v>
      </c>
      <c r="K42" s="3070">
        <v>0.14135688220781165</v>
      </c>
      <c r="L42" s="3071">
        <v>0.14135688220781165</v>
      </c>
      <c r="M42" s="3071">
        <v>0.14135688220781165</v>
      </c>
      <c r="N42" s="3071">
        <v>0.14135688220781165</v>
      </c>
      <c r="O42" s="3071">
        <v>0.14135688220781165</v>
      </c>
      <c r="P42" s="3072">
        <v>0.14135688220781165</v>
      </c>
      <c r="Q42" s="1251">
        <f t="shared" si="166"/>
        <v>0</v>
      </c>
      <c r="R42" s="1205">
        <f t="shared" si="167"/>
        <v>0</v>
      </c>
      <c r="S42" s="3070">
        <v>1.2184094815533362</v>
      </c>
      <c r="T42" s="3071">
        <v>1.2184094815533362</v>
      </c>
      <c r="U42" s="3071">
        <v>1.2184094815533362</v>
      </c>
      <c r="V42" s="3071">
        <v>1.2184094815533362</v>
      </c>
      <c r="W42" s="3071">
        <v>1.2184094815533362</v>
      </c>
      <c r="X42" s="3072">
        <v>1.2184094815533362</v>
      </c>
      <c r="Y42" s="1251">
        <f t="shared" si="168"/>
        <v>0</v>
      </c>
      <c r="Z42" s="1205">
        <f t="shared" si="169"/>
        <v>0</v>
      </c>
      <c r="AA42" s="3070"/>
      <c r="AB42" s="3071"/>
      <c r="AC42" s="3071"/>
      <c r="AD42" s="3071"/>
      <c r="AE42" s="3071"/>
      <c r="AF42" s="3072"/>
      <c r="AG42" s="1251">
        <f t="shared" si="40"/>
        <v>0</v>
      </c>
      <c r="AH42" s="1209">
        <f t="shared" si="41"/>
        <v>0</v>
      </c>
      <c r="AI42" s="3070">
        <v>1.3019237320097485</v>
      </c>
      <c r="AJ42" s="3071">
        <v>1.3019237320097485</v>
      </c>
      <c r="AK42" s="3071">
        <v>1.3019237320097485</v>
      </c>
      <c r="AL42" s="3071">
        <v>1.3019237320097485</v>
      </c>
      <c r="AM42" s="3071">
        <v>1.3019237320097485</v>
      </c>
      <c r="AN42" s="3100">
        <v>1.3019237320097485</v>
      </c>
      <c r="AO42" s="1251">
        <f t="shared" si="42"/>
        <v>0</v>
      </c>
      <c r="AP42" s="1209">
        <f t="shared" si="43"/>
        <v>0</v>
      </c>
      <c r="AQ42" s="3070">
        <v>4.4636521278096683E-2</v>
      </c>
      <c r="AR42" s="3071">
        <v>4.4636521278096683E-2</v>
      </c>
      <c r="AS42" s="3071">
        <v>4.4636521278096683E-2</v>
      </c>
      <c r="AT42" s="3071">
        <v>4.4636521278096683E-2</v>
      </c>
      <c r="AU42" s="3071">
        <v>4.4636521278096683E-2</v>
      </c>
      <c r="AV42" s="3100">
        <v>4.4636521278096683E-2</v>
      </c>
      <c r="AW42" s="1112">
        <f t="shared" si="173"/>
        <v>7.8453634787219038</v>
      </c>
      <c r="AX42" s="3090">
        <f t="shared" si="174"/>
        <v>7.8453634787219038</v>
      </c>
      <c r="AY42" s="3090">
        <f t="shared" si="175"/>
        <v>7.8453634787219038</v>
      </c>
      <c r="AZ42" s="3090">
        <f t="shared" si="176"/>
        <v>7.8453634787219038</v>
      </c>
      <c r="BA42" s="3090">
        <f t="shared" si="177"/>
        <v>7.8453634787219038</v>
      </c>
      <c r="BB42" s="3091">
        <f t="shared" si="178"/>
        <v>7.8453634787219038</v>
      </c>
      <c r="BC42" s="3111">
        <f t="shared" si="179"/>
        <v>6.4855971149607559</v>
      </c>
      <c r="BD42" s="3112">
        <f t="shared" si="180"/>
        <v>6.4855971149607559</v>
      </c>
      <c r="BE42" s="3113">
        <f t="shared" si="181"/>
        <v>6.4855971149607559</v>
      </c>
      <c r="BF42" s="3113">
        <f t="shared" si="182"/>
        <v>6.4855971149607559</v>
      </c>
      <c r="BG42" s="3113">
        <f t="shared" si="183"/>
        <v>6.4855971149607559</v>
      </c>
      <c r="BH42" s="3115">
        <f t="shared" si="184"/>
        <v>6.4855971149607559</v>
      </c>
      <c r="BI42" s="4488"/>
      <c r="BJ42" s="4504">
        <f t="shared" si="46"/>
        <v>2.6503701154757864</v>
      </c>
      <c r="BK42" s="4504">
        <f t="shared" si="47"/>
        <v>2.6503701154757864</v>
      </c>
      <c r="BL42" s="4504">
        <f t="shared" si="48"/>
        <v>2.6503701154757864</v>
      </c>
      <c r="BM42" s="4504">
        <f t="shared" si="49"/>
        <v>2.6503701154757864</v>
      </c>
      <c r="BN42" s="4504">
        <f t="shared" si="50"/>
        <v>2.6503701154757864</v>
      </c>
      <c r="BO42" s="4504">
        <f t="shared" si="51"/>
        <v>2.6503701154757864</v>
      </c>
      <c r="BP42" s="4504">
        <f t="shared" si="52"/>
        <v>0</v>
      </c>
      <c r="BQ42" s="4504">
        <f t="shared" si="53"/>
        <v>7.2274626224064289E-2</v>
      </c>
      <c r="BR42" s="4504">
        <f t="shared" si="54"/>
        <v>7.2274626224064289E-2</v>
      </c>
      <c r="BS42" s="4504">
        <f t="shared" si="55"/>
        <v>7.2274626224064289E-2</v>
      </c>
      <c r="BT42" s="4504">
        <f t="shared" si="56"/>
        <v>7.2274626224064289E-2</v>
      </c>
      <c r="BU42" s="4504">
        <f t="shared" si="57"/>
        <v>7.2274626224064289E-2</v>
      </c>
      <c r="BV42" s="4504">
        <f t="shared" si="58"/>
        <v>7.2274626224064289E-2</v>
      </c>
      <c r="BW42" s="4504">
        <f t="shared" si="59"/>
        <v>0</v>
      </c>
      <c r="BX42" s="4504">
        <f t="shared" si="60"/>
        <v>0.62296287589071453</v>
      </c>
      <c r="BY42" s="4504">
        <f t="shared" si="61"/>
        <v>0.62296287589071453</v>
      </c>
      <c r="BZ42" s="4504">
        <f t="shared" si="62"/>
        <v>0.62296287589071453</v>
      </c>
      <c r="CA42" s="4504">
        <f t="shared" si="63"/>
        <v>0.62296287589071453</v>
      </c>
      <c r="CB42" s="4504">
        <f t="shared" si="64"/>
        <v>0.62296287589071453</v>
      </c>
      <c r="CC42" s="4504">
        <f t="shared" si="65"/>
        <v>0.62296287589071453</v>
      </c>
      <c r="CD42" s="4504">
        <f t="shared" si="66"/>
        <v>0</v>
      </c>
      <c r="CE42" s="4504">
        <f t="shared" si="67"/>
        <v>0</v>
      </c>
      <c r="CF42" s="4504">
        <f t="shared" si="68"/>
        <v>0</v>
      </c>
      <c r="CG42" s="4504">
        <f t="shared" si="69"/>
        <v>0</v>
      </c>
      <c r="CH42" s="4504">
        <f t="shared" si="70"/>
        <v>0</v>
      </c>
      <c r="CI42" s="4504">
        <f t="shared" si="71"/>
        <v>0</v>
      </c>
      <c r="CJ42" s="4504">
        <f t="shared" si="72"/>
        <v>0</v>
      </c>
      <c r="CK42" s="4504">
        <f t="shared" si="73"/>
        <v>0</v>
      </c>
      <c r="CL42" s="4504">
        <f t="shared" si="74"/>
        <v>0.66566303411326577</v>
      </c>
      <c r="CM42" s="4504">
        <f t="shared" si="75"/>
        <v>0.66566303411326577</v>
      </c>
      <c r="CN42" s="4504">
        <f t="shared" si="76"/>
        <v>0.66566303411326577</v>
      </c>
      <c r="CO42" s="4504">
        <f t="shared" si="77"/>
        <v>0.66566303411326577</v>
      </c>
      <c r="CP42" s="4504">
        <f t="shared" si="78"/>
        <v>0.66566303411326577</v>
      </c>
      <c r="CQ42" s="4504">
        <f t="shared" si="79"/>
        <v>0.66566303411326577</v>
      </c>
      <c r="CR42" s="4504">
        <f t="shared" si="80"/>
        <v>0</v>
      </c>
      <c r="CS42" s="4504">
        <f t="shared" si="81"/>
        <v>2.2822290934333089E-2</v>
      </c>
      <c r="CT42" s="4504">
        <f t="shared" si="82"/>
        <v>2.2822290934333089E-2</v>
      </c>
      <c r="CU42" s="4504">
        <f t="shared" si="83"/>
        <v>2.2822290934333089E-2</v>
      </c>
      <c r="CV42" s="4504">
        <f t="shared" si="84"/>
        <v>2.2822290934333089E-2</v>
      </c>
      <c r="CW42" s="4504">
        <f t="shared" si="85"/>
        <v>2.2822290934333089E-2</v>
      </c>
      <c r="CX42" s="4504">
        <f t="shared" si="86"/>
        <v>2.2822290934333089E-2</v>
      </c>
      <c r="CY42" s="4504">
        <f t="shared" si="87"/>
        <v>4.011270651703831</v>
      </c>
      <c r="CZ42" s="4504">
        <f t="shared" si="88"/>
        <v>4.011270651703831</v>
      </c>
      <c r="DA42" s="4504">
        <f t="shared" si="89"/>
        <v>4.011270651703831</v>
      </c>
      <c r="DB42" s="4504">
        <f t="shared" si="90"/>
        <v>4.011270651703831</v>
      </c>
      <c r="DC42" s="4504">
        <f t="shared" si="91"/>
        <v>4.011270651703831</v>
      </c>
      <c r="DD42" s="4504">
        <f t="shared" si="92"/>
        <v>4.011270651703831</v>
      </c>
      <c r="DE42" s="4504">
        <f t="shared" si="93"/>
        <v>3.3160331495890523</v>
      </c>
      <c r="DF42" s="4504">
        <f t="shared" si="94"/>
        <v>3.3160331495890523</v>
      </c>
      <c r="DG42" s="4504">
        <f t="shared" si="95"/>
        <v>3.3160331495890523</v>
      </c>
      <c r="DH42" s="4504">
        <f t="shared" si="96"/>
        <v>3.3160331495890523</v>
      </c>
      <c r="DI42" s="4504">
        <f t="shared" si="97"/>
        <v>3.3160331495890523</v>
      </c>
      <c r="DJ42" s="4504">
        <f t="shared" si="98"/>
        <v>3.3160331495890523</v>
      </c>
    </row>
    <row r="43" spans="1:114" ht="13.2">
      <c r="A43" s="838" t="s">
        <v>256</v>
      </c>
      <c r="B43" s="896" t="s">
        <v>257</v>
      </c>
      <c r="C43" s="3070">
        <v>5.1561028900135737</v>
      </c>
      <c r="D43" s="3071">
        <v>5.5943716356647277</v>
      </c>
      <c r="E43" s="3071">
        <v>5.5943716356647277</v>
      </c>
      <c r="F43" s="3071">
        <v>5.5943716356647277</v>
      </c>
      <c r="G43" s="3071">
        <v>5.5943716356647277</v>
      </c>
      <c r="H43" s="3072">
        <v>5.5943716356647277</v>
      </c>
      <c r="I43" s="1251">
        <f t="shared" si="34"/>
        <v>0.43826874565115403</v>
      </c>
      <c r="J43" s="826">
        <f t="shared" si="35"/>
        <v>8.5000000000000048E-2</v>
      </c>
      <c r="K43" s="3070">
        <v>1.9958628151112441E-2</v>
      </c>
      <c r="L43" s="3071">
        <v>2.1655111543956999E-2</v>
      </c>
      <c r="M43" s="3071">
        <v>2.1655111543956999E-2</v>
      </c>
      <c r="N43" s="3071">
        <v>2.1655111543956999E-2</v>
      </c>
      <c r="O43" s="3071">
        <v>2.1655111543956999E-2</v>
      </c>
      <c r="P43" s="3072">
        <v>2.1655111543956999E-2</v>
      </c>
      <c r="Q43" s="1251">
        <f t="shared" si="166"/>
        <v>1.6964833928445576E-3</v>
      </c>
      <c r="R43" s="1121">
        <f t="shared" si="167"/>
        <v>8.5000000000000006E-2</v>
      </c>
      <c r="S43" s="3070">
        <v>0.15354342726986137</v>
      </c>
      <c r="T43" s="3071">
        <v>0.16659461858779959</v>
      </c>
      <c r="U43" s="3071">
        <v>0.16659461858779959</v>
      </c>
      <c r="V43" s="3071">
        <v>0.16659461858779959</v>
      </c>
      <c r="W43" s="3071">
        <v>0.16659461858779959</v>
      </c>
      <c r="X43" s="3072">
        <v>0.16659461858779959</v>
      </c>
      <c r="Y43" s="1251">
        <f t="shared" si="168"/>
        <v>1.3051191317938221E-2</v>
      </c>
      <c r="Z43" s="1121">
        <f t="shared" si="169"/>
        <v>8.5000000000000034E-2</v>
      </c>
      <c r="AA43" s="3070"/>
      <c r="AB43" s="3071"/>
      <c r="AC43" s="3071"/>
      <c r="AD43" s="3071"/>
      <c r="AE43" s="3071"/>
      <c r="AF43" s="3072"/>
      <c r="AG43" s="1251">
        <f t="shared" si="40"/>
        <v>0</v>
      </c>
      <c r="AH43" s="826">
        <f t="shared" si="41"/>
        <v>0</v>
      </c>
      <c r="AI43" s="3070">
        <v>0.44353770533747833</v>
      </c>
      <c r="AJ43" s="3071">
        <v>0.48123841029116393</v>
      </c>
      <c r="AK43" s="3071">
        <v>0.48123841029116393</v>
      </c>
      <c r="AL43" s="3071">
        <v>0.48123841029116393</v>
      </c>
      <c r="AM43" s="3071">
        <v>0.48123841029116393</v>
      </c>
      <c r="AN43" s="3100">
        <v>0.48123841029116393</v>
      </c>
      <c r="AO43" s="1251">
        <f t="shared" si="42"/>
        <v>3.7700704953685604E-2</v>
      </c>
      <c r="AP43" s="826">
        <f t="shared" si="43"/>
        <v>8.4999999999999881E-2</v>
      </c>
      <c r="AQ43" s="3070">
        <v>2.3473492279731147E-3</v>
      </c>
      <c r="AR43" s="3071">
        <v>2.5468739123508293E-3</v>
      </c>
      <c r="AS43" s="3071">
        <v>2.5468739123508293E-3</v>
      </c>
      <c r="AT43" s="3071">
        <v>2.5468739123508293E-3</v>
      </c>
      <c r="AU43" s="3071">
        <v>2.5468739123508293E-3</v>
      </c>
      <c r="AV43" s="3100">
        <v>2.5468739123508293E-3</v>
      </c>
      <c r="AW43" s="1112">
        <f t="shared" si="173"/>
        <v>5.7731426507720256</v>
      </c>
      <c r="AX43" s="3090">
        <f t="shared" si="174"/>
        <v>6.2638597760876484</v>
      </c>
      <c r="AY43" s="3090">
        <f t="shared" si="175"/>
        <v>6.2638597760876484</v>
      </c>
      <c r="AZ43" s="3090">
        <f t="shared" si="176"/>
        <v>6.2638597760876484</v>
      </c>
      <c r="BA43" s="3090">
        <f t="shared" si="177"/>
        <v>6.2638597760876484</v>
      </c>
      <c r="BB43" s="3091">
        <f t="shared" si="178"/>
        <v>6.2638597760876484</v>
      </c>
      <c r="BC43" s="3111">
        <f t="shared" si="179"/>
        <v>5.599640595351052</v>
      </c>
      <c r="BD43" s="3112">
        <f t="shared" si="180"/>
        <v>6.0756100459558917</v>
      </c>
      <c r="BE43" s="3113">
        <f t="shared" si="181"/>
        <v>6.0756100459558917</v>
      </c>
      <c r="BF43" s="3113">
        <f t="shared" si="182"/>
        <v>6.0756100459558917</v>
      </c>
      <c r="BG43" s="3113">
        <f t="shared" si="183"/>
        <v>6.0756100459558917</v>
      </c>
      <c r="BH43" s="3115">
        <f t="shared" si="184"/>
        <v>6.0756100459558917</v>
      </c>
      <c r="BI43" s="4488"/>
      <c r="BJ43" s="4504">
        <f t="shared" si="46"/>
        <v>2.636273546276299</v>
      </c>
      <c r="BK43" s="4504">
        <f t="shared" si="47"/>
        <v>2.8603567977097843</v>
      </c>
      <c r="BL43" s="4504">
        <f t="shared" si="48"/>
        <v>2.8603567977097843</v>
      </c>
      <c r="BM43" s="4504">
        <f t="shared" si="49"/>
        <v>2.8603567977097843</v>
      </c>
      <c r="BN43" s="4504">
        <f t="shared" si="50"/>
        <v>2.8603567977097843</v>
      </c>
      <c r="BO43" s="4504">
        <f t="shared" si="51"/>
        <v>2.8603567977097843</v>
      </c>
      <c r="BP43" s="4504">
        <f t="shared" si="52"/>
        <v>0.22408325143348556</v>
      </c>
      <c r="BQ43" s="4504">
        <f t="shared" si="53"/>
        <v>1.0204684533478085E-2</v>
      </c>
      <c r="BR43" s="4504">
        <f t="shared" si="54"/>
        <v>1.1072082718823721E-2</v>
      </c>
      <c r="BS43" s="4504">
        <f t="shared" si="55"/>
        <v>1.1072082718823721E-2</v>
      </c>
      <c r="BT43" s="4504">
        <f t="shared" si="56"/>
        <v>1.1072082718823721E-2</v>
      </c>
      <c r="BU43" s="4504">
        <f t="shared" si="57"/>
        <v>1.1072082718823721E-2</v>
      </c>
      <c r="BV43" s="4504">
        <f t="shared" si="58"/>
        <v>1.1072082718823721E-2</v>
      </c>
      <c r="BW43" s="4504">
        <f t="shared" si="59"/>
        <v>8.6739818534563719E-4</v>
      </c>
      <c r="BX43" s="4504">
        <f t="shared" si="60"/>
        <v>7.8505507774122171E-2</v>
      </c>
      <c r="BY43" s="4504">
        <f t="shared" si="61"/>
        <v>8.517847593492256E-2</v>
      </c>
      <c r="BZ43" s="4504">
        <f t="shared" si="62"/>
        <v>8.517847593492256E-2</v>
      </c>
      <c r="CA43" s="4504">
        <f t="shared" si="63"/>
        <v>8.517847593492256E-2</v>
      </c>
      <c r="CB43" s="4504">
        <f t="shared" si="64"/>
        <v>8.517847593492256E-2</v>
      </c>
      <c r="CC43" s="4504">
        <f t="shared" si="65"/>
        <v>8.517847593492256E-2</v>
      </c>
      <c r="CD43" s="4504">
        <f t="shared" si="66"/>
        <v>6.6729681608003874E-3</v>
      </c>
      <c r="CE43" s="4504">
        <f t="shared" si="67"/>
        <v>0</v>
      </c>
      <c r="CF43" s="4504">
        <f t="shared" si="68"/>
        <v>0</v>
      </c>
      <c r="CG43" s="4504">
        <f t="shared" si="69"/>
        <v>0</v>
      </c>
      <c r="CH43" s="4504">
        <f t="shared" si="70"/>
        <v>0</v>
      </c>
      <c r="CI43" s="4504">
        <f t="shared" si="71"/>
        <v>0</v>
      </c>
      <c r="CJ43" s="4504">
        <f t="shared" si="72"/>
        <v>0</v>
      </c>
      <c r="CK43" s="4504">
        <f t="shared" si="73"/>
        <v>0</v>
      </c>
      <c r="CL43" s="4504">
        <f t="shared" si="74"/>
        <v>0.22677722774345332</v>
      </c>
      <c r="CM43" s="4504">
        <f t="shared" si="75"/>
        <v>0.24605329210164684</v>
      </c>
      <c r="CN43" s="4504">
        <f t="shared" si="76"/>
        <v>0.24605329210164684</v>
      </c>
      <c r="CO43" s="4504">
        <f t="shared" si="77"/>
        <v>0.24605329210164684</v>
      </c>
      <c r="CP43" s="4504">
        <f t="shared" si="78"/>
        <v>0.24605329210164684</v>
      </c>
      <c r="CQ43" s="4504">
        <f t="shared" si="79"/>
        <v>0.24605329210164684</v>
      </c>
      <c r="CR43" s="4504">
        <f t="shared" si="80"/>
        <v>1.9276064358193505E-2</v>
      </c>
      <c r="CS43" s="4504">
        <f t="shared" si="81"/>
        <v>1.200180602594865E-3</v>
      </c>
      <c r="CT43" s="4504">
        <f t="shared" si="82"/>
        <v>1.3021959538154285E-3</v>
      </c>
      <c r="CU43" s="4504">
        <f t="shared" si="83"/>
        <v>1.3021959538154285E-3</v>
      </c>
      <c r="CV43" s="4504">
        <f t="shared" si="84"/>
        <v>1.3021959538154285E-3</v>
      </c>
      <c r="CW43" s="4504">
        <f t="shared" si="85"/>
        <v>1.3021959538154285E-3</v>
      </c>
      <c r="CX43" s="4504">
        <f t="shared" si="86"/>
        <v>1.3021959538154285E-3</v>
      </c>
      <c r="CY43" s="4504">
        <f t="shared" si="87"/>
        <v>2.9517609663273525</v>
      </c>
      <c r="CZ43" s="4504">
        <f t="shared" si="88"/>
        <v>3.2026606484651778</v>
      </c>
      <c r="DA43" s="4504">
        <f t="shared" si="89"/>
        <v>3.2026606484651778</v>
      </c>
      <c r="DB43" s="4504">
        <f t="shared" si="90"/>
        <v>3.2026606484651778</v>
      </c>
      <c r="DC43" s="4504">
        <f t="shared" si="91"/>
        <v>3.2026606484651778</v>
      </c>
      <c r="DD43" s="4504">
        <f t="shared" si="92"/>
        <v>3.2026606484651778</v>
      </c>
      <c r="DE43" s="4504">
        <f t="shared" si="93"/>
        <v>2.8630507740197522</v>
      </c>
      <c r="DF43" s="4504">
        <f t="shared" si="94"/>
        <v>3.1064100898114315</v>
      </c>
      <c r="DG43" s="4504">
        <f t="shared" si="95"/>
        <v>3.1064100898114315</v>
      </c>
      <c r="DH43" s="4504">
        <f t="shared" si="96"/>
        <v>3.1064100898114315</v>
      </c>
      <c r="DI43" s="4504">
        <f t="shared" si="97"/>
        <v>3.1064100898114315</v>
      </c>
      <c r="DJ43" s="4504">
        <f t="shared" si="98"/>
        <v>3.1064100898114315</v>
      </c>
    </row>
    <row r="44" spans="1:114" ht="13.2">
      <c r="A44" s="838" t="s">
        <v>258</v>
      </c>
      <c r="B44" s="896" t="s">
        <v>259</v>
      </c>
      <c r="C44" s="3070">
        <v>68.510692451378617</v>
      </c>
      <c r="D44" s="3071">
        <v>74.33410130974579</v>
      </c>
      <c r="E44" s="3071">
        <v>74.33410130974579</v>
      </c>
      <c r="F44" s="3071">
        <v>74.33410130974579</v>
      </c>
      <c r="G44" s="3071">
        <v>74.33410130974579</v>
      </c>
      <c r="H44" s="3072">
        <v>74.33410130974579</v>
      </c>
      <c r="I44" s="1251">
        <f t="shared" si="34"/>
        <v>5.8234088583671735</v>
      </c>
      <c r="J44" s="826">
        <f t="shared" si="35"/>
        <v>8.4999999999999867E-2</v>
      </c>
      <c r="K44" s="3070">
        <v>1.7530089322719016</v>
      </c>
      <c r="L44" s="3071">
        <v>1.9020146915150131</v>
      </c>
      <c r="M44" s="3071">
        <v>1.9020146915150131</v>
      </c>
      <c r="N44" s="3071">
        <v>1.9020146915150131</v>
      </c>
      <c r="O44" s="3071">
        <v>1.9020146915150131</v>
      </c>
      <c r="P44" s="3072">
        <v>1.9020146915150131</v>
      </c>
      <c r="Q44" s="1251">
        <f t="shared" si="166"/>
        <v>0.14900575924311155</v>
      </c>
      <c r="R44" s="1121">
        <f t="shared" si="167"/>
        <v>8.4999999999999951E-2</v>
      </c>
      <c r="S44" s="3070">
        <v>14.185768616349481</v>
      </c>
      <c r="T44" s="3071">
        <v>15.391558948739185</v>
      </c>
      <c r="U44" s="3071">
        <v>15.391558948739185</v>
      </c>
      <c r="V44" s="3071">
        <v>15.391558948739185</v>
      </c>
      <c r="W44" s="3071">
        <v>15.391558948739185</v>
      </c>
      <c r="X44" s="3072">
        <v>15.391558948739185</v>
      </c>
      <c r="Y44" s="1251">
        <f t="shared" si="168"/>
        <v>1.2057903323897037</v>
      </c>
      <c r="Z44" s="1121">
        <f t="shared" si="169"/>
        <v>8.499999999999984E-2</v>
      </c>
      <c r="AA44" s="3070"/>
      <c r="AB44" s="3071"/>
      <c r="AC44" s="3071"/>
      <c r="AD44" s="3071"/>
      <c r="AE44" s="3071"/>
      <c r="AF44" s="3072"/>
      <c r="AG44" s="1251">
        <f t="shared" si="40"/>
        <v>0</v>
      </c>
      <c r="AH44" s="826">
        <f t="shared" si="41"/>
        <v>0</v>
      </c>
      <c r="AI44" s="3070">
        <v>0</v>
      </c>
      <c r="AJ44" s="3071">
        <v>0</v>
      </c>
      <c r="AK44" s="3071">
        <v>0</v>
      </c>
      <c r="AL44" s="3071">
        <v>0</v>
      </c>
      <c r="AM44" s="3071">
        <v>0</v>
      </c>
      <c r="AN44" s="3100">
        <v>0</v>
      </c>
      <c r="AO44" s="1251">
        <f t="shared" si="42"/>
        <v>0</v>
      </c>
      <c r="AP44" s="826">
        <f t="shared" si="43"/>
        <v>0</v>
      </c>
      <c r="AQ44" s="3070">
        <v>0</v>
      </c>
      <c r="AR44" s="3071">
        <v>0</v>
      </c>
      <c r="AS44" s="3071">
        <v>0</v>
      </c>
      <c r="AT44" s="3071">
        <v>0</v>
      </c>
      <c r="AU44" s="3071">
        <v>0</v>
      </c>
      <c r="AV44" s="3100">
        <v>0</v>
      </c>
      <c r="AW44" s="1112">
        <f t="shared" si="173"/>
        <v>84.449469999999991</v>
      </c>
      <c r="AX44" s="3090">
        <f t="shared" si="174"/>
        <v>91.627674949999985</v>
      </c>
      <c r="AY44" s="3090">
        <f t="shared" si="175"/>
        <v>91.627674949999985</v>
      </c>
      <c r="AZ44" s="3090">
        <f t="shared" si="176"/>
        <v>91.627674949999985</v>
      </c>
      <c r="BA44" s="3090">
        <f t="shared" si="177"/>
        <v>91.627674949999985</v>
      </c>
      <c r="BB44" s="3091">
        <f t="shared" si="178"/>
        <v>91.627674949999985</v>
      </c>
      <c r="BC44" s="3111">
        <f t="shared" si="179"/>
        <v>68.510692451378617</v>
      </c>
      <c r="BD44" s="3112">
        <f t="shared" si="180"/>
        <v>74.33410130974579</v>
      </c>
      <c r="BE44" s="3113">
        <f t="shared" si="181"/>
        <v>74.33410130974579</v>
      </c>
      <c r="BF44" s="3113">
        <f t="shared" si="182"/>
        <v>74.33410130974579</v>
      </c>
      <c r="BG44" s="3113">
        <f t="shared" si="183"/>
        <v>74.33410130974579</v>
      </c>
      <c r="BH44" s="3115">
        <f t="shared" si="184"/>
        <v>74.33410130974579</v>
      </c>
      <c r="BI44" s="4488"/>
      <c r="BJ44" s="4504">
        <f t="shared" si="46"/>
        <v>35.02896082552094</v>
      </c>
      <c r="BK44" s="4504">
        <f t="shared" si="47"/>
        <v>38.006422495690217</v>
      </c>
      <c r="BL44" s="4504">
        <f t="shared" si="48"/>
        <v>38.006422495690217</v>
      </c>
      <c r="BM44" s="4504">
        <f t="shared" si="49"/>
        <v>38.006422495690217</v>
      </c>
      <c r="BN44" s="4504">
        <f t="shared" si="50"/>
        <v>38.006422495690217</v>
      </c>
      <c r="BO44" s="4504">
        <f t="shared" si="51"/>
        <v>38.006422495690217</v>
      </c>
      <c r="BP44" s="4504">
        <f t="shared" si="52"/>
        <v>2.9774616701692751</v>
      </c>
      <c r="BQ44" s="4504">
        <f t="shared" si="53"/>
        <v>0.89629923473507489</v>
      </c>
      <c r="BR44" s="4504">
        <f t="shared" si="54"/>
        <v>0.97248466968755631</v>
      </c>
      <c r="BS44" s="4504">
        <f t="shared" si="55"/>
        <v>0.97248466968755631</v>
      </c>
      <c r="BT44" s="4504">
        <f t="shared" si="56"/>
        <v>0.97248466968755631</v>
      </c>
      <c r="BU44" s="4504">
        <f t="shared" si="57"/>
        <v>0.97248466968755631</v>
      </c>
      <c r="BV44" s="4504">
        <f t="shared" si="58"/>
        <v>0.97248466968755631</v>
      </c>
      <c r="BW44" s="4504">
        <f t="shared" si="59"/>
        <v>7.6185434952481326E-2</v>
      </c>
      <c r="BX44" s="4504">
        <f t="shared" si="60"/>
        <v>7.2530683220676035</v>
      </c>
      <c r="BY44" s="4504">
        <f t="shared" si="61"/>
        <v>7.8695791294433493</v>
      </c>
      <c r="BZ44" s="4504">
        <f t="shared" si="62"/>
        <v>7.8695791294433493</v>
      </c>
      <c r="CA44" s="4504">
        <f t="shared" si="63"/>
        <v>7.8695791294433493</v>
      </c>
      <c r="CB44" s="4504">
        <f t="shared" si="64"/>
        <v>7.8695791294433493</v>
      </c>
      <c r="CC44" s="4504">
        <f t="shared" si="65"/>
        <v>7.8695791294433493</v>
      </c>
      <c r="CD44" s="4504">
        <f t="shared" si="66"/>
        <v>0.61651080737574515</v>
      </c>
      <c r="CE44" s="4504">
        <f t="shared" si="67"/>
        <v>0</v>
      </c>
      <c r="CF44" s="4504">
        <f t="shared" si="68"/>
        <v>0</v>
      </c>
      <c r="CG44" s="4504">
        <f t="shared" si="69"/>
        <v>0</v>
      </c>
      <c r="CH44" s="4504">
        <f t="shared" si="70"/>
        <v>0</v>
      </c>
      <c r="CI44" s="4504">
        <f t="shared" si="71"/>
        <v>0</v>
      </c>
      <c r="CJ44" s="4504">
        <f t="shared" si="72"/>
        <v>0</v>
      </c>
      <c r="CK44" s="4504">
        <f t="shared" si="73"/>
        <v>0</v>
      </c>
      <c r="CL44" s="4504">
        <f t="shared" si="74"/>
        <v>0</v>
      </c>
      <c r="CM44" s="4504">
        <f t="shared" si="75"/>
        <v>0</v>
      </c>
      <c r="CN44" s="4504">
        <f t="shared" si="76"/>
        <v>0</v>
      </c>
      <c r="CO44" s="4504">
        <f t="shared" si="77"/>
        <v>0</v>
      </c>
      <c r="CP44" s="4504">
        <f t="shared" si="78"/>
        <v>0</v>
      </c>
      <c r="CQ44" s="4504">
        <f t="shared" si="79"/>
        <v>0</v>
      </c>
      <c r="CR44" s="4504">
        <f t="shared" si="80"/>
        <v>0</v>
      </c>
      <c r="CS44" s="4504">
        <f t="shared" si="81"/>
        <v>0</v>
      </c>
      <c r="CT44" s="4504">
        <f t="shared" si="82"/>
        <v>0</v>
      </c>
      <c r="CU44" s="4504">
        <f t="shared" si="83"/>
        <v>0</v>
      </c>
      <c r="CV44" s="4504">
        <f t="shared" si="84"/>
        <v>0</v>
      </c>
      <c r="CW44" s="4504">
        <f t="shared" si="85"/>
        <v>0</v>
      </c>
      <c r="CX44" s="4504">
        <f t="shared" si="86"/>
        <v>0</v>
      </c>
      <c r="CY44" s="4504">
        <f t="shared" si="87"/>
        <v>43.178328382323613</v>
      </c>
      <c r="CZ44" s="4504">
        <f t="shared" si="88"/>
        <v>46.848486294821114</v>
      </c>
      <c r="DA44" s="4504">
        <f t="shared" si="89"/>
        <v>46.848486294821114</v>
      </c>
      <c r="DB44" s="4504">
        <f t="shared" si="90"/>
        <v>46.848486294821114</v>
      </c>
      <c r="DC44" s="4504">
        <f t="shared" si="91"/>
        <v>46.848486294821114</v>
      </c>
      <c r="DD44" s="4504">
        <f t="shared" si="92"/>
        <v>46.848486294821114</v>
      </c>
      <c r="DE44" s="4504">
        <f t="shared" si="93"/>
        <v>35.02896082552094</v>
      </c>
      <c r="DF44" s="4504">
        <f t="shared" si="94"/>
        <v>38.006422495690217</v>
      </c>
      <c r="DG44" s="4504">
        <f t="shared" si="95"/>
        <v>38.006422495690217</v>
      </c>
      <c r="DH44" s="4504">
        <f t="shared" si="96"/>
        <v>38.006422495690217</v>
      </c>
      <c r="DI44" s="4504">
        <f t="shared" si="97"/>
        <v>38.006422495690217</v>
      </c>
      <c r="DJ44" s="4504">
        <f t="shared" si="98"/>
        <v>38.006422495690217</v>
      </c>
    </row>
    <row r="45" spans="1:114" ht="13.2">
      <c r="A45" s="838" t="s">
        <v>260</v>
      </c>
      <c r="B45" s="896" t="s">
        <v>630</v>
      </c>
      <c r="C45" s="3070">
        <v>10.870356936201658</v>
      </c>
      <c r="D45" s="3071">
        <v>11.794337275778798</v>
      </c>
      <c r="E45" s="3071">
        <v>11.794337275778798</v>
      </c>
      <c r="F45" s="3071">
        <v>11.794337275778798</v>
      </c>
      <c r="G45" s="3071">
        <v>11.794337275778798</v>
      </c>
      <c r="H45" s="3072">
        <v>11.794337275778798</v>
      </c>
      <c r="I45" s="1251">
        <f t="shared" si="34"/>
        <v>0.92398033957713999</v>
      </c>
      <c r="J45" s="826">
        <f t="shared" si="35"/>
        <v>8.4999999999999909E-2</v>
      </c>
      <c r="K45" s="3070">
        <v>0.16575153303725387</v>
      </c>
      <c r="L45" s="3071">
        <v>0.17984041334542045</v>
      </c>
      <c r="M45" s="3071">
        <v>0.17984041334542045</v>
      </c>
      <c r="N45" s="3071">
        <v>0.17984041334542045</v>
      </c>
      <c r="O45" s="3071">
        <v>0.17984041334542045</v>
      </c>
      <c r="P45" s="3072">
        <v>0.17984041334542045</v>
      </c>
      <c r="Q45" s="1251">
        <f t="shared" si="166"/>
        <v>1.4088880308166574E-2</v>
      </c>
      <c r="R45" s="1121">
        <f t="shared" si="167"/>
        <v>8.4999999999999964E-2</v>
      </c>
      <c r="S45" s="3070">
        <v>1.2240986765511113</v>
      </c>
      <c r="T45" s="3071">
        <v>1.3281470640579556</v>
      </c>
      <c r="U45" s="3071">
        <v>1.3281470640579556</v>
      </c>
      <c r="V45" s="3071">
        <v>1.3281470640579556</v>
      </c>
      <c r="W45" s="3071">
        <v>1.3281470640579556</v>
      </c>
      <c r="X45" s="3072">
        <v>1.3281470640579556</v>
      </c>
      <c r="Y45" s="1251">
        <f t="shared" si="168"/>
        <v>0.10404838750684431</v>
      </c>
      <c r="Z45" s="1121">
        <f t="shared" si="169"/>
        <v>8.4999999999999881E-2</v>
      </c>
      <c r="AA45" s="3070"/>
      <c r="AB45" s="3071"/>
      <c r="AC45" s="3071"/>
      <c r="AD45" s="3071"/>
      <c r="AE45" s="3071"/>
      <c r="AF45" s="3072"/>
      <c r="AG45" s="1251">
        <f t="shared" si="40"/>
        <v>0</v>
      </c>
      <c r="AH45" s="826">
        <f t="shared" si="41"/>
        <v>0</v>
      </c>
      <c r="AI45" s="3070">
        <v>2.5085275117738859</v>
      </c>
      <c r="AJ45" s="3071">
        <v>2.7217523502746661</v>
      </c>
      <c r="AK45" s="3071">
        <v>2.7217523502746661</v>
      </c>
      <c r="AL45" s="3071">
        <v>2.7217523502746661</v>
      </c>
      <c r="AM45" s="3071">
        <v>2.7217523502746661</v>
      </c>
      <c r="AN45" s="3100">
        <v>2.7217523502746661</v>
      </c>
      <c r="AO45" s="1251">
        <f t="shared" si="42"/>
        <v>0.21322483850078022</v>
      </c>
      <c r="AP45" s="826">
        <f t="shared" si="43"/>
        <v>8.4999999999999964E-2</v>
      </c>
      <c r="AQ45" s="3070">
        <v>6.5342436091510341E-5</v>
      </c>
      <c r="AR45" s="3071">
        <v>7.0896543159288726E-5</v>
      </c>
      <c r="AS45" s="3071">
        <v>7.0896543159288726E-5</v>
      </c>
      <c r="AT45" s="3071">
        <v>7.0896543159288726E-5</v>
      </c>
      <c r="AU45" s="3071">
        <v>7.0896543159288726E-5</v>
      </c>
      <c r="AV45" s="3100">
        <v>7.0896543159288726E-5</v>
      </c>
      <c r="AW45" s="1112">
        <f t="shared" si="173"/>
        <v>14.768734657563909</v>
      </c>
      <c r="AX45" s="3090">
        <f t="shared" si="174"/>
        <v>16.02407710345684</v>
      </c>
      <c r="AY45" s="3090">
        <f t="shared" si="175"/>
        <v>16.02407710345684</v>
      </c>
      <c r="AZ45" s="3090">
        <f t="shared" si="176"/>
        <v>16.02407710345684</v>
      </c>
      <c r="BA45" s="3090">
        <f t="shared" si="177"/>
        <v>16.02407710345684</v>
      </c>
      <c r="BB45" s="3091">
        <f t="shared" si="178"/>
        <v>16.02407710345684</v>
      </c>
      <c r="BC45" s="3111">
        <f t="shared" si="179"/>
        <v>13.378884447975544</v>
      </c>
      <c r="BD45" s="3112">
        <f t="shared" si="180"/>
        <v>14.516089626053464</v>
      </c>
      <c r="BE45" s="3113">
        <f t="shared" si="181"/>
        <v>14.516089626053464</v>
      </c>
      <c r="BF45" s="3113">
        <f t="shared" si="182"/>
        <v>14.516089626053464</v>
      </c>
      <c r="BG45" s="3113">
        <f t="shared" si="183"/>
        <v>14.516089626053464</v>
      </c>
      <c r="BH45" s="3115">
        <f t="shared" si="184"/>
        <v>14.516089626053464</v>
      </c>
      <c r="BI45" s="4488"/>
      <c r="BJ45" s="4504">
        <f t="shared" si="46"/>
        <v>5.5579252471849072</v>
      </c>
      <c r="BK45" s="4504">
        <f t="shared" si="47"/>
        <v>6.0303488931956242</v>
      </c>
      <c r="BL45" s="4504">
        <f t="shared" si="48"/>
        <v>6.0303488931956242</v>
      </c>
      <c r="BM45" s="4504">
        <f t="shared" si="49"/>
        <v>6.0303488931956242</v>
      </c>
      <c r="BN45" s="4504">
        <f t="shared" si="50"/>
        <v>6.0303488931956242</v>
      </c>
      <c r="BO45" s="4504">
        <f t="shared" si="51"/>
        <v>6.0303488931956242</v>
      </c>
      <c r="BP45" s="4504">
        <f t="shared" si="52"/>
        <v>0.47242364601071668</v>
      </c>
      <c r="BQ45" s="4504">
        <f t="shared" si="53"/>
        <v>8.4747413137774688E-2</v>
      </c>
      <c r="BR45" s="4504">
        <f t="shared" si="54"/>
        <v>9.1950943254485537E-2</v>
      </c>
      <c r="BS45" s="4504">
        <f t="shared" si="55"/>
        <v>9.1950943254485537E-2</v>
      </c>
      <c r="BT45" s="4504">
        <f t="shared" si="56"/>
        <v>9.1950943254485537E-2</v>
      </c>
      <c r="BU45" s="4504">
        <f t="shared" si="57"/>
        <v>9.1950943254485537E-2</v>
      </c>
      <c r="BV45" s="4504">
        <f t="shared" si="58"/>
        <v>9.1950943254485537E-2</v>
      </c>
      <c r="BW45" s="4504">
        <f t="shared" si="59"/>
        <v>7.2035301167108464E-3</v>
      </c>
      <c r="BX45" s="4504">
        <f t="shared" si="60"/>
        <v>0.62587171510361905</v>
      </c>
      <c r="BY45" s="4504">
        <f t="shared" si="61"/>
        <v>0.6790708108874266</v>
      </c>
      <c r="BZ45" s="4504">
        <f t="shared" si="62"/>
        <v>0.6790708108874266</v>
      </c>
      <c r="CA45" s="4504">
        <f t="shared" si="63"/>
        <v>0.6790708108874266</v>
      </c>
      <c r="CB45" s="4504">
        <f t="shared" si="64"/>
        <v>0.6790708108874266</v>
      </c>
      <c r="CC45" s="4504">
        <f t="shared" si="65"/>
        <v>0.6790708108874266</v>
      </c>
      <c r="CD45" s="4504">
        <f t="shared" si="66"/>
        <v>5.3199095783807548E-2</v>
      </c>
      <c r="CE45" s="4504">
        <f t="shared" si="67"/>
        <v>0</v>
      </c>
      <c r="CF45" s="4504">
        <f t="shared" si="68"/>
        <v>0</v>
      </c>
      <c r="CG45" s="4504">
        <f t="shared" si="69"/>
        <v>0</v>
      </c>
      <c r="CH45" s="4504">
        <f t="shared" si="70"/>
        <v>0</v>
      </c>
      <c r="CI45" s="4504">
        <f t="shared" si="71"/>
        <v>0</v>
      </c>
      <c r="CJ45" s="4504">
        <f t="shared" si="72"/>
        <v>0</v>
      </c>
      <c r="CK45" s="4504">
        <f t="shared" si="73"/>
        <v>0</v>
      </c>
      <c r="CL45" s="4504">
        <f t="shared" si="74"/>
        <v>1.2825897505273394</v>
      </c>
      <c r="CM45" s="4504">
        <f t="shared" si="75"/>
        <v>1.391609879322163</v>
      </c>
      <c r="CN45" s="4504">
        <f t="shared" si="76"/>
        <v>1.391609879322163</v>
      </c>
      <c r="CO45" s="4504">
        <f t="shared" si="77"/>
        <v>1.391609879322163</v>
      </c>
      <c r="CP45" s="4504">
        <f t="shared" si="78"/>
        <v>1.391609879322163</v>
      </c>
      <c r="CQ45" s="4504">
        <f t="shared" si="79"/>
        <v>1.391609879322163</v>
      </c>
      <c r="CR45" s="4504">
        <f t="shared" si="80"/>
        <v>0.1090201287948238</v>
      </c>
      <c r="CS45" s="4504">
        <f t="shared" si="81"/>
        <v>3.3409057071172005E-5</v>
      </c>
      <c r="CT45" s="4504">
        <f t="shared" si="82"/>
        <v>3.6248826922221631E-5</v>
      </c>
      <c r="CU45" s="4504">
        <f t="shared" si="83"/>
        <v>3.6248826922221631E-5</v>
      </c>
      <c r="CV45" s="4504">
        <f t="shared" si="84"/>
        <v>3.6248826922221631E-5</v>
      </c>
      <c r="CW45" s="4504">
        <f t="shared" si="85"/>
        <v>3.6248826922221631E-5</v>
      </c>
      <c r="CX45" s="4504">
        <f t="shared" si="86"/>
        <v>3.6248826922221631E-5</v>
      </c>
      <c r="CY45" s="4504">
        <f t="shared" si="87"/>
        <v>7.5511341259536406</v>
      </c>
      <c r="CZ45" s="4504">
        <f t="shared" si="88"/>
        <v>8.1929805266596993</v>
      </c>
      <c r="DA45" s="4504">
        <f t="shared" si="89"/>
        <v>8.1929805266596993</v>
      </c>
      <c r="DB45" s="4504">
        <f t="shared" si="90"/>
        <v>8.1929805266596993</v>
      </c>
      <c r="DC45" s="4504">
        <f t="shared" si="91"/>
        <v>8.1929805266596993</v>
      </c>
      <c r="DD45" s="4504">
        <f t="shared" si="92"/>
        <v>8.1929805266596993</v>
      </c>
      <c r="DE45" s="4504">
        <f t="shared" si="93"/>
        <v>6.8405149977122468</v>
      </c>
      <c r="DF45" s="4504">
        <f t="shared" si="94"/>
        <v>7.4219587725177876</v>
      </c>
      <c r="DG45" s="4504">
        <f t="shared" si="95"/>
        <v>7.4219587725177876</v>
      </c>
      <c r="DH45" s="4504">
        <f t="shared" si="96"/>
        <v>7.4219587725177876</v>
      </c>
      <c r="DI45" s="4504">
        <f t="shared" si="97"/>
        <v>7.4219587725177876</v>
      </c>
      <c r="DJ45" s="4504">
        <f t="shared" si="98"/>
        <v>7.4219587725177876</v>
      </c>
    </row>
    <row r="46" spans="1:114" ht="13.2">
      <c r="A46" s="838" t="s">
        <v>262</v>
      </c>
      <c r="B46" s="896" t="s">
        <v>685</v>
      </c>
      <c r="C46" s="3070">
        <v>111.39059695575084</v>
      </c>
      <c r="D46" s="3071">
        <v>118.14481705919106</v>
      </c>
      <c r="E46" s="3071">
        <v>122.71386310423117</v>
      </c>
      <c r="F46" s="3071">
        <v>118.14481705919106</v>
      </c>
      <c r="G46" s="3071">
        <v>122.71386310423117</v>
      </c>
      <c r="H46" s="3072">
        <v>118.14481705919106</v>
      </c>
      <c r="I46" s="1251">
        <f t="shared" si="34"/>
        <v>6.7542201034402183</v>
      </c>
      <c r="J46" s="826">
        <f t="shared" si="35"/>
        <v>6.0635460155791125E-2</v>
      </c>
      <c r="K46" s="3070">
        <v>2.7170000000000001</v>
      </c>
      <c r="L46" s="3071">
        <v>0.22898399999999999</v>
      </c>
      <c r="M46" s="3071">
        <v>0.238119</v>
      </c>
      <c r="N46" s="3071">
        <v>0.22898399999999999</v>
      </c>
      <c r="O46" s="3071">
        <v>0.238119</v>
      </c>
      <c r="P46" s="3072">
        <v>0.22898399999999999</v>
      </c>
      <c r="Q46" s="1251">
        <f t="shared" si="166"/>
        <v>-2.488016</v>
      </c>
      <c r="R46" s="1121">
        <f t="shared" si="167"/>
        <v>-0.91572175193227823</v>
      </c>
      <c r="S46" s="3070">
        <v>13.138399999999999</v>
      </c>
      <c r="T46" s="3071">
        <v>16.430008000000001</v>
      </c>
      <c r="U46" s="3071">
        <v>16.563988000000002</v>
      </c>
      <c r="V46" s="3071">
        <v>16.490501999999999</v>
      </c>
      <c r="W46" s="3071">
        <v>16.624482</v>
      </c>
      <c r="X46" s="3072">
        <v>16.5540816</v>
      </c>
      <c r="Y46" s="1251">
        <f t="shared" si="168"/>
        <v>3.2916080000000019</v>
      </c>
      <c r="Z46" s="1121">
        <f t="shared" si="169"/>
        <v>0.25053339828289611</v>
      </c>
      <c r="AA46" s="3070"/>
      <c r="AB46" s="3071"/>
      <c r="AC46" s="3071"/>
      <c r="AD46" s="3071"/>
      <c r="AE46" s="3071"/>
      <c r="AF46" s="3072"/>
      <c r="AG46" s="1251">
        <f t="shared" si="40"/>
        <v>0</v>
      </c>
      <c r="AH46" s="826">
        <f t="shared" si="41"/>
        <v>0</v>
      </c>
      <c r="AI46" s="3070">
        <v>28.820203044249158</v>
      </c>
      <c r="AJ46" s="3071">
        <v>31.567729317620561</v>
      </c>
      <c r="AK46" s="3071">
        <v>31.749883272580405</v>
      </c>
      <c r="AL46" s="3071">
        <v>31.567729317620561</v>
      </c>
      <c r="AM46" s="3071">
        <v>31.749883272580405</v>
      </c>
      <c r="AN46" s="3100">
        <v>31.567729317620561</v>
      </c>
      <c r="AO46" s="1251">
        <f t="shared" si="42"/>
        <v>2.7475262733714025</v>
      </c>
      <c r="AP46" s="826">
        <f t="shared" si="43"/>
        <v>9.5333342001546015E-2</v>
      </c>
      <c r="AQ46" s="3070">
        <v>0</v>
      </c>
      <c r="AR46" s="3071">
        <v>0</v>
      </c>
      <c r="AS46" s="3071">
        <v>0</v>
      </c>
      <c r="AT46" s="3071">
        <v>0</v>
      </c>
      <c r="AU46" s="3071">
        <v>0</v>
      </c>
      <c r="AV46" s="3100">
        <v>0</v>
      </c>
      <c r="AW46" s="1112">
        <f t="shared" si="173"/>
        <v>156.06620000000001</v>
      </c>
      <c r="AX46" s="3090">
        <f t="shared" si="174"/>
        <v>166.3715383768116</v>
      </c>
      <c r="AY46" s="3090">
        <f t="shared" si="175"/>
        <v>171.26585337681158</v>
      </c>
      <c r="AZ46" s="3090">
        <f t="shared" si="176"/>
        <v>166.43203237681161</v>
      </c>
      <c r="BA46" s="3090">
        <f t="shared" si="177"/>
        <v>171.32634737681155</v>
      </c>
      <c r="BB46" s="3091">
        <f t="shared" si="178"/>
        <v>166.49561197681163</v>
      </c>
      <c r="BC46" s="3111">
        <f t="shared" si="179"/>
        <v>140.21080000000001</v>
      </c>
      <c r="BD46" s="3112">
        <f t="shared" si="180"/>
        <v>149.71254637681162</v>
      </c>
      <c r="BE46" s="3113">
        <f t="shared" si="181"/>
        <v>154.46374637681157</v>
      </c>
      <c r="BF46" s="3113">
        <f t="shared" si="182"/>
        <v>149.71254637681162</v>
      </c>
      <c r="BG46" s="3113">
        <f t="shared" si="183"/>
        <v>154.46374637681157</v>
      </c>
      <c r="BH46" s="3115">
        <f t="shared" si="184"/>
        <v>149.71254637681162</v>
      </c>
      <c r="BI46" s="4488"/>
      <c r="BJ46" s="4504">
        <f t="shared" si="46"/>
        <v>56.953107865075616</v>
      </c>
      <c r="BK46" s="4504">
        <f t="shared" si="47"/>
        <v>60.406485767776879</v>
      </c>
      <c r="BL46" s="4504">
        <f t="shared" si="48"/>
        <v>62.74260191541758</v>
      </c>
      <c r="BM46" s="4504">
        <f t="shared" si="49"/>
        <v>60.406485767776879</v>
      </c>
      <c r="BN46" s="4504">
        <f t="shared" si="50"/>
        <v>62.74260191541758</v>
      </c>
      <c r="BO46" s="4504">
        <f t="shared" si="51"/>
        <v>60.406485767776879</v>
      </c>
      <c r="BP46" s="4504">
        <f t="shared" si="52"/>
        <v>3.4533779027012668</v>
      </c>
      <c r="BQ46" s="4504">
        <f t="shared" si="53"/>
        <v>1.3891800412101256</v>
      </c>
      <c r="BR46" s="4504">
        <f t="shared" si="54"/>
        <v>0.11707766012383489</v>
      </c>
      <c r="BS46" s="4504">
        <f t="shared" si="55"/>
        <v>0.12174831145856235</v>
      </c>
      <c r="BT46" s="4504">
        <f t="shared" si="56"/>
        <v>0.11707766012383489</v>
      </c>
      <c r="BU46" s="4504">
        <f t="shared" si="57"/>
        <v>0.12174831145856235</v>
      </c>
      <c r="BV46" s="4504">
        <f t="shared" si="58"/>
        <v>0.11707766012383489</v>
      </c>
      <c r="BW46" s="4504">
        <f t="shared" si="59"/>
        <v>-1.2721023810862908</v>
      </c>
      <c r="BX46" s="4504">
        <f t="shared" si="60"/>
        <v>6.7175572519083966</v>
      </c>
      <c r="BY46" s="4504">
        <f t="shared" si="61"/>
        <v>8.4005296983889206</v>
      </c>
      <c r="BZ46" s="4504">
        <f t="shared" si="62"/>
        <v>8.4690325846315897</v>
      </c>
      <c r="CA46" s="4504">
        <f t="shared" si="63"/>
        <v>8.4314597894500025</v>
      </c>
      <c r="CB46" s="4504">
        <f t="shared" si="64"/>
        <v>8.4999626756926734</v>
      </c>
      <c r="CC46" s="4504">
        <f t="shared" si="65"/>
        <v>8.463967522739706</v>
      </c>
      <c r="CD46" s="4504">
        <f t="shared" si="66"/>
        <v>1.6829724464805234</v>
      </c>
      <c r="CE46" s="4504">
        <f t="shared" si="67"/>
        <v>0</v>
      </c>
      <c r="CF46" s="4504">
        <f t="shared" si="68"/>
        <v>0</v>
      </c>
      <c r="CG46" s="4504">
        <f t="shared" si="69"/>
        <v>0</v>
      </c>
      <c r="CH46" s="4504">
        <f t="shared" si="70"/>
        <v>0</v>
      </c>
      <c r="CI46" s="4504">
        <f t="shared" si="71"/>
        <v>0</v>
      </c>
      <c r="CJ46" s="4504">
        <f t="shared" si="72"/>
        <v>0</v>
      </c>
      <c r="CK46" s="4504">
        <f t="shared" si="73"/>
        <v>0</v>
      </c>
      <c r="CL46" s="4504">
        <f t="shared" si="74"/>
        <v>14.735535830951136</v>
      </c>
      <c r="CM46" s="4504">
        <f t="shared" si="75"/>
        <v>16.140323707899235</v>
      </c>
      <c r="CN46" s="4504">
        <f t="shared" si="76"/>
        <v>16.233457546197986</v>
      </c>
      <c r="CO46" s="4504">
        <f t="shared" si="77"/>
        <v>16.140323707899235</v>
      </c>
      <c r="CP46" s="4504">
        <f t="shared" si="78"/>
        <v>16.233457546197986</v>
      </c>
      <c r="CQ46" s="4504">
        <f t="shared" si="79"/>
        <v>16.140323707899235</v>
      </c>
      <c r="CR46" s="4504">
        <f t="shared" si="80"/>
        <v>1.4047878769481001</v>
      </c>
      <c r="CS46" s="4504">
        <f t="shared" si="81"/>
        <v>0</v>
      </c>
      <c r="CT46" s="4504">
        <f t="shared" si="82"/>
        <v>0</v>
      </c>
      <c r="CU46" s="4504">
        <f t="shared" si="83"/>
        <v>0</v>
      </c>
      <c r="CV46" s="4504">
        <f t="shared" si="84"/>
        <v>0</v>
      </c>
      <c r="CW46" s="4504">
        <f t="shared" si="85"/>
        <v>0</v>
      </c>
      <c r="CX46" s="4504">
        <f t="shared" si="86"/>
        <v>0</v>
      </c>
      <c r="CY46" s="4504">
        <f t="shared" si="87"/>
        <v>79.795380989145286</v>
      </c>
      <c r="CZ46" s="4504">
        <f t="shared" si="88"/>
        <v>85.064416834188862</v>
      </c>
      <c r="DA46" s="4504">
        <f t="shared" si="89"/>
        <v>87.566840357705715</v>
      </c>
      <c r="DB46" s="4504">
        <f t="shared" si="90"/>
        <v>85.095346925249956</v>
      </c>
      <c r="DC46" s="4504">
        <f t="shared" si="91"/>
        <v>87.597770448766795</v>
      </c>
      <c r="DD46" s="4504">
        <f t="shared" si="92"/>
        <v>85.127854658539661</v>
      </c>
      <c r="DE46" s="4504">
        <f t="shared" si="93"/>
        <v>71.688643696026759</v>
      </c>
      <c r="DF46" s="4504">
        <f t="shared" si="94"/>
        <v>76.546809475676113</v>
      </c>
      <c r="DG46" s="4504">
        <f t="shared" si="95"/>
        <v>78.976059461615563</v>
      </c>
      <c r="DH46" s="4504">
        <f t="shared" si="96"/>
        <v>76.546809475676113</v>
      </c>
      <c r="DI46" s="4504">
        <f t="shared" si="97"/>
        <v>78.976059461615563</v>
      </c>
      <c r="DJ46" s="4504">
        <f t="shared" si="98"/>
        <v>76.546809475676113</v>
      </c>
    </row>
    <row r="47" spans="1:114" ht="13.2">
      <c r="A47" s="838" t="s">
        <v>444</v>
      </c>
      <c r="B47" s="896" t="s">
        <v>443</v>
      </c>
      <c r="C47" s="3070">
        <v>23.62601526714564</v>
      </c>
      <c r="D47" s="3071">
        <v>25.634226564853019</v>
      </c>
      <c r="E47" s="3071">
        <v>25.634226564853019</v>
      </c>
      <c r="F47" s="3071">
        <v>25.634226564853019</v>
      </c>
      <c r="G47" s="3071">
        <v>25.634226564853019</v>
      </c>
      <c r="H47" s="3072">
        <v>25.634226564853019</v>
      </c>
      <c r="I47" s="1251">
        <f t="shared" si="34"/>
        <v>2.0082112977073798</v>
      </c>
      <c r="J47" s="826">
        <f t="shared" si="35"/>
        <v>8.500000000000002E-2</v>
      </c>
      <c r="K47" s="3070">
        <v>0.33596679527007323</v>
      </c>
      <c r="L47" s="3071">
        <v>0.36452397286802946</v>
      </c>
      <c r="M47" s="3071">
        <v>0.36452397286802946</v>
      </c>
      <c r="N47" s="3071">
        <v>0.36452397286802946</v>
      </c>
      <c r="O47" s="3071">
        <v>0.36452397286802946</v>
      </c>
      <c r="P47" s="3072">
        <v>0.36452397286802946</v>
      </c>
      <c r="Q47" s="1251">
        <f t="shared" si="166"/>
        <v>2.8557177597956229E-2</v>
      </c>
      <c r="R47" s="1121">
        <f t="shared" si="167"/>
        <v>8.500000000000002E-2</v>
      </c>
      <c r="S47" s="3070">
        <v>5.0717696599602169</v>
      </c>
      <c r="T47" s="3071">
        <v>5.6528700810568351</v>
      </c>
      <c r="U47" s="3071">
        <v>5.6528700810568351</v>
      </c>
      <c r="V47" s="3071">
        <v>5.6528700810568351</v>
      </c>
      <c r="W47" s="3071">
        <v>5.6528700810568351</v>
      </c>
      <c r="X47" s="3072">
        <v>5.6528700810568351</v>
      </c>
      <c r="Y47" s="1251">
        <f t="shared" si="168"/>
        <v>0.58110042109661819</v>
      </c>
      <c r="Z47" s="1121">
        <f t="shared" si="169"/>
        <v>0.11457547563411552</v>
      </c>
      <c r="AA47" s="3070"/>
      <c r="AB47" s="3071"/>
      <c r="AC47" s="3071"/>
      <c r="AD47" s="3071"/>
      <c r="AE47" s="3071"/>
      <c r="AF47" s="3072"/>
      <c r="AG47" s="1251">
        <f t="shared" si="40"/>
        <v>0</v>
      </c>
      <c r="AH47" s="826">
        <f t="shared" si="41"/>
        <v>0</v>
      </c>
      <c r="AI47" s="3070">
        <v>3.8437786174603175</v>
      </c>
      <c r="AJ47" s="3071">
        <v>4.1704997999444444</v>
      </c>
      <c r="AK47" s="3071">
        <v>4.1704997999444444</v>
      </c>
      <c r="AL47" s="3071">
        <v>4.1704997999444444</v>
      </c>
      <c r="AM47" s="3071">
        <v>4.1704997999444444</v>
      </c>
      <c r="AN47" s="3100">
        <v>4.1704997999444444</v>
      </c>
      <c r="AO47" s="1251">
        <f t="shared" si="42"/>
        <v>0.32672118248412696</v>
      </c>
      <c r="AP47" s="826">
        <f t="shared" si="43"/>
        <v>8.4999999999999992E-2</v>
      </c>
      <c r="AQ47" s="3070">
        <v>6.043966016375063E-2</v>
      </c>
      <c r="AR47" s="3071">
        <v>6.5577031277669437E-2</v>
      </c>
      <c r="AS47" s="3071">
        <v>6.5577031277669437E-2</v>
      </c>
      <c r="AT47" s="3071">
        <v>6.5577031277669437E-2</v>
      </c>
      <c r="AU47" s="3071">
        <v>6.5577031277669437E-2</v>
      </c>
      <c r="AV47" s="3100">
        <v>6.5577031277669437E-2</v>
      </c>
      <c r="AW47" s="1112">
        <f t="shared" si="173"/>
        <v>32.877530339836248</v>
      </c>
      <c r="AX47" s="3090">
        <f t="shared" si="174"/>
        <v>35.822120418722328</v>
      </c>
      <c r="AY47" s="3090">
        <f t="shared" si="175"/>
        <v>35.822120418722328</v>
      </c>
      <c r="AZ47" s="3090">
        <f t="shared" si="176"/>
        <v>35.822120418722328</v>
      </c>
      <c r="BA47" s="3090">
        <f t="shared" si="177"/>
        <v>35.822120418722328</v>
      </c>
      <c r="BB47" s="3091">
        <f t="shared" si="178"/>
        <v>35.822120418722328</v>
      </c>
      <c r="BC47" s="3111">
        <f t="shared" si="179"/>
        <v>27.469793884605956</v>
      </c>
      <c r="BD47" s="3112">
        <f t="shared" si="180"/>
        <v>29.804726364797464</v>
      </c>
      <c r="BE47" s="3113">
        <f t="shared" si="181"/>
        <v>29.804726364797464</v>
      </c>
      <c r="BF47" s="3113">
        <f t="shared" si="182"/>
        <v>29.804726364797464</v>
      </c>
      <c r="BG47" s="3113">
        <f t="shared" si="183"/>
        <v>29.804726364797464</v>
      </c>
      <c r="BH47" s="3115">
        <f t="shared" si="184"/>
        <v>29.804726364797464</v>
      </c>
      <c r="BI47" s="4488"/>
      <c r="BJ47" s="4504">
        <f t="shared" si="46"/>
        <v>12.079789791109473</v>
      </c>
      <c r="BK47" s="4504">
        <f t="shared" si="47"/>
        <v>13.106571923353778</v>
      </c>
      <c r="BL47" s="4504">
        <f t="shared" si="48"/>
        <v>13.106571923353778</v>
      </c>
      <c r="BM47" s="4504">
        <f t="shared" si="49"/>
        <v>13.106571923353778</v>
      </c>
      <c r="BN47" s="4504">
        <f t="shared" si="50"/>
        <v>13.106571923353778</v>
      </c>
      <c r="BO47" s="4504">
        <f t="shared" si="51"/>
        <v>13.106571923353778</v>
      </c>
      <c r="BP47" s="4504">
        <f t="shared" si="52"/>
        <v>1.0267821322443054</v>
      </c>
      <c r="BQ47" s="4504">
        <f t="shared" si="53"/>
        <v>0.17177709477310055</v>
      </c>
      <c r="BR47" s="4504">
        <f t="shared" si="54"/>
        <v>0.18637814782881409</v>
      </c>
      <c r="BS47" s="4504">
        <f t="shared" si="55"/>
        <v>0.18637814782881409</v>
      </c>
      <c r="BT47" s="4504">
        <f t="shared" si="56"/>
        <v>0.18637814782881409</v>
      </c>
      <c r="BU47" s="4504">
        <f t="shared" si="57"/>
        <v>0.18637814782881409</v>
      </c>
      <c r="BV47" s="4504">
        <f t="shared" si="58"/>
        <v>0.18637814782881409</v>
      </c>
      <c r="BW47" s="4504">
        <f t="shared" si="59"/>
        <v>1.4601053055713549E-2</v>
      </c>
      <c r="BX47" s="4504">
        <f t="shared" si="60"/>
        <v>2.5931546504349647</v>
      </c>
      <c r="BY47" s="4504">
        <f t="shared" si="61"/>
        <v>2.8902665779013694</v>
      </c>
      <c r="BZ47" s="4504">
        <f t="shared" si="62"/>
        <v>2.8902665779013694</v>
      </c>
      <c r="CA47" s="4504">
        <f t="shared" si="63"/>
        <v>2.8902665779013694</v>
      </c>
      <c r="CB47" s="4504">
        <f t="shared" si="64"/>
        <v>2.8902665779013694</v>
      </c>
      <c r="CC47" s="4504">
        <f t="shared" si="65"/>
        <v>2.8902665779013694</v>
      </c>
      <c r="CD47" s="4504">
        <f t="shared" si="66"/>
        <v>0.29711192746640464</v>
      </c>
      <c r="CE47" s="4504">
        <f t="shared" si="67"/>
        <v>0</v>
      </c>
      <c r="CF47" s="4504">
        <f t="shared" si="68"/>
        <v>0</v>
      </c>
      <c r="CG47" s="4504">
        <f t="shared" si="69"/>
        <v>0</v>
      </c>
      <c r="CH47" s="4504">
        <f t="shared" si="70"/>
        <v>0</v>
      </c>
      <c r="CI47" s="4504">
        <f t="shared" si="71"/>
        <v>0</v>
      </c>
      <c r="CJ47" s="4504">
        <f t="shared" si="72"/>
        <v>0</v>
      </c>
      <c r="CK47" s="4504">
        <f t="shared" si="73"/>
        <v>0</v>
      </c>
      <c r="CL47" s="4504">
        <f t="shared" si="74"/>
        <v>1.9652928002230856</v>
      </c>
      <c r="CM47" s="4504">
        <f t="shared" si="75"/>
        <v>2.1323426882420478</v>
      </c>
      <c r="CN47" s="4504">
        <f t="shared" si="76"/>
        <v>2.1323426882420478</v>
      </c>
      <c r="CO47" s="4504">
        <f t="shared" si="77"/>
        <v>2.1323426882420478</v>
      </c>
      <c r="CP47" s="4504">
        <f t="shared" si="78"/>
        <v>2.1323426882420478</v>
      </c>
      <c r="CQ47" s="4504">
        <f t="shared" si="79"/>
        <v>2.1323426882420478</v>
      </c>
      <c r="CR47" s="4504">
        <f t="shared" si="80"/>
        <v>0.16704988801896226</v>
      </c>
      <c r="CS47" s="4504">
        <f t="shared" si="81"/>
        <v>3.0902307543984209E-2</v>
      </c>
      <c r="CT47" s="4504">
        <f t="shared" si="82"/>
        <v>3.3529003685222866E-2</v>
      </c>
      <c r="CU47" s="4504">
        <f t="shared" si="83"/>
        <v>3.3529003685222866E-2</v>
      </c>
      <c r="CV47" s="4504">
        <f t="shared" si="84"/>
        <v>3.3529003685222866E-2</v>
      </c>
      <c r="CW47" s="4504">
        <f t="shared" si="85"/>
        <v>3.3529003685222866E-2</v>
      </c>
      <c r="CX47" s="4504">
        <f t="shared" si="86"/>
        <v>3.3529003685222866E-2</v>
      </c>
      <c r="CY47" s="4504">
        <f t="shared" si="87"/>
        <v>16.810014336540625</v>
      </c>
      <c r="CZ47" s="4504">
        <f t="shared" si="88"/>
        <v>18.315559337326007</v>
      </c>
      <c r="DA47" s="4504">
        <f t="shared" si="89"/>
        <v>18.315559337326007</v>
      </c>
      <c r="DB47" s="4504">
        <f t="shared" si="90"/>
        <v>18.315559337326007</v>
      </c>
      <c r="DC47" s="4504">
        <f t="shared" si="91"/>
        <v>18.315559337326007</v>
      </c>
      <c r="DD47" s="4504">
        <f t="shared" si="92"/>
        <v>18.315559337326007</v>
      </c>
      <c r="DE47" s="4504">
        <f t="shared" si="93"/>
        <v>14.045082591332557</v>
      </c>
      <c r="DF47" s="4504">
        <f t="shared" si="94"/>
        <v>15.238914611595826</v>
      </c>
      <c r="DG47" s="4504">
        <f t="shared" si="95"/>
        <v>15.238914611595826</v>
      </c>
      <c r="DH47" s="4504">
        <f t="shared" si="96"/>
        <v>15.238914611595826</v>
      </c>
      <c r="DI47" s="4504">
        <f t="shared" si="97"/>
        <v>15.238914611595826</v>
      </c>
      <c r="DJ47" s="4504">
        <f t="shared" si="98"/>
        <v>15.238914611595826</v>
      </c>
    </row>
    <row r="48" spans="1:114" s="685" customFormat="1" ht="13.2">
      <c r="A48" s="838" t="s">
        <v>601</v>
      </c>
      <c r="B48" s="896" t="s">
        <v>641</v>
      </c>
      <c r="C48" s="2679">
        <f>'8. Ремонтна програма'!J31</f>
        <v>266.41627011003345</v>
      </c>
      <c r="D48" s="1249">
        <f>'8. Ремонтна програма'!K31</f>
        <v>257.88140928225533</v>
      </c>
      <c r="E48" s="1133">
        <f>'8. Ремонтна програма'!L31</f>
        <v>254.71816167845742</v>
      </c>
      <c r="F48" s="1133">
        <f>'8. Ремонтна програма'!M31</f>
        <v>252.88181110475207</v>
      </c>
      <c r="G48" s="1133">
        <f>'8. Ремонтна програма'!N31</f>
        <v>251.46828284661527</v>
      </c>
      <c r="H48" s="3116">
        <f>'8. Ремонтна програма'!O31</f>
        <v>249.08944053994813</v>
      </c>
      <c r="I48" s="1249">
        <f t="shared" si="34"/>
        <v>-8.5348608277781182</v>
      </c>
      <c r="J48" s="822">
        <f t="shared" si="35"/>
        <v>-3.2035809315448742E-2</v>
      </c>
      <c r="K48" s="2679">
        <f>'8. Ремонтна програма'!J60</f>
        <v>10.875167093038815</v>
      </c>
      <c r="L48" s="1249">
        <f>'8. Ремонтна програма'!K60</f>
        <v>11.756566951262704</v>
      </c>
      <c r="M48" s="1133">
        <f>'8. Ремонтна програма'!L60</f>
        <v>11.567679263864406</v>
      </c>
      <c r="N48" s="1133">
        <f>'8. Ремонтна програма'!M60</f>
        <v>10.838423074387514</v>
      </c>
      <c r="O48" s="1133">
        <f>'8. Ремонтна програма'!N60</f>
        <v>11.691977890087609</v>
      </c>
      <c r="P48" s="3116">
        <f>'8. Ремонтна програма'!O60</f>
        <v>10.978389499212893</v>
      </c>
      <c r="Q48" s="1249">
        <f t="shared" si="166"/>
        <v>0.88139985822388844</v>
      </c>
      <c r="R48" s="877">
        <f t="shared" si="167"/>
        <v>8.1047017547718578E-2</v>
      </c>
      <c r="S48" s="2679">
        <f>'8. Ремонтна програма'!J86</f>
        <v>16.482964738443311</v>
      </c>
      <c r="T48" s="1249">
        <f>'8. Ремонтна програма'!K86</f>
        <v>20.522567367123614</v>
      </c>
      <c r="U48" s="1133">
        <f>'8. Ремонтна програма'!L86</f>
        <v>19.393171121914293</v>
      </c>
      <c r="V48" s="1133">
        <f>'8. Ремонтна програма'!M86</f>
        <v>20.198372425384818</v>
      </c>
      <c r="W48" s="1133">
        <f>'8. Ремонтна програма'!N86</f>
        <v>21.327768670594146</v>
      </c>
      <c r="X48" s="3116">
        <f>'8. Ремонтна програма'!O86</f>
        <v>22.416653424935827</v>
      </c>
      <c r="Y48" s="1249">
        <f t="shared" si="168"/>
        <v>4.0396026286803028</v>
      </c>
      <c r="Z48" s="877">
        <f t="shared" si="169"/>
        <v>0.24507742950263767</v>
      </c>
      <c r="AA48" s="2679">
        <f>'8. Ремонтна програма'!J117</f>
        <v>0</v>
      </c>
      <c r="AB48" s="1249">
        <f>'8. Ремонтна програма'!K117</f>
        <v>0</v>
      </c>
      <c r="AC48" s="1133">
        <f>'8. Ремонтна програма'!L117</f>
        <v>0</v>
      </c>
      <c r="AD48" s="1133">
        <f>'8. Ремонтна програма'!M117</f>
        <v>0</v>
      </c>
      <c r="AE48" s="1133">
        <f>'8. Ремонтна програма'!N117</f>
        <v>0</v>
      </c>
      <c r="AF48" s="3116">
        <f>'8. Ремонтна програма'!O117</f>
        <v>0</v>
      </c>
      <c r="AG48" s="1249">
        <f t="shared" si="40"/>
        <v>0</v>
      </c>
      <c r="AH48" s="822">
        <f t="shared" si="41"/>
        <v>0</v>
      </c>
      <c r="AI48" s="1112">
        <f>'8. Ремонтна програма'!J148</f>
        <v>16.704404884033831</v>
      </c>
      <c r="AJ48" s="1255">
        <f>'8. Ремонтна програма'!K148</f>
        <v>26.873288321752057</v>
      </c>
      <c r="AK48" s="1136">
        <f>'8. Ремонтна програма'!L148</f>
        <v>27.823600655981977</v>
      </c>
      <c r="AL48" s="1136">
        <f>'8. Ремонтна програма'!M148</f>
        <v>28.747942830384517</v>
      </c>
      <c r="AM48" s="1136">
        <f>'8. Ремонтна програма'!N148</f>
        <v>29.627570416422515</v>
      </c>
      <c r="AN48" s="3107">
        <f>'8. Ремонтна програма'!O148</f>
        <v>30.566111079572892</v>
      </c>
      <c r="AO48" s="1249">
        <f t="shared" si="42"/>
        <v>10.168883437718225</v>
      </c>
      <c r="AP48" s="822">
        <f t="shared" si="43"/>
        <v>0.60875460744116083</v>
      </c>
      <c r="AQ48" s="3070">
        <v>0</v>
      </c>
      <c r="AR48" s="3071">
        <v>0</v>
      </c>
      <c r="AS48" s="3071">
        <v>0</v>
      </c>
      <c r="AT48" s="3071">
        <v>0</v>
      </c>
      <c r="AU48" s="3071">
        <v>0</v>
      </c>
      <c r="AV48" s="3100">
        <v>0</v>
      </c>
      <c r="AW48" s="1112">
        <f t="shared" si="173"/>
        <v>310.47880682554938</v>
      </c>
      <c r="AX48" s="3090">
        <f t="shared" si="174"/>
        <v>317.03383192239369</v>
      </c>
      <c r="AY48" s="3090">
        <f t="shared" si="175"/>
        <v>313.50261272021811</v>
      </c>
      <c r="AZ48" s="3090">
        <f t="shared" si="176"/>
        <v>312.66654943490892</v>
      </c>
      <c r="BA48" s="3090">
        <f t="shared" si="177"/>
        <v>314.11559982371955</v>
      </c>
      <c r="BB48" s="3091">
        <f t="shared" si="178"/>
        <v>313.05059454366972</v>
      </c>
      <c r="BC48" s="3111">
        <f t="shared" si="179"/>
        <v>283.12067499406726</v>
      </c>
      <c r="BD48" s="3112">
        <f t="shared" si="180"/>
        <v>284.75469760400739</v>
      </c>
      <c r="BE48" s="3113">
        <f t="shared" si="181"/>
        <v>282.5417623344394</v>
      </c>
      <c r="BF48" s="3113">
        <f t="shared" si="182"/>
        <v>281.62975393513659</v>
      </c>
      <c r="BG48" s="3113">
        <f t="shared" si="183"/>
        <v>281.09585326303778</v>
      </c>
      <c r="BH48" s="3115">
        <f t="shared" si="184"/>
        <v>279.65555161952102</v>
      </c>
      <c r="BI48" s="4488"/>
      <c r="BJ48" s="4504">
        <f t="shared" si="46"/>
        <v>136.21647592583889</v>
      </c>
      <c r="BK48" s="4504">
        <f t="shared" si="47"/>
        <v>131.85267087745629</v>
      </c>
      <c r="BL48" s="4504">
        <f t="shared" si="48"/>
        <v>130.23532805942102</v>
      </c>
      <c r="BM48" s="4504">
        <f t="shared" si="49"/>
        <v>129.29641692005546</v>
      </c>
      <c r="BN48" s="4504">
        <f t="shared" si="50"/>
        <v>128.5736913978287</v>
      </c>
      <c r="BO48" s="4504">
        <f t="shared" si="51"/>
        <v>127.35740863978369</v>
      </c>
      <c r="BP48" s="4504">
        <f t="shared" si="52"/>
        <v>-4.3638050483825888</v>
      </c>
      <c r="BQ48" s="4504">
        <f t="shared" si="53"/>
        <v>5.5603846413230267</v>
      </c>
      <c r="BR48" s="4504">
        <f t="shared" si="54"/>
        <v>6.0110372329203985</v>
      </c>
      <c r="BS48" s="4504">
        <f t="shared" si="55"/>
        <v>5.9144604918957198</v>
      </c>
      <c r="BT48" s="4504">
        <f t="shared" si="56"/>
        <v>5.5415977229040942</v>
      </c>
      <c r="BU48" s="4504">
        <f t="shared" si="57"/>
        <v>5.9780133703274867</v>
      </c>
      <c r="BV48" s="4504">
        <f t="shared" si="58"/>
        <v>5.6131614195573709</v>
      </c>
      <c r="BW48" s="4504">
        <f t="shared" si="59"/>
        <v>0.4506525915973722</v>
      </c>
      <c r="BX48" s="4504">
        <f t="shared" si="60"/>
        <v>8.4276060488096167</v>
      </c>
      <c r="BY48" s="4504">
        <f t="shared" si="61"/>
        <v>10.493022076112757</v>
      </c>
      <c r="BZ48" s="4504">
        <f t="shared" si="62"/>
        <v>9.9155709452837382</v>
      </c>
      <c r="CA48" s="4504">
        <f t="shared" si="63"/>
        <v>10.327263834476829</v>
      </c>
      <c r="CB48" s="4504">
        <f t="shared" si="64"/>
        <v>10.904714965305853</v>
      </c>
      <c r="CC48" s="4504">
        <f t="shared" si="65"/>
        <v>11.461452899759093</v>
      </c>
      <c r="CD48" s="4504">
        <f t="shared" si="66"/>
        <v>2.0654160273031414</v>
      </c>
      <c r="CE48" s="4504">
        <f t="shared" si="67"/>
        <v>0</v>
      </c>
      <c r="CF48" s="4504">
        <f t="shared" si="68"/>
        <v>0</v>
      </c>
      <c r="CG48" s="4504">
        <f t="shared" si="69"/>
        <v>0</v>
      </c>
      <c r="CH48" s="4504">
        <f t="shared" si="70"/>
        <v>0</v>
      </c>
      <c r="CI48" s="4504">
        <f t="shared" si="71"/>
        <v>0</v>
      </c>
      <c r="CJ48" s="4504">
        <f t="shared" si="72"/>
        <v>0</v>
      </c>
      <c r="CK48" s="4504">
        <f t="shared" si="73"/>
        <v>0</v>
      </c>
      <c r="CL48" s="4504">
        <f t="shared" si="74"/>
        <v>8.5408265974209581</v>
      </c>
      <c r="CM48" s="4504">
        <f t="shared" si="75"/>
        <v>13.740094139956978</v>
      </c>
      <c r="CN48" s="4504">
        <f t="shared" si="76"/>
        <v>14.225981121049363</v>
      </c>
      <c r="CO48" s="4504">
        <f t="shared" si="77"/>
        <v>14.698589770268642</v>
      </c>
      <c r="CP48" s="4504">
        <f t="shared" si="78"/>
        <v>15.148336213486099</v>
      </c>
      <c r="CQ48" s="4504">
        <f t="shared" si="79"/>
        <v>15.628204434727401</v>
      </c>
      <c r="CR48" s="4504">
        <f t="shared" si="80"/>
        <v>5.1992675425360204</v>
      </c>
      <c r="CS48" s="4504">
        <f t="shared" si="81"/>
        <v>0</v>
      </c>
      <c r="CT48" s="4504">
        <f t="shared" si="82"/>
        <v>0</v>
      </c>
      <c r="CU48" s="4504">
        <f t="shared" si="83"/>
        <v>0</v>
      </c>
      <c r="CV48" s="4504">
        <f t="shared" si="84"/>
        <v>0</v>
      </c>
      <c r="CW48" s="4504">
        <f t="shared" si="85"/>
        <v>0</v>
      </c>
      <c r="CX48" s="4504">
        <f t="shared" si="86"/>
        <v>0</v>
      </c>
      <c r="CY48" s="4504">
        <f t="shared" si="87"/>
        <v>158.74529321339247</v>
      </c>
      <c r="CZ48" s="4504">
        <f t="shared" si="88"/>
        <v>162.09682432644641</v>
      </c>
      <c r="DA48" s="4504">
        <f t="shared" si="89"/>
        <v>160.29134061764987</v>
      </c>
      <c r="DB48" s="4504">
        <f t="shared" si="90"/>
        <v>159.86386824770503</v>
      </c>
      <c r="DC48" s="4504">
        <f t="shared" si="91"/>
        <v>160.60475594694813</v>
      </c>
      <c r="DD48" s="4504">
        <f t="shared" si="92"/>
        <v>160.06022739382755</v>
      </c>
      <c r="DE48" s="4504">
        <f t="shared" si="93"/>
        <v>144.75730252325982</v>
      </c>
      <c r="DF48" s="4504">
        <f t="shared" si="94"/>
        <v>145.59276501741326</v>
      </c>
      <c r="DG48" s="4504">
        <f t="shared" si="95"/>
        <v>144.46130918047038</v>
      </c>
      <c r="DH48" s="4504">
        <f t="shared" si="96"/>
        <v>143.99500669032412</v>
      </c>
      <c r="DI48" s="4504">
        <f t="shared" si="97"/>
        <v>143.72202761131479</v>
      </c>
      <c r="DJ48" s="4504">
        <f t="shared" si="98"/>
        <v>142.98561307451109</v>
      </c>
    </row>
    <row r="49" spans="1:114" ht="13.2">
      <c r="A49" s="838" t="s">
        <v>684</v>
      </c>
      <c r="B49" s="896" t="s">
        <v>631</v>
      </c>
      <c r="C49" s="3078"/>
      <c r="D49" s="3079"/>
      <c r="E49" s="2007"/>
      <c r="F49" s="2007"/>
      <c r="G49" s="2007"/>
      <c r="H49" s="2071"/>
      <c r="I49" s="3059"/>
      <c r="J49" s="3060"/>
      <c r="K49" s="3078"/>
      <c r="L49" s="3079"/>
      <c r="M49" s="2007"/>
      <c r="N49" s="2007"/>
      <c r="O49" s="2007"/>
      <c r="P49" s="3098"/>
      <c r="Q49" s="3704"/>
      <c r="R49" s="3061"/>
      <c r="S49" s="2679">
        <f>'7. Утайки от ПСОВ'!D31</f>
        <v>92.827470000000005</v>
      </c>
      <c r="T49" s="1143">
        <f>'7. Утайки от ПСОВ'!G31</f>
        <v>89.65</v>
      </c>
      <c r="U49" s="1133">
        <f>'7. Утайки от ПСОВ'!H31</f>
        <v>91.26</v>
      </c>
      <c r="V49" s="1133">
        <f>'7. Утайки от ПСОВ'!I31</f>
        <v>91.26</v>
      </c>
      <c r="W49" s="1133">
        <f>'7. Утайки от ПСОВ'!J31</f>
        <v>91.26</v>
      </c>
      <c r="X49" s="1143">
        <f>'7. Утайки от ПСОВ'!K31</f>
        <v>91.91</v>
      </c>
      <c r="Y49" s="316">
        <f t="shared" si="168"/>
        <v>-3.1774699999999996</v>
      </c>
      <c r="Z49" s="877">
        <f t="shared" si="169"/>
        <v>-3.4229845971241048E-2</v>
      </c>
      <c r="AA49" s="3078"/>
      <c r="AB49" s="3079"/>
      <c r="AC49" s="2007"/>
      <c r="AD49" s="2007"/>
      <c r="AE49" s="2007"/>
      <c r="AF49" s="3098"/>
      <c r="AG49" s="3704"/>
      <c r="AH49" s="3149"/>
      <c r="AI49" s="3078"/>
      <c r="AJ49" s="3079"/>
      <c r="AK49" s="2007"/>
      <c r="AL49" s="2007"/>
      <c r="AM49" s="2007"/>
      <c r="AN49" s="2071"/>
      <c r="AO49" s="3704"/>
      <c r="AP49" s="3060"/>
      <c r="AQ49" s="3078"/>
      <c r="AR49" s="3079"/>
      <c r="AS49" s="2007"/>
      <c r="AT49" s="2007"/>
      <c r="AU49" s="2007"/>
      <c r="AV49" s="2071"/>
      <c r="AW49" s="1112">
        <f t="shared" ref="AW49:AW50" si="185">C49+K49+S49+AA49+AI49</f>
        <v>92.827470000000005</v>
      </c>
      <c r="AX49" s="3090">
        <f t="shared" ref="AX49:AX50" si="186">D49+L49+T49+AB49+AJ49</f>
        <v>89.65</v>
      </c>
      <c r="AY49" s="3090">
        <f t="shared" ref="AY49:AY50" si="187">E49+M49+U49+AC49+AK49</f>
        <v>91.26</v>
      </c>
      <c r="AZ49" s="3090">
        <f t="shared" ref="AZ49:AZ50" si="188">F49+N49+V49+AD49+AL49</f>
        <v>91.26</v>
      </c>
      <c r="BA49" s="3090">
        <f t="shared" ref="BA49:BA50" si="189">G49+O49+W49+AE49+AM49</f>
        <v>91.26</v>
      </c>
      <c r="BB49" s="3091">
        <f t="shared" ref="BB49:BB50" si="190">H49+P49+X49+AF49+AN49</f>
        <v>91.91</v>
      </c>
      <c r="BC49" s="3111">
        <f t="shared" ref="BC49:BC50" si="191">C49+AA49+AI49</f>
        <v>0</v>
      </c>
      <c r="BD49" s="3112">
        <f t="shared" ref="BD49:BD50" si="192">D49+AB49+AJ49</f>
        <v>0</v>
      </c>
      <c r="BE49" s="3113">
        <f t="shared" ref="BE49:BE50" si="193">E49+AC49+AK49</f>
        <v>0</v>
      </c>
      <c r="BF49" s="3113">
        <f t="shared" ref="BF49:BF50" si="194">F49+AD49+AL49</f>
        <v>0</v>
      </c>
      <c r="BG49" s="3113">
        <f t="shared" ref="BG49:BG50" si="195">G49+AE49+AM49</f>
        <v>0</v>
      </c>
      <c r="BH49" s="3115">
        <f t="shared" ref="BH49:BH50" si="196">H49+AF49+AN49</f>
        <v>0</v>
      </c>
      <c r="BI49" s="4488"/>
      <c r="BJ49" s="4504">
        <f t="shared" si="46"/>
        <v>0</v>
      </c>
      <c r="BK49" s="4504">
        <f t="shared" si="47"/>
        <v>0</v>
      </c>
      <c r="BL49" s="4504">
        <f t="shared" si="48"/>
        <v>0</v>
      </c>
      <c r="BM49" s="4504">
        <f t="shared" si="49"/>
        <v>0</v>
      </c>
      <c r="BN49" s="4504">
        <f t="shared" si="50"/>
        <v>0</v>
      </c>
      <c r="BO49" s="4504">
        <f t="shared" si="51"/>
        <v>0</v>
      </c>
      <c r="BP49" s="4504">
        <f t="shared" si="52"/>
        <v>0</v>
      </c>
      <c r="BQ49" s="4504">
        <f t="shared" si="53"/>
        <v>0</v>
      </c>
      <c r="BR49" s="4504">
        <f t="shared" si="54"/>
        <v>0</v>
      </c>
      <c r="BS49" s="4504">
        <f t="shared" si="55"/>
        <v>0</v>
      </c>
      <c r="BT49" s="4504">
        <f t="shared" si="56"/>
        <v>0</v>
      </c>
      <c r="BU49" s="4504">
        <f t="shared" si="57"/>
        <v>0</v>
      </c>
      <c r="BV49" s="4504">
        <f t="shared" si="58"/>
        <v>0</v>
      </c>
      <c r="BW49" s="4504">
        <f t="shared" si="59"/>
        <v>0</v>
      </c>
      <c r="BX49" s="4504">
        <f t="shared" si="60"/>
        <v>47.461931762985536</v>
      </c>
      <c r="BY49" s="4504">
        <f t="shared" si="61"/>
        <v>45.837317149240988</v>
      </c>
      <c r="BZ49" s="4504">
        <f t="shared" si="62"/>
        <v>46.660497077966902</v>
      </c>
      <c r="CA49" s="4504">
        <f t="shared" si="63"/>
        <v>46.660497077966902</v>
      </c>
      <c r="CB49" s="4504">
        <f t="shared" si="64"/>
        <v>46.660497077966902</v>
      </c>
      <c r="CC49" s="4504">
        <f t="shared" si="65"/>
        <v>46.992836800744442</v>
      </c>
      <c r="CD49" s="4504">
        <f t="shared" si="66"/>
        <v>-1.6246146137445481</v>
      </c>
      <c r="CE49" s="4504">
        <f t="shared" si="67"/>
        <v>0</v>
      </c>
      <c r="CF49" s="4504">
        <f t="shared" si="68"/>
        <v>0</v>
      </c>
      <c r="CG49" s="4504">
        <f t="shared" si="69"/>
        <v>0</v>
      </c>
      <c r="CH49" s="4504">
        <f t="shared" si="70"/>
        <v>0</v>
      </c>
      <c r="CI49" s="4504">
        <f t="shared" si="71"/>
        <v>0</v>
      </c>
      <c r="CJ49" s="4504">
        <f t="shared" si="72"/>
        <v>0</v>
      </c>
      <c r="CK49" s="4504">
        <f t="shared" si="73"/>
        <v>0</v>
      </c>
      <c r="CL49" s="4504">
        <f t="shared" si="74"/>
        <v>0</v>
      </c>
      <c r="CM49" s="4504">
        <f t="shared" si="75"/>
        <v>0</v>
      </c>
      <c r="CN49" s="4504">
        <f t="shared" si="76"/>
        <v>0</v>
      </c>
      <c r="CO49" s="4504">
        <f t="shared" si="77"/>
        <v>0</v>
      </c>
      <c r="CP49" s="4504">
        <f t="shared" si="78"/>
        <v>0</v>
      </c>
      <c r="CQ49" s="4504">
        <f t="shared" si="79"/>
        <v>0</v>
      </c>
      <c r="CR49" s="4504">
        <f t="shared" si="80"/>
        <v>0</v>
      </c>
      <c r="CS49" s="4504">
        <f t="shared" si="81"/>
        <v>0</v>
      </c>
      <c r="CT49" s="4504">
        <f t="shared" si="82"/>
        <v>0</v>
      </c>
      <c r="CU49" s="4504">
        <f t="shared" si="83"/>
        <v>0</v>
      </c>
      <c r="CV49" s="4504">
        <f t="shared" si="84"/>
        <v>0</v>
      </c>
      <c r="CW49" s="4504">
        <f t="shared" si="85"/>
        <v>0</v>
      </c>
      <c r="CX49" s="4504">
        <f t="shared" si="86"/>
        <v>0</v>
      </c>
      <c r="CY49" s="4504">
        <f t="shared" si="87"/>
        <v>47.461931762985536</v>
      </c>
      <c r="CZ49" s="4504">
        <f t="shared" si="88"/>
        <v>45.837317149240988</v>
      </c>
      <c r="DA49" s="4504">
        <f t="shared" si="89"/>
        <v>46.660497077966902</v>
      </c>
      <c r="DB49" s="4504">
        <f t="shared" si="90"/>
        <v>46.660497077966902</v>
      </c>
      <c r="DC49" s="4504">
        <f t="shared" si="91"/>
        <v>46.660497077966902</v>
      </c>
      <c r="DD49" s="4504">
        <f t="shared" si="92"/>
        <v>46.992836800744442</v>
      </c>
      <c r="DE49" s="4504">
        <f t="shared" si="93"/>
        <v>0</v>
      </c>
      <c r="DF49" s="4504">
        <f t="shared" si="94"/>
        <v>0</v>
      </c>
      <c r="DG49" s="4504">
        <f t="shared" si="95"/>
        <v>0</v>
      </c>
      <c r="DH49" s="4504">
        <f t="shared" si="96"/>
        <v>0</v>
      </c>
      <c r="DI49" s="4504">
        <f t="shared" si="97"/>
        <v>0</v>
      </c>
      <c r="DJ49" s="4504">
        <f t="shared" si="98"/>
        <v>0</v>
      </c>
    </row>
    <row r="50" spans="1:114" ht="13.2">
      <c r="A50" s="838" t="s">
        <v>735</v>
      </c>
      <c r="B50" s="896" t="s">
        <v>734</v>
      </c>
      <c r="C50" s="3078"/>
      <c r="D50" s="3059"/>
      <c r="E50" s="2007"/>
      <c r="F50" s="2007"/>
      <c r="G50" s="2007"/>
      <c r="H50" s="2071"/>
      <c r="I50" s="3059"/>
      <c r="J50" s="3060"/>
      <c r="K50" s="3078"/>
      <c r="L50" s="3059"/>
      <c r="M50" s="2007"/>
      <c r="N50" s="2007"/>
      <c r="O50" s="2007"/>
      <c r="P50" s="3059"/>
      <c r="Q50" s="3704"/>
      <c r="R50" s="3061"/>
      <c r="S50" s="2679">
        <f>'7. Утайки от ПСОВ'!D29</f>
        <v>2.1374599999999999</v>
      </c>
      <c r="T50" s="1143">
        <f>'7. Утайки от ПСОВ'!G29</f>
        <v>1.0680000000000001</v>
      </c>
      <c r="U50" s="1133">
        <f>'7. Утайки от ПСОВ'!H29</f>
        <v>1.0680000000000001</v>
      </c>
      <c r="V50" s="1133">
        <f>'7. Утайки от ПСОВ'!I29</f>
        <v>1.0680000000000001</v>
      </c>
      <c r="W50" s="1133">
        <f>'7. Утайки от ПСОВ'!J29</f>
        <v>1.0680000000000001</v>
      </c>
      <c r="X50" s="1143">
        <f>'7. Утайки от ПСОВ'!K29</f>
        <v>1.0680000000000001</v>
      </c>
      <c r="Y50" s="316">
        <f t="shared" si="168"/>
        <v>-1.0694599999999999</v>
      </c>
      <c r="Z50" s="877">
        <f t="shared" si="169"/>
        <v>-0.50034152685898214</v>
      </c>
      <c r="AA50" s="3078"/>
      <c r="AB50" s="3059"/>
      <c r="AC50" s="2007"/>
      <c r="AD50" s="2007"/>
      <c r="AE50" s="2007"/>
      <c r="AF50" s="3059"/>
      <c r="AG50" s="3704"/>
      <c r="AH50" s="3149"/>
      <c r="AI50" s="3078"/>
      <c r="AJ50" s="3059"/>
      <c r="AK50" s="2007"/>
      <c r="AL50" s="2007"/>
      <c r="AM50" s="2007"/>
      <c r="AN50" s="3102"/>
      <c r="AO50" s="3704"/>
      <c r="AP50" s="3060"/>
      <c r="AQ50" s="3078"/>
      <c r="AR50" s="3059"/>
      <c r="AS50" s="2007"/>
      <c r="AT50" s="2007"/>
      <c r="AU50" s="2007"/>
      <c r="AV50" s="3102"/>
      <c r="AW50" s="1112">
        <f t="shared" si="185"/>
        <v>2.1374599999999999</v>
      </c>
      <c r="AX50" s="3090">
        <f t="shared" si="186"/>
        <v>1.0680000000000001</v>
      </c>
      <c r="AY50" s="3090">
        <f t="shared" si="187"/>
        <v>1.0680000000000001</v>
      </c>
      <c r="AZ50" s="3090">
        <f t="shared" si="188"/>
        <v>1.0680000000000001</v>
      </c>
      <c r="BA50" s="3090">
        <f t="shared" si="189"/>
        <v>1.0680000000000001</v>
      </c>
      <c r="BB50" s="3091">
        <f t="shared" si="190"/>
        <v>1.0680000000000001</v>
      </c>
      <c r="BC50" s="3111">
        <f t="shared" si="191"/>
        <v>0</v>
      </c>
      <c r="BD50" s="3112">
        <f t="shared" si="192"/>
        <v>0</v>
      </c>
      <c r="BE50" s="3113">
        <f t="shared" si="193"/>
        <v>0</v>
      </c>
      <c r="BF50" s="3113">
        <f t="shared" si="194"/>
        <v>0</v>
      </c>
      <c r="BG50" s="3113">
        <f t="shared" si="195"/>
        <v>0</v>
      </c>
      <c r="BH50" s="3115">
        <f t="shared" si="196"/>
        <v>0</v>
      </c>
      <c r="BI50" s="4488"/>
      <c r="BJ50" s="4504">
        <f t="shared" si="46"/>
        <v>0</v>
      </c>
      <c r="BK50" s="4504">
        <f t="shared" si="47"/>
        <v>0</v>
      </c>
      <c r="BL50" s="4504">
        <f t="shared" si="48"/>
        <v>0</v>
      </c>
      <c r="BM50" s="4504">
        <f t="shared" si="49"/>
        <v>0</v>
      </c>
      <c r="BN50" s="4504">
        <f t="shared" si="50"/>
        <v>0</v>
      </c>
      <c r="BO50" s="4504">
        <f t="shared" si="51"/>
        <v>0</v>
      </c>
      <c r="BP50" s="4504">
        <f t="shared" si="52"/>
        <v>0</v>
      </c>
      <c r="BQ50" s="4504">
        <f t="shared" si="53"/>
        <v>0</v>
      </c>
      <c r="BR50" s="4504">
        <f t="shared" si="54"/>
        <v>0</v>
      </c>
      <c r="BS50" s="4504">
        <f t="shared" si="55"/>
        <v>0</v>
      </c>
      <c r="BT50" s="4504">
        <f t="shared" si="56"/>
        <v>0</v>
      </c>
      <c r="BU50" s="4504">
        <f t="shared" si="57"/>
        <v>0</v>
      </c>
      <c r="BV50" s="4504">
        <f t="shared" si="58"/>
        <v>0</v>
      </c>
      <c r="BW50" s="4504">
        <f t="shared" si="59"/>
        <v>0</v>
      </c>
      <c r="BX50" s="4504">
        <f t="shared" si="60"/>
        <v>1.0928659443816691</v>
      </c>
      <c r="BY50" s="4504">
        <f t="shared" si="61"/>
        <v>0.5460597291175614</v>
      </c>
      <c r="BZ50" s="4504">
        <f t="shared" si="62"/>
        <v>0.5460597291175614</v>
      </c>
      <c r="CA50" s="4504">
        <f t="shared" si="63"/>
        <v>0.5460597291175614</v>
      </c>
      <c r="CB50" s="4504">
        <f t="shared" si="64"/>
        <v>0.5460597291175614</v>
      </c>
      <c r="CC50" s="4504">
        <f t="shared" si="65"/>
        <v>0.5460597291175614</v>
      </c>
      <c r="CD50" s="4504">
        <f t="shared" si="66"/>
        <v>-0.54680621526410778</v>
      </c>
      <c r="CE50" s="4504">
        <f t="shared" si="67"/>
        <v>0</v>
      </c>
      <c r="CF50" s="4504">
        <f t="shared" si="68"/>
        <v>0</v>
      </c>
      <c r="CG50" s="4504">
        <f t="shared" si="69"/>
        <v>0</v>
      </c>
      <c r="CH50" s="4504">
        <f t="shared" si="70"/>
        <v>0</v>
      </c>
      <c r="CI50" s="4504">
        <f t="shared" si="71"/>
        <v>0</v>
      </c>
      <c r="CJ50" s="4504">
        <f t="shared" si="72"/>
        <v>0</v>
      </c>
      <c r="CK50" s="4504">
        <f t="shared" si="73"/>
        <v>0</v>
      </c>
      <c r="CL50" s="4504">
        <f t="shared" si="74"/>
        <v>0</v>
      </c>
      <c r="CM50" s="4504">
        <f t="shared" si="75"/>
        <v>0</v>
      </c>
      <c r="CN50" s="4504">
        <f t="shared" si="76"/>
        <v>0</v>
      </c>
      <c r="CO50" s="4504">
        <f t="shared" si="77"/>
        <v>0</v>
      </c>
      <c r="CP50" s="4504">
        <f t="shared" si="78"/>
        <v>0</v>
      </c>
      <c r="CQ50" s="4504">
        <f t="shared" si="79"/>
        <v>0</v>
      </c>
      <c r="CR50" s="4504">
        <f t="shared" si="80"/>
        <v>0</v>
      </c>
      <c r="CS50" s="4504">
        <f t="shared" si="81"/>
        <v>0</v>
      </c>
      <c r="CT50" s="4504">
        <f t="shared" si="82"/>
        <v>0</v>
      </c>
      <c r="CU50" s="4504">
        <f t="shared" si="83"/>
        <v>0</v>
      </c>
      <c r="CV50" s="4504">
        <f t="shared" si="84"/>
        <v>0</v>
      </c>
      <c r="CW50" s="4504">
        <f t="shared" si="85"/>
        <v>0</v>
      </c>
      <c r="CX50" s="4504">
        <f t="shared" si="86"/>
        <v>0</v>
      </c>
      <c r="CY50" s="4504">
        <f t="shared" si="87"/>
        <v>1.0928659443816691</v>
      </c>
      <c r="CZ50" s="4504">
        <f t="shared" si="88"/>
        <v>0.5460597291175614</v>
      </c>
      <c r="DA50" s="4504">
        <f t="shared" si="89"/>
        <v>0.5460597291175614</v>
      </c>
      <c r="DB50" s="4504">
        <f t="shared" si="90"/>
        <v>0.5460597291175614</v>
      </c>
      <c r="DC50" s="4504">
        <f t="shared" si="91"/>
        <v>0.5460597291175614</v>
      </c>
      <c r="DD50" s="4504">
        <f t="shared" si="92"/>
        <v>0.5460597291175614</v>
      </c>
      <c r="DE50" s="4504">
        <f t="shared" si="93"/>
        <v>0</v>
      </c>
      <c r="DF50" s="4504">
        <f t="shared" si="94"/>
        <v>0</v>
      </c>
      <c r="DG50" s="4504">
        <f t="shared" si="95"/>
        <v>0</v>
      </c>
      <c r="DH50" s="4504">
        <f t="shared" si="96"/>
        <v>0</v>
      </c>
      <c r="DI50" s="4504">
        <f t="shared" si="97"/>
        <v>0</v>
      </c>
      <c r="DJ50" s="4504">
        <f t="shared" si="98"/>
        <v>0</v>
      </c>
    </row>
    <row r="51" spans="1:114" ht="13.2">
      <c r="A51" s="838" t="s">
        <v>1225</v>
      </c>
      <c r="B51" s="896" t="s">
        <v>445</v>
      </c>
      <c r="C51" s="1186">
        <f>SUM(C52:C54)</f>
        <v>2.3130295589829104</v>
      </c>
      <c r="D51" s="1130">
        <f t="shared" ref="D51:BB51" si="197">SUM(D52:D54)</f>
        <v>9.5096370714964582</v>
      </c>
      <c r="E51" s="1131">
        <f t="shared" si="197"/>
        <v>9.5096370714964582</v>
      </c>
      <c r="F51" s="1131">
        <f t="shared" si="197"/>
        <v>9.5096370714964582</v>
      </c>
      <c r="G51" s="1131">
        <f t="shared" si="197"/>
        <v>9.5096370714964582</v>
      </c>
      <c r="H51" s="3080">
        <f t="shared" si="197"/>
        <v>9.5096370714964582</v>
      </c>
      <c r="I51" s="1247">
        <f t="shared" ref="I51:I73" si="198">D51-C51</f>
        <v>7.1966075125135482</v>
      </c>
      <c r="J51" s="821">
        <f t="shared" ref="J51:J73" si="199">IFERROR((D51-C51)/C51,0)</f>
        <v>3.1113340011435278</v>
      </c>
      <c r="K51" s="1186">
        <f t="shared" si="197"/>
        <v>7.7656115840306148</v>
      </c>
      <c r="L51" s="1130">
        <f t="shared" si="197"/>
        <v>8.4256885686732179</v>
      </c>
      <c r="M51" s="1131">
        <f t="shared" si="197"/>
        <v>8.4256885686732179</v>
      </c>
      <c r="N51" s="1131">
        <f t="shared" si="197"/>
        <v>8.4256885686732179</v>
      </c>
      <c r="O51" s="1131">
        <f t="shared" si="197"/>
        <v>8.4256885686732179</v>
      </c>
      <c r="P51" s="3080">
        <f t="shared" si="197"/>
        <v>8.4256885686732179</v>
      </c>
      <c r="Q51" s="1247">
        <f t="shared" ref="Q51:Q72" si="200">L51-K51</f>
        <v>0.66007698464260312</v>
      </c>
      <c r="R51" s="876">
        <f t="shared" ref="R51:R72" si="201">IFERROR((L51-K51)/K51,0)</f>
        <v>8.5000000000000117E-2</v>
      </c>
      <c r="S51" s="1185">
        <f t="shared" si="197"/>
        <v>5.7577733323557121</v>
      </c>
      <c r="T51" s="1134">
        <f t="shared" si="197"/>
        <v>6.2471840656059472</v>
      </c>
      <c r="U51" s="1135">
        <f t="shared" si="197"/>
        <v>6.2471840656059472</v>
      </c>
      <c r="V51" s="1135">
        <f t="shared" si="197"/>
        <v>6.2471840656059472</v>
      </c>
      <c r="W51" s="1135">
        <f t="shared" si="197"/>
        <v>6.2471840656059472</v>
      </c>
      <c r="X51" s="1149">
        <f t="shared" si="197"/>
        <v>6.2471840656059472</v>
      </c>
      <c r="Y51" s="1247">
        <f t="shared" si="168"/>
        <v>0.4894107332502351</v>
      </c>
      <c r="Z51" s="876">
        <f t="shared" si="169"/>
        <v>8.4999999999999923E-2</v>
      </c>
      <c r="AA51" s="1185">
        <f>SUM(AA52:AA54)</f>
        <v>0</v>
      </c>
      <c r="AB51" s="1134">
        <f t="shared" ref="AB51:AN51" si="202">SUM(AB52:AB54)</f>
        <v>0</v>
      </c>
      <c r="AC51" s="1135">
        <f t="shared" si="202"/>
        <v>0</v>
      </c>
      <c r="AD51" s="1135">
        <f t="shared" si="202"/>
        <v>0</v>
      </c>
      <c r="AE51" s="1135">
        <f t="shared" si="202"/>
        <v>0</v>
      </c>
      <c r="AF51" s="1149">
        <f t="shared" si="202"/>
        <v>0</v>
      </c>
      <c r="AG51" s="1247">
        <f t="shared" ref="AG51:AG71" si="203">AB51-AA51</f>
        <v>0</v>
      </c>
      <c r="AH51" s="821">
        <f t="shared" ref="AH51:AH71" si="204">IFERROR((AB51-AA51)/AA51,0)</f>
        <v>0</v>
      </c>
      <c r="AI51" s="1185">
        <f t="shared" si="202"/>
        <v>0.17568596135121831</v>
      </c>
      <c r="AJ51" s="1134">
        <f t="shared" si="202"/>
        <v>0.19061926806607185</v>
      </c>
      <c r="AK51" s="1135">
        <f t="shared" si="202"/>
        <v>0.19061926806607185</v>
      </c>
      <c r="AL51" s="1135">
        <f t="shared" si="202"/>
        <v>0.19061926806607185</v>
      </c>
      <c r="AM51" s="1135">
        <f t="shared" si="202"/>
        <v>0.19061926806607185</v>
      </c>
      <c r="AN51" s="3101">
        <f t="shared" si="202"/>
        <v>0.19061926806607185</v>
      </c>
      <c r="AO51" s="1247">
        <f t="shared" ref="AO51:AO71" si="205">AJ51-AI51</f>
        <v>1.4933306714853545E-2</v>
      </c>
      <c r="AP51" s="821">
        <f t="shared" ref="AP51:AP71" si="206">IFERROR((AJ51-AI51)/AI51,0)</f>
        <v>8.4999999999999937E-2</v>
      </c>
      <c r="AQ51" s="1186">
        <f t="shared" si="197"/>
        <v>0.59970675481359448</v>
      </c>
      <c r="AR51" s="1130">
        <f t="shared" si="197"/>
        <v>0.65068182897275006</v>
      </c>
      <c r="AS51" s="1131">
        <f t="shared" si="197"/>
        <v>0.65068182897275006</v>
      </c>
      <c r="AT51" s="1131">
        <f t="shared" si="197"/>
        <v>0.65068182897275006</v>
      </c>
      <c r="AU51" s="1131">
        <f t="shared" si="197"/>
        <v>0.65068182897275006</v>
      </c>
      <c r="AV51" s="3120">
        <f t="shared" si="197"/>
        <v>0.65068182897275006</v>
      </c>
      <c r="AW51" s="1185">
        <f t="shared" si="197"/>
        <v>16.012100436720456</v>
      </c>
      <c r="AX51" s="1134">
        <f t="shared" si="197"/>
        <v>24.373128973841695</v>
      </c>
      <c r="AY51" s="1135">
        <f t="shared" si="197"/>
        <v>24.373128973841695</v>
      </c>
      <c r="AZ51" s="1135">
        <f t="shared" si="197"/>
        <v>24.373128973841695</v>
      </c>
      <c r="BA51" s="1135">
        <f t="shared" si="197"/>
        <v>24.373128973841695</v>
      </c>
      <c r="BB51" s="3101">
        <f t="shared" si="197"/>
        <v>24.373128973841695</v>
      </c>
      <c r="BC51" s="1185">
        <f t="shared" ref="BC51:BH51" si="207">SUM(BC52:BC54)</f>
        <v>2.4887155203341287</v>
      </c>
      <c r="BD51" s="1134">
        <f t="shared" si="207"/>
        <v>9.7002563395625305</v>
      </c>
      <c r="BE51" s="1135">
        <f t="shared" si="207"/>
        <v>9.7002563395625305</v>
      </c>
      <c r="BF51" s="1135">
        <f t="shared" si="207"/>
        <v>9.7002563395625305</v>
      </c>
      <c r="BG51" s="1135">
        <f t="shared" si="207"/>
        <v>9.7002563395625305</v>
      </c>
      <c r="BH51" s="3101">
        <f t="shared" si="207"/>
        <v>9.7002563395625305</v>
      </c>
      <c r="BI51" s="4488"/>
      <c r="BJ51" s="4504">
        <f t="shared" si="46"/>
        <v>1.1826332344748318</v>
      </c>
      <c r="BK51" s="4504">
        <f t="shared" si="47"/>
        <v>4.8622002277787226</v>
      </c>
      <c r="BL51" s="4504">
        <f t="shared" si="48"/>
        <v>4.8622002277787226</v>
      </c>
      <c r="BM51" s="4504">
        <f t="shared" si="49"/>
        <v>4.8622002277787226</v>
      </c>
      <c r="BN51" s="4504">
        <f t="shared" si="50"/>
        <v>4.8622002277787226</v>
      </c>
      <c r="BO51" s="4504">
        <f t="shared" si="51"/>
        <v>4.8622002277787226</v>
      </c>
      <c r="BP51" s="4504">
        <f t="shared" si="52"/>
        <v>3.6795669933038906</v>
      </c>
      <c r="BQ51" s="4504">
        <f t="shared" si="53"/>
        <v>3.9704941554381592</v>
      </c>
      <c r="BR51" s="4504">
        <f t="shared" si="54"/>
        <v>4.3079861586504036</v>
      </c>
      <c r="BS51" s="4504">
        <f t="shared" si="55"/>
        <v>4.3079861586504036</v>
      </c>
      <c r="BT51" s="4504">
        <f t="shared" si="56"/>
        <v>4.3079861586504036</v>
      </c>
      <c r="BU51" s="4504">
        <f t="shared" si="57"/>
        <v>4.3079861586504036</v>
      </c>
      <c r="BV51" s="4504">
        <f t="shared" si="58"/>
        <v>4.3079861586504036</v>
      </c>
      <c r="BW51" s="4504">
        <f t="shared" si="59"/>
        <v>0.33749200321224399</v>
      </c>
      <c r="BX51" s="4504">
        <f t="shared" si="60"/>
        <v>2.9439027586015718</v>
      </c>
      <c r="BY51" s="4504">
        <f t="shared" si="61"/>
        <v>3.1941344930827054</v>
      </c>
      <c r="BZ51" s="4504">
        <f t="shared" si="62"/>
        <v>3.1941344930827054</v>
      </c>
      <c r="CA51" s="4504">
        <f t="shared" si="63"/>
        <v>3.1941344930827054</v>
      </c>
      <c r="CB51" s="4504">
        <f t="shared" si="64"/>
        <v>3.1941344930827054</v>
      </c>
      <c r="CC51" s="4504">
        <f t="shared" si="65"/>
        <v>3.1941344930827054</v>
      </c>
      <c r="CD51" s="4504">
        <f t="shared" si="66"/>
        <v>0.25023173448113339</v>
      </c>
      <c r="CE51" s="4504">
        <f t="shared" si="67"/>
        <v>0</v>
      </c>
      <c r="CF51" s="4504">
        <f t="shared" si="68"/>
        <v>0</v>
      </c>
      <c r="CG51" s="4504">
        <f t="shared" si="69"/>
        <v>0</v>
      </c>
      <c r="CH51" s="4504">
        <f t="shared" si="70"/>
        <v>0</v>
      </c>
      <c r="CI51" s="4504">
        <f t="shared" si="71"/>
        <v>0</v>
      </c>
      <c r="CJ51" s="4504">
        <f t="shared" si="72"/>
        <v>0</v>
      </c>
      <c r="CK51" s="4504">
        <f t="shared" si="73"/>
        <v>0</v>
      </c>
      <c r="CL51" s="4504">
        <f t="shared" si="74"/>
        <v>8.982680567903055E-2</v>
      </c>
      <c r="CM51" s="4504">
        <f t="shared" si="75"/>
        <v>9.7462084161748133E-2</v>
      </c>
      <c r="CN51" s="4504">
        <f t="shared" si="76"/>
        <v>9.7462084161748133E-2</v>
      </c>
      <c r="CO51" s="4504">
        <f t="shared" si="77"/>
        <v>9.7462084161748133E-2</v>
      </c>
      <c r="CP51" s="4504">
        <f t="shared" si="78"/>
        <v>9.7462084161748133E-2</v>
      </c>
      <c r="CQ51" s="4504">
        <f t="shared" si="79"/>
        <v>9.7462084161748133E-2</v>
      </c>
      <c r="CR51" s="4504">
        <f t="shared" si="80"/>
        <v>7.6352784827175904E-3</v>
      </c>
      <c r="CS51" s="4504">
        <f t="shared" si="81"/>
        <v>0.30662519483472206</v>
      </c>
      <c r="CT51" s="4504">
        <f t="shared" si="82"/>
        <v>0.33268833639567347</v>
      </c>
      <c r="CU51" s="4504">
        <f t="shared" si="83"/>
        <v>0.33268833639567347</v>
      </c>
      <c r="CV51" s="4504">
        <f t="shared" si="84"/>
        <v>0.33268833639567347</v>
      </c>
      <c r="CW51" s="4504">
        <f t="shared" si="85"/>
        <v>0.33268833639567347</v>
      </c>
      <c r="CX51" s="4504">
        <f t="shared" si="86"/>
        <v>0.33268833639567347</v>
      </c>
      <c r="CY51" s="4504">
        <f t="shared" si="87"/>
        <v>8.186856954193594</v>
      </c>
      <c r="CZ51" s="4504">
        <f t="shared" si="88"/>
        <v>12.461782963673578</v>
      </c>
      <c r="DA51" s="4504">
        <f t="shared" si="89"/>
        <v>12.461782963673578</v>
      </c>
      <c r="DB51" s="4504">
        <f t="shared" si="90"/>
        <v>12.461782963673578</v>
      </c>
      <c r="DC51" s="4504">
        <f t="shared" si="91"/>
        <v>12.461782963673578</v>
      </c>
      <c r="DD51" s="4504">
        <f t="shared" si="92"/>
        <v>12.461782963673578</v>
      </c>
      <c r="DE51" s="4504">
        <f t="shared" si="93"/>
        <v>1.2724600401538624</v>
      </c>
      <c r="DF51" s="4504">
        <f t="shared" si="94"/>
        <v>4.9596623119404706</v>
      </c>
      <c r="DG51" s="4504">
        <f t="shared" si="95"/>
        <v>4.9596623119404706</v>
      </c>
      <c r="DH51" s="4504">
        <f t="shared" si="96"/>
        <v>4.9596623119404706</v>
      </c>
      <c r="DI51" s="4504">
        <f t="shared" si="97"/>
        <v>4.9596623119404706</v>
      </c>
      <c r="DJ51" s="4504">
        <f t="shared" si="98"/>
        <v>4.9596623119404706</v>
      </c>
    </row>
    <row r="52" spans="1:114" s="683" customFormat="1" ht="13.2">
      <c r="A52" s="839" t="s">
        <v>1226</v>
      </c>
      <c r="B52" s="4622" t="s">
        <v>445</v>
      </c>
      <c r="C52" s="3070">
        <v>2.3130295589829104</v>
      </c>
      <c r="D52" s="3071">
        <v>9.5096370714964582</v>
      </c>
      <c r="E52" s="3071">
        <v>9.5096370714964582</v>
      </c>
      <c r="F52" s="3071">
        <v>9.5096370714964582</v>
      </c>
      <c r="G52" s="3071">
        <v>9.5096370714964582</v>
      </c>
      <c r="H52" s="3072">
        <v>9.5096370714964582</v>
      </c>
      <c r="I52" s="1251">
        <f t="shared" si="198"/>
        <v>7.1966075125135482</v>
      </c>
      <c r="J52" s="826">
        <f t="shared" si="199"/>
        <v>3.1113340011435278</v>
      </c>
      <c r="K52" s="3070">
        <v>7.7656115840306148</v>
      </c>
      <c r="L52" s="3071">
        <v>8.4256885686732179</v>
      </c>
      <c r="M52" s="3071">
        <v>8.4256885686732179</v>
      </c>
      <c r="N52" s="3071">
        <v>8.4256885686732179</v>
      </c>
      <c r="O52" s="3071">
        <v>8.4256885686732179</v>
      </c>
      <c r="P52" s="3072">
        <v>8.4256885686732179</v>
      </c>
      <c r="Q52" s="1251">
        <f t="shared" si="200"/>
        <v>0.66007698464260312</v>
      </c>
      <c r="R52" s="1121">
        <f t="shared" si="201"/>
        <v>8.5000000000000117E-2</v>
      </c>
      <c r="S52" s="3070">
        <v>5.7577733323557121</v>
      </c>
      <c r="T52" s="3071">
        <v>6.2471840656059472</v>
      </c>
      <c r="U52" s="3071">
        <v>6.2471840656059472</v>
      </c>
      <c r="V52" s="3071">
        <v>6.2471840656059472</v>
      </c>
      <c r="W52" s="3071">
        <v>6.2471840656059472</v>
      </c>
      <c r="X52" s="3072">
        <v>6.2471840656059472</v>
      </c>
      <c r="Y52" s="1251">
        <f t="shared" si="168"/>
        <v>0.4894107332502351</v>
      </c>
      <c r="Z52" s="1121">
        <f t="shared" si="169"/>
        <v>8.4999999999999923E-2</v>
      </c>
      <c r="AA52" s="3070"/>
      <c r="AB52" s="3071"/>
      <c r="AC52" s="3071"/>
      <c r="AD52" s="3071"/>
      <c r="AE52" s="3071"/>
      <c r="AF52" s="3072"/>
      <c r="AG52" s="1251">
        <f t="shared" si="203"/>
        <v>0</v>
      </c>
      <c r="AH52" s="826">
        <f t="shared" si="204"/>
        <v>0</v>
      </c>
      <c r="AI52" s="3070">
        <v>0.17568596135121831</v>
      </c>
      <c r="AJ52" s="3071">
        <v>0.19061926806607185</v>
      </c>
      <c r="AK52" s="3071">
        <v>0.19061926806607185</v>
      </c>
      <c r="AL52" s="3071">
        <v>0.19061926806607185</v>
      </c>
      <c r="AM52" s="3071">
        <v>0.19061926806607185</v>
      </c>
      <c r="AN52" s="3100">
        <v>0.19061926806607185</v>
      </c>
      <c r="AO52" s="1251">
        <f t="shared" si="205"/>
        <v>1.4933306714853545E-2</v>
      </c>
      <c r="AP52" s="826">
        <f t="shared" si="206"/>
        <v>8.4999999999999937E-2</v>
      </c>
      <c r="AQ52" s="3070">
        <v>0.59970675481359448</v>
      </c>
      <c r="AR52" s="3071">
        <v>0.65068182897275006</v>
      </c>
      <c r="AS52" s="3071">
        <v>0.65068182897275006</v>
      </c>
      <c r="AT52" s="3071">
        <v>0.65068182897275006</v>
      </c>
      <c r="AU52" s="3071">
        <v>0.65068182897275006</v>
      </c>
      <c r="AV52" s="3100">
        <v>0.65068182897275006</v>
      </c>
      <c r="AW52" s="1112">
        <f t="shared" ref="AW52:AW54" si="208">C52+K52+S52+AA52+AI52</f>
        <v>16.012100436720456</v>
      </c>
      <c r="AX52" s="3090">
        <f t="shared" ref="AX52:AX54" si="209">D52+L52+T52+AB52+AJ52</f>
        <v>24.373128973841695</v>
      </c>
      <c r="AY52" s="3090">
        <f t="shared" ref="AY52:AY54" si="210">E52+M52+U52+AC52+AK52</f>
        <v>24.373128973841695</v>
      </c>
      <c r="AZ52" s="3090">
        <f t="shared" ref="AZ52:AZ54" si="211">F52+N52+V52+AD52+AL52</f>
        <v>24.373128973841695</v>
      </c>
      <c r="BA52" s="3090">
        <f t="shared" ref="BA52:BA54" si="212">G52+O52+W52+AE52+AM52</f>
        <v>24.373128973841695</v>
      </c>
      <c r="BB52" s="3091">
        <f t="shared" ref="BB52:BB54" si="213">H52+P52+X52+AF52+AN52</f>
        <v>24.373128973841695</v>
      </c>
      <c r="BC52" s="3111">
        <f t="shared" ref="BC52:BC54" si="214">C52+AA52+AI52</f>
        <v>2.4887155203341287</v>
      </c>
      <c r="BD52" s="3112">
        <f t="shared" ref="BD52:BD54" si="215">D52+AB52+AJ52</f>
        <v>9.7002563395625305</v>
      </c>
      <c r="BE52" s="3113">
        <f t="shared" ref="BE52:BE54" si="216">E52+AC52+AK52</f>
        <v>9.7002563395625305</v>
      </c>
      <c r="BF52" s="3113">
        <f t="shared" ref="BF52:BF54" si="217">F52+AD52+AL52</f>
        <v>9.7002563395625305</v>
      </c>
      <c r="BG52" s="3113">
        <f t="shared" ref="BG52:BG54" si="218">G52+AE52+AM52</f>
        <v>9.7002563395625305</v>
      </c>
      <c r="BH52" s="3115">
        <f t="shared" ref="BH52:BH54" si="219">H52+AF52+AN52</f>
        <v>9.7002563395625305</v>
      </c>
      <c r="BI52" s="4488"/>
      <c r="BJ52" s="4504">
        <f t="shared" si="46"/>
        <v>1.1826332344748318</v>
      </c>
      <c r="BK52" s="4504">
        <f t="shared" si="47"/>
        <v>4.8622002277787226</v>
      </c>
      <c r="BL52" s="4504">
        <f t="shared" si="48"/>
        <v>4.8622002277787226</v>
      </c>
      <c r="BM52" s="4504">
        <f t="shared" si="49"/>
        <v>4.8622002277787226</v>
      </c>
      <c r="BN52" s="4504">
        <f t="shared" si="50"/>
        <v>4.8622002277787226</v>
      </c>
      <c r="BO52" s="4504">
        <f t="shared" si="51"/>
        <v>4.8622002277787226</v>
      </c>
      <c r="BP52" s="4504">
        <f t="shared" si="52"/>
        <v>3.6795669933038906</v>
      </c>
      <c r="BQ52" s="4504">
        <f t="shared" si="53"/>
        <v>3.9704941554381592</v>
      </c>
      <c r="BR52" s="4504">
        <f t="shared" si="54"/>
        <v>4.3079861586504036</v>
      </c>
      <c r="BS52" s="4504">
        <f t="shared" si="55"/>
        <v>4.3079861586504036</v>
      </c>
      <c r="BT52" s="4504">
        <f t="shared" si="56"/>
        <v>4.3079861586504036</v>
      </c>
      <c r="BU52" s="4504">
        <f t="shared" si="57"/>
        <v>4.3079861586504036</v>
      </c>
      <c r="BV52" s="4504">
        <f t="shared" si="58"/>
        <v>4.3079861586504036</v>
      </c>
      <c r="BW52" s="4504">
        <f t="shared" si="59"/>
        <v>0.33749200321224399</v>
      </c>
      <c r="BX52" s="4504">
        <f t="shared" si="60"/>
        <v>2.9439027586015718</v>
      </c>
      <c r="BY52" s="4504">
        <f t="shared" si="61"/>
        <v>3.1941344930827054</v>
      </c>
      <c r="BZ52" s="4504">
        <f t="shared" si="62"/>
        <v>3.1941344930827054</v>
      </c>
      <c r="CA52" s="4504">
        <f t="shared" si="63"/>
        <v>3.1941344930827054</v>
      </c>
      <c r="CB52" s="4504">
        <f t="shared" si="64"/>
        <v>3.1941344930827054</v>
      </c>
      <c r="CC52" s="4504">
        <f t="shared" si="65"/>
        <v>3.1941344930827054</v>
      </c>
      <c r="CD52" s="4504">
        <f t="shared" si="66"/>
        <v>0.25023173448113339</v>
      </c>
      <c r="CE52" s="4504">
        <f t="shared" si="67"/>
        <v>0</v>
      </c>
      <c r="CF52" s="4504">
        <f t="shared" si="68"/>
        <v>0</v>
      </c>
      <c r="CG52" s="4504">
        <f t="shared" si="69"/>
        <v>0</v>
      </c>
      <c r="CH52" s="4504">
        <f t="shared" si="70"/>
        <v>0</v>
      </c>
      <c r="CI52" s="4504">
        <f t="shared" si="71"/>
        <v>0</v>
      </c>
      <c r="CJ52" s="4504">
        <f t="shared" si="72"/>
        <v>0</v>
      </c>
      <c r="CK52" s="4504">
        <f t="shared" si="73"/>
        <v>0</v>
      </c>
      <c r="CL52" s="4504">
        <f t="shared" si="74"/>
        <v>8.982680567903055E-2</v>
      </c>
      <c r="CM52" s="4504">
        <f t="shared" si="75"/>
        <v>9.7462084161748133E-2</v>
      </c>
      <c r="CN52" s="4504">
        <f t="shared" si="76"/>
        <v>9.7462084161748133E-2</v>
      </c>
      <c r="CO52" s="4504">
        <f t="shared" si="77"/>
        <v>9.7462084161748133E-2</v>
      </c>
      <c r="CP52" s="4504">
        <f t="shared" si="78"/>
        <v>9.7462084161748133E-2</v>
      </c>
      <c r="CQ52" s="4504">
        <f t="shared" si="79"/>
        <v>9.7462084161748133E-2</v>
      </c>
      <c r="CR52" s="4504">
        <f t="shared" si="80"/>
        <v>7.6352784827175904E-3</v>
      </c>
      <c r="CS52" s="4504">
        <f t="shared" si="81"/>
        <v>0.30662519483472206</v>
      </c>
      <c r="CT52" s="4504">
        <f t="shared" si="82"/>
        <v>0.33268833639567347</v>
      </c>
      <c r="CU52" s="4504">
        <f t="shared" si="83"/>
        <v>0.33268833639567347</v>
      </c>
      <c r="CV52" s="4504">
        <f t="shared" si="84"/>
        <v>0.33268833639567347</v>
      </c>
      <c r="CW52" s="4504">
        <f t="shared" si="85"/>
        <v>0.33268833639567347</v>
      </c>
      <c r="CX52" s="4504">
        <f t="shared" si="86"/>
        <v>0.33268833639567347</v>
      </c>
      <c r="CY52" s="4504">
        <f t="shared" si="87"/>
        <v>8.186856954193594</v>
      </c>
      <c r="CZ52" s="4504">
        <f t="shared" si="88"/>
        <v>12.461782963673578</v>
      </c>
      <c r="DA52" s="4504">
        <f t="shared" si="89"/>
        <v>12.461782963673578</v>
      </c>
      <c r="DB52" s="4504">
        <f t="shared" si="90"/>
        <v>12.461782963673578</v>
      </c>
      <c r="DC52" s="4504">
        <f t="shared" si="91"/>
        <v>12.461782963673578</v>
      </c>
      <c r="DD52" s="4504">
        <f t="shared" si="92"/>
        <v>12.461782963673578</v>
      </c>
      <c r="DE52" s="4504">
        <f t="shared" si="93"/>
        <v>1.2724600401538624</v>
      </c>
      <c r="DF52" s="4504">
        <f t="shared" si="94"/>
        <v>4.9596623119404706</v>
      </c>
      <c r="DG52" s="4504">
        <f t="shared" si="95"/>
        <v>4.9596623119404706</v>
      </c>
      <c r="DH52" s="4504">
        <f t="shared" si="96"/>
        <v>4.9596623119404706</v>
      </c>
      <c r="DI52" s="4504">
        <f t="shared" si="97"/>
        <v>4.9596623119404706</v>
      </c>
      <c r="DJ52" s="4504">
        <f t="shared" si="98"/>
        <v>4.9596623119404706</v>
      </c>
    </row>
    <row r="53" spans="1:114" s="683" customFormat="1" ht="13.2">
      <c r="A53" s="841" t="s">
        <v>1227</v>
      </c>
      <c r="B53" s="414"/>
      <c r="C53" s="3070"/>
      <c r="D53" s="3071"/>
      <c r="E53" s="3071"/>
      <c r="F53" s="3071"/>
      <c r="G53" s="3071"/>
      <c r="H53" s="3072"/>
      <c r="I53" s="1251">
        <f t="shared" si="198"/>
        <v>0</v>
      </c>
      <c r="J53" s="826">
        <f t="shared" si="199"/>
        <v>0</v>
      </c>
      <c r="K53" s="3070"/>
      <c r="L53" s="3071"/>
      <c r="M53" s="3071"/>
      <c r="N53" s="3071"/>
      <c r="O53" s="3071"/>
      <c r="P53" s="3072"/>
      <c r="Q53" s="1251">
        <f t="shared" si="200"/>
        <v>0</v>
      </c>
      <c r="R53" s="1121">
        <f t="shared" si="201"/>
        <v>0</v>
      </c>
      <c r="S53" s="3070"/>
      <c r="T53" s="3071"/>
      <c r="U53" s="3071"/>
      <c r="V53" s="3071"/>
      <c r="W53" s="3071"/>
      <c r="X53" s="3072"/>
      <c r="Y53" s="1251">
        <f t="shared" si="168"/>
        <v>0</v>
      </c>
      <c r="Z53" s="1121">
        <f t="shared" si="169"/>
        <v>0</v>
      </c>
      <c r="AA53" s="3070"/>
      <c r="AB53" s="3071"/>
      <c r="AC53" s="3071"/>
      <c r="AD53" s="3071"/>
      <c r="AE53" s="3071"/>
      <c r="AF53" s="3072"/>
      <c r="AG53" s="1251">
        <f t="shared" si="203"/>
        <v>0</v>
      </c>
      <c r="AH53" s="826">
        <f t="shared" si="204"/>
        <v>0</v>
      </c>
      <c r="AI53" s="3070"/>
      <c r="AJ53" s="3071"/>
      <c r="AK53" s="3071"/>
      <c r="AL53" s="3071"/>
      <c r="AM53" s="3071"/>
      <c r="AN53" s="3100"/>
      <c r="AO53" s="1251">
        <f t="shared" si="205"/>
        <v>0</v>
      </c>
      <c r="AP53" s="826">
        <f t="shared" si="206"/>
        <v>0</v>
      </c>
      <c r="AQ53" s="3070"/>
      <c r="AR53" s="3071"/>
      <c r="AS53" s="3071"/>
      <c r="AT53" s="3071"/>
      <c r="AU53" s="3071"/>
      <c r="AV53" s="3100"/>
      <c r="AW53" s="1112">
        <f t="shared" si="208"/>
        <v>0</v>
      </c>
      <c r="AX53" s="3090">
        <f t="shared" si="209"/>
        <v>0</v>
      </c>
      <c r="AY53" s="3090">
        <f t="shared" si="210"/>
        <v>0</v>
      </c>
      <c r="AZ53" s="3090">
        <f t="shared" si="211"/>
        <v>0</v>
      </c>
      <c r="BA53" s="3090">
        <f t="shared" si="212"/>
        <v>0</v>
      </c>
      <c r="BB53" s="3091">
        <f t="shared" si="213"/>
        <v>0</v>
      </c>
      <c r="BC53" s="3111">
        <f t="shared" si="214"/>
        <v>0</v>
      </c>
      <c r="BD53" s="3112">
        <f t="shared" si="215"/>
        <v>0</v>
      </c>
      <c r="BE53" s="3113">
        <f t="shared" si="216"/>
        <v>0</v>
      </c>
      <c r="BF53" s="3113">
        <f t="shared" si="217"/>
        <v>0</v>
      </c>
      <c r="BG53" s="3113">
        <f t="shared" si="218"/>
        <v>0</v>
      </c>
      <c r="BH53" s="3115">
        <f t="shared" si="219"/>
        <v>0</v>
      </c>
      <c r="BI53" s="4488"/>
      <c r="BJ53" s="4504">
        <f t="shared" si="46"/>
        <v>0</v>
      </c>
      <c r="BK53" s="4504">
        <f t="shared" si="47"/>
        <v>0</v>
      </c>
      <c r="BL53" s="4504">
        <f t="shared" si="48"/>
        <v>0</v>
      </c>
      <c r="BM53" s="4504">
        <f t="shared" si="49"/>
        <v>0</v>
      </c>
      <c r="BN53" s="4504">
        <f t="shared" si="50"/>
        <v>0</v>
      </c>
      <c r="BO53" s="4504">
        <f t="shared" si="51"/>
        <v>0</v>
      </c>
      <c r="BP53" s="4504">
        <f t="shared" si="52"/>
        <v>0</v>
      </c>
      <c r="BQ53" s="4504">
        <f t="shared" si="53"/>
        <v>0</v>
      </c>
      <c r="BR53" s="4504">
        <f t="shared" si="54"/>
        <v>0</v>
      </c>
      <c r="BS53" s="4504">
        <f t="shared" si="55"/>
        <v>0</v>
      </c>
      <c r="BT53" s="4504">
        <f t="shared" si="56"/>
        <v>0</v>
      </c>
      <c r="BU53" s="4504">
        <f t="shared" si="57"/>
        <v>0</v>
      </c>
      <c r="BV53" s="4504">
        <f t="shared" si="58"/>
        <v>0</v>
      </c>
      <c r="BW53" s="4504">
        <f t="shared" si="59"/>
        <v>0</v>
      </c>
      <c r="BX53" s="4504">
        <f t="shared" si="60"/>
        <v>0</v>
      </c>
      <c r="BY53" s="4504">
        <f t="shared" si="61"/>
        <v>0</v>
      </c>
      <c r="BZ53" s="4504">
        <f t="shared" si="62"/>
        <v>0</v>
      </c>
      <c r="CA53" s="4504">
        <f t="shared" si="63"/>
        <v>0</v>
      </c>
      <c r="CB53" s="4504">
        <f t="shared" si="64"/>
        <v>0</v>
      </c>
      <c r="CC53" s="4504">
        <f t="shared" si="65"/>
        <v>0</v>
      </c>
      <c r="CD53" s="4504">
        <f t="shared" si="66"/>
        <v>0</v>
      </c>
      <c r="CE53" s="4504">
        <f t="shared" si="67"/>
        <v>0</v>
      </c>
      <c r="CF53" s="4504">
        <f t="shared" si="68"/>
        <v>0</v>
      </c>
      <c r="CG53" s="4504">
        <f t="shared" si="69"/>
        <v>0</v>
      </c>
      <c r="CH53" s="4504">
        <f t="shared" si="70"/>
        <v>0</v>
      </c>
      <c r="CI53" s="4504">
        <f t="shared" si="71"/>
        <v>0</v>
      </c>
      <c r="CJ53" s="4504">
        <f t="shared" si="72"/>
        <v>0</v>
      </c>
      <c r="CK53" s="4504">
        <f t="shared" si="73"/>
        <v>0</v>
      </c>
      <c r="CL53" s="4504">
        <f t="shared" si="74"/>
        <v>0</v>
      </c>
      <c r="CM53" s="4504">
        <f t="shared" si="75"/>
        <v>0</v>
      </c>
      <c r="CN53" s="4504">
        <f t="shared" si="76"/>
        <v>0</v>
      </c>
      <c r="CO53" s="4504">
        <f t="shared" si="77"/>
        <v>0</v>
      </c>
      <c r="CP53" s="4504">
        <f t="shared" si="78"/>
        <v>0</v>
      </c>
      <c r="CQ53" s="4504">
        <f t="shared" si="79"/>
        <v>0</v>
      </c>
      <c r="CR53" s="4504">
        <f t="shared" si="80"/>
        <v>0</v>
      </c>
      <c r="CS53" s="4504">
        <f t="shared" si="81"/>
        <v>0</v>
      </c>
      <c r="CT53" s="4504">
        <f t="shared" si="82"/>
        <v>0</v>
      </c>
      <c r="CU53" s="4504">
        <f t="shared" si="83"/>
        <v>0</v>
      </c>
      <c r="CV53" s="4504">
        <f t="shared" si="84"/>
        <v>0</v>
      </c>
      <c r="CW53" s="4504">
        <f t="shared" si="85"/>
        <v>0</v>
      </c>
      <c r="CX53" s="4504">
        <f t="shared" si="86"/>
        <v>0</v>
      </c>
      <c r="CY53" s="4504">
        <f t="shared" si="87"/>
        <v>0</v>
      </c>
      <c r="CZ53" s="4504">
        <f t="shared" si="88"/>
        <v>0</v>
      </c>
      <c r="DA53" s="4504">
        <f t="shared" si="89"/>
        <v>0</v>
      </c>
      <c r="DB53" s="4504">
        <f t="shared" si="90"/>
        <v>0</v>
      </c>
      <c r="DC53" s="4504">
        <f t="shared" si="91"/>
        <v>0</v>
      </c>
      <c r="DD53" s="4504">
        <f t="shared" si="92"/>
        <v>0</v>
      </c>
      <c r="DE53" s="4504">
        <f t="shared" si="93"/>
        <v>0</v>
      </c>
      <c r="DF53" s="4504">
        <f t="shared" si="94"/>
        <v>0</v>
      </c>
      <c r="DG53" s="4504">
        <f t="shared" si="95"/>
        <v>0</v>
      </c>
      <c r="DH53" s="4504">
        <f t="shared" si="96"/>
        <v>0</v>
      </c>
      <c r="DI53" s="4504">
        <f t="shared" si="97"/>
        <v>0</v>
      </c>
      <c r="DJ53" s="4504">
        <f t="shared" si="98"/>
        <v>0</v>
      </c>
    </row>
    <row r="54" spans="1:114" s="683" customFormat="1" thickBot="1">
      <c r="A54" s="3916" t="s">
        <v>1228</v>
      </c>
      <c r="B54" s="3917"/>
      <c r="C54" s="3127"/>
      <c r="D54" s="3918"/>
      <c r="E54" s="3918"/>
      <c r="F54" s="3918"/>
      <c r="G54" s="3918"/>
      <c r="H54" s="3919"/>
      <c r="I54" s="3920">
        <f t="shared" si="198"/>
        <v>0</v>
      </c>
      <c r="J54" s="1182">
        <f t="shared" si="199"/>
        <v>0</v>
      </c>
      <c r="K54" s="3127"/>
      <c r="L54" s="3918"/>
      <c r="M54" s="3918"/>
      <c r="N54" s="3918"/>
      <c r="O54" s="3918"/>
      <c r="P54" s="3919"/>
      <c r="Q54" s="3920">
        <f t="shared" si="200"/>
        <v>0</v>
      </c>
      <c r="R54" s="1123">
        <f t="shared" si="201"/>
        <v>0</v>
      </c>
      <c r="S54" s="3127"/>
      <c r="T54" s="3918"/>
      <c r="U54" s="3918"/>
      <c r="V54" s="3918"/>
      <c r="W54" s="3918"/>
      <c r="X54" s="3919"/>
      <c r="Y54" s="3920">
        <f t="shared" si="168"/>
        <v>0</v>
      </c>
      <c r="Z54" s="1123">
        <f t="shared" si="169"/>
        <v>0</v>
      </c>
      <c r="AA54" s="3127"/>
      <c r="AB54" s="3918"/>
      <c r="AC54" s="3918"/>
      <c r="AD54" s="3918"/>
      <c r="AE54" s="3918"/>
      <c r="AF54" s="3919"/>
      <c r="AG54" s="3920">
        <f t="shared" si="203"/>
        <v>0</v>
      </c>
      <c r="AH54" s="1182">
        <f t="shared" si="204"/>
        <v>0</v>
      </c>
      <c r="AI54" s="3127"/>
      <c r="AJ54" s="3918"/>
      <c r="AK54" s="3918"/>
      <c r="AL54" s="3918"/>
      <c r="AM54" s="3918"/>
      <c r="AN54" s="3921"/>
      <c r="AO54" s="3920">
        <f t="shared" si="205"/>
        <v>0</v>
      </c>
      <c r="AP54" s="1182">
        <f t="shared" si="206"/>
        <v>0</v>
      </c>
      <c r="AQ54" s="3127"/>
      <c r="AR54" s="3918"/>
      <c r="AS54" s="3918"/>
      <c r="AT54" s="3918"/>
      <c r="AU54" s="3918"/>
      <c r="AV54" s="3921"/>
      <c r="AW54" s="3133">
        <f t="shared" si="208"/>
        <v>0</v>
      </c>
      <c r="AX54" s="3922">
        <f t="shared" si="209"/>
        <v>0</v>
      </c>
      <c r="AY54" s="3922">
        <f t="shared" si="210"/>
        <v>0</v>
      </c>
      <c r="AZ54" s="3922">
        <f t="shared" si="211"/>
        <v>0</v>
      </c>
      <c r="BA54" s="3922">
        <f t="shared" si="212"/>
        <v>0</v>
      </c>
      <c r="BB54" s="3923">
        <f t="shared" si="213"/>
        <v>0</v>
      </c>
      <c r="BC54" s="3924">
        <f t="shared" si="214"/>
        <v>0</v>
      </c>
      <c r="BD54" s="3925">
        <f t="shared" si="215"/>
        <v>0</v>
      </c>
      <c r="BE54" s="3926">
        <f t="shared" si="216"/>
        <v>0</v>
      </c>
      <c r="BF54" s="3926">
        <f t="shared" si="217"/>
        <v>0</v>
      </c>
      <c r="BG54" s="3926">
        <f t="shared" si="218"/>
        <v>0</v>
      </c>
      <c r="BH54" s="3927">
        <f t="shared" si="219"/>
        <v>0</v>
      </c>
      <c r="BI54" s="4488"/>
      <c r="BJ54" s="4504">
        <f t="shared" si="46"/>
        <v>0</v>
      </c>
      <c r="BK54" s="4504">
        <f t="shared" si="47"/>
        <v>0</v>
      </c>
      <c r="BL54" s="4504">
        <f t="shared" si="48"/>
        <v>0</v>
      </c>
      <c r="BM54" s="4504">
        <f t="shared" si="49"/>
        <v>0</v>
      </c>
      <c r="BN54" s="4504">
        <f t="shared" si="50"/>
        <v>0</v>
      </c>
      <c r="BO54" s="4504">
        <f t="shared" si="51"/>
        <v>0</v>
      </c>
      <c r="BP54" s="4504">
        <f t="shared" si="52"/>
        <v>0</v>
      </c>
      <c r="BQ54" s="4504">
        <f t="shared" si="53"/>
        <v>0</v>
      </c>
      <c r="BR54" s="4504">
        <f t="shared" si="54"/>
        <v>0</v>
      </c>
      <c r="BS54" s="4504">
        <f t="shared" si="55"/>
        <v>0</v>
      </c>
      <c r="BT54" s="4504">
        <f t="shared" si="56"/>
        <v>0</v>
      </c>
      <c r="BU54" s="4504">
        <f t="shared" si="57"/>
        <v>0</v>
      </c>
      <c r="BV54" s="4504">
        <f t="shared" si="58"/>
        <v>0</v>
      </c>
      <c r="BW54" s="4504">
        <f t="shared" si="59"/>
        <v>0</v>
      </c>
      <c r="BX54" s="4504">
        <f t="shared" si="60"/>
        <v>0</v>
      </c>
      <c r="BY54" s="4504">
        <f t="shared" si="61"/>
        <v>0</v>
      </c>
      <c r="BZ54" s="4504">
        <f t="shared" si="62"/>
        <v>0</v>
      </c>
      <c r="CA54" s="4504">
        <f t="shared" si="63"/>
        <v>0</v>
      </c>
      <c r="CB54" s="4504">
        <f t="shared" si="64"/>
        <v>0</v>
      </c>
      <c r="CC54" s="4504">
        <f t="shared" si="65"/>
        <v>0</v>
      </c>
      <c r="CD54" s="4504">
        <f t="shared" si="66"/>
        <v>0</v>
      </c>
      <c r="CE54" s="4504">
        <f t="shared" si="67"/>
        <v>0</v>
      </c>
      <c r="CF54" s="4504">
        <f t="shared" si="68"/>
        <v>0</v>
      </c>
      <c r="CG54" s="4504">
        <f t="shared" si="69"/>
        <v>0</v>
      </c>
      <c r="CH54" s="4504">
        <f t="shared" si="70"/>
        <v>0</v>
      </c>
      <c r="CI54" s="4504">
        <f t="shared" si="71"/>
        <v>0</v>
      </c>
      <c r="CJ54" s="4504">
        <f t="shared" si="72"/>
        <v>0</v>
      </c>
      <c r="CK54" s="4504">
        <f t="shared" si="73"/>
        <v>0</v>
      </c>
      <c r="CL54" s="4504">
        <f t="shared" si="74"/>
        <v>0</v>
      </c>
      <c r="CM54" s="4504">
        <f t="shared" si="75"/>
        <v>0</v>
      </c>
      <c r="CN54" s="4504">
        <f t="shared" si="76"/>
        <v>0</v>
      </c>
      <c r="CO54" s="4504">
        <f t="shared" si="77"/>
        <v>0</v>
      </c>
      <c r="CP54" s="4504">
        <f t="shared" si="78"/>
        <v>0</v>
      </c>
      <c r="CQ54" s="4504">
        <f t="shared" si="79"/>
        <v>0</v>
      </c>
      <c r="CR54" s="4504">
        <f t="shared" si="80"/>
        <v>0</v>
      </c>
      <c r="CS54" s="4504">
        <f t="shared" si="81"/>
        <v>0</v>
      </c>
      <c r="CT54" s="4504">
        <f t="shared" si="82"/>
        <v>0</v>
      </c>
      <c r="CU54" s="4504">
        <f t="shared" si="83"/>
        <v>0</v>
      </c>
      <c r="CV54" s="4504">
        <f t="shared" si="84"/>
        <v>0</v>
      </c>
      <c r="CW54" s="4504">
        <f t="shared" si="85"/>
        <v>0</v>
      </c>
      <c r="CX54" s="4504">
        <f t="shared" si="86"/>
        <v>0</v>
      </c>
      <c r="CY54" s="4504">
        <f t="shared" si="87"/>
        <v>0</v>
      </c>
      <c r="CZ54" s="4504">
        <f t="shared" si="88"/>
        <v>0</v>
      </c>
      <c r="DA54" s="4504">
        <f t="shared" si="89"/>
        <v>0</v>
      </c>
      <c r="DB54" s="4504">
        <f t="shared" si="90"/>
        <v>0</v>
      </c>
      <c r="DC54" s="4504">
        <f t="shared" si="91"/>
        <v>0</v>
      </c>
      <c r="DD54" s="4504">
        <f t="shared" si="92"/>
        <v>0</v>
      </c>
      <c r="DE54" s="4504">
        <f t="shared" si="93"/>
        <v>0</v>
      </c>
      <c r="DF54" s="4504">
        <f t="shared" si="94"/>
        <v>0</v>
      </c>
      <c r="DG54" s="4504">
        <f t="shared" si="95"/>
        <v>0</v>
      </c>
      <c r="DH54" s="4504">
        <f t="shared" si="96"/>
        <v>0</v>
      </c>
      <c r="DI54" s="4504">
        <f t="shared" si="97"/>
        <v>0</v>
      </c>
      <c r="DJ54" s="4504">
        <f t="shared" si="98"/>
        <v>0</v>
      </c>
    </row>
    <row r="55" spans="1:114" thickBot="1">
      <c r="A55" s="110">
        <v>3</v>
      </c>
      <c r="B55" s="894" t="s">
        <v>446</v>
      </c>
      <c r="C55" s="1110">
        <f>SUM(C56:C58)</f>
        <v>906.89258219512067</v>
      </c>
      <c r="D55" s="1148">
        <f t="shared" ref="D55:BB55" si="220">SUM(D56:D58)</f>
        <v>914.18035172134239</v>
      </c>
      <c r="E55" s="1147">
        <f t="shared" si="220"/>
        <v>922.96100750480173</v>
      </c>
      <c r="F55" s="1147">
        <f t="shared" si="220"/>
        <v>878.50908605863424</v>
      </c>
      <c r="G55" s="1150">
        <f t="shared" si="220"/>
        <v>868.93802402056804</v>
      </c>
      <c r="H55" s="1150">
        <f t="shared" si="220"/>
        <v>861.38587487353402</v>
      </c>
      <c r="I55" s="1246">
        <f t="shared" si="198"/>
        <v>7.287769526221723</v>
      </c>
      <c r="J55" s="820">
        <f t="shared" si="199"/>
        <v>8.0359787579051319E-3</v>
      </c>
      <c r="K55" s="1110">
        <f t="shared" si="220"/>
        <v>55.90684802055199</v>
      </c>
      <c r="L55" s="1148">
        <f t="shared" si="220"/>
        <v>66.279316814519291</v>
      </c>
      <c r="M55" s="1147">
        <f t="shared" si="220"/>
        <v>66.6552207607741</v>
      </c>
      <c r="N55" s="1147">
        <f t="shared" si="220"/>
        <v>67.046051879166512</v>
      </c>
      <c r="O55" s="1150">
        <f t="shared" si="220"/>
        <v>67.452718649844982</v>
      </c>
      <c r="P55" s="1150">
        <f t="shared" si="220"/>
        <v>67.835157024844108</v>
      </c>
      <c r="Q55" s="1246">
        <f t="shared" si="200"/>
        <v>10.3724687939673</v>
      </c>
      <c r="R55" s="875">
        <f t="shared" si="201"/>
        <v>0.18553127499075361</v>
      </c>
      <c r="S55" s="1110">
        <f t="shared" si="220"/>
        <v>128.62337155499634</v>
      </c>
      <c r="T55" s="1148">
        <f t="shared" si="220"/>
        <v>96.110082630124438</v>
      </c>
      <c r="U55" s="1147">
        <f t="shared" si="220"/>
        <v>96.57352290041041</v>
      </c>
      <c r="V55" s="1147">
        <f t="shared" si="220"/>
        <v>93.579241593457738</v>
      </c>
      <c r="W55" s="1150">
        <f t="shared" si="220"/>
        <v>92.971330110164985</v>
      </c>
      <c r="X55" s="1150">
        <f t="shared" si="220"/>
        <v>93.461040882199924</v>
      </c>
      <c r="Y55" s="1246">
        <f t="shared" si="168"/>
        <v>-32.513288924871901</v>
      </c>
      <c r="Z55" s="875">
        <f t="shared" si="169"/>
        <v>-0.25277901311248074</v>
      </c>
      <c r="AA55" s="1110">
        <f t="shared" ref="AA55:AN55" si="221">SUM(AA56:AA58)</f>
        <v>0</v>
      </c>
      <c r="AB55" s="1148">
        <f t="shared" si="221"/>
        <v>0</v>
      </c>
      <c r="AC55" s="1147">
        <f t="shared" si="221"/>
        <v>0</v>
      </c>
      <c r="AD55" s="1147">
        <f t="shared" si="221"/>
        <v>0</v>
      </c>
      <c r="AE55" s="1150">
        <f t="shared" si="221"/>
        <v>0</v>
      </c>
      <c r="AF55" s="1150">
        <f t="shared" si="221"/>
        <v>0</v>
      </c>
      <c r="AG55" s="1246">
        <f t="shared" si="203"/>
        <v>0</v>
      </c>
      <c r="AH55" s="820">
        <f t="shared" si="204"/>
        <v>0</v>
      </c>
      <c r="AI55" s="1110">
        <f t="shared" si="221"/>
        <v>27.458201023514821</v>
      </c>
      <c r="AJ55" s="1148">
        <f t="shared" si="221"/>
        <v>312.87405787059288</v>
      </c>
      <c r="AK55" s="1147">
        <f t="shared" si="221"/>
        <v>158.47405787059287</v>
      </c>
      <c r="AL55" s="1147">
        <f t="shared" si="221"/>
        <v>154.0740578705929</v>
      </c>
      <c r="AM55" s="1150">
        <f t="shared" si="221"/>
        <v>179.67405787059289</v>
      </c>
      <c r="AN55" s="2671">
        <f t="shared" si="221"/>
        <v>180.27405787059288</v>
      </c>
      <c r="AO55" s="1246">
        <f t="shared" si="205"/>
        <v>285.41585684707803</v>
      </c>
      <c r="AP55" s="820">
        <f t="shared" si="206"/>
        <v>10.394557771743745</v>
      </c>
      <c r="AQ55" s="1110">
        <f t="shared" si="220"/>
        <v>22.770107205816263</v>
      </c>
      <c r="AR55" s="1148">
        <f t="shared" si="220"/>
        <v>0</v>
      </c>
      <c r="AS55" s="1147">
        <f t="shared" si="220"/>
        <v>0</v>
      </c>
      <c r="AT55" s="1147">
        <f t="shared" si="220"/>
        <v>0</v>
      </c>
      <c r="AU55" s="1150">
        <f t="shared" si="220"/>
        <v>0</v>
      </c>
      <c r="AV55" s="2671">
        <f t="shared" si="220"/>
        <v>0</v>
      </c>
      <c r="AW55" s="1110">
        <f t="shared" si="220"/>
        <v>1118.8810027941838</v>
      </c>
      <c r="AX55" s="1148">
        <f t="shared" si="220"/>
        <v>1389.4438090365791</v>
      </c>
      <c r="AY55" s="1147">
        <f t="shared" si="220"/>
        <v>1244.6638090365791</v>
      </c>
      <c r="AZ55" s="1147">
        <f t="shared" si="220"/>
        <v>1193.2084374018514</v>
      </c>
      <c r="BA55" s="1150">
        <f t="shared" si="220"/>
        <v>1209.0361306511709</v>
      </c>
      <c r="BB55" s="2671">
        <f t="shared" si="220"/>
        <v>1202.956130651171</v>
      </c>
      <c r="BC55" s="1110">
        <f t="shared" ref="BC55:BH55" si="222">SUM(BC56:BC58)</f>
        <v>934.35078321863557</v>
      </c>
      <c r="BD55" s="1148">
        <f t="shared" si="222"/>
        <v>1227.0544095919352</v>
      </c>
      <c r="BE55" s="1147">
        <f t="shared" si="222"/>
        <v>1081.4350653753945</v>
      </c>
      <c r="BF55" s="1147">
        <f t="shared" si="222"/>
        <v>1032.5831439292272</v>
      </c>
      <c r="BG55" s="1150">
        <f t="shared" si="222"/>
        <v>1048.6120818911609</v>
      </c>
      <c r="BH55" s="2671">
        <f t="shared" si="222"/>
        <v>1041.659932744127</v>
      </c>
      <c r="BI55" s="4488"/>
      <c r="BJ55" s="4504">
        <f t="shared" si="46"/>
        <v>463.68681439343948</v>
      </c>
      <c r="BK55" s="4504">
        <f t="shared" si="47"/>
        <v>467.41299178422582</v>
      </c>
      <c r="BL55" s="4504">
        <f t="shared" si="48"/>
        <v>471.90246979788719</v>
      </c>
      <c r="BM55" s="4504">
        <f t="shared" si="49"/>
        <v>449.17456325888969</v>
      </c>
      <c r="BN55" s="4504">
        <f t="shared" si="50"/>
        <v>444.28095694440111</v>
      </c>
      <c r="BO55" s="4504">
        <f t="shared" si="51"/>
        <v>440.41960439993971</v>
      </c>
      <c r="BP55" s="4504">
        <f t="shared" si="52"/>
        <v>3.7261773907863787</v>
      </c>
      <c r="BQ55" s="4504">
        <f t="shared" si="53"/>
        <v>28.58471749617911</v>
      </c>
      <c r="BR55" s="4504">
        <f t="shared" si="54"/>
        <v>33.888076578495728</v>
      </c>
      <c r="BS55" s="4504">
        <f t="shared" si="55"/>
        <v>34.08027321432543</v>
      </c>
      <c r="BT55" s="4504">
        <f t="shared" si="56"/>
        <v>34.280101992078308</v>
      </c>
      <c r="BU55" s="4504">
        <f t="shared" si="57"/>
        <v>34.488027410278491</v>
      </c>
      <c r="BV55" s="4504">
        <f t="shared" si="58"/>
        <v>34.683565046473419</v>
      </c>
      <c r="BW55" s="4504">
        <f t="shared" si="59"/>
        <v>5.3033590823166126</v>
      </c>
      <c r="BX55" s="4504">
        <f t="shared" si="60"/>
        <v>65.764085608154261</v>
      </c>
      <c r="BY55" s="4504">
        <f t="shared" si="61"/>
        <v>49.140304949880324</v>
      </c>
      <c r="BZ55" s="4504">
        <f t="shared" si="62"/>
        <v>49.377258197496928</v>
      </c>
      <c r="CA55" s="4504">
        <f t="shared" si="63"/>
        <v>47.846306475234421</v>
      </c>
      <c r="CB55" s="4504">
        <f t="shared" si="64"/>
        <v>47.535486269340886</v>
      </c>
      <c r="CC55" s="4504">
        <f t="shared" si="65"/>
        <v>47.785871411216682</v>
      </c>
      <c r="CD55" s="4504">
        <f t="shared" si="66"/>
        <v>-16.62378065827393</v>
      </c>
      <c r="CE55" s="4504">
        <f t="shared" si="67"/>
        <v>0</v>
      </c>
      <c r="CF55" s="4504">
        <f t="shared" si="68"/>
        <v>0</v>
      </c>
      <c r="CG55" s="4504">
        <f t="shared" si="69"/>
        <v>0</v>
      </c>
      <c r="CH55" s="4504">
        <f t="shared" si="70"/>
        <v>0</v>
      </c>
      <c r="CI55" s="4504">
        <f t="shared" si="71"/>
        <v>0</v>
      </c>
      <c r="CJ55" s="4504">
        <f t="shared" si="72"/>
        <v>0</v>
      </c>
      <c r="CK55" s="4504">
        <f t="shared" si="73"/>
        <v>0</v>
      </c>
      <c r="CL55" s="4504">
        <f t="shared" si="74"/>
        <v>14.039155255576825</v>
      </c>
      <c r="CM55" s="4504">
        <f t="shared" si="75"/>
        <v>159.96996562614996</v>
      </c>
      <c r="CN55" s="4504">
        <f t="shared" si="76"/>
        <v>81.026499169453828</v>
      </c>
      <c r="CO55" s="4504">
        <f t="shared" si="77"/>
        <v>78.776814892190473</v>
      </c>
      <c r="CP55" s="4504">
        <f t="shared" si="78"/>
        <v>91.865887050813669</v>
      </c>
      <c r="CQ55" s="4504">
        <f t="shared" si="79"/>
        <v>92.1726621795314</v>
      </c>
      <c r="CR55" s="4504">
        <f t="shared" si="80"/>
        <v>145.93081037057311</v>
      </c>
      <c r="CS55" s="4504">
        <f t="shared" si="81"/>
        <v>11.642170948301368</v>
      </c>
      <c r="CT55" s="4504">
        <f t="shared" si="82"/>
        <v>0</v>
      </c>
      <c r="CU55" s="4504">
        <f t="shared" si="83"/>
        <v>0</v>
      </c>
      <c r="CV55" s="4504">
        <f t="shared" si="84"/>
        <v>0</v>
      </c>
      <c r="CW55" s="4504">
        <f t="shared" si="85"/>
        <v>0</v>
      </c>
      <c r="CX55" s="4504">
        <f t="shared" si="86"/>
        <v>0</v>
      </c>
      <c r="CY55" s="4504">
        <f t="shared" si="87"/>
        <v>572.07477275334963</v>
      </c>
      <c r="CZ55" s="4504">
        <f t="shared" si="88"/>
        <v>710.4113389387519</v>
      </c>
      <c r="DA55" s="4504">
        <f t="shared" si="89"/>
        <v>636.38650037916341</v>
      </c>
      <c r="DB55" s="4504">
        <f t="shared" si="90"/>
        <v>610.07778661839291</v>
      </c>
      <c r="DC55" s="4504">
        <f t="shared" si="91"/>
        <v>618.17035767483412</v>
      </c>
      <c r="DD55" s="4504">
        <f t="shared" si="92"/>
        <v>615.06170303716124</v>
      </c>
      <c r="DE55" s="4504">
        <f t="shared" si="93"/>
        <v>477.72596964901629</v>
      </c>
      <c r="DF55" s="4504">
        <f t="shared" si="94"/>
        <v>627.38295741037575</v>
      </c>
      <c r="DG55" s="4504">
        <f t="shared" si="95"/>
        <v>552.92896896734101</v>
      </c>
      <c r="DH55" s="4504">
        <f t="shared" si="96"/>
        <v>527.95137815108023</v>
      </c>
      <c r="DI55" s="4504">
        <f t="shared" si="97"/>
        <v>536.14684399521479</v>
      </c>
      <c r="DJ55" s="4504">
        <f t="shared" si="98"/>
        <v>532.59226657947113</v>
      </c>
    </row>
    <row r="56" spans="1:114" ht="13.2">
      <c r="A56" s="111" t="s">
        <v>263</v>
      </c>
      <c r="B56" s="898" t="s">
        <v>447</v>
      </c>
      <c r="C56" s="4621">
        <v>67.592755528453949</v>
      </c>
      <c r="D56" s="3081">
        <f>'11. Амортиз. план'!G35</f>
        <v>152.54794037861484</v>
      </c>
      <c r="E56" s="3082">
        <f>'11. Амортиз. план'!H35</f>
        <v>156.32859616207406</v>
      </c>
      <c r="F56" s="3082">
        <f>'11. Амортиз. план'!I35</f>
        <v>161.35061836025824</v>
      </c>
      <c r="G56" s="3082">
        <f>'11. Амортиз. план'!J35</f>
        <v>167.60469068723475</v>
      </c>
      <c r="H56" s="3083">
        <f>'11. Амортиз. план'!K35</f>
        <v>172.05254154020071</v>
      </c>
      <c r="I56" s="1252">
        <f t="shared" si="198"/>
        <v>84.95518485016089</v>
      </c>
      <c r="J56" s="823">
        <f t="shared" si="199"/>
        <v>1.2568681981665628</v>
      </c>
      <c r="K56" s="4621">
        <v>15.546651353885323</v>
      </c>
      <c r="L56" s="3081">
        <f>'11. Амортиз. план'!N35</f>
        <v>17.945983481185962</v>
      </c>
      <c r="M56" s="3082">
        <f>'11. Амортиз. план'!O35</f>
        <v>18.321887427440771</v>
      </c>
      <c r="N56" s="3082">
        <f>'11. Амортиз. план'!P35</f>
        <v>18.712718545833184</v>
      </c>
      <c r="O56" s="3082">
        <f>'11. Амортиз. план'!Q35</f>
        <v>19.119385316511654</v>
      </c>
      <c r="P56" s="3083">
        <f>'11. Амортиз. план'!R35</f>
        <v>19.501823691510772</v>
      </c>
      <c r="Q56" s="1252">
        <f t="shared" si="200"/>
        <v>2.3993321273006387</v>
      </c>
      <c r="R56" s="879">
        <f t="shared" si="201"/>
        <v>0.15433112074652736</v>
      </c>
      <c r="S56" s="3070">
        <v>24.147934888329651</v>
      </c>
      <c r="T56" s="3081">
        <f>'11. Амортиз. план'!U35</f>
        <v>18.108148920777261</v>
      </c>
      <c r="U56" s="3082">
        <f>'11. Амортиз. план'!V35</f>
        <v>18.571589191063225</v>
      </c>
      <c r="V56" s="3082">
        <f>'11. Амортиз. план'!W35</f>
        <v>19.078735874486608</v>
      </c>
      <c r="W56" s="3082">
        <f>'11. Амортиз. план'!X35</f>
        <v>19.63799677683166</v>
      </c>
      <c r="X56" s="3083">
        <f>'11. Амортиз. план'!Y35</f>
        <v>20.127707548866596</v>
      </c>
      <c r="Y56" s="1252">
        <f t="shared" si="168"/>
        <v>-6.0397859675523904</v>
      </c>
      <c r="Z56" s="879">
        <f t="shared" si="169"/>
        <v>-0.25011604493232803</v>
      </c>
      <c r="AA56" s="3070"/>
      <c r="AB56" s="3081">
        <f>'11. Амортиз. план'!AB35</f>
        <v>0</v>
      </c>
      <c r="AC56" s="3082">
        <f>'11. Амортиз. план'!AC35</f>
        <v>0</v>
      </c>
      <c r="AD56" s="3082">
        <f>'11. Амортиз. план'!AD35</f>
        <v>0</v>
      </c>
      <c r="AE56" s="3082">
        <f>'11. Амортиз. план'!AE35</f>
        <v>0</v>
      </c>
      <c r="AF56" s="3083">
        <f>'11. Амортиз. план'!AF35</f>
        <v>0</v>
      </c>
      <c r="AG56" s="1252">
        <f t="shared" si="203"/>
        <v>0</v>
      </c>
      <c r="AH56" s="823">
        <f t="shared" si="204"/>
        <v>0</v>
      </c>
      <c r="AI56" s="3070">
        <v>3.1194110235148176</v>
      </c>
      <c r="AJ56" s="3081">
        <f>'11. Амортиз. план'!AI35</f>
        <v>22.874057870592878</v>
      </c>
      <c r="AK56" s="3082">
        <f>'11. Амортиз. план'!AJ35</f>
        <v>23.474057870592876</v>
      </c>
      <c r="AL56" s="3082">
        <f>'11. Амортиз. план'!AK35</f>
        <v>24.074057870592881</v>
      </c>
      <c r="AM56" s="3082">
        <f>'11. Амортиз. план'!AL35</f>
        <v>24.674057870592872</v>
      </c>
      <c r="AN56" s="3103">
        <f>'11. Амортиз. план'!AM35</f>
        <v>25.274057870592888</v>
      </c>
      <c r="AO56" s="1252">
        <f t="shared" si="205"/>
        <v>19.75464684707806</v>
      </c>
      <c r="AP56" s="823">
        <f t="shared" si="206"/>
        <v>6.3328130529010496</v>
      </c>
      <c r="AQ56" s="3075">
        <v>22.770107205816263</v>
      </c>
      <c r="AR56" s="3121"/>
      <c r="AS56" s="3122"/>
      <c r="AT56" s="3122"/>
      <c r="AU56" s="3122"/>
      <c r="AV56" s="3123"/>
      <c r="AW56" s="1112">
        <f t="shared" ref="AW56:AW58" si="223">C56+K56+S56+AA56+AI56</f>
        <v>110.40675279418373</v>
      </c>
      <c r="AX56" s="3090">
        <f t="shared" ref="AX56:AX58" si="224">D56+L56+T56+AB56+AJ56</f>
        <v>211.47613065117096</v>
      </c>
      <c r="AY56" s="3090">
        <f t="shared" ref="AY56:AY58" si="225">E56+M56+U56+AC56+AK56</f>
        <v>216.69613065117093</v>
      </c>
      <c r="AZ56" s="3090">
        <f t="shared" ref="AZ56:AZ58" si="226">F56+N56+V56+AD56+AL56</f>
        <v>223.21613065117089</v>
      </c>
      <c r="BA56" s="3090">
        <f t="shared" ref="BA56:BA58" si="227">G56+O56+W56+AE56+AM56</f>
        <v>231.03613065117094</v>
      </c>
      <c r="BB56" s="3091">
        <f t="shared" ref="BB56:BB58" si="228">H56+P56+X56+AF56+AN56</f>
        <v>236.95613065117095</v>
      </c>
      <c r="BC56" s="3111">
        <f t="shared" ref="BC56:BC58" si="229">C56+AA56+AI56</f>
        <v>70.712166551968764</v>
      </c>
      <c r="BD56" s="3112">
        <f t="shared" ref="BD56:BD58" si="230">D56+AB56+AJ56</f>
        <v>175.42199824920772</v>
      </c>
      <c r="BE56" s="3113">
        <f t="shared" ref="BE56:BE58" si="231">E56+AC56+AK56</f>
        <v>179.80265403266694</v>
      </c>
      <c r="BF56" s="3113">
        <f t="shared" ref="BF56:BF58" si="232">F56+AD56+AL56</f>
        <v>185.42467623085111</v>
      </c>
      <c r="BG56" s="3113">
        <f t="shared" ref="BG56:BG58" si="233">G56+AE56+AM56</f>
        <v>192.27874855782761</v>
      </c>
      <c r="BH56" s="3115">
        <f t="shared" ref="BH56:BH58" si="234">H56+AF56+AN56</f>
        <v>197.32659941079359</v>
      </c>
      <c r="BI56" s="4488"/>
      <c r="BJ56" s="4504">
        <f t="shared" si="46"/>
        <v>34.559627129379315</v>
      </c>
      <c r="BK56" s="4504">
        <f t="shared" si="47"/>
        <v>77.996523408790566</v>
      </c>
      <c r="BL56" s="4504">
        <f t="shared" si="48"/>
        <v>79.929542016470791</v>
      </c>
      <c r="BM56" s="4504">
        <f t="shared" si="49"/>
        <v>82.497261193589551</v>
      </c>
      <c r="BN56" s="4504">
        <f t="shared" si="50"/>
        <v>85.694917598786574</v>
      </c>
      <c r="BO56" s="4504">
        <f t="shared" si="51"/>
        <v>87.969067628679753</v>
      </c>
      <c r="BP56" s="4504">
        <f t="shared" si="52"/>
        <v>43.436896279411243</v>
      </c>
      <c r="BQ56" s="4504">
        <f t="shared" si="53"/>
        <v>7.9488766170297644</v>
      </c>
      <c r="BR56" s="4504">
        <f t="shared" si="54"/>
        <v>9.1756356540118329</v>
      </c>
      <c r="BS56" s="4504">
        <f t="shared" si="55"/>
        <v>9.3678322898415356</v>
      </c>
      <c r="BT56" s="4504">
        <f t="shared" si="56"/>
        <v>9.5676610675944147</v>
      </c>
      <c r="BU56" s="4504">
        <f t="shared" si="57"/>
        <v>9.7755864857946015</v>
      </c>
      <c r="BV56" s="4504">
        <f t="shared" si="58"/>
        <v>9.9711241219895257</v>
      </c>
      <c r="BW56" s="4504">
        <f t="shared" si="59"/>
        <v>1.2267590369820685</v>
      </c>
      <c r="BX56" s="4504">
        <f t="shared" si="60"/>
        <v>12.346643056057864</v>
      </c>
      <c r="BY56" s="4504">
        <f t="shared" si="61"/>
        <v>9.2585495266854796</v>
      </c>
      <c r="BZ56" s="4504">
        <f t="shared" si="62"/>
        <v>9.4955027743020732</v>
      </c>
      <c r="CA56" s="4504">
        <f t="shared" si="63"/>
        <v>9.7548027561120385</v>
      </c>
      <c r="CB56" s="4504">
        <f t="shared" si="64"/>
        <v>10.040748314951534</v>
      </c>
      <c r="CC56" s="4504">
        <f t="shared" si="65"/>
        <v>10.29113345682733</v>
      </c>
      <c r="CD56" s="4504">
        <f t="shared" si="66"/>
        <v>-3.0880935293723843</v>
      </c>
      <c r="CE56" s="4504">
        <f t="shared" si="67"/>
        <v>0</v>
      </c>
      <c r="CF56" s="4504">
        <f t="shared" si="68"/>
        <v>0</v>
      </c>
      <c r="CG56" s="4504">
        <f t="shared" si="69"/>
        <v>0</v>
      </c>
      <c r="CH56" s="4504">
        <f t="shared" si="70"/>
        <v>0</v>
      </c>
      <c r="CI56" s="4504">
        <f t="shared" si="71"/>
        <v>0</v>
      </c>
      <c r="CJ56" s="4504">
        <f t="shared" si="72"/>
        <v>0</v>
      </c>
      <c r="CK56" s="4504">
        <f t="shared" si="73"/>
        <v>0</v>
      </c>
      <c r="CL56" s="4504">
        <f t="shared" si="74"/>
        <v>1.5949295304371125</v>
      </c>
      <c r="CM56" s="4504">
        <f t="shared" si="75"/>
        <v>11.695320079246601</v>
      </c>
      <c r="CN56" s="4504">
        <f t="shared" si="76"/>
        <v>12.002095207964331</v>
      </c>
      <c r="CO56" s="4504">
        <f t="shared" si="77"/>
        <v>12.308870336682064</v>
      </c>
      <c r="CP56" s="4504">
        <f t="shared" si="78"/>
        <v>12.61564546539979</v>
      </c>
      <c r="CQ56" s="4504">
        <f t="shared" si="79"/>
        <v>12.922420594117529</v>
      </c>
      <c r="CR56" s="4504">
        <f t="shared" si="80"/>
        <v>10.100390548809488</v>
      </c>
      <c r="CS56" s="4504">
        <f t="shared" si="81"/>
        <v>11.642170948301368</v>
      </c>
      <c r="CT56" s="4504">
        <f t="shared" si="82"/>
        <v>0</v>
      </c>
      <c r="CU56" s="4504">
        <f t="shared" si="83"/>
        <v>0</v>
      </c>
      <c r="CV56" s="4504">
        <f t="shared" si="84"/>
        <v>0</v>
      </c>
      <c r="CW56" s="4504">
        <f t="shared" si="85"/>
        <v>0</v>
      </c>
      <c r="CX56" s="4504">
        <f t="shared" si="86"/>
        <v>0</v>
      </c>
      <c r="CY56" s="4504">
        <f t="shared" si="87"/>
        <v>56.450076332904054</v>
      </c>
      <c r="CZ56" s="4504">
        <f t="shared" si="88"/>
        <v>108.12602866873448</v>
      </c>
      <c r="DA56" s="4504">
        <f t="shared" si="89"/>
        <v>110.79497228857873</v>
      </c>
      <c r="DB56" s="4504">
        <f t="shared" si="90"/>
        <v>114.12859535397806</v>
      </c>
      <c r="DC56" s="4504">
        <f t="shared" si="91"/>
        <v>118.1268978649325</v>
      </c>
      <c r="DD56" s="4504">
        <f t="shared" si="92"/>
        <v>121.15374580161412</v>
      </c>
      <c r="DE56" s="4504">
        <f t="shared" si="93"/>
        <v>36.154556659816429</v>
      </c>
      <c r="DF56" s="4504">
        <f t="shared" si="94"/>
        <v>89.691843488037165</v>
      </c>
      <c r="DG56" s="4504">
        <f t="shared" si="95"/>
        <v>91.931637224435121</v>
      </c>
      <c r="DH56" s="4504">
        <f t="shared" si="96"/>
        <v>94.8061315302716</v>
      </c>
      <c r="DI56" s="4504">
        <f t="shared" si="97"/>
        <v>98.310563064186368</v>
      </c>
      <c r="DJ56" s="4504">
        <f t="shared" si="98"/>
        <v>100.89148822279728</v>
      </c>
    </row>
    <row r="57" spans="1:114" ht="24">
      <c r="A57" s="113" t="s">
        <v>264</v>
      </c>
      <c r="B57" s="898" t="s">
        <v>736</v>
      </c>
      <c r="C57" s="4621">
        <v>109.55983130204145</v>
      </c>
      <c r="D57" s="3084">
        <f>'11. Амортиз. план'!G131</f>
        <v>242.49251506462986</v>
      </c>
      <c r="E57" s="3085">
        <f>'11. Амортиз. план'!H131</f>
        <v>273.01399123267618</v>
      </c>
      <c r="F57" s="3085">
        <f>'11. Амортиз. план'!I131</f>
        <v>304.40800104464404</v>
      </c>
      <c r="G57" s="3085">
        <f>'11. Амортиз. план'!J131</f>
        <v>337.32702924966594</v>
      </c>
      <c r="H57" s="3086">
        <f>'11. Амортиз. план'!K131</f>
        <v>369.9912308247853</v>
      </c>
      <c r="I57" s="1253">
        <f t="shared" si="198"/>
        <v>132.9326837625884</v>
      </c>
      <c r="J57" s="824">
        <f t="shared" si="199"/>
        <v>1.2133341406496985</v>
      </c>
      <c r="K57" s="4621">
        <v>1.01101</v>
      </c>
      <c r="L57" s="3084">
        <f>'11. Амортиз. план'!N131</f>
        <v>2.0324880673606445</v>
      </c>
      <c r="M57" s="3085">
        <f>'11. Амортиз. план'!O131</f>
        <v>2.3049593094386145</v>
      </c>
      <c r="N57" s="3085">
        <f>'11. Амортиз. план'!P131</f>
        <v>2.6050096393590039</v>
      </c>
      <c r="O57" s="3085">
        <f>'11. Амортиз. план'!Q131</f>
        <v>2.9116864115098871</v>
      </c>
      <c r="P57" s="3086">
        <f>'11. Амортиз. план'!R131</f>
        <v>3.2258642573829102</v>
      </c>
      <c r="Q57" s="1253">
        <f t="shared" si="200"/>
        <v>1.0214780673606445</v>
      </c>
      <c r="R57" s="880">
        <f t="shared" si="201"/>
        <v>1.0103540690602908</v>
      </c>
      <c r="S57" s="3070">
        <v>26.016989999999996</v>
      </c>
      <c r="T57" s="3084">
        <f>'11. Амортиз. план'!U131</f>
        <v>35.753185122475927</v>
      </c>
      <c r="U57" s="3085">
        <f>'11. Амортиз. план'!V131</f>
        <v>37.449237712351618</v>
      </c>
      <c r="V57" s="3085">
        <f>'11. Амортиз. план'!W131</f>
        <v>39.285177570463446</v>
      </c>
      <c r="W57" s="3085">
        <f>'11. Амортиз. план'!X131</f>
        <v>41.169472593290656</v>
      </c>
      <c r="X57" s="3086">
        <f>'11. Амортиз. план'!Y131</f>
        <v>43.091093172298237</v>
      </c>
      <c r="Y57" s="1253">
        <f t="shared" si="168"/>
        <v>9.7361951224759302</v>
      </c>
      <c r="Z57" s="880">
        <f t="shared" si="169"/>
        <v>0.37422450185344008</v>
      </c>
      <c r="AA57" s="3070"/>
      <c r="AB57" s="3084">
        <f>'11. Амортиз. план'!AB131</f>
        <v>0</v>
      </c>
      <c r="AC57" s="3085">
        <f>'11. Амортиз. план'!AC131</f>
        <v>0</v>
      </c>
      <c r="AD57" s="3085">
        <f>'11. Амортиз. план'!AD131</f>
        <v>0</v>
      </c>
      <c r="AE57" s="3085">
        <f>'11. Амортиз. план'!AE131</f>
        <v>0</v>
      </c>
      <c r="AF57" s="3086">
        <f>'11. Амортиз. план'!AF131</f>
        <v>0</v>
      </c>
      <c r="AG57" s="1253">
        <f t="shared" si="203"/>
        <v>0</v>
      </c>
      <c r="AH57" s="824">
        <f t="shared" si="204"/>
        <v>0</v>
      </c>
      <c r="AI57" s="3070">
        <v>16.31593869795859</v>
      </c>
      <c r="AJ57" s="3084">
        <f>'11. Амортиз. план'!AI131</f>
        <v>27.728701945533619</v>
      </c>
      <c r="AK57" s="3085">
        <f>'11. Амортиз. план'!AJ131</f>
        <v>36.678701945533618</v>
      </c>
      <c r="AL57" s="3085">
        <f>'11. Амортиз. план'!AK131</f>
        <v>42.528701945533619</v>
      </c>
      <c r="AM57" s="3085">
        <f>'11. Амортиз. план'!AL131</f>
        <v>48.578701945533624</v>
      </c>
      <c r="AN57" s="3104">
        <f>'11. Амортиз. план'!AM131</f>
        <v>54.878701945533621</v>
      </c>
      <c r="AO57" s="1253">
        <f t="shared" si="205"/>
        <v>11.412763247575029</v>
      </c>
      <c r="AP57" s="824">
        <f t="shared" si="206"/>
        <v>0.69948554348288683</v>
      </c>
      <c r="AQ57" s="3070">
        <v>0</v>
      </c>
      <c r="AR57" s="3124"/>
      <c r="AS57" s="3125"/>
      <c r="AT57" s="3125"/>
      <c r="AU57" s="3125"/>
      <c r="AV57" s="3126"/>
      <c r="AW57" s="1112">
        <f t="shared" si="223"/>
        <v>152.90377000000004</v>
      </c>
      <c r="AX57" s="3090">
        <f t="shared" si="224"/>
        <v>308.00689020000004</v>
      </c>
      <c r="AY57" s="3090">
        <f t="shared" si="225"/>
        <v>349.44689019999998</v>
      </c>
      <c r="AZ57" s="3090">
        <f t="shared" si="226"/>
        <v>388.82689020000009</v>
      </c>
      <c r="BA57" s="3090">
        <f t="shared" si="227"/>
        <v>429.98689020000012</v>
      </c>
      <c r="BB57" s="3091">
        <f t="shared" si="228"/>
        <v>471.18689020000011</v>
      </c>
      <c r="BC57" s="3111">
        <f t="shared" si="229"/>
        <v>125.87577000000003</v>
      </c>
      <c r="BD57" s="3112">
        <f t="shared" si="230"/>
        <v>270.22121701016346</v>
      </c>
      <c r="BE57" s="3113">
        <f t="shared" si="231"/>
        <v>309.69269317820977</v>
      </c>
      <c r="BF57" s="3113">
        <f t="shared" si="232"/>
        <v>346.93670299017765</v>
      </c>
      <c r="BG57" s="3113">
        <f t="shared" si="233"/>
        <v>385.90573119519956</v>
      </c>
      <c r="BH57" s="3115">
        <f t="shared" si="234"/>
        <v>424.86993277031894</v>
      </c>
      <c r="BI57" s="4488"/>
      <c r="BJ57" s="4504">
        <f t="shared" si="46"/>
        <v>56.017052249961118</v>
      </c>
      <c r="BK57" s="4504">
        <f t="shared" si="47"/>
        <v>123.98445420339695</v>
      </c>
      <c r="BL57" s="4504">
        <f t="shared" si="48"/>
        <v>139.5898371702429</v>
      </c>
      <c r="BM57" s="4504">
        <f t="shared" si="49"/>
        <v>155.64133950529649</v>
      </c>
      <c r="BN57" s="4504">
        <f t="shared" si="50"/>
        <v>172.47257136339351</v>
      </c>
      <c r="BO57" s="4504">
        <f t="shared" si="51"/>
        <v>189.17351243450878</v>
      </c>
      <c r="BP57" s="4504">
        <f t="shared" si="52"/>
        <v>67.967401953435825</v>
      </c>
      <c r="BQ57" s="4504">
        <f t="shared" si="53"/>
        <v>0.51692120480818882</v>
      </c>
      <c r="BR57" s="4504">
        <f t="shared" si="54"/>
        <v>1.0391946474696903</v>
      </c>
      <c r="BS57" s="4504">
        <f t="shared" si="55"/>
        <v>1.178506981403606</v>
      </c>
      <c r="BT57" s="4504">
        <f t="shared" si="56"/>
        <v>1.3319202790421478</v>
      </c>
      <c r="BU57" s="4504">
        <f t="shared" si="57"/>
        <v>1.4887216227943569</v>
      </c>
      <c r="BV57" s="4504">
        <f t="shared" si="58"/>
        <v>1.6493582046409505</v>
      </c>
      <c r="BW57" s="4504">
        <f t="shared" si="59"/>
        <v>0.52227344266150155</v>
      </c>
      <c r="BX57" s="4504">
        <f t="shared" si="60"/>
        <v>13.302275760163203</v>
      </c>
      <c r="BY57" s="4504">
        <f t="shared" si="61"/>
        <v>18.280313280027368</v>
      </c>
      <c r="BZ57" s="4504">
        <f t="shared" si="62"/>
        <v>19.147491199312629</v>
      </c>
      <c r="CA57" s="4504">
        <f t="shared" si="63"/>
        <v>20.086192343129746</v>
      </c>
      <c r="CB57" s="4504">
        <f t="shared" si="64"/>
        <v>21.049617090079739</v>
      </c>
      <c r="CC57" s="4504">
        <f t="shared" si="65"/>
        <v>22.032126090865891</v>
      </c>
      <c r="CD57" s="4504">
        <f t="shared" si="66"/>
        <v>4.9780375198641655</v>
      </c>
      <c r="CE57" s="4504">
        <f t="shared" si="67"/>
        <v>0</v>
      </c>
      <c r="CF57" s="4504">
        <f t="shared" si="68"/>
        <v>0</v>
      </c>
      <c r="CG57" s="4504">
        <f t="shared" si="69"/>
        <v>0</v>
      </c>
      <c r="CH57" s="4504">
        <f t="shared" si="70"/>
        <v>0</v>
      </c>
      <c r="CI57" s="4504">
        <f t="shared" si="71"/>
        <v>0</v>
      </c>
      <c r="CJ57" s="4504">
        <f t="shared" si="72"/>
        <v>0</v>
      </c>
      <c r="CK57" s="4504">
        <f t="shared" si="73"/>
        <v>0</v>
      </c>
      <c r="CL57" s="4504">
        <f t="shared" si="74"/>
        <v>8.3422069903614275</v>
      </c>
      <c r="CM57" s="4504">
        <f t="shared" si="75"/>
        <v>14.177460180861127</v>
      </c>
      <c r="CN57" s="4504">
        <f t="shared" si="76"/>
        <v>18.753522517567284</v>
      </c>
      <c r="CO57" s="4504">
        <f t="shared" si="77"/>
        <v>21.744580022565163</v>
      </c>
      <c r="CP57" s="4504">
        <f t="shared" si="78"/>
        <v>24.837895903802284</v>
      </c>
      <c r="CQ57" s="4504">
        <f t="shared" si="79"/>
        <v>28.059034755338462</v>
      </c>
      <c r="CR57" s="4504">
        <f t="shared" si="80"/>
        <v>5.8352531904997003</v>
      </c>
      <c r="CS57" s="4504">
        <f t="shared" si="81"/>
        <v>0</v>
      </c>
      <c r="CT57" s="4504">
        <f t="shared" si="82"/>
        <v>0</v>
      </c>
      <c r="CU57" s="4504">
        <f t="shared" si="83"/>
        <v>0</v>
      </c>
      <c r="CV57" s="4504">
        <f t="shared" si="84"/>
        <v>0</v>
      </c>
      <c r="CW57" s="4504">
        <f t="shared" si="85"/>
        <v>0</v>
      </c>
      <c r="CX57" s="4504">
        <f t="shared" si="86"/>
        <v>0</v>
      </c>
      <c r="CY57" s="4504">
        <f t="shared" si="87"/>
        <v>78.178456205293941</v>
      </c>
      <c r="CZ57" s="4504">
        <f t="shared" si="88"/>
        <v>157.48142231175513</v>
      </c>
      <c r="DA57" s="4504">
        <f t="shared" si="89"/>
        <v>178.66935786852639</v>
      </c>
      <c r="DB57" s="4504">
        <f t="shared" si="90"/>
        <v>198.80403215003355</v>
      </c>
      <c r="DC57" s="4504">
        <f t="shared" si="91"/>
        <v>219.8488059800699</v>
      </c>
      <c r="DD57" s="4504">
        <f t="shared" si="92"/>
        <v>240.91403148535412</v>
      </c>
      <c r="DE57" s="4504">
        <f t="shared" si="93"/>
        <v>64.359259240322544</v>
      </c>
      <c r="DF57" s="4504">
        <f t="shared" si="94"/>
        <v>138.16191438425807</v>
      </c>
      <c r="DG57" s="4504">
        <f t="shared" si="95"/>
        <v>158.34335968781016</v>
      </c>
      <c r="DH57" s="4504">
        <f t="shared" si="96"/>
        <v>177.38591952786166</v>
      </c>
      <c r="DI57" s="4504">
        <f t="shared" si="97"/>
        <v>197.3104672671958</v>
      </c>
      <c r="DJ57" s="4504">
        <f t="shared" si="98"/>
        <v>217.23254718984725</v>
      </c>
    </row>
    <row r="58" spans="1:114" ht="24.6" thickBot="1">
      <c r="A58" s="112" t="s">
        <v>485</v>
      </c>
      <c r="B58" s="900" t="s">
        <v>737</v>
      </c>
      <c r="C58" s="4621">
        <v>729.73999536462532</v>
      </c>
      <c r="D58" s="3087">
        <f>'10. Финансиране на ИП'!F31</f>
        <v>519.13989627809769</v>
      </c>
      <c r="E58" s="3088">
        <f>'10. Финансиране на ИП'!G31</f>
        <v>493.61842011005143</v>
      </c>
      <c r="F58" s="3088">
        <f>'10. Финансиране на ИП'!H31</f>
        <v>412.75046665373196</v>
      </c>
      <c r="G58" s="3088">
        <f>'10. Финансиране на ИП'!I31</f>
        <v>364.00630408366732</v>
      </c>
      <c r="H58" s="3089">
        <f>'10. Финансиране на ИП'!J31</f>
        <v>319.34210250854807</v>
      </c>
      <c r="I58" s="1254">
        <f t="shared" si="198"/>
        <v>-210.60009908652762</v>
      </c>
      <c r="J58" s="825">
        <f t="shared" si="199"/>
        <v>-0.28859607589590619</v>
      </c>
      <c r="K58" s="3127">
        <v>39.349186666666668</v>
      </c>
      <c r="L58" s="3087">
        <f>'10. Финансиране на ИП'!N31</f>
        <v>46.300845265972683</v>
      </c>
      <c r="M58" s="3088">
        <f>'10. Финансиране на ИП'!O31</f>
        <v>46.028374023894713</v>
      </c>
      <c r="N58" s="3088">
        <f>'10. Финансиране на ИП'!P31</f>
        <v>45.728323693974325</v>
      </c>
      <c r="O58" s="3088">
        <f>'10. Финансиране на ИП'!Q31</f>
        <v>45.421646921823438</v>
      </c>
      <c r="P58" s="3089">
        <f>'10. Финансиране на ИП'!R31</f>
        <v>45.107469075950419</v>
      </c>
      <c r="Q58" s="1254">
        <f t="shared" si="200"/>
        <v>6.9516585993060147</v>
      </c>
      <c r="R58" s="881">
        <f t="shared" si="201"/>
        <v>0.17666587770147932</v>
      </c>
      <c r="S58" s="3127">
        <v>78.458446666666688</v>
      </c>
      <c r="T58" s="3087">
        <f>'10. Финансиране на ИП'!V31</f>
        <v>42.248748586871251</v>
      </c>
      <c r="U58" s="3088">
        <f>'10. Финансиране на ИП'!W31</f>
        <v>40.55269599699556</v>
      </c>
      <c r="V58" s="3088">
        <f>'10. Финансиране на ИП'!X31</f>
        <v>35.21532814850768</v>
      </c>
      <c r="W58" s="3088">
        <f>'10. Финансиране на ИП'!Y31</f>
        <v>32.163860740042672</v>
      </c>
      <c r="X58" s="3089">
        <f>'10. Финансиране на ИП'!Z31</f>
        <v>30.242240161035092</v>
      </c>
      <c r="Y58" s="1254">
        <f t="shared" si="168"/>
        <v>-36.209698079795437</v>
      </c>
      <c r="Z58" s="881">
        <f t="shared" si="169"/>
        <v>-0.46151433807545972</v>
      </c>
      <c r="AA58" s="3127"/>
      <c r="AB58" s="3087">
        <f>'10. Финансиране на ИП'!AD31</f>
        <v>0</v>
      </c>
      <c r="AC58" s="3088">
        <f>'10. Финансиране на ИП'!AE31</f>
        <v>0</v>
      </c>
      <c r="AD58" s="3088">
        <f>'10. Финансиране на ИП'!AF31</f>
        <v>0</v>
      </c>
      <c r="AE58" s="3088">
        <f>'10. Финансиране на ИП'!AG31</f>
        <v>0</v>
      </c>
      <c r="AF58" s="3089">
        <f>'10. Финансиране на ИП'!AH31</f>
        <v>0</v>
      </c>
      <c r="AG58" s="1254">
        <f t="shared" si="203"/>
        <v>0</v>
      </c>
      <c r="AH58" s="825">
        <f t="shared" si="204"/>
        <v>0</v>
      </c>
      <c r="AI58" s="3127">
        <v>8.0228513020414134</v>
      </c>
      <c r="AJ58" s="3087">
        <f>'10. Финансиране на ИП'!AL31</f>
        <v>262.2712980544664</v>
      </c>
      <c r="AK58" s="3088">
        <f>'10. Финансиране на ИП'!AM31</f>
        <v>98.321298054466382</v>
      </c>
      <c r="AL58" s="3088">
        <f>'10. Финансиране на ИП'!AN31</f>
        <v>87.471298054466388</v>
      </c>
      <c r="AM58" s="3088">
        <f>'10. Финансиране на ИП'!AO31</f>
        <v>106.42129805446638</v>
      </c>
      <c r="AN58" s="3105">
        <f>'10. Финансиране на ИП'!AP31</f>
        <v>100.12129805446638</v>
      </c>
      <c r="AO58" s="1254">
        <f t="shared" si="205"/>
        <v>254.248446752425</v>
      </c>
      <c r="AP58" s="825">
        <f t="shared" si="206"/>
        <v>31.690534596812423</v>
      </c>
      <c r="AQ58" s="3127">
        <v>0</v>
      </c>
      <c r="AR58" s="3128"/>
      <c r="AS58" s="3129"/>
      <c r="AT58" s="3129"/>
      <c r="AU58" s="3129"/>
      <c r="AV58" s="3130"/>
      <c r="AW58" s="1112">
        <f t="shared" si="223"/>
        <v>855.57048000000009</v>
      </c>
      <c r="AX58" s="3090">
        <f t="shared" si="224"/>
        <v>869.96078818540809</v>
      </c>
      <c r="AY58" s="3090">
        <f t="shared" si="225"/>
        <v>678.52078818540815</v>
      </c>
      <c r="AZ58" s="3090">
        <f t="shared" si="226"/>
        <v>581.16541655068045</v>
      </c>
      <c r="BA58" s="3090">
        <f t="shared" si="227"/>
        <v>548.01310979999971</v>
      </c>
      <c r="BB58" s="3091">
        <f t="shared" si="228"/>
        <v>494.81310979999995</v>
      </c>
      <c r="BC58" s="3111">
        <f t="shared" si="229"/>
        <v>737.76284666666675</v>
      </c>
      <c r="BD58" s="3112">
        <f t="shared" si="230"/>
        <v>781.41119433256404</v>
      </c>
      <c r="BE58" s="3113">
        <f t="shared" si="231"/>
        <v>591.93971816451779</v>
      </c>
      <c r="BF58" s="3113">
        <f t="shared" si="232"/>
        <v>500.22176470819835</v>
      </c>
      <c r="BG58" s="3113">
        <f t="shared" si="233"/>
        <v>470.42760213813369</v>
      </c>
      <c r="BH58" s="3115">
        <f t="shared" si="234"/>
        <v>419.46340056301443</v>
      </c>
      <c r="BI58" s="4488"/>
      <c r="BJ58" s="4504">
        <f t="shared" si="46"/>
        <v>373.11013501409906</v>
      </c>
      <c r="BK58" s="4504">
        <f t="shared" si="47"/>
        <v>265.43201417203829</v>
      </c>
      <c r="BL58" s="4504">
        <f t="shared" si="48"/>
        <v>252.38309061117349</v>
      </c>
      <c r="BM58" s="4504">
        <f t="shared" si="49"/>
        <v>211.03596256000367</v>
      </c>
      <c r="BN58" s="4504">
        <f t="shared" si="50"/>
        <v>186.11346798222101</v>
      </c>
      <c r="BO58" s="4504">
        <f t="shared" si="51"/>
        <v>163.2770243367512</v>
      </c>
      <c r="BP58" s="4504">
        <f t="shared" si="52"/>
        <v>-107.67812084206072</v>
      </c>
      <c r="BQ58" s="4504">
        <f t="shared" si="53"/>
        <v>20.118919674341161</v>
      </c>
      <c r="BR58" s="4504">
        <f t="shared" si="54"/>
        <v>23.673246277014201</v>
      </c>
      <c r="BS58" s="4504">
        <f t="shared" si="55"/>
        <v>23.533933943080285</v>
      </c>
      <c r="BT58" s="4504">
        <f t="shared" si="56"/>
        <v>23.380520645441745</v>
      </c>
      <c r="BU58" s="4504">
        <f t="shared" si="57"/>
        <v>23.223719301689531</v>
      </c>
      <c r="BV58" s="4504">
        <f t="shared" si="58"/>
        <v>23.063082719842942</v>
      </c>
      <c r="BW58" s="4504">
        <f t="shared" si="59"/>
        <v>3.5543266026730413</v>
      </c>
      <c r="BX58" s="4504">
        <f t="shared" si="60"/>
        <v>40.115166791933191</v>
      </c>
      <c r="BY58" s="4504">
        <f t="shared" si="61"/>
        <v>21.601442143167478</v>
      </c>
      <c r="BZ58" s="4504">
        <f t="shared" si="62"/>
        <v>20.734264223882221</v>
      </c>
      <c r="CA58" s="4504">
        <f t="shared" si="63"/>
        <v>18.005311375992637</v>
      </c>
      <c r="CB58" s="4504">
        <f t="shared" si="64"/>
        <v>16.445120864309615</v>
      </c>
      <c r="CC58" s="4504">
        <f t="shared" si="65"/>
        <v>15.462611863523462</v>
      </c>
      <c r="CD58" s="4504">
        <f t="shared" si="66"/>
        <v>-18.513724648765709</v>
      </c>
      <c r="CE58" s="4504">
        <f t="shared" si="67"/>
        <v>0</v>
      </c>
      <c r="CF58" s="4504">
        <f t="shared" si="68"/>
        <v>0</v>
      </c>
      <c r="CG58" s="4504">
        <f t="shared" si="69"/>
        <v>0</v>
      </c>
      <c r="CH58" s="4504">
        <f t="shared" si="70"/>
        <v>0</v>
      </c>
      <c r="CI58" s="4504">
        <f t="shared" si="71"/>
        <v>0</v>
      </c>
      <c r="CJ58" s="4504">
        <f t="shared" si="72"/>
        <v>0</v>
      </c>
      <c r="CK58" s="4504">
        <f t="shared" si="73"/>
        <v>0</v>
      </c>
      <c r="CL58" s="4504">
        <f t="shared" si="74"/>
        <v>4.1020187347782855</v>
      </c>
      <c r="CM58" s="4504">
        <f t="shared" si="75"/>
        <v>134.09718536604225</v>
      </c>
      <c r="CN58" s="4504">
        <f t="shared" si="76"/>
        <v>50.270881443922214</v>
      </c>
      <c r="CO58" s="4504">
        <f t="shared" si="77"/>
        <v>44.723364532943243</v>
      </c>
      <c r="CP58" s="4504">
        <f t="shared" si="78"/>
        <v>54.412345681611583</v>
      </c>
      <c r="CQ58" s="4504">
        <f t="shared" si="79"/>
        <v>51.191206830075409</v>
      </c>
      <c r="CR58" s="4504">
        <f t="shared" si="80"/>
        <v>129.99516663126397</v>
      </c>
      <c r="CS58" s="4504">
        <f t="shared" si="81"/>
        <v>0</v>
      </c>
      <c r="CT58" s="4504">
        <f t="shared" si="82"/>
        <v>0</v>
      </c>
      <c r="CU58" s="4504">
        <f t="shared" si="83"/>
        <v>0</v>
      </c>
      <c r="CV58" s="4504">
        <f t="shared" si="84"/>
        <v>0</v>
      </c>
      <c r="CW58" s="4504">
        <f t="shared" si="85"/>
        <v>0</v>
      </c>
      <c r="CX58" s="4504">
        <f t="shared" si="86"/>
        <v>0</v>
      </c>
      <c r="CY58" s="4504">
        <f t="shared" si="87"/>
        <v>437.4462402151517</v>
      </c>
      <c r="CZ58" s="4504">
        <f t="shared" si="88"/>
        <v>444.80388795826229</v>
      </c>
      <c r="DA58" s="4504">
        <f t="shared" si="89"/>
        <v>346.92217022205824</v>
      </c>
      <c r="DB58" s="4504">
        <f t="shared" si="90"/>
        <v>297.14515911438133</v>
      </c>
      <c r="DC58" s="4504">
        <f t="shared" si="91"/>
        <v>280.19465382983168</v>
      </c>
      <c r="DD58" s="4504">
        <f t="shared" si="92"/>
        <v>252.993925750193</v>
      </c>
      <c r="DE58" s="4504">
        <f t="shared" si="93"/>
        <v>377.21215374887731</v>
      </c>
      <c r="DF58" s="4504">
        <f t="shared" si="94"/>
        <v>399.52919953808055</v>
      </c>
      <c r="DG58" s="4504">
        <f t="shared" si="95"/>
        <v>302.65397205509566</v>
      </c>
      <c r="DH58" s="4504">
        <f t="shared" si="96"/>
        <v>255.7593270929469</v>
      </c>
      <c r="DI58" s="4504">
        <f t="shared" si="97"/>
        <v>240.52581366383259</v>
      </c>
      <c r="DJ58" s="4504">
        <f t="shared" si="98"/>
        <v>214.4682311668266</v>
      </c>
    </row>
    <row r="59" spans="1:114" thickBot="1">
      <c r="A59" s="110">
        <v>4</v>
      </c>
      <c r="B59" s="894" t="s">
        <v>448</v>
      </c>
      <c r="C59" s="1110">
        <f t="shared" ref="C59:BB59" si="235">SUM(C60:C62)</f>
        <v>4447.1427175985673</v>
      </c>
      <c r="D59" s="905">
        <f t="shared" si="235"/>
        <v>6370.0914846573869</v>
      </c>
      <c r="E59" s="1147">
        <f t="shared" si="235"/>
        <v>7205.8487994249681</v>
      </c>
      <c r="F59" s="1147">
        <f t="shared" si="235"/>
        <v>8189.6774093476279</v>
      </c>
      <c r="G59" s="1147">
        <f t="shared" si="235"/>
        <v>9314.0075625125082</v>
      </c>
      <c r="H59" s="1148">
        <f t="shared" si="235"/>
        <v>10593.759394561384</v>
      </c>
      <c r="I59" s="1246">
        <f t="shared" si="198"/>
        <v>1922.9487670588196</v>
      </c>
      <c r="J59" s="820">
        <f t="shared" si="199"/>
        <v>0.43240095701205683</v>
      </c>
      <c r="K59" s="1110">
        <f t="shared" si="235"/>
        <v>134.9475993023747</v>
      </c>
      <c r="L59" s="905">
        <f t="shared" si="235"/>
        <v>303.42793629628341</v>
      </c>
      <c r="M59" s="1147">
        <f t="shared" si="235"/>
        <v>343.87189525875783</v>
      </c>
      <c r="N59" s="1147">
        <f t="shared" si="235"/>
        <v>390.15042170055636</v>
      </c>
      <c r="O59" s="1147">
        <f t="shared" si="235"/>
        <v>443.10372122729319</v>
      </c>
      <c r="P59" s="1148">
        <f t="shared" si="235"/>
        <v>503.69270682527917</v>
      </c>
      <c r="Q59" s="1246">
        <f t="shared" si="200"/>
        <v>168.48033699390871</v>
      </c>
      <c r="R59" s="875">
        <f t="shared" si="201"/>
        <v>1.2484871006589586</v>
      </c>
      <c r="S59" s="1110">
        <f t="shared" si="235"/>
        <v>895.42580898990229</v>
      </c>
      <c r="T59" s="905">
        <f t="shared" si="235"/>
        <v>1504.6185611640419</v>
      </c>
      <c r="U59" s="1147">
        <f t="shared" si="235"/>
        <v>1717.2928221781851</v>
      </c>
      <c r="V59" s="1147">
        <f t="shared" si="235"/>
        <v>1960.5776324415199</v>
      </c>
      <c r="W59" s="1147">
        <f t="shared" si="235"/>
        <v>2239.1540090903168</v>
      </c>
      <c r="X59" s="1148">
        <f t="shared" si="235"/>
        <v>2558.4457968488068</v>
      </c>
      <c r="Y59" s="1246">
        <f t="shared" si="168"/>
        <v>609.19275217413963</v>
      </c>
      <c r="Z59" s="875">
        <f t="shared" si="169"/>
        <v>0.68033861215296898</v>
      </c>
      <c r="AA59" s="1110">
        <f t="shared" ref="AA59:AN59" si="236">SUM(AA60:AA62)</f>
        <v>0</v>
      </c>
      <c r="AB59" s="905">
        <f t="shared" si="236"/>
        <v>0</v>
      </c>
      <c r="AC59" s="1147">
        <f t="shared" si="236"/>
        <v>0</v>
      </c>
      <c r="AD59" s="1147">
        <f t="shared" si="236"/>
        <v>0</v>
      </c>
      <c r="AE59" s="1147">
        <f t="shared" si="236"/>
        <v>0</v>
      </c>
      <c r="AF59" s="1148">
        <f t="shared" si="236"/>
        <v>0</v>
      </c>
      <c r="AG59" s="1246">
        <f t="shared" si="203"/>
        <v>0</v>
      </c>
      <c r="AH59" s="820">
        <f t="shared" si="204"/>
        <v>0</v>
      </c>
      <c r="AI59" s="1110">
        <f t="shared" si="236"/>
        <v>799.3297945531591</v>
      </c>
      <c r="AJ59" s="905">
        <f t="shared" si="236"/>
        <v>1185.2538277173915</v>
      </c>
      <c r="AK59" s="1147">
        <f t="shared" si="236"/>
        <v>1339.0445334069477</v>
      </c>
      <c r="AL59" s="1147">
        <f t="shared" si="236"/>
        <v>1518.3295856048292</v>
      </c>
      <c r="AM59" s="1147">
        <f t="shared" si="236"/>
        <v>1723.7253252542639</v>
      </c>
      <c r="AN59" s="3106">
        <f t="shared" si="236"/>
        <v>1959.0289603192336</v>
      </c>
      <c r="AO59" s="1246">
        <f t="shared" si="205"/>
        <v>385.92403316423236</v>
      </c>
      <c r="AP59" s="820">
        <f t="shared" si="206"/>
        <v>0.48280951841657721</v>
      </c>
      <c r="AQ59" s="1110">
        <f t="shared" si="235"/>
        <v>30.408359555996022</v>
      </c>
      <c r="AR59" s="905">
        <f t="shared" si="235"/>
        <v>22.686625382963953</v>
      </c>
      <c r="AS59" s="1147">
        <f t="shared" si="235"/>
        <v>25.977306490628226</v>
      </c>
      <c r="AT59" s="1147">
        <f t="shared" si="235"/>
        <v>29.744863754714359</v>
      </c>
      <c r="AU59" s="1147">
        <f t="shared" si="235"/>
        <v>34.058120547118129</v>
      </c>
      <c r="AV59" s="3106">
        <f t="shared" si="235"/>
        <v>38.995817074166901</v>
      </c>
      <c r="AW59" s="1110">
        <f t="shared" si="235"/>
        <v>6276.8459204440042</v>
      </c>
      <c r="AX59" s="905">
        <f t="shared" si="235"/>
        <v>9363.3918098351041</v>
      </c>
      <c r="AY59" s="1147">
        <f t="shared" si="235"/>
        <v>10606.058050268861</v>
      </c>
      <c r="AZ59" s="1147">
        <f t="shared" si="235"/>
        <v>12058.735049094534</v>
      </c>
      <c r="BA59" s="1147">
        <f t="shared" si="235"/>
        <v>13719.990618084381</v>
      </c>
      <c r="BB59" s="3106">
        <f t="shared" si="235"/>
        <v>15614.926858554707</v>
      </c>
      <c r="BC59" s="1110">
        <f t="shared" ref="BC59:BH59" si="237">SUM(BC60:BC62)</f>
        <v>5246.4725121517258</v>
      </c>
      <c r="BD59" s="905">
        <f t="shared" si="237"/>
        <v>7555.3453123747786</v>
      </c>
      <c r="BE59" s="1147">
        <f t="shared" si="237"/>
        <v>8544.8933328319163</v>
      </c>
      <c r="BF59" s="1147">
        <f t="shared" si="237"/>
        <v>9708.0069949524568</v>
      </c>
      <c r="BG59" s="1147">
        <f t="shared" si="237"/>
        <v>11037.732887766771</v>
      </c>
      <c r="BH59" s="3106">
        <f t="shared" si="237"/>
        <v>12552.788354880618</v>
      </c>
      <c r="BI59" s="4488"/>
      <c r="BJ59" s="4504">
        <f t="shared" si="46"/>
        <v>2273.787966029035</v>
      </c>
      <c r="BK59" s="4504">
        <f t="shared" si="47"/>
        <v>3256.9760585824879</v>
      </c>
      <c r="BL59" s="4504">
        <f t="shared" si="48"/>
        <v>3684.2919882735046</v>
      </c>
      <c r="BM59" s="4504">
        <f t="shared" si="49"/>
        <v>4187.3155690155218</v>
      </c>
      <c r="BN59" s="4504">
        <f t="shared" si="50"/>
        <v>4762.1764481128257</v>
      </c>
      <c r="BO59" s="4504">
        <f t="shared" si="51"/>
        <v>5416.5031697854029</v>
      </c>
      <c r="BP59" s="4504">
        <f t="shared" si="52"/>
        <v>983.18809255345286</v>
      </c>
      <c r="BQ59" s="4504">
        <f t="shared" si="53"/>
        <v>68.997611910224663</v>
      </c>
      <c r="BR59" s="4504">
        <f t="shared" si="54"/>
        <v>155.1402403564131</v>
      </c>
      <c r="BS59" s="4504">
        <f t="shared" si="55"/>
        <v>175.81890821735931</v>
      </c>
      <c r="BT59" s="4504">
        <f t="shared" si="56"/>
        <v>199.48074306077541</v>
      </c>
      <c r="BU59" s="4504">
        <f t="shared" si="57"/>
        <v>226.55533519134752</v>
      </c>
      <c r="BV59" s="4504">
        <f t="shared" si="58"/>
        <v>257.53399161751236</v>
      </c>
      <c r="BW59" s="4504">
        <f t="shared" si="59"/>
        <v>86.142628446188425</v>
      </c>
      <c r="BX59" s="4504">
        <f t="shared" si="60"/>
        <v>457.82394635009297</v>
      </c>
      <c r="BY59" s="4504">
        <f t="shared" si="61"/>
        <v>769.29925462031053</v>
      </c>
      <c r="BZ59" s="4504">
        <f t="shared" si="62"/>
        <v>878.03787761624744</v>
      </c>
      <c r="CA59" s="4504">
        <f t="shared" si="63"/>
        <v>1002.427425922253</v>
      </c>
      <c r="CB59" s="4504">
        <f t="shared" si="64"/>
        <v>1144.8612655958425</v>
      </c>
      <c r="CC59" s="4504">
        <f t="shared" si="65"/>
        <v>1308.1125644093847</v>
      </c>
      <c r="CD59" s="4504">
        <f t="shared" si="66"/>
        <v>311.47530827021757</v>
      </c>
      <c r="CE59" s="4504">
        <f t="shared" si="67"/>
        <v>0</v>
      </c>
      <c r="CF59" s="4504">
        <f t="shared" si="68"/>
        <v>0</v>
      </c>
      <c r="CG59" s="4504">
        <f t="shared" si="69"/>
        <v>0</v>
      </c>
      <c r="CH59" s="4504">
        <f t="shared" si="70"/>
        <v>0</v>
      </c>
      <c r="CI59" s="4504">
        <f t="shared" si="71"/>
        <v>0</v>
      </c>
      <c r="CJ59" s="4504">
        <f t="shared" si="72"/>
        <v>0</v>
      </c>
      <c r="CK59" s="4504">
        <f t="shared" si="73"/>
        <v>0</v>
      </c>
      <c r="CL59" s="4504">
        <f t="shared" si="74"/>
        <v>408.69083435327155</v>
      </c>
      <c r="CM59" s="4504">
        <f t="shared" si="75"/>
        <v>606.01065926864374</v>
      </c>
      <c r="CN59" s="4504">
        <f t="shared" si="76"/>
        <v>684.64259849115092</v>
      </c>
      <c r="CO59" s="4504">
        <f t="shared" si="77"/>
        <v>776.309590099768</v>
      </c>
      <c r="CP59" s="4504">
        <f t="shared" si="78"/>
        <v>881.32676421481619</v>
      </c>
      <c r="CQ59" s="4504">
        <f t="shared" si="79"/>
        <v>1001.635602439493</v>
      </c>
      <c r="CR59" s="4504">
        <f t="shared" si="80"/>
        <v>197.31982491537218</v>
      </c>
      <c r="CS59" s="4504">
        <f t="shared" si="81"/>
        <v>15.547547361476214</v>
      </c>
      <c r="CT59" s="4504">
        <f t="shared" si="82"/>
        <v>11.59948737004952</v>
      </c>
      <c r="CU59" s="4504">
        <f t="shared" si="83"/>
        <v>13.281985904004042</v>
      </c>
      <c r="CV59" s="4504">
        <f t="shared" si="84"/>
        <v>15.20830734507312</v>
      </c>
      <c r="CW59" s="4504">
        <f t="shared" si="85"/>
        <v>17.413640524543609</v>
      </c>
      <c r="CX59" s="4504">
        <f t="shared" si="86"/>
        <v>19.938244670634411</v>
      </c>
      <c r="CY59" s="4504">
        <f t="shared" si="87"/>
        <v>3209.3003586426244</v>
      </c>
      <c r="CZ59" s="4504">
        <f t="shared" si="88"/>
        <v>4787.4262128278551</v>
      </c>
      <c r="DA59" s="4504">
        <f t="shared" si="89"/>
        <v>5422.7913725982635</v>
      </c>
      <c r="DB59" s="4504">
        <f t="shared" si="90"/>
        <v>6165.5333280983186</v>
      </c>
      <c r="DC59" s="4504">
        <f t="shared" si="91"/>
        <v>7014.9198131148314</v>
      </c>
      <c r="DD59" s="4504">
        <f t="shared" si="92"/>
        <v>7983.7853282517945</v>
      </c>
      <c r="DE59" s="4504">
        <f t="shared" si="93"/>
        <v>2682.4788003823064</v>
      </c>
      <c r="DF59" s="4504">
        <f t="shared" si="94"/>
        <v>3862.9867178511317</v>
      </c>
      <c r="DG59" s="4504">
        <f t="shared" si="95"/>
        <v>4368.9345867646553</v>
      </c>
      <c r="DH59" s="4504">
        <f t="shared" si="96"/>
        <v>4963.6251591152895</v>
      </c>
      <c r="DI59" s="4504">
        <f t="shared" si="97"/>
        <v>5643.5032123276414</v>
      </c>
      <c r="DJ59" s="4504">
        <f t="shared" si="98"/>
        <v>6418.1387722248965</v>
      </c>
    </row>
    <row r="60" spans="1:114" ht="13.2">
      <c r="A60" s="108" t="s">
        <v>101</v>
      </c>
      <c r="B60" s="898" t="s">
        <v>265</v>
      </c>
      <c r="C60" s="1112">
        <f>'5. Персонал'!C29-'5. Персонал'!C39-'5. Персонал'!C40</f>
        <v>3586.0089761613331</v>
      </c>
      <c r="D60" s="3090">
        <f>'5. Персонал'!D29-'5. Персонал'!D39-'5. Персонал'!D40</f>
        <v>5321.3221132711114</v>
      </c>
      <c r="E60" s="3090">
        <f>'5. Персонал'!E29-'5. Персонал'!E39-'5. Персонал'!E40</f>
        <v>6019.0265380548981</v>
      </c>
      <c r="F60" s="3090">
        <f>'5. Персонал'!F29-'5. Персонал'!F39-'5. Персонал'!F40</f>
        <v>6836.7064550956129</v>
      </c>
      <c r="G60" s="3090">
        <f>'5. Персонал'!G29-'5. Персонал'!G39-'5. Персонал'!G40</f>
        <v>7769.2052145638545</v>
      </c>
      <c r="H60" s="3091">
        <f>'5. Персонал'!H29-'5. Персонал'!H39-'5. Персонал'!H40</f>
        <v>8836.0760130091876</v>
      </c>
      <c r="I60" s="1251">
        <f t="shared" si="198"/>
        <v>1735.3131371097784</v>
      </c>
      <c r="J60" s="826">
        <f t="shared" si="199"/>
        <v>0.48391210079104591</v>
      </c>
      <c r="K60" s="1112">
        <f>'5. Персонал'!I29-'5. Персонал'!I39-'5. Персонал'!I40</f>
        <v>115.96768717111647</v>
      </c>
      <c r="L60" s="3090">
        <f>'5. Персонал'!J29-'5. Персонал'!J39-'5. Персонал'!J40</f>
        <v>268.03040566231363</v>
      </c>
      <c r="M60" s="3090">
        <f>'5. Персонал'!K29-'5. Персонал'!K39-'5. Персонал'!K40</f>
        <v>304.0776057066621</v>
      </c>
      <c r="N60" s="3090">
        <f>'5. Персонал'!L29-'5. Персонал'!L39-'5. Персонал'!L40</f>
        <v>347.49352627232327</v>
      </c>
      <c r="O60" s="3090">
        <f>'5. Персонал'!M29-'5. Персонал'!M39-'5. Персонал'!M40</f>
        <v>390.79080085429854</v>
      </c>
      <c r="P60" s="3091">
        <f>'5. Персонал'!N29-'5. Персонал'!N39-'5. Персонал'!N40</f>
        <v>446.3486418273929</v>
      </c>
      <c r="Q60" s="1251">
        <f t="shared" si="200"/>
        <v>152.06271849119716</v>
      </c>
      <c r="R60" s="1121">
        <f t="shared" si="201"/>
        <v>1.3112507647653657</v>
      </c>
      <c r="S60" s="1112">
        <f>'5. Персонал'!O29-'5. Персонал'!O39-'5. Персонал'!O40</f>
        <v>843.2053736457168</v>
      </c>
      <c r="T60" s="3090">
        <f>'5. Персонал'!P29-'5. Персонал'!P39-'5. Персонал'!P40</f>
        <v>1433.3144306154845</v>
      </c>
      <c r="U60" s="3090">
        <f>'5. Персонал'!Q29-'5. Персонал'!Q39-'5. Персонал'!Q40</f>
        <v>1634.8732689748917</v>
      </c>
      <c r="V60" s="3090">
        <f>'5. Персонал'!R29-'5. Персонал'!R39-'5. Персонал'!R40</f>
        <v>1865.1723001682305</v>
      </c>
      <c r="W60" s="3090">
        <f>'5. Персонал'!S29-'5. Персонал'!S39-'5. Персонал'!S40</f>
        <v>2128.6657561971829</v>
      </c>
      <c r="X60" s="3091">
        <f>'5. Персонал'!T29-'5. Персонал'!T39-'5. Персонал'!T40</f>
        <v>2430.477941580225</v>
      </c>
      <c r="Y60" s="1251">
        <f t="shared" si="168"/>
        <v>590.10905696976772</v>
      </c>
      <c r="Z60" s="1121">
        <f t="shared" si="169"/>
        <v>0.69984024700690461</v>
      </c>
      <c r="AA60" s="1112">
        <f>'5. Персонал'!U29-'5. Персонал'!U39-'5. Персонал'!U40</f>
        <v>0</v>
      </c>
      <c r="AB60" s="3090">
        <f>'5. Персонал'!V29-'5. Персонал'!V39-'5. Персонал'!V40</f>
        <v>0</v>
      </c>
      <c r="AC60" s="3090">
        <f>'5. Персонал'!W29-'5. Персонал'!W39-'5. Персонал'!W40</f>
        <v>0</v>
      </c>
      <c r="AD60" s="3090">
        <f>'5. Персонал'!X29-'5. Персонал'!X39-'5. Персонал'!X40</f>
        <v>0</v>
      </c>
      <c r="AE60" s="3090">
        <f>'5. Персонал'!Y29-'5. Персонал'!Y39-'5. Персонал'!Y40</f>
        <v>0</v>
      </c>
      <c r="AF60" s="3091">
        <f>'5. Персонал'!Z29-'5. Персонал'!Z39-'5. Персонал'!Z40</f>
        <v>0</v>
      </c>
      <c r="AG60" s="1251">
        <f t="shared" si="203"/>
        <v>0</v>
      </c>
      <c r="AH60" s="826">
        <f t="shared" si="204"/>
        <v>0</v>
      </c>
      <c r="AI60" s="1112">
        <f>'5. Персонал'!AA29-'5. Персонал'!AA39-'5. Персонал'!AA40</f>
        <v>692.37253139835673</v>
      </c>
      <c r="AJ60" s="3090">
        <f>'5. Персонал'!AB29-'5. Персонал'!AB39-'5. Персонал'!AB40</f>
        <v>1016.0755383231433</v>
      </c>
      <c r="AK60" s="3090">
        <f>'5. Персонал'!AC29-'5. Персонал'!AC39-'5. Персонал'!AC40</f>
        <v>1141.1730757305645</v>
      </c>
      <c r="AL60" s="3090">
        <f>'5. Персонал'!AD29-'5. Персонал'!AD39-'5. Персонал'!AD40</f>
        <v>1286.017493229006</v>
      </c>
      <c r="AM60" s="3090">
        <f>'5. Персонал'!AE29-'5. Персонал'!AE39-'5. Персонал'!AE40</f>
        <v>1451.8602015059248</v>
      </c>
      <c r="AN60" s="3099">
        <f>'5. Персонал'!AF29-'5. Персонал'!AF39-'5. Персонал'!AF40</f>
        <v>1638.5867473692213</v>
      </c>
      <c r="AO60" s="1251">
        <f t="shared" si="205"/>
        <v>323.70300692478656</v>
      </c>
      <c r="AP60" s="826">
        <f t="shared" si="206"/>
        <v>0.4675272230557973</v>
      </c>
      <c r="AQ60" s="1112">
        <f>'5. Персонал'!AG29-'5. Персонал'!AG39-'5. Персонал'!AG40</f>
        <v>28.663861623477004</v>
      </c>
      <c r="AR60" s="3090">
        <f>'5. Персонал'!AH29-'5. Персонал'!AH39-'5. Персонал'!AH40</f>
        <v>21.455965025394786</v>
      </c>
      <c r="AS60" s="3090">
        <f>'5. Персонал'!AI29-'5. Персонал'!AI39-'5. Персонал'!AI40</f>
        <v>24.549700914247879</v>
      </c>
      <c r="AT60" s="3090">
        <f>'5. Персонал'!AJ29-'5. Персонал'!AJ39-'5. Персонал'!AJ40</f>
        <v>28.089132623795329</v>
      </c>
      <c r="AU60" s="3090">
        <f>'5. Персонал'!AK29-'5. Персонал'!AK39-'5. Персонал'!AK40</f>
        <v>32.138171160583404</v>
      </c>
      <c r="AV60" s="3099">
        <f>'5. Персонал'!AL29-'5. Персонал'!AL39-'5. Персонал'!AL40</f>
        <v>36.769869709224054</v>
      </c>
      <c r="AW60" s="1112">
        <f t="shared" ref="AW60:AW62" si="238">C60+K60+S60+AA60+AI60</f>
        <v>5237.5545683765231</v>
      </c>
      <c r="AX60" s="3090">
        <f t="shared" ref="AX60:AX62" si="239">D60+L60+T60+AB60+AJ60</f>
        <v>8038.7424878720531</v>
      </c>
      <c r="AY60" s="3090">
        <f t="shared" ref="AY60:AY62" si="240">E60+M60+U60+AC60+AK60</f>
        <v>9099.1504884670176</v>
      </c>
      <c r="AZ60" s="3090">
        <f t="shared" ref="AZ60:AZ62" si="241">F60+N60+V60+AD60+AL60</f>
        <v>10335.389774765174</v>
      </c>
      <c r="BA60" s="3090">
        <f t="shared" ref="BA60:BA62" si="242">G60+O60+W60+AE60+AM60</f>
        <v>11740.52197312126</v>
      </c>
      <c r="BB60" s="3091">
        <f t="shared" ref="BB60:BB62" si="243">H60+P60+X60+AF60+AN60</f>
        <v>13351.489343786028</v>
      </c>
      <c r="BC60" s="3111">
        <f t="shared" ref="BC60:BC62" si="244">C60+AA60+AI60</f>
        <v>4278.3815075596895</v>
      </c>
      <c r="BD60" s="3112">
        <f t="shared" ref="BD60:BD62" si="245">D60+AB60+AJ60</f>
        <v>6337.397651594255</v>
      </c>
      <c r="BE60" s="3113">
        <f t="shared" ref="BE60:BE62" si="246">E60+AC60+AK60</f>
        <v>7160.1996137854621</v>
      </c>
      <c r="BF60" s="3113">
        <f t="shared" ref="BF60:BF62" si="247">F60+AD60+AL60</f>
        <v>8122.7239483246194</v>
      </c>
      <c r="BG60" s="3113">
        <f t="shared" ref="BG60:BG62" si="248">G60+AE60+AM60</f>
        <v>9221.0654160697795</v>
      </c>
      <c r="BH60" s="3115">
        <f t="shared" ref="BH60:BH62" si="249">H60+AF60+AN60</f>
        <v>10474.662760378409</v>
      </c>
      <c r="BI60" s="4488"/>
      <c r="BJ60" s="4504">
        <f t="shared" si="46"/>
        <v>1833.4972754080534</v>
      </c>
      <c r="BK60" s="4504">
        <f t="shared" si="47"/>
        <v>2720.7487937454234</v>
      </c>
      <c r="BL60" s="4504">
        <f t="shared" si="48"/>
        <v>3077.4794016120513</v>
      </c>
      <c r="BM60" s="4504">
        <f t="shared" si="49"/>
        <v>3495.5525046121661</v>
      </c>
      <c r="BN60" s="4504">
        <f t="shared" si="50"/>
        <v>3972.3315495538236</v>
      </c>
      <c r="BO60" s="4504">
        <f t="shared" si="51"/>
        <v>4517.8139270842494</v>
      </c>
      <c r="BP60" s="4504">
        <f t="shared" si="52"/>
        <v>887.25151833737004</v>
      </c>
      <c r="BQ60" s="4504">
        <f t="shared" si="53"/>
        <v>59.293336931694711</v>
      </c>
      <c r="BR60" s="4504">
        <f t="shared" si="54"/>
        <v>137.04177032886992</v>
      </c>
      <c r="BS60" s="4504">
        <f t="shared" si="55"/>
        <v>155.47241105140125</v>
      </c>
      <c r="BT60" s="4504">
        <f t="shared" si="56"/>
        <v>177.67061875128374</v>
      </c>
      <c r="BU60" s="4504">
        <f t="shared" si="57"/>
        <v>199.8081637229711</v>
      </c>
      <c r="BV60" s="4504">
        <f t="shared" si="58"/>
        <v>228.21443674930484</v>
      </c>
      <c r="BW60" s="4504">
        <f t="shared" si="59"/>
        <v>77.748433397175191</v>
      </c>
      <c r="BX60" s="4504">
        <f t="shared" si="60"/>
        <v>431.12406172607888</v>
      </c>
      <c r="BY60" s="4504">
        <f t="shared" si="61"/>
        <v>732.84203157507784</v>
      </c>
      <c r="BZ60" s="4504">
        <f t="shared" si="62"/>
        <v>835.8974292115837</v>
      </c>
      <c r="CA60" s="4504">
        <f t="shared" si="63"/>
        <v>953.64745410809257</v>
      </c>
      <c r="CB60" s="4504">
        <f t="shared" si="64"/>
        <v>1088.3695189240286</v>
      </c>
      <c r="CC60" s="4504">
        <f t="shared" si="65"/>
        <v>1242.683638956466</v>
      </c>
      <c r="CD60" s="4504">
        <f t="shared" si="66"/>
        <v>301.71796984899902</v>
      </c>
      <c r="CE60" s="4504">
        <f t="shared" si="67"/>
        <v>0</v>
      </c>
      <c r="CF60" s="4504">
        <f t="shared" si="68"/>
        <v>0</v>
      </c>
      <c r="CG60" s="4504">
        <f t="shared" si="69"/>
        <v>0</v>
      </c>
      <c r="CH60" s="4504">
        <f t="shared" si="70"/>
        <v>0</v>
      </c>
      <c r="CI60" s="4504">
        <f t="shared" si="71"/>
        <v>0</v>
      </c>
      <c r="CJ60" s="4504">
        <f t="shared" si="72"/>
        <v>0</v>
      </c>
      <c r="CK60" s="4504">
        <f t="shared" si="73"/>
        <v>0</v>
      </c>
      <c r="CL60" s="4504">
        <f t="shared" si="74"/>
        <v>354.00445406725368</v>
      </c>
      <c r="CM60" s="4504">
        <f t="shared" si="75"/>
        <v>519.51117342670034</v>
      </c>
      <c r="CN60" s="4504">
        <f t="shared" si="76"/>
        <v>583.47252866075507</v>
      </c>
      <c r="CO60" s="4504">
        <f t="shared" si="77"/>
        <v>657.53030336430368</v>
      </c>
      <c r="CP60" s="4504">
        <f t="shared" si="78"/>
        <v>742.32433366188513</v>
      </c>
      <c r="CQ60" s="4504">
        <f t="shared" si="79"/>
        <v>837.79610056560193</v>
      </c>
      <c r="CR60" s="4504">
        <f t="shared" si="80"/>
        <v>165.50671935944666</v>
      </c>
      <c r="CS60" s="4504">
        <f t="shared" si="81"/>
        <v>14.65559973181565</v>
      </c>
      <c r="CT60" s="4504">
        <f t="shared" si="82"/>
        <v>10.97026072071437</v>
      </c>
      <c r="CU60" s="4504">
        <f t="shared" si="83"/>
        <v>12.552062763250323</v>
      </c>
      <c r="CV60" s="4504">
        <f t="shared" si="84"/>
        <v>14.361745460390386</v>
      </c>
      <c r="CW60" s="4504">
        <f t="shared" si="85"/>
        <v>16.431985990900746</v>
      </c>
      <c r="CX60" s="4504">
        <f t="shared" si="86"/>
        <v>18.800135854969017</v>
      </c>
      <c r="CY60" s="4504">
        <f t="shared" si="87"/>
        <v>2677.9191281330809</v>
      </c>
      <c r="CZ60" s="4504">
        <f t="shared" si="88"/>
        <v>4110.1437690760713</v>
      </c>
      <c r="DA60" s="4504">
        <f t="shared" si="89"/>
        <v>4652.321770535792</v>
      </c>
      <c r="DB60" s="4504">
        <f t="shared" si="90"/>
        <v>5284.4008808358467</v>
      </c>
      <c r="DC60" s="4504">
        <f t="shared" si="91"/>
        <v>6002.8335658627084</v>
      </c>
      <c r="DD60" s="4504">
        <f t="shared" si="92"/>
        <v>6826.5081033556235</v>
      </c>
      <c r="DE60" s="4504">
        <f t="shared" si="93"/>
        <v>2187.501729475307</v>
      </c>
      <c r="DF60" s="4504">
        <f t="shared" si="94"/>
        <v>3240.2599671721241</v>
      </c>
      <c r="DG60" s="4504">
        <f t="shared" si="95"/>
        <v>3660.9519302728063</v>
      </c>
      <c r="DH60" s="4504">
        <f t="shared" si="96"/>
        <v>4153.0828079764706</v>
      </c>
      <c r="DI60" s="4504">
        <f t="shared" si="97"/>
        <v>4714.6558832157089</v>
      </c>
      <c r="DJ60" s="4504">
        <f t="shared" si="98"/>
        <v>5355.6100276498519</v>
      </c>
    </row>
    <row r="61" spans="1:114" s="685" customFormat="1" ht="24">
      <c r="A61" s="401" t="s">
        <v>102</v>
      </c>
      <c r="B61" s="901" t="s">
        <v>640</v>
      </c>
      <c r="C61" s="2679">
        <f>'8. Ремонтна програма'!J33</f>
        <v>656.67534467700068</v>
      </c>
      <c r="D61" s="1249">
        <f>'8. Ремонтна програма'!K33</f>
        <v>801.96864448577332</v>
      </c>
      <c r="E61" s="1133">
        <f>'8. Ремонтна програма'!L33</f>
        <v>902.09164479237802</v>
      </c>
      <c r="F61" s="1133">
        <f>'8. Ремонтна програма'!M33</f>
        <v>1024.3586109061441</v>
      </c>
      <c r="G61" s="1133">
        <f>'8. Ремонтна програма'!N33</f>
        <v>1165.4231746842327</v>
      </c>
      <c r="H61" s="3116">
        <f>'8. Ремонтна програма'!O33</f>
        <v>1319.5725875620888</v>
      </c>
      <c r="I61" s="1249">
        <f t="shared" si="198"/>
        <v>145.29329980877264</v>
      </c>
      <c r="J61" s="822">
        <f t="shared" si="199"/>
        <v>0.2212559082452504</v>
      </c>
      <c r="K61" s="2679">
        <f>'8. Ремонтна програма'!J62</f>
        <v>13.455360000000001</v>
      </c>
      <c r="L61" s="1249">
        <f>'8. Ремонтна програма'!K62</f>
        <v>23.413907519078556</v>
      </c>
      <c r="M61" s="1133">
        <f>'8. Ремонтна програма'!L62</f>
        <v>26.041993180433511</v>
      </c>
      <c r="N61" s="1133">
        <f>'8. Ремонтна програма'!M62</f>
        <v>26.858776685922098</v>
      </c>
      <c r="O61" s="1133">
        <f>'8. Ремонтна програма'!N62</f>
        <v>34.148209098739542</v>
      </c>
      <c r="P61" s="3116">
        <f>'8. Ремонтна програма'!O62</f>
        <v>36.441503028896832</v>
      </c>
      <c r="Q61" s="1249">
        <f t="shared" si="200"/>
        <v>9.9585475190785555</v>
      </c>
      <c r="R61" s="877">
        <f t="shared" si="201"/>
        <v>0.74011750849316216</v>
      </c>
      <c r="S61" s="2679">
        <f>'8. Ремонтна програма'!J88</f>
        <v>4.6021899999999976</v>
      </c>
      <c r="T61" s="1249">
        <f>'8. Ремонтна програма'!K88</f>
        <v>6.5047428553813962</v>
      </c>
      <c r="U61" s="1133">
        <f>'8. Ремонтна програма'!L88</f>
        <v>7.5087659136332734</v>
      </c>
      <c r="V61" s="1133">
        <f>'8. Ремонтна програма'!M88</f>
        <v>8.7875912274041319</v>
      </c>
      <c r="W61" s="1133">
        <f>'8. Ремонтна програма'!N88</f>
        <v>10.316735830129518</v>
      </c>
      <c r="X61" s="3116">
        <f>'8. Ремонтна програма'!O88</f>
        <v>12.104874125337229</v>
      </c>
      <c r="Y61" s="1249">
        <f t="shared" si="168"/>
        <v>1.9025528553813986</v>
      </c>
      <c r="Z61" s="877">
        <f t="shared" si="169"/>
        <v>0.41340163169738747</v>
      </c>
      <c r="AA61" s="2679">
        <f>'8. Ремонтна програма'!J119</f>
        <v>0</v>
      </c>
      <c r="AB61" s="1249">
        <f>'8. Ремонтна програма'!K119</f>
        <v>0</v>
      </c>
      <c r="AC61" s="1133">
        <f>'8. Ремонтна програма'!L119</f>
        <v>0</v>
      </c>
      <c r="AD61" s="1133">
        <f>'8. Ремонтна програма'!M119</f>
        <v>0</v>
      </c>
      <c r="AE61" s="1133">
        <f>'8. Ремонтна програма'!N119</f>
        <v>0</v>
      </c>
      <c r="AF61" s="3116">
        <f>'8. Ремонтна програма'!O119</f>
        <v>0</v>
      </c>
      <c r="AG61" s="1249">
        <f t="shared" si="203"/>
        <v>0</v>
      </c>
      <c r="AH61" s="822">
        <f t="shared" si="204"/>
        <v>0</v>
      </c>
      <c r="AI61" s="1112">
        <f>'8. Ремонтна програма'!J150</f>
        <v>55.819605322999116</v>
      </c>
      <c r="AJ61" s="1255">
        <f>'8. Ремонтна програма'!K150</f>
        <v>109.94479746038633</v>
      </c>
      <c r="AK61" s="1136">
        <f>'8. Ремонтна програма'!L150</f>
        <v>129.89496349177784</v>
      </c>
      <c r="AL61" s="1136">
        <f>'8. Ремонтна програма'!M150</f>
        <v>154.2126766408087</v>
      </c>
      <c r="AM61" s="1136">
        <f>'8. Ремонтна програма'!N150</f>
        <v>182.04367473655384</v>
      </c>
      <c r="AN61" s="3107">
        <f>'8. Ремонтна програма'!O150</f>
        <v>217.04566741729809</v>
      </c>
      <c r="AO61" s="1249">
        <f t="shared" si="205"/>
        <v>54.125192137387209</v>
      </c>
      <c r="AP61" s="822">
        <f t="shared" si="206"/>
        <v>0.9696448375833685</v>
      </c>
      <c r="AQ61" s="1112">
        <f>'5. Персонал'!AG39</f>
        <v>0</v>
      </c>
      <c r="AR61" s="1141">
        <f>'5. Персонал'!AH39</f>
        <v>0</v>
      </c>
      <c r="AS61" s="1136">
        <f>'5. Персонал'!AI39</f>
        <v>0</v>
      </c>
      <c r="AT61" s="1136">
        <f>'5. Персонал'!AJ39</f>
        <v>0</v>
      </c>
      <c r="AU61" s="1136">
        <f>'5. Персонал'!AK39</f>
        <v>0</v>
      </c>
      <c r="AV61" s="3107">
        <f>'5. Персонал'!AL39</f>
        <v>0</v>
      </c>
      <c r="AW61" s="1112">
        <f t="shared" si="238"/>
        <v>730.55249999999978</v>
      </c>
      <c r="AX61" s="3090">
        <f t="shared" si="239"/>
        <v>941.83209232061961</v>
      </c>
      <c r="AY61" s="3090">
        <f t="shared" si="240"/>
        <v>1065.5373673782228</v>
      </c>
      <c r="AZ61" s="3090">
        <f t="shared" si="241"/>
        <v>1214.217655460279</v>
      </c>
      <c r="BA61" s="3090">
        <f t="shared" si="242"/>
        <v>1391.9317943496555</v>
      </c>
      <c r="BB61" s="3091">
        <f t="shared" si="243"/>
        <v>1585.1646321336209</v>
      </c>
      <c r="BC61" s="3111">
        <f t="shared" si="244"/>
        <v>712.49494999999979</v>
      </c>
      <c r="BD61" s="3112">
        <f t="shared" si="245"/>
        <v>911.91344194615965</v>
      </c>
      <c r="BE61" s="3113">
        <f t="shared" si="246"/>
        <v>1031.9866082841559</v>
      </c>
      <c r="BF61" s="3113">
        <f t="shared" si="247"/>
        <v>1178.5712875469528</v>
      </c>
      <c r="BG61" s="3113">
        <f t="shared" si="248"/>
        <v>1347.4668494207865</v>
      </c>
      <c r="BH61" s="3115">
        <f t="shared" si="249"/>
        <v>1536.6182549793868</v>
      </c>
      <c r="BI61" s="4488"/>
      <c r="BJ61" s="4504">
        <f t="shared" si="46"/>
        <v>335.75277231507886</v>
      </c>
      <c r="BK61" s="4504">
        <f t="shared" si="47"/>
        <v>410.04005689951242</v>
      </c>
      <c r="BL61" s="4504">
        <f t="shared" si="48"/>
        <v>461.23213407728588</v>
      </c>
      <c r="BM61" s="4504">
        <f t="shared" si="49"/>
        <v>523.74624118974759</v>
      </c>
      <c r="BN61" s="4504">
        <f t="shared" si="50"/>
        <v>595.87140737397044</v>
      </c>
      <c r="BO61" s="4504">
        <f t="shared" si="51"/>
        <v>674.68675066958212</v>
      </c>
      <c r="BP61" s="4504">
        <f t="shared" si="52"/>
        <v>74.287284584433536</v>
      </c>
      <c r="BQ61" s="4504">
        <f t="shared" si="53"/>
        <v>6.8796163265723509</v>
      </c>
      <c r="BR61" s="4504">
        <f t="shared" si="54"/>
        <v>11.97134082158396</v>
      </c>
      <c r="BS61" s="4504">
        <f t="shared" si="55"/>
        <v>13.315059683322943</v>
      </c>
      <c r="BT61" s="4504">
        <f t="shared" si="56"/>
        <v>13.732674458374245</v>
      </c>
      <c r="BU61" s="4504">
        <f t="shared" si="57"/>
        <v>17.459702069576366</v>
      </c>
      <c r="BV61" s="4504">
        <f t="shared" si="58"/>
        <v>18.632244637262357</v>
      </c>
      <c r="BW61" s="4504">
        <f t="shared" si="59"/>
        <v>5.0917244950116096</v>
      </c>
      <c r="BX61" s="4504">
        <f t="shared" si="60"/>
        <v>2.3530623827224235</v>
      </c>
      <c r="BY61" s="4504">
        <f t="shared" si="61"/>
        <v>3.3258222112256157</v>
      </c>
      <c r="BZ61" s="4504">
        <f t="shared" si="62"/>
        <v>3.8391710494435984</v>
      </c>
      <c r="CA61" s="4504">
        <f t="shared" si="63"/>
        <v>4.4930240498428455</v>
      </c>
      <c r="CB61" s="4504">
        <f t="shared" si="64"/>
        <v>5.2748632703913527</v>
      </c>
      <c r="CC61" s="4504">
        <f t="shared" si="65"/>
        <v>6.1891238631871017</v>
      </c>
      <c r="CD61" s="4504">
        <f t="shared" si="66"/>
        <v>0.97275982850319231</v>
      </c>
      <c r="CE61" s="4504">
        <f t="shared" si="67"/>
        <v>0</v>
      </c>
      <c r="CF61" s="4504">
        <f t="shared" si="68"/>
        <v>0</v>
      </c>
      <c r="CG61" s="4504">
        <f t="shared" si="69"/>
        <v>0</v>
      </c>
      <c r="CH61" s="4504">
        <f t="shared" si="70"/>
        <v>0</v>
      </c>
      <c r="CI61" s="4504">
        <f t="shared" si="71"/>
        <v>0</v>
      </c>
      <c r="CJ61" s="4504">
        <f t="shared" si="72"/>
        <v>0</v>
      </c>
      <c r="CK61" s="4504">
        <f t="shared" si="73"/>
        <v>0</v>
      </c>
      <c r="CL61" s="4504">
        <f t="shared" si="74"/>
        <v>28.540111013226671</v>
      </c>
      <c r="CM61" s="4504">
        <f t="shared" si="75"/>
        <v>56.213882321258147</v>
      </c>
      <c r="CN61" s="4504">
        <f t="shared" si="76"/>
        <v>66.414240241625222</v>
      </c>
      <c r="CO61" s="4504">
        <f t="shared" si="77"/>
        <v>78.847689543983222</v>
      </c>
      <c r="CP61" s="4504">
        <f t="shared" si="78"/>
        <v>93.077452915925122</v>
      </c>
      <c r="CQ61" s="4504">
        <f t="shared" si="79"/>
        <v>110.97368759927913</v>
      </c>
      <c r="CR61" s="4504">
        <f t="shared" si="80"/>
        <v>27.67377130803148</v>
      </c>
      <c r="CS61" s="4504">
        <f t="shared" si="81"/>
        <v>0</v>
      </c>
      <c r="CT61" s="4504">
        <f t="shared" si="82"/>
        <v>0</v>
      </c>
      <c r="CU61" s="4504">
        <f t="shared" si="83"/>
        <v>0</v>
      </c>
      <c r="CV61" s="4504">
        <f t="shared" si="84"/>
        <v>0</v>
      </c>
      <c r="CW61" s="4504">
        <f t="shared" si="85"/>
        <v>0</v>
      </c>
      <c r="CX61" s="4504">
        <f t="shared" si="86"/>
        <v>0</v>
      </c>
      <c r="CY61" s="4504">
        <f t="shared" si="87"/>
        <v>373.52556203760031</v>
      </c>
      <c r="CZ61" s="4504">
        <f t="shared" si="88"/>
        <v>481.55110225358015</v>
      </c>
      <c r="DA61" s="4504">
        <f t="shared" si="89"/>
        <v>544.80060505167773</v>
      </c>
      <c r="DB61" s="4504">
        <f t="shared" si="90"/>
        <v>620.81962924194795</v>
      </c>
      <c r="DC61" s="4504">
        <f t="shared" si="91"/>
        <v>711.68342562986334</v>
      </c>
      <c r="DD61" s="4504">
        <f t="shared" si="92"/>
        <v>810.48180676931065</v>
      </c>
      <c r="DE61" s="4504">
        <f t="shared" si="93"/>
        <v>364.29288332830555</v>
      </c>
      <c r="DF61" s="4504">
        <f t="shared" si="94"/>
        <v>466.25393922077058</v>
      </c>
      <c r="DG61" s="4504">
        <f t="shared" si="95"/>
        <v>527.64637431891106</v>
      </c>
      <c r="DH61" s="4504">
        <f t="shared" si="96"/>
        <v>602.59393073373087</v>
      </c>
      <c r="DI61" s="4504">
        <f t="shared" si="97"/>
        <v>688.94886028989561</v>
      </c>
      <c r="DJ61" s="4504">
        <f t="shared" si="98"/>
        <v>785.66043826886118</v>
      </c>
    </row>
    <row r="62" spans="1:114" ht="45" customHeight="1" thickBot="1">
      <c r="A62" s="108" t="s">
        <v>103</v>
      </c>
      <c r="B62" s="900" t="s">
        <v>1748</v>
      </c>
      <c r="C62" s="1112">
        <f>'5. Персонал'!C66</f>
        <v>204.45839676023402</v>
      </c>
      <c r="D62" s="907">
        <f>'5. Персонал'!D66</f>
        <v>246.80072690050193</v>
      </c>
      <c r="E62" s="907">
        <f>'5. Персонал'!E66</f>
        <v>284.73061657769199</v>
      </c>
      <c r="F62" s="907">
        <f>'5. Персонал'!F66</f>
        <v>328.6123433458705</v>
      </c>
      <c r="G62" s="907">
        <f>'5. Персонал'!G66</f>
        <v>379.37917326442022</v>
      </c>
      <c r="H62" s="1141">
        <f>'5. Персонал'!H66</f>
        <v>438.11079399010873</v>
      </c>
      <c r="I62" s="1255">
        <f t="shared" si="198"/>
        <v>42.342330140267904</v>
      </c>
      <c r="J62" s="826">
        <f t="shared" si="199"/>
        <v>0.2070950903030031</v>
      </c>
      <c r="K62" s="1112">
        <f>'5. Персонал'!I66</f>
        <v>5.5245521312582202</v>
      </c>
      <c r="L62" s="907">
        <f>'5. Персонал'!J66</f>
        <v>11.983623114891209</v>
      </c>
      <c r="M62" s="907">
        <f>'5. Персонал'!K66</f>
        <v>13.752296371662238</v>
      </c>
      <c r="N62" s="907">
        <f>'5. Персонал'!L66</f>
        <v>15.798118742310953</v>
      </c>
      <c r="O62" s="907">
        <f>'5. Персонал'!M66</f>
        <v>18.164711274255101</v>
      </c>
      <c r="P62" s="1141">
        <f>'5. Персонал'!N66</f>
        <v>20.902561968989449</v>
      </c>
      <c r="Q62" s="1255">
        <f t="shared" si="200"/>
        <v>6.4590709836329889</v>
      </c>
      <c r="R62" s="1121">
        <f t="shared" si="201"/>
        <v>1.1691573959610608</v>
      </c>
      <c r="S62" s="1112">
        <f>'5. Персонал'!O66</f>
        <v>47.618245344185517</v>
      </c>
      <c r="T62" s="907">
        <f>'5. Персонал'!P66</f>
        <v>64.799387693175859</v>
      </c>
      <c r="U62" s="907">
        <f>'5. Персонал'!Q66</f>
        <v>74.910787289660178</v>
      </c>
      <c r="V62" s="907">
        <f>'5. Персонал'!R66</f>
        <v>86.61774104588514</v>
      </c>
      <c r="W62" s="907">
        <f>'5. Персонал'!S66</f>
        <v>100.17151706300466</v>
      </c>
      <c r="X62" s="1141">
        <f>'5. Персонал'!T66</f>
        <v>115.86298114324468</v>
      </c>
      <c r="Y62" s="1255">
        <f t="shared" si="168"/>
        <v>17.181142348990342</v>
      </c>
      <c r="Z62" s="1121">
        <f t="shared" si="169"/>
        <v>0.36081006817459865</v>
      </c>
      <c r="AA62" s="1112">
        <f>'5. Персонал'!U66</f>
        <v>0</v>
      </c>
      <c r="AB62" s="907">
        <f>'5. Персонал'!V66</f>
        <v>0</v>
      </c>
      <c r="AC62" s="907">
        <f>'5. Персонал'!W66</f>
        <v>0</v>
      </c>
      <c r="AD62" s="907">
        <f>'5. Персонал'!X66</f>
        <v>0</v>
      </c>
      <c r="AE62" s="907">
        <f>'5. Персонал'!Y66</f>
        <v>0</v>
      </c>
      <c r="AF62" s="1141">
        <f>'5. Персонал'!Z66</f>
        <v>0</v>
      </c>
      <c r="AG62" s="1255">
        <f t="shared" si="203"/>
        <v>0</v>
      </c>
      <c r="AH62" s="826">
        <f t="shared" si="204"/>
        <v>0</v>
      </c>
      <c r="AI62" s="1112">
        <f>'5. Персонал'!AA66</f>
        <v>51.137657831803224</v>
      </c>
      <c r="AJ62" s="907">
        <f>'5. Персонал'!AB66</f>
        <v>59.233491933861842</v>
      </c>
      <c r="AK62" s="907">
        <f>'5. Персонал'!AC66</f>
        <v>67.976494184605272</v>
      </c>
      <c r="AL62" s="907">
        <f>'5. Персонал'!AD66</f>
        <v>78.099415735014318</v>
      </c>
      <c r="AM62" s="907">
        <f>'5. Персонал'!AE66</f>
        <v>89.82144901178529</v>
      </c>
      <c r="AN62" s="3107">
        <f>'5. Персонал'!AF66</f>
        <v>103.39654553271427</v>
      </c>
      <c r="AO62" s="1255">
        <f t="shared" si="205"/>
        <v>8.0958341020586175</v>
      </c>
      <c r="AP62" s="826">
        <f t="shared" si="206"/>
        <v>0.15831452681479097</v>
      </c>
      <c r="AQ62" s="1112">
        <f>'5. Персонал'!AG66</f>
        <v>1.7444979325190191</v>
      </c>
      <c r="AR62" s="907">
        <f>'5. Персонал'!AH66</f>
        <v>1.2306603575691664</v>
      </c>
      <c r="AS62" s="907">
        <f>'5. Персонал'!AI66</f>
        <v>1.4276055763803472</v>
      </c>
      <c r="AT62" s="907">
        <f>'5. Персонал'!AJ66</f>
        <v>1.6557311309190312</v>
      </c>
      <c r="AU62" s="907">
        <f>'5. Персонал'!AK66</f>
        <v>1.9199493865347275</v>
      </c>
      <c r="AV62" s="3107">
        <f>'5. Персонал'!AL66</f>
        <v>2.2259473649428458</v>
      </c>
      <c r="AW62" s="1112">
        <f t="shared" si="238"/>
        <v>308.73885206748099</v>
      </c>
      <c r="AX62" s="907">
        <f t="shared" si="239"/>
        <v>382.81722964243085</v>
      </c>
      <c r="AY62" s="907">
        <f t="shared" si="240"/>
        <v>441.37019442361964</v>
      </c>
      <c r="AZ62" s="907">
        <f t="shared" si="241"/>
        <v>509.12761886908095</v>
      </c>
      <c r="BA62" s="907">
        <f t="shared" si="242"/>
        <v>587.53685061346528</v>
      </c>
      <c r="BB62" s="1141">
        <f t="shared" si="243"/>
        <v>678.27288263505716</v>
      </c>
      <c r="BC62" s="3111">
        <f t="shared" si="244"/>
        <v>255.59605459203726</v>
      </c>
      <c r="BD62" s="3112">
        <f t="shared" si="245"/>
        <v>306.03421883436374</v>
      </c>
      <c r="BE62" s="3113">
        <f t="shared" si="246"/>
        <v>352.70711076229725</v>
      </c>
      <c r="BF62" s="3113">
        <f t="shared" si="247"/>
        <v>406.7117590808848</v>
      </c>
      <c r="BG62" s="3113">
        <f t="shared" si="248"/>
        <v>469.20062227620554</v>
      </c>
      <c r="BH62" s="3115">
        <f t="shared" si="249"/>
        <v>541.50733952282303</v>
      </c>
      <c r="BI62" s="4488"/>
      <c r="BJ62" s="4504">
        <f t="shared" si="46"/>
        <v>104.53791830590288</v>
      </c>
      <c r="BK62" s="4504">
        <f t="shared" si="47"/>
        <v>126.1872079375518</v>
      </c>
      <c r="BL62" s="4504">
        <f t="shared" si="48"/>
        <v>145.58045258416735</v>
      </c>
      <c r="BM62" s="4504">
        <f t="shared" si="49"/>
        <v>168.01682321360778</v>
      </c>
      <c r="BN62" s="4504">
        <f t="shared" si="50"/>
        <v>193.97349118503152</v>
      </c>
      <c r="BO62" s="4504">
        <f t="shared" si="51"/>
        <v>224.00249203157162</v>
      </c>
      <c r="BP62" s="4504">
        <f t="shared" si="52"/>
        <v>21.649289631648919</v>
      </c>
      <c r="BQ62" s="4504">
        <f t="shared" si="53"/>
        <v>2.8246586519575936</v>
      </c>
      <c r="BR62" s="4504">
        <f t="shared" si="54"/>
        <v>6.1271292059592142</v>
      </c>
      <c r="BS62" s="4504">
        <f t="shared" si="55"/>
        <v>7.0314374826351154</v>
      </c>
      <c r="BT62" s="4504">
        <f t="shared" si="56"/>
        <v>8.0774498511174038</v>
      </c>
      <c r="BU62" s="4504">
        <f t="shared" si="57"/>
        <v>9.2874693988000505</v>
      </c>
      <c r="BV62" s="4504">
        <f t="shared" si="58"/>
        <v>10.687310230945148</v>
      </c>
      <c r="BW62" s="4504">
        <f t="shared" si="59"/>
        <v>3.3024705540016202</v>
      </c>
      <c r="BX62" s="4504">
        <f t="shared" si="60"/>
        <v>24.346822241291687</v>
      </c>
      <c r="BY62" s="4504">
        <f t="shared" si="61"/>
        <v>33.131400834006975</v>
      </c>
      <c r="BZ62" s="4504">
        <f t="shared" si="62"/>
        <v>38.30127735522013</v>
      </c>
      <c r="CA62" s="4504">
        <f t="shared" si="63"/>
        <v>44.286947764317524</v>
      </c>
      <c r="CB62" s="4504">
        <f t="shared" si="64"/>
        <v>51.216883401422749</v>
      </c>
      <c r="CC62" s="4504">
        <f t="shared" si="65"/>
        <v>59.239801589731563</v>
      </c>
      <c r="CD62" s="4504">
        <f t="shared" si="66"/>
        <v>8.7845785927152882</v>
      </c>
      <c r="CE62" s="4504">
        <f t="shared" si="67"/>
        <v>0</v>
      </c>
      <c r="CF62" s="4504">
        <f t="shared" si="68"/>
        <v>0</v>
      </c>
      <c r="CG62" s="4504">
        <f t="shared" si="69"/>
        <v>0</v>
      </c>
      <c r="CH62" s="4504">
        <f t="shared" si="70"/>
        <v>0</v>
      </c>
      <c r="CI62" s="4504">
        <f t="shared" si="71"/>
        <v>0</v>
      </c>
      <c r="CJ62" s="4504">
        <f t="shared" si="72"/>
        <v>0</v>
      </c>
      <c r="CK62" s="4504">
        <f t="shared" si="73"/>
        <v>0</v>
      </c>
      <c r="CL62" s="4504">
        <f t="shared" si="74"/>
        <v>26.146269272791205</v>
      </c>
      <c r="CM62" s="4504">
        <f t="shared" si="75"/>
        <v>30.285603520685257</v>
      </c>
      <c r="CN62" s="4504">
        <f t="shared" si="76"/>
        <v>34.755829588770638</v>
      </c>
      <c r="CO62" s="4504">
        <f t="shared" si="77"/>
        <v>39.931597191481018</v>
      </c>
      <c r="CP62" s="4504">
        <f t="shared" si="78"/>
        <v>45.924977637005924</v>
      </c>
      <c r="CQ62" s="4504">
        <f t="shared" si="79"/>
        <v>52.865814274611942</v>
      </c>
      <c r="CR62" s="4504">
        <f t="shared" si="80"/>
        <v>4.1393342478940491</v>
      </c>
      <c r="CS62" s="4504">
        <f t="shared" si="81"/>
        <v>0.89194762966056307</v>
      </c>
      <c r="CT62" s="4504">
        <f t="shared" si="82"/>
        <v>0.62922664933514993</v>
      </c>
      <c r="CU62" s="4504">
        <f t="shared" si="83"/>
        <v>0.72992314075371956</v>
      </c>
      <c r="CV62" s="4504">
        <f t="shared" si="84"/>
        <v>0.84656188468273386</v>
      </c>
      <c r="CW62" s="4504">
        <f t="shared" si="85"/>
        <v>0.98165453364286648</v>
      </c>
      <c r="CX62" s="4504">
        <f t="shared" si="86"/>
        <v>1.1381088156653931</v>
      </c>
      <c r="CY62" s="4504">
        <f t="shared" si="87"/>
        <v>157.85566847194337</v>
      </c>
      <c r="CZ62" s="4504">
        <f t="shared" si="88"/>
        <v>195.73134149820325</v>
      </c>
      <c r="DA62" s="4504">
        <f t="shared" si="89"/>
        <v>225.66899701079319</v>
      </c>
      <c r="DB62" s="4504">
        <f t="shared" si="90"/>
        <v>260.31281802052376</v>
      </c>
      <c r="DC62" s="4504">
        <f t="shared" si="91"/>
        <v>300.40282162226026</v>
      </c>
      <c r="DD62" s="4504">
        <f t="shared" si="92"/>
        <v>346.79541812686028</v>
      </c>
      <c r="DE62" s="4504">
        <f t="shared" si="93"/>
        <v>130.68418757869409</v>
      </c>
      <c r="DF62" s="4504">
        <f t="shared" si="94"/>
        <v>156.47281145823703</v>
      </c>
      <c r="DG62" s="4504">
        <f t="shared" si="95"/>
        <v>180.33628217293796</v>
      </c>
      <c r="DH62" s="4504">
        <f t="shared" si="96"/>
        <v>207.9484204050888</v>
      </c>
      <c r="DI62" s="4504">
        <f t="shared" si="97"/>
        <v>239.89846882203747</v>
      </c>
      <c r="DJ62" s="4504">
        <f t="shared" si="98"/>
        <v>276.86830630618357</v>
      </c>
    </row>
    <row r="63" spans="1:114" thickBot="1">
      <c r="A63" s="110">
        <v>5</v>
      </c>
      <c r="B63" s="897" t="s">
        <v>449</v>
      </c>
      <c r="C63" s="1110">
        <f>SUM(C64:C69)</f>
        <v>1172.6227583451002</v>
      </c>
      <c r="D63" s="905">
        <f t="shared" ref="D63:H63" si="250">SUM(D64:D69)</f>
        <v>1747.1260011153388</v>
      </c>
      <c r="E63" s="1147">
        <f t="shared" si="250"/>
        <v>2007.7126112109611</v>
      </c>
      <c r="F63" s="1147">
        <f t="shared" si="250"/>
        <v>2267.5098480076772</v>
      </c>
      <c r="G63" s="1147">
        <f t="shared" si="250"/>
        <v>2529.7053309094272</v>
      </c>
      <c r="H63" s="1148">
        <f t="shared" si="250"/>
        <v>2791.5517078914395</v>
      </c>
      <c r="I63" s="1246">
        <f t="shared" si="198"/>
        <v>574.50324277023856</v>
      </c>
      <c r="J63" s="820">
        <f t="shared" si="199"/>
        <v>0.48993014904556675</v>
      </c>
      <c r="K63" s="1110">
        <f t="shared" ref="K63:P63" si="251">SUM(K64:K69)</f>
        <v>39.950415243085629</v>
      </c>
      <c r="L63" s="905">
        <f t="shared" si="251"/>
        <v>88.488089059659657</v>
      </c>
      <c r="M63" s="1147">
        <f t="shared" si="251"/>
        <v>102.26707932499346</v>
      </c>
      <c r="N63" s="1147">
        <f t="shared" si="251"/>
        <v>115.66194536494544</v>
      </c>
      <c r="O63" s="1147">
        <f t="shared" si="251"/>
        <v>129.55903834234115</v>
      </c>
      <c r="P63" s="1148">
        <f t="shared" si="251"/>
        <v>143.94065297337363</v>
      </c>
      <c r="Q63" s="1246">
        <f t="shared" si="200"/>
        <v>48.537673816574028</v>
      </c>
      <c r="R63" s="875">
        <f t="shared" si="201"/>
        <v>1.214947917843598</v>
      </c>
      <c r="S63" s="1110">
        <f t="shared" ref="S63:X63" si="252">SUM(S64:S69)</f>
        <v>235.8227283559373</v>
      </c>
      <c r="T63" s="905">
        <f>SUM(T64:T69)</f>
        <v>409.9850015482308</v>
      </c>
      <c r="U63" s="1147">
        <f t="shared" si="252"/>
        <v>475.71412397222758</v>
      </c>
      <c r="V63" s="1147">
        <f t="shared" si="252"/>
        <v>539.58636356684747</v>
      </c>
      <c r="W63" s="1147">
        <f t="shared" si="252"/>
        <v>604.66546215369328</v>
      </c>
      <c r="X63" s="1148">
        <f t="shared" si="252"/>
        <v>670.70411652112591</v>
      </c>
      <c r="Y63" s="1246">
        <f t="shared" si="168"/>
        <v>174.1622731922935</v>
      </c>
      <c r="Z63" s="875">
        <f t="shared" si="169"/>
        <v>0.73853048180081671</v>
      </c>
      <c r="AA63" s="1110">
        <f>SUM(AA64:AA69)</f>
        <v>0</v>
      </c>
      <c r="AB63" s="905">
        <f t="shared" ref="AB63:AF63" si="253">SUM(AB64:AB69)</f>
        <v>0</v>
      </c>
      <c r="AC63" s="1147">
        <f t="shared" si="253"/>
        <v>0</v>
      </c>
      <c r="AD63" s="1147">
        <f t="shared" si="253"/>
        <v>0</v>
      </c>
      <c r="AE63" s="1147">
        <f>SUM(AE64:AE69)</f>
        <v>0</v>
      </c>
      <c r="AF63" s="1148">
        <f t="shared" si="253"/>
        <v>0</v>
      </c>
      <c r="AG63" s="1246">
        <f t="shared" si="203"/>
        <v>0</v>
      </c>
      <c r="AH63" s="820">
        <f t="shared" si="204"/>
        <v>0</v>
      </c>
      <c r="AI63" s="1110">
        <f t="shared" ref="AI63:AN63" si="254">SUM(AI64:AI69)</f>
        <v>209.45682051322046</v>
      </c>
      <c r="AJ63" s="905">
        <f t="shared" si="254"/>
        <v>316.73623040373377</v>
      </c>
      <c r="AK63" s="1147">
        <f t="shared" si="254"/>
        <v>364.48957234673253</v>
      </c>
      <c r="AL63" s="1147">
        <f t="shared" si="254"/>
        <v>412.40549582812247</v>
      </c>
      <c r="AM63" s="1147">
        <f t="shared" si="254"/>
        <v>461.2583800537821</v>
      </c>
      <c r="AN63" s="3106">
        <f t="shared" si="254"/>
        <v>510.00325912011209</v>
      </c>
      <c r="AO63" s="1246">
        <f t="shared" si="205"/>
        <v>107.27940989051331</v>
      </c>
      <c r="AP63" s="820">
        <f t="shared" si="206"/>
        <v>0.51217911943689631</v>
      </c>
      <c r="AQ63" s="1110">
        <f>SUM(AQ64:AQ69)</f>
        <v>8.3318875426563057</v>
      </c>
      <c r="AR63" s="905">
        <f t="shared" ref="AR63:AV63" si="255">SUM(AR64:AR69)</f>
        <v>6.5657124956922681</v>
      </c>
      <c r="AS63" s="1147">
        <f t="shared" si="255"/>
        <v>7.5846146546576279</v>
      </c>
      <c r="AT63" s="1147">
        <f t="shared" si="255"/>
        <v>8.6118638756894459</v>
      </c>
      <c r="AU63" s="1147">
        <f t="shared" si="255"/>
        <v>9.6366137443816076</v>
      </c>
      <c r="AV63" s="3106">
        <f t="shared" si="255"/>
        <v>10.648518704947779</v>
      </c>
      <c r="AW63" s="1110">
        <f t="shared" ref="AW63:BB63" si="256">SUM(AW64:AW68)</f>
        <v>1652.4027304133797</v>
      </c>
      <c r="AX63" s="905">
        <f t="shared" si="256"/>
        <v>2552.7187370105198</v>
      </c>
      <c r="AY63" s="1147">
        <f t="shared" si="256"/>
        <v>2940.0461755198803</v>
      </c>
      <c r="AZ63" s="1147">
        <f t="shared" si="256"/>
        <v>3323.8504443903739</v>
      </c>
      <c r="BA63" s="1147">
        <f t="shared" si="256"/>
        <v>3713.2272972627138</v>
      </c>
      <c r="BB63" s="3106">
        <f t="shared" si="256"/>
        <v>4104.2389891354487</v>
      </c>
      <c r="BC63" s="1110">
        <f t="shared" ref="BC63:BH63" si="257">SUM(BC64:BC68)</f>
        <v>1377.5741849689543</v>
      </c>
      <c r="BD63" s="905">
        <f t="shared" si="257"/>
        <v>2056.1744790197563</v>
      </c>
      <c r="BE63" s="1147">
        <f t="shared" si="257"/>
        <v>2364.10134991206</v>
      </c>
      <c r="BF63" s="1147">
        <f t="shared" si="257"/>
        <v>2670.8778948555855</v>
      </c>
      <c r="BG63" s="1147">
        <f t="shared" si="257"/>
        <v>2981.4118532743769</v>
      </c>
      <c r="BH63" s="3106">
        <f t="shared" si="257"/>
        <v>3292.0059600363684</v>
      </c>
      <c r="BI63" s="4488"/>
      <c r="BJ63" s="4504">
        <f t="shared" si="46"/>
        <v>599.55249604776498</v>
      </c>
      <c r="BK63" s="4504">
        <f t="shared" si="47"/>
        <v>893.29133979708809</v>
      </c>
      <c r="BL63" s="4504">
        <f t="shared" si="48"/>
        <v>1026.5271578874244</v>
      </c>
      <c r="BM63" s="4504">
        <f t="shared" si="49"/>
        <v>1159.3593758187967</v>
      </c>
      <c r="BN63" s="4504">
        <f t="shared" si="50"/>
        <v>1293.4177975127834</v>
      </c>
      <c r="BO63" s="4504">
        <f t="shared" si="51"/>
        <v>1427.2977241843307</v>
      </c>
      <c r="BP63" s="4504">
        <f t="shared" si="52"/>
        <v>293.73884374932311</v>
      </c>
      <c r="BQ63" s="4504">
        <f t="shared" si="53"/>
        <v>20.426322964207333</v>
      </c>
      <c r="BR63" s="4504">
        <f t="shared" si="54"/>
        <v>45.24324151877191</v>
      </c>
      <c r="BS63" s="4504">
        <f t="shared" si="55"/>
        <v>52.288327372518808</v>
      </c>
      <c r="BT63" s="4504">
        <f t="shared" si="56"/>
        <v>59.137013628457197</v>
      </c>
      <c r="BU63" s="4504">
        <f t="shared" si="57"/>
        <v>66.242484440028605</v>
      </c>
      <c r="BV63" s="4504">
        <f t="shared" si="58"/>
        <v>73.59568723936826</v>
      </c>
      <c r="BW63" s="4504">
        <f t="shared" si="59"/>
        <v>24.816918554564573</v>
      </c>
      <c r="BX63" s="4504">
        <f t="shared" si="60"/>
        <v>120.574246409932</v>
      </c>
      <c r="BY63" s="4504">
        <f t="shared" si="61"/>
        <v>209.62200270382948</v>
      </c>
      <c r="BZ63" s="4504">
        <f t="shared" si="62"/>
        <v>243.22876935737133</v>
      </c>
      <c r="CA63" s="4504">
        <f t="shared" si="63"/>
        <v>275.88612689592014</v>
      </c>
      <c r="CB63" s="4504">
        <f t="shared" si="64"/>
        <v>309.16054163894268</v>
      </c>
      <c r="CC63" s="4504">
        <f t="shared" si="65"/>
        <v>342.92556946213421</v>
      </c>
      <c r="CD63" s="4504">
        <f t="shared" si="66"/>
        <v>89.047756293897478</v>
      </c>
      <c r="CE63" s="4504">
        <f t="shared" si="67"/>
        <v>0</v>
      </c>
      <c r="CF63" s="4504">
        <f t="shared" si="68"/>
        <v>0</v>
      </c>
      <c r="CG63" s="4504">
        <f t="shared" si="69"/>
        <v>0</v>
      </c>
      <c r="CH63" s="4504">
        <f t="shared" si="70"/>
        <v>0</v>
      </c>
      <c r="CI63" s="4504">
        <f t="shared" si="71"/>
        <v>0</v>
      </c>
      <c r="CJ63" s="4504">
        <f t="shared" si="72"/>
        <v>0</v>
      </c>
      <c r="CK63" s="4504">
        <f t="shared" si="73"/>
        <v>0</v>
      </c>
      <c r="CL63" s="4504">
        <f t="shared" si="74"/>
        <v>107.09357178958318</v>
      </c>
      <c r="CM63" s="4504">
        <f t="shared" si="75"/>
        <v>161.94466308612394</v>
      </c>
      <c r="CN63" s="4504">
        <f t="shared" si="76"/>
        <v>186.36055912156604</v>
      </c>
      <c r="CO63" s="4504">
        <f t="shared" si="77"/>
        <v>210.85958177761998</v>
      </c>
      <c r="CP63" s="4504">
        <f t="shared" si="78"/>
        <v>235.83766485521855</v>
      </c>
      <c r="CQ63" s="4504">
        <f t="shared" si="79"/>
        <v>260.76052577172459</v>
      </c>
      <c r="CR63" s="4504">
        <f t="shared" si="80"/>
        <v>54.851091296540758</v>
      </c>
      <c r="CS63" s="4504">
        <f t="shared" si="81"/>
        <v>4.2600264556000811</v>
      </c>
      <c r="CT63" s="4504">
        <f t="shared" si="82"/>
        <v>3.3569954933160182</v>
      </c>
      <c r="CU63" s="4504">
        <f t="shared" si="83"/>
        <v>3.8779518949283056</v>
      </c>
      <c r="CV63" s="4504">
        <f t="shared" si="84"/>
        <v>4.4031760816070138</v>
      </c>
      <c r="CW63" s="4504">
        <f t="shared" si="85"/>
        <v>4.9271223697262068</v>
      </c>
      <c r="CX63" s="4504">
        <f t="shared" si="86"/>
        <v>5.4445011606058706</v>
      </c>
      <c r="CY63" s="4504">
        <f t="shared" si="87"/>
        <v>844.86010052682479</v>
      </c>
      <c r="CZ63" s="4504">
        <f t="shared" si="88"/>
        <v>1305.1843652109437</v>
      </c>
      <c r="DA63" s="4504">
        <f t="shared" si="89"/>
        <v>1503.2217398853072</v>
      </c>
      <c r="DB63" s="4504">
        <f t="shared" si="90"/>
        <v>1699.4577465272412</v>
      </c>
      <c r="DC63" s="4504">
        <f t="shared" si="91"/>
        <v>1898.542970126603</v>
      </c>
      <c r="DD63" s="4504">
        <f t="shared" si="92"/>
        <v>2098.4640736339297</v>
      </c>
      <c r="DE63" s="4504">
        <f t="shared" si="93"/>
        <v>704.34249652012409</v>
      </c>
      <c r="DF63" s="4504">
        <f t="shared" si="94"/>
        <v>1051.3053174456657</v>
      </c>
      <c r="DG63" s="4504">
        <f t="shared" si="95"/>
        <v>1208.7458265350567</v>
      </c>
      <c r="DH63" s="4504">
        <f t="shared" si="96"/>
        <v>1365.5981833061082</v>
      </c>
      <c r="DI63" s="4504">
        <f t="shared" si="97"/>
        <v>1524.3716750813603</v>
      </c>
      <c r="DJ63" s="4504">
        <f t="shared" si="98"/>
        <v>1683.1759202161581</v>
      </c>
    </row>
    <row r="64" spans="1:114" ht="13.2">
      <c r="A64" s="108" t="s">
        <v>105</v>
      </c>
      <c r="B64" s="898" t="s">
        <v>632</v>
      </c>
      <c r="C64" s="1112">
        <f>'5. Персонал'!C42-'5. Персонал'!C43-'5. Персонал'!C44</f>
        <v>700.95337659930419</v>
      </c>
      <c r="D64" s="907">
        <f>'5. Персонал'!D42-'5. Персонал'!D43-'5. Персонал'!D44</f>
        <v>1069.4107870576647</v>
      </c>
      <c r="E64" s="907">
        <f>'5. Персонал'!E42-'5. Персонал'!E43-'5. Персонал'!E44</f>
        <v>1273.2804330837564</v>
      </c>
      <c r="F64" s="907">
        <f>'5. Персонал'!F42-'5. Персонал'!F43-'5. Персонал'!F44</f>
        <v>1445.2818898170538</v>
      </c>
      <c r="G64" s="907">
        <f>'5. Персонал'!G42-'5. Персонал'!G43-'5. Персонал'!G44</f>
        <v>1641.5002335796705</v>
      </c>
      <c r="H64" s="1141">
        <f>'5. Персонал'!H42-'5. Персонал'!H43-'5. Персонал'!H44</f>
        <v>1865.8802056198788</v>
      </c>
      <c r="I64" s="1255">
        <f t="shared" si="198"/>
        <v>368.45741045836053</v>
      </c>
      <c r="J64" s="1244">
        <f t="shared" si="199"/>
        <v>0.52565180903463571</v>
      </c>
      <c r="K64" s="1112">
        <f>'5. Персонал'!I42-'5. Персонал'!I43-'5. Персонал'!I44</f>
        <v>26.772216607582205</v>
      </c>
      <c r="L64" s="907">
        <f>'5. Персонал'!J42-'5. Персонал'!J43-'5. Персонал'!J44</f>
        <v>62.462630488015542</v>
      </c>
      <c r="M64" s="907">
        <f>'5. Персонал'!K42-'5. Персонал'!K43-'5. Персонал'!K44</f>
        <v>74.14877895562347</v>
      </c>
      <c r="N64" s="907">
        <f>'5. Персонал'!L42-'5. Персонал'!L43-'5. Персонал'!L44</f>
        <v>84.695447334462187</v>
      </c>
      <c r="O64" s="907">
        <f>'5. Персонал'!M42-'5. Персонал'!M43-'5. Персонал'!M44</f>
        <v>95.418482952589002</v>
      </c>
      <c r="P64" s="1141">
        <f>'5. Персонал'!N42-'5. Персонал'!N43-'5. Персонал'!N44</f>
        <v>108.9637210179596</v>
      </c>
      <c r="Q64" s="1255">
        <f t="shared" si="200"/>
        <v>35.69041388043334</v>
      </c>
      <c r="R64" s="1125">
        <f t="shared" si="201"/>
        <v>1.3331138920460324</v>
      </c>
      <c r="S64" s="1112">
        <f>'5. Персонал'!O42-'5. Персонал'!O43-'5. Персонал'!O44</f>
        <v>165.63132086806169</v>
      </c>
      <c r="T64" s="1140">
        <f>'5. Персонал'!P42-'5. Персонал'!P43-'5. Персонал'!P44</f>
        <v>288.59604038248386</v>
      </c>
      <c r="U64" s="1140">
        <f>'5. Персонал'!Q42-'5. Персонал'!Q43-'5. Персонал'!Q44</f>
        <v>346.66043531572456</v>
      </c>
      <c r="V64" s="1140">
        <f>'5. Персонал'!R42-'5. Персонал'!R43-'5. Персонал'!R44</f>
        <v>395.12001021334231</v>
      </c>
      <c r="W64" s="1140">
        <f>'5. Персонал'!S42-'5. Персонал'!S43-'5. Персонал'!S44</f>
        <v>450.573944377582</v>
      </c>
      <c r="X64" s="1139">
        <f>'5. Персонал'!T42-'5. Персонал'!T43-'5. Персонал'!T44</f>
        <v>514.09497517511386</v>
      </c>
      <c r="Y64" s="1255">
        <f t="shared" si="168"/>
        <v>122.96471951442217</v>
      </c>
      <c r="Z64" s="1125">
        <f t="shared" si="169"/>
        <v>0.7424001624208092</v>
      </c>
      <c r="AA64" s="1112">
        <f>'5. Персонал'!U42-'5. Персонал'!U43-'5. Персонал'!U44</f>
        <v>0</v>
      </c>
      <c r="AB64" s="1140">
        <f>'5. Персонал'!V42-'5. Персонал'!V43-'5. Персонал'!V44</f>
        <v>0</v>
      </c>
      <c r="AC64" s="1140">
        <f>'5. Персонал'!W42-'5. Персонал'!W43-'5. Персонал'!W44</f>
        <v>0</v>
      </c>
      <c r="AD64" s="1140">
        <f>'5. Персонал'!X42-'5. Персонал'!X43-'5. Персонал'!X44</f>
        <v>0</v>
      </c>
      <c r="AE64" s="1140">
        <f>'5. Персонал'!Y42-'5. Персонал'!Y43-'5. Персонал'!Y44</f>
        <v>0</v>
      </c>
      <c r="AF64" s="1139">
        <f>'5. Персонал'!Z42-'5. Персонал'!Z43-'5. Персонал'!Z44</f>
        <v>0</v>
      </c>
      <c r="AG64" s="1255">
        <f t="shared" si="203"/>
        <v>0</v>
      </c>
      <c r="AH64" s="1244">
        <f t="shared" si="204"/>
        <v>0</v>
      </c>
      <c r="AI64" s="1112">
        <f>'5. Персонал'!AA42-'5. Персонал'!AA43-'5. Персонал'!AA44</f>
        <v>135.7225008524322</v>
      </c>
      <c r="AJ64" s="907">
        <f>'5. Персонал'!AB42-'5. Персонал'!AB43-'5. Персонал'!AB44</f>
        <v>203.13868829953694</v>
      </c>
      <c r="AK64" s="907">
        <f>'5. Персонал'!AC42-'5. Персонал'!AC43-'5. Персонал'!AC44</f>
        <v>239.99304466805305</v>
      </c>
      <c r="AL64" s="907">
        <f>'5. Персонал'!AD42-'5. Персонал'!AD43-'5. Персонал'!AD44</f>
        <v>271.15790412787226</v>
      </c>
      <c r="AM64" s="907">
        <f>'5. Персонал'!AE42-'5. Персонал'!AE43-'5. Персонал'!AE44</f>
        <v>306.88526077681848</v>
      </c>
      <c r="AN64" s="3107">
        <f>'5. Персонал'!AF42-'5. Персонал'!AF43-'5. Персонал'!AF44</f>
        <v>346.387096666373</v>
      </c>
      <c r="AO64" s="1255">
        <f t="shared" si="205"/>
        <v>67.416187447104733</v>
      </c>
      <c r="AP64" s="1244">
        <f t="shared" si="206"/>
        <v>0.49672078707424294</v>
      </c>
      <c r="AQ64" s="3131">
        <f>'5. Персонал'!AG42-'5. Персонал'!AG43-'5. Персонал'!AG44</f>
        <v>5.6588150726195625</v>
      </c>
      <c r="AR64" s="1140">
        <f>'5. Персонал'!AH42-'5. Персонал'!AH43-'5. Персонал'!AH44</f>
        <v>4.333396512628001</v>
      </c>
      <c r="AS64" s="1140">
        <f>'5. Персонал'!AI42-'5. Персонал'!AI43-'5. Персонал'!AI44</f>
        <v>5.2176960357107429</v>
      </c>
      <c r="AT64" s="1140">
        <f>'5. Персонал'!AJ42-'5. Персонал'!AJ43-'5. Персонал'!AJ44</f>
        <v>5.9632820629100305</v>
      </c>
      <c r="AU64" s="1140">
        <f>'5. Персонал'!AK42-'5. Персонал'!AK43-'5. Персонал'!AK44</f>
        <v>6.8164488873586668</v>
      </c>
      <c r="AV64" s="3132">
        <f>'5. Персонал'!AL42-'5. Персонал'!AL43-'5. Персонал'!AL44</f>
        <v>7.7921039260358942</v>
      </c>
      <c r="AW64" s="1112">
        <f t="shared" ref="AW64" si="258">C64+K64+S64+AA64+AI64</f>
        <v>1029.0794149273804</v>
      </c>
      <c r="AX64" s="907">
        <f t="shared" ref="AX64" si="259">D64+L64+T64+AB64+AJ64</f>
        <v>1623.6081462277009</v>
      </c>
      <c r="AY64" s="907">
        <f t="shared" ref="AY64:AY65" si="260">E64+M64+U64+AC64+AK64</f>
        <v>1934.0826920231573</v>
      </c>
      <c r="AZ64" s="907">
        <f t="shared" ref="AZ64:AZ65" si="261">F64+N64+V64+AD64+AL64</f>
        <v>2196.2552514927306</v>
      </c>
      <c r="BA64" s="907">
        <f t="shared" ref="BA64:BA65" si="262">G64+O64+W64+AE64+AM64</f>
        <v>2494.3779216866601</v>
      </c>
      <c r="BB64" s="1141">
        <f t="shared" ref="BB64:BB65" si="263">H64+P64+X64+AF64+AN64</f>
        <v>2835.3259984793253</v>
      </c>
      <c r="BC64" s="3111">
        <f t="shared" ref="BC64:BC65" si="264">C64+AA64+AI64</f>
        <v>836.67587745173637</v>
      </c>
      <c r="BD64" s="3112">
        <f t="shared" ref="BD64:BD65" si="265">D64+AB64+AJ64</f>
        <v>1272.5494753572016</v>
      </c>
      <c r="BE64" s="3113">
        <f t="shared" ref="BE64:BE65" si="266">E64+AC64+AK64</f>
        <v>1513.2734777518094</v>
      </c>
      <c r="BF64" s="3113">
        <f t="shared" ref="BF64:BF65" si="267">F64+AD64+AL64</f>
        <v>1716.4397939449259</v>
      </c>
      <c r="BG64" s="3113">
        <f t="shared" ref="BG64:BG65" si="268">G64+AE64+AM64</f>
        <v>1948.3854943564891</v>
      </c>
      <c r="BH64" s="3115">
        <f t="shared" ref="BH64:BH65" si="269">H64+AF64+AN64</f>
        <v>2212.2673022862518</v>
      </c>
      <c r="BI64" s="4488"/>
      <c r="BJ64" s="4504">
        <f t="shared" si="46"/>
        <v>358.39177055229965</v>
      </c>
      <c r="BK64" s="4504">
        <f t="shared" si="47"/>
        <v>546.78105308624208</v>
      </c>
      <c r="BL64" s="4504">
        <f t="shared" si="48"/>
        <v>651.01794792172961</v>
      </c>
      <c r="BM64" s="4504">
        <f t="shared" si="49"/>
        <v>738.96089630338724</v>
      </c>
      <c r="BN64" s="4504">
        <f t="shared" si="50"/>
        <v>839.28574241098181</v>
      </c>
      <c r="BO64" s="4504">
        <f t="shared" si="51"/>
        <v>954.00940041817478</v>
      </c>
      <c r="BP64" s="4504">
        <f t="shared" si="52"/>
        <v>188.38928253394238</v>
      </c>
      <c r="BQ64" s="4504">
        <f t="shared" si="53"/>
        <v>13.688416993083349</v>
      </c>
      <c r="BR64" s="4504">
        <f t="shared" si="54"/>
        <v>31.936635846681739</v>
      </c>
      <c r="BS64" s="4504">
        <f t="shared" si="55"/>
        <v>37.911668680623301</v>
      </c>
      <c r="BT64" s="4504">
        <f t="shared" si="56"/>
        <v>43.304094596392424</v>
      </c>
      <c r="BU64" s="4504">
        <f t="shared" si="57"/>
        <v>48.786695649718538</v>
      </c>
      <c r="BV64" s="4504">
        <f t="shared" si="58"/>
        <v>55.712265901412493</v>
      </c>
      <c r="BW64" s="4504">
        <f t="shared" si="59"/>
        <v>18.248218853598392</v>
      </c>
      <c r="BX64" s="4504">
        <f t="shared" si="60"/>
        <v>84.685949631645741</v>
      </c>
      <c r="BY64" s="4504">
        <f t="shared" si="61"/>
        <v>147.55681239294</v>
      </c>
      <c r="BZ64" s="4504">
        <f t="shared" si="62"/>
        <v>177.24466610887683</v>
      </c>
      <c r="CA64" s="4504">
        <f t="shared" si="63"/>
        <v>202.02165332024884</v>
      </c>
      <c r="CB64" s="4504">
        <f t="shared" si="64"/>
        <v>230.37479963881421</v>
      </c>
      <c r="CC64" s="4504">
        <f t="shared" si="65"/>
        <v>262.85258697080724</v>
      </c>
      <c r="CD64" s="4504">
        <f t="shared" si="66"/>
        <v>62.870862761294269</v>
      </c>
      <c r="CE64" s="4504">
        <f t="shared" si="67"/>
        <v>0</v>
      </c>
      <c r="CF64" s="4504">
        <f t="shared" si="68"/>
        <v>0</v>
      </c>
      <c r="CG64" s="4504">
        <f t="shared" si="69"/>
        <v>0</v>
      </c>
      <c r="CH64" s="4504">
        <f t="shared" si="70"/>
        <v>0</v>
      </c>
      <c r="CI64" s="4504">
        <f t="shared" si="71"/>
        <v>0</v>
      </c>
      <c r="CJ64" s="4504">
        <f t="shared" si="72"/>
        <v>0</v>
      </c>
      <c r="CK64" s="4504">
        <f t="shared" si="73"/>
        <v>0</v>
      </c>
      <c r="CL64" s="4504">
        <f t="shared" si="74"/>
        <v>69.393812781495427</v>
      </c>
      <c r="CM64" s="4504">
        <f t="shared" si="75"/>
        <v>103.8631620844025</v>
      </c>
      <c r="CN64" s="4504">
        <f t="shared" si="76"/>
        <v>122.70649528233693</v>
      </c>
      <c r="CO64" s="4504">
        <f t="shared" si="77"/>
        <v>138.64083490276366</v>
      </c>
      <c r="CP64" s="4504">
        <f t="shared" si="78"/>
        <v>156.90794229397162</v>
      </c>
      <c r="CQ64" s="4504">
        <f t="shared" si="79"/>
        <v>177.10491027664622</v>
      </c>
      <c r="CR64" s="4504">
        <f t="shared" si="80"/>
        <v>34.469349302907069</v>
      </c>
      <c r="CS64" s="4504">
        <f t="shared" si="81"/>
        <v>2.8933062038211719</v>
      </c>
      <c r="CT64" s="4504">
        <f t="shared" si="82"/>
        <v>2.2156304549107033</v>
      </c>
      <c r="CU64" s="4504">
        <f t="shared" si="83"/>
        <v>2.6677656216085972</v>
      </c>
      <c r="CV64" s="4504">
        <f t="shared" si="84"/>
        <v>3.0489777040489359</v>
      </c>
      <c r="CW64" s="4504">
        <f t="shared" si="85"/>
        <v>3.4851949746954833</v>
      </c>
      <c r="CX64" s="4504">
        <f t="shared" si="86"/>
        <v>3.984039474819332</v>
      </c>
      <c r="CY64" s="4504">
        <f t="shared" si="87"/>
        <v>526.15994995852418</v>
      </c>
      <c r="CZ64" s="4504">
        <f t="shared" si="88"/>
        <v>830.13766341026621</v>
      </c>
      <c r="DA64" s="4504">
        <f t="shared" si="89"/>
        <v>988.88077799356654</v>
      </c>
      <c r="DB64" s="4504">
        <f t="shared" si="90"/>
        <v>1122.9274791227922</v>
      </c>
      <c r="DC64" s="4504">
        <f t="shared" si="91"/>
        <v>1275.3551799934862</v>
      </c>
      <c r="DD64" s="4504">
        <f t="shared" si="92"/>
        <v>1449.6791635670409</v>
      </c>
      <c r="DE64" s="4504">
        <f t="shared" si="93"/>
        <v>427.78558333379505</v>
      </c>
      <c r="DF64" s="4504">
        <f t="shared" si="94"/>
        <v>650.64421517064443</v>
      </c>
      <c r="DG64" s="4504">
        <f t="shared" si="95"/>
        <v>773.72444320406657</v>
      </c>
      <c r="DH64" s="4504">
        <f t="shared" si="96"/>
        <v>877.60173120615082</v>
      </c>
      <c r="DI64" s="4504">
        <f t="shared" si="97"/>
        <v>996.1936847049534</v>
      </c>
      <c r="DJ64" s="4504">
        <f t="shared" si="98"/>
        <v>1131.1143106948211</v>
      </c>
    </row>
    <row r="65" spans="1:114" s="685" customFormat="1" ht="13.2">
      <c r="A65" s="401" t="s">
        <v>109</v>
      </c>
      <c r="B65" s="901" t="s">
        <v>639</v>
      </c>
      <c r="C65" s="2679">
        <f>'8. Ремонтна програма'!J35</f>
        <v>128.28306346552179</v>
      </c>
      <c r="D65" s="1249">
        <f>'8. Ремонтна програма'!K35</f>
        <v>161.1693299220137</v>
      </c>
      <c r="E65" s="1133">
        <f>'8. Ремонтна програма'!L35</f>
        <v>190.83079845227977</v>
      </c>
      <c r="F65" s="1133">
        <f>'8. Ремонтна програма'!M35</f>
        <v>216.54973176701932</v>
      </c>
      <c r="G65" s="1133">
        <f>'8. Ремонтна програма'!N35</f>
        <v>246.23399184735308</v>
      </c>
      <c r="H65" s="3116">
        <f>'8. Ремонтна програма'!O35</f>
        <v>278.64907085291122</v>
      </c>
      <c r="I65" s="1249">
        <f t="shared" si="198"/>
        <v>32.88626645649191</v>
      </c>
      <c r="J65" s="822">
        <f t="shared" si="199"/>
        <v>0.25635704018972577</v>
      </c>
      <c r="K65" s="2679">
        <f>'8. Ремонтна програма'!J64</f>
        <v>2.6389199999999997</v>
      </c>
      <c r="L65" s="1249">
        <f>'8. Ремонтна програма'!K64</f>
        <v>4.7054255944452112</v>
      </c>
      <c r="M65" s="1133">
        <f>'8. Ремонтна програма'!L64</f>
        <v>5.508990556114437</v>
      </c>
      <c r="N65" s="1133">
        <f>'8. Ремонтна програма'!M64</f>
        <v>5.677953819104089</v>
      </c>
      <c r="O65" s="1133">
        <f>'8. Ремонтна програма'!N64</f>
        <v>7.2149327587371692</v>
      </c>
      <c r="P65" s="3116">
        <f>'8. Ремонтна програма'!O64</f>
        <v>7.6952121127689495</v>
      </c>
      <c r="Q65" s="1249">
        <f t="shared" si="200"/>
        <v>2.0665055944452115</v>
      </c>
      <c r="R65" s="877">
        <f t="shared" si="201"/>
        <v>0.78308762465145276</v>
      </c>
      <c r="S65" s="2679">
        <f>'8. Ремонтна програма'!J90</f>
        <v>0.89989000000000008</v>
      </c>
      <c r="T65" s="1249">
        <f>'8. Ремонтна програма'!K90</f>
        <v>1.3072394469849173</v>
      </c>
      <c r="U65" s="1133">
        <f>'8. Ремонтна програма'!L90</f>
        <v>1.5884237515797974</v>
      </c>
      <c r="V65" s="1133">
        <f>'8. Ремонтна програма'!M90</f>
        <v>1.857699542828299</v>
      </c>
      <c r="W65" s="1133">
        <f>'8. Ремонтна програма'!N90</f>
        <v>2.1797498981223717</v>
      </c>
      <c r="X65" s="3116">
        <f>'8. Ремонтна програма'!O90</f>
        <v>2.5561397376769599</v>
      </c>
      <c r="Y65" s="1249">
        <f t="shared" si="168"/>
        <v>0.40734944698491726</v>
      </c>
      <c r="Z65" s="877">
        <f t="shared" si="169"/>
        <v>0.45266582247265469</v>
      </c>
      <c r="AA65" s="2679">
        <f>'8. Ремонтна програма'!J121</f>
        <v>0</v>
      </c>
      <c r="AB65" s="1249">
        <f>'8. Ремонтна програма'!K121</f>
        <v>0</v>
      </c>
      <c r="AC65" s="1133">
        <f>'8. Ремонтна програма'!L121</f>
        <v>0</v>
      </c>
      <c r="AD65" s="1133">
        <f>'8. Ремонтна програма'!M121</f>
        <v>0</v>
      </c>
      <c r="AE65" s="1133">
        <f>'8. Ремонтна програма'!N121</f>
        <v>0</v>
      </c>
      <c r="AF65" s="3116">
        <f>'8. Ремонтна програма'!O121</f>
        <v>0</v>
      </c>
      <c r="AG65" s="1249">
        <f t="shared" si="203"/>
        <v>0</v>
      </c>
      <c r="AH65" s="822">
        <f t="shared" si="204"/>
        <v>0</v>
      </c>
      <c r="AI65" s="1112">
        <f>'8. Ремонтна програма'!J152</f>
        <v>10.914526534478197</v>
      </c>
      <c r="AJ65" s="1255">
        <f>'8. Ремонтна програма'!K152</f>
        <v>22.095289456689443</v>
      </c>
      <c r="AK65" s="1136">
        <f>'8. Ремонтна програма'!L152</f>
        <v>27.478316356394998</v>
      </c>
      <c r="AL65" s="1136">
        <f>'8. Ремонтна програма'!M152</f>
        <v>32.600608230451911</v>
      </c>
      <c r="AM65" s="1136">
        <f>'8. Ремонтна програма'!N152</f>
        <v>38.46271611433167</v>
      </c>
      <c r="AN65" s="3107">
        <f>'8. Ремонтна програма'!O152</f>
        <v>45.832699260762979</v>
      </c>
      <c r="AO65" s="1249">
        <f t="shared" si="205"/>
        <v>11.180762922211246</v>
      </c>
      <c r="AP65" s="822">
        <f t="shared" si="206"/>
        <v>1.0243928480902975</v>
      </c>
      <c r="AQ65" s="1112">
        <f>'5. Персонал'!AG43</f>
        <v>0</v>
      </c>
      <c r="AR65" s="1141">
        <f>'5. Персонал'!AH43</f>
        <v>0</v>
      </c>
      <c r="AS65" s="1136">
        <f>'5. Персонал'!AI43</f>
        <v>0</v>
      </c>
      <c r="AT65" s="1136">
        <f>'5. Персонал'!AJ43</f>
        <v>0</v>
      </c>
      <c r="AU65" s="1136">
        <f>'5. Персонал'!AK43</f>
        <v>0</v>
      </c>
      <c r="AV65" s="3107">
        <f>'5. Персонал'!AL43</f>
        <v>0</v>
      </c>
      <c r="AW65" s="1112">
        <f>C65+K65+S65+AA65+AI65</f>
        <v>142.7364</v>
      </c>
      <c r="AX65" s="3090">
        <f>D65+L65+T65+AB65+AJ65</f>
        <v>189.27728442013327</v>
      </c>
      <c r="AY65" s="3090">
        <f t="shared" si="260"/>
        <v>225.406529116369</v>
      </c>
      <c r="AZ65" s="3090">
        <f t="shared" si="261"/>
        <v>256.6859933594036</v>
      </c>
      <c r="BA65" s="3090">
        <f t="shared" si="262"/>
        <v>294.09139061854432</v>
      </c>
      <c r="BB65" s="3091">
        <f t="shared" si="263"/>
        <v>334.73312196412013</v>
      </c>
      <c r="BC65" s="3111">
        <f t="shared" si="264"/>
        <v>139.19758999999999</v>
      </c>
      <c r="BD65" s="3112">
        <f t="shared" si="265"/>
        <v>183.26461937870315</v>
      </c>
      <c r="BE65" s="3113">
        <f t="shared" si="266"/>
        <v>218.30911480867476</v>
      </c>
      <c r="BF65" s="3113">
        <f t="shared" si="267"/>
        <v>249.15033999747124</v>
      </c>
      <c r="BG65" s="3113">
        <f t="shared" si="268"/>
        <v>284.69670796168475</v>
      </c>
      <c r="BH65" s="3115">
        <f t="shared" si="269"/>
        <v>324.4817701136742</v>
      </c>
      <c r="BI65" s="4488"/>
      <c r="BJ65" s="4504">
        <f t="shared" si="46"/>
        <v>65.590088844900521</v>
      </c>
      <c r="BK65" s="4504">
        <f t="shared" si="47"/>
        <v>82.404569886960374</v>
      </c>
      <c r="BL65" s="4504">
        <f t="shared" si="48"/>
        <v>97.570237930842538</v>
      </c>
      <c r="BM65" s="4504">
        <f t="shared" si="49"/>
        <v>110.72011972769583</v>
      </c>
      <c r="BN65" s="4504">
        <f t="shared" si="50"/>
        <v>125.89744090608748</v>
      </c>
      <c r="BO65" s="4504">
        <f t="shared" si="51"/>
        <v>142.47100762996337</v>
      </c>
      <c r="BP65" s="4504">
        <f t="shared" si="52"/>
        <v>16.814481042059846</v>
      </c>
      <c r="BQ65" s="4504">
        <f t="shared" si="53"/>
        <v>1.3492583711263249</v>
      </c>
      <c r="BR65" s="4504">
        <f t="shared" si="54"/>
        <v>2.4058459040127267</v>
      </c>
      <c r="BS65" s="4504">
        <f t="shared" si="55"/>
        <v>2.8167021449279526</v>
      </c>
      <c r="BT65" s="4504">
        <f t="shared" si="56"/>
        <v>2.9030916895149828</v>
      </c>
      <c r="BU65" s="4504">
        <f t="shared" si="57"/>
        <v>3.6889365429189498</v>
      </c>
      <c r="BV65" s="4504">
        <f t="shared" si="58"/>
        <v>3.9344994773415634</v>
      </c>
      <c r="BW65" s="4504">
        <f t="shared" si="59"/>
        <v>1.0565875328864021</v>
      </c>
      <c r="BX65" s="4504">
        <f t="shared" si="60"/>
        <v>0.46010645096966513</v>
      </c>
      <c r="BY65" s="4504">
        <f t="shared" si="61"/>
        <v>0.66838091602282268</v>
      </c>
      <c r="BZ65" s="4504">
        <f t="shared" si="62"/>
        <v>0.81214816808198942</v>
      </c>
      <c r="CA65" s="4504">
        <f t="shared" si="63"/>
        <v>0.94982669395003605</v>
      </c>
      <c r="CB65" s="4504">
        <f t="shared" si="64"/>
        <v>1.114488425948253</v>
      </c>
      <c r="CC65" s="4504">
        <f t="shared" si="65"/>
        <v>1.3069334950772613</v>
      </c>
      <c r="CD65" s="4504">
        <f t="shared" si="66"/>
        <v>0.20827446505315761</v>
      </c>
      <c r="CE65" s="4504">
        <f t="shared" si="67"/>
        <v>0</v>
      </c>
      <c r="CF65" s="4504">
        <f t="shared" si="68"/>
        <v>0</v>
      </c>
      <c r="CG65" s="4504">
        <f t="shared" si="69"/>
        <v>0</v>
      </c>
      <c r="CH65" s="4504">
        <f t="shared" si="70"/>
        <v>0</v>
      </c>
      <c r="CI65" s="4504">
        <f t="shared" si="71"/>
        <v>0</v>
      </c>
      <c r="CJ65" s="4504">
        <f t="shared" si="72"/>
        <v>0</v>
      </c>
      <c r="CK65" s="4504">
        <f t="shared" si="73"/>
        <v>0</v>
      </c>
      <c r="CL65" s="4504">
        <f t="shared" si="74"/>
        <v>5.5805088041794004</v>
      </c>
      <c r="CM65" s="4504">
        <f t="shared" si="75"/>
        <v>11.297142111885718</v>
      </c>
      <c r="CN65" s="4504">
        <f t="shared" si="76"/>
        <v>14.049440061966019</v>
      </c>
      <c r="CO65" s="4504">
        <f t="shared" si="77"/>
        <v>16.66842631028868</v>
      </c>
      <c r="CP65" s="4504">
        <f t="shared" si="78"/>
        <v>19.665674478012747</v>
      </c>
      <c r="CQ65" s="4504">
        <f t="shared" si="79"/>
        <v>23.433887025336038</v>
      </c>
      <c r="CR65" s="4504">
        <f t="shared" si="80"/>
        <v>5.7166333077063172</v>
      </c>
      <c r="CS65" s="4504">
        <f t="shared" si="81"/>
        <v>0</v>
      </c>
      <c r="CT65" s="4504">
        <f t="shared" si="82"/>
        <v>0</v>
      </c>
      <c r="CU65" s="4504">
        <f t="shared" si="83"/>
        <v>0</v>
      </c>
      <c r="CV65" s="4504">
        <f t="shared" si="84"/>
        <v>0</v>
      </c>
      <c r="CW65" s="4504">
        <f t="shared" si="85"/>
        <v>0</v>
      </c>
      <c r="CX65" s="4504">
        <f t="shared" si="86"/>
        <v>0</v>
      </c>
      <c r="CY65" s="4504">
        <f t="shared" si="87"/>
        <v>72.979962471175924</v>
      </c>
      <c r="CZ65" s="4504">
        <f t="shared" si="88"/>
        <v>96.775938818881642</v>
      </c>
      <c r="DA65" s="4504">
        <f t="shared" si="89"/>
        <v>115.24852830581851</v>
      </c>
      <c r="DB65" s="4504">
        <f t="shared" si="90"/>
        <v>131.24146442144951</v>
      </c>
      <c r="DC65" s="4504">
        <f t="shared" si="91"/>
        <v>150.36654035296746</v>
      </c>
      <c r="DD65" s="4504">
        <f t="shared" si="92"/>
        <v>171.14632762771822</v>
      </c>
      <c r="DE65" s="4504">
        <f t="shared" si="93"/>
        <v>71.170597649079923</v>
      </c>
      <c r="DF65" s="4504">
        <f t="shared" si="94"/>
        <v>93.701711998846093</v>
      </c>
      <c r="DG65" s="4504">
        <f t="shared" si="95"/>
        <v>111.61967799280856</v>
      </c>
      <c r="DH65" s="4504">
        <f t="shared" si="96"/>
        <v>127.38854603798451</v>
      </c>
      <c r="DI65" s="4504">
        <f t="shared" si="97"/>
        <v>145.56311538410023</v>
      </c>
      <c r="DJ65" s="4504">
        <f t="shared" si="98"/>
        <v>165.90489465529939</v>
      </c>
    </row>
    <row r="66" spans="1:114" s="685" customFormat="1" ht="36">
      <c r="A66" s="401" t="s">
        <v>83</v>
      </c>
      <c r="B66" s="901" t="s">
        <v>1746</v>
      </c>
      <c r="C66" s="2679">
        <f>'5. Персонал'!C67</f>
        <v>19.186805298128462</v>
      </c>
      <c r="D66" s="1249">
        <f>'5. Персонал'!D67</f>
        <v>30.633918939266056</v>
      </c>
      <c r="E66" s="1133">
        <f>'5. Персонал'!E67</f>
        <v>34.841523077897385</v>
      </c>
      <c r="F66" s="1133">
        <f>'5. Персонал'!F67</f>
        <v>40.059465660422866</v>
      </c>
      <c r="G66" s="3954">
        <f>'5. Персонал'!G67</f>
        <v>46.088789178526056</v>
      </c>
      <c r="H66" s="3955">
        <f>'5. Персонал'!H67</f>
        <v>53.055656027949865</v>
      </c>
      <c r="I66" s="1249">
        <f t="shared" si="198"/>
        <v>11.447113641137594</v>
      </c>
      <c r="J66" s="822">
        <f t="shared" si="199"/>
        <v>0.59661384286075914</v>
      </c>
      <c r="K66" s="2679">
        <f>'5. Персонал'!I67</f>
        <v>0.52321718135098694</v>
      </c>
      <c r="L66" s="1249">
        <f>'5. Персонал'!J67</f>
        <v>1.4874564743413063</v>
      </c>
      <c r="M66" s="1133">
        <f>'5. Персонал'!K67</f>
        <v>1.6828220202185828</v>
      </c>
      <c r="N66" s="1133">
        <f>'5. Персонал'!L67</f>
        <v>1.9258686049744254</v>
      </c>
      <c r="O66" s="1133">
        <f>'5. Персонал'!M67</f>
        <v>2.2067356550024244</v>
      </c>
      <c r="P66" s="3116">
        <f>'5. Персонал'!N67</f>
        <v>2.5313211935030493</v>
      </c>
      <c r="Q66" s="1249">
        <f t="shared" si="200"/>
        <v>0.96423929299031941</v>
      </c>
      <c r="R66" s="877">
        <f t="shared" si="201"/>
        <v>1.8429044904461653</v>
      </c>
      <c r="S66" s="2679">
        <f>'5. Персонал'!O67</f>
        <v>4.5098106630030417</v>
      </c>
      <c r="T66" s="1249">
        <f>'5. Персонал'!P67</f>
        <v>8.0431658967807778</v>
      </c>
      <c r="U66" s="1133">
        <f>'5. Персонал'!Q67</f>
        <v>9.1665798202772031</v>
      </c>
      <c r="V66" s="1133">
        <f>'5. Персонал'!R67</f>
        <v>10.55912990875983</v>
      </c>
      <c r="W66" s="1133">
        <f>'5. Персонал'!S67</f>
        <v>12.16931306978239</v>
      </c>
      <c r="X66" s="3116">
        <f>'5. Персонал'!T67</f>
        <v>14.031123081728083</v>
      </c>
      <c r="Y66" s="1249">
        <f t="shared" si="168"/>
        <v>3.5333552337777361</v>
      </c>
      <c r="Z66" s="877">
        <f t="shared" si="169"/>
        <v>0.78348194587506415</v>
      </c>
      <c r="AA66" s="2679">
        <f>'5. Персонал'!U67</f>
        <v>0</v>
      </c>
      <c r="AB66" s="1249">
        <f>'5. Персонал'!V67</f>
        <v>0</v>
      </c>
      <c r="AC66" s="1133">
        <f>'5. Персонал'!W67</f>
        <v>0</v>
      </c>
      <c r="AD66" s="1133">
        <f>'5. Персонал'!X67</f>
        <v>0</v>
      </c>
      <c r="AE66" s="1133">
        <f>'5. Персонал'!Y67</f>
        <v>0</v>
      </c>
      <c r="AF66" s="3116">
        <f>'5. Персонал'!Z67</f>
        <v>0</v>
      </c>
      <c r="AG66" s="1249">
        <f t="shared" si="203"/>
        <v>0</v>
      </c>
      <c r="AH66" s="822">
        <f t="shared" si="204"/>
        <v>0</v>
      </c>
      <c r="AI66" s="1112">
        <f>'5. Персонал'!AA67</f>
        <v>4.8189296110441147</v>
      </c>
      <c r="AJ66" s="1255">
        <f>'5. Персонал'!AB67</f>
        <v>7.3523040761672203</v>
      </c>
      <c r="AK66" s="1136">
        <f>'5. Персонал'!AC67</f>
        <v>8.3180538129493193</v>
      </c>
      <c r="AL66" s="1136">
        <f>'5. Персонал'!AD67</f>
        <v>9.5207040334542903</v>
      </c>
      <c r="AM66" s="1136">
        <f>'5. Персонал'!AE67</f>
        <v>10.911937499343336</v>
      </c>
      <c r="AN66" s="3107">
        <f>'5. Персонал'!AF67</f>
        <v>12.521425241090492</v>
      </c>
      <c r="AO66" s="1249">
        <f t="shared" si="205"/>
        <v>2.5333744651231056</v>
      </c>
      <c r="AP66" s="822">
        <f t="shared" si="206"/>
        <v>0.52571310842911456</v>
      </c>
      <c r="AQ66" s="1112">
        <f>'5. Персонал'!AG67</f>
        <v>0.16521724647339794</v>
      </c>
      <c r="AR66" s="1141">
        <f>'5. Персонал'!AH67</f>
        <v>0.1527546134446387</v>
      </c>
      <c r="AS66" s="1136">
        <f>'5. Персонал'!AI67</f>
        <v>0.17469126865750581</v>
      </c>
      <c r="AT66" s="1136">
        <f>'5. Персонал'!AJ67</f>
        <v>0.20184179238858635</v>
      </c>
      <c r="AU66" s="1136">
        <f>'5. Персонал'!AK67</f>
        <v>0.23324459734579286</v>
      </c>
      <c r="AV66" s="3107">
        <f>'5. Персонал'!AL67</f>
        <v>0.26956445572851001</v>
      </c>
      <c r="AW66" s="1112">
        <f t="shared" ref="AW66:AW69" si="270">C66+K66+S66+AA66+AI66</f>
        <v>29.038762753526605</v>
      </c>
      <c r="AX66" s="3090">
        <f t="shared" ref="AX66:AX69" si="271">D66+L66+T66+AB66+AJ66</f>
        <v>47.51684538655536</v>
      </c>
      <c r="AY66" s="3090">
        <f t="shared" ref="AY66:AY68" si="272">E66+M66+U66+AC66+AK66</f>
        <v>54.008978731342481</v>
      </c>
      <c r="AZ66" s="3090">
        <f t="shared" ref="AZ66:AZ69" si="273">F66+N66+V66+AD66+AL66</f>
        <v>62.065168207611407</v>
      </c>
      <c r="BA66" s="3090">
        <f t="shared" ref="BA66:BA69" si="274">G66+O66+W66+AE66+AM66</f>
        <v>71.376775402654204</v>
      </c>
      <c r="BB66" s="3091">
        <f t="shared" ref="BB66:BB69" si="275">H66+P66+X66+AF66+AN66</f>
        <v>82.139525544271493</v>
      </c>
      <c r="BC66" s="3111">
        <f t="shared" ref="BC66:BC69" si="276">C66+AA66+AI66</f>
        <v>24.005734909172578</v>
      </c>
      <c r="BD66" s="3112">
        <f t="shared" ref="BD66:BD69" si="277">D66+AB66+AJ66</f>
        <v>37.986223015433275</v>
      </c>
      <c r="BE66" s="3113">
        <f t="shared" ref="BE66:BE69" si="278">E66+AC66+AK66</f>
        <v>43.159576890846708</v>
      </c>
      <c r="BF66" s="3113">
        <f t="shared" ref="BF66:BF69" si="279">F66+AD66+AL66</f>
        <v>49.580169693877153</v>
      </c>
      <c r="BG66" s="3113">
        <f t="shared" ref="BG66:BG69" si="280">G66+AE66+AM66</f>
        <v>57.000726677869395</v>
      </c>
      <c r="BH66" s="3115">
        <f t="shared" ref="BH66:BH69" si="281">H66+AF66+AN66</f>
        <v>65.577081269040363</v>
      </c>
      <c r="BI66" s="4488"/>
      <c r="BJ66" s="4504">
        <f t="shared" si="46"/>
        <v>9.8100577750256726</v>
      </c>
      <c r="BK66" s="4504">
        <f t="shared" si="47"/>
        <v>15.662874042869808</v>
      </c>
      <c r="BL66" s="4504">
        <f t="shared" si="48"/>
        <v>17.814187878239615</v>
      </c>
      <c r="BM66" s="4504">
        <f t="shared" si="49"/>
        <v>20.482079557232922</v>
      </c>
      <c r="BN66" s="4504">
        <f t="shared" si="50"/>
        <v>23.564823721144506</v>
      </c>
      <c r="BO66" s="4504">
        <f t="shared" si="51"/>
        <v>27.126926178629976</v>
      </c>
      <c r="BP66" s="4504">
        <f t="shared" si="52"/>
        <v>5.8528162678441351</v>
      </c>
      <c r="BQ66" s="4504">
        <f t="shared" si="53"/>
        <v>0.26751669692712909</v>
      </c>
      <c r="BR66" s="4504">
        <f t="shared" si="54"/>
        <v>0.76052441896346124</v>
      </c>
      <c r="BS66" s="4504">
        <f t="shared" si="55"/>
        <v>0.86041323643598011</v>
      </c>
      <c r="BT66" s="4504">
        <f t="shared" si="56"/>
        <v>0.98468098197411091</v>
      </c>
      <c r="BU66" s="4504">
        <f t="shared" si="57"/>
        <v>1.128286024348959</v>
      </c>
      <c r="BV66" s="4504">
        <f t="shared" si="58"/>
        <v>1.294243974938031</v>
      </c>
      <c r="BW66" s="4504">
        <f t="shared" si="59"/>
        <v>0.49300772203633209</v>
      </c>
      <c r="BX66" s="4504">
        <f t="shared" si="60"/>
        <v>2.3058295777255906</v>
      </c>
      <c r="BY66" s="4504">
        <f t="shared" si="61"/>
        <v>4.1124054221383135</v>
      </c>
      <c r="BZ66" s="4504">
        <f t="shared" si="62"/>
        <v>4.6867978404448261</v>
      </c>
      <c r="CA66" s="4504">
        <f t="shared" si="63"/>
        <v>5.3987973948450687</v>
      </c>
      <c r="CB66" s="4504">
        <f t="shared" si="64"/>
        <v>6.2220709723147669</v>
      </c>
      <c r="CC66" s="4504">
        <f t="shared" si="65"/>
        <v>7.1739993157524342</v>
      </c>
      <c r="CD66" s="4504">
        <f t="shared" si="66"/>
        <v>1.8065758444127231</v>
      </c>
      <c r="CE66" s="4504">
        <f t="shared" si="67"/>
        <v>0</v>
      </c>
      <c r="CF66" s="4504">
        <f t="shared" si="68"/>
        <v>0</v>
      </c>
      <c r="CG66" s="4504">
        <f t="shared" si="69"/>
        <v>0</v>
      </c>
      <c r="CH66" s="4504">
        <f t="shared" si="70"/>
        <v>0</v>
      </c>
      <c r="CI66" s="4504">
        <f t="shared" si="71"/>
        <v>0</v>
      </c>
      <c r="CJ66" s="4504">
        <f t="shared" si="72"/>
        <v>0</v>
      </c>
      <c r="CK66" s="4504">
        <f t="shared" si="73"/>
        <v>0</v>
      </c>
      <c r="CL66" s="4504">
        <f t="shared" si="74"/>
        <v>2.463879586182907</v>
      </c>
      <c r="CM66" s="4504">
        <f t="shared" si="75"/>
        <v>3.7591733822301632</v>
      </c>
      <c r="CN66" s="4504">
        <f t="shared" si="76"/>
        <v>4.252953381914236</v>
      </c>
      <c r="CO66" s="4504">
        <f t="shared" si="77"/>
        <v>4.8678586755772688</v>
      </c>
      <c r="CP66" s="4504">
        <f t="shared" si="78"/>
        <v>5.5791850515348145</v>
      </c>
      <c r="CQ66" s="4504">
        <f t="shared" si="79"/>
        <v>6.4021030667749717</v>
      </c>
      <c r="CR66" s="4504">
        <f t="shared" si="80"/>
        <v>1.2952937960472566</v>
      </c>
      <c r="CS66" s="4504">
        <f t="shared" si="81"/>
        <v>8.4474236755442925E-2</v>
      </c>
      <c r="CT66" s="4504">
        <f t="shared" si="82"/>
        <v>7.8102193669510489E-2</v>
      </c>
      <c r="CU66" s="4504">
        <f t="shared" si="83"/>
        <v>8.9318227380450144E-2</v>
      </c>
      <c r="CV66" s="4504">
        <f t="shared" si="84"/>
        <v>0.10320006973437688</v>
      </c>
      <c r="CW66" s="4504">
        <f t="shared" si="85"/>
        <v>0.11925606895578494</v>
      </c>
      <c r="CX66" s="4504">
        <f t="shared" si="86"/>
        <v>0.13782611767306463</v>
      </c>
      <c r="CY66" s="4504">
        <f t="shared" si="87"/>
        <v>14.847283635861299</v>
      </c>
      <c r="CZ66" s="4504">
        <f t="shared" si="88"/>
        <v>24.294977266201744</v>
      </c>
      <c r="DA66" s="4504">
        <f t="shared" si="89"/>
        <v>27.614352337034653</v>
      </c>
      <c r="DB66" s="4504">
        <f t="shared" si="90"/>
        <v>31.733416609629369</v>
      </c>
      <c r="DC66" s="4504">
        <f t="shared" si="91"/>
        <v>36.494365769343041</v>
      </c>
      <c r="DD66" s="4504">
        <f t="shared" si="92"/>
        <v>41.997272536095416</v>
      </c>
      <c r="DE66" s="4504">
        <f t="shared" si="93"/>
        <v>12.273937361208581</v>
      </c>
      <c r="DF66" s="4504">
        <f t="shared" si="94"/>
        <v>19.422047425099972</v>
      </c>
      <c r="DG66" s="4504">
        <f t="shared" si="95"/>
        <v>22.067141260153853</v>
      </c>
      <c r="DH66" s="4504">
        <f t="shared" si="96"/>
        <v>25.349938232810189</v>
      </c>
      <c r="DI66" s="4504">
        <f t="shared" si="97"/>
        <v>29.144008772679321</v>
      </c>
      <c r="DJ66" s="4504">
        <f t="shared" si="98"/>
        <v>33.529029245404949</v>
      </c>
    </row>
    <row r="67" spans="1:114" ht="13.2">
      <c r="A67" s="401" t="s">
        <v>84</v>
      </c>
      <c r="B67" s="901" t="s">
        <v>1305</v>
      </c>
      <c r="C67" s="1112">
        <f>'5. Персонал'!C46-'5. Персонал'!C47-'5. Персонал'!C48</f>
        <v>269.23842017524601</v>
      </c>
      <c r="D67" s="907">
        <f>'5. Персонал'!D46-'5. Персонал'!D47-'5. Персонал'!D48</f>
        <v>416.88418752859928</v>
      </c>
      <c r="E67" s="907">
        <f>'5. Персонал'!E46-'5. Персонал'!E47-'5. Персонал'!E48</f>
        <v>436.76138885936876</v>
      </c>
      <c r="F67" s="907">
        <f>'5. Персонал'!F46-'5. Персонал'!F47-'5. Персонал'!F48</f>
        <v>485.56367812689916</v>
      </c>
      <c r="G67" s="907">
        <f>'5. Персонал'!G46-'5. Персонал'!G47-'5. Персонал'!G48</f>
        <v>511.4401986061427</v>
      </c>
      <c r="H67" s="1141">
        <f>'5. Персонал'!H46-'5. Персонал'!H47-'5. Персонал'!H48</f>
        <v>510.06793475351179</v>
      </c>
      <c r="I67" s="1255">
        <f t="shared" si="198"/>
        <v>147.64576735335328</v>
      </c>
      <c r="J67" s="826">
        <f t="shared" si="199"/>
        <v>0.54838298062086144</v>
      </c>
      <c r="K67" s="1112">
        <f>'5. Персонал'!I46-'5. Персонал'!I47-'5. Персонал'!I48</f>
        <v>8.7639241067023637</v>
      </c>
      <c r="L67" s="907">
        <f>'5. Персонал'!J46-'5. Персонал'!J47-'5. Персонал'!J48</f>
        <v>17.697243625746154</v>
      </c>
      <c r="M67" s="907">
        <f>'5. Персонал'!K46-'5. Персонал'!K47-'5. Персонал'!K48</f>
        <v>18.720933517006515</v>
      </c>
      <c r="N67" s="907">
        <f>'5. Персонал'!L46-'5. Персонал'!L47-'5. Персонал'!L48</f>
        <v>21.104037243832344</v>
      </c>
      <c r="O67" s="907">
        <f>'5. Персонал'!M46-'5. Персонал'!M47-'5. Персонал'!M48</f>
        <v>22.101147080968463</v>
      </c>
      <c r="P67" s="1141">
        <f>'5. Персонал'!N46-'5. Персонал'!N47-'5. Персонал'!N48</f>
        <v>22.278192076193296</v>
      </c>
      <c r="Q67" s="1249">
        <f t="shared" si="200"/>
        <v>8.9333195190437902</v>
      </c>
      <c r="R67" s="877">
        <f t="shared" si="201"/>
        <v>1.0193287173963406</v>
      </c>
      <c r="S67" s="1112">
        <f>'5. Персонал'!O46-'5. Персонал'!O47-'5. Персонал'!O48</f>
        <v>63.581356017725064</v>
      </c>
      <c r="T67" s="907">
        <f>'5. Персонал'!P46-'5. Персонал'!P47-'5. Персонал'!P48</f>
        <v>109.90116259312708</v>
      </c>
      <c r="U67" s="907">
        <f>'5. Персонал'!Q46-'5. Персонал'!Q47-'5. Персонал'!Q48</f>
        <v>116.03330252013019</v>
      </c>
      <c r="V67" s="907">
        <f>'5. Персонал'!R46-'5. Персонал'!R47-'5. Персонал'!R48</f>
        <v>129.50068944238089</v>
      </c>
      <c r="W67" s="907">
        <f>'5. Персонал'!S46-'5. Персонал'!S47-'5. Персонал'!S48</f>
        <v>137.0240485335618</v>
      </c>
      <c r="X67" s="1141">
        <f>'5. Персонал'!T46-'5. Персонал'!T47-'5. Персонал'!T48</f>
        <v>137.27997515702398</v>
      </c>
      <c r="Y67" s="1249">
        <f t="shared" si="168"/>
        <v>46.319806575402019</v>
      </c>
      <c r="Z67" s="877">
        <f t="shared" si="169"/>
        <v>0.72851240483907087</v>
      </c>
      <c r="AA67" s="1112">
        <f>'5. Персонал'!U46-'5. Персонал'!U47-'5. Персонал'!U48</f>
        <v>0</v>
      </c>
      <c r="AB67" s="907">
        <f>'5. Персонал'!V46-'5. Персонал'!V47-'5. Персонал'!V48</f>
        <v>0</v>
      </c>
      <c r="AC67" s="907">
        <f>'5. Персонал'!W46-'5. Персонал'!W47-'5. Персонал'!W48</f>
        <v>0</v>
      </c>
      <c r="AD67" s="907">
        <f>'5. Персонал'!X46-'5. Персонал'!X47-'5. Персонал'!X48</f>
        <v>0</v>
      </c>
      <c r="AE67" s="907">
        <f>'5. Персонал'!Y46-'5. Персонал'!Y47-'5. Персонал'!Y48</f>
        <v>0</v>
      </c>
      <c r="AF67" s="1141">
        <f>'5. Персонал'!Z46-'5. Персонал'!Z47-'5. Персонал'!Z48</f>
        <v>0</v>
      </c>
      <c r="AG67" s="1249">
        <f t="shared" si="203"/>
        <v>0</v>
      </c>
      <c r="AH67" s="822">
        <f t="shared" si="204"/>
        <v>0</v>
      </c>
      <c r="AI67" s="1112">
        <f>'5. Персонал'!AA46-'5. Персонал'!AA47-'5. Персонал'!AA48</f>
        <v>52.452972432799328</v>
      </c>
      <c r="AJ67" s="907">
        <f>'5. Персонал'!AB46-'5. Персонал'!AB47-'5. Персонал'!AB48</f>
        <v>74.048650277360508</v>
      </c>
      <c r="AK67" s="907">
        <f>'5. Персонал'!AC46-'5. Персонал'!AC47-'5. Персонал'!AC48</f>
        <v>77.713273071871981</v>
      </c>
      <c r="AL67" s="907">
        <f>'5. Персонал'!AD46-'5. Персонал'!AD47-'5. Персонал'!AD48</f>
        <v>86.438197032375029</v>
      </c>
      <c r="AM67" s="907">
        <f>'5. Персонал'!AE46-'5. Персонал'!AE47-'5. Персонал'!AE48</f>
        <v>91.186124305565912</v>
      </c>
      <c r="AN67" s="3107">
        <f>'5. Персонал'!AF46-'5. Персонал'!AF47-'5. Персонал'!AF48</f>
        <v>90.90963561366307</v>
      </c>
      <c r="AO67" s="1249">
        <f t="shared" si="205"/>
        <v>21.59567784456118</v>
      </c>
      <c r="AP67" s="822">
        <f t="shared" si="206"/>
        <v>0.41171504383719548</v>
      </c>
      <c r="AQ67" s="1112">
        <f>'5. Персонал'!AG46-'5. Персонал'!AG47-'5. Персонал'!AG48</f>
        <v>2.4768472675271926</v>
      </c>
      <c r="AR67" s="907">
        <f>'5. Персонал'!AH46-'5. Персонал'!AH47-'5. Персонал'!AH48</f>
        <v>2.0486464860626619</v>
      </c>
      <c r="AS67" s="907">
        <f>'5. Персонал'!AI46-'5. Персонал'!AI47-'5. Персонал'!AI48</f>
        <v>2.1594386853235905</v>
      </c>
      <c r="AT67" s="907">
        <f>'5. Персонал'!AJ46-'5. Персонал'!AJ47-'5. Персонал'!AJ48</f>
        <v>2.4099483976099947</v>
      </c>
      <c r="AU67" s="907">
        <f>'5. Персонал'!AK46-'5. Персонал'!AK47-'5. Персонал'!AK48</f>
        <v>2.5478344562078923</v>
      </c>
      <c r="AV67" s="3107">
        <f>'5. Персонал'!AL46-'5. Персонал'!AL47-'5. Персонал'!AL48</f>
        <v>2.5475976937860345</v>
      </c>
      <c r="AW67" s="1112">
        <f t="shared" si="270"/>
        <v>394.03667273247277</v>
      </c>
      <c r="AX67" s="3090">
        <f t="shared" si="271"/>
        <v>618.53124402483297</v>
      </c>
      <c r="AY67" s="3090">
        <f t="shared" si="272"/>
        <v>649.22889796837751</v>
      </c>
      <c r="AZ67" s="3090">
        <f t="shared" si="273"/>
        <v>722.60660184548738</v>
      </c>
      <c r="BA67" s="3090">
        <f t="shared" si="274"/>
        <v>761.7515185262389</v>
      </c>
      <c r="BB67" s="3091">
        <f t="shared" si="275"/>
        <v>760.53573760039217</v>
      </c>
      <c r="BC67" s="3111">
        <f t="shared" si="276"/>
        <v>321.69139260804536</v>
      </c>
      <c r="BD67" s="3112">
        <f t="shared" si="277"/>
        <v>490.93283780595982</v>
      </c>
      <c r="BE67" s="3113">
        <f t="shared" si="278"/>
        <v>514.47466193124069</v>
      </c>
      <c r="BF67" s="3113">
        <f t="shared" si="279"/>
        <v>572.00187515927416</v>
      </c>
      <c r="BG67" s="3113">
        <f t="shared" si="280"/>
        <v>602.6263229117086</v>
      </c>
      <c r="BH67" s="3115">
        <f t="shared" si="281"/>
        <v>600.97757036717485</v>
      </c>
      <c r="BI67" s="4488"/>
      <c r="BJ67" s="4504">
        <f t="shared" si="46"/>
        <v>137.65941834169945</v>
      </c>
      <c r="BK67" s="4504">
        <f t="shared" si="47"/>
        <v>213.14950048245467</v>
      </c>
      <c r="BL67" s="4504">
        <f t="shared" si="48"/>
        <v>223.31255214377975</v>
      </c>
      <c r="BM67" s="4504">
        <f t="shared" si="49"/>
        <v>248.26476643005739</v>
      </c>
      <c r="BN67" s="4504">
        <f t="shared" si="50"/>
        <v>261.49522126470231</v>
      </c>
      <c r="BO67" s="4504">
        <f t="shared" si="51"/>
        <v>260.79359389799311</v>
      </c>
      <c r="BP67" s="4504">
        <f t="shared" si="52"/>
        <v>75.49008214075522</v>
      </c>
      <c r="BQ67" s="4504">
        <f t="shared" si="53"/>
        <v>4.4809232431767398</v>
      </c>
      <c r="BR67" s="4504">
        <f t="shared" si="54"/>
        <v>9.0484569853955374</v>
      </c>
      <c r="BS67" s="4504">
        <f t="shared" si="55"/>
        <v>9.5718613156596</v>
      </c>
      <c r="BT67" s="4504">
        <f t="shared" si="56"/>
        <v>10.790322903234097</v>
      </c>
      <c r="BU67" s="4504">
        <f t="shared" si="57"/>
        <v>11.300137067622678</v>
      </c>
      <c r="BV67" s="4504">
        <f t="shared" si="58"/>
        <v>11.390658736287559</v>
      </c>
      <c r="BW67" s="4504">
        <f t="shared" si="59"/>
        <v>4.5675337422187976</v>
      </c>
      <c r="BX67" s="4504">
        <f t="shared" si="60"/>
        <v>32.508631127309158</v>
      </c>
      <c r="BY67" s="4504">
        <f t="shared" si="61"/>
        <v>56.191572167891422</v>
      </c>
      <c r="BZ67" s="4504">
        <f t="shared" si="62"/>
        <v>59.326885526927285</v>
      </c>
      <c r="CA67" s="4504">
        <f t="shared" si="63"/>
        <v>66.2126511212022</v>
      </c>
      <c r="CB67" s="4504">
        <f t="shared" si="64"/>
        <v>70.05928354384676</v>
      </c>
      <c r="CC67" s="4504">
        <f t="shared" si="65"/>
        <v>70.190136748604928</v>
      </c>
      <c r="CD67" s="4504">
        <f t="shared" si="66"/>
        <v>23.682941040582268</v>
      </c>
      <c r="CE67" s="4504">
        <f t="shared" si="67"/>
        <v>0</v>
      </c>
      <c r="CF67" s="4504">
        <f t="shared" si="68"/>
        <v>0</v>
      </c>
      <c r="CG67" s="4504">
        <f t="shared" si="69"/>
        <v>0</v>
      </c>
      <c r="CH67" s="4504">
        <f t="shared" si="70"/>
        <v>0</v>
      </c>
      <c r="CI67" s="4504">
        <f t="shared" si="71"/>
        <v>0</v>
      </c>
      <c r="CJ67" s="4504">
        <f t="shared" si="72"/>
        <v>0</v>
      </c>
      <c r="CK67" s="4504">
        <f t="shared" si="73"/>
        <v>0</v>
      </c>
      <c r="CL67" s="4504">
        <f t="shared" si="74"/>
        <v>26.818778949499357</v>
      </c>
      <c r="CM67" s="4504">
        <f t="shared" si="75"/>
        <v>37.860473700352543</v>
      </c>
      <c r="CN67" s="4504">
        <f t="shared" si="76"/>
        <v>39.734165582832858</v>
      </c>
      <c r="CO67" s="4504">
        <f t="shared" si="77"/>
        <v>44.195148367892422</v>
      </c>
      <c r="CP67" s="4504">
        <f t="shared" si="78"/>
        <v>46.62272503518502</v>
      </c>
      <c r="CQ67" s="4504">
        <f t="shared" si="79"/>
        <v>46.481358611772535</v>
      </c>
      <c r="CR67" s="4504">
        <f t="shared" si="80"/>
        <v>11.041694750853184</v>
      </c>
      <c r="CS67" s="4504">
        <f t="shared" si="81"/>
        <v>1.2663918988496918</v>
      </c>
      <c r="CT67" s="4504">
        <f t="shared" si="82"/>
        <v>1.047456315765001</v>
      </c>
      <c r="CU67" s="4504">
        <f t="shared" si="83"/>
        <v>1.1041034677469874</v>
      </c>
      <c r="CV67" s="4504">
        <f t="shared" si="84"/>
        <v>1.2321870497998266</v>
      </c>
      <c r="CW67" s="4504">
        <f t="shared" si="85"/>
        <v>1.3026870720910777</v>
      </c>
      <c r="CX67" s="4504">
        <f t="shared" si="86"/>
        <v>1.3025660173870093</v>
      </c>
      <c r="CY67" s="4504">
        <f t="shared" si="87"/>
        <v>201.4677516616847</v>
      </c>
      <c r="CZ67" s="4504">
        <f t="shared" si="88"/>
        <v>316.25000333609415</v>
      </c>
      <c r="DA67" s="4504">
        <f t="shared" si="89"/>
        <v>331.94546456919954</v>
      </c>
      <c r="DB67" s="4504">
        <f t="shared" si="90"/>
        <v>369.46288882238611</v>
      </c>
      <c r="DC67" s="4504">
        <f t="shared" si="91"/>
        <v>389.4773669113568</v>
      </c>
      <c r="DD67" s="4504">
        <f t="shared" si="92"/>
        <v>388.85574799465809</v>
      </c>
      <c r="DE67" s="4504">
        <f t="shared" si="93"/>
        <v>164.4781972911988</v>
      </c>
      <c r="DF67" s="4504">
        <f t="shared" si="94"/>
        <v>251.00997418280721</v>
      </c>
      <c r="DG67" s="4504">
        <f t="shared" si="95"/>
        <v>263.0467177266126</v>
      </c>
      <c r="DH67" s="4504">
        <f t="shared" si="96"/>
        <v>292.45991479794981</v>
      </c>
      <c r="DI67" s="4504">
        <f t="shared" si="97"/>
        <v>308.11794629988731</v>
      </c>
      <c r="DJ67" s="4504">
        <f t="shared" si="98"/>
        <v>307.27495250976563</v>
      </c>
    </row>
    <row r="68" spans="1:114" s="685" customFormat="1" ht="24">
      <c r="A68" s="3949" t="s">
        <v>1279</v>
      </c>
      <c r="B68" s="3950" t="s">
        <v>1306</v>
      </c>
      <c r="C68" s="2679">
        <f>'8. Ремонтна програма'!J37</f>
        <v>51.360115137450492</v>
      </c>
      <c r="D68" s="1249">
        <f>'8. Ремонтна програма'!K37</f>
        <v>62.82800395527002</v>
      </c>
      <c r="E68" s="1133">
        <f>'8. Ремонтна програма'!L37</f>
        <v>65.458890597494332</v>
      </c>
      <c r="F68" s="1133">
        <f>'8. Ремонтна програма'!M37</f>
        <v>72.753062911137391</v>
      </c>
      <c r="G68" s="1133">
        <f>'8. Ремонтна програма'!N37</f>
        <v>76.718820453266744</v>
      </c>
      <c r="H68" s="3116">
        <f>'8. Ремонтна програма'!O37</f>
        <v>76.173141053131872</v>
      </c>
      <c r="I68" s="1249">
        <f t="shared" si="198"/>
        <v>11.467888817819528</v>
      </c>
      <c r="J68" s="822">
        <f t="shared" si="199"/>
        <v>0.22328393904743088</v>
      </c>
      <c r="K68" s="2679">
        <f>'8. Ремонтна програма'!J66</f>
        <v>1.1539400000000066</v>
      </c>
      <c r="L68" s="1249">
        <f>'8. Ремонтна програма'!K66</f>
        <v>1.8342974932146401</v>
      </c>
      <c r="M68" s="1133">
        <f>'8. Ремонтна програма'!L66</f>
        <v>1.8896971193331851</v>
      </c>
      <c r="N68" s="1133">
        <f>'8. Ремонтна програма'!M66</f>
        <v>1.9075919791590836</v>
      </c>
      <c r="O68" s="1133">
        <f>'8. Ремонтна програма'!N66</f>
        <v>2.2479476807697845</v>
      </c>
      <c r="P68" s="3116">
        <f>'8. Ремонтна програма'!O66</f>
        <v>2.1036082263096176</v>
      </c>
      <c r="Q68" s="1249">
        <f t="shared" si="200"/>
        <v>0.68035749321463346</v>
      </c>
      <c r="R68" s="877">
        <f t="shared" si="201"/>
        <v>0.58959520704250612</v>
      </c>
      <c r="S68" s="2679">
        <f>'8. Ремонтна програма'!J92</f>
        <v>0.35395000000000643</v>
      </c>
      <c r="T68" s="1249">
        <f>'8. Ремонтна програма'!K92</f>
        <v>0.50959599562395064</v>
      </c>
      <c r="U68" s="1133">
        <f>'8. Ремонтна програма'!L92</f>
        <v>0.5448620318125792</v>
      </c>
      <c r="V68" s="1133">
        <f>'8. Ремонтна програма'!M92</f>
        <v>0.62412144594474572</v>
      </c>
      <c r="W68" s="1133">
        <f>'8. Ремонтна програма'!N92</f>
        <v>0.67914198122063896</v>
      </c>
      <c r="X68" s="3116">
        <f>'8. Ремонтна програма'!O92</f>
        <v>0.69876132080253717</v>
      </c>
      <c r="Y68" s="1249">
        <f t="shared" si="168"/>
        <v>0.15564599562394421</v>
      </c>
      <c r="Z68" s="877">
        <f t="shared" si="169"/>
        <v>0.43974006391846698</v>
      </c>
      <c r="AA68" s="2679">
        <f>'8. Ремонтна програма'!J123</f>
        <v>0</v>
      </c>
      <c r="AB68" s="1249">
        <f>'8. Ремонтна програма'!K123</f>
        <v>0</v>
      </c>
      <c r="AC68" s="1133">
        <f>'8. Ремонтна програма'!L123</f>
        <v>0</v>
      </c>
      <c r="AD68" s="1133">
        <f>'8. Ремонтна програма'!M123</f>
        <v>0</v>
      </c>
      <c r="AE68" s="1133">
        <f>'8. Ремонтна програма'!N123</f>
        <v>0</v>
      </c>
      <c r="AF68" s="3116">
        <f>'8. Ремонтна програма'!O123</f>
        <v>0</v>
      </c>
      <c r="AG68" s="1249">
        <f t="shared" si="203"/>
        <v>0</v>
      </c>
      <c r="AH68" s="822">
        <f t="shared" si="204"/>
        <v>0</v>
      </c>
      <c r="AI68" s="1112">
        <f>'8. Ремонтна програма'!J154</f>
        <v>4.6434748625495619</v>
      </c>
      <c r="AJ68" s="1255">
        <f>'8. Ремонтна програма'!K154</f>
        <v>8.613319507188379</v>
      </c>
      <c r="AK68" s="1136">
        <f>'8. Ремонтна програма'!L154</f>
        <v>9.4256279319941143</v>
      </c>
      <c r="AL68" s="1136">
        <f>'8. Ремонтна програма'!M154</f>
        <v>10.952653148899458</v>
      </c>
      <c r="AM68" s="1136">
        <f>'8. Ремонтна програма'!N154</f>
        <v>11.983780913358686</v>
      </c>
      <c r="AN68" s="3107">
        <f>'8. Ремонтна програма'!O154</f>
        <v>12.529094947095132</v>
      </c>
      <c r="AO68" s="1249">
        <f t="shared" si="205"/>
        <v>3.9698446446388171</v>
      </c>
      <c r="AP68" s="822">
        <f t="shared" si="206"/>
        <v>0.85492971581612498</v>
      </c>
      <c r="AQ68" s="1112">
        <f>'5. Персонал'!AG47</f>
        <v>0</v>
      </c>
      <c r="AR68" s="1141">
        <f>'5. Персонал'!AH47</f>
        <v>0</v>
      </c>
      <c r="AS68" s="1136">
        <f>'5. Персонал'!AI47</f>
        <v>0</v>
      </c>
      <c r="AT68" s="1136">
        <f>'5. Персонал'!AJ47</f>
        <v>0</v>
      </c>
      <c r="AU68" s="1136">
        <f>'5. Персонал'!AK47</f>
        <v>0</v>
      </c>
      <c r="AV68" s="3107">
        <f>'5. Персонал'!AL47</f>
        <v>0</v>
      </c>
      <c r="AW68" s="1112">
        <f t="shared" si="270"/>
        <v>57.511480000000063</v>
      </c>
      <c r="AX68" s="3090">
        <f t="shared" si="271"/>
        <v>73.785216951296988</v>
      </c>
      <c r="AY68" s="3090">
        <f t="shared" si="272"/>
        <v>77.319077680634223</v>
      </c>
      <c r="AZ68" s="3090">
        <f t="shared" si="273"/>
        <v>86.23742948514068</v>
      </c>
      <c r="BA68" s="3090">
        <f t="shared" si="274"/>
        <v>91.629691028615852</v>
      </c>
      <c r="BB68" s="3091">
        <f t="shared" si="275"/>
        <v>91.504605547339153</v>
      </c>
      <c r="BC68" s="3111">
        <f t="shared" si="276"/>
        <v>56.003590000000052</v>
      </c>
      <c r="BD68" s="3112">
        <f t="shared" si="277"/>
        <v>71.441323462458399</v>
      </c>
      <c r="BE68" s="3113">
        <f t="shared" si="278"/>
        <v>74.884518529488446</v>
      </c>
      <c r="BF68" s="3113">
        <f t="shared" si="279"/>
        <v>83.705716060036849</v>
      </c>
      <c r="BG68" s="3113">
        <f t="shared" si="280"/>
        <v>88.70260136662543</v>
      </c>
      <c r="BH68" s="3115">
        <f t="shared" si="281"/>
        <v>88.702236000227003</v>
      </c>
      <c r="BI68" s="4488"/>
      <c r="BJ68" s="4504">
        <f t="shared" si="46"/>
        <v>26.260009887081441</v>
      </c>
      <c r="BK68" s="4504">
        <f t="shared" si="47"/>
        <v>32.123448334093467</v>
      </c>
      <c r="BL68" s="4504">
        <f t="shared" si="48"/>
        <v>33.468599314610337</v>
      </c>
      <c r="BM68" s="4504">
        <f t="shared" si="49"/>
        <v>37.198050398622271</v>
      </c>
      <c r="BN68" s="4504">
        <f t="shared" si="50"/>
        <v>39.225710032705678</v>
      </c>
      <c r="BO68" s="4504">
        <f t="shared" si="51"/>
        <v>38.946708585680696</v>
      </c>
      <c r="BP68" s="4504">
        <f t="shared" si="52"/>
        <v>5.8634384470120251</v>
      </c>
      <c r="BQ68" s="4504">
        <f t="shared" si="53"/>
        <v>0.59000015338756773</v>
      </c>
      <c r="BR68" s="4504">
        <f t="shared" si="54"/>
        <v>0.93786141597922112</v>
      </c>
      <c r="BS68" s="4504">
        <f t="shared" si="55"/>
        <v>0.96618679503493921</v>
      </c>
      <c r="BT68" s="4504">
        <f t="shared" si="56"/>
        <v>0.97533629157906554</v>
      </c>
      <c r="BU68" s="4504">
        <f t="shared" si="57"/>
        <v>1.1493573985314596</v>
      </c>
      <c r="BV68" s="4504">
        <f t="shared" si="58"/>
        <v>1.075557807329685</v>
      </c>
      <c r="BW68" s="4504">
        <f t="shared" si="59"/>
        <v>0.3478612625916534</v>
      </c>
      <c r="BX68" s="4504">
        <f t="shared" si="60"/>
        <v>0.18097176134940482</v>
      </c>
      <c r="BY68" s="4504">
        <f t="shared" si="61"/>
        <v>0.26055229525262963</v>
      </c>
      <c r="BZ68" s="4504">
        <f t="shared" si="62"/>
        <v>0.27858353323784746</v>
      </c>
      <c r="CA68" s="4504">
        <f t="shared" si="63"/>
        <v>0.31910822819199303</v>
      </c>
      <c r="CB68" s="4504">
        <f t="shared" si="64"/>
        <v>0.34723978117762738</v>
      </c>
      <c r="CC68" s="4504">
        <f t="shared" si="65"/>
        <v>0.35727099022028358</v>
      </c>
      <c r="CD68" s="4504">
        <f t="shared" si="66"/>
        <v>7.9580533903224823E-2</v>
      </c>
      <c r="CE68" s="4504">
        <f t="shared" si="67"/>
        <v>0</v>
      </c>
      <c r="CF68" s="4504">
        <f t="shared" si="68"/>
        <v>0</v>
      </c>
      <c r="CG68" s="4504">
        <f t="shared" si="69"/>
        <v>0</v>
      </c>
      <c r="CH68" s="4504">
        <f t="shared" si="70"/>
        <v>0</v>
      </c>
      <c r="CI68" s="4504">
        <f t="shared" si="71"/>
        <v>0</v>
      </c>
      <c r="CJ68" s="4504">
        <f t="shared" si="72"/>
        <v>0</v>
      </c>
      <c r="CK68" s="4504">
        <f t="shared" si="73"/>
        <v>0</v>
      </c>
      <c r="CL68" s="4504">
        <f t="shared" si="74"/>
        <v>2.3741709977603178</v>
      </c>
      <c r="CM68" s="4504">
        <f t="shared" si="75"/>
        <v>4.4039203341744315</v>
      </c>
      <c r="CN68" s="4504">
        <f t="shared" si="76"/>
        <v>4.8192470368048932</v>
      </c>
      <c r="CO68" s="4504">
        <f t="shared" si="77"/>
        <v>5.6000026325904901</v>
      </c>
      <c r="CP68" s="4504">
        <f t="shared" si="78"/>
        <v>6.1272098870344998</v>
      </c>
      <c r="CQ68" s="4504">
        <f t="shared" si="79"/>
        <v>6.4060245251863055</v>
      </c>
      <c r="CR68" s="4504">
        <f t="shared" si="80"/>
        <v>2.0297493364141141</v>
      </c>
      <c r="CS68" s="4504">
        <f t="shared" si="81"/>
        <v>0</v>
      </c>
      <c r="CT68" s="4504">
        <f t="shared" si="82"/>
        <v>0</v>
      </c>
      <c r="CU68" s="4504">
        <f t="shared" si="83"/>
        <v>0</v>
      </c>
      <c r="CV68" s="4504">
        <f t="shared" si="84"/>
        <v>0</v>
      </c>
      <c r="CW68" s="4504">
        <f t="shared" si="85"/>
        <v>0</v>
      </c>
      <c r="CX68" s="4504">
        <f t="shared" si="86"/>
        <v>0</v>
      </c>
      <c r="CY68" s="4504">
        <f t="shared" si="87"/>
        <v>29.40515279957873</v>
      </c>
      <c r="CZ68" s="4504">
        <f t="shared" si="88"/>
        <v>37.725782379499748</v>
      </c>
      <c r="DA68" s="4504">
        <f t="shared" si="89"/>
        <v>39.532616679688019</v>
      </c>
      <c r="DB68" s="4504">
        <f t="shared" si="90"/>
        <v>44.092497550983822</v>
      </c>
      <c r="DC68" s="4504">
        <f t="shared" si="91"/>
        <v>46.849517099449265</v>
      </c>
      <c r="DD68" s="4504">
        <f t="shared" si="92"/>
        <v>46.785561908416966</v>
      </c>
      <c r="DE68" s="4504">
        <f t="shared" si="93"/>
        <v>28.634180884841758</v>
      </c>
      <c r="DF68" s="4504">
        <f t="shared" si="94"/>
        <v>36.527368668267897</v>
      </c>
      <c r="DG68" s="4504">
        <f t="shared" si="95"/>
        <v>38.287846351415226</v>
      </c>
      <c r="DH68" s="4504">
        <f t="shared" si="96"/>
        <v>42.79805303121276</v>
      </c>
      <c r="DI68" s="4504">
        <f t="shared" si="97"/>
        <v>45.352919919740181</v>
      </c>
      <c r="DJ68" s="4504">
        <f t="shared" si="98"/>
        <v>45.352733110867</v>
      </c>
    </row>
    <row r="69" spans="1:114" ht="43.5" customHeight="1" thickBot="1">
      <c r="A69" s="3946" t="s">
        <v>1280</v>
      </c>
      <c r="B69" s="3948" t="s">
        <v>1747</v>
      </c>
      <c r="C69" s="3404">
        <f>'5. Персонал'!C68</f>
        <v>3.6009776694492364</v>
      </c>
      <c r="D69" s="3951">
        <f>'5. Персонал'!D68</f>
        <v>6.1997737125247383</v>
      </c>
      <c r="E69" s="3951">
        <f>'5. Персонал'!E68</f>
        <v>6.5395771401644893</v>
      </c>
      <c r="F69" s="3951">
        <f>'5. Персонал'!F68</f>
        <v>7.3020197251449774</v>
      </c>
      <c r="G69" s="3951">
        <f>'5. Персонал'!G68</f>
        <v>7.7232972444682</v>
      </c>
      <c r="H69" s="3952">
        <f>'5. Персонал'!H68</f>
        <v>7.7256995840555742</v>
      </c>
      <c r="I69" s="1249">
        <f t="shared" si="198"/>
        <v>2.5987960430755019</v>
      </c>
      <c r="J69" s="822">
        <f t="shared" si="199"/>
        <v>0.72169179640399816</v>
      </c>
      <c r="K69" s="3404">
        <f>'5. Персонал'!I68</f>
        <v>9.819734745006535E-2</v>
      </c>
      <c r="L69" s="3951">
        <f>'5. Персонал'!J68</f>
        <v>0.30103538389681794</v>
      </c>
      <c r="M69" s="3951">
        <f>'5. Персонал'!K68</f>
        <v>0.31585715669726672</v>
      </c>
      <c r="N69" s="3951">
        <f>'5. Персонал'!L68</f>
        <v>0.35104638341329908</v>
      </c>
      <c r="O69" s="3951">
        <f>'5. Персонал'!M68</f>
        <v>0.36979221427433051</v>
      </c>
      <c r="P69" s="3952">
        <f>'5. Персонал'!N68</f>
        <v>0.3685983466391462</v>
      </c>
      <c r="Q69" s="1249">
        <f t="shared" si="200"/>
        <v>0.20283803644675258</v>
      </c>
      <c r="R69" s="877">
        <f t="shared" si="201"/>
        <v>2.0656162484419287</v>
      </c>
      <c r="S69" s="3404">
        <f>'5. Персонал'!O68</f>
        <v>0.84640080714750776</v>
      </c>
      <c r="T69" s="3951">
        <f>'5. Персонал'!P68</f>
        <v>1.6277972332302464</v>
      </c>
      <c r="U69" s="3951">
        <f>'5. Персонал'!Q68</f>
        <v>1.720520532703288</v>
      </c>
      <c r="V69" s="3951">
        <f>'5. Персонал'!R68</f>
        <v>1.9247130135913717</v>
      </c>
      <c r="W69" s="3951">
        <f>'5. Персонал'!S68</f>
        <v>2.0392642934241421</v>
      </c>
      <c r="X69" s="3952">
        <f>'5. Персонал'!T68</f>
        <v>2.0431420487805045</v>
      </c>
      <c r="Y69" s="1249">
        <f t="shared" si="168"/>
        <v>0.78139642608273863</v>
      </c>
      <c r="Z69" s="877">
        <f t="shared" si="169"/>
        <v>0.92319905591318696</v>
      </c>
      <c r="AA69" s="3404">
        <f>'5. Персонал'!U68</f>
        <v>0</v>
      </c>
      <c r="AB69" s="3951">
        <f>'5. Персонал'!V68</f>
        <v>0</v>
      </c>
      <c r="AC69" s="3951">
        <f>'5. Персонал'!W68</f>
        <v>0</v>
      </c>
      <c r="AD69" s="3951">
        <f>'5. Персонал'!X68</f>
        <v>0</v>
      </c>
      <c r="AE69" s="3951">
        <f>'5. Персонал'!Y68</f>
        <v>0</v>
      </c>
      <c r="AF69" s="3952">
        <f>'5. Персонал'!Z68</f>
        <v>0</v>
      </c>
      <c r="AG69" s="1249">
        <f t="shared" si="203"/>
        <v>0</v>
      </c>
      <c r="AH69" s="822">
        <f t="shared" si="204"/>
        <v>0</v>
      </c>
      <c r="AI69" s="3404">
        <f>'5. Персонал'!AA68</f>
        <v>0.90441621991703836</v>
      </c>
      <c r="AJ69" s="3951">
        <f>'5. Персонал'!AB68</f>
        <v>1.4879787867912309</v>
      </c>
      <c r="AK69" s="3951">
        <f>'5. Персонал'!AC68</f>
        <v>1.5612565054691678</v>
      </c>
      <c r="AL69" s="3951">
        <f>'5. Персонал'!AD68</f>
        <v>1.7354292550695174</v>
      </c>
      <c r="AM69" s="3951">
        <f>'5. Персонал'!AE68</f>
        <v>1.8285604443640711</v>
      </c>
      <c r="AN69" s="3947">
        <f>'5. Персонал'!AF68</f>
        <v>1.8233073911274342</v>
      </c>
      <c r="AO69" s="1249">
        <f t="shared" si="205"/>
        <v>0.5835625668741925</v>
      </c>
      <c r="AP69" s="822">
        <f t="shared" si="206"/>
        <v>0.64523673284820393</v>
      </c>
      <c r="AQ69" s="3404">
        <f>'5. Персонал'!AG68</f>
        <v>3.1007956036153094E-2</v>
      </c>
      <c r="AR69" s="3951">
        <f>'5. Персонал'!AH68</f>
        <v>3.0914883556966113E-2</v>
      </c>
      <c r="AS69" s="3951">
        <f>'5. Персонал'!AI68</f>
        <v>3.2788664965788292E-2</v>
      </c>
      <c r="AT69" s="3951">
        <f>'5. Персонал'!AJ68</f>
        <v>3.6791622780834587E-2</v>
      </c>
      <c r="AU69" s="3951">
        <f>'5. Персонал'!AK68</f>
        <v>3.9085803469256317E-2</v>
      </c>
      <c r="AV69" s="3947">
        <f>'5. Персонал'!AL68</f>
        <v>3.9252629397340998E-2</v>
      </c>
      <c r="AW69" s="1112">
        <f t="shared" si="270"/>
        <v>5.4499920439638485</v>
      </c>
      <c r="AX69" s="3090">
        <f t="shared" si="271"/>
        <v>9.6165851164430336</v>
      </c>
      <c r="AY69" s="3090">
        <f>E69+M69+U69+AC69+AK69</f>
        <v>10.137211335034211</v>
      </c>
      <c r="AZ69" s="3090">
        <f t="shared" si="273"/>
        <v>11.313208377219166</v>
      </c>
      <c r="BA69" s="3090">
        <f t="shared" si="274"/>
        <v>11.960914196530743</v>
      </c>
      <c r="BB69" s="3091">
        <f t="shared" si="275"/>
        <v>11.960747370602659</v>
      </c>
      <c r="BC69" s="3111">
        <f t="shared" si="276"/>
        <v>4.5053938893662746</v>
      </c>
      <c r="BD69" s="3112">
        <f t="shared" si="277"/>
        <v>7.6877524993159696</v>
      </c>
      <c r="BE69" s="3113">
        <f t="shared" si="278"/>
        <v>8.1008336456336565</v>
      </c>
      <c r="BF69" s="3113">
        <f t="shared" si="279"/>
        <v>9.0374489802144957</v>
      </c>
      <c r="BG69" s="3113">
        <f t="shared" si="280"/>
        <v>9.5518576888322713</v>
      </c>
      <c r="BH69" s="3115">
        <f t="shared" si="281"/>
        <v>9.5490069751830084</v>
      </c>
      <c r="BI69" s="4488"/>
      <c r="BJ69" s="4504">
        <f t="shared" si="46"/>
        <v>1.8411506467582748</v>
      </c>
      <c r="BK69" s="4504">
        <f t="shared" si="47"/>
        <v>3.1698939644676369</v>
      </c>
      <c r="BL69" s="4504">
        <f t="shared" si="48"/>
        <v>3.3436326982224882</v>
      </c>
      <c r="BM69" s="4504">
        <f t="shared" si="49"/>
        <v>3.73346340180127</v>
      </c>
      <c r="BN69" s="4504">
        <f t="shared" si="50"/>
        <v>3.9488591771617165</v>
      </c>
      <c r="BO69" s="4504">
        <f t="shared" si="51"/>
        <v>3.9500874738886171</v>
      </c>
      <c r="BP69" s="4504">
        <f t="shared" si="52"/>
        <v>1.3287433177093622</v>
      </c>
      <c r="BQ69" s="4504">
        <f t="shared" si="53"/>
        <v>5.0207506506222604E-2</v>
      </c>
      <c r="BR69" s="4504">
        <f t="shared" si="54"/>
        <v>0.15391694773922987</v>
      </c>
      <c r="BS69" s="4504">
        <f t="shared" si="55"/>
        <v>0.16149519983703425</v>
      </c>
      <c r="BT69" s="4504">
        <f t="shared" si="56"/>
        <v>0.17948716576251467</v>
      </c>
      <c r="BU69" s="4504">
        <f t="shared" si="57"/>
        <v>0.18907175688803757</v>
      </c>
      <c r="BV69" s="4504">
        <f t="shared" si="58"/>
        <v>0.18846134205894491</v>
      </c>
      <c r="BW69" s="4504">
        <f t="shared" si="59"/>
        <v>0.10370944123300725</v>
      </c>
      <c r="BX69" s="4504">
        <f t="shared" si="60"/>
        <v>0.432757860932447</v>
      </c>
      <c r="BY69" s="4504">
        <f t="shared" si="61"/>
        <v>0.83227950958429231</v>
      </c>
      <c r="BZ69" s="4504">
        <f t="shared" si="62"/>
        <v>0.87968817980258407</v>
      </c>
      <c r="CA69" s="4504">
        <f t="shared" si="63"/>
        <v>0.98409013748197527</v>
      </c>
      <c r="CB69" s="4504">
        <f t="shared" si="64"/>
        <v>1.0426592768411069</v>
      </c>
      <c r="CC69" s="4504">
        <f t="shared" si="65"/>
        <v>1.0446419416720802</v>
      </c>
      <c r="CD69" s="4504">
        <f t="shared" si="66"/>
        <v>0.39952164865184531</v>
      </c>
      <c r="CE69" s="4504">
        <f t="shared" si="67"/>
        <v>0</v>
      </c>
      <c r="CF69" s="4504">
        <f t="shared" si="68"/>
        <v>0</v>
      </c>
      <c r="CG69" s="4504">
        <f t="shared" si="69"/>
        <v>0</v>
      </c>
      <c r="CH69" s="4504">
        <f t="shared" si="70"/>
        <v>0</v>
      </c>
      <c r="CI69" s="4504">
        <f t="shared" si="71"/>
        <v>0</v>
      </c>
      <c r="CJ69" s="4504">
        <f t="shared" si="72"/>
        <v>0</v>
      </c>
      <c r="CK69" s="4504">
        <f t="shared" si="73"/>
        <v>0</v>
      </c>
      <c r="CL69" s="4504">
        <f t="shared" si="74"/>
        <v>0.46242067046575541</v>
      </c>
      <c r="CM69" s="4504">
        <f t="shared" si="75"/>
        <v>0.76079147307855532</v>
      </c>
      <c r="CN69" s="4504">
        <f t="shared" si="76"/>
        <v>0.79825777571116496</v>
      </c>
      <c r="CO69" s="4504">
        <f t="shared" si="77"/>
        <v>0.88731088850744566</v>
      </c>
      <c r="CP69" s="4504">
        <f t="shared" si="78"/>
        <v>0.93492810947989913</v>
      </c>
      <c r="CQ69" s="4504">
        <f t="shared" si="79"/>
        <v>0.93224226600851523</v>
      </c>
      <c r="CR69" s="4504">
        <f t="shared" si="80"/>
        <v>0.29837080261279997</v>
      </c>
      <c r="CS69" s="4504">
        <f t="shared" si="81"/>
        <v>1.5854116173774354E-2</v>
      </c>
      <c r="CT69" s="4504">
        <f t="shared" si="82"/>
        <v>1.5806528970803247E-2</v>
      </c>
      <c r="CU69" s="4504">
        <f t="shared" si="83"/>
        <v>1.6764578192270438E-2</v>
      </c>
      <c r="CV69" s="4504">
        <f t="shared" si="84"/>
        <v>1.8811258023874563E-2</v>
      </c>
      <c r="CW69" s="4504">
        <f t="shared" si="85"/>
        <v>1.9984253983861746E-2</v>
      </c>
      <c r="CX69" s="4504">
        <f t="shared" si="86"/>
        <v>2.0069550726464467E-2</v>
      </c>
      <c r="CY69" s="4504">
        <f t="shared" si="87"/>
        <v>2.7865366846627002</v>
      </c>
      <c r="CZ69" s="4504">
        <f t="shared" si="88"/>
        <v>4.9168818948697144</v>
      </c>
      <c r="DA69" s="4504">
        <f t="shared" si="89"/>
        <v>5.183073853573271</v>
      </c>
      <c r="DB69" s="4504">
        <f t="shared" si="90"/>
        <v>5.7843515935532057</v>
      </c>
      <c r="DC69" s="4504">
        <f t="shared" si="91"/>
        <v>6.1155183203707599</v>
      </c>
      <c r="DD69" s="4504">
        <f t="shared" si="92"/>
        <v>6.1154330236281575</v>
      </c>
      <c r="DE69" s="4504">
        <f t="shared" si="93"/>
        <v>2.30357131722403</v>
      </c>
      <c r="DF69" s="4504">
        <f t="shared" si="94"/>
        <v>3.9306854375461926</v>
      </c>
      <c r="DG69" s="4504">
        <f t="shared" si="95"/>
        <v>4.1418904739336533</v>
      </c>
      <c r="DH69" s="4504">
        <f t="shared" si="96"/>
        <v>4.6207742903087157</v>
      </c>
      <c r="DI69" s="4504">
        <f t="shared" si="97"/>
        <v>4.8837872866416161</v>
      </c>
      <c r="DJ69" s="4504">
        <f t="shared" si="98"/>
        <v>4.8823297398971324</v>
      </c>
    </row>
    <row r="70" spans="1:114" thickBot="1">
      <c r="A70" s="110">
        <v>6</v>
      </c>
      <c r="B70" s="897" t="s">
        <v>450</v>
      </c>
      <c r="C70" s="1110">
        <f t="shared" ref="C70:AV70" si="282">SUM(C71:C75)</f>
        <v>241.62791660667429</v>
      </c>
      <c r="D70" s="2670">
        <f t="shared" si="282"/>
        <v>248.68983028684625</v>
      </c>
      <c r="E70" s="1147">
        <f t="shared" si="282"/>
        <v>246.48486333443509</v>
      </c>
      <c r="F70" s="1147">
        <f t="shared" si="282"/>
        <v>243.68705843706161</v>
      </c>
      <c r="G70" s="1147">
        <f t="shared" si="282"/>
        <v>239.86881265240908</v>
      </c>
      <c r="H70" s="3106">
        <f t="shared" si="282"/>
        <v>234.35045840438184</v>
      </c>
      <c r="I70" s="1246">
        <f t="shared" si="198"/>
        <v>7.0619136801719549</v>
      </c>
      <c r="J70" s="820">
        <f t="shared" si="199"/>
        <v>2.9226398089039721E-2</v>
      </c>
      <c r="K70" s="1110">
        <f t="shared" si="282"/>
        <v>3.4990109960544906</v>
      </c>
      <c r="L70" s="2670">
        <f t="shared" si="282"/>
        <v>3.0399949789136045</v>
      </c>
      <c r="M70" s="1147">
        <f t="shared" si="282"/>
        <v>3.0274761118482667</v>
      </c>
      <c r="N70" s="1147">
        <f t="shared" si="282"/>
        <v>3.0357576477523427</v>
      </c>
      <c r="O70" s="1147">
        <f t="shared" si="282"/>
        <v>3.0503057075743625</v>
      </c>
      <c r="P70" s="3106">
        <f t="shared" si="282"/>
        <v>3.06789677834806</v>
      </c>
      <c r="Q70" s="1246">
        <f t="shared" si="200"/>
        <v>-0.45901601714088613</v>
      </c>
      <c r="R70" s="875">
        <f t="shared" si="201"/>
        <v>-0.13118450260901604</v>
      </c>
      <c r="S70" s="1110">
        <f t="shared" si="282"/>
        <v>26.131879646003725</v>
      </c>
      <c r="T70" s="2670">
        <f t="shared" si="282"/>
        <v>29.655213733450459</v>
      </c>
      <c r="U70" s="1147">
        <f t="shared" si="282"/>
        <v>29.74634021392696</v>
      </c>
      <c r="V70" s="1147">
        <f t="shared" si="282"/>
        <v>29.813324847673588</v>
      </c>
      <c r="W70" s="1147">
        <f t="shared" si="282"/>
        <v>29.899737132015495</v>
      </c>
      <c r="X70" s="3106">
        <f t="shared" si="282"/>
        <v>29.991432603035658</v>
      </c>
      <c r="Y70" s="1246">
        <f t="shared" si="168"/>
        <v>3.5233340874467345</v>
      </c>
      <c r="Z70" s="875">
        <f t="shared" si="169"/>
        <v>0.13482895739516954</v>
      </c>
      <c r="AA70" s="1110">
        <f t="shared" ref="AA70:AN70" si="283">SUM(AA71:AA75)</f>
        <v>0</v>
      </c>
      <c r="AB70" s="2670">
        <f t="shared" si="283"/>
        <v>0</v>
      </c>
      <c r="AC70" s="1147">
        <f t="shared" si="283"/>
        <v>0</v>
      </c>
      <c r="AD70" s="1147">
        <f t="shared" si="283"/>
        <v>0</v>
      </c>
      <c r="AE70" s="1147">
        <f t="shared" si="283"/>
        <v>0</v>
      </c>
      <c r="AF70" s="3106">
        <f t="shared" si="283"/>
        <v>0</v>
      </c>
      <c r="AG70" s="1246">
        <f t="shared" si="203"/>
        <v>0</v>
      </c>
      <c r="AH70" s="820">
        <f t="shared" si="204"/>
        <v>0</v>
      </c>
      <c r="AI70" s="1110">
        <f t="shared" si="283"/>
        <v>367.64795138189612</v>
      </c>
      <c r="AJ70" s="2670">
        <f t="shared" si="283"/>
        <v>397.43663138189612</v>
      </c>
      <c r="AK70" s="1147">
        <f t="shared" si="283"/>
        <v>397.56305138189612</v>
      </c>
      <c r="AL70" s="1147">
        <f t="shared" si="283"/>
        <v>397.69041138189618</v>
      </c>
      <c r="AM70" s="1147">
        <f t="shared" si="283"/>
        <v>397.81759138189614</v>
      </c>
      <c r="AN70" s="3106">
        <f t="shared" si="283"/>
        <v>397.94525138189613</v>
      </c>
      <c r="AO70" s="1246">
        <f t="shared" si="205"/>
        <v>29.788679999999999</v>
      </c>
      <c r="AP70" s="820">
        <f t="shared" si="206"/>
        <v>8.1025012890815387E-2</v>
      </c>
      <c r="AQ70" s="1110">
        <f t="shared" si="282"/>
        <v>4.6276083858935362</v>
      </c>
      <c r="AR70" s="905">
        <f t="shared" si="282"/>
        <v>4.6276083858935362</v>
      </c>
      <c r="AS70" s="1147">
        <f t="shared" si="282"/>
        <v>4.6276083858935362</v>
      </c>
      <c r="AT70" s="1147">
        <f t="shared" si="282"/>
        <v>4.6276083858935362</v>
      </c>
      <c r="AU70" s="1147">
        <f t="shared" si="282"/>
        <v>4.6276083858935362</v>
      </c>
      <c r="AV70" s="3106">
        <f t="shared" si="282"/>
        <v>4.6276083858935362</v>
      </c>
      <c r="AW70" s="1110">
        <f t="shared" ref="AW70:BB70" si="284">SUM(AW71:AW75)</f>
        <v>638.90675863062859</v>
      </c>
      <c r="AX70" s="905">
        <f t="shared" si="284"/>
        <v>678.8216703811064</v>
      </c>
      <c r="AY70" s="1147">
        <f t="shared" si="284"/>
        <v>676.82173104210642</v>
      </c>
      <c r="AZ70" s="1147">
        <f t="shared" si="284"/>
        <v>674.22655231438364</v>
      </c>
      <c r="BA70" s="1147">
        <f t="shared" si="284"/>
        <v>670.63644687389524</v>
      </c>
      <c r="BB70" s="3106">
        <f t="shared" si="284"/>
        <v>665.35503916766174</v>
      </c>
      <c r="BC70" s="1110">
        <f t="shared" ref="BC70:BH70" si="285">SUM(BC71:BC75)</f>
        <v>609.27586798857044</v>
      </c>
      <c r="BD70" s="905">
        <f t="shared" si="285"/>
        <v>646.12646166874242</v>
      </c>
      <c r="BE70" s="1147">
        <f t="shared" si="285"/>
        <v>644.04791471633132</v>
      </c>
      <c r="BF70" s="1147">
        <f t="shared" si="285"/>
        <v>641.37746981895771</v>
      </c>
      <c r="BG70" s="1147">
        <f t="shared" si="285"/>
        <v>637.68640403430527</v>
      </c>
      <c r="BH70" s="3106">
        <f t="shared" si="285"/>
        <v>632.29570978627805</v>
      </c>
      <c r="BI70" s="4488"/>
      <c r="BJ70" s="4504">
        <f t="shared" si="46"/>
        <v>123.54239203134951</v>
      </c>
      <c r="BK70" s="4504">
        <f t="shared" si="47"/>
        <v>127.15309116172993</v>
      </c>
      <c r="BL70" s="4504">
        <f t="shared" si="48"/>
        <v>126.02570946065615</v>
      </c>
      <c r="BM70" s="4504">
        <f t="shared" si="49"/>
        <v>124.59521453145805</v>
      </c>
      <c r="BN70" s="4504">
        <f t="shared" si="50"/>
        <v>122.64297646135353</v>
      </c>
      <c r="BO70" s="4504">
        <f t="shared" si="51"/>
        <v>119.82148673677254</v>
      </c>
      <c r="BP70" s="4504">
        <f t="shared" si="52"/>
        <v>3.6106991303804294</v>
      </c>
      <c r="BQ70" s="4504">
        <f t="shared" si="53"/>
        <v>1.7890159144989548</v>
      </c>
      <c r="BR70" s="4504">
        <f t="shared" si="54"/>
        <v>1.5543247515957954</v>
      </c>
      <c r="BS70" s="4504">
        <f t="shared" si="55"/>
        <v>1.5479239565035134</v>
      </c>
      <c r="BT70" s="4504">
        <f t="shared" si="56"/>
        <v>1.5521582385751025</v>
      </c>
      <c r="BU70" s="4504">
        <f t="shared" si="57"/>
        <v>1.5595965434492582</v>
      </c>
      <c r="BV70" s="4504">
        <f t="shared" si="58"/>
        <v>1.5685907151173977</v>
      </c>
      <c r="BW70" s="4504">
        <f t="shared" si="59"/>
        <v>-0.23469116290315933</v>
      </c>
      <c r="BX70" s="4504">
        <f t="shared" si="60"/>
        <v>13.361017903398416</v>
      </c>
      <c r="BY70" s="4504">
        <f t="shared" si="61"/>
        <v>15.16247001705182</v>
      </c>
      <c r="BZ70" s="4504">
        <f t="shared" si="62"/>
        <v>15.209062246681439</v>
      </c>
      <c r="CA70" s="4504">
        <f t="shared" si="63"/>
        <v>15.243310946080992</v>
      </c>
      <c r="CB70" s="4504">
        <f t="shared" si="64"/>
        <v>15.28749284550063</v>
      </c>
      <c r="CC70" s="4504">
        <f t="shared" si="65"/>
        <v>15.334375995375702</v>
      </c>
      <c r="CD70" s="4504">
        <f t="shared" si="66"/>
        <v>1.8014521136534027</v>
      </c>
      <c r="CE70" s="4504">
        <f t="shared" si="67"/>
        <v>0</v>
      </c>
      <c r="CF70" s="4504">
        <f t="shared" si="68"/>
        <v>0</v>
      </c>
      <c r="CG70" s="4504">
        <f t="shared" si="69"/>
        <v>0</v>
      </c>
      <c r="CH70" s="4504">
        <f t="shared" si="70"/>
        <v>0</v>
      </c>
      <c r="CI70" s="4504">
        <f t="shared" si="71"/>
        <v>0</v>
      </c>
      <c r="CJ70" s="4504">
        <f t="shared" si="72"/>
        <v>0</v>
      </c>
      <c r="CK70" s="4504">
        <f t="shared" si="73"/>
        <v>0</v>
      </c>
      <c r="CL70" s="4504">
        <f t="shared" si="74"/>
        <v>187.97541267998554</v>
      </c>
      <c r="CM70" s="4504">
        <f t="shared" si="75"/>
        <v>203.20612291553772</v>
      </c>
      <c r="CN70" s="4504">
        <f t="shared" si="76"/>
        <v>203.27076043515854</v>
      </c>
      <c r="CO70" s="4504">
        <f t="shared" si="77"/>
        <v>203.33587856914772</v>
      </c>
      <c r="CP70" s="4504">
        <f t="shared" si="78"/>
        <v>203.40090467059824</v>
      </c>
      <c r="CQ70" s="4504">
        <f t="shared" si="79"/>
        <v>203.46617619215175</v>
      </c>
      <c r="CR70" s="4504">
        <f t="shared" si="80"/>
        <v>15.23071023555217</v>
      </c>
      <c r="CS70" s="4504">
        <f t="shared" si="81"/>
        <v>2.3660585970629024</v>
      </c>
      <c r="CT70" s="4504">
        <f t="shared" si="82"/>
        <v>2.3660585970629024</v>
      </c>
      <c r="CU70" s="4504">
        <f t="shared" si="83"/>
        <v>2.3660585970629024</v>
      </c>
      <c r="CV70" s="4504">
        <f t="shared" si="84"/>
        <v>2.3660585970629024</v>
      </c>
      <c r="CW70" s="4504">
        <f t="shared" si="85"/>
        <v>2.3660585970629024</v>
      </c>
      <c r="CX70" s="4504">
        <f t="shared" si="86"/>
        <v>2.3660585970629024</v>
      </c>
      <c r="CY70" s="4504">
        <f t="shared" si="87"/>
        <v>326.66783852923243</v>
      </c>
      <c r="CZ70" s="4504">
        <f t="shared" si="88"/>
        <v>347.07600884591523</v>
      </c>
      <c r="DA70" s="4504">
        <f t="shared" si="89"/>
        <v>346.05345609899962</v>
      </c>
      <c r="DB70" s="4504">
        <f t="shared" si="90"/>
        <v>344.72656228526182</v>
      </c>
      <c r="DC70" s="4504">
        <f t="shared" si="91"/>
        <v>342.89097052090176</v>
      </c>
      <c r="DD70" s="4504">
        <f t="shared" si="92"/>
        <v>340.19062963941741</v>
      </c>
      <c r="DE70" s="4504">
        <f t="shared" si="93"/>
        <v>311.51780471133509</v>
      </c>
      <c r="DF70" s="4504">
        <f t="shared" si="94"/>
        <v>330.35921407726767</v>
      </c>
      <c r="DG70" s="4504">
        <f t="shared" si="95"/>
        <v>329.29646989581471</v>
      </c>
      <c r="DH70" s="4504">
        <f t="shared" si="96"/>
        <v>327.93109310060572</v>
      </c>
      <c r="DI70" s="4504">
        <f t="shared" si="97"/>
        <v>326.04388113195182</v>
      </c>
      <c r="DJ70" s="4504">
        <f t="shared" si="98"/>
        <v>323.28766292892431</v>
      </c>
    </row>
    <row r="71" spans="1:114" ht="13.2">
      <c r="A71" s="108" t="s">
        <v>268</v>
      </c>
      <c r="B71" s="895" t="s">
        <v>451</v>
      </c>
      <c r="C71" s="3070">
        <v>34.514139068795522</v>
      </c>
      <c r="D71" s="3071">
        <v>34.514139068795522</v>
      </c>
      <c r="E71" s="3071">
        <v>34.514139068795522</v>
      </c>
      <c r="F71" s="3071">
        <v>34.514139068795522</v>
      </c>
      <c r="G71" s="3071">
        <v>34.514139068795522</v>
      </c>
      <c r="H71" s="3072">
        <v>34.514139068795522</v>
      </c>
      <c r="I71" s="1251">
        <f t="shared" si="198"/>
        <v>0</v>
      </c>
      <c r="J71" s="826">
        <f t="shared" si="199"/>
        <v>0</v>
      </c>
      <c r="K71" s="3070">
        <v>0.5057053538966918</v>
      </c>
      <c r="L71" s="3071">
        <v>0.5057053538966918</v>
      </c>
      <c r="M71" s="3071">
        <v>0.5057053538966918</v>
      </c>
      <c r="N71" s="3071">
        <v>0.5057053538966918</v>
      </c>
      <c r="O71" s="3071">
        <v>0.5057053538966918</v>
      </c>
      <c r="P71" s="3072">
        <v>0.5057053538966918</v>
      </c>
      <c r="Q71" s="1251">
        <f t="shared" si="200"/>
        <v>0</v>
      </c>
      <c r="R71" s="1121">
        <f t="shared" si="201"/>
        <v>0</v>
      </c>
      <c r="S71" s="3070">
        <v>8.3637291768248669</v>
      </c>
      <c r="T71" s="3071">
        <v>10.563729176824868</v>
      </c>
      <c r="U71" s="3071">
        <v>10.563729176824868</v>
      </c>
      <c r="V71" s="3071">
        <v>10.563729176824868</v>
      </c>
      <c r="W71" s="3071">
        <v>10.563729176824868</v>
      </c>
      <c r="X71" s="3072">
        <v>10.563729176824868</v>
      </c>
      <c r="Y71" s="1251">
        <f t="shared" si="168"/>
        <v>2.2000000000000011</v>
      </c>
      <c r="Z71" s="1121">
        <f t="shared" si="169"/>
        <v>0.26304055923953168</v>
      </c>
      <c r="AA71" s="3070"/>
      <c r="AB71" s="3071"/>
      <c r="AC71" s="3071"/>
      <c r="AD71" s="3071"/>
      <c r="AE71" s="3071"/>
      <c r="AF71" s="3072"/>
      <c r="AG71" s="1251">
        <f t="shared" si="203"/>
        <v>0</v>
      </c>
      <c r="AH71" s="826">
        <f t="shared" si="204"/>
        <v>0</v>
      </c>
      <c r="AI71" s="3070">
        <v>3.9416112121846898</v>
      </c>
      <c r="AJ71" s="3071">
        <v>3.9416112121846898</v>
      </c>
      <c r="AK71" s="3071">
        <v>3.9416112121846898</v>
      </c>
      <c r="AL71" s="3071">
        <v>3.9416112121846898</v>
      </c>
      <c r="AM71" s="3071">
        <v>3.9416112121846898</v>
      </c>
      <c r="AN71" s="3100">
        <v>3.9416112121846898</v>
      </c>
      <c r="AO71" s="1251">
        <f t="shared" si="205"/>
        <v>0</v>
      </c>
      <c r="AP71" s="826">
        <f t="shared" si="206"/>
        <v>0</v>
      </c>
      <c r="AQ71" s="3070">
        <v>4.6068951882982221</v>
      </c>
      <c r="AR71" s="3071">
        <v>4.6068951882982221</v>
      </c>
      <c r="AS71" s="3071">
        <v>4.6068951882982221</v>
      </c>
      <c r="AT71" s="3071">
        <v>4.6068951882982221</v>
      </c>
      <c r="AU71" s="3071">
        <v>4.6068951882982221</v>
      </c>
      <c r="AV71" s="3100">
        <v>4.6068951882982221</v>
      </c>
      <c r="AW71" s="1112">
        <f t="shared" ref="AW71" si="286">C71+K71+S71+AA71+AI71</f>
        <v>47.325184811701774</v>
      </c>
      <c r="AX71" s="3090">
        <f t="shared" ref="AX71:AX72" si="287">D71+L71+T71+AB71+AJ71</f>
        <v>49.52518481170177</v>
      </c>
      <c r="AY71" s="3090">
        <f t="shared" ref="AY71:AY72" si="288">E71+M71+U71+AC71+AK71</f>
        <v>49.52518481170177</v>
      </c>
      <c r="AZ71" s="3090">
        <f t="shared" ref="AZ71:AZ72" si="289">F71+N71+V71+AD71+AL71</f>
        <v>49.52518481170177</v>
      </c>
      <c r="BA71" s="3090">
        <f t="shared" ref="BA71:BA72" si="290">G71+O71+W71+AE71+AM71</f>
        <v>49.52518481170177</v>
      </c>
      <c r="BB71" s="3091">
        <f t="shared" ref="BB71:BB72" si="291">H71+P71+X71+AF71+AN71</f>
        <v>49.52518481170177</v>
      </c>
      <c r="BC71" s="3111">
        <f>C71+AA71+AI71</f>
        <v>38.455750280980212</v>
      </c>
      <c r="BD71" s="3112">
        <f t="shared" ref="BD71" si="292">D71+AB71+AJ71</f>
        <v>38.455750280980212</v>
      </c>
      <c r="BE71" s="3113">
        <f t="shared" ref="BE71:BE72" si="293">E71+AC71+AK71</f>
        <v>38.455750280980212</v>
      </c>
      <c r="BF71" s="3113">
        <f t="shared" ref="BF71:BF72" si="294">F71+AD71+AL71</f>
        <v>38.455750280980212</v>
      </c>
      <c r="BG71" s="3113">
        <f t="shared" ref="BG71:BG72" si="295">G71+AE71+AM71</f>
        <v>38.455750280980212</v>
      </c>
      <c r="BH71" s="3115">
        <f>H71+AF71+AN71</f>
        <v>38.455750280980212</v>
      </c>
      <c r="BI71" s="4488"/>
      <c r="BJ71" s="4504">
        <f t="shared" si="46"/>
        <v>17.646799092352364</v>
      </c>
      <c r="BK71" s="4504">
        <f t="shared" si="47"/>
        <v>17.646799092352364</v>
      </c>
      <c r="BL71" s="4504">
        <f t="shared" si="48"/>
        <v>17.646799092352364</v>
      </c>
      <c r="BM71" s="4504">
        <f t="shared" si="49"/>
        <v>17.646799092352364</v>
      </c>
      <c r="BN71" s="4504">
        <f t="shared" si="50"/>
        <v>17.646799092352364</v>
      </c>
      <c r="BO71" s="4504">
        <f t="shared" si="51"/>
        <v>17.646799092352364</v>
      </c>
      <c r="BP71" s="4504">
        <f t="shared" si="52"/>
        <v>0</v>
      </c>
      <c r="BQ71" s="4504">
        <f t="shared" si="53"/>
        <v>0.25856304172483896</v>
      </c>
      <c r="BR71" s="4504">
        <f t="shared" si="54"/>
        <v>0.25856304172483896</v>
      </c>
      <c r="BS71" s="4504">
        <f t="shared" si="55"/>
        <v>0.25856304172483896</v>
      </c>
      <c r="BT71" s="4504">
        <f t="shared" si="56"/>
        <v>0.25856304172483896</v>
      </c>
      <c r="BU71" s="4504">
        <f t="shared" si="57"/>
        <v>0.25856304172483896</v>
      </c>
      <c r="BV71" s="4504">
        <f t="shared" si="58"/>
        <v>0.25856304172483896</v>
      </c>
      <c r="BW71" s="4504">
        <f t="shared" si="59"/>
        <v>0</v>
      </c>
      <c r="BX71" s="4504">
        <f t="shared" si="60"/>
        <v>4.276306824634486</v>
      </c>
      <c r="BY71" s="4504">
        <f t="shared" si="61"/>
        <v>5.4011489632661673</v>
      </c>
      <c r="BZ71" s="4504">
        <f t="shared" si="62"/>
        <v>5.4011489632661673</v>
      </c>
      <c r="CA71" s="4504">
        <f t="shared" si="63"/>
        <v>5.4011489632661673</v>
      </c>
      <c r="CB71" s="4504">
        <f t="shared" si="64"/>
        <v>5.4011489632661673</v>
      </c>
      <c r="CC71" s="4504">
        <f t="shared" si="65"/>
        <v>5.4011489632661673</v>
      </c>
      <c r="CD71" s="4504">
        <f t="shared" si="66"/>
        <v>1.1248421386316811</v>
      </c>
      <c r="CE71" s="4504">
        <f t="shared" si="67"/>
        <v>0</v>
      </c>
      <c r="CF71" s="4504">
        <f t="shared" si="68"/>
        <v>0</v>
      </c>
      <c r="CG71" s="4504">
        <f t="shared" si="69"/>
        <v>0</v>
      </c>
      <c r="CH71" s="4504">
        <f t="shared" si="70"/>
        <v>0</v>
      </c>
      <c r="CI71" s="4504">
        <f t="shared" si="71"/>
        <v>0</v>
      </c>
      <c r="CJ71" s="4504">
        <f t="shared" si="72"/>
        <v>0</v>
      </c>
      <c r="CK71" s="4504">
        <f t="shared" si="73"/>
        <v>0</v>
      </c>
      <c r="CL71" s="4504">
        <f t="shared" si="74"/>
        <v>2.0153138116220171</v>
      </c>
      <c r="CM71" s="4504">
        <f t="shared" si="75"/>
        <v>2.0153138116220171</v>
      </c>
      <c r="CN71" s="4504">
        <f t="shared" si="76"/>
        <v>2.0153138116220171</v>
      </c>
      <c r="CO71" s="4504">
        <f t="shared" si="77"/>
        <v>2.0153138116220171</v>
      </c>
      <c r="CP71" s="4504">
        <f t="shared" si="78"/>
        <v>2.0153138116220171</v>
      </c>
      <c r="CQ71" s="4504">
        <f t="shared" si="79"/>
        <v>2.0153138116220171</v>
      </c>
      <c r="CR71" s="4504">
        <f t="shared" si="80"/>
        <v>0</v>
      </c>
      <c r="CS71" s="4504">
        <f t="shared" si="81"/>
        <v>2.3554681072988051</v>
      </c>
      <c r="CT71" s="4504">
        <f t="shared" si="82"/>
        <v>2.3554681072988051</v>
      </c>
      <c r="CU71" s="4504">
        <f t="shared" si="83"/>
        <v>2.3554681072988051</v>
      </c>
      <c r="CV71" s="4504">
        <f t="shared" si="84"/>
        <v>2.3554681072988051</v>
      </c>
      <c r="CW71" s="4504">
        <f t="shared" si="85"/>
        <v>2.3554681072988051</v>
      </c>
      <c r="CX71" s="4504">
        <f t="shared" si="86"/>
        <v>2.3554681072988051</v>
      </c>
      <c r="CY71" s="4504">
        <f t="shared" si="87"/>
        <v>24.196982770333708</v>
      </c>
      <c r="CZ71" s="4504">
        <f t="shared" si="88"/>
        <v>25.321824908965386</v>
      </c>
      <c r="DA71" s="4504">
        <f t="shared" si="89"/>
        <v>25.321824908965386</v>
      </c>
      <c r="DB71" s="4504">
        <f t="shared" si="90"/>
        <v>25.321824908965386</v>
      </c>
      <c r="DC71" s="4504">
        <f t="shared" si="91"/>
        <v>25.321824908965386</v>
      </c>
      <c r="DD71" s="4504">
        <f t="shared" si="92"/>
        <v>25.321824908965386</v>
      </c>
      <c r="DE71" s="4504">
        <f t="shared" si="93"/>
        <v>19.662112903974382</v>
      </c>
      <c r="DF71" s="4504">
        <f t="shared" si="94"/>
        <v>19.662112903974382</v>
      </c>
      <c r="DG71" s="4504">
        <f t="shared" si="95"/>
        <v>19.662112903974382</v>
      </c>
      <c r="DH71" s="4504">
        <f t="shared" si="96"/>
        <v>19.662112903974382</v>
      </c>
      <c r="DI71" s="4504">
        <f t="shared" si="97"/>
        <v>19.662112903974382</v>
      </c>
      <c r="DJ71" s="4504">
        <f t="shared" si="98"/>
        <v>19.662112903974382</v>
      </c>
    </row>
    <row r="72" spans="1:114" ht="13.2">
      <c r="A72" s="108" t="s">
        <v>270</v>
      </c>
      <c r="B72" s="902" t="s">
        <v>452</v>
      </c>
      <c r="C72" s="3070">
        <v>16.495466456685218</v>
      </c>
      <c r="D72" s="3071">
        <v>19.462200136857192</v>
      </c>
      <c r="E72" s="3071">
        <v>19.622493184446032</v>
      </c>
      <c r="F72" s="3071">
        <v>19.67058828707253</v>
      </c>
      <c r="G72" s="3071">
        <v>19.717822502419999</v>
      </c>
      <c r="H72" s="3072">
        <v>19.775068254392799</v>
      </c>
      <c r="I72" s="1251">
        <f t="shared" si="198"/>
        <v>2.9667336801719735</v>
      </c>
      <c r="J72" s="826">
        <f t="shared" si="199"/>
        <v>0.17985145724506793</v>
      </c>
      <c r="K72" s="3070">
        <v>0.44982535291471681</v>
      </c>
      <c r="L72" s="3071">
        <v>0.53072709814220553</v>
      </c>
      <c r="M72" s="3071">
        <v>0.53509823107686738</v>
      </c>
      <c r="N72" s="3071">
        <v>0.53640976698094389</v>
      </c>
      <c r="O72" s="3071">
        <v>0.53769782680296341</v>
      </c>
      <c r="P72" s="3072">
        <v>0.53925889757666046</v>
      </c>
      <c r="Q72" s="1251">
        <f t="shared" si="200"/>
        <v>8.0901745227488719E-2</v>
      </c>
      <c r="R72" s="1121">
        <f t="shared" si="201"/>
        <v>0.17985145724506779</v>
      </c>
      <c r="S72" s="3070">
        <v>3.8772181904000642</v>
      </c>
      <c r="T72" s="3071">
        <v>4.5745415320006044</v>
      </c>
      <c r="U72" s="3071">
        <v>4.6122180124771059</v>
      </c>
      <c r="V72" s="3071">
        <v>4.6235226462237353</v>
      </c>
      <c r="W72" s="3071">
        <v>4.6346249305656411</v>
      </c>
      <c r="X72" s="3072">
        <v>4.6480804015858066</v>
      </c>
      <c r="Y72" s="1251">
        <f t="shared" si="168"/>
        <v>0.69732334160054021</v>
      </c>
      <c r="Z72" s="1121">
        <f t="shared" si="169"/>
        <v>0.17985145724506882</v>
      </c>
      <c r="AA72" s="3078"/>
      <c r="AB72" s="3059"/>
      <c r="AC72" s="2007"/>
      <c r="AD72" s="2007"/>
      <c r="AE72" s="2007"/>
      <c r="AF72" s="3059"/>
      <c r="AG72" s="3062"/>
      <c r="AH72" s="3953"/>
      <c r="AI72" s="3078"/>
      <c r="AJ72" s="3059"/>
      <c r="AK72" s="2007"/>
      <c r="AL72" s="2007"/>
      <c r="AM72" s="2007"/>
      <c r="AN72" s="3102"/>
      <c r="AO72" s="3062"/>
      <c r="AP72" s="3953"/>
      <c r="AQ72" s="3078"/>
      <c r="AR72" s="3059"/>
      <c r="AS72" s="2007"/>
      <c r="AT72" s="2007"/>
      <c r="AU72" s="2007"/>
      <c r="AV72" s="3102"/>
      <c r="AW72" s="1112">
        <f>C72+K72+S72+AA72+AI72</f>
        <v>20.822510000000001</v>
      </c>
      <c r="AX72" s="3090">
        <f t="shared" si="287"/>
        <v>24.567468767000001</v>
      </c>
      <c r="AY72" s="3090">
        <f t="shared" si="288"/>
        <v>24.769809428000002</v>
      </c>
      <c r="AZ72" s="3090">
        <f t="shared" si="289"/>
        <v>24.830520700277212</v>
      </c>
      <c r="BA72" s="3090">
        <f t="shared" si="290"/>
        <v>24.890145259788603</v>
      </c>
      <c r="BB72" s="3091">
        <f t="shared" si="291"/>
        <v>24.962407553555266</v>
      </c>
      <c r="BC72" s="3111">
        <f>C72+AA72+AI72</f>
        <v>16.495466456685218</v>
      </c>
      <c r="BD72" s="3112">
        <f>D72+AB72+AJ72</f>
        <v>19.462200136857192</v>
      </c>
      <c r="BE72" s="3113">
        <f t="shared" si="293"/>
        <v>19.622493184446032</v>
      </c>
      <c r="BF72" s="3113">
        <f t="shared" si="294"/>
        <v>19.67058828707253</v>
      </c>
      <c r="BG72" s="3113">
        <f t="shared" si="295"/>
        <v>19.717822502419999</v>
      </c>
      <c r="BH72" s="3115">
        <f>H72+AF72+AN72</f>
        <v>19.775068254392799</v>
      </c>
      <c r="BI72" s="4488"/>
      <c r="BJ72" s="4504">
        <f t="shared" si="46"/>
        <v>8.4339980758477058</v>
      </c>
      <c r="BK72" s="4504">
        <f t="shared" si="47"/>
        <v>9.9508649201910142</v>
      </c>
      <c r="BL72" s="4504">
        <f t="shared" si="48"/>
        <v>10.032821454035387</v>
      </c>
      <c r="BM72" s="4504">
        <f t="shared" si="49"/>
        <v>10.057412089533615</v>
      </c>
      <c r="BN72" s="4504">
        <f t="shared" si="50"/>
        <v>10.081562560355449</v>
      </c>
      <c r="BO72" s="4504">
        <f t="shared" si="51"/>
        <v>10.110831848572115</v>
      </c>
      <c r="BP72" s="4504">
        <f t="shared" si="52"/>
        <v>1.5168668443433087</v>
      </c>
      <c r="BQ72" s="4504">
        <f t="shared" si="53"/>
        <v>0.22999205090151845</v>
      </c>
      <c r="BR72" s="4504">
        <f t="shared" si="54"/>
        <v>0.27135645641093836</v>
      </c>
      <c r="BS72" s="4504">
        <f t="shared" si="55"/>
        <v>0.27359138119206033</v>
      </c>
      <c r="BT72" s="4504">
        <f t="shared" si="56"/>
        <v>0.27426195885171201</v>
      </c>
      <c r="BU72" s="4504">
        <f t="shared" si="57"/>
        <v>0.27492053338120565</v>
      </c>
      <c r="BV72" s="4504">
        <f t="shared" si="58"/>
        <v>0.27571869619376965</v>
      </c>
      <c r="BW72" s="4504">
        <f t="shared" si="59"/>
        <v>4.1364405509419902E-2</v>
      </c>
      <c r="BX72" s="4504">
        <f t="shared" si="60"/>
        <v>1.9823901823778469</v>
      </c>
      <c r="BY72" s="4504">
        <f t="shared" si="61"/>
        <v>2.3389259455068205</v>
      </c>
      <c r="BZ72" s="4504">
        <f t="shared" si="62"/>
        <v>2.3581896240865032</v>
      </c>
      <c r="CA72" s="4504">
        <f t="shared" si="63"/>
        <v>2.3639695915410517</v>
      </c>
      <c r="CB72" s="4504">
        <f t="shared" si="64"/>
        <v>2.3696460993878001</v>
      </c>
      <c r="CC72" s="4504">
        <f t="shared" si="65"/>
        <v>2.3765257724780819</v>
      </c>
      <c r="CD72" s="4504">
        <f t="shared" si="66"/>
        <v>0.3565357631289735</v>
      </c>
      <c r="CE72" s="4504">
        <f t="shared" si="67"/>
        <v>0</v>
      </c>
      <c r="CF72" s="4504">
        <f t="shared" si="68"/>
        <v>0</v>
      </c>
      <c r="CG72" s="4504">
        <f t="shared" si="69"/>
        <v>0</v>
      </c>
      <c r="CH72" s="4504">
        <f t="shared" si="70"/>
        <v>0</v>
      </c>
      <c r="CI72" s="4504">
        <f t="shared" si="71"/>
        <v>0</v>
      </c>
      <c r="CJ72" s="4504">
        <f t="shared" si="72"/>
        <v>0</v>
      </c>
      <c r="CK72" s="4504">
        <f t="shared" si="73"/>
        <v>0</v>
      </c>
      <c r="CL72" s="4504">
        <f t="shared" si="74"/>
        <v>0</v>
      </c>
      <c r="CM72" s="4504">
        <f t="shared" si="75"/>
        <v>0</v>
      </c>
      <c r="CN72" s="4504">
        <f t="shared" si="76"/>
        <v>0</v>
      </c>
      <c r="CO72" s="4504">
        <f t="shared" si="77"/>
        <v>0</v>
      </c>
      <c r="CP72" s="4504">
        <f t="shared" si="78"/>
        <v>0</v>
      </c>
      <c r="CQ72" s="4504">
        <f t="shared" si="79"/>
        <v>0</v>
      </c>
      <c r="CR72" s="4504">
        <f t="shared" si="80"/>
        <v>0</v>
      </c>
      <c r="CS72" s="4504">
        <f t="shared" si="81"/>
        <v>0</v>
      </c>
      <c r="CT72" s="4504">
        <f t="shared" si="82"/>
        <v>0</v>
      </c>
      <c r="CU72" s="4504">
        <f t="shared" si="83"/>
        <v>0</v>
      </c>
      <c r="CV72" s="4504">
        <f t="shared" si="84"/>
        <v>0</v>
      </c>
      <c r="CW72" s="4504">
        <f t="shared" si="85"/>
        <v>0</v>
      </c>
      <c r="CX72" s="4504">
        <f t="shared" si="86"/>
        <v>0</v>
      </c>
      <c r="CY72" s="4504">
        <f t="shared" si="87"/>
        <v>10.646380309127073</v>
      </c>
      <c r="CZ72" s="4504">
        <f t="shared" si="88"/>
        <v>12.561147322108773</v>
      </c>
      <c r="DA72" s="4504">
        <f t="shared" si="89"/>
        <v>12.664602459313949</v>
      </c>
      <c r="DB72" s="4504">
        <f t="shared" si="90"/>
        <v>12.695643639926381</v>
      </c>
      <c r="DC72" s="4504">
        <f t="shared" si="91"/>
        <v>12.726129193124455</v>
      </c>
      <c r="DD72" s="4504">
        <f t="shared" si="92"/>
        <v>12.763076317243966</v>
      </c>
      <c r="DE72" s="4504">
        <f t="shared" si="93"/>
        <v>8.4339980758477058</v>
      </c>
      <c r="DF72" s="4504">
        <f t="shared" si="94"/>
        <v>9.9508649201910142</v>
      </c>
      <c r="DG72" s="4504">
        <f t="shared" si="95"/>
        <v>10.032821454035387</v>
      </c>
      <c r="DH72" s="4504">
        <f t="shared" si="96"/>
        <v>10.057412089533615</v>
      </c>
      <c r="DI72" s="4504">
        <f t="shared" si="97"/>
        <v>10.081562560355449</v>
      </c>
      <c r="DJ72" s="4504">
        <f t="shared" si="98"/>
        <v>10.110831848572115</v>
      </c>
    </row>
    <row r="73" spans="1:114" ht="13.2">
      <c r="A73" s="108" t="s">
        <v>272</v>
      </c>
      <c r="B73" s="896" t="s">
        <v>453</v>
      </c>
      <c r="C73" s="3070">
        <v>180.49072000000001</v>
      </c>
      <c r="D73" s="3071">
        <v>184.45089999999999</v>
      </c>
      <c r="E73" s="3071">
        <v>181.95064000000002</v>
      </c>
      <c r="F73" s="3071">
        <v>178.96974</v>
      </c>
      <c r="G73" s="3071">
        <v>174.96926000000002</v>
      </c>
      <c r="H73" s="3072">
        <v>169.25865999999999</v>
      </c>
      <c r="I73" s="1251">
        <f t="shared" si="198"/>
        <v>3.9601799999999798</v>
      </c>
      <c r="J73" s="826">
        <f t="shared" si="199"/>
        <v>2.194118345807463E-2</v>
      </c>
      <c r="K73" s="3078"/>
      <c r="L73" s="3059"/>
      <c r="M73" s="2007"/>
      <c r="N73" s="2007"/>
      <c r="O73" s="2007"/>
      <c r="P73" s="3059"/>
      <c r="Q73" s="3062"/>
      <c r="R73" s="3063"/>
      <c r="S73" s="3078"/>
      <c r="T73" s="3059"/>
      <c r="U73" s="2007"/>
      <c r="V73" s="2007"/>
      <c r="W73" s="2007"/>
      <c r="X73" s="3059"/>
      <c r="Y73" s="3064"/>
      <c r="Z73" s="3063"/>
      <c r="AA73" s="3070"/>
      <c r="AB73" s="3071"/>
      <c r="AC73" s="3071"/>
      <c r="AD73" s="3071"/>
      <c r="AE73" s="3071"/>
      <c r="AF73" s="3072"/>
      <c r="AG73" s="1251">
        <f>AB73-AA73</f>
        <v>0</v>
      </c>
      <c r="AH73" s="826">
        <f>IFERROR((AB73-AA73)/AA73,0)</f>
        <v>0</v>
      </c>
      <c r="AI73" s="3070">
        <v>360.44213999999999</v>
      </c>
      <c r="AJ73" s="3071">
        <v>390.23081999999999</v>
      </c>
      <c r="AK73" s="3071">
        <v>390.35723999999999</v>
      </c>
      <c r="AL73" s="3071">
        <v>390.48460000000006</v>
      </c>
      <c r="AM73" s="3071">
        <v>390.61178000000001</v>
      </c>
      <c r="AN73" s="3100">
        <v>390.73944</v>
      </c>
      <c r="AO73" s="1251">
        <f>AJ73-AI73</f>
        <v>29.788679999999999</v>
      </c>
      <c r="AP73" s="826">
        <f>IFERROR((AJ73-AI73)/AI73,0)</f>
        <v>8.2644831705859914E-2</v>
      </c>
      <c r="AQ73" s="3078"/>
      <c r="AR73" s="3059"/>
      <c r="AS73" s="2007"/>
      <c r="AT73" s="2007"/>
      <c r="AU73" s="2007"/>
      <c r="AV73" s="3102"/>
      <c r="AW73" s="1112">
        <f>C73+K73+S73+AA73+AI73</f>
        <v>540.93286000000001</v>
      </c>
      <c r="AX73" s="3090">
        <f t="shared" ref="AX73" si="296">D73+L73+T73+AB73+AJ73</f>
        <v>574.68172000000004</v>
      </c>
      <c r="AY73" s="3090">
        <f t="shared" ref="AY73" si="297">E73+M73+U73+AC73+AK73</f>
        <v>572.30788000000007</v>
      </c>
      <c r="AZ73" s="3090">
        <f t="shared" ref="AZ73" si="298">F73+N73+V73+AD73+AL73</f>
        <v>569.45434</v>
      </c>
      <c r="BA73" s="3090">
        <f t="shared" ref="BA73" si="299">G73+O73+W73+AE73+AM73</f>
        <v>565.58104000000003</v>
      </c>
      <c r="BB73" s="3091">
        <f t="shared" ref="BB73" si="300">H73+P73+X73+AF73+AN73</f>
        <v>559.99810000000002</v>
      </c>
      <c r="BC73" s="3111">
        <f>C73+AA73+AI73</f>
        <v>540.93286000000001</v>
      </c>
      <c r="BD73" s="3112">
        <f t="shared" ref="BD73" si="301">D73+AB73+AJ73</f>
        <v>574.68172000000004</v>
      </c>
      <c r="BE73" s="3113">
        <f t="shared" ref="BE73" si="302">E73+AC73+AK73</f>
        <v>572.30788000000007</v>
      </c>
      <c r="BF73" s="3113">
        <f t="shared" ref="BF73" si="303">F73+AD73+AL73</f>
        <v>569.45434</v>
      </c>
      <c r="BG73" s="3113">
        <f t="shared" ref="BG73" si="304">G73+AE73+AM73</f>
        <v>565.58104000000003</v>
      </c>
      <c r="BH73" s="3115">
        <f>H73+AF73+AN73</f>
        <v>559.99810000000002</v>
      </c>
      <c r="BI73" s="4488"/>
      <c r="BJ73" s="4504">
        <f t="shared" si="46"/>
        <v>92.283439767259949</v>
      </c>
      <c r="BK73" s="4504">
        <f t="shared" si="47"/>
        <v>94.30824764933557</v>
      </c>
      <c r="BL73" s="4504">
        <f t="shared" si="48"/>
        <v>93.029885010455928</v>
      </c>
      <c r="BM73" s="4504">
        <f t="shared" si="49"/>
        <v>91.505775041798117</v>
      </c>
      <c r="BN73" s="4504">
        <f t="shared" si="50"/>
        <v>89.460362096910274</v>
      </c>
      <c r="BO73" s="4504">
        <f t="shared" si="51"/>
        <v>86.540578680151143</v>
      </c>
      <c r="BP73" s="4504">
        <f t="shared" si="52"/>
        <v>2.0248078820756303</v>
      </c>
      <c r="BQ73" s="4504">
        <f t="shared" si="53"/>
        <v>0</v>
      </c>
      <c r="BR73" s="4504">
        <f t="shared" si="54"/>
        <v>0</v>
      </c>
      <c r="BS73" s="4504">
        <f t="shared" si="55"/>
        <v>0</v>
      </c>
      <c r="BT73" s="4504">
        <f t="shared" si="56"/>
        <v>0</v>
      </c>
      <c r="BU73" s="4504">
        <f t="shared" si="57"/>
        <v>0</v>
      </c>
      <c r="BV73" s="4504">
        <f t="shared" si="58"/>
        <v>0</v>
      </c>
      <c r="BW73" s="4504">
        <f t="shared" si="59"/>
        <v>0</v>
      </c>
      <c r="BX73" s="4504">
        <f t="shared" si="60"/>
        <v>0</v>
      </c>
      <c r="BY73" s="4504">
        <f t="shared" si="61"/>
        <v>0</v>
      </c>
      <c r="BZ73" s="4504">
        <f t="shared" si="62"/>
        <v>0</v>
      </c>
      <c r="CA73" s="4504">
        <f t="shared" si="63"/>
        <v>0</v>
      </c>
      <c r="CB73" s="4504">
        <f t="shared" si="64"/>
        <v>0</v>
      </c>
      <c r="CC73" s="4504">
        <f t="shared" si="65"/>
        <v>0</v>
      </c>
      <c r="CD73" s="4504">
        <f t="shared" si="66"/>
        <v>0</v>
      </c>
      <c r="CE73" s="4504">
        <f t="shared" si="67"/>
        <v>0</v>
      </c>
      <c r="CF73" s="4504">
        <f t="shared" si="68"/>
        <v>0</v>
      </c>
      <c r="CG73" s="4504">
        <f t="shared" si="69"/>
        <v>0</v>
      </c>
      <c r="CH73" s="4504">
        <f t="shared" si="70"/>
        <v>0</v>
      </c>
      <c r="CI73" s="4504">
        <f t="shared" si="71"/>
        <v>0</v>
      </c>
      <c r="CJ73" s="4504">
        <f t="shared" si="72"/>
        <v>0</v>
      </c>
      <c r="CK73" s="4504">
        <f t="shared" si="73"/>
        <v>0</v>
      </c>
      <c r="CL73" s="4504">
        <f t="shared" si="74"/>
        <v>184.29113982299074</v>
      </c>
      <c r="CM73" s="4504">
        <f t="shared" si="75"/>
        <v>199.52185005854292</v>
      </c>
      <c r="CN73" s="4504">
        <f t="shared" si="76"/>
        <v>199.58648757816374</v>
      </c>
      <c r="CO73" s="4504">
        <f t="shared" si="77"/>
        <v>199.65160571215293</v>
      </c>
      <c r="CP73" s="4504">
        <f t="shared" si="78"/>
        <v>199.71663181360344</v>
      </c>
      <c r="CQ73" s="4504">
        <f t="shared" si="79"/>
        <v>199.78190333515695</v>
      </c>
      <c r="CR73" s="4504">
        <f t="shared" si="80"/>
        <v>15.23071023555217</v>
      </c>
      <c r="CS73" s="4504">
        <f t="shared" si="81"/>
        <v>0</v>
      </c>
      <c r="CT73" s="4504">
        <f t="shared" si="82"/>
        <v>0</v>
      </c>
      <c r="CU73" s="4504">
        <f t="shared" si="83"/>
        <v>0</v>
      </c>
      <c r="CV73" s="4504">
        <f t="shared" si="84"/>
        <v>0</v>
      </c>
      <c r="CW73" s="4504">
        <f t="shared" si="85"/>
        <v>0</v>
      </c>
      <c r="CX73" s="4504">
        <f t="shared" si="86"/>
        <v>0</v>
      </c>
      <c r="CY73" s="4504">
        <f t="shared" si="87"/>
        <v>276.57457959025072</v>
      </c>
      <c r="CZ73" s="4504">
        <f t="shared" si="88"/>
        <v>293.83009770787851</v>
      </c>
      <c r="DA73" s="4504">
        <f t="shared" si="89"/>
        <v>292.6163725886197</v>
      </c>
      <c r="DB73" s="4504">
        <f t="shared" si="90"/>
        <v>291.15738075395103</v>
      </c>
      <c r="DC73" s="4504">
        <f t="shared" si="91"/>
        <v>289.17699391051372</v>
      </c>
      <c r="DD73" s="4504">
        <f t="shared" si="92"/>
        <v>286.32248201530808</v>
      </c>
      <c r="DE73" s="4504">
        <f t="shared" si="93"/>
        <v>276.57457959025072</v>
      </c>
      <c r="DF73" s="4504">
        <f t="shared" si="94"/>
        <v>293.83009770787851</v>
      </c>
      <c r="DG73" s="4504">
        <f t="shared" si="95"/>
        <v>292.6163725886197</v>
      </c>
      <c r="DH73" s="4504">
        <f t="shared" si="96"/>
        <v>291.15738075395103</v>
      </c>
      <c r="DI73" s="4504">
        <f t="shared" si="97"/>
        <v>289.17699391051372</v>
      </c>
      <c r="DJ73" s="4504">
        <f t="shared" si="98"/>
        <v>286.32248201530808</v>
      </c>
    </row>
    <row r="74" spans="1:114" ht="13.2">
      <c r="A74" s="108" t="s">
        <v>274</v>
      </c>
      <c r="B74" s="896" t="s">
        <v>454</v>
      </c>
      <c r="C74" s="3078"/>
      <c r="D74" s="3059"/>
      <c r="E74" s="2007"/>
      <c r="F74" s="2007"/>
      <c r="G74" s="2007"/>
      <c r="H74" s="3059"/>
      <c r="I74" s="3064"/>
      <c r="J74" s="3065"/>
      <c r="K74" s="3070">
        <v>1.5494777623683749</v>
      </c>
      <c r="L74" s="3071">
        <v>1.00956</v>
      </c>
      <c r="M74" s="3071">
        <v>0.99266999999999994</v>
      </c>
      <c r="N74" s="3071">
        <v>0.99963999999999997</v>
      </c>
      <c r="O74" s="3071">
        <v>1.0128999999999999</v>
      </c>
      <c r="P74" s="3072">
        <v>1.0289300000000001</v>
      </c>
      <c r="Q74" s="1251">
        <f t="shared" ref="Q74:Q95" si="305">L74-K74</f>
        <v>-0.53991776236837485</v>
      </c>
      <c r="R74" s="1121">
        <f t="shared" ref="R74:R95" si="306">IFERROR((L74-K74)/K74,0)</f>
        <v>-0.34845144311274995</v>
      </c>
      <c r="S74" s="3070">
        <v>12.648259254153809</v>
      </c>
      <c r="T74" s="3071">
        <v>13.274270000000003</v>
      </c>
      <c r="U74" s="3071">
        <v>13.327720000000001</v>
      </c>
      <c r="V74" s="3071">
        <v>13.3834</v>
      </c>
      <c r="W74" s="3071">
        <v>13.458710000000002</v>
      </c>
      <c r="X74" s="3072">
        <v>13.536949999999999</v>
      </c>
      <c r="Y74" s="1251">
        <f t="shared" ref="Y74:Y95" si="307">T74-S74</f>
        <v>0.62601074584619454</v>
      </c>
      <c r="Z74" s="1121">
        <f t="shared" ref="Z74:Z95" si="308">IFERROR((T74-S74)/S74,0)</f>
        <v>4.9493826246533229E-2</v>
      </c>
      <c r="AA74" s="3078"/>
      <c r="AB74" s="3059"/>
      <c r="AC74" s="2007"/>
      <c r="AD74" s="2007"/>
      <c r="AE74" s="2007"/>
      <c r="AF74" s="3059"/>
      <c r="AG74" s="3064"/>
      <c r="AH74" s="3065"/>
      <c r="AI74" s="3078"/>
      <c r="AJ74" s="3059"/>
      <c r="AK74" s="2007"/>
      <c r="AL74" s="2007"/>
      <c r="AM74" s="2007"/>
      <c r="AN74" s="3102"/>
      <c r="AO74" s="3062"/>
      <c r="AP74" s="3065"/>
      <c r="AQ74" s="3078"/>
      <c r="AR74" s="3059"/>
      <c r="AS74" s="2007"/>
      <c r="AT74" s="2007"/>
      <c r="AU74" s="2007"/>
      <c r="AV74" s="3102"/>
      <c r="AW74" s="1112">
        <f>C74+K74+S74+AA74+AI74</f>
        <v>14.197737016522183</v>
      </c>
      <c r="AX74" s="3090">
        <f t="shared" ref="AX74" si="309">D74+L74+T74+AB74+AJ74</f>
        <v>14.283830000000004</v>
      </c>
      <c r="AY74" s="3090">
        <f t="shared" ref="AY74" si="310">E74+M74+U74+AC74+AK74</f>
        <v>14.320390000000002</v>
      </c>
      <c r="AZ74" s="3090">
        <f t="shared" ref="AZ74" si="311">F74+N74+V74+AD74+AL74</f>
        <v>14.383039999999999</v>
      </c>
      <c r="BA74" s="3090">
        <f t="shared" ref="BA74" si="312">G74+O74+W74+AE74+AM74</f>
        <v>14.471610000000002</v>
      </c>
      <c r="BB74" s="3091">
        <f t="shared" ref="BB74" si="313">H74+P74+X74+AF74+AN74</f>
        <v>14.56588</v>
      </c>
      <c r="BC74" s="3111">
        <f>C74+AA74+AI74</f>
        <v>0</v>
      </c>
      <c r="BD74" s="3112">
        <f>D74+AB74+AJ74</f>
        <v>0</v>
      </c>
      <c r="BE74" s="3113">
        <f t="shared" ref="BE74" si="314">E74+AC74+AK74</f>
        <v>0</v>
      </c>
      <c r="BF74" s="3113">
        <f t="shared" ref="BF74" si="315">F74+AD74+AL74</f>
        <v>0</v>
      </c>
      <c r="BG74" s="3113">
        <f t="shared" ref="BG74" si="316">G74+AE74+AM74</f>
        <v>0</v>
      </c>
      <c r="BH74" s="3115">
        <f>H74+AF74+AN74</f>
        <v>0</v>
      </c>
      <c r="BI74" s="4488"/>
      <c r="BJ74" s="4504">
        <f t="shared" si="46"/>
        <v>0</v>
      </c>
      <c r="BK74" s="4504">
        <f t="shared" si="47"/>
        <v>0</v>
      </c>
      <c r="BL74" s="4504">
        <f t="shared" si="48"/>
        <v>0</v>
      </c>
      <c r="BM74" s="4504">
        <f t="shared" si="49"/>
        <v>0</v>
      </c>
      <c r="BN74" s="4504">
        <f t="shared" si="50"/>
        <v>0</v>
      </c>
      <c r="BO74" s="4504">
        <f t="shared" si="51"/>
        <v>0</v>
      </c>
      <c r="BP74" s="4504">
        <f t="shared" si="52"/>
        <v>0</v>
      </c>
      <c r="BQ74" s="4504">
        <f t="shared" si="53"/>
        <v>0.79223539999303361</v>
      </c>
      <c r="BR74" s="4504">
        <f t="shared" si="54"/>
        <v>0.51617983158045433</v>
      </c>
      <c r="BS74" s="4504">
        <f t="shared" si="55"/>
        <v>0.50754411170705016</v>
      </c>
      <c r="BT74" s="4504">
        <f t="shared" si="56"/>
        <v>0.51110781611898781</v>
      </c>
      <c r="BU74" s="4504">
        <f t="shared" si="57"/>
        <v>0.51788754646364965</v>
      </c>
      <c r="BV74" s="4504">
        <f t="shared" si="58"/>
        <v>0.52608355531922513</v>
      </c>
      <c r="BW74" s="4504">
        <f t="shared" si="59"/>
        <v>-0.27605556841257922</v>
      </c>
      <c r="BX74" s="4504">
        <f t="shared" si="60"/>
        <v>6.4669522679137801</v>
      </c>
      <c r="BY74" s="4504">
        <f t="shared" si="61"/>
        <v>6.7870264798065287</v>
      </c>
      <c r="BZ74" s="4504">
        <f t="shared" si="62"/>
        <v>6.8143550308564658</v>
      </c>
      <c r="CA74" s="4504">
        <f t="shared" si="63"/>
        <v>6.842823762801471</v>
      </c>
      <c r="CB74" s="4504">
        <f t="shared" si="64"/>
        <v>6.8813291543743587</v>
      </c>
      <c r="CC74" s="4504">
        <f t="shared" si="65"/>
        <v>6.9213326311591494</v>
      </c>
      <c r="CD74" s="4504">
        <f t="shared" si="66"/>
        <v>0.32007421189274865</v>
      </c>
      <c r="CE74" s="4504">
        <f t="shared" si="67"/>
        <v>0</v>
      </c>
      <c r="CF74" s="4504">
        <f t="shared" si="68"/>
        <v>0</v>
      </c>
      <c r="CG74" s="4504">
        <f t="shared" si="69"/>
        <v>0</v>
      </c>
      <c r="CH74" s="4504">
        <f t="shared" si="70"/>
        <v>0</v>
      </c>
      <c r="CI74" s="4504">
        <f t="shared" si="71"/>
        <v>0</v>
      </c>
      <c r="CJ74" s="4504">
        <f t="shared" si="72"/>
        <v>0</v>
      </c>
      <c r="CK74" s="4504">
        <f t="shared" si="73"/>
        <v>0</v>
      </c>
      <c r="CL74" s="4504">
        <f t="shared" si="74"/>
        <v>0</v>
      </c>
      <c r="CM74" s="4504">
        <f t="shared" si="75"/>
        <v>0</v>
      </c>
      <c r="CN74" s="4504">
        <f t="shared" si="76"/>
        <v>0</v>
      </c>
      <c r="CO74" s="4504">
        <f t="shared" si="77"/>
        <v>0</v>
      </c>
      <c r="CP74" s="4504">
        <f t="shared" si="78"/>
        <v>0</v>
      </c>
      <c r="CQ74" s="4504">
        <f t="shared" si="79"/>
        <v>0</v>
      </c>
      <c r="CR74" s="4504">
        <f t="shared" si="80"/>
        <v>0</v>
      </c>
      <c r="CS74" s="4504">
        <f t="shared" si="81"/>
        <v>0</v>
      </c>
      <c r="CT74" s="4504">
        <f t="shared" si="82"/>
        <v>0</v>
      </c>
      <c r="CU74" s="4504">
        <f t="shared" si="83"/>
        <v>0</v>
      </c>
      <c r="CV74" s="4504">
        <f t="shared" si="84"/>
        <v>0</v>
      </c>
      <c r="CW74" s="4504">
        <f t="shared" si="85"/>
        <v>0</v>
      </c>
      <c r="CX74" s="4504">
        <f t="shared" si="86"/>
        <v>0</v>
      </c>
      <c r="CY74" s="4504">
        <f t="shared" si="87"/>
        <v>7.2591876679068132</v>
      </c>
      <c r="CZ74" s="4504">
        <f t="shared" si="88"/>
        <v>7.3032063113869832</v>
      </c>
      <c r="DA74" s="4504">
        <f t="shared" si="89"/>
        <v>7.3218991425635158</v>
      </c>
      <c r="DB74" s="4504">
        <f t="shared" si="90"/>
        <v>7.3539315789204585</v>
      </c>
      <c r="DC74" s="4504">
        <f t="shared" si="91"/>
        <v>7.3992167008380081</v>
      </c>
      <c r="DD74" s="4504">
        <f t="shared" si="92"/>
        <v>7.4474161864783754</v>
      </c>
      <c r="DE74" s="4504">
        <f t="shared" si="93"/>
        <v>0</v>
      </c>
      <c r="DF74" s="4504">
        <f t="shared" si="94"/>
        <v>0</v>
      </c>
      <c r="DG74" s="4504">
        <f t="shared" si="95"/>
        <v>0</v>
      </c>
      <c r="DH74" s="4504">
        <f t="shared" si="96"/>
        <v>0</v>
      </c>
      <c r="DI74" s="4504">
        <f t="shared" si="97"/>
        <v>0</v>
      </c>
      <c r="DJ74" s="4504">
        <f t="shared" si="98"/>
        <v>0</v>
      </c>
    </row>
    <row r="75" spans="1:114" thickBot="1">
      <c r="A75" s="108" t="s">
        <v>276</v>
      </c>
      <c r="B75" s="136" t="s">
        <v>455</v>
      </c>
      <c r="C75" s="3070">
        <v>10.12759108119354</v>
      </c>
      <c r="D75" s="3071">
        <v>10.262591081193539</v>
      </c>
      <c r="E75" s="3071">
        <v>10.397591081193539</v>
      </c>
      <c r="F75" s="3071">
        <v>10.532591081193539</v>
      </c>
      <c r="G75" s="3071">
        <v>10.667591081193539</v>
      </c>
      <c r="H75" s="3072">
        <v>10.802591081193539</v>
      </c>
      <c r="I75" s="1251">
        <f t="shared" ref="I75:I94" si="317">D75-C75</f>
        <v>0.13499999999999979</v>
      </c>
      <c r="J75" s="826">
        <f t="shared" ref="J75:J94" si="318">IFERROR((D75-C75)/C75,0)</f>
        <v>1.3329922082921421E-2</v>
      </c>
      <c r="K75" s="3070">
        <v>0.99400252687470725</v>
      </c>
      <c r="L75" s="3071">
        <v>0.99400252687470725</v>
      </c>
      <c r="M75" s="3071">
        <v>0.99400252687470725</v>
      </c>
      <c r="N75" s="3071">
        <v>0.99400252687470725</v>
      </c>
      <c r="O75" s="3071">
        <v>0.99400252687470725</v>
      </c>
      <c r="P75" s="3072">
        <v>0.99400252687470725</v>
      </c>
      <c r="Q75" s="1251">
        <f t="shared" si="305"/>
        <v>0</v>
      </c>
      <c r="R75" s="1121">
        <f t="shared" si="306"/>
        <v>0</v>
      </c>
      <c r="S75" s="3070">
        <v>1.2426730246249844</v>
      </c>
      <c r="T75" s="3071">
        <v>1.2426730246249844</v>
      </c>
      <c r="U75" s="3071">
        <v>1.2426730246249844</v>
      </c>
      <c r="V75" s="3071">
        <v>1.2426730246249844</v>
      </c>
      <c r="W75" s="3071">
        <v>1.2426730246249844</v>
      </c>
      <c r="X75" s="3072">
        <v>1.2426730246249844</v>
      </c>
      <c r="Y75" s="1251">
        <f t="shared" si="307"/>
        <v>0</v>
      </c>
      <c r="Z75" s="1121">
        <f t="shared" si="308"/>
        <v>0</v>
      </c>
      <c r="AA75" s="3070"/>
      <c r="AB75" s="3071"/>
      <c r="AC75" s="3071"/>
      <c r="AD75" s="3071"/>
      <c r="AE75" s="3071"/>
      <c r="AF75" s="3072"/>
      <c r="AG75" s="1251">
        <f t="shared" ref="AG75:AG95" si="319">AB75-AA75</f>
        <v>0</v>
      </c>
      <c r="AH75" s="826">
        <f t="shared" ref="AH75:AH95" si="320">IFERROR((AB75-AA75)/AA75,0)</f>
        <v>0</v>
      </c>
      <c r="AI75" s="3070">
        <v>3.2642001697114553</v>
      </c>
      <c r="AJ75" s="3071">
        <v>3.2642001697114553</v>
      </c>
      <c r="AK75" s="3071">
        <v>3.2642001697114553</v>
      </c>
      <c r="AL75" s="3071">
        <v>3.2642001697114553</v>
      </c>
      <c r="AM75" s="3071">
        <v>3.2642001697114553</v>
      </c>
      <c r="AN75" s="3100">
        <v>3.2642001697114553</v>
      </c>
      <c r="AO75" s="1251">
        <f>AJ75-AI75</f>
        <v>0</v>
      </c>
      <c r="AP75" s="826">
        <f>IFERROR((AJ75-AI75)/AI75,0)</f>
        <v>0</v>
      </c>
      <c r="AQ75" s="3070">
        <v>2.0713197595314342E-2</v>
      </c>
      <c r="AR75" s="3071">
        <v>2.0713197595314342E-2</v>
      </c>
      <c r="AS75" s="3071">
        <v>2.0713197595314342E-2</v>
      </c>
      <c r="AT75" s="3071">
        <v>2.0713197595314342E-2</v>
      </c>
      <c r="AU75" s="3071">
        <v>2.0713197595314342E-2</v>
      </c>
      <c r="AV75" s="3100">
        <v>2.0713197595314342E-2</v>
      </c>
      <c r="AW75" s="1112">
        <f t="shared" ref="AW75" si="321">C75+K75+S75+AA75+AI75</f>
        <v>15.628466802404688</v>
      </c>
      <c r="AX75" s="3090">
        <f t="shared" ref="AX75" si="322">D75+L75+T75+AB75+AJ75</f>
        <v>15.763466802404686</v>
      </c>
      <c r="AY75" s="3090">
        <f t="shared" ref="AY75" si="323">E75+M75+U75+AC75+AK75</f>
        <v>15.898466802404688</v>
      </c>
      <c r="AZ75" s="3090">
        <f t="shared" ref="AZ75" si="324">F75+N75+V75+AD75+AL75</f>
        <v>16.033466802404686</v>
      </c>
      <c r="BA75" s="3090">
        <f t="shared" ref="BA75" si="325">G75+O75+W75+AE75+AM75</f>
        <v>16.168466802404687</v>
      </c>
      <c r="BB75" s="3091">
        <f t="shared" ref="BB75" si="326">H75+P75+X75+AF75+AN75</f>
        <v>16.303466802404685</v>
      </c>
      <c r="BC75" s="3111">
        <f>C75+AA75+AI75</f>
        <v>13.391791250904994</v>
      </c>
      <c r="BD75" s="3112">
        <f t="shared" ref="BD75" si="327">D75+AB75+AJ75</f>
        <v>13.526791250904996</v>
      </c>
      <c r="BE75" s="3113">
        <f t="shared" ref="BE75" si="328">E75+AC75+AK75</f>
        <v>13.661791250904994</v>
      </c>
      <c r="BF75" s="3113">
        <f t="shared" ref="BF75" si="329">F75+AD75+AL75</f>
        <v>13.796791250904995</v>
      </c>
      <c r="BG75" s="3113">
        <f t="shared" ref="BG75" si="330">G75+AE75+AM75</f>
        <v>13.931791250904993</v>
      </c>
      <c r="BH75" s="3115">
        <f>H75+AF75+AN75</f>
        <v>14.066791250904995</v>
      </c>
      <c r="BI75" s="4488"/>
      <c r="BJ75" s="4504">
        <f t="shared" si="46"/>
        <v>5.1781550958894895</v>
      </c>
      <c r="BK75" s="4504">
        <f t="shared" si="47"/>
        <v>5.2471794998509784</v>
      </c>
      <c r="BL75" s="4504">
        <f t="shared" si="48"/>
        <v>5.3162039038124682</v>
      </c>
      <c r="BM75" s="4504">
        <f t="shared" si="49"/>
        <v>5.3852283077739571</v>
      </c>
      <c r="BN75" s="4504">
        <f t="shared" si="50"/>
        <v>5.4542527117354469</v>
      </c>
      <c r="BO75" s="4504">
        <f t="shared" si="51"/>
        <v>5.5232771156969367</v>
      </c>
      <c r="BP75" s="4504">
        <f t="shared" si="52"/>
        <v>6.9024403961489386E-2</v>
      </c>
      <c r="BQ75" s="4504">
        <f t="shared" si="53"/>
        <v>0.50822542187956377</v>
      </c>
      <c r="BR75" s="4504">
        <f t="shared" si="54"/>
        <v>0.50822542187956377</v>
      </c>
      <c r="BS75" s="4504">
        <f t="shared" si="55"/>
        <v>0.50822542187956377</v>
      </c>
      <c r="BT75" s="4504">
        <f t="shared" si="56"/>
        <v>0.50822542187956377</v>
      </c>
      <c r="BU75" s="4504">
        <f t="shared" si="57"/>
        <v>0.50822542187956377</v>
      </c>
      <c r="BV75" s="4504">
        <f t="shared" si="58"/>
        <v>0.50822542187956377</v>
      </c>
      <c r="BW75" s="4504">
        <f t="shared" si="59"/>
        <v>0</v>
      </c>
      <c r="BX75" s="4504">
        <f t="shared" si="60"/>
        <v>0.63536862847230302</v>
      </c>
      <c r="BY75" s="4504">
        <f t="shared" si="61"/>
        <v>0.63536862847230302</v>
      </c>
      <c r="BZ75" s="4504">
        <f t="shared" si="62"/>
        <v>0.63536862847230302</v>
      </c>
      <c r="CA75" s="4504">
        <f t="shared" si="63"/>
        <v>0.63536862847230302</v>
      </c>
      <c r="CB75" s="4504">
        <f t="shared" si="64"/>
        <v>0.63536862847230302</v>
      </c>
      <c r="CC75" s="4504">
        <f t="shared" si="65"/>
        <v>0.63536862847230302</v>
      </c>
      <c r="CD75" s="4504">
        <f t="shared" si="66"/>
        <v>0</v>
      </c>
      <c r="CE75" s="4504">
        <f t="shared" si="67"/>
        <v>0</v>
      </c>
      <c r="CF75" s="4504">
        <f t="shared" si="68"/>
        <v>0</v>
      </c>
      <c r="CG75" s="4504">
        <f t="shared" si="69"/>
        <v>0</v>
      </c>
      <c r="CH75" s="4504">
        <f t="shared" si="70"/>
        <v>0</v>
      </c>
      <c r="CI75" s="4504">
        <f t="shared" si="71"/>
        <v>0</v>
      </c>
      <c r="CJ75" s="4504">
        <f t="shared" si="72"/>
        <v>0</v>
      </c>
      <c r="CK75" s="4504">
        <f t="shared" si="73"/>
        <v>0</v>
      </c>
      <c r="CL75" s="4504">
        <f t="shared" si="74"/>
        <v>1.6689590453727856</v>
      </c>
      <c r="CM75" s="4504">
        <f t="shared" si="75"/>
        <v>1.6689590453727856</v>
      </c>
      <c r="CN75" s="4504">
        <f t="shared" si="76"/>
        <v>1.6689590453727856</v>
      </c>
      <c r="CO75" s="4504">
        <f t="shared" si="77"/>
        <v>1.6689590453727856</v>
      </c>
      <c r="CP75" s="4504">
        <f t="shared" si="78"/>
        <v>1.6689590453727856</v>
      </c>
      <c r="CQ75" s="4504">
        <f t="shared" si="79"/>
        <v>1.6689590453727856</v>
      </c>
      <c r="CR75" s="4504">
        <f t="shared" si="80"/>
        <v>0</v>
      </c>
      <c r="CS75" s="4504">
        <f t="shared" si="81"/>
        <v>1.0590489764097259E-2</v>
      </c>
      <c r="CT75" s="4504">
        <f t="shared" si="82"/>
        <v>1.0590489764097259E-2</v>
      </c>
      <c r="CU75" s="4504">
        <f t="shared" si="83"/>
        <v>1.0590489764097259E-2</v>
      </c>
      <c r="CV75" s="4504">
        <f t="shared" si="84"/>
        <v>1.0590489764097259E-2</v>
      </c>
      <c r="CW75" s="4504">
        <f t="shared" si="85"/>
        <v>1.0590489764097259E-2</v>
      </c>
      <c r="CX75" s="4504">
        <f t="shared" si="86"/>
        <v>1.0590489764097259E-2</v>
      </c>
      <c r="CY75" s="4504">
        <f t="shared" si="87"/>
        <v>7.9907081916141429</v>
      </c>
      <c r="CZ75" s="4504">
        <f t="shared" si="88"/>
        <v>8.0597325955756318</v>
      </c>
      <c r="DA75" s="4504">
        <f t="shared" si="89"/>
        <v>8.1287569995371207</v>
      </c>
      <c r="DB75" s="4504">
        <f t="shared" si="90"/>
        <v>8.1977814034986096</v>
      </c>
      <c r="DC75" s="4504">
        <f t="shared" si="91"/>
        <v>8.2668058074601003</v>
      </c>
      <c r="DD75" s="4504">
        <f t="shared" si="92"/>
        <v>8.3358302114215892</v>
      </c>
      <c r="DE75" s="4504">
        <f t="shared" si="93"/>
        <v>6.8471141412622742</v>
      </c>
      <c r="DF75" s="4504">
        <f t="shared" si="94"/>
        <v>6.9161385452237649</v>
      </c>
      <c r="DG75" s="4504">
        <f t="shared" si="95"/>
        <v>6.9851629491852529</v>
      </c>
      <c r="DH75" s="4504">
        <f t="shared" si="96"/>
        <v>7.0541873531467436</v>
      </c>
      <c r="DI75" s="4504">
        <f t="shared" si="97"/>
        <v>7.1232117571082325</v>
      </c>
      <c r="DJ75" s="4504">
        <f t="shared" si="98"/>
        <v>7.1922361610697223</v>
      </c>
    </row>
    <row r="76" spans="1:114" thickBot="1">
      <c r="A76" s="110">
        <v>7</v>
      </c>
      <c r="B76" s="897" t="s">
        <v>267</v>
      </c>
      <c r="C76" s="1110">
        <f t="shared" ref="C76:BB76" si="331">SUM(C77:C83)</f>
        <v>55.561891993823863</v>
      </c>
      <c r="D76" s="905">
        <f t="shared" si="331"/>
        <v>60.121601759982788</v>
      </c>
      <c r="E76" s="1147">
        <f t="shared" si="331"/>
        <v>60.121601759982788</v>
      </c>
      <c r="F76" s="1147">
        <f t="shared" si="331"/>
        <v>60.121601759982788</v>
      </c>
      <c r="G76" s="1147">
        <f t="shared" si="331"/>
        <v>60.121601759982788</v>
      </c>
      <c r="H76" s="1148">
        <f t="shared" si="331"/>
        <v>60.121601759982788</v>
      </c>
      <c r="I76" s="1246">
        <f t="shared" si="317"/>
        <v>4.5597097661589245</v>
      </c>
      <c r="J76" s="820">
        <f t="shared" si="318"/>
        <v>8.2065415746925455E-2</v>
      </c>
      <c r="K76" s="1110">
        <f t="shared" si="331"/>
        <v>1.2801262127461539</v>
      </c>
      <c r="L76" s="905">
        <f t="shared" si="331"/>
        <v>1.3849006788958513</v>
      </c>
      <c r="M76" s="1147">
        <f t="shared" si="331"/>
        <v>1.3849006788958513</v>
      </c>
      <c r="N76" s="1147">
        <f t="shared" si="331"/>
        <v>1.3849006788958513</v>
      </c>
      <c r="O76" s="1147">
        <f t="shared" si="331"/>
        <v>1.3849006788958513</v>
      </c>
      <c r="P76" s="1148">
        <f t="shared" si="331"/>
        <v>1.3849006788958513</v>
      </c>
      <c r="Q76" s="1246">
        <f t="shared" si="305"/>
        <v>0.10477446614969743</v>
      </c>
      <c r="R76" s="875">
        <f t="shared" si="306"/>
        <v>8.184698126361542E-2</v>
      </c>
      <c r="S76" s="1110">
        <f t="shared" si="331"/>
        <v>29.501370795420687</v>
      </c>
      <c r="T76" s="905">
        <f t="shared" si="331"/>
        <v>33.501370795420691</v>
      </c>
      <c r="U76" s="1147">
        <f t="shared" si="331"/>
        <v>33.501370795420691</v>
      </c>
      <c r="V76" s="1147">
        <f t="shared" si="331"/>
        <v>33.501370795420691</v>
      </c>
      <c r="W76" s="1147">
        <f t="shared" si="331"/>
        <v>33.501370795420691</v>
      </c>
      <c r="X76" s="1148">
        <f t="shared" si="331"/>
        <v>33.501370795420691</v>
      </c>
      <c r="Y76" s="1246">
        <f>T76-S76</f>
        <v>4.0000000000000036</v>
      </c>
      <c r="Z76" s="875">
        <f t="shared" si="308"/>
        <v>0.13558691993461194</v>
      </c>
      <c r="AA76" s="1110">
        <f t="shared" ref="AA76:AN76" si="332">SUM(AA77:AA83)</f>
        <v>0</v>
      </c>
      <c r="AB76" s="905">
        <f t="shared" si="332"/>
        <v>0</v>
      </c>
      <c r="AC76" s="1147">
        <f t="shared" si="332"/>
        <v>0</v>
      </c>
      <c r="AD76" s="1147">
        <f t="shared" si="332"/>
        <v>0</v>
      </c>
      <c r="AE76" s="1147">
        <f t="shared" si="332"/>
        <v>0</v>
      </c>
      <c r="AF76" s="1148">
        <f t="shared" si="332"/>
        <v>0</v>
      </c>
      <c r="AG76" s="1246">
        <f t="shared" si="319"/>
        <v>0</v>
      </c>
      <c r="AH76" s="820">
        <f t="shared" si="320"/>
        <v>0</v>
      </c>
      <c r="AI76" s="1110">
        <f t="shared" si="332"/>
        <v>12.08443322908029</v>
      </c>
      <c r="AJ76" s="905">
        <f t="shared" si="332"/>
        <v>13.069073315911467</v>
      </c>
      <c r="AK76" s="1147">
        <f t="shared" si="332"/>
        <v>13.069073315911467</v>
      </c>
      <c r="AL76" s="1147">
        <f t="shared" si="332"/>
        <v>13.069073315911467</v>
      </c>
      <c r="AM76" s="1147">
        <f t="shared" si="332"/>
        <v>13.069073315911467</v>
      </c>
      <c r="AN76" s="3106">
        <f t="shared" si="332"/>
        <v>13.069073315911467</v>
      </c>
      <c r="AO76" s="1246">
        <f t="shared" ref="AO76:AO95" si="333">AJ76-AI76</f>
        <v>0.98464008683117754</v>
      </c>
      <c r="AP76" s="820">
        <f t="shared" ref="AP76:AP95" si="334">IFERROR((AJ76-AI76)/AI76,0)</f>
        <v>8.148003867171151E-2</v>
      </c>
      <c r="AQ76" s="1110">
        <f t="shared" si="331"/>
        <v>1.7250177689290054</v>
      </c>
      <c r="AR76" s="905">
        <f t="shared" si="331"/>
        <v>1.8704084303560065</v>
      </c>
      <c r="AS76" s="1147">
        <f t="shared" si="331"/>
        <v>1.8704084303560065</v>
      </c>
      <c r="AT76" s="1147">
        <f t="shared" si="331"/>
        <v>1.8704084303560065</v>
      </c>
      <c r="AU76" s="1147">
        <f t="shared" si="331"/>
        <v>1.8704084303560065</v>
      </c>
      <c r="AV76" s="3106">
        <f t="shared" si="331"/>
        <v>1.8704084303560065</v>
      </c>
      <c r="AW76" s="1110">
        <f t="shared" si="331"/>
        <v>98.427822231070991</v>
      </c>
      <c r="AX76" s="905">
        <f t="shared" si="331"/>
        <v>108.07694655021081</v>
      </c>
      <c r="AY76" s="1147">
        <f t="shared" si="331"/>
        <v>108.07694655021081</v>
      </c>
      <c r="AZ76" s="1147">
        <f t="shared" si="331"/>
        <v>108.07694655021081</v>
      </c>
      <c r="BA76" s="1147">
        <f t="shared" si="331"/>
        <v>108.07694655021081</v>
      </c>
      <c r="BB76" s="3106">
        <f t="shared" si="331"/>
        <v>108.07694655021081</v>
      </c>
      <c r="BC76" s="1110">
        <f t="shared" ref="BC76:BH76" si="335">SUM(BC77:BC83)</f>
        <v>67.646325222904139</v>
      </c>
      <c r="BD76" s="905">
        <f t="shared" si="335"/>
        <v>73.190675075894248</v>
      </c>
      <c r="BE76" s="1147">
        <f t="shared" si="335"/>
        <v>73.190675075894248</v>
      </c>
      <c r="BF76" s="1147">
        <f t="shared" si="335"/>
        <v>73.190675075894248</v>
      </c>
      <c r="BG76" s="1147">
        <f t="shared" si="335"/>
        <v>73.190675075894248</v>
      </c>
      <c r="BH76" s="3106">
        <f t="shared" si="335"/>
        <v>73.190675075894248</v>
      </c>
      <c r="BI76" s="4488"/>
      <c r="BJ76" s="4504">
        <f t="shared" ref="BJ76:BJ95" si="336">IFERROR(C76/$D$1,0)</f>
        <v>28.408344280343314</v>
      </c>
      <c r="BK76" s="4504">
        <f t="shared" ref="BK76:BK95" si="337">IFERROR(D76/$D$1,0)</f>
        <v>30.73968686439148</v>
      </c>
      <c r="BL76" s="4504">
        <f t="shared" ref="BL76:BL95" si="338">IFERROR(E76/$D$1,0)</f>
        <v>30.73968686439148</v>
      </c>
      <c r="BM76" s="4504">
        <f t="shared" ref="BM76:BM95" si="339">IFERROR(F76/$D$1,0)</f>
        <v>30.73968686439148</v>
      </c>
      <c r="BN76" s="4504">
        <f t="shared" ref="BN76:BN95" si="340">IFERROR(G76/$D$1,0)</f>
        <v>30.73968686439148</v>
      </c>
      <c r="BO76" s="4504">
        <f t="shared" ref="BO76:BO95" si="341">IFERROR(H76/$D$1,0)</f>
        <v>30.73968686439148</v>
      </c>
      <c r="BP76" s="4504">
        <f t="shared" ref="BP76:BP95" si="342">IFERROR(I76/$D$1,0)</f>
        <v>2.3313425840481661</v>
      </c>
      <c r="BQ76" s="4504">
        <f t="shared" ref="BQ76:BQ95" si="343">IFERROR(K76/$D$1,0)</f>
        <v>0.65451813948357163</v>
      </c>
      <c r="BR76" s="4504">
        <f t="shared" ref="BR76:BR95" si="344">IFERROR(L76/$D$1,0)</f>
        <v>0.70808847338257996</v>
      </c>
      <c r="BS76" s="4504">
        <f t="shared" ref="BS76:BS95" si="345">IFERROR(M76/$D$1,0)</f>
        <v>0.70808847338257996</v>
      </c>
      <c r="BT76" s="4504">
        <f t="shared" ref="BT76:BT95" si="346">IFERROR(N76/$D$1,0)</f>
        <v>0.70808847338257996</v>
      </c>
      <c r="BU76" s="4504">
        <f t="shared" ref="BU76:BU95" si="347">IFERROR(O76/$D$1,0)</f>
        <v>0.70808847338257996</v>
      </c>
      <c r="BV76" s="4504">
        <f t="shared" ref="BV76:BV95" si="348">IFERROR(P76/$D$1,0)</f>
        <v>0.70808847338257996</v>
      </c>
      <c r="BW76" s="4504">
        <f t="shared" ref="BW76:BW95" si="349">IFERROR(Q76/$D$1,0)</f>
        <v>5.3570333899008317E-2</v>
      </c>
      <c r="BX76" s="4504">
        <f t="shared" ref="BX76:BX95" si="350">IFERROR(S76/$D$1,0)</f>
        <v>15.083811371857824</v>
      </c>
      <c r="BY76" s="4504">
        <f t="shared" ref="BY76:BY95" si="351">IFERROR(T76/$D$1,0)</f>
        <v>17.1289788966427</v>
      </c>
      <c r="BZ76" s="4504">
        <f t="shared" ref="BZ76:BZ95" si="352">IFERROR(U76/$D$1,0)</f>
        <v>17.1289788966427</v>
      </c>
      <c r="CA76" s="4504">
        <f t="shared" ref="CA76:CA95" si="353">IFERROR(V76/$D$1,0)</f>
        <v>17.1289788966427</v>
      </c>
      <c r="CB76" s="4504">
        <f t="shared" ref="CB76:CB95" si="354">IFERROR(W76/$D$1,0)</f>
        <v>17.1289788966427</v>
      </c>
      <c r="CC76" s="4504">
        <f t="shared" ref="CC76:CC95" si="355">IFERROR(X76/$D$1,0)</f>
        <v>17.1289788966427</v>
      </c>
      <c r="CD76" s="4504">
        <f t="shared" ref="CD76:CD95" si="356">IFERROR(Y76/$D$1,0)</f>
        <v>2.0451675247848757</v>
      </c>
      <c r="CE76" s="4504">
        <f t="shared" ref="CE76:CE95" si="357">IFERROR(AA76/$D$1,0)</f>
        <v>0</v>
      </c>
      <c r="CF76" s="4504">
        <f t="shared" ref="CF76:CF95" si="358">IFERROR(AB76/$D$1,0)</f>
        <v>0</v>
      </c>
      <c r="CG76" s="4504">
        <f t="shared" ref="CG76:CG95" si="359">IFERROR(AC76/$D$1,0)</f>
        <v>0</v>
      </c>
      <c r="CH76" s="4504">
        <f t="shared" ref="CH76:CH95" si="360">IFERROR(AD76/$D$1,0)</f>
        <v>0</v>
      </c>
      <c r="CI76" s="4504">
        <f t="shared" ref="CI76:CI95" si="361">IFERROR(AE76/$D$1,0)</f>
        <v>0</v>
      </c>
      <c r="CJ76" s="4504">
        <f t="shared" ref="CJ76:CJ95" si="362">IFERROR(AF76/$D$1,0)</f>
        <v>0</v>
      </c>
      <c r="CK76" s="4504">
        <f t="shared" ref="CK76:CK95" si="363">IFERROR(AG76/$D$1,0)</f>
        <v>0</v>
      </c>
      <c r="CL76" s="4504">
        <f t="shared" ref="CL76:CL95" si="364">IFERROR(AI76/$D$1,0)</f>
        <v>6.1786725988865543</v>
      </c>
      <c r="CM76" s="4504">
        <f t="shared" ref="CM76:CM95" si="365">IFERROR(AJ76/$D$1,0)</f>
        <v>6.6821110811836748</v>
      </c>
      <c r="CN76" s="4504">
        <f t="shared" ref="CN76:CN95" si="366">IFERROR(AK76/$D$1,0)</f>
        <v>6.6821110811836748</v>
      </c>
      <c r="CO76" s="4504">
        <f t="shared" ref="CO76:CO95" si="367">IFERROR(AL76/$D$1,0)</f>
        <v>6.6821110811836748</v>
      </c>
      <c r="CP76" s="4504">
        <f t="shared" ref="CP76:CP95" si="368">IFERROR(AM76/$D$1,0)</f>
        <v>6.6821110811836748</v>
      </c>
      <c r="CQ76" s="4504">
        <f t="shared" ref="CQ76:CQ95" si="369">IFERROR(AN76/$D$1,0)</f>
        <v>6.6821110811836748</v>
      </c>
      <c r="CR76" s="4504">
        <f t="shared" ref="CR76:CR95" si="370">IFERROR(AO76/$D$1,0)</f>
        <v>0.50343848229712074</v>
      </c>
      <c r="CS76" s="4504">
        <f t="shared" ref="CS76:CS95" si="371">IFERROR(AQ76/$D$1,0)</f>
        <v>0.88198758017261492</v>
      </c>
      <c r="CT76" s="4504">
        <f t="shared" ref="CT76:CT95" si="372">IFERROR(AR76/$D$1,0)</f>
        <v>0.95632464496198877</v>
      </c>
      <c r="CU76" s="4504">
        <f t="shared" ref="CU76:CU95" si="373">IFERROR(AS76/$D$1,0)</f>
        <v>0.95632464496198877</v>
      </c>
      <c r="CV76" s="4504">
        <f t="shared" ref="CV76:CV95" si="374">IFERROR(AT76/$D$1,0)</f>
        <v>0.95632464496198877</v>
      </c>
      <c r="CW76" s="4504">
        <f t="shared" ref="CW76:CW95" si="375">IFERROR(AU76/$D$1,0)</f>
        <v>0.95632464496198877</v>
      </c>
      <c r="CX76" s="4504">
        <f t="shared" ref="CX76:CX95" si="376">IFERROR(AV76/$D$1,0)</f>
        <v>0.95632464496198877</v>
      </c>
      <c r="CY76" s="4504">
        <f t="shared" ref="CY76:CY95" si="377">IFERROR(AW76/$D$1,0)</f>
        <v>50.325346390571262</v>
      </c>
      <c r="CZ76" s="4504">
        <f t="shared" ref="CZ76:CZ95" si="378">IFERROR(AX76/$D$1,0)</f>
        <v>55.258865315600438</v>
      </c>
      <c r="DA76" s="4504">
        <f t="shared" ref="DA76:DA95" si="379">IFERROR(AY76/$D$1,0)</f>
        <v>55.258865315600438</v>
      </c>
      <c r="DB76" s="4504">
        <f t="shared" ref="DB76:DB95" si="380">IFERROR(AZ76/$D$1,0)</f>
        <v>55.258865315600438</v>
      </c>
      <c r="DC76" s="4504">
        <f t="shared" ref="DC76:DC95" si="381">IFERROR(BA76/$D$1,0)</f>
        <v>55.258865315600438</v>
      </c>
      <c r="DD76" s="4504">
        <f t="shared" ref="DD76:DD95" si="382">IFERROR(BB76/$D$1,0)</f>
        <v>55.258865315600438</v>
      </c>
      <c r="DE76" s="4504">
        <f t="shared" ref="DE76:DE95" si="383">IFERROR(BC76/$D$1,0)</f>
        <v>34.587016879229864</v>
      </c>
      <c r="DF76" s="4504">
        <f t="shared" ref="DF76:DF95" si="384">IFERROR(BD76/$D$1,0)</f>
        <v>37.42179794557515</v>
      </c>
      <c r="DG76" s="4504">
        <f t="shared" ref="DG76:DG95" si="385">IFERROR(BE76/$D$1,0)</f>
        <v>37.42179794557515</v>
      </c>
      <c r="DH76" s="4504">
        <f t="shared" ref="DH76:DH95" si="386">IFERROR(BF76/$D$1,0)</f>
        <v>37.42179794557515</v>
      </c>
      <c r="DI76" s="4504">
        <f t="shared" ref="DI76:DI95" si="387">IFERROR(BG76/$D$1,0)</f>
        <v>37.42179794557515</v>
      </c>
      <c r="DJ76" s="4504">
        <f t="shared" ref="DJ76:DJ95" si="388">IFERROR(BH76/$D$1,0)</f>
        <v>37.42179794557515</v>
      </c>
    </row>
    <row r="77" spans="1:114" ht="13.2">
      <c r="A77" s="108" t="s">
        <v>176</v>
      </c>
      <c r="B77" s="895" t="s">
        <v>269</v>
      </c>
      <c r="C77" s="3070">
        <v>0.94018768396342811</v>
      </c>
      <c r="D77" s="3071">
        <v>1.0201036371003196</v>
      </c>
      <c r="E77" s="3071">
        <v>1.0201036371003196</v>
      </c>
      <c r="F77" s="3071">
        <v>1.0201036371003196</v>
      </c>
      <c r="G77" s="3071">
        <v>1.0201036371003196</v>
      </c>
      <c r="H77" s="3072">
        <v>1.0201036371003196</v>
      </c>
      <c r="I77" s="1251">
        <f t="shared" si="317"/>
        <v>7.9915953136891482E-2</v>
      </c>
      <c r="J77" s="826">
        <f t="shared" si="318"/>
        <v>8.5000000000000103E-2</v>
      </c>
      <c r="K77" s="3070">
        <v>1.3177306575527022E-3</v>
      </c>
      <c r="L77" s="3071">
        <v>1.429737763444682E-3</v>
      </c>
      <c r="M77" s="3071">
        <v>1.429737763444682E-3</v>
      </c>
      <c r="N77" s="3071">
        <v>1.429737763444682E-3</v>
      </c>
      <c r="O77" s="3071">
        <v>1.429737763444682E-3</v>
      </c>
      <c r="P77" s="3072">
        <v>1.429737763444682E-3</v>
      </c>
      <c r="Q77" s="1251">
        <f t="shared" si="305"/>
        <v>1.1200710589197977E-4</v>
      </c>
      <c r="R77" s="1121">
        <f t="shared" si="306"/>
        <v>8.5000000000000062E-2</v>
      </c>
      <c r="S77" s="3070">
        <v>14.30021</v>
      </c>
      <c r="T77" s="3071">
        <v>18.000209999999999</v>
      </c>
      <c r="U77" s="3071">
        <v>18.000209999999999</v>
      </c>
      <c r="V77" s="3071">
        <v>18.000209999999999</v>
      </c>
      <c r="W77" s="3071">
        <v>18.000209999999999</v>
      </c>
      <c r="X77" s="3072">
        <v>18.000209999999999</v>
      </c>
      <c r="Y77" s="1251">
        <f t="shared" si="307"/>
        <v>3.6999999999999993</v>
      </c>
      <c r="Z77" s="1121">
        <f t="shared" si="308"/>
        <v>0.25873745910025092</v>
      </c>
      <c r="AA77" s="3070"/>
      <c r="AB77" s="3071"/>
      <c r="AC77" s="3071"/>
      <c r="AD77" s="3071"/>
      <c r="AE77" s="3071"/>
      <c r="AF77" s="3072"/>
      <c r="AG77" s="1251">
        <f t="shared" si="319"/>
        <v>0</v>
      </c>
      <c r="AH77" s="826">
        <f t="shared" si="320"/>
        <v>0</v>
      </c>
      <c r="AI77" s="3070">
        <v>0.85812458537901903</v>
      </c>
      <c r="AJ77" s="3071">
        <v>0.93106517513623577</v>
      </c>
      <c r="AK77" s="3071">
        <v>0.93106517513623577</v>
      </c>
      <c r="AL77" s="3071">
        <v>0.93106517513623577</v>
      </c>
      <c r="AM77" s="3071">
        <v>0.93106517513623577</v>
      </c>
      <c r="AN77" s="3100">
        <v>0.93106517513623577</v>
      </c>
      <c r="AO77" s="1251">
        <f t="shared" si="333"/>
        <v>7.2940589757216734E-2</v>
      </c>
      <c r="AP77" s="826">
        <f t="shared" si="334"/>
        <v>8.5000000000000131E-2</v>
      </c>
      <c r="AQ77" s="3070">
        <v>0</v>
      </c>
      <c r="AR77" s="3071">
        <v>0</v>
      </c>
      <c r="AS77" s="3071">
        <v>0</v>
      </c>
      <c r="AT77" s="3071">
        <v>0</v>
      </c>
      <c r="AU77" s="3071">
        <v>0</v>
      </c>
      <c r="AV77" s="3100">
        <v>0</v>
      </c>
      <c r="AW77" s="1112">
        <f t="shared" ref="AW77:AW82" si="389">C77+K77+S77+AA77+AI77</f>
        <v>16.09984</v>
      </c>
      <c r="AX77" s="3090">
        <f t="shared" ref="AX77:AX82" si="390">D77+L77+T77+AB77+AJ77</f>
        <v>19.95280855</v>
      </c>
      <c r="AY77" s="3090">
        <f t="shared" ref="AY77:AY82" si="391">E77+M77+U77+AC77+AK77</f>
        <v>19.95280855</v>
      </c>
      <c r="AZ77" s="3090">
        <f t="shared" ref="AZ77:AZ82" si="392">F77+N77+V77+AD77+AL77</f>
        <v>19.95280855</v>
      </c>
      <c r="BA77" s="3090">
        <f t="shared" ref="BA77:BA82" si="393">G77+O77+W77+AE77+AM77</f>
        <v>19.95280855</v>
      </c>
      <c r="BB77" s="3091">
        <f t="shared" ref="BB77:BB82" si="394">H77+P77+X77+AF77+AN77</f>
        <v>19.95280855</v>
      </c>
      <c r="BC77" s="3111">
        <f t="shared" ref="BC77:BC82" si="395">C77+AA77+AI77</f>
        <v>1.7983122693424471</v>
      </c>
      <c r="BD77" s="3112">
        <f t="shared" ref="BD77:BD82" si="396">D77+AB77+AJ77</f>
        <v>1.9511688122365554</v>
      </c>
      <c r="BE77" s="3113">
        <f t="shared" ref="BE77:BE82" si="397">E77+AC77+AK77</f>
        <v>1.9511688122365554</v>
      </c>
      <c r="BF77" s="3113">
        <f t="shared" ref="BF77:BF82" si="398">F77+AD77+AL77</f>
        <v>1.9511688122365554</v>
      </c>
      <c r="BG77" s="3113">
        <f t="shared" ref="BG77:BG82" si="399">G77+AE77+AM77</f>
        <v>1.9511688122365554</v>
      </c>
      <c r="BH77" s="3115">
        <f t="shared" ref="BH77:BH82" si="400">H77+AF77+AN77</f>
        <v>1.9511688122365554</v>
      </c>
      <c r="BI77" s="4488"/>
      <c r="BJ77" s="4504">
        <f t="shared" si="336"/>
        <v>0.48071032961117693</v>
      </c>
      <c r="BK77" s="4504">
        <f t="shared" si="337"/>
        <v>0.52157070762812696</v>
      </c>
      <c r="BL77" s="4504">
        <f t="shared" si="338"/>
        <v>0.52157070762812696</v>
      </c>
      <c r="BM77" s="4504">
        <f t="shared" si="339"/>
        <v>0.52157070762812696</v>
      </c>
      <c r="BN77" s="4504">
        <f t="shared" si="340"/>
        <v>0.52157070762812696</v>
      </c>
      <c r="BO77" s="4504">
        <f t="shared" si="341"/>
        <v>0.52157070762812696</v>
      </c>
      <c r="BP77" s="4504">
        <f t="shared" si="342"/>
        <v>4.0860378016950083E-2</v>
      </c>
      <c r="BQ77" s="4504">
        <f t="shared" si="343"/>
        <v>6.7374498681005109E-4</v>
      </c>
      <c r="BR77" s="4504">
        <f t="shared" si="344"/>
        <v>7.3101331068890546E-4</v>
      </c>
      <c r="BS77" s="4504">
        <f t="shared" si="345"/>
        <v>7.3101331068890546E-4</v>
      </c>
      <c r="BT77" s="4504">
        <f t="shared" si="346"/>
        <v>7.3101331068890546E-4</v>
      </c>
      <c r="BU77" s="4504">
        <f t="shared" si="347"/>
        <v>7.3101331068890546E-4</v>
      </c>
      <c r="BV77" s="4504">
        <f t="shared" si="348"/>
        <v>7.3101331068890546E-4</v>
      </c>
      <c r="BW77" s="4504">
        <f t="shared" si="349"/>
        <v>5.7268323878854388E-5</v>
      </c>
      <c r="BX77" s="4504">
        <f t="shared" si="350"/>
        <v>7.3115812724009759</v>
      </c>
      <c r="BY77" s="4504">
        <f t="shared" si="351"/>
        <v>9.2033612328269836</v>
      </c>
      <c r="BZ77" s="4504">
        <f t="shared" si="352"/>
        <v>9.2033612328269836</v>
      </c>
      <c r="CA77" s="4504">
        <f t="shared" si="353"/>
        <v>9.2033612328269836</v>
      </c>
      <c r="CB77" s="4504">
        <f t="shared" si="354"/>
        <v>9.2033612328269836</v>
      </c>
      <c r="CC77" s="4504">
        <f t="shared" si="355"/>
        <v>9.2033612328269836</v>
      </c>
      <c r="CD77" s="4504">
        <f t="shared" si="356"/>
        <v>1.8917799604260082</v>
      </c>
      <c r="CE77" s="4504">
        <f t="shared" si="357"/>
        <v>0</v>
      </c>
      <c r="CF77" s="4504">
        <f t="shared" si="358"/>
        <v>0</v>
      </c>
      <c r="CG77" s="4504">
        <f t="shared" si="359"/>
        <v>0</v>
      </c>
      <c r="CH77" s="4504">
        <f t="shared" si="360"/>
        <v>0</v>
      </c>
      <c r="CI77" s="4504">
        <f t="shared" si="361"/>
        <v>0</v>
      </c>
      <c r="CJ77" s="4504">
        <f t="shared" si="362"/>
        <v>0</v>
      </c>
      <c r="CK77" s="4504">
        <f t="shared" si="363"/>
        <v>0</v>
      </c>
      <c r="CL77" s="4504">
        <f t="shared" si="364"/>
        <v>0.43875213355916365</v>
      </c>
      <c r="CM77" s="4504">
        <f t="shared" si="365"/>
        <v>0.4760460649116926</v>
      </c>
      <c r="CN77" s="4504">
        <f t="shared" si="366"/>
        <v>0.4760460649116926</v>
      </c>
      <c r="CO77" s="4504">
        <f t="shared" si="367"/>
        <v>0.4760460649116926</v>
      </c>
      <c r="CP77" s="4504">
        <f t="shared" si="368"/>
        <v>0.4760460649116926</v>
      </c>
      <c r="CQ77" s="4504">
        <f t="shared" si="369"/>
        <v>0.4760460649116926</v>
      </c>
      <c r="CR77" s="4504">
        <f t="shared" si="370"/>
        <v>3.7293931352528967E-2</v>
      </c>
      <c r="CS77" s="4504">
        <f t="shared" si="371"/>
        <v>0</v>
      </c>
      <c r="CT77" s="4504">
        <f t="shared" si="372"/>
        <v>0</v>
      </c>
      <c r="CU77" s="4504">
        <f t="shared" si="373"/>
        <v>0</v>
      </c>
      <c r="CV77" s="4504">
        <f t="shared" si="374"/>
        <v>0</v>
      </c>
      <c r="CW77" s="4504">
        <f t="shared" si="375"/>
        <v>0</v>
      </c>
      <c r="CX77" s="4504">
        <f t="shared" si="376"/>
        <v>0</v>
      </c>
      <c r="CY77" s="4504">
        <f t="shared" si="377"/>
        <v>8.2317174805581264</v>
      </c>
      <c r="CZ77" s="4504">
        <f t="shared" si="378"/>
        <v>10.201709018677493</v>
      </c>
      <c r="DA77" s="4504">
        <f t="shared" si="379"/>
        <v>10.201709018677493</v>
      </c>
      <c r="DB77" s="4504">
        <f t="shared" si="380"/>
        <v>10.201709018677493</v>
      </c>
      <c r="DC77" s="4504">
        <f t="shared" si="381"/>
        <v>10.201709018677493</v>
      </c>
      <c r="DD77" s="4504">
        <f t="shared" si="382"/>
        <v>10.201709018677493</v>
      </c>
      <c r="DE77" s="4504">
        <f t="shared" si="383"/>
        <v>0.91946246317034053</v>
      </c>
      <c r="DF77" s="4504">
        <f t="shared" si="384"/>
        <v>0.99761677253981962</v>
      </c>
      <c r="DG77" s="4504">
        <f t="shared" si="385"/>
        <v>0.99761677253981962</v>
      </c>
      <c r="DH77" s="4504">
        <f t="shared" si="386"/>
        <v>0.99761677253981962</v>
      </c>
      <c r="DI77" s="4504">
        <f t="shared" si="387"/>
        <v>0.99761677253981962</v>
      </c>
      <c r="DJ77" s="4504">
        <f t="shared" si="388"/>
        <v>0.99761677253981962</v>
      </c>
    </row>
    <row r="78" spans="1:114" ht="13.2">
      <c r="A78" s="108" t="s">
        <v>178</v>
      </c>
      <c r="B78" s="903" t="s">
        <v>271</v>
      </c>
      <c r="C78" s="3070">
        <v>15.997717764070401</v>
      </c>
      <c r="D78" s="3071">
        <v>17.357523774016386</v>
      </c>
      <c r="E78" s="3071">
        <v>17.357523774016386</v>
      </c>
      <c r="F78" s="3071">
        <v>17.357523774016386</v>
      </c>
      <c r="G78" s="3071">
        <v>17.357523774016386</v>
      </c>
      <c r="H78" s="3072">
        <v>17.357523774016386</v>
      </c>
      <c r="I78" s="1251">
        <f t="shared" si="317"/>
        <v>1.3598060099459843</v>
      </c>
      <c r="J78" s="826">
        <f t="shared" si="318"/>
        <v>8.500000000000002E-2</v>
      </c>
      <c r="K78" s="3070">
        <v>0.30202018998521102</v>
      </c>
      <c r="L78" s="3071">
        <v>0.32769190613395394</v>
      </c>
      <c r="M78" s="3071">
        <v>0.32769190613395394</v>
      </c>
      <c r="N78" s="3071">
        <v>0.32769190613395394</v>
      </c>
      <c r="O78" s="3071">
        <v>0.32769190613395394</v>
      </c>
      <c r="P78" s="3072">
        <v>0.32769190613395394</v>
      </c>
      <c r="Q78" s="1251">
        <f t="shared" si="305"/>
        <v>2.5671716148742918E-2</v>
      </c>
      <c r="R78" s="1121">
        <f t="shared" si="306"/>
        <v>8.4999999999999937E-2</v>
      </c>
      <c r="S78" s="3070">
        <v>6.084287853419359</v>
      </c>
      <c r="T78" s="3071">
        <v>6.3842878534193588</v>
      </c>
      <c r="U78" s="3071">
        <v>6.3842878534193588</v>
      </c>
      <c r="V78" s="3071">
        <v>6.3842878534193588</v>
      </c>
      <c r="W78" s="3071">
        <v>6.3842878534193588</v>
      </c>
      <c r="X78" s="3072">
        <v>6.3842878534193588</v>
      </c>
      <c r="Y78" s="1251">
        <f t="shared" si="307"/>
        <v>0.29999999999999982</v>
      </c>
      <c r="Z78" s="1121">
        <f t="shared" si="308"/>
        <v>4.9307331807353652E-2</v>
      </c>
      <c r="AA78" s="3070"/>
      <c r="AB78" s="3071"/>
      <c r="AC78" s="3071"/>
      <c r="AD78" s="3071"/>
      <c r="AE78" s="3071"/>
      <c r="AF78" s="3072"/>
      <c r="AG78" s="1251">
        <f t="shared" si="319"/>
        <v>0</v>
      </c>
      <c r="AH78" s="826">
        <f t="shared" si="320"/>
        <v>0</v>
      </c>
      <c r="AI78" s="3070">
        <v>2.4463194203413008</v>
      </c>
      <c r="AJ78" s="3071">
        <v>2.6542565710703117</v>
      </c>
      <c r="AK78" s="3071">
        <v>2.6542565710703117</v>
      </c>
      <c r="AL78" s="3071">
        <v>2.6542565710703117</v>
      </c>
      <c r="AM78" s="3071">
        <v>2.6542565710703117</v>
      </c>
      <c r="AN78" s="3100">
        <v>2.6542565710703117</v>
      </c>
      <c r="AO78" s="1251">
        <f t="shared" si="333"/>
        <v>0.20793715072901087</v>
      </c>
      <c r="AP78" s="826">
        <f t="shared" si="334"/>
        <v>8.5000000000000117E-2</v>
      </c>
      <c r="AQ78" s="3070">
        <v>2.6484772183727572E-2</v>
      </c>
      <c r="AR78" s="3071">
        <v>2.8735977819344418E-2</v>
      </c>
      <c r="AS78" s="3071">
        <v>2.8735977819344418E-2</v>
      </c>
      <c r="AT78" s="3071">
        <v>2.8735977819344418E-2</v>
      </c>
      <c r="AU78" s="3071">
        <v>2.8735977819344418E-2</v>
      </c>
      <c r="AV78" s="3100">
        <v>2.8735977819344418E-2</v>
      </c>
      <c r="AW78" s="1112">
        <f t="shared" si="389"/>
        <v>24.83034522781627</v>
      </c>
      <c r="AX78" s="3090">
        <f t="shared" si="390"/>
        <v>26.723760104640011</v>
      </c>
      <c r="AY78" s="3090">
        <f t="shared" si="391"/>
        <v>26.723760104640011</v>
      </c>
      <c r="AZ78" s="3090">
        <f t="shared" si="392"/>
        <v>26.723760104640011</v>
      </c>
      <c r="BA78" s="3090">
        <f t="shared" si="393"/>
        <v>26.723760104640011</v>
      </c>
      <c r="BB78" s="3091">
        <f t="shared" si="394"/>
        <v>26.723760104640011</v>
      </c>
      <c r="BC78" s="3111">
        <f t="shared" si="395"/>
        <v>18.444037184411702</v>
      </c>
      <c r="BD78" s="3112">
        <f t="shared" si="396"/>
        <v>20.011780345086699</v>
      </c>
      <c r="BE78" s="3113">
        <f t="shared" si="397"/>
        <v>20.011780345086699</v>
      </c>
      <c r="BF78" s="3113">
        <f t="shared" si="398"/>
        <v>20.011780345086699</v>
      </c>
      <c r="BG78" s="3113">
        <f t="shared" si="399"/>
        <v>20.011780345086699</v>
      </c>
      <c r="BH78" s="3115">
        <f t="shared" si="400"/>
        <v>20.011780345086699</v>
      </c>
      <c r="BI78" s="4488"/>
      <c r="BJ78" s="4504">
        <f t="shared" si="336"/>
        <v>8.1795032104377174</v>
      </c>
      <c r="BK78" s="4504">
        <f t="shared" si="337"/>
        <v>8.8747609833249239</v>
      </c>
      <c r="BL78" s="4504">
        <f t="shared" si="338"/>
        <v>8.8747609833249239</v>
      </c>
      <c r="BM78" s="4504">
        <f t="shared" si="339"/>
        <v>8.8747609833249239</v>
      </c>
      <c r="BN78" s="4504">
        <f t="shared" si="340"/>
        <v>8.8747609833249239</v>
      </c>
      <c r="BO78" s="4504">
        <f t="shared" si="341"/>
        <v>8.8747609833249239</v>
      </c>
      <c r="BP78" s="4504">
        <f t="shared" si="342"/>
        <v>0.69525777288720614</v>
      </c>
      <c r="BQ78" s="4504">
        <f t="shared" si="343"/>
        <v>0.15442047109677784</v>
      </c>
      <c r="BR78" s="4504">
        <f t="shared" si="344"/>
        <v>0.16754621114000395</v>
      </c>
      <c r="BS78" s="4504">
        <f t="shared" si="345"/>
        <v>0.16754621114000395</v>
      </c>
      <c r="BT78" s="4504">
        <f t="shared" si="346"/>
        <v>0.16754621114000395</v>
      </c>
      <c r="BU78" s="4504">
        <f t="shared" si="347"/>
        <v>0.16754621114000395</v>
      </c>
      <c r="BV78" s="4504">
        <f t="shared" si="348"/>
        <v>0.16754621114000395</v>
      </c>
      <c r="BW78" s="4504">
        <f t="shared" si="349"/>
        <v>1.3125740043226107E-2</v>
      </c>
      <c r="BX78" s="4504">
        <f t="shared" si="350"/>
        <v>3.1108469823140861</v>
      </c>
      <c r="BY78" s="4504">
        <f t="shared" si="351"/>
        <v>3.2642345466729514</v>
      </c>
      <c r="BZ78" s="4504">
        <f t="shared" si="352"/>
        <v>3.2642345466729514</v>
      </c>
      <c r="CA78" s="4504">
        <f t="shared" si="353"/>
        <v>3.2642345466729514</v>
      </c>
      <c r="CB78" s="4504">
        <f t="shared" si="354"/>
        <v>3.2642345466729514</v>
      </c>
      <c r="CC78" s="4504">
        <f t="shared" si="355"/>
        <v>3.2642345466729514</v>
      </c>
      <c r="CD78" s="4504">
        <f t="shared" si="356"/>
        <v>0.15338756435886547</v>
      </c>
      <c r="CE78" s="4504">
        <f t="shared" si="357"/>
        <v>0</v>
      </c>
      <c r="CF78" s="4504">
        <f t="shared" si="358"/>
        <v>0</v>
      </c>
      <c r="CG78" s="4504">
        <f t="shared" si="359"/>
        <v>0</v>
      </c>
      <c r="CH78" s="4504">
        <f t="shared" si="360"/>
        <v>0</v>
      </c>
      <c r="CI78" s="4504">
        <f t="shared" si="361"/>
        <v>0</v>
      </c>
      <c r="CJ78" s="4504">
        <f t="shared" si="362"/>
        <v>0</v>
      </c>
      <c r="CK78" s="4504">
        <f t="shared" si="363"/>
        <v>0</v>
      </c>
      <c r="CL78" s="4504">
        <f t="shared" si="364"/>
        <v>1.2507832584331464</v>
      </c>
      <c r="CM78" s="4504">
        <f t="shared" si="365"/>
        <v>1.3570998353999641</v>
      </c>
      <c r="CN78" s="4504">
        <f t="shared" si="366"/>
        <v>1.3570998353999641</v>
      </c>
      <c r="CO78" s="4504">
        <f t="shared" si="367"/>
        <v>1.3570998353999641</v>
      </c>
      <c r="CP78" s="4504">
        <f t="shared" si="368"/>
        <v>1.3570998353999641</v>
      </c>
      <c r="CQ78" s="4504">
        <f t="shared" si="369"/>
        <v>1.3570998353999641</v>
      </c>
      <c r="CR78" s="4504">
        <f t="shared" si="370"/>
        <v>0.10631657696681761</v>
      </c>
      <c r="CS78" s="4504">
        <f t="shared" si="371"/>
        <v>1.354144899287135E-2</v>
      </c>
      <c r="CT78" s="4504">
        <f t="shared" si="372"/>
        <v>1.4692472157265416E-2</v>
      </c>
      <c r="CU78" s="4504">
        <f t="shared" si="373"/>
        <v>1.4692472157265416E-2</v>
      </c>
      <c r="CV78" s="4504">
        <f t="shared" si="374"/>
        <v>1.4692472157265416E-2</v>
      </c>
      <c r="CW78" s="4504">
        <f t="shared" si="375"/>
        <v>1.4692472157265416E-2</v>
      </c>
      <c r="CX78" s="4504">
        <f t="shared" si="376"/>
        <v>1.4692472157265416E-2</v>
      </c>
      <c r="CY78" s="4504">
        <f t="shared" si="377"/>
        <v>12.695553922281727</v>
      </c>
      <c r="CZ78" s="4504">
        <f t="shared" si="378"/>
        <v>13.663641576537843</v>
      </c>
      <c r="DA78" s="4504">
        <f t="shared" si="379"/>
        <v>13.663641576537843</v>
      </c>
      <c r="DB78" s="4504">
        <f t="shared" si="380"/>
        <v>13.663641576537843</v>
      </c>
      <c r="DC78" s="4504">
        <f t="shared" si="381"/>
        <v>13.663641576537843</v>
      </c>
      <c r="DD78" s="4504">
        <f t="shared" si="382"/>
        <v>13.663641576537843</v>
      </c>
      <c r="DE78" s="4504">
        <f t="shared" si="383"/>
        <v>9.4302864688708645</v>
      </c>
      <c r="DF78" s="4504">
        <f t="shared" si="384"/>
        <v>10.231860818724888</v>
      </c>
      <c r="DG78" s="4504">
        <f t="shared" si="385"/>
        <v>10.231860818724888</v>
      </c>
      <c r="DH78" s="4504">
        <f t="shared" si="386"/>
        <v>10.231860818724888</v>
      </c>
      <c r="DI78" s="4504">
        <f t="shared" si="387"/>
        <v>10.231860818724888</v>
      </c>
      <c r="DJ78" s="4504">
        <f t="shared" si="388"/>
        <v>10.231860818724888</v>
      </c>
    </row>
    <row r="79" spans="1:114" ht="13.2">
      <c r="A79" s="108" t="s">
        <v>456</v>
      </c>
      <c r="B79" s="136" t="s">
        <v>266</v>
      </c>
      <c r="C79" s="3070">
        <v>19.057654714828043</v>
      </c>
      <c r="D79" s="3071">
        <v>20.677555365588425</v>
      </c>
      <c r="E79" s="3071">
        <v>20.677555365588425</v>
      </c>
      <c r="F79" s="3071">
        <v>20.677555365588425</v>
      </c>
      <c r="G79" s="3071">
        <v>20.677555365588425</v>
      </c>
      <c r="H79" s="3072">
        <v>20.677555365588425</v>
      </c>
      <c r="I79" s="1251">
        <f t="shared" si="317"/>
        <v>1.6199006507603819</v>
      </c>
      <c r="J79" s="826">
        <f t="shared" si="318"/>
        <v>8.4999999999999909E-2</v>
      </c>
      <c r="K79" s="3070">
        <v>0.59814125100175108</v>
      </c>
      <c r="L79" s="3071">
        <v>0.64898325733689988</v>
      </c>
      <c r="M79" s="3071">
        <v>0.64898325733689988</v>
      </c>
      <c r="N79" s="3071">
        <v>0.64898325733689988</v>
      </c>
      <c r="O79" s="3071">
        <v>0.64898325733689988</v>
      </c>
      <c r="P79" s="3072">
        <v>0.64898325733689988</v>
      </c>
      <c r="Q79" s="1251">
        <f t="shared" si="305"/>
        <v>5.0842006335148793E-2</v>
      </c>
      <c r="R79" s="1121">
        <f t="shared" si="306"/>
        <v>8.4999999999999923E-2</v>
      </c>
      <c r="S79" s="3070">
        <v>4.7915570664501113</v>
      </c>
      <c r="T79" s="3071">
        <v>4.7915570664501113</v>
      </c>
      <c r="U79" s="3071">
        <v>4.7915570664501113</v>
      </c>
      <c r="V79" s="3071">
        <v>4.7915570664501113</v>
      </c>
      <c r="W79" s="3071">
        <v>4.7915570664501113</v>
      </c>
      <c r="X79" s="3072">
        <v>4.7915570664501113</v>
      </c>
      <c r="Y79" s="1251">
        <f t="shared" si="307"/>
        <v>0</v>
      </c>
      <c r="Z79" s="1121">
        <f t="shared" si="308"/>
        <v>0</v>
      </c>
      <c r="AA79" s="3070"/>
      <c r="AB79" s="3071"/>
      <c r="AC79" s="3071"/>
      <c r="AD79" s="3071"/>
      <c r="AE79" s="3071"/>
      <c r="AF79" s="3072"/>
      <c r="AG79" s="1251">
        <f t="shared" si="319"/>
        <v>0</v>
      </c>
      <c r="AH79" s="826">
        <f t="shared" si="320"/>
        <v>0</v>
      </c>
      <c r="AI79" s="3070">
        <v>3.2697025421605463</v>
      </c>
      <c r="AJ79" s="3071">
        <v>3.547627258244193</v>
      </c>
      <c r="AK79" s="3071">
        <v>3.547627258244193</v>
      </c>
      <c r="AL79" s="3071">
        <v>3.547627258244193</v>
      </c>
      <c r="AM79" s="3071">
        <v>3.547627258244193</v>
      </c>
      <c r="AN79" s="3100">
        <v>3.547627258244193</v>
      </c>
      <c r="AO79" s="1251">
        <f t="shared" si="333"/>
        <v>0.27792471608364666</v>
      </c>
      <c r="AP79" s="826">
        <f t="shared" si="334"/>
        <v>8.5000000000000062E-2</v>
      </c>
      <c r="AQ79" s="3070">
        <v>7.7644425559547953E-2</v>
      </c>
      <c r="AR79" s="3071">
        <v>8.424420173210953E-2</v>
      </c>
      <c r="AS79" s="3071">
        <v>8.424420173210953E-2</v>
      </c>
      <c r="AT79" s="3071">
        <v>8.424420173210953E-2</v>
      </c>
      <c r="AU79" s="3071">
        <v>8.424420173210953E-2</v>
      </c>
      <c r="AV79" s="3100">
        <v>8.424420173210953E-2</v>
      </c>
      <c r="AW79" s="1112">
        <f t="shared" si="389"/>
        <v>27.717055574440451</v>
      </c>
      <c r="AX79" s="3090">
        <f t="shared" si="390"/>
        <v>29.665722947619631</v>
      </c>
      <c r="AY79" s="3090">
        <f t="shared" si="391"/>
        <v>29.665722947619631</v>
      </c>
      <c r="AZ79" s="3090">
        <f t="shared" si="392"/>
        <v>29.665722947619631</v>
      </c>
      <c r="BA79" s="3090">
        <f t="shared" si="393"/>
        <v>29.665722947619631</v>
      </c>
      <c r="BB79" s="3091">
        <f t="shared" si="394"/>
        <v>29.665722947619631</v>
      </c>
      <c r="BC79" s="3111">
        <f t="shared" si="395"/>
        <v>22.327357256988591</v>
      </c>
      <c r="BD79" s="3112">
        <f t="shared" si="396"/>
        <v>24.22518262383262</v>
      </c>
      <c r="BE79" s="3113">
        <f t="shared" si="397"/>
        <v>24.22518262383262</v>
      </c>
      <c r="BF79" s="3113">
        <f t="shared" si="398"/>
        <v>24.22518262383262</v>
      </c>
      <c r="BG79" s="3113">
        <f t="shared" si="399"/>
        <v>24.22518262383262</v>
      </c>
      <c r="BH79" s="3115">
        <f t="shared" si="400"/>
        <v>24.22518262383262</v>
      </c>
      <c r="BI79" s="4488"/>
      <c r="BJ79" s="4504">
        <f t="shared" si="336"/>
        <v>9.7440241303324129</v>
      </c>
      <c r="BK79" s="4504">
        <f t="shared" si="337"/>
        <v>10.572266181410667</v>
      </c>
      <c r="BL79" s="4504">
        <f t="shared" si="338"/>
        <v>10.572266181410667</v>
      </c>
      <c r="BM79" s="4504">
        <f t="shared" si="339"/>
        <v>10.572266181410667</v>
      </c>
      <c r="BN79" s="4504">
        <f t="shared" si="340"/>
        <v>10.572266181410667</v>
      </c>
      <c r="BO79" s="4504">
        <f t="shared" si="341"/>
        <v>10.572266181410667</v>
      </c>
      <c r="BP79" s="4504">
        <f t="shared" si="342"/>
        <v>0.82824205107825422</v>
      </c>
      <c r="BQ79" s="4504">
        <f t="shared" si="343"/>
        <v>0.30582476544574483</v>
      </c>
      <c r="BR79" s="4504">
        <f t="shared" si="344"/>
        <v>0.3318198705086331</v>
      </c>
      <c r="BS79" s="4504">
        <f t="shared" si="345"/>
        <v>0.3318198705086331</v>
      </c>
      <c r="BT79" s="4504">
        <f t="shared" si="346"/>
        <v>0.3318198705086331</v>
      </c>
      <c r="BU79" s="4504">
        <f t="shared" si="347"/>
        <v>0.3318198705086331</v>
      </c>
      <c r="BV79" s="4504">
        <f t="shared" si="348"/>
        <v>0.3318198705086331</v>
      </c>
      <c r="BW79" s="4504">
        <f t="shared" si="349"/>
        <v>2.5995105062888286E-2</v>
      </c>
      <c r="BX79" s="4504">
        <f t="shared" si="350"/>
        <v>2.4498842263643117</v>
      </c>
      <c r="BY79" s="4504">
        <f t="shared" si="351"/>
        <v>2.4498842263643117</v>
      </c>
      <c r="BZ79" s="4504">
        <f t="shared" si="352"/>
        <v>2.4498842263643117</v>
      </c>
      <c r="CA79" s="4504">
        <f t="shared" si="353"/>
        <v>2.4498842263643117</v>
      </c>
      <c r="CB79" s="4504">
        <f t="shared" si="354"/>
        <v>2.4498842263643117</v>
      </c>
      <c r="CC79" s="4504">
        <f t="shared" si="355"/>
        <v>2.4498842263643117</v>
      </c>
      <c r="CD79" s="4504">
        <f t="shared" si="356"/>
        <v>0</v>
      </c>
      <c r="CE79" s="4504">
        <f t="shared" si="357"/>
        <v>0</v>
      </c>
      <c r="CF79" s="4504">
        <f t="shared" si="358"/>
        <v>0</v>
      </c>
      <c r="CG79" s="4504">
        <f t="shared" si="359"/>
        <v>0</v>
      </c>
      <c r="CH79" s="4504">
        <f t="shared" si="360"/>
        <v>0</v>
      </c>
      <c r="CI79" s="4504">
        <f t="shared" si="361"/>
        <v>0</v>
      </c>
      <c r="CJ79" s="4504">
        <f t="shared" si="362"/>
        <v>0</v>
      </c>
      <c r="CK79" s="4504">
        <f t="shared" si="363"/>
        <v>0</v>
      </c>
      <c r="CL79" s="4504">
        <f t="shared" si="364"/>
        <v>1.6717723637333237</v>
      </c>
      <c r="CM79" s="4504">
        <f t="shared" si="365"/>
        <v>1.8138730146506563</v>
      </c>
      <c r="CN79" s="4504">
        <f t="shared" si="366"/>
        <v>1.8138730146506563</v>
      </c>
      <c r="CO79" s="4504">
        <f t="shared" si="367"/>
        <v>1.8138730146506563</v>
      </c>
      <c r="CP79" s="4504">
        <f t="shared" si="368"/>
        <v>1.8138730146506563</v>
      </c>
      <c r="CQ79" s="4504">
        <f t="shared" si="369"/>
        <v>1.8138730146506563</v>
      </c>
      <c r="CR79" s="4504">
        <f t="shared" si="370"/>
        <v>0.14210065091733262</v>
      </c>
      <c r="CS79" s="4504">
        <f t="shared" si="371"/>
        <v>3.9698964408741023E-2</v>
      </c>
      <c r="CT79" s="4504">
        <f t="shared" si="372"/>
        <v>4.3073376383484012E-2</v>
      </c>
      <c r="CU79" s="4504">
        <f t="shared" si="373"/>
        <v>4.3073376383484012E-2</v>
      </c>
      <c r="CV79" s="4504">
        <f t="shared" si="374"/>
        <v>4.3073376383484012E-2</v>
      </c>
      <c r="CW79" s="4504">
        <f t="shared" si="375"/>
        <v>4.3073376383484012E-2</v>
      </c>
      <c r="CX79" s="4504">
        <f t="shared" si="376"/>
        <v>4.3073376383484012E-2</v>
      </c>
      <c r="CY79" s="4504">
        <f t="shared" si="377"/>
        <v>14.171505485875793</v>
      </c>
      <c r="CZ79" s="4504">
        <f t="shared" si="378"/>
        <v>15.16784329293427</v>
      </c>
      <c r="DA79" s="4504">
        <f t="shared" si="379"/>
        <v>15.16784329293427</v>
      </c>
      <c r="DB79" s="4504">
        <f t="shared" si="380"/>
        <v>15.16784329293427</v>
      </c>
      <c r="DC79" s="4504">
        <f t="shared" si="381"/>
        <v>15.16784329293427</v>
      </c>
      <c r="DD79" s="4504">
        <f t="shared" si="382"/>
        <v>15.16784329293427</v>
      </c>
      <c r="DE79" s="4504">
        <f t="shared" si="383"/>
        <v>11.415796494065738</v>
      </c>
      <c r="DF79" s="4504">
        <f t="shared" si="384"/>
        <v>12.386139196061324</v>
      </c>
      <c r="DG79" s="4504">
        <f t="shared" si="385"/>
        <v>12.386139196061324</v>
      </c>
      <c r="DH79" s="4504">
        <f t="shared" si="386"/>
        <v>12.386139196061324</v>
      </c>
      <c r="DI79" s="4504">
        <f t="shared" si="387"/>
        <v>12.386139196061324</v>
      </c>
      <c r="DJ79" s="4504">
        <f t="shared" si="388"/>
        <v>12.386139196061324</v>
      </c>
    </row>
    <row r="80" spans="1:114" ht="13.2">
      <c r="A80" s="108" t="s">
        <v>457</v>
      </c>
      <c r="B80" s="895" t="s">
        <v>273</v>
      </c>
      <c r="C80" s="3070">
        <v>0.71899644388049888</v>
      </c>
      <c r="D80" s="3071">
        <v>0.78011114161034123</v>
      </c>
      <c r="E80" s="3071">
        <v>0.78011114161034123</v>
      </c>
      <c r="F80" s="3071">
        <v>0.78011114161034123</v>
      </c>
      <c r="G80" s="3071">
        <v>0.78011114161034123</v>
      </c>
      <c r="H80" s="3072">
        <v>0.78011114161034123</v>
      </c>
      <c r="I80" s="1251">
        <f t="shared" si="317"/>
        <v>6.1114697729842349E-2</v>
      </c>
      <c r="J80" s="826">
        <f t="shared" si="318"/>
        <v>8.4999999999999923E-2</v>
      </c>
      <c r="K80" s="3070">
        <v>0</v>
      </c>
      <c r="L80" s="3071">
        <v>0</v>
      </c>
      <c r="M80" s="3071">
        <v>0</v>
      </c>
      <c r="N80" s="3071">
        <v>0</v>
      </c>
      <c r="O80" s="3071">
        <v>0</v>
      </c>
      <c r="P80" s="3072">
        <v>0</v>
      </c>
      <c r="Q80" s="1251">
        <f t="shared" si="305"/>
        <v>0</v>
      </c>
      <c r="R80" s="1121">
        <f t="shared" si="306"/>
        <v>0</v>
      </c>
      <c r="S80" s="3070">
        <v>0</v>
      </c>
      <c r="T80" s="3071">
        <v>0</v>
      </c>
      <c r="U80" s="3071">
        <v>0</v>
      </c>
      <c r="V80" s="3071">
        <v>0</v>
      </c>
      <c r="W80" s="3071">
        <v>0</v>
      </c>
      <c r="X80" s="3072">
        <v>0</v>
      </c>
      <c r="Y80" s="1251">
        <f t="shared" si="307"/>
        <v>0</v>
      </c>
      <c r="Z80" s="1121">
        <f t="shared" si="308"/>
        <v>0</v>
      </c>
      <c r="AA80" s="3070"/>
      <c r="AB80" s="3071"/>
      <c r="AC80" s="3071"/>
      <c r="AD80" s="3071"/>
      <c r="AE80" s="3071"/>
      <c r="AF80" s="3072"/>
      <c r="AG80" s="1251">
        <f t="shared" si="319"/>
        <v>0</v>
      </c>
      <c r="AH80" s="826">
        <f t="shared" si="320"/>
        <v>0</v>
      </c>
      <c r="AI80" s="3070">
        <v>2.680983556119501</v>
      </c>
      <c r="AJ80" s="3071">
        <v>2.9088671583896586</v>
      </c>
      <c r="AK80" s="3071">
        <v>2.9088671583896586</v>
      </c>
      <c r="AL80" s="3071">
        <v>2.9088671583896586</v>
      </c>
      <c r="AM80" s="3071">
        <v>2.9088671583896586</v>
      </c>
      <c r="AN80" s="3100">
        <v>2.9088671583896586</v>
      </c>
      <c r="AO80" s="1251">
        <f t="shared" si="333"/>
        <v>0.22788360227015758</v>
      </c>
      <c r="AP80" s="826">
        <f t="shared" si="334"/>
        <v>8.4999999999999992E-2</v>
      </c>
      <c r="AQ80" s="3070">
        <v>0</v>
      </c>
      <c r="AR80" s="3071">
        <v>0</v>
      </c>
      <c r="AS80" s="3071">
        <v>0</v>
      </c>
      <c r="AT80" s="3071">
        <v>0</v>
      </c>
      <c r="AU80" s="3071">
        <v>0</v>
      </c>
      <c r="AV80" s="3100">
        <v>0</v>
      </c>
      <c r="AW80" s="1112">
        <f t="shared" si="389"/>
        <v>3.3999799999999998</v>
      </c>
      <c r="AX80" s="3090">
        <f t="shared" si="390"/>
        <v>3.6889782999999996</v>
      </c>
      <c r="AY80" s="3090">
        <f t="shared" si="391"/>
        <v>3.6889782999999996</v>
      </c>
      <c r="AZ80" s="3090">
        <f t="shared" si="392"/>
        <v>3.6889782999999996</v>
      </c>
      <c r="BA80" s="3090">
        <f t="shared" si="393"/>
        <v>3.6889782999999996</v>
      </c>
      <c r="BB80" s="3091">
        <f t="shared" si="394"/>
        <v>3.6889782999999996</v>
      </c>
      <c r="BC80" s="3111">
        <f t="shared" si="395"/>
        <v>3.3999799999999998</v>
      </c>
      <c r="BD80" s="3112">
        <f t="shared" si="396"/>
        <v>3.6889782999999996</v>
      </c>
      <c r="BE80" s="3113">
        <f t="shared" si="397"/>
        <v>3.6889782999999996</v>
      </c>
      <c r="BF80" s="3113">
        <f t="shared" si="398"/>
        <v>3.6889782999999996</v>
      </c>
      <c r="BG80" s="3113">
        <f t="shared" si="399"/>
        <v>3.6889782999999996</v>
      </c>
      <c r="BH80" s="3115">
        <f t="shared" si="400"/>
        <v>3.6889782999999996</v>
      </c>
      <c r="BI80" s="4488"/>
      <c r="BJ80" s="4504">
        <f t="shared" si="336"/>
        <v>0.3676170443650516</v>
      </c>
      <c r="BK80" s="4504">
        <f t="shared" si="337"/>
        <v>0.39886449313608097</v>
      </c>
      <c r="BL80" s="4504">
        <f t="shared" si="338"/>
        <v>0.39886449313608097</v>
      </c>
      <c r="BM80" s="4504">
        <f t="shared" si="339"/>
        <v>0.39886449313608097</v>
      </c>
      <c r="BN80" s="4504">
        <f t="shared" si="340"/>
        <v>0.39886449313608097</v>
      </c>
      <c r="BO80" s="4504">
        <f t="shared" si="341"/>
        <v>0.39886449313608097</v>
      </c>
      <c r="BP80" s="4504">
        <f t="shared" si="342"/>
        <v>3.1247448771029359E-2</v>
      </c>
      <c r="BQ80" s="4504">
        <f t="shared" si="343"/>
        <v>0</v>
      </c>
      <c r="BR80" s="4504">
        <f t="shared" si="344"/>
        <v>0</v>
      </c>
      <c r="BS80" s="4504">
        <f t="shared" si="345"/>
        <v>0</v>
      </c>
      <c r="BT80" s="4504">
        <f t="shared" si="346"/>
        <v>0</v>
      </c>
      <c r="BU80" s="4504">
        <f t="shared" si="347"/>
        <v>0</v>
      </c>
      <c r="BV80" s="4504">
        <f t="shared" si="348"/>
        <v>0</v>
      </c>
      <c r="BW80" s="4504">
        <f t="shared" si="349"/>
        <v>0</v>
      </c>
      <c r="BX80" s="4504">
        <f t="shared" si="350"/>
        <v>0</v>
      </c>
      <c r="BY80" s="4504">
        <f t="shared" si="351"/>
        <v>0</v>
      </c>
      <c r="BZ80" s="4504">
        <f t="shared" si="352"/>
        <v>0</v>
      </c>
      <c r="CA80" s="4504">
        <f t="shared" si="353"/>
        <v>0</v>
      </c>
      <c r="CB80" s="4504">
        <f t="shared" si="354"/>
        <v>0</v>
      </c>
      <c r="CC80" s="4504">
        <f t="shared" si="355"/>
        <v>0</v>
      </c>
      <c r="CD80" s="4504">
        <f t="shared" si="356"/>
        <v>0</v>
      </c>
      <c r="CE80" s="4504">
        <f t="shared" si="357"/>
        <v>0</v>
      </c>
      <c r="CF80" s="4504">
        <f t="shared" si="358"/>
        <v>0</v>
      </c>
      <c r="CG80" s="4504">
        <f t="shared" si="359"/>
        <v>0</v>
      </c>
      <c r="CH80" s="4504">
        <f t="shared" si="360"/>
        <v>0</v>
      </c>
      <c r="CI80" s="4504">
        <f t="shared" si="361"/>
        <v>0</v>
      </c>
      <c r="CJ80" s="4504">
        <f t="shared" si="362"/>
        <v>0</v>
      </c>
      <c r="CK80" s="4504">
        <f t="shared" si="363"/>
        <v>0</v>
      </c>
      <c r="CL80" s="4504">
        <f t="shared" si="364"/>
        <v>1.3707651258644673</v>
      </c>
      <c r="CM80" s="4504">
        <f t="shared" si="365"/>
        <v>1.487280161562947</v>
      </c>
      <c r="CN80" s="4504">
        <f t="shared" si="366"/>
        <v>1.487280161562947</v>
      </c>
      <c r="CO80" s="4504">
        <f t="shared" si="367"/>
        <v>1.487280161562947</v>
      </c>
      <c r="CP80" s="4504">
        <f t="shared" si="368"/>
        <v>1.487280161562947</v>
      </c>
      <c r="CQ80" s="4504">
        <f t="shared" si="369"/>
        <v>1.487280161562947</v>
      </c>
      <c r="CR80" s="4504">
        <f t="shared" si="370"/>
        <v>0.11651503569847972</v>
      </c>
      <c r="CS80" s="4504">
        <f t="shared" si="371"/>
        <v>0</v>
      </c>
      <c r="CT80" s="4504">
        <f t="shared" si="372"/>
        <v>0</v>
      </c>
      <c r="CU80" s="4504">
        <f t="shared" si="373"/>
        <v>0</v>
      </c>
      <c r="CV80" s="4504">
        <f t="shared" si="374"/>
        <v>0</v>
      </c>
      <c r="CW80" s="4504">
        <f t="shared" si="375"/>
        <v>0</v>
      </c>
      <c r="CX80" s="4504">
        <f t="shared" si="376"/>
        <v>0</v>
      </c>
      <c r="CY80" s="4504">
        <f t="shared" si="377"/>
        <v>1.7383821702295188</v>
      </c>
      <c r="CZ80" s="4504">
        <f t="shared" si="378"/>
        <v>1.8861446546990279</v>
      </c>
      <c r="DA80" s="4504">
        <f t="shared" si="379"/>
        <v>1.8861446546990279</v>
      </c>
      <c r="DB80" s="4504">
        <f t="shared" si="380"/>
        <v>1.8861446546990279</v>
      </c>
      <c r="DC80" s="4504">
        <f t="shared" si="381"/>
        <v>1.8861446546990279</v>
      </c>
      <c r="DD80" s="4504">
        <f t="shared" si="382"/>
        <v>1.8861446546990279</v>
      </c>
      <c r="DE80" s="4504">
        <f t="shared" si="383"/>
        <v>1.7383821702295188</v>
      </c>
      <c r="DF80" s="4504">
        <f t="shared" si="384"/>
        <v>1.8861446546990279</v>
      </c>
      <c r="DG80" s="4504">
        <f t="shared" si="385"/>
        <v>1.8861446546990279</v>
      </c>
      <c r="DH80" s="4504">
        <f t="shared" si="386"/>
        <v>1.8861446546990279</v>
      </c>
      <c r="DI80" s="4504">
        <f t="shared" si="387"/>
        <v>1.8861446546990279</v>
      </c>
      <c r="DJ80" s="4504">
        <f t="shared" si="388"/>
        <v>1.8861446546990279</v>
      </c>
    </row>
    <row r="81" spans="1:114" ht="13.2">
      <c r="A81" s="108" t="s">
        <v>458</v>
      </c>
      <c r="B81" s="136" t="s">
        <v>275</v>
      </c>
      <c r="C81" s="3070">
        <v>16.929087701009724</v>
      </c>
      <c r="D81" s="3071">
        <v>18.36806015559555</v>
      </c>
      <c r="E81" s="3071">
        <v>18.36806015559555</v>
      </c>
      <c r="F81" s="3071">
        <v>18.36806015559555</v>
      </c>
      <c r="G81" s="3071">
        <v>18.36806015559555</v>
      </c>
      <c r="H81" s="3072">
        <v>18.36806015559555</v>
      </c>
      <c r="I81" s="1251">
        <f t="shared" si="317"/>
        <v>1.4389724545858265</v>
      </c>
      <c r="J81" s="826">
        <f t="shared" si="318"/>
        <v>8.4999999999999992E-2</v>
      </c>
      <c r="K81" s="3070">
        <v>0.33116160658721905</v>
      </c>
      <c r="L81" s="3071">
        <v>0.35931034314713267</v>
      </c>
      <c r="M81" s="3071">
        <v>0.35931034314713267</v>
      </c>
      <c r="N81" s="3071">
        <v>0.35931034314713267</v>
      </c>
      <c r="O81" s="3071">
        <v>0.35931034314713267</v>
      </c>
      <c r="P81" s="3072">
        <v>0.35931034314713267</v>
      </c>
      <c r="Q81" s="1251">
        <f t="shared" si="305"/>
        <v>2.8148736559913623E-2</v>
      </c>
      <c r="R81" s="1121">
        <f t="shared" si="306"/>
        <v>8.5000000000000006E-2</v>
      </c>
      <c r="S81" s="3070">
        <v>3.9160206028739886</v>
      </c>
      <c r="T81" s="3071">
        <v>3.9160206028739886</v>
      </c>
      <c r="U81" s="3071">
        <v>3.9160206028739886</v>
      </c>
      <c r="V81" s="3071">
        <v>3.9160206028739886</v>
      </c>
      <c r="W81" s="3071">
        <v>3.9160206028739886</v>
      </c>
      <c r="X81" s="3072">
        <v>3.9160206028739886</v>
      </c>
      <c r="Y81" s="1251">
        <f t="shared" si="307"/>
        <v>0</v>
      </c>
      <c r="Z81" s="1121">
        <f t="shared" si="308"/>
        <v>0</v>
      </c>
      <c r="AA81" s="3070"/>
      <c r="AB81" s="3071"/>
      <c r="AC81" s="3071"/>
      <c r="AD81" s="3071"/>
      <c r="AE81" s="3071"/>
      <c r="AF81" s="3072"/>
      <c r="AG81" s="1251">
        <f t="shared" si="319"/>
        <v>0</v>
      </c>
      <c r="AH81" s="826">
        <f t="shared" si="320"/>
        <v>0</v>
      </c>
      <c r="AI81" s="3070">
        <v>2.3288709175429205</v>
      </c>
      <c r="AJ81" s="3071">
        <v>2.5268249455340688</v>
      </c>
      <c r="AK81" s="3071">
        <v>2.5268249455340688</v>
      </c>
      <c r="AL81" s="3071">
        <v>2.5268249455340688</v>
      </c>
      <c r="AM81" s="3071">
        <v>2.5268249455340688</v>
      </c>
      <c r="AN81" s="3100">
        <v>2.5268249455340688</v>
      </c>
      <c r="AO81" s="1251">
        <f t="shared" si="333"/>
        <v>0.19795402799114825</v>
      </c>
      <c r="AP81" s="826">
        <f t="shared" si="334"/>
        <v>8.5000000000000006E-2</v>
      </c>
      <c r="AQ81" s="3070">
        <v>1.6063491719861471</v>
      </c>
      <c r="AR81" s="3071">
        <v>1.7428888516049696</v>
      </c>
      <c r="AS81" s="3071">
        <v>1.7428888516049696</v>
      </c>
      <c r="AT81" s="3071">
        <v>1.7428888516049696</v>
      </c>
      <c r="AU81" s="3071">
        <v>1.7428888516049696</v>
      </c>
      <c r="AV81" s="3100">
        <v>1.7428888516049696</v>
      </c>
      <c r="AW81" s="1112">
        <f t="shared" si="389"/>
        <v>23.505140828013854</v>
      </c>
      <c r="AX81" s="3090">
        <f t="shared" si="390"/>
        <v>25.170216047150742</v>
      </c>
      <c r="AY81" s="3090">
        <f t="shared" si="391"/>
        <v>25.170216047150742</v>
      </c>
      <c r="AZ81" s="3090">
        <f t="shared" si="392"/>
        <v>25.170216047150742</v>
      </c>
      <c r="BA81" s="3090">
        <f t="shared" si="393"/>
        <v>25.170216047150742</v>
      </c>
      <c r="BB81" s="3091">
        <f t="shared" si="394"/>
        <v>25.170216047150742</v>
      </c>
      <c r="BC81" s="3111">
        <f t="shared" si="395"/>
        <v>19.257958618552646</v>
      </c>
      <c r="BD81" s="3112">
        <f t="shared" si="396"/>
        <v>20.894885101129621</v>
      </c>
      <c r="BE81" s="3113">
        <f t="shared" si="397"/>
        <v>20.894885101129621</v>
      </c>
      <c r="BF81" s="3113">
        <f t="shared" si="398"/>
        <v>20.894885101129621</v>
      </c>
      <c r="BG81" s="3113">
        <f t="shared" si="399"/>
        <v>20.894885101129621</v>
      </c>
      <c r="BH81" s="3115">
        <f t="shared" si="400"/>
        <v>20.894885101129621</v>
      </c>
      <c r="BI81" s="4488"/>
      <c r="BJ81" s="4504">
        <f t="shared" si="336"/>
        <v>8.6557050975850274</v>
      </c>
      <c r="BK81" s="4504">
        <f t="shared" si="337"/>
        <v>9.391440030879755</v>
      </c>
      <c r="BL81" s="4504">
        <f t="shared" si="338"/>
        <v>9.391440030879755</v>
      </c>
      <c r="BM81" s="4504">
        <f t="shared" si="339"/>
        <v>9.391440030879755</v>
      </c>
      <c r="BN81" s="4504">
        <f t="shared" si="340"/>
        <v>9.391440030879755</v>
      </c>
      <c r="BO81" s="4504">
        <f t="shared" si="341"/>
        <v>9.391440030879755</v>
      </c>
      <c r="BP81" s="4504">
        <f t="shared" si="342"/>
        <v>0.73573493329472728</v>
      </c>
      <c r="BQ81" s="4504">
        <f t="shared" si="343"/>
        <v>0.16932024081194125</v>
      </c>
      <c r="BR81" s="4504">
        <f t="shared" si="344"/>
        <v>0.18371246128095625</v>
      </c>
      <c r="BS81" s="4504">
        <f t="shared" si="345"/>
        <v>0.18371246128095625</v>
      </c>
      <c r="BT81" s="4504">
        <f t="shared" si="346"/>
        <v>0.18371246128095625</v>
      </c>
      <c r="BU81" s="4504">
        <f t="shared" si="347"/>
        <v>0.18371246128095625</v>
      </c>
      <c r="BV81" s="4504">
        <f t="shared" si="348"/>
        <v>0.18371246128095625</v>
      </c>
      <c r="BW81" s="4504">
        <f t="shared" si="349"/>
        <v>1.4392220469015008E-2</v>
      </c>
      <c r="BX81" s="4504">
        <f t="shared" si="350"/>
        <v>2.0022295408465913</v>
      </c>
      <c r="BY81" s="4504">
        <f t="shared" si="351"/>
        <v>2.0022295408465913</v>
      </c>
      <c r="BZ81" s="4504">
        <f t="shared" si="352"/>
        <v>2.0022295408465913</v>
      </c>
      <c r="CA81" s="4504">
        <f t="shared" si="353"/>
        <v>2.0022295408465913</v>
      </c>
      <c r="CB81" s="4504">
        <f t="shared" si="354"/>
        <v>2.0022295408465913</v>
      </c>
      <c r="CC81" s="4504">
        <f t="shared" si="355"/>
        <v>2.0022295408465913</v>
      </c>
      <c r="CD81" s="4504">
        <f t="shared" si="356"/>
        <v>0</v>
      </c>
      <c r="CE81" s="4504">
        <f t="shared" si="357"/>
        <v>0</v>
      </c>
      <c r="CF81" s="4504">
        <f t="shared" si="358"/>
        <v>0</v>
      </c>
      <c r="CG81" s="4504">
        <f t="shared" si="359"/>
        <v>0</v>
      </c>
      <c r="CH81" s="4504">
        <f t="shared" si="360"/>
        <v>0</v>
      </c>
      <c r="CI81" s="4504">
        <f t="shared" si="361"/>
        <v>0</v>
      </c>
      <c r="CJ81" s="4504">
        <f t="shared" si="362"/>
        <v>0</v>
      </c>
      <c r="CK81" s="4504">
        <f t="shared" si="363"/>
        <v>0</v>
      </c>
      <c r="CL81" s="4504">
        <f t="shared" si="364"/>
        <v>1.1907327924936832</v>
      </c>
      <c r="CM81" s="4504">
        <f t="shared" si="365"/>
        <v>1.2919450798556464</v>
      </c>
      <c r="CN81" s="4504">
        <f t="shared" si="366"/>
        <v>1.2919450798556464</v>
      </c>
      <c r="CO81" s="4504">
        <f t="shared" si="367"/>
        <v>1.2919450798556464</v>
      </c>
      <c r="CP81" s="4504">
        <f t="shared" si="368"/>
        <v>1.2919450798556464</v>
      </c>
      <c r="CQ81" s="4504">
        <f t="shared" si="369"/>
        <v>1.2919450798556464</v>
      </c>
      <c r="CR81" s="4504">
        <f t="shared" si="370"/>
        <v>0.10121228736196308</v>
      </c>
      <c r="CS81" s="4504">
        <f t="shared" si="371"/>
        <v>0.82131329000278508</v>
      </c>
      <c r="CT81" s="4504">
        <f t="shared" si="372"/>
        <v>0.89112491965302187</v>
      </c>
      <c r="CU81" s="4504">
        <f t="shared" si="373"/>
        <v>0.89112491965302187</v>
      </c>
      <c r="CV81" s="4504">
        <f t="shared" si="374"/>
        <v>0.89112491965302187</v>
      </c>
      <c r="CW81" s="4504">
        <f t="shared" si="375"/>
        <v>0.89112491965302187</v>
      </c>
      <c r="CX81" s="4504">
        <f t="shared" si="376"/>
        <v>0.89112491965302187</v>
      </c>
      <c r="CY81" s="4504">
        <f t="shared" si="377"/>
        <v>12.017987671737243</v>
      </c>
      <c r="CZ81" s="4504">
        <f t="shared" si="378"/>
        <v>12.869327112862949</v>
      </c>
      <c r="DA81" s="4504">
        <f t="shared" si="379"/>
        <v>12.869327112862949</v>
      </c>
      <c r="DB81" s="4504">
        <f t="shared" si="380"/>
        <v>12.869327112862949</v>
      </c>
      <c r="DC81" s="4504">
        <f t="shared" si="381"/>
        <v>12.869327112862949</v>
      </c>
      <c r="DD81" s="4504">
        <f t="shared" si="382"/>
        <v>12.869327112862949</v>
      </c>
      <c r="DE81" s="4504">
        <f t="shared" si="383"/>
        <v>9.8464378900787111</v>
      </c>
      <c r="DF81" s="4504">
        <f t="shared" si="384"/>
        <v>10.683385110735403</v>
      </c>
      <c r="DG81" s="4504">
        <f t="shared" si="385"/>
        <v>10.683385110735403</v>
      </c>
      <c r="DH81" s="4504">
        <f t="shared" si="386"/>
        <v>10.683385110735403</v>
      </c>
      <c r="DI81" s="4504">
        <f t="shared" si="387"/>
        <v>10.683385110735403</v>
      </c>
      <c r="DJ81" s="4504">
        <f t="shared" si="388"/>
        <v>10.683385110735403</v>
      </c>
    </row>
    <row r="82" spans="1:114" ht="13.2">
      <c r="A82" s="108" t="s">
        <v>459</v>
      </c>
      <c r="B82" s="254" t="s">
        <v>261</v>
      </c>
      <c r="C82" s="3070">
        <v>0.29744638876629725</v>
      </c>
      <c r="D82" s="3071">
        <v>0.29744638876629725</v>
      </c>
      <c r="E82" s="3071">
        <v>0.29744638876629725</v>
      </c>
      <c r="F82" s="3071">
        <v>0.29744638876629725</v>
      </c>
      <c r="G82" s="3071">
        <v>0.29744638876629725</v>
      </c>
      <c r="H82" s="3072">
        <v>0.29744638876629725</v>
      </c>
      <c r="I82" s="1251">
        <f t="shared" si="317"/>
        <v>0</v>
      </c>
      <c r="J82" s="826">
        <f t="shared" si="318"/>
        <v>0</v>
      </c>
      <c r="K82" s="3070">
        <v>3.2867743868319819E-3</v>
      </c>
      <c r="L82" s="3071">
        <v>3.2867743868319819E-3</v>
      </c>
      <c r="M82" s="3071">
        <v>3.2867743868319819E-3</v>
      </c>
      <c r="N82" s="3071">
        <v>3.2867743868319819E-3</v>
      </c>
      <c r="O82" s="3071">
        <v>3.2867743868319819E-3</v>
      </c>
      <c r="P82" s="3072">
        <v>3.2867743868319819E-3</v>
      </c>
      <c r="Q82" s="1251">
        <f t="shared" si="305"/>
        <v>0</v>
      </c>
      <c r="R82" s="1121">
        <f t="shared" si="306"/>
        <v>0</v>
      </c>
      <c r="S82" s="3070">
        <v>2.8329975973546449E-2</v>
      </c>
      <c r="T82" s="3071">
        <v>2.8329975973546449E-2</v>
      </c>
      <c r="U82" s="3071">
        <v>2.8329975973546449E-2</v>
      </c>
      <c r="V82" s="3071">
        <v>2.8329975973546449E-2</v>
      </c>
      <c r="W82" s="3071">
        <v>2.8329975973546449E-2</v>
      </c>
      <c r="X82" s="3072">
        <v>2.8329975973546449E-2</v>
      </c>
      <c r="Y82" s="1251">
        <f t="shared" si="307"/>
        <v>0</v>
      </c>
      <c r="Z82" s="1121">
        <f t="shared" si="308"/>
        <v>0</v>
      </c>
      <c r="AA82" s="3070"/>
      <c r="AB82" s="3071"/>
      <c r="AC82" s="3071"/>
      <c r="AD82" s="3071"/>
      <c r="AE82" s="3071"/>
      <c r="AF82" s="3072"/>
      <c r="AG82" s="1251">
        <f t="shared" si="319"/>
        <v>0</v>
      </c>
      <c r="AH82" s="826">
        <f t="shared" si="320"/>
        <v>0</v>
      </c>
      <c r="AI82" s="3070">
        <v>9.3354153434586154E-2</v>
      </c>
      <c r="AJ82" s="3071">
        <v>9.3354153434586154E-2</v>
      </c>
      <c r="AK82" s="3071">
        <v>9.3354153434586154E-2</v>
      </c>
      <c r="AL82" s="3071">
        <v>9.3354153434586154E-2</v>
      </c>
      <c r="AM82" s="3071">
        <v>9.3354153434586154E-2</v>
      </c>
      <c r="AN82" s="3100">
        <v>9.3354153434586154E-2</v>
      </c>
      <c r="AO82" s="1251">
        <f t="shared" si="333"/>
        <v>0</v>
      </c>
      <c r="AP82" s="826">
        <f t="shared" si="334"/>
        <v>0</v>
      </c>
      <c r="AQ82" s="3070">
        <v>5.8270743873814414E-4</v>
      </c>
      <c r="AR82" s="3071">
        <v>5.8270743873814414E-4</v>
      </c>
      <c r="AS82" s="3071">
        <v>5.8270743873814414E-4</v>
      </c>
      <c r="AT82" s="3071">
        <v>5.8270743873814414E-4</v>
      </c>
      <c r="AU82" s="3071">
        <v>5.8270743873814414E-4</v>
      </c>
      <c r="AV82" s="3100">
        <v>5.8270743873814414E-4</v>
      </c>
      <c r="AW82" s="1112">
        <f t="shared" si="389"/>
        <v>0.42241729256126187</v>
      </c>
      <c r="AX82" s="3090">
        <f t="shared" si="390"/>
        <v>0.42241729256126187</v>
      </c>
      <c r="AY82" s="3090">
        <f t="shared" si="391"/>
        <v>0.42241729256126187</v>
      </c>
      <c r="AZ82" s="3090">
        <f t="shared" si="392"/>
        <v>0.42241729256126187</v>
      </c>
      <c r="BA82" s="3090">
        <f t="shared" si="393"/>
        <v>0.42241729256126187</v>
      </c>
      <c r="BB82" s="3091">
        <f t="shared" si="394"/>
        <v>0.42241729256126187</v>
      </c>
      <c r="BC82" s="3111">
        <f t="shared" si="395"/>
        <v>0.39080054220088339</v>
      </c>
      <c r="BD82" s="3112">
        <f t="shared" si="396"/>
        <v>0.39080054220088339</v>
      </c>
      <c r="BE82" s="3113">
        <f t="shared" si="397"/>
        <v>0.39080054220088339</v>
      </c>
      <c r="BF82" s="3113">
        <f t="shared" si="398"/>
        <v>0.39080054220088339</v>
      </c>
      <c r="BG82" s="3113">
        <f t="shared" si="399"/>
        <v>0.39080054220088339</v>
      </c>
      <c r="BH82" s="3115">
        <f t="shared" si="400"/>
        <v>0.39080054220088339</v>
      </c>
      <c r="BI82" s="4488"/>
      <c r="BJ82" s="4504">
        <f t="shared" si="336"/>
        <v>0.15208192366734188</v>
      </c>
      <c r="BK82" s="4504">
        <f t="shared" si="337"/>
        <v>0.15208192366734188</v>
      </c>
      <c r="BL82" s="4504">
        <f t="shared" si="338"/>
        <v>0.15208192366734188</v>
      </c>
      <c r="BM82" s="4504">
        <f t="shared" si="339"/>
        <v>0.15208192366734188</v>
      </c>
      <c r="BN82" s="4504">
        <f t="shared" si="340"/>
        <v>0.15208192366734188</v>
      </c>
      <c r="BO82" s="4504">
        <f t="shared" si="341"/>
        <v>0.15208192366734188</v>
      </c>
      <c r="BP82" s="4504">
        <f t="shared" si="342"/>
        <v>0</v>
      </c>
      <c r="BQ82" s="4504">
        <f t="shared" si="343"/>
        <v>1.6805010593108716E-3</v>
      </c>
      <c r="BR82" s="4504">
        <f t="shared" si="344"/>
        <v>1.6805010593108716E-3</v>
      </c>
      <c r="BS82" s="4504">
        <f t="shared" si="345"/>
        <v>1.6805010593108716E-3</v>
      </c>
      <c r="BT82" s="4504">
        <f t="shared" si="346"/>
        <v>1.6805010593108716E-3</v>
      </c>
      <c r="BU82" s="4504">
        <f t="shared" si="347"/>
        <v>1.6805010593108716E-3</v>
      </c>
      <c r="BV82" s="4504">
        <f t="shared" si="348"/>
        <v>1.6805010593108716E-3</v>
      </c>
      <c r="BW82" s="4504">
        <f t="shared" si="349"/>
        <v>0</v>
      </c>
      <c r="BX82" s="4504">
        <f t="shared" si="350"/>
        <v>1.4484886709758235E-2</v>
      </c>
      <c r="BY82" s="4504">
        <f t="shared" si="351"/>
        <v>1.4484886709758235E-2</v>
      </c>
      <c r="BZ82" s="4504">
        <f t="shared" si="352"/>
        <v>1.4484886709758235E-2</v>
      </c>
      <c r="CA82" s="4504">
        <f t="shared" si="353"/>
        <v>1.4484886709758235E-2</v>
      </c>
      <c r="CB82" s="4504">
        <f t="shared" si="354"/>
        <v>1.4484886709758235E-2</v>
      </c>
      <c r="CC82" s="4504">
        <f t="shared" si="355"/>
        <v>1.4484886709758235E-2</v>
      </c>
      <c r="CD82" s="4504">
        <f t="shared" si="356"/>
        <v>0</v>
      </c>
      <c r="CE82" s="4504">
        <f t="shared" si="357"/>
        <v>0</v>
      </c>
      <c r="CF82" s="4504">
        <f t="shared" si="358"/>
        <v>0</v>
      </c>
      <c r="CG82" s="4504">
        <f t="shared" si="359"/>
        <v>0</v>
      </c>
      <c r="CH82" s="4504">
        <f t="shared" si="360"/>
        <v>0</v>
      </c>
      <c r="CI82" s="4504">
        <f t="shared" si="361"/>
        <v>0</v>
      </c>
      <c r="CJ82" s="4504">
        <f t="shared" si="362"/>
        <v>0</v>
      </c>
      <c r="CK82" s="4504">
        <f t="shared" si="363"/>
        <v>0</v>
      </c>
      <c r="CL82" s="4504">
        <f t="shared" si="364"/>
        <v>4.7731220727049974E-2</v>
      </c>
      <c r="CM82" s="4504">
        <f t="shared" si="365"/>
        <v>4.7731220727049974E-2</v>
      </c>
      <c r="CN82" s="4504">
        <f t="shared" si="366"/>
        <v>4.7731220727049974E-2</v>
      </c>
      <c r="CO82" s="4504">
        <f t="shared" si="367"/>
        <v>4.7731220727049974E-2</v>
      </c>
      <c r="CP82" s="4504">
        <f t="shared" si="368"/>
        <v>4.7731220727049974E-2</v>
      </c>
      <c r="CQ82" s="4504">
        <f t="shared" si="369"/>
        <v>4.7731220727049974E-2</v>
      </c>
      <c r="CR82" s="4504">
        <f t="shared" si="370"/>
        <v>0</v>
      </c>
      <c r="CS82" s="4504">
        <f t="shared" si="371"/>
        <v>2.9793358253945597E-4</v>
      </c>
      <c r="CT82" s="4504">
        <f t="shared" si="372"/>
        <v>2.9793358253945597E-4</v>
      </c>
      <c r="CU82" s="4504">
        <f t="shared" si="373"/>
        <v>2.9793358253945597E-4</v>
      </c>
      <c r="CV82" s="4504">
        <f t="shared" si="374"/>
        <v>2.9793358253945597E-4</v>
      </c>
      <c r="CW82" s="4504">
        <f t="shared" si="375"/>
        <v>2.9793358253945597E-4</v>
      </c>
      <c r="CX82" s="4504">
        <f t="shared" si="376"/>
        <v>2.9793358253945597E-4</v>
      </c>
      <c r="CY82" s="4504">
        <f t="shared" si="377"/>
        <v>0.21597853216346097</v>
      </c>
      <c r="CZ82" s="4504">
        <f t="shared" si="378"/>
        <v>0.21597853216346097</v>
      </c>
      <c r="DA82" s="4504">
        <f t="shared" si="379"/>
        <v>0.21597853216346097</v>
      </c>
      <c r="DB82" s="4504">
        <f t="shared" si="380"/>
        <v>0.21597853216346097</v>
      </c>
      <c r="DC82" s="4504">
        <f t="shared" si="381"/>
        <v>0.21597853216346097</v>
      </c>
      <c r="DD82" s="4504">
        <f t="shared" si="382"/>
        <v>0.21597853216346097</v>
      </c>
      <c r="DE82" s="4504">
        <f t="shared" si="383"/>
        <v>0.19981314439439185</v>
      </c>
      <c r="DF82" s="4504">
        <f t="shared" si="384"/>
        <v>0.19981314439439185</v>
      </c>
      <c r="DG82" s="4504">
        <f t="shared" si="385"/>
        <v>0.19981314439439185</v>
      </c>
      <c r="DH82" s="4504">
        <f t="shared" si="386"/>
        <v>0.19981314439439185</v>
      </c>
      <c r="DI82" s="4504">
        <f t="shared" si="387"/>
        <v>0.19981314439439185</v>
      </c>
      <c r="DJ82" s="4504">
        <f t="shared" si="388"/>
        <v>0.19981314439439185</v>
      </c>
    </row>
    <row r="83" spans="1:114" ht="13.2">
      <c r="A83" s="108" t="s">
        <v>460</v>
      </c>
      <c r="B83" s="136" t="s">
        <v>238</v>
      </c>
      <c r="C83" s="1185">
        <f>SUM(C84:C87)</f>
        <v>1.6208012973054673</v>
      </c>
      <c r="D83" s="1134">
        <f t="shared" ref="D83:BB83" si="401">SUM(D84:D87)</f>
        <v>1.6208012973054673</v>
      </c>
      <c r="E83" s="1135">
        <f t="shared" si="401"/>
        <v>1.6208012973054673</v>
      </c>
      <c r="F83" s="1135">
        <f t="shared" si="401"/>
        <v>1.6208012973054673</v>
      </c>
      <c r="G83" s="1135">
        <f t="shared" si="401"/>
        <v>1.6208012973054673</v>
      </c>
      <c r="H83" s="1149">
        <f t="shared" si="401"/>
        <v>1.6208012973054673</v>
      </c>
      <c r="I83" s="1250">
        <f t="shared" si="317"/>
        <v>0</v>
      </c>
      <c r="J83" s="711">
        <f t="shared" si="318"/>
        <v>0</v>
      </c>
      <c r="K83" s="1185">
        <f t="shared" si="401"/>
        <v>4.4198660127588253E-2</v>
      </c>
      <c r="L83" s="1134">
        <f t="shared" si="401"/>
        <v>4.4198660127588253E-2</v>
      </c>
      <c r="M83" s="1135">
        <f t="shared" si="401"/>
        <v>4.4198660127588253E-2</v>
      </c>
      <c r="N83" s="1135">
        <f t="shared" si="401"/>
        <v>4.4198660127588253E-2</v>
      </c>
      <c r="O83" s="1135">
        <f t="shared" si="401"/>
        <v>4.4198660127588253E-2</v>
      </c>
      <c r="P83" s="1149">
        <f t="shared" si="401"/>
        <v>4.4198660127588253E-2</v>
      </c>
      <c r="Q83" s="1255">
        <f t="shared" si="305"/>
        <v>0</v>
      </c>
      <c r="R83" s="878">
        <f t="shared" si="306"/>
        <v>0</v>
      </c>
      <c r="S83" s="1185">
        <f t="shared" si="401"/>
        <v>0.38096529670368573</v>
      </c>
      <c r="T83" s="1134">
        <f t="shared" si="401"/>
        <v>0.38096529670368573</v>
      </c>
      <c r="U83" s="1135">
        <f t="shared" si="401"/>
        <v>0.38096529670368573</v>
      </c>
      <c r="V83" s="1135">
        <f t="shared" si="401"/>
        <v>0.38096529670368573</v>
      </c>
      <c r="W83" s="1135">
        <f t="shared" si="401"/>
        <v>0.38096529670368573</v>
      </c>
      <c r="X83" s="1149">
        <f t="shared" si="401"/>
        <v>0.38096529670368573</v>
      </c>
      <c r="Y83" s="1255">
        <f t="shared" si="307"/>
        <v>0</v>
      </c>
      <c r="Z83" s="878">
        <f t="shared" si="308"/>
        <v>0</v>
      </c>
      <c r="AA83" s="1185">
        <f>SUM(AA84:AA87)</f>
        <v>0</v>
      </c>
      <c r="AB83" s="1134">
        <f t="shared" ref="AB83:AN83" si="402">SUM(AB84:AB87)</f>
        <v>0</v>
      </c>
      <c r="AC83" s="1135">
        <f t="shared" si="402"/>
        <v>0</v>
      </c>
      <c r="AD83" s="1135">
        <f t="shared" si="402"/>
        <v>0</v>
      </c>
      <c r="AE83" s="1135">
        <f t="shared" si="402"/>
        <v>0</v>
      </c>
      <c r="AF83" s="1149">
        <f t="shared" si="402"/>
        <v>0</v>
      </c>
      <c r="AG83" s="1250">
        <f t="shared" si="319"/>
        <v>0</v>
      </c>
      <c r="AH83" s="711">
        <f t="shared" si="320"/>
        <v>0</v>
      </c>
      <c r="AI83" s="1185">
        <f t="shared" si="402"/>
        <v>0.40707805410241443</v>
      </c>
      <c r="AJ83" s="1134">
        <f t="shared" si="402"/>
        <v>0.40707805410241443</v>
      </c>
      <c r="AK83" s="1135">
        <f t="shared" si="402"/>
        <v>0.40707805410241443</v>
      </c>
      <c r="AL83" s="1135">
        <f t="shared" si="402"/>
        <v>0.40707805410241443</v>
      </c>
      <c r="AM83" s="1135">
        <f t="shared" si="402"/>
        <v>0.40707805410241443</v>
      </c>
      <c r="AN83" s="3101">
        <f t="shared" si="402"/>
        <v>0.40707805410241443</v>
      </c>
      <c r="AO83" s="1250">
        <f t="shared" si="333"/>
        <v>0</v>
      </c>
      <c r="AP83" s="711">
        <f t="shared" si="334"/>
        <v>0</v>
      </c>
      <c r="AQ83" s="1185">
        <f t="shared" si="401"/>
        <v>1.3956691760844677E-2</v>
      </c>
      <c r="AR83" s="1134">
        <f t="shared" si="401"/>
        <v>1.3956691760844677E-2</v>
      </c>
      <c r="AS83" s="1135">
        <f t="shared" si="401"/>
        <v>1.3956691760844677E-2</v>
      </c>
      <c r="AT83" s="1135">
        <f t="shared" si="401"/>
        <v>1.3956691760844677E-2</v>
      </c>
      <c r="AU83" s="1135">
        <f t="shared" si="401"/>
        <v>1.3956691760844677E-2</v>
      </c>
      <c r="AV83" s="3101">
        <f t="shared" si="401"/>
        <v>1.3956691760844677E-2</v>
      </c>
      <c r="AW83" s="1185">
        <f t="shared" si="401"/>
        <v>2.4530433082391556</v>
      </c>
      <c r="AX83" s="1134">
        <f t="shared" si="401"/>
        <v>2.4530433082391556</v>
      </c>
      <c r="AY83" s="1135">
        <f t="shared" si="401"/>
        <v>2.4530433082391556</v>
      </c>
      <c r="AZ83" s="1135">
        <f t="shared" si="401"/>
        <v>2.4530433082391556</v>
      </c>
      <c r="BA83" s="1135">
        <f t="shared" si="401"/>
        <v>2.4530433082391556</v>
      </c>
      <c r="BB83" s="3101">
        <f t="shared" si="401"/>
        <v>2.4530433082391556</v>
      </c>
      <c r="BC83" s="1185">
        <f t="shared" ref="BC83:BH83" si="403">SUM(BC84:BC87)</f>
        <v>2.0278793514078819</v>
      </c>
      <c r="BD83" s="1134">
        <f t="shared" si="403"/>
        <v>2.0278793514078819</v>
      </c>
      <c r="BE83" s="1135">
        <f t="shared" si="403"/>
        <v>2.0278793514078819</v>
      </c>
      <c r="BF83" s="1135">
        <f t="shared" si="403"/>
        <v>2.0278793514078819</v>
      </c>
      <c r="BG83" s="1135">
        <f t="shared" si="403"/>
        <v>2.0278793514078819</v>
      </c>
      <c r="BH83" s="3101">
        <f t="shared" si="403"/>
        <v>2.0278793514078819</v>
      </c>
      <c r="BI83" s="4488"/>
      <c r="BJ83" s="4504">
        <f t="shared" si="336"/>
        <v>0.82870254434458379</v>
      </c>
      <c r="BK83" s="4504">
        <f t="shared" si="337"/>
        <v>0.82870254434458379</v>
      </c>
      <c r="BL83" s="4504">
        <f t="shared" si="338"/>
        <v>0.82870254434458379</v>
      </c>
      <c r="BM83" s="4504">
        <f t="shared" si="339"/>
        <v>0.82870254434458379</v>
      </c>
      <c r="BN83" s="4504">
        <f t="shared" si="340"/>
        <v>0.82870254434458379</v>
      </c>
      <c r="BO83" s="4504">
        <f t="shared" si="341"/>
        <v>0.82870254434458379</v>
      </c>
      <c r="BP83" s="4504">
        <f t="shared" si="342"/>
        <v>0</v>
      </c>
      <c r="BQ83" s="4504">
        <f t="shared" si="343"/>
        <v>2.2598416082986891E-2</v>
      </c>
      <c r="BR83" s="4504">
        <f t="shared" si="344"/>
        <v>2.2598416082986891E-2</v>
      </c>
      <c r="BS83" s="4504">
        <f t="shared" si="345"/>
        <v>2.2598416082986891E-2</v>
      </c>
      <c r="BT83" s="4504">
        <f t="shared" si="346"/>
        <v>2.2598416082986891E-2</v>
      </c>
      <c r="BU83" s="4504">
        <f t="shared" si="347"/>
        <v>2.2598416082986891E-2</v>
      </c>
      <c r="BV83" s="4504">
        <f t="shared" si="348"/>
        <v>2.2598416082986891E-2</v>
      </c>
      <c r="BW83" s="4504">
        <f t="shared" si="349"/>
        <v>0</v>
      </c>
      <c r="BX83" s="4504">
        <f t="shared" si="350"/>
        <v>0.19478446322210302</v>
      </c>
      <c r="BY83" s="4504">
        <f t="shared" si="351"/>
        <v>0.19478446322210302</v>
      </c>
      <c r="BZ83" s="4504">
        <f t="shared" si="352"/>
        <v>0.19478446322210302</v>
      </c>
      <c r="CA83" s="4504">
        <f t="shared" si="353"/>
        <v>0.19478446322210302</v>
      </c>
      <c r="CB83" s="4504">
        <f t="shared" si="354"/>
        <v>0.19478446322210302</v>
      </c>
      <c r="CC83" s="4504">
        <f t="shared" si="355"/>
        <v>0.19478446322210302</v>
      </c>
      <c r="CD83" s="4504">
        <f t="shared" si="356"/>
        <v>0</v>
      </c>
      <c r="CE83" s="4504">
        <f t="shared" si="357"/>
        <v>0</v>
      </c>
      <c r="CF83" s="4504">
        <f t="shared" si="358"/>
        <v>0</v>
      </c>
      <c r="CG83" s="4504">
        <f t="shared" si="359"/>
        <v>0</v>
      </c>
      <c r="CH83" s="4504">
        <f t="shared" si="360"/>
        <v>0</v>
      </c>
      <c r="CI83" s="4504">
        <f t="shared" si="361"/>
        <v>0</v>
      </c>
      <c r="CJ83" s="4504">
        <f t="shared" si="362"/>
        <v>0</v>
      </c>
      <c r="CK83" s="4504">
        <f t="shared" si="363"/>
        <v>0</v>
      </c>
      <c r="CL83" s="4504">
        <f t="shared" si="364"/>
        <v>0.20813570407571949</v>
      </c>
      <c r="CM83" s="4504">
        <f t="shared" si="365"/>
        <v>0.20813570407571949</v>
      </c>
      <c r="CN83" s="4504">
        <f t="shared" si="366"/>
        <v>0.20813570407571949</v>
      </c>
      <c r="CO83" s="4504">
        <f t="shared" si="367"/>
        <v>0.20813570407571949</v>
      </c>
      <c r="CP83" s="4504">
        <f t="shared" si="368"/>
        <v>0.20813570407571949</v>
      </c>
      <c r="CQ83" s="4504">
        <f t="shared" si="369"/>
        <v>0.20813570407571949</v>
      </c>
      <c r="CR83" s="4504">
        <f t="shared" si="370"/>
        <v>0</v>
      </c>
      <c r="CS83" s="4504">
        <f t="shared" si="371"/>
        <v>7.1359431856780385E-3</v>
      </c>
      <c r="CT83" s="4504">
        <f t="shared" si="372"/>
        <v>7.1359431856780385E-3</v>
      </c>
      <c r="CU83" s="4504">
        <f t="shared" si="373"/>
        <v>7.1359431856780385E-3</v>
      </c>
      <c r="CV83" s="4504">
        <f t="shared" si="374"/>
        <v>7.1359431856780385E-3</v>
      </c>
      <c r="CW83" s="4504">
        <f t="shared" si="375"/>
        <v>7.1359431856780385E-3</v>
      </c>
      <c r="CX83" s="4504">
        <f t="shared" si="376"/>
        <v>7.1359431856780385E-3</v>
      </c>
      <c r="CY83" s="4504">
        <f t="shared" si="377"/>
        <v>1.2542211277253932</v>
      </c>
      <c r="CZ83" s="4504">
        <f t="shared" si="378"/>
        <v>1.2542211277253932</v>
      </c>
      <c r="DA83" s="4504">
        <f t="shared" si="379"/>
        <v>1.2542211277253932</v>
      </c>
      <c r="DB83" s="4504">
        <f t="shared" si="380"/>
        <v>1.2542211277253932</v>
      </c>
      <c r="DC83" s="4504">
        <f t="shared" si="381"/>
        <v>1.2542211277253932</v>
      </c>
      <c r="DD83" s="4504">
        <f t="shared" si="382"/>
        <v>1.2542211277253932</v>
      </c>
      <c r="DE83" s="4504">
        <f t="shared" si="383"/>
        <v>1.0368382484203034</v>
      </c>
      <c r="DF83" s="4504">
        <f t="shared" si="384"/>
        <v>1.0368382484203034</v>
      </c>
      <c r="DG83" s="4504">
        <f t="shared" si="385"/>
        <v>1.0368382484203034</v>
      </c>
      <c r="DH83" s="4504">
        <f t="shared" si="386"/>
        <v>1.0368382484203034</v>
      </c>
      <c r="DI83" s="4504">
        <f t="shared" si="387"/>
        <v>1.0368382484203034</v>
      </c>
      <c r="DJ83" s="4504">
        <f t="shared" si="388"/>
        <v>1.0368382484203034</v>
      </c>
    </row>
    <row r="84" spans="1:114" s="683" customFormat="1" ht="13.2">
      <c r="A84" s="839" t="s">
        <v>633</v>
      </c>
      <c r="B84" s="4622" t="s">
        <v>238</v>
      </c>
      <c r="C84" s="3070">
        <v>1.6208012973054673</v>
      </c>
      <c r="D84" s="3071">
        <v>1.6208012973054673</v>
      </c>
      <c r="E84" s="3071">
        <v>1.6208012973054673</v>
      </c>
      <c r="F84" s="3071">
        <v>1.6208012973054673</v>
      </c>
      <c r="G84" s="3071">
        <v>1.6208012973054673</v>
      </c>
      <c r="H84" s="3072">
        <v>1.6208012973054673</v>
      </c>
      <c r="I84" s="1251">
        <f t="shared" si="317"/>
        <v>0</v>
      </c>
      <c r="J84" s="826">
        <f t="shared" si="318"/>
        <v>0</v>
      </c>
      <c r="K84" s="3070">
        <v>4.4198660127588253E-2</v>
      </c>
      <c r="L84" s="3071">
        <v>4.4198660127588253E-2</v>
      </c>
      <c r="M84" s="3071">
        <v>4.4198660127588253E-2</v>
      </c>
      <c r="N84" s="3071">
        <v>4.4198660127588253E-2</v>
      </c>
      <c r="O84" s="3071">
        <v>4.4198660127588253E-2</v>
      </c>
      <c r="P84" s="3072">
        <v>4.4198660127588253E-2</v>
      </c>
      <c r="Q84" s="1251">
        <f t="shared" si="305"/>
        <v>0</v>
      </c>
      <c r="R84" s="1121">
        <f t="shared" si="306"/>
        <v>0</v>
      </c>
      <c r="S84" s="3070">
        <v>0.38096529670368573</v>
      </c>
      <c r="T84" s="3071">
        <v>0.38096529670368573</v>
      </c>
      <c r="U84" s="3071">
        <v>0.38096529670368573</v>
      </c>
      <c r="V84" s="3071">
        <v>0.38096529670368573</v>
      </c>
      <c r="W84" s="3071">
        <v>0.38096529670368573</v>
      </c>
      <c r="X84" s="3072">
        <v>0.38096529670368573</v>
      </c>
      <c r="Y84" s="1251">
        <f t="shared" si="307"/>
        <v>0</v>
      </c>
      <c r="Z84" s="1121">
        <f t="shared" si="308"/>
        <v>0</v>
      </c>
      <c r="AA84" s="3070"/>
      <c r="AB84" s="3071"/>
      <c r="AC84" s="3071"/>
      <c r="AD84" s="3071"/>
      <c r="AE84" s="3071"/>
      <c r="AF84" s="3072"/>
      <c r="AG84" s="1251">
        <f t="shared" si="319"/>
        <v>0</v>
      </c>
      <c r="AH84" s="826">
        <f t="shared" si="320"/>
        <v>0</v>
      </c>
      <c r="AI84" s="3070">
        <v>0.40707805410241443</v>
      </c>
      <c r="AJ84" s="3071">
        <v>0.40707805410241443</v>
      </c>
      <c r="AK84" s="3071">
        <v>0.40707805410241443</v>
      </c>
      <c r="AL84" s="3071">
        <v>0.40707805410241443</v>
      </c>
      <c r="AM84" s="3071">
        <v>0.40707805410241443</v>
      </c>
      <c r="AN84" s="3100">
        <v>0.40707805410241443</v>
      </c>
      <c r="AO84" s="1251">
        <f t="shared" si="333"/>
        <v>0</v>
      </c>
      <c r="AP84" s="826">
        <f t="shared" si="334"/>
        <v>0</v>
      </c>
      <c r="AQ84" s="3070">
        <v>1.3956691760844677E-2</v>
      </c>
      <c r="AR84" s="3071">
        <v>1.3956691760844677E-2</v>
      </c>
      <c r="AS84" s="3071">
        <v>1.3956691760844677E-2</v>
      </c>
      <c r="AT84" s="3071">
        <v>1.3956691760844677E-2</v>
      </c>
      <c r="AU84" s="3071">
        <v>1.3956691760844677E-2</v>
      </c>
      <c r="AV84" s="3100">
        <v>1.3956691760844677E-2</v>
      </c>
      <c r="AW84" s="1112">
        <f t="shared" ref="AW84:AW87" si="404">C84+K84+S84+AA84+AI84</f>
        <v>2.4530433082391556</v>
      </c>
      <c r="AX84" s="3090">
        <f t="shared" ref="AX84:AX87" si="405">D84+L84+T84+AB84+AJ84</f>
        <v>2.4530433082391556</v>
      </c>
      <c r="AY84" s="3090">
        <f t="shared" ref="AY84:AY87" si="406">E84+M84+U84+AC84+AK84</f>
        <v>2.4530433082391556</v>
      </c>
      <c r="AZ84" s="3090">
        <f t="shared" ref="AZ84:AZ87" si="407">F84+N84+V84+AD84+AL84</f>
        <v>2.4530433082391556</v>
      </c>
      <c r="BA84" s="3090">
        <f t="shared" ref="BA84:BA87" si="408">G84+O84+W84+AE84+AM84</f>
        <v>2.4530433082391556</v>
      </c>
      <c r="BB84" s="3091">
        <f t="shared" ref="BB84:BB87" si="409">H84+P84+X84+AF84+AN84</f>
        <v>2.4530433082391556</v>
      </c>
      <c r="BC84" s="3111">
        <f t="shared" ref="BC84:BC87" si="410">C84+AA84+AI84</f>
        <v>2.0278793514078819</v>
      </c>
      <c r="BD84" s="3112">
        <f t="shared" ref="BD84:BD87" si="411">D84+AB84+AJ84</f>
        <v>2.0278793514078819</v>
      </c>
      <c r="BE84" s="3113">
        <f t="shared" ref="BE84:BE87" si="412">E84+AC84+AK84</f>
        <v>2.0278793514078819</v>
      </c>
      <c r="BF84" s="3113">
        <f t="shared" ref="BF84:BF87" si="413">F84+AD84+AL84</f>
        <v>2.0278793514078819</v>
      </c>
      <c r="BG84" s="3113">
        <f t="shared" ref="BG84:BG87" si="414">G84+AE84+AM84</f>
        <v>2.0278793514078819</v>
      </c>
      <c r="BH84" s="3115">
        <f t="shared" ref="BH84:BH87" si="415">H84+AF84+AN84</f>
        <v>2.0278793514078819</v>
      </c>
      <c r="BI84" s="4488"/>
      <c r="BJ84" s="4504">
        <f t="shared" si="336"/>
        <v>0.82870254434458379</v>
      </c>
      <c r="BK84" s="4504">
        <f t="shared" si="337"/>
        <v>0.82870254434458379</v>
      </c>
      <c r="BL84" s="4504">
        <f t="shared" si="338"/>
        <v>0.82870254434458379</v>
      </c>
      <c r="BM84" s="4504">
        <f t="shared" si="339"/>
        <v>0.82870254434458379</v>
      </c>
      <c r="BN84" s="4504">
        <f t="shared" si="340"/>
        <v>0.82870254434458379</v>
      </c>
      <c r="BO84" s="4504">
        <f t="shared" si="341"/>
        <v>0.82870254434458379</v>
      </c>
      <c r="BP84" s="4504">
        <f t="shared" si="342"/>
        <v>0</v>
      </c>
      <c r="BQ84" s="4504">
        <f t="shared" si="343"/>
        <v>2.2598416082986891E-2</v>
      </c>
      <c r="BR84" s="4504">
        <f t="shared" si="344"/>
        <v>2.2598416082986891E-2</v>
      </c>
      <c r="BS84" s="4504">
        <f t="shared" si="345"/>
        <v>2.2598416082986891E-2</v>
      </c>
      <c r="BT84" s="4504">
        <f t="shared" si="346"/>
        <v>2.2598416082986891E-2</v>
      </c>
      <c r="BU84" s="4504">
        <f t="shared" si="347"/>
        <v>2.2598416082986891E-2</v>
      </c>
      <c r="BV84" s="4504">
        <f t="shared" si="348"/>
        <v>2.2598416082986891E-2</v>
      </c>
      <c r="BW84" s="4504">
        <f t="shared" si="349"/>
        <v>0</v>
      </c>
      <c r="BX84" s="4504">
        <f t="shared" si="350"/>
        <v>0.19478446322210302</v>
      </c>
      <c r="BY84" s="4504">
        <f t="shared" si="351"/>
        <v>0.19478446322210302</v>
      </c>
      <c r="BZ84" s="4504">
        <f t="shared" si="352"/>
        <v>0.19478446322210302</v>
      </c>
      <c r="CA84" s="4504">
        <f t="shared" si="353"/>
        <v>0.19478446322210302</v>
      </c>
      <c r="CB84" s="4504">
        <f t="shared" si="354"/>
        <v>0.19478446322210302</v>
      </c>
      <c r="CC84" s="4504">
        <f t="shared" si="355"/>
        <v>0.19478446322210302</v>
      </c>
      <c r="CD84" s="4504">
        <f t="shared" si="356"/>
        <v>0</v>
      </c>
      <c r="CE84" s="4504">
        <f t="shared" si="357"/>
        <v>0</v>
      </c>
      <c r="CF84" s="4504">
        <f t="shared" si="358"/>
        <v>0</v>
      </c>
      <c r="CG84" s="4504">
        <f t="shared" si="359"/>
        <v>0</v>
      </c>
      <c r="CH84" s="4504">
        <f t="shared" si="360"/>
        <v>0</v>
      </c>
      <c r="CI84" s="4504">
        <f t="shared" si="361"/>
        <v>0</v>
      </c>
      <c r="CJ84" s="4504">
        <f t="shared" si="362"/>
        <v>0</v>
      </c>
      <c r="CK84" s="4504">
        <f t="shared" si="363"/>
        <v>0</v>
      </c>
      <c r="CL84" s="4504">
        <f t="shared" si="364"/>
        <v>0.20813570407571949</v>
      </c>
      <c r="CM84" s="4504">
        <f t="shared" si="365"/>
        <v>0.20813570407571949</v>
      </c>
      <c r="CN84" s="4504">
        <f t="shared" si="366"/>
        <v>0.20813570407571949</v>
      </c>
      <c r="CO84" s="4504">
        <f t="shared" si="367"/>
        <v>0.20813570407571949</v>
      </c>
      <c r="CP84" s="4504">
        <f t="shared" si="368"/>
        <v>0.20813570407571949</v>
      </c>
      <c r="CQ84" s="4504">
        <f t="shared" si="369"/>
        <v>0.20813570407571949</v>
      </c>
      <c r="CR84" s="4504">
        <f t="shared" si="370"/>
        <v>0</v>
      </c>
      <c r="CS84" s="4504">
        <f t="shared" si="371"/>
        <v>7.1359431856780385E-3</v>
      </c>
      <c r="CT84" s="4504">
        <f t="shared" si="372"/>
        <v>7.1359431856780385E-3</v>
      </c>
      <c r="CU84" s="4504">
        <f t="shared" si="373"/>
        <v>7.1359431856780385E-3</v>
      </c>
      <c r="CV84" s="4504">
        <f t="shared" si="374"/>
        <v>7.1359431856780385E-3</v>
      </c>
      <c r="CW84" s="4504">
        <f t="shared" si="375"/>
        <v>7.1359431856780385E-3</v>
      </c>
      <c r="CX84" s="4504">
        <f t="shared" si="376"/>
        <v>7.1359431856780385E-3</v>
      </c>
      <c r="CY84" s="4504">
        <f t="shared" si="377"/>
        <v>1.2542211277253932</v>
      </c>
      <c r="CZ84" s="4504">
        <f t="shared" si="378"/>
        <v>1.2542211277253932</v>
      </c>
      <c r="DA84" s="4504">
        <f t="shared" si="379"/>
        <v>1.2542211277253932</v>
      </c>
      <c r="DB84" s="4504">
        <f t="shared" si="380"/>
        <v>1.2542211277253932</v>
      </c>
      <c r="DC84" s="4504">
        <f t="shared" si="381"/>
        <v>1.2542211277253932</v>
      </c>
      <c r="DD84" s="4504">
        <f t="shared" si="382"/>
        <v>1.2542211277253932</v>
      </c>
      <c r="DE84" s="4504">
        <f t="shared" si="383"/>
        <v>1.0368382484203034</v>
      </c>
      <c r="DF84" s="4504">
        <f t="shared" si="384"/>
        <v>1.0368382484203034</v>
      </c>
      <c r="DG84" s="4504">
        <f t="shared" si="385"/>
        <v>1.0368382484203034</v>
      </c>
      <c r="DH84" s="4504">
        <f t="shared" si="386"/>
        <v>1.0368382484203034</v>
      </c>
      <c r="DI84" s="4504">
        <f t="shared" si="387"/>
        <v>1.0368382484203034</v>
      </c>
      <c r="DJ84" s="4504">
        <f t="shared" si="388"/>
        <v>1.0368382484203034</v>
      </c>
    </row>
    <row r="85" spans="1:114" s="683" customFormat="1" ht="13.2">
      <c r="A85" s="839" t="s">
        <v>634</v>
      </c>
      <c r="B85" s="414"/>
      <c r="C85" s="3070">
        <v>0</v>
      </c>
      <c r="D85" s="3071">
        <v>0</v>
      </c>
      <c r="E85" s="3071">
        <v>0</v>
      </c>
      <c r="F85" s="3071">
        <v>0</v>
      </c>
      <c r="G85" s="3071">
        <v>0</v>
      </c>
      <c r="H85" s="3072">
        <v>0</v>
      </c>
      <c r="I85" s="1251">
        <f t="shared" si="317"/>
        <v>0</v>
      </c>
      <c r="J85" s="826">
        <f t="shared" si="318"/>
        <v>0</v>
      </c>
      <c r="K85" s="3070">
        <v>0</v>
      </c>
      <c r="L85" s="3071">
        <v>0</v>
      </c>
      <c r="M85" s="3071">
        <v>0</v>
      </c>
      <c r="N85" s="3071">
        <v>0</v>
      </c>
      <c r="O85" s="3071">
        <v>0</v>
      </c>
      <c r="P85" s="3072">
        <v>0</v>
      </c>
      <c r="Q85" s="1251">
        <f t="shared" si="305"/>
        <v>0</v>
      </c>
      <c r="R85" s="1121">
        <f t="shared" si="306"/>
        <v>0</v>
      </c>
      <c r="S85" s="3070">
        <v>0</v>
      </c>
      <c r="T85" s="3071">
        <v>0</v>
      </c>
      <c r="U85" s="3071">
        <v>0</v>
      </c>
      <c r="V85" s="3071">
        <v>0</v>
      </c>
      <c r="W85" s="3071">
        <v>0</v>
      </c>
      <c r="X85" s="3072">
        <v>0</v>
      </c>
      <c r="Y85" s="1251">
        <f t="shared" si="307"/>
        <v>0</v>
      </c>
      <c r="Z85" s="1121">
        <f t="shared" si="308"/>
        <v>0</v>
      </c>
      <c r="AA85" s="3070"/>
      <c r="AB85" s="3071"/>
      <c r="AC85" s="3071"/>
      <c r="AD85" s="3071"/>
      <c r="AE85" s="3071"/>
      <c r="AF85" s="3072"/>
      <c r="AG85" s="1251">
        <f t="shared" si="319"/>
        <v>0</v>
      </c>
      <c r="AH85" s="826">
        <f t="shared" si="320"/>
        <v>0</v>
      </c>
      <c r="AI85" s="3070">
        <v>0</v>
      </c>
      <c r="AJ85" s="3071">
        <v>0</v>
      </c>
      <c r="AK85" s="3071">
        <v>0</v>
      </c>
      <c r="AL85" s="3071">
        <v>0</v>
      </c>
      <c r="AM85" s="3071">
        <v>0</v>
      </c>
      <c r="AN85" s="3100">
        <v>0</v>
      </c>
      <c r="AO85" s="1251">
        <f t="shared" si="333"/>
        <v>0</v>
      </c>
      <c r="AP85" s="826">
        <f t="shared" si="334"/>
        <v>0</v>
      </c>
      <c r="AQ85" s="3070"/>
      <c r="AR85" s="3071"/>
      <c r="AS85" s="3071"/>
      <c r="AT85" s="3071"/>
      <c r="AU85" s="3071"/>
      <c r="AV85" s="3100"/>
      <c r="AW85" s="1112">
        <f t="shared" si="404"/>
        <v>0</v>
      </c>
      <c r="AX85" s="3090">
        <f t="shared" si="405"/>
        <v>0</v>
      </c>
      <c r="AY85" s="3090">
        <f t="shared" si="406"/>
        <v>0</v>
      </c>
      <c r="AZ85" s="3090">
        <f t="shared" si="407"/>
        <v>0</v>
      </c>
      <c r="BA85" s="3090">
        <f t="shared" si="408"/>
        <v>0</v>
      </c>
      <c r="BB85" s="3091">
        <f t="shared" si="409"/>
        <v>0</v>
      </c>
      <c r="BC85" s="3111">
        <f t="shared" si="410"/>
        <v>0</v>
      </c>
      <c r="BD85" s="3112">
        <f t="shared" si="411"/>
        <v>0</v>
      </c>
      <c r="BE85" s="3113">
        <f t="shared" si="412"/>
        <v>0</v>
      </c>
      <c r="BF85" s="3113">
        <f t="shared" si="413"/>
        <v>0</v>
      </c>
      <c r="BG85" s="3113">
        <f t="shared" si="414"/>
        <v>0</v>
      </c>
      <c r="BH85" s="3115">
        <f t="shared" si="415"/>
        <v>0</v>
      </c>
      <c r="BI85" s="4488"/>
      <c r="BJ85" s="4504">
        <f t="shared" si="336"/>
        <v>0</v>
      </c>
      <c r="BK85" s="4504">
        <f t="shared" si="337"/>
        <v>0</v>
      </c>
      <c r="BL85" s="4504">
        <f t="shared" si="338"/>
        <v>0</v>
      </c>
      <c r="BM85" s="4504">
        <f t="shared" si="339"/>
        <v>0</v>
      </c>
      <c r="BN85" s="4504">
        <f t="shared" si="340"/>
        <v>0</v>
      </c>
      <c r="BO85" s="4504">
        <f t="shared" si="341"/>
        <v>0</v>
      </c>
      <c r="BP85" s="4504">
        <f t="shared" si="342"/>
        <v>0</v>
      </c>
      <c r="BQ85" s="4504">
        <f t="shared" si="343"/>
        <v>0</v>
      </c>
      <c r="BR85" s="4504">
        <f t="shared" si="344"/>
        <v>0</v>
      </c>
      <c r="BS85" s="4504">
        <f t="shared" si="345"/>
        <v>0</v>
      </c>
      <c r="BT85" s="4504">
        <f t="shared" si="346"/>
        <v>0</v>
      </c>
      <c r="BU85" s="4504">
        <f t="shared" si="347"/>
        <v>0</v>
      </c>
      <c r="BV85" s="4504">
        <f t="shared" si="348"/>
        <v>0</v>
      </c>
      <c r="BW85" s="4504">
        <f t="shared" si="349"/>
        <v>0</v>
      </c>
      <c r="BX85" s="4504">
        <f t="shared" si="350"/>
        <v>0</v>
      </c>
      <c r="BY85" s="4504">
        <f t="shared" si="351"/>
        <v>0</v>
      </c>
      <c r="BZ85" s="4504">
        <f t="shared" si="352"/>
        <v>0</v>
      </c>
      <c r="CA85" s="4504">
        <f t="shared" si="353"/>
        <v>0</v>
      </c>
      <c r="CB85" s="4504">
        <f t="shared" si="354"/>
        <v>0</v>
      </c>
      <c r="CC85" s="4504">
        <f t="shared" si="355"/>
        <v>0</v>
      </c>
      <c r="CD85" s="4504">
        <f t="shared" si="356"/>
        <v>0</v>
      </c>
      <c r="CE85" s="4504">
        <f t="shared" si="357"/>
        <v>0</v>
      </c>
      <c r="CF85" s="4504">
        <f t="shared" si="358"/>
        <v>0</v>
      </c>
      <c r="CG85" s="4504">
        <f t="shared" si="359"/>
        <v>0</v>
      </c>
      <c r="CH85" s="4504">
        <f t="shared" si="360"/>
        <v>0</v>
      </c>
      <c r="CI85" s="4504">
        <f t="shared" si="361"/>
        <v>0</v>
      </c>
      <c r="CJ85" s="4504">
        <f t="shared" si="362"/>
        <v>0</v>
      </c>
      <c r="CK85" s="4504">
        <f t="shared" si="363"/>
        <v>0</v>
      </c>
      <c r="CL85" s="4504">
        <f t="shared" si="364"/>
        <v>0</v>
      </c>
      <c r="CM85" s="4504">
        <f t="shared" si="365"/>
        <v>0</v>
      </c>
      <c r="CN85" s="4504">
        <f t="shared" si="366"/>
        <v>0</v>
      </c>
      <c r="CO85" s="4504">
        <f t="shared" si="367"/>
        <v>0</v>
      </c>
      <c r="CP85" s="4504">
        <f t="shared" si="368"/>
        <v>0</v>
      </c>
      <c r="CQ85" s="4504">
        <f t="shared" si="369"/>
        <v>0</v>
      </c>
      <c r="CR85" s="4504">
        <f t="shared" si="370"/>
        <v>0</v>
      </c>
      <c r="CS85" s="4504">
        <f t="shared" si="371"/>
        <v>0</v>
      </c>
      <c r="CT85" s="4504">
        <f t="shared" si="372"/>
        <v>0</v>
      </c>
      <c r="CU85" s="4504">
        <f t="shared" si="373"/>
        <v>0</v>
      </c>
      <c r="CV85" s="4504">
        <f t="shared" si="374"/>
        <v>0</v>
      </c>
      <c r="CW85" s="4504">
        <f t="shared" si="375"/>
        <v>0</v>
      </c>
      <c r="CX85" s="4504">
        <f t="shared" si="376"/>
        <v>0</v>
      </c>
      <c r="CY85" s="4504">
        <f t="shared" si="377"/>
        <v>0</v>
      </c>
      <c r="CZ85" s="4504">
        <f t="shared" si="378"/>
        <v>0</v>
      </c>
      <c r="DA85" s="4504">
        <f t="shared" si="379"/>
        <v>0</v>
      </c>
      <c r="DB85" s="4504">
        <f t="shared" si="380"/>
        <v>0</v>
      </c>
      <c r="DC85" s="4504">
        <f t="shared" si="381"/>
        <v>0</v>
      </c>
      <c r="DD85" s="4504">
        <f t="shared" si="382"/>
        <v>0</v>
      </c>
      <c r="DE85" s="4504">
        <f t="shared" si="383"/>
        <v>0</v>
      </c>
      <c r="DF85" s="4504">
        <f t="shared" si="384"/>
        <v>0</v>
      </c>
      <c r="DG85" s="4504">
        <f t="shared" si="385"/>
        <v>0</v>
      </c>
      <c r="DH85" s="4504">
        <f t="shared" si="386"/>
        <v>0</v>
      </c>
      <c r="DI85" s="4504">
        <f t="shared" si="387"/>
        <v>0</v>
      </c>
      <c r="DJ85" s="4504">
        <f t="shared" si="388"/>
        <v>0</v>
      </c>
    </row>
    <row r="86" spans="1:114" s="683" customFormat="1" ht="13.2">
      <c r="A86" s="839" t="s">
        <v>635</v>
      </c>
      <c r="B86" s="414"/>
      <c r="C86" s="3092"/>
      <c r="D86" s="3071"/>
      <c r="E86" s="3071"/>
      <c r="F86" s="3071"/>
      <c r="G86" s="3071"/>
      <c r="H86" s="3072"/>
      <c r="I86" s="1251">
        <f t="shared" si="317"/>
        <v>0</v>
      </c>
      <c r="J86" s="826">
        <f t="shared" si="318"/>
        <v>0</v>
      </c>
      <c r="K86" s="3070"/>
      <c r="L86" s="3071"/>
      <c r="M86" s="3071"/>
      <c r="N86" s="3071"/>
      <c r="O86" s="3071"/>
      <c r="P86" s="3072"/>
      <c r="Q86" s="1251">
        <f t="shared" si="305"/>
        <v>0</v>
      </c>
      <c r="R86" s="1121">
        <f t="shared" si="306"/>
        <v>0</v>
      </c>
      <c r="S86" s="3070"/>
      <c r="T86" s="3071"/>
      <c r="U86" s="3071"/>
      <c r="V86" s="3071"/>
      <c r="W86" s="3071"/>
      <c r="X86" s="3072"/>
      <c r="Y86" s="1251">
        <f t="shared" si="307"/>
        <v>0</v>
      </c>
      <c r="Z86" s="1121">
        <f t="shared" si="308"/>
        <v>0</v>
      </c>
      <c r="AA86" s="3070"/>
      <c r="AB86" s="3071"/>
      <c r="AC86" s="3071"/>
      <c r="AD86" s="3071"/>
      <c r="AE86" s="3071"/>
      <c r="AF86" s="3072"/>
      <c r="AG86" s="1251">
        <f t="shared" si="319"/>
        <v>0</v>
      </c>
      <c r="AH86" s="826">
        <f t="shared" si="320"/>
        <v>0</v>
      </c>
      <c r="AI86" s="3070"/>
      <c r="AJ86" s="3071"/>
      <c r="AK86" s="3071"/>
      <c r="AL86" s="3071"/>
      <c r="AM86" s="3071"/>
      <c r="AN86" s="3100"/>
      <c r="AO86" s="1251">
        <f t="shared" si="333"/>
        <v>0</v>
      </c>
      <c r="AP86" s="826">
        <f t="shared" si="334"/>
        <v>0</v>
      </c>
      <c r="AQ86" s="3092"/>
      <c r="AR86" s="3071"/>
      <c r="AS86" s="3071"/>
      <c r="AT86" s="3071"/>
      <c r="AU86" s="3071"/>
      <c r="AV86" s="3100"/>
      <c r="AW86" s="1112">
        <f t="shared" si="404"/>
        <v>0</v>
      </c>
      <c r="AX86" s="3090">
        <f t="shared" si="405"/>
        <v>0</v>
      </c>
      <c r="AY86" s="3090">
        <f t="shared" si="406"/>
        <v>0</v>
      </c>
      <c r="AZ86" s="3090">
        <f t="shared" si="407"/>
        <v>0</v>
      </c>
      <c r="BA86" s="3090">
        <f t="shared" si="408"/>
        <v>0</v>
      </c>
      <c r="BB86" s="3091">
        <f t="shared" si="409"/>
        <v>0</v>
      </c>
      <c r="BC86" s="3111">
        <f>C86+AA86+AI86</f>
        <v>0</v>
      </c>
      <c r="BD86" s="3112">
        <f t="shared" si="411"/>
        <v>0</v>
      </c>
      <c r="BE86" s="3113">
        <f t="shared" si="412"/>
        <v>0</v>
      </c>
      <c r="BF86" s="3113">
        <f t="shared" si="413"/>
        <v>0</v>
      </c>
      <c r="BG86" s="3113">
        <f t="shared" si="414"/>
        <v>0</v>
      </c>
      <c r="BH86" s="3115">
        <f t="shared" si="415"/>
        <v>0</v>
      </c>
      <c r="BI86" s="4488"/>
      <c r="BJ86" s="4504">
        <f t="shared" si="336"/>
        <v>0</v>
      </c>
      <c r="BK86" s="4504">
        <f t="shared" si="337"/>
        <v>0</v>
      </c>
      <c r="BL86" s="4504">
        <f t="shared" si="338"/>
        <v>0</v>
      </c>
      <c r="BM86" s="4504">
        <f t="shared" si="339"/>
        <v>0</v>
      </c>
      <c r="BN86" s="4504">
        <f t="shared" si="340"/>
        <v>0</v>
      </c>
      <c r="BO86" s="4504">
        <f t="shared" si="341"/>
        <v>0</v>
      </c>
      <c r="BP86" s="4504">
        <f t="shared" si="342"/>
        <v>0</v>
      </c>
      <c r="BQ86" s="4504">
        <f t="shared" si="343"/>
        <v>0</v>
      </c>
      <c r="BR86" s="4504">
        <f t="shared" si="344"/>
        <v>0</v>
      </c>
      <c r="BS86" s="4504">
        <f t="shared" si="345"/>
        <v>0</v>
      </c>
      <c r="BT86" s="4504">
        <f t="shared" si="346"/>
        <v>0</v>
      </c>
      <c r="BU86" s="4504">
        <f t="shared" si="347"/>
        <v>0</v>
      </c>
      <c r="BV86" s="4504">
        <f t="shared" si="348"/>
        <v>0</v>
      </c>
      <c r="BW86" s="4504">
        <f t="shared" si="349"/>
        <v>0</v>
      </c>
      <c r="BX86" s="4504">
        <f t="shared" si="350"/>
        <v>0</v>
      </c>
      <c r="BY86" s="4504">
        <f t="shared" si="351"/>
        <v>0</v>
      </c>
      <c r="BZ86" s="4504">
        <f t="shared" si="352"/>
        <v>0</v>
      </c>
      <c r="CA86" s="4504">
        <f t="shared" si="353"/>
        <v>0</v>
      </c>
      <c r="CB86" s="4504">
        <f t="shared" si="354"/>
        <v>0</v>
      </c>
      <c r="CC86" s="4504">
        <f t="shared" si="355"/>
        <v>0</v>
      </c>
      <c r="CD86" s="4504">
        <f t="shared" si="356"/>
        <v>0</v>
      </c>
      <c r="CE86" s="4504">
        <f t="shared" si="357"/>
        <v>0</v>
      </c>
      <c r="CF86" s="4504">
        <f t="shared" si="358"/>
        <v>0</v>
      </c>
      <c r="CG86" s="4504">
        <f t="shared" si="359"/>
        <v>0</v>
      </c>
      <c r="CH86" s="4504">
        <f t="shared" si="360"/>
        <v>0</v>
      </c>
      <c r="CI86" s="4504">
        <f t="shared" si="361"/>
        <v>0</v>
      </c>
      <c r="CJ86" s="4504">
        <f t="shared" si="362"/>
        <v>0</v>
      </c>
      <c r="CK86" s="4504">
        <f t="shared" si="363"/>
        <v>0</v>
      </c>
      <c r="CL86" s="4504">
        <f t="shared" si="364"/>
        <v>0</v>
      </c>
      <c r="CM86" s="4504">
        <f t="shared" si="365"/>
        <v>0</v>
      </c>
      <c r="CN86" s="4504">
        <f t="shared" si="366"/>
        <v>0</v>
      </c>
      <c r="CO86" s="4504">
        <f t="shared" si="367"/>
        <v>0</v>
      </c>
      <c r="CP86" s="4504">
        <f t="shared" si="368"/>
        <v>0</v>
      </c>
      <c r="CQ86" s="4504">
        <f t="shared" si="369"/>
        <v>0</v>
      </c>
      <c r="CR86" s="4504">
        <f t="shared" si="370"/>
        <v>0</v>
      </c>
      <c r="CS86" s="4504">
        <f t="shared" si="371"/>
        <v>0</v>
      </c>
      <c r="CT86" s="4504">
        <f t="shared" si="372"/>
        <v>0</v>
      </c>
      <c r="CU86" s="4504">
        <f t="shared" si="373"/>
        <v>0</v>
      </c>
      <c r="CV86" s="4504">
        <f t="shared" si="374"/>
        <v>0</v>
      </c>
      <c r="CW86" s="4504">
        <f t="shared" si="375"/>
        <v>0</v>
      </c>
      <c r="CX86" s="4504">
        <f t="shared" si="376"/>
        <v>0</v>
      </c>
      <c r="CY86" s="4504">
        <f t="shared" si="377"/>
        <v>0</v>
      </c>
      <c r="CZ86" s="4504">
        <f t="shared" si="378"/>
        <v>0</v>
      </c>
      <c r="DA86" s="4504">
        <f t="shared" si="379"/>
        <v>0</v>
      </c>
      <c r="DB86" s="4504">
        <f t="shared" si="380"/>
        <v>0</v>
      </c>
      <c r="DC86" s="4504">
        <f t="shared" si="381"/>
        <v>0</v>
      </c>
      <c r="DD86" s="4504">
        <f t="shared" si="382"/>
        <v>0</v>
      </c>
      <c r="DE86" s="4504">
        <f t="shared" si="383"/>
        <v>0</v>
      </c>
      <c r="DF86" s="4504">
        <f t="shared" si="384"/>
        <v>0</v>
      </c>
      <c r="DG86" s="4504">
        <f t="shared" si="385"/>
        <v>0</v>
      </c>
      <c r="DH86" s="4504">
        <f t="shared" si="386"/>
        <v>0</v>
      </c>
      <c r="DI86" s="4504">
        <f t="shared" si="387"/>
        <v>0</v>
      </c>
      <c r="DJ86" s="4504">
        <f t="shared" si="388"/>
        <v>0</v>
      </c>
    </row>
    <row r="87" spans="1:114" s="683" customFormat="1" thickBot="1">
      <c r="A87" s="841" t="s">
        <v>636</v>
      </c>
      <c r="B87" s="414"/>
      <c r="C87" s="3070"/>
      <c r="D87" s="3071"/>
      <c r="E87" s="3071"/>
      <c r="F87" s="3071"/>
      <c r="G87" s="3071"/>
      <c r="H87" s="3072"/>
      <c r="I87" s="1251">
        <f t="shared" si="317"/>
        <v>0</v>
      </c>
      <c r="J87" s="826">
        <f t="shared" si="318"/>
        <v>0</v>
      </c>
      <c r="K87" s="3070"/>
      <c r="L87" s="3071"/>
      <c r="M87" s="3071"/>
      <c r="N87" s="3071"/>
      <c r="O87" s="3071"/>
      <c r="P87" s="3072"/>
      <c r="Q87" s="1251">
        <f t="shared" si="305"/>
        <v>0</v>
      </c>
      <c r="R87" s="1121">
        <f t="shared" si="306"/>
        <v>0</v>
      </c>
      <c r="S87" s="3070"/>
      <c r="T87" s="3071"/>
      <c r="U87" s="3071"/>
      <c r="V87" s="3071"/>
      <c r="W87" s="3071"/>
      <c r="X87" s="3072"/>
      <c r="Y87" s="1251">
        <f t="shared" si="307"/>
        <v>0</v>
      </c>
      <c r="Z87" s="1121">
        <f t="shared" si="308"/>
        <v>0</v>
      </c>
      <c r="AA87" s="3070"/>
      <c r="AB87" s="3071"/>
      <c r="AC87" s="3071"/>
      <c r="AD87" s="3071"/>
      <c r="AE87" s="3071"/>
      <c r="AF87" s="3072"/>
      <c r="AG87" s="1251">
        <f t="shared" si="319"/>
        <v>0</v>
      </c>
      <c r="AH87" s="826">
        <f t="shared" si="320"/>
        <v>0</v>
      </c>
      <c r="AI87" s="3070"/>
      <c r="AJ87" s="3071"/>
      <c r="AK87" s="3071"/>
      <c r="AL87" s="3071"/>
      <c r="AM87" s="3071"/>
      <c r="AN87" s="3100"/>
      <c r="AO87" s="1251">
        <f t="shared" si="333"/>
        <v>0</v>
      </c>
      <c r="AP87" s="826">
        <f t="shared" si="334"/>
        <v>0</v>
      </c>
      <c r="AQ87" s="3070"/>
      <c r="AR87" s="3071"/>
      <c r="AS87" s="3071"/>
      <c r="AT87" s="3071"/>
      <c r="AU87" s="3071"/>
      <c r="AV87" s="3100"/>
      <c r="AW87" s="1112">
        <f t="shared" si="404"/>
        <v>0</v>
      </c>
      <c r="AX87" s="3090">
        <f t="shared" si="405"/>
        <v>0</v>
      </c>
      <c r="AY87" s="3090">
        <f t="shared" si="406"/>
        <v>0</v>
      </c>
      <c r="AZ87" s="3090">
        <f t="shared" si="407"/>
        <v>0</v>
      </c>
      <c r="BA87" s="3090">
        <f t="shared" si="408"/>
        <v>0</v>
      </c>
      <c r="BB87" s="3091">
        <f t="shared" si="409"/>
        <v>0</v>
      </c>
      <c r="BC87" s="3111">
        <f t="shared" si="410"/>
        <v>0</v>
      </c>
      <c r="BD87" s="3112">
        <f t="shared" si="411"/>
        <v>0</v>
      </c>
      <c r="BE87" s="3113">
        <f t="shared" si="412"/>
        <v>0</v>
      </c>
      <c r="BF87" s="3113">
        <f t="shared" si="413"/>
        <v>0</v>
      </c>
      <c r="BG87" s="3113">
        <f t="shared" si="414"/>
        <v>0</v>
      </c>
      <c r="BH87" s="3115">
        <f t="shared" si="415"/>
        <v>0</v>
      </c>
      <c r="BI87" s="4488"/>
      <c r="BJ87" s="4504">
        <f t="shared" si="336"/>
        <v>0</v>
      </c>
      <c r="BK87" s="4504">
        <f t="shared" si="337"/>
        <v>0</v>
      </c>
      <c r="BL87" s="4504">
        <f t="shared" si="338"/>
        <v>0</v>
      </c>
      <c r="BM87" s="4504">
        <f t="shared" si="339"/>
        <v>0</v>
      </c>
      <c r="BN87" s="4504">
        <f t="shared" si="340"/>
        <v>0</v>
      </c>
      <c r="BO87" s="4504">
        <f t="shared" si="341"/>
        <v>0</v>
      </c>
      <c r="BP87" s="4504">
        <f t="shared" si="342"/>
        <v>0</v>
      </c>
      <c r="BQ87" s="4504">
        <f t="shared" si="343"/>
        <v>0</v>
      </c>
      <c r="BR87" s="4504">
        <f t="shared" si="344"/>
        <v>0</v>
      </c>
      <c r="BS87" s="4504">
        <f t="shared" si="345"/>
        <v>0</v>
      </c>
      <c r="BT87" s="4504">
        <f t="shared" si="346"/>
        <v>0</v>
      </c>
      <c r="BU87" s="4504">
        <f t="shared" si="347"/>
        <v>0</v>
      </c>
      <c r="BV87" s="4504">
        <f t="shared" si="348"/>
        <v>0</v>
      </c>
      <c r="BW87" s="4504">
        <f t="shared" si="349"/>
        <v>0</v>
      </c>
      <c r="BX87" s="4504">
        <f t="shared" si="350"/>
        <v>0</v>
      </c>
      <c r="BY87" s="4504">
        <f t="shared" si="351"/>
        <v>0</v>
      </c>
      <c r="BZ87" s="4504">
        <f t="shared" si="352"/>
        <v>0</v>
      </c>
      <c r="CA87" s="4504">
        <f t="shared" si="353"/>
        <v>0</v>
      </c>
      <c r="CB87" s="4504">
        <f t="shared" si="354"/>
        <v>0</v>
      </c>
      <c r="CC87" s="4504">
        <f t="shared" si="355"/>
        <v>0</v>
      </c>
      <c r="CD87" s="4504">
        <f t="shared" si="356"/>
        <v>0</v>
      </c>
      <c r="CE87" s="4504">
        <f t="shared" si="357"/>
        <v>0</v>
      </c>
      <c r="CF87" s="4504">
        <f t="shared" si="358"/>
        <v>0</v>
      </c>
      <c r="CG87" s="4504">
        <f t="shared" si="359"/>
        <v>0</v>
      </c>
      <c r="CH87" s="4504">
        <f t="shared" si="360"/>
        <v>0</v>
      </c>
      <c r="CI87" s="4504">
        <f t="shared" si="361"/>
        <v>0</v>
      </c>
      <c r="CJ87" s="4504">
        <f t="shared" si="362"/>
        <v>0</v>
      </c>
      <c r="CK87" s="4504">
        <f t="shared" si="363"/>
        <v>0</v>
      </c>
      <c r="CL87" s="4504">
        <f t="shared" si="364"/>
        <v>0</v>
      </c>
      <c r="CM87" s="4504">
        <f t="shared" si="365"/>
        <v>0</v>
      </c>
      <c r="CN87" s="4504">
        <f t="shared" si="366"/>
        <v>0</v>
      </c>
      <c r="CO87" s="4504">
        <f t="shared" si="367"/>
        <v>0</v>
      </c>
      <c r="CP87" s="4504">
        <f t="shared" si="368"/>
        <v>0</v>
      </c>
      <c r="CQ87" s="4504">
        <f t="shared" si="369"/>
        <v>0</v>
      </c>
      <c r="CR87" s="4504">
        <f t="shared" si="370"/>
        <v>0</v>
      </c>
      <c r="CS87" s="4504">
        <f t="shared" si="371"/>
        <v>0</v>
      </c>
      <c r="CT87" s="4504">
        <f t="shared" si="372"/>
        <v>0</v>
      </c>
      <c r="CU87" s="4504">
        <f t="shared" si="373"/>
        <v>0</v>
      </c>
      <c r="CV87" s="4504">
        <f t="shared" si="374"/>
        <v>0</v>
      </c>
      <c r="CW87" s="4504">
        <f t="shared" si="375"/>
        <v>0</v>
      </c>
      <c r="CX87" s="4504">
        <f t="shared" si="376"/>
        <v>0</v>
      </c>
      <c r="CY87" s="4504">
        <f t="shared" si="377"/>
        <v>0</v>
      </c>
      <c r="CZ87" s="4504">
        <f t="shared" si="378"/>
        <v>0</v>
      </c>
      <c r="DA87" s="4504">
        <f t="shared" si="379"/>
        <v>0</v>
      </c>
      <c r="DB87" s="4504">
        <f t="shared" si="380"/>
        <v>0</v>
      </c>
      <c r="DC87" s="4504">
        <f t="shared" si="381"/>
        <v>0</v>
      </c>
      <c r="DD87" s="4504">
        <f t="shared" si="382"/>
        <v>0</v>
      </c>
      <c r="DE87" s="4504">
        <f t="shared" si="383"/>
        <v>0</v>
      </c>
      <c r="DF87" s="4504">
        <f t="shared" si="384"/>
        <v>0</v>
      </c>
      <c r="DG87" s="4504">
        <f t="shared" si="385"/>
        <v>0</v>
      </c>
      <c r="DH87" s="4504">
        <f t="shared" si="386"/>
        <v>0</v>
      </c>
      <c r="DI87" s="4504">
        <f t="shared" si="387"/>
        <v>0</v>
      </c>
      <c r="DJ87" s="4504">
        <f t="shared" si="388"/>
        <v>0</v>
      </c>
    </row>
    <row r="88" spans="1:114" thickBot="1">
      <c r="A88" s="5414" t="s">
        <v>277</v>
      </c>
      <c r="B88" s="5415"/>
      <c r="C88" s="1110">
        <f t="shared" ref="C88:BB88" si="416">C11+C29+C55+C59+C63+C70+C76</f>
        <v>10111.741710707956</v>
      </c>
      <c r="D88" s="905">
        <f t="shared" si="416"/>
        <v>13156.606403515611</v>
      </c>
      <c r="E88" s="1147">
        <f t="shared" si="416"/>
        <v>14216.279881309692</v>
      </c>
      <c r="F88" s="1147">
        <f t="shared" si="416"/>
        <v>15356.712012403028</v>
      </c>
      <c r="G88" s="1150">
        <f t="shared" si="416"/>
        <v>16663.644871407112</v>
      </c>
      <c r="H88" s="1150">
        <f t="shared" si="416"/>
        <v>18090.444511418325</v>
      </c>
      <c r="I88" s="1246">
        <f t="shared" si="317"/>
        <v>3044.8646928076541</v>
      </c>
      <c r="J88" s="820">
        <f t="shared" si="318"/>
        <v>0.30112168406984291</v>
      </c>
      <c r="K88" s="1110">
        <f t="shared" si="416"/>
        <v>296.28268639938057</v>
      </c>
      <c r="L88" s="1148">
        <f t="shared" si="416"/>
        <v>526.97021263788019</v>
      </c>
      <c r="M88" s="1147">
        <f t="shared" si="416"/>
        <v>580.90103584563087</v>
      </c>
      <c r="N88" s="1147">
        <f t="shared" si="416"/>
        <v>639.38016930271624</v>
      </c>
      <c r="O88" s="1147">
        <f t="shared" si="416"/>
        <v>708.47551570131156</v>
      </c>
      <c r="P88" s="1148">
        <f t="shared" si="416"/>
        <v>781.80155724618749</v>
      </c>
      <c r="Q88" s="1246">
        <f t="shared" si="305"/>
        <v>230.68752623849963</v>
      </c>
      <c r="R88" s="875">
        <f t="shared" si="306"/>
        <v>0.77860616508498726</v>
      </c>
      <c r="S88" s="1110">
        <f t="shared" si="416"/>
        <v>2048.1199194792143</v>
      </c>
      <c r="T88" s="905">
        <f t="shared" si="416"/>
        <v>2937.6640781596852</v>
      </c>
      <c r="U88" s="1147">
        <f t="shared" si="416"/>
        <v>3212.0819780416168</v>
      </c>
      <c r="V88" s="1147">
        <f t="shared" si="416"/>
        <v>3513.6683358754253</v>
      </c>
      <c r="W88" s="1147">
        <f t="shared" si="416"/>
        <v>3854.9099102170394</v>
      </c>
      <c r="X88" s="1148">
        <f t="shared" si="416"/>
        <v>4240.6949508577209</v>
      </c>
      <c r="Y88" s="1246">
        <f t="shared" si="307"/>
        <v>889.5441586804709</v>
      </c>
      <c r="Z88" s="875">
        <f t="shared" si="308"/>
        <v>0.43432230223446083</v>
      </c>
      <c r="AA88" s="1110">
        <f t="shared" ref="AA88:AN88" si="417">AA11+AA29+AA55+AA59+AA63+AA70+AA76</f>
        <v>0</v>
      </c>
      <c r="AB88" s="905">
        <f t="shared" si="417"/>
        <v>0</v>
      </c>
      <c r="AC88" s="1147">
        <f t="shared" si="417"/>
        <v>0</v>
      </c>
      <c r="AD88" s="1147">
        <f t="shared" si="417"/>
        <v>0</v>
      </c>
      <c r="AE88" s="1147">
        <f t="shared" si="417"/>
        <v>0</v>
      </c>
      <c r="AF88" s="1148">
        <f t="shared" si="417"/>
        <v>0</v>
      </c>
      <c r="AG88" s="1246">
        <f t="shared" si="319"/>
        <v>0</v>
      </c>
      <c r="AH88" s="820">
        <f t="shared" si="320"/>
        <v>0</v>
      </c>
      <c r="AI88" s="1110">
        <f t="shared" si="417"/>
        <v>1902.8814717557618</v>
      </c>
      <c r="AJ88" s="905">
        <f t="shared" si="417"/>
        <v>2889.0135484228877</v>
      </c>
      <c r="AK88" s="1147">
        <f t="shared" si="417"/>
        <v>2939.5534416523446</v>
      </c>
      <c r="AL88" s="1147">
        <f t="shared" si="417"/>
        <v>3166.2110731195448</v>
      </c>
      <c r="AM88" s="1147">
        <f t="shared" si="417"/>
        <v>3449.7256009106445</v>
      </c>
      <c r="AN88" s="3106">
        <f t="shared" si="417"/>
        <v>3738.4156003027051</v>
      </c>
      <c r="AO88" s="1246">
        <f t="shared" si="333"/>
        <v>986.13207666712583</v>
      </c>
      <c r="AP88" s="820">
        <f t="shared" si="334"/>
        <v>0.51823095200839586</v>
      </c>
      <c r="AQ88" s="1110">
        <f t="shared" si="416"/>
        <v>82.9488715612909</v>
      </c>
      <c r="AR88" s="905">
        <f t="shared" si="416"/>
        <v>56.919147813625038</v>
      </c>
      <c r="AS88" s="1147">
        <f t="shared" si="416"/>
        <v>61.229222330271035</v>
      </c>
      <c r="AT88" s="1147">
        <f t="shared" si="416"/>
        <v>66.024520065405341</v>
      </c>
      <c r="AU88" s="1150">
        <f t="shared" si="416"/>
        <v>71.363017976517639</v>
      </c>
      <c r="AV88" s="2671">
        <f t="shared" si="416"/>
        <v>77.313110714148948</v>
      </c>
      <c r="AW88" s="1110">
        <f t="shared" si="416"/>
        <v>14353.575796298352</v>
      </c>
      <c r="AX88" s="905">
        <f t="shared" si="416"/>
        <v>19500.63765761962</v>
      </c>
      <c r="AY88" s="1147">
        <f t="shared" si="416"/>
        <v>20938.679125514253</v>
      </c>
      <c r="AZ88" s="1147">
        <f t="shared" si="416"/>
        <v>22664.658382323498</v>
      </c>
      <c r="BA88" s="1147">
        <f t="shared" si="416"/>
        <v>24664.794984039578</v>
      </c>
      <c r="BB88" s="3106">
        <f t="shared" si="416"/>
        <v>26839.395872454344</v>
      </c>
      <c r="BC88" s="1110">
        <f t="shared" ref="BC88:BH88" si="418">BC11+BC29+BC55+BC59+BC63+BC70+BC76</f>
        <v>12010.117788574353</v>
      </c>
      <c r="BD88" s="905">
        <f t="shared" si="418"/>
        <v>16037.932199439178</v>
      </c>
      <c r="BE88" s="1147">
        <f t="shared" si="418"/>
        <v>17147.7324893164</v>
      </c>
      <c r="BF88" s="1147">
        <f t="shared" si="418"/>
        <v>18513.885636542356</v>
      </c>
      <c r="BG88" s="1147">
        <f t="shared" si="418"/>
        <v>20103.818614628923</v>
      </c>
      <c r="BH88" s="3106">
        <f t="shared" si="418"/>
        <v>21819.311104745848</v>
      </c>
      <c r="BI88" s="4488"/>
      <c r="BJ88" s="4504">
        <f t="shared" si="336"/>
        <v>5170.0514414381396</v>
      </c>
      <c r="BK88" s="4504">
        <f t="shared" si="337"/>
        <v>6726.8660382117114</v>
      </c>
      <c r="BL88" s="4504">
        <f t="shared" si="338"/>
        <v>7268.6684841267861</v>
      </c>
      <c r="BM88" s="4504">
        <f t="shared" si="339"/>
        <v>7851.7621738101107</v>
      </c>
      <c r="BN88" s="4504">
        <f t="shared" si="340"/>
        <v>8519.9863338874602</v>
      </c>
      <c r="BO88" s="4504">
        <f t="shared" si="341"/>
        <v>9249.4974059188808</v>
      </c>
      <c r="BP88" s="4504">
        <f t="shared" si="342"/>
        <v>1556.8145967735713</v>
      </c>
      <c r="BQ88" s="4504">
        <f t="shared" si="343"/>
        <v>151.48693209500854</v>
      </c>
      <c r="BR88" s="4504">
        <f t="shared" si="344"/>
        <v>269.43559135399306</v>
      </c>
      <c r="BS88" s="4504">
        <f t="shared" si="345"/>
        <v>297.00998340634459</v>
      </c>
      <c r="BT88" s="4504">
        <f t="shared" si="346"/>
        <v>326.90988956234247</v>
      </c>
      <c r="BU88" s="4504">
        <f t="shared" si="347"/>
        <v>362.23777920438465</v>
      </c>
      <c r="BV88" s="4504">
        <f t="shared" si="348"/>
        <v>399.72878892653631</v>
      </c>
      <c r="BW88" s="4504">
        <f t="shared" si="349"/>
        <v>117.94865925898449</v>
      </c>
      <c r="BX88" s="4504">
        <f t="shared" si="350"/>
        <v>1047.187086545975</v>
      </c>
      <c r="BY88" s="4504">
        <f t="shared" si="351"/>
        <v>1502.0037928448205</v>
      </c>
      <c r="BZ88" s="4504">
        <f t="shared" si="352"/>
        <v>1642.3114371093689</v>
      </c>
      <c r="CA88" s="4504">
        <f t="shared" si="353"/>
        <v>1796.5100933493327</v>
      </c>
      <c r="CB88" s="4504">
        <f t="shared" si="354"/>
        <v>1970.9841398368158</v>
      </c>
      <c r="CC88" s="4504">
        <f t="shared" si="355"/>
        <v>2168.2328990033493</v>
      </c>
      <c r="CD88" s="4504">
        <f t="shared" si="356"/>
        <v>454.81670629884547</v>
      </c>
      <c r="CE88" s="4504">
        <f t="shared" si="357"/>
        <v>0</v>
      </c>
      <c r="CF88" s="4504">
        <f t="shared" si="358"/>
        <v>0</v>
      </c>
      <c r="CG88" s="4504">
        <f t="shared" si="359"/>
        <v>0</v>
      </c>
      <c r="CH88" s="4504">
        <f t="shared" si="360"/>
        <v>0</v>
      </c>
      <c r="CI88" s="4504">
        <f t="shared" si="361"/>
        <v>0</v>
      </c>
      <c r="CJ88" s="4504">
        <f t="shared" si="362"/>
        <v>0</v>
      </c>
      <c r="CK88" s="4504">
        <f t="shared" si="363"/>
        <v>0</v>
      </c>
      <c r="CL88" s="4504">
        <f t="shared" si="364"/>
        <v>972.92784738743239</v>
      </c>
      <c r="CM88" s="4504">
        <f t="shared" si="365"/>
        <v>1477.1291719745007</v>
      </c>
      <c r="CN88" s="4504">
        <f t="shared" si="366"/>
        <v>1502.9698090592458</v>
      </c>
      <c r="CO88" s="4504">
        <f t="shared" si="367"/>
        <v>1618.8580158395898</v>
      </c>
      <c r="CP88" s="4504">
        <f t="shared" si="368"/>
        <v>1763.8166921003588</v>
      </c>
      <c r="CQ88" s="4504">
        <f t="shared" si="369"/>
        <v>1911.4215449720605</v>
      </c>
      <c r="CR88" s="4504">
        <f t="shared" si="370"/>
        <v>504.20132458706831</v>
      </c>
      <c r="CS88" s="4504">
        <f t="shared" si="371"/>
        <v>42.411084583675937</v>
      </c>
      <c r="CT88" s="4504">
        <f t="shared" si="372"/>
        <v>29.102298161713971</v>
      </c>
      <c r="CU88" s="4504">
        <f t="shared" si="373"/>
        <v>31.306004269425788</v>
      </c>
      <c r="CV88" s="4504">
        <f t="shared" si="374"/>
        <v>33.757801069318575</v>
      </c>
      <c r="CW88" s="4504">
        <f t="shared" si="375"/>
        <v>36.487331709053265</v>
      </c>
      <c r="CX88" s="4504">
        <f t="shared" si="376"/>
        <v>39.529565818168734</v>
      </c>
      <c r="CY88" s="4504">
        <f t="shared" si="377"/>
        <v>7338.866770781894</v>
      </c>
      <c r="CZ88" s="4504">
        <f t="shared" si="378"/>
        <v>9970.5177124901547</v>
      </c>
      <c r="DA88" s="4504">
        <f t="shared" si="379"/>
        <v>10705.776639848173</v>
      </c>
      <c r="DB88" s="4504">
        <f t="shared" si="380"/>
        <v>11588.255820967823</v>
      </c>
      <c r="DC88" s="4504">
        <f t="shared" si="381"/>
        <v>12610.909426708649</v>
      </c>
      <c r="DD88" s="4504">
        <f t="shared" si="382"/>
        <v>13722.765205797205</v>
      </c>
      <c r="DE88" s="4504">
        <f t="shared" si="383"/>
        <v>6140.6757175083485</v>
      </c>
      <c r="DF88" s="4504">
        <f t="shared" si="384"/>
        <v>8200.0645247486627</v>
      </c>
      <c r="DG88" s="4504">
        <f t="shared" si="385"/>
        <v>8767.4964027120968</v>
      </c>
      <c r="DH88" s="4504">
        <f t="shared" si="386"/>
        <v>9465.9994153593907</v>
      </c>
      <c r="DI88" s="4504">
        <f t="shared" si="387"/>
        <v>10278.919238701177</v>
      </c>
      <c r="DJ88" s="4504">
        <f t="shared" si="388"/>
        <v>11156.036621151045</v>
      </c>
    </row>
    <row r="89" spans="1:114" s="785" customFormat="1" ht="14.4" thickBot="1">
      <c r="A89" s="255"/>
      <c r="B89" s="256" t="s">
        <v>1231</v>
      </c>
      <c r="C89" s="1119">
        <f>C12+C17+C19+C31+(C49+C50)+(C72+C73+C74)</f>
        <v>1987.6414943220148</v>
      </c>
      <c r="D89" s="3093">
        <f t="shared" ref="D89:AV89" si="419">D12+D17+D19+D31+(D49+D50)+(D72+D73+D74)</f>
        <v>2463.1908653298656</v>
      </c>
      <c r="E89" s="1154">
        <f t="shared" si="419"/>
        <v>2427.3509415985777</v>
      </c>
      <c r="F89" s="1154">
        <f t="shared" si="419"/>
        <v>2380.0200218877671</v>
      </c>
      <c r="G89" s="1154">
        <f t="shared" si="419"/>
        <v>2311.2120665092516</v>
      </c>
      <c r="H89" s="3094">
        <f t="shared" si="419"/>
        <v>2218.2220055050884</v>
      </c>
      <c r="I89" s="1256">
        <f t="shared" si="317"/>
        <v>475.54937100785082</v>
      </c>
      <c r="J89" s="827">
        <f t="shared" si="318"/>
        <v>0.2392530908447657</v>
      </c>
      <c r="K89" s="1119">
        <f t="shared" si="419"/>
        <v>2.1007854810116919</v>
      </c>
      <c r="L89" s="3093">
        <f t="shared" si="419"/>
        <v>1.7010960603805048</v>
      </c>
      <c r="M89" s="1154">
        <f t="shared" si="419"/>
        <v>1.6885771933151665</v>
      </c>
      <c r="N89" s="1154">
        <f t="shared" si="419"/>
        <v>1.696858729219243</v>
      </c>
      <c r="O89" s="1154">
        <f t="shared" si="419"/>
        <v>1.7114067890412623</v>
      </c>
      <c r="P89" s="3094">
        <f t="shared" si="419"/>
        <v>1.7289978598149598</v>
      </c>
      <c r="Q89" s="1256">
        <f t="shared" si="305"/>
        <v>-0.39968942063118718</v>
      </c>
      <c r="R89" s="883">
        <f t="shared" si="306"/>
        <v>-0.19025713203173203</v>
      </c>
      <c r="S89" s="1119">
        <f t="shared" si="419"/>
        <v>552.65249416140523</v>
      </c>
      <c r="T89" s="3093">
        <f t="shared" si="419"/>
        <v>655.473997392824</v>
      </c>
      <c r="U89" s="1154">
        <f t="shared" si="419"/>
        <v>652.94198105040437</v>
      </c>
      <c r="V89" s="1154">
        <f t="shared" si="419"/>
        <v>648.81518218974441</v>
      </c>
      <c r="W89" s="1154">
        <f t="shared" si="419"/>
        <v>644.74642945888422</v>
      </c>
      <c r="X89" s="3094">
        <f t="shared" si="419"/>
        <v>642.81514360260178</v>
      </c>
      <c r="Y89" s="1256">
        <f t="shared" si="307"/>
        <v>102.82150323141877</v>
      </c>
      <c r="Z89" s="883">
        <f t="shared" si="308"/>
        <v>0.1860509168377863</v>
      </c>
      <c r="AA89" s="1119">
        <f t="shared" si="419"/>
        <v>0</v>
      </c>
      <c r="AB89" s="3093">
        <f t="shared" si="419"/>
        <v>0</v>
      </c>
      <c r="AC89" s="1154">
        <f t="shared" si="419"/>
        <v>0</v>
      </c>
      <c r="AD89" s="1154">
        <f t="shared" si="419"/>
        <v>0</v>
      </c>
      <c r="AE89" s="1154">
        <f t="shared" si="419"/>
        <v>0</v>
      </c>
      <c r="AF89" s="3094">
        <f t="shared" si="419"/>
        <v>0</v>
      </c>
      <c r="AG89" s="1256">
        <f t="shared" si="319"/>
        <v>0</v>
      </c>
      <c r="AH89" s="827">
        <f t="shared" si="320"/>
        <v>0</v>
      </c>
      <c r="AI89" s="1119">
        <f t="shared" si="419"/>
        <v>664.57386348865384</v>
      </c>
      <c r="AJ89" s="3093">
        <f t="shared" si="419"/>
        <v>812.87291517771541</v>
      </c>
      <c r="AK89" s="1154">
        <f t="shared" si="419"/>
        <v>813.47260011363051</v>
      </c>
      <c r="AL89" s="1154">
        <f t="shared" si="419"/>
        <v>814.05763909540929</v>
      </c>
      <c r="AM89" s="1154">
        <f t="shared" si="419"/>
        <v>814.65395900067983</v>
      </c>
      <c r="AN89" s="3108">
        <f t="shared" si="419"/>
        <v>815.24921150819</v>
      </c>
      <c r="AO89" s="1256">
        <f t="shared" si="333"/>
        <v>148.29905168906157</v>
      </c>
      <c r="AP89" s="827">
        <f t="shared" si="334"/>
        <v>0.22314908821507312</v>
      </c>
      <c r="AQ89" s="1119">
        <f t="shared" si="419"/>
        <v>0.61509005032253827</v>
      </c>
      <c r="AR89" s="3093">
        <f t="shared" si="419"/>
        <v>5.3920350202554239</v>
      </c>
      <c r="AS89" s="1154">
        <f t="shared" si="419"/>
        <v>5.3920350202554239</v>
      </c>
      <c r="AT89" s="1154">
        <f t="shared" si="419"/>
        <v>5.3920350202554239</v>
      </c>
      <c r="AU89" s="1154">
        <f t="shared" si="419"/>
        <v>5.3920350202554239</v>
      </c>
      <c r="AV89" s="3108">
        <f t="shared" si="419"/>
        <v>5.3920350202554239</v>
      </c>
      <c r="AW89" s="1119">
        <f t="shared" ref="AW89:BB89" si="420">AW12+AW17+AW19+AW31+(AW49+AW50)+(AW72+AW73+AW74)</f>
        <v>3206.9686374530852</v>
      </c>
      <c r="AX89" s="3093">
        <f t="shared" si="420"/>
        <v>3933.2388739607859</v>
      </c>
      <c r="AY89" s="1154">
        <f t="shared" si="420"/>
        <v>3895.4540999559285</v>
      </c>
      <c r="AZ89" s="1154">
        <f t="shared" si="420"/>
        <v>3844.58970190214</v>
      </c>
      <c r="BA89" s="1154">
        <f t="shared" si="420"/>
        <v>3772.3238617578572</v>
      </c>
      <c r="BB89" s="3108">
        <f t="shared" si="420"/>
        <v>3678.0153584756954</v>
      </c>
      <c r="BC89" s="1119">
        <f t="shared" ref="BC89:BH89" si="421">BC12+BC17+BC19+BC31+(BC49+BC50)+(BC72+BC73+BC74)</f>
        <v>2652.2153578106686</v>
      </c>
      <c r="BD89" s="3093">
        <f t="shared" si="421"/>
        <v>3276.0637805075812</v>
      </c>
      <c r="BE89" s="1154">
        <f t="shared" si="421"/>
        <v>3240.8235417122091</v>
      </c>
      <c r="BF89" s="1154">
        <f t="shared" si="421"/>
        <v>3194.0776609831764</v>
      </c>
      <c r="BG89" s="1154">
        <f t="shared" si="421"/>
        <v>3125.8660255099312</v>
      </c>
      <c r="BH89" s="3108">
        <f t="shared" si="421"/>
        <v>3033.4712170132784</v>
      </c>
      <c r="BI89" s="4488"/>
      <c r="BJ89" s="4504">
        <f t="shared" si="336"/>
        <v>1016.2649587755658</v>
      </c>
      <c r="BK89" s="4504">
        <f t="shared" si="337"/>
        <v>1259.4094912798482</v>
      </c>
      <c r="BL89" s="4504">
        <f t="shared" si="338"/>
        <v>1241.0848292533492</v>
      </c>
      <c r="BM89" s="4504">
        <f t="shared" si="339"/>
        <v>1216.8849142756617</v>
      </c>
      <c r="BN89" s="4504">
        <f t="shared" si="340"/>
        <v>1181.7039653289148</v>
      </c>
      <c r="BO89" s="4504">
        <f t="shared" si="341"/>
        <v>1134.1589021055452</v>
      </c>
      <c r="BP89" s="4504">
        <f t="shared" si="342"/>
        <v>243.14453250428249</v>
      </c>
      <c r="BQ89" s="4504">
        <f t="shared" si="343"/>
        <v>1.0741145605761708</v>
      </c>
      <c r="BR89" s="4504">
        <f t="shared" si="344"/>
        <v>0.86975660480742434</v>
      </c>
      <c r="BS89" s="4504">
        <f t="shared" si="345"/>
        <v>0.86335580971514225</v>
      </c>
      <c r="BT89" s="4504">
        <f t="shared" si="346"/>
        <v>0.86759009178673152</v>
      </c>
      <c r="BU89" s="4504">
        <f t="shared" si="347"/>
        <v>0.87502839666088683</v>
      </c>
      <c r="BV89" s="4504">
        <f t="shared" si="348"/>
        <v>0.88402256832902648</v>
      </c>
      <c r="BW89" s="4504">
        <f t="shared" si="349"/>
        <v>-0.20435795576874635</v>
      </c>
      <c r="BX89" s="4504">
        <f t="shared" si="350"/>
        <v>282.56673338756701</v>
      </c>
      <c r="BY89" s="4504">
        <f t="shared" si="351"/>
        <v>335.1385332021822</v>
      </c>
      <c r="BZ89" s="4504">
        <f t="shared" si="352"/>
        <v>333.8439338032469</v>
      </c>
      <c r="CA89" s="4504">
        <f t="shared" si="353"/>
        <v>331.73393505046164</v>
      </c>
      <c r="CB89" s="4504">
        <f t="shared" si="354"/>
        <v>329.65361481257793</v>
      </c>
      <c r="CC89" s="4504">
        <f t="shared" si="355"/>
        <v>328.66616403399161</v>
      </c>
      <c r="CD89" s="4504">
        <f t="shared" si="356"/>
        <v>52.571799814615161</v>
      </c>
      <c r="CE89" s="4504">
        <f t="shared" si="357"/>
        <v>0</v>
      </c>
      <c r="CF89" s="4504">
        <f t="shared" si="358"/>
        <v>0</v>
      </c>
      <c r="CG89" s="4504">
        <f t="shared" si="359"/>
        <v>0</v>
      </c>
      <c r="CH89" s="4504">
        <f t="shared" si="360"/>
        <v>0</v>
      </c>
      <c r="CI89" s="4504">
        <f t="shared" si="361"/>
        <v>0</v>
      </c>
      <c r="CJ89" s="4504">
        <f t="shared" si="362"/>
        <v>0</v>
      </c>
      <c r="CK89" s="4504">
        <f t="shared" si="363"/>
        <v>0</v>
      </c>
      <c r="CL89" s="4504">
        <f t="shared" si="364"/>
        <v>339.79122085695275</v>
      </c>
      <c r="CM89" s="4504">
        <f t="shared" si="365"/>
        <v>415.61532197466829</v>
      </c>
      <c r="CN89" s="4504">
        <f t="shared" si="366"/>
        <v>415.92193601367734</v>
      </c>
      <c r="CO89" s="4504">
        <f t="shared" si="367"/>
        <v>416.22106169524415</v>
      </c>
      <c r="CP89" s="4504">
        <f t="shared" si="368"/>
        <v>416.52595522140467</v>
      </c>
      <c r="CQ89" s="4504">
        <f t="shared" si="369"/>
        <v>416.83030299575631</v>
      </c>
      <c r="CR89" s="4504">
        <f t="shared" si="370"/>
        <v>75.824101117715529</v>
      </c>
      <c r="CS89" s="4504">
        <f t="shared" si="371"/>
        <v>0.3144905489344873</v>
      </c>
      <c r="CT89" s="4504">
        <f t="shared" si="372"/>
        <v>2.756903728982286</v>
      </c>
      <c r="CU89" s="4504">
        <f t="shared" si="373"/>
        <v>2.756903728982286</v>
      </c>
      <c r="CV89" s="4504">
        <f t="shared" si="374"/>
        <v>2.756903728982286</v>
      </c>
      <c r="CW89" s="4504">
        <f t="shared" si="375"/>
        <v>2.756903728982286</v>
      </c>
      <c r="CX89" s="4504">
        <f t="shared" si="376"/>
        <v>2.756903728982286</v>
      </c>
      <c r="CY89" s="4504">
        <f t="shared" si="377"/>
        <v>1639.6970275806616</v>
      </c>
      <c r="CZ89" s="4504">
        <f t="shared" si="378"/>
        <v>2011.0331030615064</v>
      </c>
      <c r="DA89" s="4504">
        <f t="shared" si="379"/>
        <v>1991.7140548799889</v>
      </c>
      <c r="DB89" s="4504">
        <f t="shared" si="380"/>
        <v>1965.707501113154</v>
      </c>
      <c r="DC89" s="4504">
        <f t="shared" si="381"/>
        <v>1928.7585637595585</v>
      </c>
      <c r="DD89" s="4504">
        <f t="shared" si="382"/>
        <v>1880.5393917036222</v>
      </c>
      <c r="DE89" s="4504">
        <f t="shared" si="383"/>
        <v>1356.0561796325185</v>
      </c>
      <c r="DF89" s="4504">
        <f t="shared" si="384"/>
        <v>1675.0248132545166</v>
      </c>
      <c r="DG89" s="4504">
        <f t="shared" si="385"/>
        <v>1657.0067652670268</v>
      </c>
      <c r="DH89" s="4504">
        <f t="shared" si="386"/>
        <v>1633.1059759709058</v>
      </c>
      <c r="DI89" s="4504">
        <f t="shared" si="387"/>
        <v>1598.2299205503195</v>
      </c>
      <c r="DJ89" s="4504">
        <f t="shared" si="388"/>
        <v>1550.9892051013014</v>
      </c>
    </row>
    <row r="90" spans="1:114" s="648" customFormat="1" ht="14.4" thickBot="1">
      <c r="A90" s="255"/>
      <c r="B90" s="256" t="s">
        <v>637</v>
      </c>
      <c r="C90" s="3095">
        <f>C21+C24+C48+C61+C65+C68</f>
        <v>1683.7457744091387</v>
      </c>
      <c r="D90" s="3096">
        <f t="shared" ref="D90:AV90" si="422">D21+D24+D48+D61+D65+D68</f>
        <v>1864.1993737026696</v>
      </c>
      <c r="E90" s="1156">
        <f t="shared" si="422"/>
        <v>1982.2336446603063</v>
      </c>
      <c r="F90" s="1156">
        <f t="shared" si="422"/>
        <v>2130.4710286233117</v>
      </c>
      <c r="G90" s="1156">
        <f t="shared" si="422"/>
        <v>2299.2019449777345</v>
      </c>
      <c r="H90" s="3097">
        <f t="shared" si="422"/>
        <v>2475.3325852824564</v>
      </c>
      <c r="I90" s="1257">
        <f t="shared" si="317"/>
        <v>180.45359929353094</v>
      </c>
      <c r="J90" s="827">
        <f t="shared" si="318"/>
        <v>0.10717389883686916</v>
      </c>
      <c r="K90" s="3095">
        <f t="shared" si="422"/>
        <v>44.438360887186846</v>
      </c>
      <c r="L90" s="3096">
        <f t="shared" si="422"/>
        <v>60.49652234425406</v>
      </c>
      <c r="M90" s="1156">
        <f t="shared" si="422"/>
        <v>63.317377431934894</v>
      </c>
      <c r="N90" s="1156">
        <f t="shared" si="422"/>
        <v>62.735233319062353</v>
      </c>
      <c r="O90" s="1156">
        <f t="shared" si="422"/>
        <v>73.715055374870943</v>
      </c>
      <c r="P90" s="3097">
        <f t="shared" si="422"/>
        <v>74.307287012469473</v>
      </c>
      <c r="Q90" s="1257">
        <f t="shared" si="305"/>
        <v>16.058161457067214</v>
      </c>
      <c r="R90" s="883">
        <f t="shared" si="306"/>
        <v>0.36135809549396208</v>
      </c>
      <c r="S90" s="3095">
        <f t="shared" si="422"/>
        <v>38.189003959221701</v>
      </c>
      <c r="T90" s="3096">
        <f t="shared" si="422"/>
        <v>48.518793526769052</v>
      </c>
      <c r="U90" s="1156">
        <f t="shared" si="422"/>
        <v>47.749431523704956</v>
      </c>
      <c r="V90" s="1156">
        <f t="shared" si="422"/>
        <v>50.961718268297979</v>
      </c>
      <c r="W90" s="1156">
        <f t="shared" si="422"/>
        <v>54.957769163692817</v>
      </c>
      <c r="X90" s="3097">
        <f t="shared" si="422"/>
        <v>59.069542719019431</v>
      </c>
      <c r="Y90" s="1257">
        <f t="shared" si="307"/>
        <v>10.329789567547351</v>
      </c>
      <c r="Z90" s="883">
        <f t="shared" si="308"/>
        <v>0.27049120156622891</v>
      </c>
      <c r="AA90" s="3095">
        <f t="shared" si="422"/>
        <v>0</v>
      </c>
      <c r="AB90" s="3096">
        <f t="shared" si="422"/>
        <v>0</v>
      </c>
      <c r="AC90" s="1156">
        <f t="shared" si="422"/>
        <v>0</v>
      </c>
      <c r="AD90" s="1156">
        <f t="shared" si="422"/>
        <v>0</v>
      </c>
      <c r="AE90" s="1156">
        <f t="shared" si="422"/>
        <v>0</v>
      </c>
      <c r="AF90" s="3097">
        <f t="shared" si="422"/>
        <v>0</v>
      </c>
      <c r="AG90" s="1257">
        <f t="shared" si="319"/>
        <v>0</v>
      </c>
      <c r="AH90" s="827">
        <f t="shared" si="320"/>
        <v>0</v>
      </c>
      <c r="AI90" s="3095">
        <f t="shared" si="422"/>
        <v>126.21190993838351</v>
      </c>
      <c r="AJ90" s="3096">
        <f t="shared" si="422"/>
        <v>226.89764276611163</v>
      </c>
      <c r="AK90" s="1156">
        <f t="shared" si="422"/>
        <v>256.23677285503823</v>
      </c>
      <c r="AL90" s="1156">
        <f t="shared" si="422"/>
        <v>290.64719588313756</v>
      </c>
      <c r="AM90" s="1156">
        <f t="shared" si="422"/>
        <v>328.24848170999246</v>
      </c>
      <c r="AN90" s="3109">
        <f t="shared" si="422"/>
        <v>374.78378030611248</v>
      </c>
      <c r="AO90" s="1257">
        <f t="shared" si="333"/>
        <v>100.68573282772812</v>
      </c>
      <c r="AP90" s="827">
        <f t="shared" si="334"/>
        <v>0.79775143943929505</v>
      </c>
      <c r="AQ90" s="3095">
        <f t="shared" si="422"/>
        <v>0</v>
      </c>
      <c r="AR90" s="3096">
        <f t="shared" si="422"/>
        <v>0</v>
      </c>
      <c r="AS90" s="1156">
        <f t="shared" si="422"/>
        <v>0</v>
      </c>
      <c r="AT90" s="1156">
        <f t="shared" si="422"/>
        <v>0</v>
      </c>
      <c r="AU90" s="1156">
        <f t="shared" si="422"/>
        <v>0</v>
      </c>
      <c r="AV90" s="3109">
        <f t="shared" si="422"/>
        <v>0</v>
      </c>
      <c r="AW90" s="3095">
        <f t="shared" ref="AW90:BB90" si="423">AW21+AW24+AW48+AW61+AW65+AW68</f>
        <v>1892.5850491939307</v>
      </c>
      <c r="AX90" s="3096">
        <f t="shared" si="423"/>
        <v>2200.1123323398042</v>
      </c>
      <c r="AY90" s="1156">
        <f t="shared" si="423"/>
        <v>2349.5372264709845</v>
      </c>
      <c r="AZ90" s="1156">
        <f t="shared" si="423"/>
        <v>2534.8151760938094</v>
      </c>
      <c r="BA90" s="1156">
        <f t="shared" si="423"/>
        <v>2756.1232512262909</v>
      </c>
      <c r="BB90" s="3109">
        <f t="shared" si="423"/>
        <v>2983.4931953200576</v>
      </c>
      <c r="BC90" s="3095">
        <f t="shared" ref="BC90:BH90" si="424">BC21+BC24+BC48+BC61+BC65+BC68</f>
        <v>1809.957684347522</v>
      </c>
      <c r="BD90" s="3096">
        <f>BD21+BD24+BD48+BD61+BD65+BD68</f>
        <v>2091.097016468781</v>
      </c>
      <c r="BE90" s="1156">
        <f t="shared" si="424"/>
        <v>2238.4704175153447</v>
      </c>
      <c r="BF90" s="1156">
        <f t="shared" si="424"/>
        <v>2421.1182245064492</v>
      </c>
      <c r="BG90" s="1156">
        <f t="shared" si="424"/>
        <v>2627.450426687727</v>
      </c>
      <c r="BH90" s="3109">
        <f t="shared" si="424"/>
        <v>2850.1163655885689</v>
      </c>
      <c r="BI90" s="4488"/>
      <c r="BJ90" s="4504">
        <f t="shared" si="336"/>
        <v>860.88554445383227</v>
      </c>
      <c r="BK90" s="4504">
        <f t="shared" si="337"/>
        <v>953.15000470525024</v>
      </c>
      <c r="BL90" s="4504">
        <f t="shared" si="338"/>
        <v>1013.4999691488044</v>
      </c>
      <c r="BM90" s="4504">
        <f t="shared" si="339"/>
        <v>1089.2925400588556</v>
      </c>
      <c r="BN90" s="4504">
        <f t="shared" si="340"/>
        <v>1175.5632876976704</v>
      </c>
      <c r="BO90" s="4504">
        <f t="shared" si="341"/>
        <v>1265.6174541153662</v>
      </c>
      <c r="BP90" s="4504">
        <f t="shared" si="342"/>
        <v>92.264460251418043</v>
      </c>
      <c r="BQ90" s="4504">
        <f t="shared" si="343"/>
        <v>22.720973135286219</v>
      </c>
      <c r="BR90" s="4504">
        <f t="shared" si="344"/>
        <v>30.931380715222726</v>
      </c>
      <c r="BS90" s="4504">
        <f t="shared" si="345"/>
        <v>32.373661019584979</v>
      </c>
      <c r="BT90" s="4504">
        <f t="shared" si="346"/>
        <v>32.07601546098708</v>
      </c>
      <c r="BU90" s="4504">
        <f t="shared" si="347"/>
        <v>37.689909335101184</v>
      </c>
      <c r="BV90" s="4504">
        <f t="shared" si="348"/>
        <v>37.992712563192853</v>
      </c>
      <c r="BW90" s="4504">
        <f t="shared" si="349"/>
        <v>8.2104075799365059</v>
      </c>
      <c r="BX90" s="4504">
        <f t="shared" si="350"/>
        <v>19.525727675320301</v>
      </c>
      <c r="BY90" s="4504">
        <f t="shared" si="351"/>
        <v>24.807265215672658</v>
      </c>
      <c r="BZ90" s="4504">
        <f t="shared" si="352"/>
        <v>24.413896669805126</v>
      </c>
      <c r="CA90" s="4504">
        <f t="shared" si="353"/>
        <v>26.056312802389769</v>
      </c>
      <c r="CB90" s="4504">
        <f t="shared" si="354"/>
        <v>28.099461182052028</v>
      </c>
      <c r="CC90" s="4504">
        <f t="shared" si="355"/>
        <v>30.201777618207835</v>
      </c>
      <c r="CD90" s="4504">
        <f t="shared" si="356"/>
        <v>5.2815375403523577</v>
      </c>
      <c r="CE90" s="4504">
        <f t="shared" si="357"/>
        <v>0</v>
      </c>
      <c r="CF90" s="4504">
        <f t="shared" si="358"/>
        <v>0</v>
      </c>
      <c r="CG90" s="4504">
        <f t="shared" si="359"/>
        <v>0</v>
      </c>
      <c r="CH90" s="4504">
        <f t="shared" si="360"/>
        <v>0</v>
      </c>
      <c r="CI90" s="4504">
        <f t="shared" si="361"/>
        <v>0</v>
      </c>
      <c r="CJ90" s="4504">
        <f t="shared" si="362"/>
        <v>0</v>
      </c>
      <c r="CK90" s="4504">
        <f t="shared" si="363"/>
        <v>0</v>
      </c>
      <c r="CL90" s="4504">
        <f t="shared" si="364"/>
        <v>64.531124861763814</v>
      </c>
      <c r="CM90" s="4504">
        <f t="shared" si="365"/>
        <v>116.01092260887278</v>
      </c>
      <c r="CN90" s="4504">
        <f t="shared" si="366"/>
        <v>131.01178162470063</v>
      </c>
      <c r="CO90" s="4504">
        <f t="shared" si="367"/>
        <v>148.60555154749522</v>
      </c>
      <c r="CP90" s="4504">
        <f t="shared" si="368"/>
        <v>167.83078371330456</v>
      </c>
      <c r="CQ90" s="4504">
        <f t="shared" si="369"/>
        <v>191.62390407454251</v>
      </c>
      <c r="CR90" s="4504">
        <f t="shared" si="370"/>
        <v>51.479797747108961</v>
      </c>
      <c r="CS90" s="4504">
        <f t="shared" si="371"/>
        <v>0</v>
      </c>
      <c r="CT90" s="4504">
        <f t="shared" si="372"/>
        <v>0</v>
      </c>
      <c r="CU90" s="4504">
        <f t="shared" si="373"/>
        <v>0</v>
      </c>
      <c r="CV90" s="4504">
        <f t="shared" si="374"/>
        <v>0</v>
      </c>
      <c r="CW90" s="4504">
        <f t="shared" si="375"/>
        <v>0</v>
      </c>
      <c r="CX90" s="4504">
        <f t="shared" si="376"/>
        <v>0</v>
      </c>
      <c r="CY90" s="4504">
        <f t="shared" si="377"/>
        <v>967.66337012620249</v>
      </c>
      <c r="CZ90" s="4504">
        <f t="shared" si="378"/>
        <v>1124.8995732450182</v>
      </c>
      <c r="DA90" s="4504">
        <f t="shared" si="379"/>
        <v>1201.2993084628954</v>
      </c>
      <c r="DB90" s="4504">
        <f t="shared" si="380"/>
        <v>1296.0304198697277</v>
      </c>
      <c r="DC90" s="4504">
        <f t="shared" si="381"/>
        <v>1409.1834419281281</v>
      </c>
      <c r="DD90" s="4504">
        <f t="shared" si="382"/>
        <v>1525.4358483713092</v>
      </c>
      <c r="DE90" s="4504">
        <f t="shared" si="383"/>
        <v>925.41666931559598</v>
      </c>
      <c r="DF90" s="4504">
        <f t="shared" si="384"/>
        <v>1069.160927314123</v>
      </c>
      <c r="DG90" s="4504">
        <f t="shared" si="385"/>
        <v>1144.5117507735051</v>
      </c>
      <c r="DH90" s="4504">
        <f t="shared" si="386"/>
        <v>1237.8980916063508</v>
      </c>
      <c r="DI90" s="4504">
        <f t="shared" si="387"/>
        <v>1343.3940714109749</v>
      </c>
      <c r="DJ90" s="4504">
        <f t="shared" si="388"/>
        <v>1457.2413581899086</v>
      </c>
    </row>
    <row r="91" spans="1:114" s="648" customFormat="1" ht="14.4" thickBot="1">
      <c r="A91" s="255"/>
      <c r="B91" s="256" t="s">
        <v>1229</v>
      </c>
      <c r="C91" s="1119">
        <f>C88-C55</f>
        <v>9204.8491285128366</v>
      </c>
      <c r="D91" s="3093">
        <f t="shared" ref="D91:AV91" si="425">D88-D55</f>
        <v>12242.426051794268</v>
      </c>
      <c r="E91" s="1154">
        <f t="shared" si="425"/>
        <v>13293.31887380489</v>
      </c>
      <c r="F91" s="1154">
        <f t="shared" si="425"/>
        <v>14478.202926344395</v>
      </c>
      <c r="G91" s="1154">
        <f t="shared" si="425"/>
        <v>15794.706847386544</v>
      </c>
      <c r="H91" s="3094">
        <f t="shared" si="425"/>
        <v>17229.058636544793</v>
      </c>
      <c r="I91" s="1256">
        <f t="shared" si="317"/>
        <v>3037.5769232814309</v>
      </c>
      <c r="J91" s="827">
        <f t="shared" si="318"/>
        <v>0.32999746990662421</v>
      </c>
      <c r="K91" s="1119">
        <f t="shared" si="425"/>
        <v>240.37583837882858</v>
      </c>
      <c r="L91" s="3093">
        <f t="shared" si="425"/>
        <v>460.6908958233609</v>
      </c>
      <c r="M91" s="1154">
        <f t="shared" si="425"/>
        <v>514.24581508485676</v>
      </c>
      <c r="N91" s="1154">
        <f t="shared" si="425"/>
        <v>572.33411742354974</v>
      </c>
      <c r="O91" s="1154">
        <f t="shared" si="425"/>
        <v>641.02279705146657</v>
      </c>
      <c r="P91" s="3094">
        <f t="shared" si="425"/>
        <v>713.96640022134341</v>
      </c>
      <c r="Q91" s="1256">
        <f t="shared" si="305"/>
        <v>220.31505744453233</v>
      </c>
      <c r="R91" s="883">
        <f t="shared" si="306"/>
        <v>0.91654410414294318</v>
      </c>
      <c r="S91" s="1119">
        <f t="shared" si="425"/>
        <v>1919.496547924218</v>
      </c>
      <c r="T91" s="3093">
        <f t="shared" si="425"/>
        <v>2841.5539955295608</v>
      </c>
      <c r="U91" s="1154">
        <f t="shared" si="425"/>
        <v>3115.5084551412065</v>
      </c>
      <c r="V91" s="1154">
        <f t="shared" si="425"/>
        <v>3420.0890942819674</v>
      </c>
      <c r="W91" s="1154">
        <f t="shared" si="425"/>
        <v>3761.9385801068743</v>
      </c>
      <c r="X91" s="3094">
        <f t="shared" si="425"/>
        <v>4147.2339099755209</v>
      </c>
      <c r="Y91" s="1256">
        <f t="shared" si="307"/>
        <v>922.05744760534276</v>
      </c>
      <c r="Z91" s="883">
        <f t="shared" si="308"/>
        <v>0.48036421248190009</v>
      </c>
      <c r="AA91" s="1119">
        <f t="shared" si="425"/>
        <v>0</v>
      </c>
      <c r="AB91" s="3093">
        <f t="shared" si="425"/>
        <v>0</v>
      </c>
      <c r="AC91" s="1154">
        <f t="shared" si="425"/>
        <v>0</v>
      </c>
      <c r="AD91" s="1154">
        <f t="shared" si="425"/>
        <v>0</v>
      </c>
      <c r="AE91" s="1154">
        <f t="shared" si="425"/>
        <v>0</v>
      </c>
      <c r="AF91" s="3094">
        <f t="shared" si="425"/>
        <v>0</v>
      </c>
      <c r="AG91" s="1256">
        <f t="shared" si="319"/>
        <v>0</v>
      </c>
      <c r="AH91" s="827">
        <f t="shared" si="320"/>
        <v>0</v>
      </c>
      <c r="AI91" s="1119">
        <f t="shared" si="425"/>
        <v>1875.4232707322469</v>
      </c>
      <c r="AJ91" s="3093">
        <f t="shared" si="425"/>
        <v>2576.1394905522948</v>
      </c>
      <c r="AK91" s="1154">
        <f t="shared" si="425"/>
        <v>2781.0793837817519</v>
      </c>
      <c r="AL91" s="1154">
        <f t="shared" si="425"/>
        <v>3012.1370152489521</v>
      </c>
      <c r="AM91" s="1154">
        <f t="shared" si="425"/>
        <v>3270.0515430400515</v>
      </c>
      <c r="AN91" s="3108">
        <f t="shared" si="425"/>
        <v>3558.1415424321121</v>
      </c>
      <c r="AO91" s="1256">
        <f t="shared" si="333"/>
        <v>700.71621982004785</v>
      </c>
      <c r="AP91" s="827">
        <f t="shared" si="334"/>
        <v>0.37363097214126906</v>
      </c>
      <c r="AQ91" s="1119">
        <f t="shared" si="425"/>
        <v>60.178764355474641</v>
      </c>
      <c r="AR91" s="3093">
        <f t="shared" si="425"/>
        <v>56.919147813625038</v>
      </c>
      <c r="AS91" s="1154">
        <f t="shared" si="425"/>
        <v>61.229222330271035</v>
      </c>
      <c r="AT91" s="1154">
        <f t="shared" si="425"/>
        <v>66.024520065405341</v>
      </c>
      <c r="AU91" s="1154">
        <f t="shared" si="425"/>
        <v>71.363017976517639</v>
      </c>
      <c r="AV91" s="3108">
        <f t="shared" si="425"/>
        <v>77.313110714148948</v>
      </c>
      <c r="AW91" s="1119">
        <f t="shared" ref="AW91:BB91" si="426">AW88-AW55</f>
        <v>13234.694793504168</v>
      </c>
      <c r="AX91" s="3093">
        <f t="shared" si="426"/>
        <v>18111.19384858304</v>
      </c>
      <c r="AY91" s="1154">
        <f t="shared" si="426"/>
        <v>19694.015316477675</v>
      </c>
      <c r="AZ91" s="1154">
        <f t="shared" si="426"/>
        <v>21471.449944921646</v>
      </c>
      <c r="BA91" s="1154">
        <f t="shared" si="426"/>
        <v>23455.758853388408</v>
      </c>
      <c r="BB91" s="3108">
        <f t="shared" si="426"/>
        <v>25636.439741803173</v>
      </c>
      <c r="BC91" s="1119">
        <f t="shared" ref="BC91:BH91" si="427">BC88-BC55</f>
        <v>11075.767005355718</v>
      </c>
      <c r="BD91" s="3093">
        <f t="shared" si="427"/>
        <v>14810.877789847242</v>
      </c>
      <c r="BE91" s="1154">
        <f t="shared" si="427"/>
        <v>16066.297423941007</v>
      </c>
      <c r="BF91" s="1154">
        <f t="shared" si="427"/>
        <v>17481.302492613129</v>
      </c>
      <c r="BG91" s="1154">
        <f t="shared" si="427"/>
        <v>19055.20653273776</v>
      </c>
      <c r="BH91" s="3108">
        <f t="shared" si="427"/>
        <v>20777.651172001722</v>
      </c>
      <c r="BI91" s="4488"/>
      <c r="BJ91" s="4504">
        <f t="shared" si="336"/>
        <v>4706.3646270447007</v>
      </c>
      <c r="BK91" s="4504">
        <f t="shared" si="337"/>
        <v>6259.4530464274849</v>
      </c>
      <c r="BL91" s="4504">
        <f t="shared" si="338"/>
        <v>6796.7660143288986</v>
      </c>
      <c r="BM91" s="4504">
        <f t="shared" si="339"/>
        <v>7402.5876105512216</v>
      </c>
      <c r="BN91" s="4504">
        <f t="shared" si="340"/>
        <v>8075.7053769430595</v>
      </c>
      <c r="BO91" s="4504">
        <f t="shared" si="341"/>
        <v>8809.0778015189426</v>
      </c>
      <c r="BP91" s="4504">
        <f t="shared" si="342"/>
        <v>1553.0884193827842</v>
      </c>
      <c r="BQ91" s="4504">
        <f t="shared" si="343"/>
        <v>122.90221459882945</v>
      </c>
      <c r="BR91" s="4504">
        <f t="shared" si="344"/>
        <v>235.54751477549732</v>
      </c>
      <c r="BS91" s="4504">
        <f t="shared" si="345"/>
        <v>262.92971019201912</v>
      </c>
      <c r="BT91" s="4504">
        <f t="shared" si="346"/>
        <v>292.62978757026417</v>
      </c>
      <c r="BU91" s="4504">
        <f t="shared" si="347"/>
        <v>327.74975179410615</v>
      </c>
      <c r="BV91" s="4504">
        <f t="shared" si="348"/>
        <v>365.04522388006291</v>
      </c>
      <c r="BW91" s="4504">
        <f t="shared" si="349"/>
        <v>112.64530017666787</v>
      </c>
      <c r="BX91" s="4504">
        <f t="shared" si="350"/>
        <v>981.4230009378208</v>
      </c>
      <c r="BY91" s="4504">
        <f t="shared" si="351"/>
        <v>1452.8634878949401</v>
      </c>
      <c r="BZ91" s="4504">
        <f t="shared" si="352"/>
        <v>1592.9341789118719</v>
      </c>
      <c r="CA91" s="4504">
        <f t="shared" si="353"/>
        <v>1748.6637868740982</v>
      </c>
      <c r="CB91" s="4504">
        <f t="shared" si="354"/>
        <v>1923.4486535674748</v>
      </c>
      <c r="CC91" s="4504">
        <f t="shared" si="355"/>
        <v>2120.4470275921326</v>
      </c>
      <c r="CD91" s="4504">
        <f t="shared" si="356"/>
        <v>471.44048695711939</v>
      </c>
      <c r="CE91" s="4504">
        <f t="shared" si="357"/>
        <v>0</v>
      </c>
      <c r="CF91" s="4504">
        <f t="shared" si="358"/>
        <v>0</v>
      </c>
      <c r="CG91" s="4504">
        <f t="shared" si="359"/>
        <v>0</v>
      </c>
      <c r="CH91" s="4504">
        <f t="shared" si="360"/>
        <v>0</v>
      </c>
      <c r="CI91" s="4504">
        <f t="shared" si="361"/>
        <v>0</v>
      </c>
      <c r="CJ91" s="4504">
        <f t="shared" si="362"/>
        <v>0</v>
      </c>
      <c r="CK91" s="4504">
        <f t="shared" si="363"/>
        <v>0</v>
      </c>
      <c r="CL91" s="4504">
        <f t="shared" si="364"/>
        <v>958.88869213185546</v>
      </c>
      <c r="CM91" s="4504">
        <f t="shared" si="365"/>
        <v>1317.1592063483508</v>
      </c>
      <c r="CN91" s="4504">
        <f t="shared" si="366"/>
        <v>1421.9433098897921</v>
      </c>
      <c r="CO91" s="4504">
        <f t="shared" si="367"/>
        <v>1540.0812009473993</v>
      </c>
      <c r="CP91" s="4504">
        <f t="shared" si="368"/>
        <v>1671.9508050495449</v>
      </c>
      <c r="CQ91" s="4504">
        <f t="shared" si="369"/>
        <v>1819.2488827925292</v>
      </c>
      <c r="CR91" s="4504">
        <f t="shared" si="370"/>
        <v>358.27051421649526</v>
      </c>
      <c r="CS91" s="4504">
        <f t="shared" si="371"/>
        <v>30.76891363537457</v>
      </c>
      <c r="CT91" s="4504">
        <f t="shared" si="372"/>
        <v>29.102298161713971</v>
      </c>
      <c r="CU91" s="4504">
        <f t="shared" si="373"/>
        <v>31.306004269425788</v>
      </c>
      <c r="CV91" s="4504">
        <f t="shared" si="374"/>
        <v>33.757801069318575</v>
      </c>
      <c r="CW91" s="4504">
        <f t="shared" si="375"/>
        <v>36.487331709053265</v>
      </c>
      <c r="CX91" s="4504">
        <f t="shared" si="376"/>
        <v>39.529565818168734</v>
      </c>
      <c r="CY91" s="4504">
        <f t="shared" si="377"/>
        <v>6766.7919980285442</v>
      </c>
      <c r="CZ91" s="4504">
        <f t="shared" si="378"/>
        <v>9260.1063735514035</v>
      </c>
      <c r="DA91" s="4504">
        <f t="shared" si="379"/>
        <v>10069.390139469011</v>
      </c>
      <c r="DB91" s="4504">
        <f t="shared" si="380"/>
        <v>10978.17803434943</v>
      </c>
      <c r="DC91" s="4504">
        <f t="shared" si="381"/>
        <v>11992.739069033816</v>
      </c>
      <c r="DD91" s="4504">
        <f t="shared" si="382"/>
        <v>13107.703502760043</v>
      </c>
      <c r="DE91" s="4504">
        <f t="shared" si="383"/>
        <v>5662.9497478593321</v>
      </c>
      <c r="DF91" s="4504">
        <f t="shared" si="384"/>
        <v>7572.6815673382871</v>
      </c>
      <c r="DG91" s="4504">
        <f t="shared" si="385"/>
        <v>8214.5674337447563</v>
      </c>
      <c r="DH91" s="4504">
        <f t="shared" si="386"/>
        <v>8938.0480372083111</v>
      </c>
      <c r="DI91" s="4504">
        <f t="shared" si="387"/>
        <v>9742.7723947059621</v>
      </c>
      <c r="DJ91" s="4504">
        <f t="shared" si="388"/>
        <v>10623.444354571575</v>
      </c>
    </row>
    <row r="92" spans="1:114" ht="13.2">
      <c r="A92" s="786"/>
      <c r="B92" s="787" t="s">
        <v>1514</v>
      </c>
      <c r="C92" s="3070">
        <v>6284.5752997103846</v>
      </c>
      <c r="D92" s="3071">
        <v>8409.3909930529771</v>
      </c>
      <c r="E92" s="3071">
        <v>9031.940263668992</v>
      </c>
      <c r="F92" s="3071">
        <v>9706.857860184653</v>
      </c>
      <c r="G92" s="3071">
        <v>10452.581870956355</v>
      </c>
      <c r="H92" s="3072">
        <v>11253.427866937238</v>
      </c>
      <c r="I92" s="1251">
        <f t="shared" si="317"/>
        <v>2124.8156933425926</v>
      </c>
      <c r="J92" s="1245">
        <f t="shared" si="318"/>
        <v>0.33810012483111018</v>
      </c>
      <c r="K92" s="3070">
        <v>171.3780758813059</v>
      </c>
      <c r="L92" s="3071">
        <v>303.44805773073233</v>
      </c>
      <c r="M92" s="3071">
        <v>336.42648555251208</v>
      </c>
      <c r="N92" s="3071">
        <v>371.71656217928495</v>
      </c>
      <c r="O92" s="3071">
        <v>414.75289305993505</v>
      </c>
      <c r="P92" s="3072">
        <v>458.80407724336823</v>
      </c>
      <c r="Q92" s="1251">
        <f t="shared" si="305"/>
        <v>132.06998184942643</v>
      </c>
      <c r="R92" s="1217">
        <f t="shared" si="306"/>
        <v>0.77063522373127979</v>
      </c>
      <c r="S92" s="3070">
        <v>1477.1737273971303</v>
      </c>
      <c r="T92" s="3071">
        <v>2144.7813232156077</v>
      </c>
      <c r="U92" s="3071">
        <v>2329.7782939737831</v>
      </c>
      <c r="V92" s="3071">
        <v>2535.6233134117588</v>
      </c>
      <c r="W92" s="3071">
        <v>2766.3055589251626</v>
      </c>
      <c r="X92" s="3072">
        <v>3025.9040048183551</v>
      </c>
      <c r="Y92" s="1251">
        <f t="shared" si="307"/>
        <v>667.60759581847742</v>
      </c>
      <c r="Z92" s="1217">
        <f t="shared" si="308"/>
        <v>0.4519492754551237</v>
      </c>
      <c r="AA92" s="3070"/>
      <c r="AB92" s="3071"/>
      <c r="AC92" s="3071"/>
      <c r="AD92" s="3071"/>
      <c r="AE92" s="3071"/>
      <c r="AF92" s="3072"/>
      <c r="AG92" s="1251">
        <f t="shared" si="319"/>
        <v>0</v>
      </c>
      <c r="AH92" s="1245">
        <f t="shared" si="320"/>
        <v>0</v>
      </c>
      <c r="AI92" s="3070">
        <v>1578.4246274477432</v>
      </c>
      <c r="AJ92" s="3071">
        <v>2211.9972779636469</v>
      </c>
      <c r="AK92" s="3071">
        <v>2377.3430316616596</v>
      </c>
      <c r="AL92" s="3071">
        <v>2559.7558728848908</v>
      </c>
      <c r="AM92" s="3071">
        <v>2762.7030335797012</v>
      </c>
      <c r="AN92" s="3072">
        <v>2988.7633289088312</v>
      </c>
      <c r="AO92" s="1251">
        <f t="shared" si="333"/>
        <v>633.57265051590366</v>
      </c>
      <c r="AP92" s="1245">
        <f t="shared" si="334"/>
        <v>0.40139556840314145</v>
      </c>
      <c r="AQ92" s="3070">
        <v>54.116368521973811</v>
      </c>
      <c r="AR92" s="3071">
        <v>51.181925358341267</v>
      </c>
      <c r="AS92" s="3071">
        <v>54.898533868341268</v>
      </c>
      <c r="AT92" s="3071">
        <v>59.015622378341263</v>
      </c>
      <c r="AU92" s="3071">
        <v>63.585350888341274</v>
      </c>
      <c r="AV92" s="3100">
        <v>68.663809398341272</v>
      </c>
      <c r="AW92" s="1112">
        <f>C92+K92+S92+AA92+AI92</f>
        <v>9511.551730436564</v>
      </c>
      <c r="AX92" s="3090">
        <f t="shared" ref="AX92" si="428">D92+L92+T92+AB92+AJ92</f>
        <v>13069.617651962964</v>
      </c>
      <c r="AY92" s="3090">
        <f t="shared" ref="AY92" si="429">E92+M92+U92+AC92+AK92</f>
        <v>14075.488074856947</v>
      </c>
      <c r="AZ92" s="3090">
        <f t="shared" ref="AZ92" si="430">F92+N92+V92+AD92+AL92</f>
        <v>15173.953608660588</v>
      </c>
      <c r="BA92" s="3090">
        <f t="shared" ref="BA92" si="431">G92+O92+W92+AE92+AM92</f>
        <v>16396.343356521156</v>
      </c>
      <c r="BB92" s="3091">
        <f t="shared" ref="BB92" si="432">H92+P92+X92+AF92+AN92</f>
        <v>17726.899277907793</v>
      </c>
      <c r="BC92" s="1112">
        <f>C92+AA92+AI92</f>
        <v>7862.9999271581273</v>
      </c>
      <c r="BD92" s="3090">
        <f t="shared" ref="BD92:BH92" si="433">D92+AB92+AJ92</f>
        <v>10621.388271016624</v>
      </c>
      <c r="BE92" s="3090">
        <f t="shared" si="433"/>
        <v>11409.283295330652</v>
      </c>
      <c r="BF92" s="3090">
        <f t="shared" si="433"/>
        <v>12266.613733069544</v>
      </c>
      <c r="BG92" s="3090">
        <f t="shared" si="433"/>
        <v>13215.284904536056</v>
      </c>
      <c r="BH92" s="3099">
        <f t="shared" si="433"/>
        <v>14242.19119584607</v>
      </c>
      <c r="BI92" s="4488"/>
      <c r="BJ92" s="4504">
        <f t="shared" si="336"/>
        <v>3213.2523275082112</v>
      </c>
      <c r="BK92" s="4504">
        <f t="shared" si="337"/>
        <v>4299.6533405525925</v>
      </c>
      <c r="BL92" s="4504">
        <f t="shared" si="338"/>
        <v>4617.957728263189</v>
      </c>
      <c r="BM92" s="4504">
        <f t="shared" si="339"/>
        <v>4963.0376158381114</v>
      </c>
      <c r="BN92" s="4504">
        <f t="shared" si="340"/>
        <v>5344.3202481587641</v>
      </c>
      <c r="BO92" s="4504">
        <f t="shared" si="341"/>
        <v>5753.7863039922886</v>
      </c>
      <c r="BP92" s="4504">
        <f t="shared" si="342"/>
        <v>1086.4010130443814</v>
      </c>
      <c r="BQ92" s="4504">
        <f t="shared" si="343"/>
        <v>87.624218813141184</v>
      </c>
      <c r="BR92" s="4504">
        <f t="shared" si="344"/>
        <v>155.15052828248486</v>
      </c>
      <c r="BS92" s="4504">
        <f t="shared" si="345"/>
        <v>172.01213068237632</v>
      </c>
      <c r="BT92" s="4504">
        <f t="shared" si="346"/>
        <v>190.05566034843773</v>
      </c>
      <c r="BU92" s="4504">
        <f t="shared" si="347"/>
        <v>212.05978692418822</v>
      </c>
      <c r="BV92" s="4504">
        <f t="shared" si="348"/>
        <v>234.58279975425688</v>
      </c>
      <c r="BW92" s="4504">
        <f t="shared" si="349"/>
        <v>67.526309469343673</v>
      </c>
      <c r="BX92" s="4504">
        <f t="shared" si="350"/>
        <v>755.26693393450876</v>
      </c>
      <c r="BY92" s="4504">
        <f t="shared" si="351"/>
        <v>1096.6092775014229</v>
      </c>
      <c r="BZ92" s="4504">
        <f t="shared" si="352"/>
        <v>1191.1967266959721</v>
      </c>
      <c r="CA92" s="4504">
        <f t="shared" si="353"/>
        <v>1296.4436139192869</v>
      </c>
      <c r="CB92" s="4504">
        <f t="shared" si="354"/>
        <v>1414.3895731864031</v>
      </c>
      <c r="CC92" s="4504">
        <f t="shared" si="355"/>
        <v>1547.1201509427483</v>
      </c>
      <c r="CD92" s="4504">
        <f t="shared" si="356"/>
        <v>341.342343566914</v>
      </c>
      <c r="CE92" s="4504">
        <f t="shared" si="357"/>
        <v>0</v>
      </c>
      <c r="CF92" s="4504">
        <f t="shared" si="358"/>
        <v>0</v>
      </c>
      <c r="CG92" s="4504">
        <f t="shared" si="359"/>
        <v>0</v>
      </c>
      <c r="CH92" s="4504">
        <f t="shared" si="360"/>
        <v>0</v>
      </c>
      <c r="CI92" s="4504">
        <f t="shared" si="361"/>
        <v>0</v>
      </c>
      <c r="CJ92" s="4504">
        <f t="shared" si="362"/>
        <v>0</v>
      </c>
      <c r="CK92" s="4504">
        <f t="shared" si="363"/>
        <v>0</v>
      </c>
      <c r="CL92" s="4504">
        <f t="shared" si="364"/>
        <v>807.03569709419696</v>
      </c>
      <c r="CM92" s="4504">
        <f t="shared" si="365"/>
        <v>1130.9762494509475</v>
      </c>
      <c r="CN92" s="4504">
        <f t="shared" si="366"/>
        <v>1215.5161909070112</v>
      </c>
      <c r="CO92" s="4504">
        <f t="shared" si="367"/>
        <v>1308.7823956503842</v>
      </c>
      <c r="CP92" s="4504">
        <f t="shared" si="368"/>
        <v>1412.547631225465</v>
      </c>
      <c r="CQ92" s="4504">
        <f t="shared" si="369"/>
        <v>1528.1304248880685</v>
      </c>
      <c r="CR92" s="4504">
        <f t="shared" si="370"/>
        <v>323.94055235675069</v>
      </c>
      <c r="CS92" s="4504">
        <f t="shared" si="371"/>
        <v>27.669259865107811</v>
      </c>
      <c r="CT92" s="4504">
        <f t="shared" si="372"/>
        <v>26.168902899710748</v>
      </c>
      <c r="CU92" s="4504">
        <f t="shared" si="373"/>
        <v>28.069174656458522</v>
      </c>
      <c r="CV92" s="4504">
        <f t="shared" si="374"/>
        <v>30.174208585787756</v>
      </c>
      <c r="CW92" s="4504">
        <f t="shared" si="375"/>
        <v>32.51067367222165</v>
      </c>
      <c r="CX92" s="4504">
        <f t="shared" si="376"/>
        <v>35.107248277376499</v>
      </c>
      <c r="CY92" s="4504">
        <f t="shared" si="377"/>
        <v>4863.1791773500581</v>
      </c>
      <c r="CZ92" s="4504">
        <f t="shared" si="378"/>
        <v>6682.3893957874479</v>
      </c>
      <c r="DA92" s="4504">
        <f t="shared" si="379"/>
        <v>7196.6827765485477</v>
      </c>
      <c r="DB92" s="4504">
        <f t="shared" si="380"/>
        <v>7758.3192857562199</v>
      </c>
      <c r="DC92" s="4504">
        <f t="shared" si="381"/>
        <v>8383.3172394948215</v>
      </c>
      <c r="DD92" s="4504">
        <f t="shared" si="382"/>
        <v>9063.6196795773631</v>
      </c>
      <c r="DE92" s="4504">
        <f t="shared" si="383"/>
        <v>4020.2880246024079</v>
      </c>
      <c r="DF92" s="4504">
        <f t="shared" si="384"/>
        <v>5430.6295900035402</v>
      </c>
      <c r="DG92" s="4504">
        <f t="shared" si="385"/>
        <v>5833.4739191702001</v>
      </c>
      <c r="DH92" s="4504">
        <f t="shared" si="386"/>
        <v>6271.8200114884958</v>
      </c>
      <c r="DI92" s="4504">
        <f t="shared" si="387"/>
        <v>6756.8678793842291</v>
      </c>
      <c r="DJ92" s="4504">
        <f t="shared" si="388"/>
        <v>7281.9167288803574</v>
      </c>
    </row>
    <row r="93" spans="1:114" ht="13.2">
      <c r="A93" s="3408"/>
      <c r="B93" s="3410" t="s">
        <v>1515</v>
      </c>
      <c r="C93" s="1112">
        <f>C91-C92</f>
        <v>2920.273828802452</v>
      </c>
      <c r="D93" s="3090">
        <f t="shared" ref="D93" si="434">D91-D92</f>
        <v>3833.0350587412904</v>
      </c>
      <c r="E93" s="3090">
        <f t="shared" ref="E93" si="435">E91-E92</f>
        <v>4261.3786101358983</v>
      </c>
      <c r="F93" s="3090">
        <f t="shared" ref="F93" si="436">F91-F92</f>
        <v>4771.3450661597417</v>
      </c>
      <c r="G93" s="3090">
        <f t="shared" ref="G93" si="437">G91-G92</f>
        <v>5342.1249764301883</v>
      </c>
      <c r="H93" s="3091">
        <f t="shared" ref="H93" si="438">H91-H92</f>
        <v>5975.6307696075546</v>
      </c>
      <c r="I93" s="1251">
        <f t="shared" si="317"/>
        <v>912.76122993883837</v>
      </c>
      <c r="J93" s="1245">
        <f t="shared" si="318"/>
        <v>0.31256015135852661</v>
      </c>
      <c r="K93" s="1112">
        <f t="shared" ref="K93:AV93" si="439">K91-K92</f>
        <v>68.997762497522672</v>
      </c>
      <c r="L93" s="3090">
        <f t="shared" si="439"/>
        <v>157.24283809262857</v>
      </c>
      <c r="M93" s="3090">
        <f t="shared" si="439"/>
        <v>177.81932953234468</v>
      </c>
      <c r="N93" s="3090">
        <f t="shared" si="439"/>
        <v>200.61755524426479</v>
      </c>
      <c r="O93" s="3090">
        <f t="shared" si="439"/>
        <v>226.26990399153152</v>
      </c>
      <c r="P93" s="3091">
        <f t="shared" si="439"/>
        <v>255.16232297797518</v>
      </c>
      <c r="Q93" s="1251">
        <f t="shared" si="305"/>
        <v>88.245075595105902</v>
      </c>
      <c r="R93" s="1217">
        <f t="shared" si="306"/>
        <v>1.2789556124848873</v>
      </c>
      <c r="S93" s="1112">
        <f>S91-S92</f>
        <v>442.32282052708774</v>
      </c>
      <c r="T93" s="3090">
        <f t="shared" si="439"/>
        <v>696.77267231395308</v>
      </c>
      <c r="U93" s="3090">
        <f t="shared" si="439"/>
        <v>785.73016116742338</v>
      </c>
      <c r="V93" s="3090">
        <f t="shared" si="439"/>
        <v>884.46578087020862</v>
      </c>
      <c r="W93" s="3090">
        <f t="shared" si="439"/>
        <v>995.63302118171168</v>
      </c>
      <c r="X93" s="3091">
        <f t="shared" si="439"/>
        <v>1121.3299051571657</v>
      </c>
      <c r="Y93" s="1251">
        <f t="shared" si="307"/>
        <v>254.44985178686534</v>
      </c>
      <c r="Z93" s="1217">
        <f t="shared" si="308"/>
        <v>0.57525825026087007</v>
      </c>
      <c r="AA93" s="1112">
        <f>AA91-AA92</f>
        <v>0</v>
      </c>
      <c r="AB93" s="3090">
        <f t="shared" ref="AB93:AF93" si="440">AB91-AB92</f>
        <v>0</v>
      </c>
      <c r="AC93" s="3090">
        <f t="shared" si="440"/>
        <v>0</v>
      </c>
      <c r="AD93" s="3090">
        <f t="shared" si="440"/>
        <v>0</v>
      </c>
      <c r="AE93" s="3090">
        <f t="shared" si="440"/>
        <v>0</v>
      </c>
      <c r="AF93" s="3091">
        <f t="shared" si="440"/>
        <v>0</v>
      </c>
      <c r="AG93" s="1251">
        <f t="shared" si="319"/>
        <v>0</v>
      </c>
      <c r="AH93" s="1245">
        <f t="shared" si="320"/>
        <v>0</v>
      </c>
      <c r="AI93" s="1112">
        <f t="shared" ref="AI93:AN93" si="441">AI91-AI92</f>
        <v>296.99864328450371</v>
      </c>
      <c r="AJ93" s="3090">
        <f t="shared" si="441"/>
        <v>364.14221258864791</v>
      </c>
      <c r="AK93" s="3090">
        <f t="shared" si="441"/>
        <v>403.73635212009231</v>
      </c>
      <c r="AL93" s="3090">
        <f t="shared" si="441"/>
        <v>452.38114236406136</v>
      </c>
      <c r="AM93" s="3090">
        <f t="shared" si="441"/>
        <v>507.34850946035021</v>
      </c>
      <c r="AN93" s="3091">
        <f t="shared" si="441"/>
        <v>569.37821352328092</v>
      </c>
      <c r="AO93" s="1251">
        <f t="shared" si="333"/>
        <v>67.143569304144194</v>
      </c>
      <c r="AP93" s="1245">
        <f t="shared" si="334"/>
        <v>0.22607365663898135</v>
      </c>
      <c r="AQ93" s="1112">
        <f t="shared" si="439"/>
        <v>6.0623958335008297</v>
      </c>
      <c r="AR93" s="3090">
        <f t="shared" si="439"/>
        <v>5.7372224552837707</v>
      </c>
      <c r="AS93" s="3090">
        <f t="shared" si="439"/>
        <v>6.3306884619297676</v>
      </c>
      <c r="AT93" s="3090">
        <f t="shared" si="439"/>
        <v>7.0088976870640778</v>
      </c>
      <c r="AU93" s="3090">
        <f t="shared" si="439"/>
        <v>7.777667088176365</v>
      </c>
      <c r="AV93" s="3099">
        <f t="shared" si="439"/>
        <v>8.6493013158076764</v>
      </c>
      <c r="AW93" s="1112">
        <f>AW91-AW92</f>
        <v>3723.1430630676041</v>
      </c>
      <c r="AX93" s="3090">
        <f t="shared" ref="AX93" si="442">AX91-AX92</f>
        <v>5041.5761966200753</v>
      </c>
      <c r="AY93" s="3090">
        <f t="shared" ref="AY93" si="443">AY91-AY92</f>
        <v>5618.5272416207281</v>
      </c>
      <c r="AZ93" s="3090">
        <f t="shared" ref="AZ93" si="444">AZ91-AZ92</f>
        <v>6297.4963362610579</v>
      </c>
      <c r="BA93" s="3090">
        <f t="shared" ref="BA93" si="445">BA91-BA92</f>
        <v>7059.4154968672519</v>
      </c>
      <c r="BB93" s="3099">
        <f t="shared" ref="BB93" si="446">BB91-BB92</f>
        <v>7909.5404638953805</v>
      </c>
      <c r="BC93" s="1112">
        <f>BC91-BC92</f>
        <v>3212.7670781975903</v>
      </c>
      <c r="BD93" s="3090">
        <f t="shared" ref="BD93" si="447">BD91-BD92</f>
        <v>4189.4895188306182</v>
      </c>
      <c r="BE93" s="3090">
        <f t="shared" ref="BE93" si="448">BE91-BE92</f>
        <v>4657.0141286103553</v>
      </c>
      <c r="BF93" s="3090">
        <f t="shared" ref="BF93" si="449">BF91-BF92</f>
        <v>5214.6887595435855</v>
      </c>
      <c r="BG93" s="3090">
        <f t="shared" ref="BG93" si="450">BG91-BG92</f>
        <v>5839.9216282017042</v>
      </c>
      <c r="BH93" s="3099">
        <f t="shared" ref="BH93" si="451">BH91-BH92</f>
        <v>6535.4599761556528</v>
      </c>
      <c r="BI93" s="4488"/>
      <c r="BJ93" s="4504">
        <f t="shared" si="336"/>
        <v>1493.1122995364894</v>
      </c>
      <c r="BK93" s="4504">
        <f t="shared" si="337"/>
        <v>1959.7997058748922</v>
      </c>
      <c r="BL93" s="4504">
        <f t="shared" si="338"/>
        <v>2178.8082860657105</v>
      </c>
      <c r="BM93" s="4504">
        <f t="shared" si="339"/>
        <v>2439.5499947131098</v>
      </c>
      <c r="BN93" s="4504">
        <f t="shared" si="340"/>
        <v>2731.3851287842954</v>
      </c>
      <c r="BO93" s="4504">
        <f t="shared" si="341"/>
        <v>3055.2914975266535</v>
      </c>
      <c r="BP93" s="4504">
        <f t="shared" si="342"/>
        <v>466.68740633840281</v>
      </c>
      <c r="BQ93" s="4504">
        <f t="shared" si="343"/>
        <v>35.277995785688262</v>
      </c>
      <c r="BR93" s="4504">
        <f t="shared" si="344"/>
        <v>80.396986493012463</v>
      </c>
      <c r="BS93" s="4504">
        <f t="shared" si="345"/>
        <v>90.917579509642806</v>
      </c>
      <c r="BT93" s="4504">
        <f t="shared" si="346"/>
        <v>102.57412722182643</v>
      </c>
      <c r="BU93" s="4504">
        <f t="shared" si="347"/>
        <v>115.6899648699179</v>
      </c>
      <c r="BV93" s="4504">
        <f t="shared" si="348"/>
        <v>130.46242412580602</v>
      </c>
      <c r="BW93" s="4504">
        <f t="shared" si="349"/>
        <v>45.118990707324208</v>
      </c>
      <c r="BX93" s="4504">
        <f t="shared" si="350"/>
        <v>226.15606700331202</v>
      </c>
      <c r="BY93" s="4504">
        <f t="shared" si="351"/>
        <v>356.25421039351738</v>
      </c>
      <c r="BZ93" s="4504">
        <f t="shared" si="352"/>
        <v>401.73745221589985</v>
      </c>
      <c r="CA93" s="4504">
        <f t="shared" si="353"/>
        <v>452.22017295481135</v>
      </c>
      <c r="CB93" s="4504">
        <f t="shared" si="354"/>
        <v>509.05908038107185</v>
      </c>
      <c r="CC93" s="4504">
        <f t="shared" si="355"/>
        <v>573.32687664938453</v>
      </c>
      <c r="CD93" s="4504">
        <f t="shared" si="356"/>
        <v>130.09814339020537</v>
      </c>
      <c r="CE93" s="4504">
        <f t="shared" si="357"/>
        <v>0</v>
      </c>
      <c r="CF93" s="4504">
        <f t="shared" si="358"/>
        <v>0</v>
      </c>
      <c r="CG93" s="4504">
        <f t="shared" si="359"/>
        <v>0</v>
      </c>
      <c r="CH93" s="4504">
        <f t="shared" si="360"/>
        <v>0</v>
      </c>
      <c r="CI93" s="4504">
        <f t="shared" si="361"/>
        <v>0</v>
      </c>
      <c r="CJ93" s="4504">
        <f t="shared" si="362"/>
        <v>0</v>
      </c>
      <c r="CK93" s="4504">
        <f t="shared" si="363"/>
        <v>0</v>
      </c>
      <c r="CL93" s="4504">
        <f t="shared" si="364"/>
        <v>151.85299503765856</v>
      </c>
      <c r="CM93" s="4504">
        <f t="shared" si="365"/>
        <v>186.1829568974031</v>
      </c>
      <c r="CN93" s="4504">
        <f t="shared" si="366"/>
        <v>206.42711898278088</v>
      </c>
      <c r="CO93" s="4504">
        <f t="shared" si="367"/>
        <v>231.29880529701526</v>
      </c>
      <c r="CP93" s="4504">
        <f t="shared" si="368"/>
        <v>259.40317382407994</v>
      </c>
      <c r="CQ93" s="4504">
        <f t="shared" si="369"/>
        <v>291.11845790446046</v>
      </c>
      <c r="CR93" s="4504">
        <f t="shared" si="370"/>
        <v>34.329961859744557</v>
      </c>
      <c r="CS93" s="4504">
        <f t="shared" si="371"/>
        <v>3.0996537702667561</v>
      </c>
      <c r="CT93" s="4504">
        <f t="shared" si="372"/>
        <v>2.9333952620032266</v>
      </c>
      <c r="CU93" s="4504">
        <f t="shared" si="373"/>
        <v>3.236829612967266</v>
      </c>
      <c r="CV93" s="4504">
        <f t="shared" si="374"/>
        <v>3.5835924835308171</v>
      </c>
      <c r="CW93" s="4504">
        <f t="shared" si="375"/>
        <v>3.9766580368316085</v>
      </c>
      <c r="CX93" s="4504">
        <f t="shared" si="376"/>
        <v>4.4223175407922346</v>
      </c>
      <c r="CY93" s="4504">
        <f t="shared" si="377"/>
        <v>1903.6128206784865</v>
      </c>
      <c r="CZ93" s="4504">
        <f t="shared" si="378"/>
        <v>2577.7169777639547</v>
      </c>
      <c r="DA93" s="4504">
        <f t="shared" si="379"/>
        <v>2872.7073629204624</v>
      </c>
      <c r="DB93" s="4504">
        <f t="shared" si="380"/>
        <v>3219.8587485932098</v>
      </c>
      <c r="DC93" s="4504">
        <f t="shared" si="381"/>
        <v>3609.4218295389946</v>
      </c>
      <c r="DD93" s="4504">
        <f t="shared" si="382"/>
        <v>4044.0838231826797</v>
      </c>
      <c r="DE93" s="4504">
        <f t="shared" si="383"/>
        <v>1642.6617232569245</v>
      </c>
      <c r="DF93" s="4504">
        <f t="shared" si="384"/>
        <v>2142.0519773347469</v>
      </c>
      <c r="DG93" s="4504">
        <f t="shared" si="385"/>
        <v>2381.0935145745566</v>
      </c>
      <c r="DH93" s="4504">
        <f t="shared" si="386"/>
        <v>2666.2280257198149</v>
      </c>
      <c r="DI93" s="4504">
        <f t="shared" si="387"/>
        <v>2985.9045153217326</v>
      </c>
      <c r="DJ93" s="4504">
        <f t="shared" si="388"/>
        <v>3341.5276256912171</v>
      </c>
    </row>
    <row r="94" spans="1:114" thickBot="1">
      <c r="A94" s="842"/>
      <c r="B94" s="843" t="s">
        <v>1465</v>
      </c>
      <c r="C94" s="3070">
        <v>686.45641276112349</v>
      </c>
      <c r="D94" s="3071">
        <v>883.29541228143898</v>
      </c>
      <c r="E94" s="3071">
        <v>997.37035537334054</v>
      </c>
      <c r="F94" s="3071">
        <v>1127.3572909871784</v>
      </c>
      <c r="G94" s="3071">
        <v>1274.7321230498637</v>
      </c>
      <c r="H94" s="3072">
        <v>1441.8471394296766</v>
      </c>
      <c r="I94" s="1251">
        <f t="shared" si="317"/>
        <v>196.8389995203155</v>
      </c>
      <c r="J94" s="1245">
        <f t="shared" si="318"/>
        <v>0.28674653752387991</v>
      </c>
      <c r="K94" s="3070">
        <v>18.719415964481527</v>
      </c>
      <c r="L94" s="3071">
        <v>40.892835338014464</v>
      </c>
      <c r="M94" s="3071">
        <v>46.273907054850795</v>
      </c>
      <c r="N94" s="3071">
        <v>52.406489708686081</v>
      </c>
      <c r="O94" s="3071">
        <v>59.367938369573039</v>
      </c>
      <c r="P94" s="3072">
        <v>67.271688006706455</v>
      </c>
      <c r="Q94" s="1251">
        <f t="shared" si="305"/>
        <v>22.173419373532937</v>
      </c>
      <c r="R94" s="1217">
        <f t="shared" si="306"/>
        <v>1.1845144856872181</v>
      </c>
      <c r="S94" s="3070">
        <v>161.34986527741043</v>
      </c>
      <c r="T94" s="3071">
        <v>229.30358365951793</v>
      </c>
      <c r="U94" s="3071">
        <v>259.71194974606078</v>
      </c>
      <c r="V94" s="3071">
        <v>294.36631897186902</v>
      </c>
      <c r="W94" s="3071">
        <v>333.71015010152468</v>
      </c>
      <c r="X94" s="3072">
        <v>378.38655850527948</v>
      </c>
      <c r="Y94" s="1251">
        <f t="shared" si="307"/>
        <v>67.953718382107496</v>
      </c>
      <c r="Z94" s="1217">
        <f t="shared" si="308"/>
        <v>0.42115757744993459</v>
      </c>
      <c r="AA94" s="3070"/>
      <c r="AB94" s="3071"/>
      <c r="AC94" s="3071"/>
      <c r="AD94" s="3071"/>
      <c r="AE94" s="3071"/>
      <c r="AF94" s="3072"/>
      <c r="AG94" s="1251">
        <f t="shared" si="319"/>
        <v>0</v>
      </c>
      <c r="AH94" s="1245">
        <f t="shared" si="320"/>
        <v>0</v>
      </c>
      <c r="AI94" s="3070">
        <v>172.40937627424452</v>
      </c>
      <c r="AJ94" s="3071">
        <v>213.65440182012733</v>
      </c>
      <c r="AK94" s="3071">
        <v>239.71130603757453</v>
      </c>
      <c r="AL94" s="3071">
        <v>269.69115183863408</v>
      </c>
      <c r="AM94" s="3071">
        <v>303.73407310396937</v>
      </c>
      <c r="AN94" s="3072">
        <v>342.33918697531237</v>
      </c>
      <c r="AO94" s="1251">
        <f t="shared" si="333"/>
        <v>41.245025545882811</v>
      </c>
      <c r="AP94" s="1245">
        <f t="shared" si="334"/>
        <v>0.23922727659704562</v>
      </c>
      <c r="AQ94" s="3070">
        <v>5.9110642224248728</v>
      </c>
      <c r="AR94" s="3071">
        <v>5.7372224552837627</v>
      </c>
      <c r="AS94" s="3071">
        <v>6.3306884619297579</v>
      </c>
      <c r="AT94" s="3071">
        <v>7.0088976870640716</v>
      </c>
      <c r="AU94" s="3071">
        <v>7.7776670881763676</v>
      </c>
      <c r="AV94" s="3100">
        <v>8.649301315807671</v>
      </c>
      <c r="AW94" s="3404">
        <f>C94+K94+S94+AA94+AI94</f>
        <v>1038.9350702772599</v>
      </c>
      <c r="AX94" s="3405">
        <f t="shared" ref="AX94" si="452">D94+L94+T94+AB94+AJ94</f>
        <v>1367.1462330990987</v>
      </c>
      <c r="AY94" s="3405">
        <f t="shared" ref="AY94" si="453">E94+M94+U94+AC94+AK94</f>
        <v>1543.0675182118266</v>
      </c>
      <c r="AZ94" s="3405">
        <f t="shared" ref="AZ94" si="454">F94+N94+V94+AD94+AL94</f>
        <v>1743.8212515063678</v>
      </c>
      <c r="BA94" s="3405">
        <f t="shared" ref="BA94" si="455">G94+O94+W94+AE94+AM94</f>
        <v>1971.5442846249309</v>
      </c>
      <c r="BB94" s="3406">
        <f t="shared" ref="BB94" si="456">H94+P94+X94+AF94+AN94</f>
        <v>2229.8445729169748</v>
      </c>
      <c r="BC94" s="3404">
        <f>C94+AA94+AI94</f>
        <v>858.86578903536804</v>
      </c>
      <c r="BD94" s="3405">
        <f t="shared" ref="BD94:BG94" si="457">D94+AB94+AJ94</f>
        <v>1096.9498141015663</v>
      </c>
      <c r="BE94" s="3405">
        <f t="shared" si="457"/>
        <v>1237.0816614109151</v>
      </c>
      <c r="BF94" s="3405">
        <f t="shared" si="457"/>
        <v>1397.0484428258126</v>
      </c>
      <c r="BG94" s="3405">
        <f t="shared" si="457"/>
        <v>1578.4661961538332</v>
      </c>
      <c r="BH94" s="3406">
        <f>H94+AF94+AN94</f>
        <v>1784.1863264049889</v>
      </c>
      <c r="BI94" s="4488"/>
      <c r="BJ94" s="4504">
        <f t="shared" si="336"/>
        <v>350.97959063984268</v>
      </c>
      <c r="BK94" s="4504">
        <f t="shared" si="337"/>
        <v>451.62177299736635</v>
      </c>
      <c r="BL94" s="4504">
        <f t="shared" si="338"/>
        <v>509.94736524817625</v>
      </c>
      <c r="BM94" s="4504">
        <f t="shared" si="339"/>
        <v>576.40863008910719</v>
      </c>
      <c r="BN94" s="4504">
        <f t="shared" si="340"/>
        <v>651.76018521541425</v>
      </c>
      <c r="BO94" s="4504">
        <f t="shared" si="341"/>
        <v>737.20473631638572</v>
      </c>
      <c r="BP94" s="4504">
        <f t="shared" si="342"/>
        <v>100.64218235752367</v>
      </c>
      <c r="BQ94" s="4504">
        <f t="shared" si="343"/>
        <v>9.5710854033742851</v>
      </c>
      <c r="BR94" s="4504">
        <f t="shared" si="344"/>
        <v>20.908174707420617</v>
      </c>
      <c r="BS94" s="4504">
        <f t="shared" si="345"/>
        <v>23.659472988373629</v>
      </c>
      <c r="BT94" s="4504">
        <f t="shared" si="346"/>
        <v>26.795012710044372</v>
      </c>
      <c r="BU94" s="4504">
        <f t="shared" si="347"/>
        <v>30.35434489172016</v>
      </c>
      <c r="BV94" s="4504">
        <f t="shared" si="348"/>
        <v>34.395467912194036</v>
      </c>
      <c r="BW94" s="4504">
        <f t="shared" si="349"/>
        <v>11.337089304046332</v>
      </c>
      <c r="BX94" s="4504">
        <f t="shared" si="350"/>
        <v>82.49687614844359</v>
      </c>
      <c r="BY94" s="4504">
        <f t="shared" si="351"/>
        <v>117.24106065430939</v>
      </c>
      <c r="BZ94" s="4504">
        <f t="shared" si="352"/>
        <v>132.78861135480119</v>
      </c>
      <c r="CA94" s="4504">
        <f t="shared" si="353"/>
        <v>150.50710898793301</v>
      </c>
      <c r="CB94" s="4504">
        <f t="shared" si="354"/>
        <v>170.62329041968098</v>
      </c>
      <c r="CC94" s="4504">
        <f t="shared" si="355"/>
        <v>193.46597531752732</v>
      </c>
      <c r="CD94" s="4504">
        <f t="shared" si="356"/>
        <v>34.744184505865796</v>
      </c>
      <c r="CE94" s="4504">
        <f t="shared" si="357"/>
        <v>0</v>
      </c>
      <c r="CF94" s="4504">
        <f t="shared" si="358"/>
        <v>0</v>
      </c>
      <c r="CG94" s="4504">
        <f t="shared" si="359"/>
        <v>0</v>
      </c>
      <c r="CH94" s="4504">
        <f t="shared" si="360"/>
        <v>0</v>
      </c>
      <c r="CI94" s="4504">
        <f t="shared" si="361"/>
        <v>0</v>
      </c>
      <c r="CJ94" s="4504">
        <f t="shared" si="362"/>
        <v>0</v>
      </c>
      <c r="CK94" s="4504">
        <f t="shared" si="363"/>
        <v>0</v>
      </c>
      <c r="CL94" s="4504">
        <f t="shared" si="364"/>
        <v>88.151514331125156</v>
      </c>
      <c r="CM94" s="4504">
        <f t="shared" si="365"/>
        <v>109.23976103246568</v>
      </c>
      <c r="CN94" s="4504">
        <f t="shared" si="366"/>
        <v>122.56244460795394</v>
      </c>
      <c r="CO94" s="4504">
        <f t="shared" si="367"/>
        <v>137.89089636555022</v>
      </c>
      <c r="CP94" s="4504">
        <f t="shared" si="368"/>
        <v>155.29676562071825</v>
      </c>
      <c r="CQ94" s="4504">
        <f t="shared" si="369"/>
        <v>175.03524691579145</v>
      </c>
      <c r="CR94" s="4504">
        <f t="shared" si="370"/>
        <v>21.088246701340513</v>
      </c>
      <c r="CS94" s="4504">
        <f t="shared" si="371"/>
        <v>3.0222791461552756</v>
      </c>
      <c r="CT94" s="4504">
        <f t="shared" si="372"/>
        <v>2.9333952620032226</v>
      </c>
      <c r="CU94" s="4504">
        <f t="shared" si="373"/>
        <v>3.2368296129672611</v>
      </c>
      <c r="CV94" s="4504">
        <f t="shared" si="374"/>
        <v>3.5835924835308139</v>
      </c>
      <c r="CW94" s="4504">
        <f t="shared" si="375"/>
        <v>3.9766580368316102</v>
      </c>
      <c r="CX94" s="4504">
        <f t="shared" si="376"/>
        <v>4.4223175407922319</v>
      </c>
      <c r="CY94" s="4504">
        <f t="shared" si="377"/>
        <v>531.19906652278564</v>
      </c>
      <c r="CZ94" s="4504">
        <f t="shared" si="378"/>
        <v>699.01076939156201</v>
      </c>
      <c r="DA94" s="4504">
        <f t="shared" si="379"/>
        <v>788.95789419930497</v>
      </c>
      <c r="DB94" s="4504">
        <f t="shared" si="380"/>
        <v>891.60164815263488</v>
      </c>
      <c r="DC94" s="4504">
        <f t="shared" si="381"/>
        <v>1008.0345861475338</v>
      </c>
      <c r="DD94" s="4504">
        <f t="shared" si="382"/>
        <v>1140.1014264618984</v>
      </c>
      <c r="DE94" s="4504">
        <f t="shared" si="383"/>
        <v>439.13110497096784</v>
      </c>
      <c r="DF94" s="4504">
        <f t="shared" si="384"/>
        <v>560.861534029832</v>
      </c>
      <c r="DG94" s="4504">
        <f t="shared" si="385"/>
        <v>632.50980985613023</v>
      </c>
      <c r="DH94" s="4504">
        <f t="shared" si="386"/>
        <v>714.29952645465744</v>
      </c>
      <c r="DI94" s="4504">
        <f t="shared" si="387"/>
        <v>807.05695083613261</v>
      </c>
      <c r="DJ94" s="4504">
        <f t="shared" si="388"/>
        <v>912.23998323217711</v>
      </c>
    </row>
    <row r="95" spans="1:114" s="648" customFormat="1" ht="23.4" thickBot="1">
      <c r="A95" s="255"/>
      <c r="B95" s="256" t="s">
        <v>1230</v>
      </c>
      <c r="C95" s="1119">
        <f t="shared" ref="C95:G95" si="458">C88-C58</f>
        <v>9382.0017153433309</v>
      </c>
      <c r="D95" s="3093">
        <f t="shared" si="458"/>
        <v>12637.466507237514</v>
      </c>
      <c r="E95" s="1154">
        <f t="shared" si="458"/>
        <v>13722.661461199641</v>
      </c>
      <c r="F95" s="1154">
        <f t="shared" si="458"/>
        <v>14943.961545749296</v>
      </c>
      <c r="G95" s="1154">
        <f t="shared" si="458"/>
        <v>16299.638567323445</v>
      </c>
      <c r="H95" s="3094">
        <f t="shared" ref="H95:AV95" si="459">H88-H58</f>
        <v>17771.102408909777</v>
      </c>
      <c r="I95" s="1256">
        <f>D95-C95</f>
        <v>3255.4647918941828</v>
      </c>
      <c r="J95" s="827">
        <f>IFERROR((D95-C95)/C95,0)</f>
        <v>0.3469904281268883</v>
      </c>
      <c r="K95" s="1119">
        <f t="shared" si="459"/>
        <v>256.93349973271393</v>
      </c>
      <c r="L95" s="3093">
        <f t="shared" si="459"/>
        <v>480.66936737190753</v>
      </c>
      <c r="M95" s="1154">
        <f t="shared" si="459"/>
        <v>534.87266182173619</v>
      </c>
      <c r="N95" s="1154">
        <f t="shared" si="459"/>
        <v>593.65184560874195</v>
      </c>
      <c r="O95" s="1154">
        <f t="shared" si="459"/>
        <v>663.05386877948808</v>
      </c>
      <c r="P95" s="3094">
        <f t="shared" si="459"/>
        <v>736.69408817023702</v>
      </c>
      <c r="Q95" s="1256">
        <f t="shared" si="305"/>
        <v>223.7358676391936</v>
      </c>
      <c r="R95" s="883">
        <f t="shared" si="306"/>
        <v>0.87079290116681718</v>
      </c>
      <c r="S95" s="1119">
        <f t="shared" si="459"/>
        <v>1969.6614728125476</v>
      </c>
      <c r="T95" s="3093">
        <f t="shared" si="459"/>
        <v>2895.4153295728138</v>
      </c>
      <c r="U95" s="1154">
        <f t="shared" si="459"/>
        <v>3171.5292820446211</v>
      </c>
      <c r="V95" s="1154">
        <f t="shared" si="459"/>
        <v>3478.4530077269178</v>
      </c>
      <c r="W95" s="1154">
        <f t="shared" si="459"/>
        <v>3822.7460494769966</v>
      </c>
      <c r="X95" s="3094">
        <f t="shared" si="459"/>
        <v>4210.4527106966862</v>
      </c>
      <c r="Y95" s="1256">
        <f t="shared" si="307"/>
        <v>925.75385676026622</v>
      </c>
      <c r="Z95" s="883">
        <f t="shared" si="308"/>
        <v>0.47000658211502222</v>
      </c>
      <c r="AA95" s="1119">
        <f t="shared" si="459"/>
        <v>0</v>
      </c>
      <c r="AB95" s="3093">
        <f t="shared" si="459"/>
        <v>0</v>
      </c>
      <c r="AC95" s="1154">
        <f t="shared" si="459"/>
        <v>0</v>
      </c>
      <c r="AD95" s="1154">
        <f t="shared" si="459"/>
        <v>0</v>
      </c>
      <c r="AE95" s="1154">
        <f t="shared" si="459"/>
        <v>0</v>
      </c>
      <c r="AF95" s="3094">
        <f t="shared" si="459"/>
        <v>0</v>
      </c>
      <c r="AG95" s="1256">
        <f t="shared" si="319"/>
        <v>0</v>
      </c>
      <c r="AH95" s="827">
        <f t="shared" si="320"/>
        <v>0</v>
      </c>
      <c r="AI95" s="1119">
        <f t="shared" si="459"/>
        <v>1894.8586204537205</v>
      </c>
      <c r="AJ95" s="3093">
        <f t="shared" si="459"/>
        <v>2626.7422503684211</v>
      </c>
      <c r="AK95" s="1154">
        <f t="shared" si="459"/>
        <v>2841.2321435978783</v>
      </c>
      <c r="AL95" s="1154">
        <f t="shared" si="459"/>
        <v>3078.7397750650784</v>
      </c>
      <c r="AM95" s="1154">
        <f t="shared" si="459"/>
        <v>3343.3043028561783</v>
      </c>
      <c r="AN95" s="3108">
        <f t="shared" si="459"/>
        <v>3638.2943022482386</v>
      </c>
      <c r="AO95" s="1256">
        <f t="shared" si="333"/>
        <v>731.88362991470058</v>
      </c>
      <c r="AP95" s="827">
        <f t="shared" si="334"/>
        <v>0.38624709095154147</v>
      </c>
      <c r="AQ95" s="1119">
        <f t="shared" si="459"/>
        <v>82.9488715612909</v>
      </c>
      <c r="AR95" s="3093">
        <f t="shared" si="459"/>
        <v>56.919147813625038</v>
      </c>
      <c r="AS95" s="1154">
        <f t="shared" si="459"/>
        <v>61.229222330271035</v>
      </c>
      <c r="AT95" s="1154">
        <f t="shared" si="459"/>
        <v>66.024520065405341</v>
      </c>
      <c r="AU95" s="1154">
        <f t="shared" si="459"/>
        <v>71.363017976517639</v>
      </c>
      <c r="AV95" s="3108">
        <f t="shared" si="459"/>
        <v>77.313110714148948</v>
      </c>
      <c r="AW95" s="1119">
        <f t="shared" ref="AW95:BB95" si="460">AW88-AW58</f>
        <v>13498.005316298351</v>
      </c>
      <c r="AX95" s="3093">
        <f t="shared" si="460"/>
        <v>18630.67686943421</v>
      </c>
      <c r="AY95" s="1154">
        <f t="shared" si="460"/>
        <v>20260.158337328845</v>
      </c>
      <c r="AZ95" s="1154">
        <f t="shared" si="460"/>
        <v>22083.492965772817</v>
      </c>
      <c r="BA95" s="1154">
        <f t="shared" si="460"/>
        <v>24116.781874239579</v>
      </c>
      <c r="BB95" s="3108">
        <f t="shared" si="460"/>
        <v>26344.582762654343</v>
      </c>
      <c r="BC95" s="1119">
        <f t="shared" ref="BC95:BH95" si="461">BC88-BC58</f>
        <v>11272.354941907686</v>
      </c>
      <c r="BD95" s="3093">
        <f t="shared" si="461"/>
        <v>15256.521005106613</v>
      </c>
      <c r="BE95" s="1154">
        <f t="shared" si="461"/>
        <v>16555.792771151882</v>
      </c>
      <c r="BF95" s="1154">
        <f t="shared" si="461"/>
        <v>18013.663871834156</v>
      </c>
      <c r="BG95" s="1154">
        <f t="shared" si="461"/>
        <v>19633.391012490789</v>
      </c>
      <c r="BH95" s="3108">
        <f t="shared" si="461"/>
        <v>21399.847704182834</v>
      </c>
      <c r="BI95" s="4488"/>
      <c r="BJ95" s="4504">
        <f t="shared" si="336"/>
        <v>4796.9413064240407</v>
      </c>
      <c r="BK95" s="4504">
        <f t="shared" si="337"/>
        <v>6461.4340240396732</v>
      </c>
      <c r="BL95" s="4504">
        <f t="shared" si="338"/>
        <v>7016.2853935156127</v>
      </c>
      <c r="BM95" s="4504">
        <f t="shared" si="339"/>
        <v>7640.7262112501066</v>
      </c>
      <c r="BN95" s="4504">
        <f t="shared" si="340"/>
        <v>8333.8728659052395</v>
      </c>
      <c r="BO95" s="4504">
        <f t="shared" si="341"/>
        <v>9086.2203815821304</v>
      </c>
      <c r="BP95" s="4504">
        <f t="shared" si="342"/>
        <v>1664.4927176156327</v>
      </c>
      <c r="BQ95" s="4504">
        <f t="shared" si="343"/>
        <v>131.36801242066741</v>
      </c>
      <c r="BR95" s="4504">
        <f t="shared" si="344"/>
        <v>245.76234507697885</v>
      </c>
      <c r="BS95" s="4504">
        <f t="shared" si="345"/>
        <v>273.4760494632643</v>
      </c>
      <c r="BT95" s="4504">
        <f t="shared" si="346"/>
        <v>303.52936891690075</v>
      </c>
      <c r="BU95" s="4504">
        <f t="shared" si="347"/>
        <v>339.01405990269507</v>
      </c>
      <c r="BV95" s="4504">
        <f t="shared" si="348"/>
        <v>376.66570620669336</v>
      </c>
      <c r="BW95" s="4504">
        <f t="shared" si="349"/>
        <v>114.39433265631143</v>
      </c>
      <c r="BX95" s="4504">
        <f t="shared" si="350"/>
        <v>1007.0719197540418</v>
      </c>
      <c r="BY95" s="4504">
        <f t="shared" si="351"/>
        <v>1480.4023507016529</v>
      </c>
      <c r="BZ95" s="4504">
        <f t="shared" si="352"/>
        <v>1621.5771728854866</v>
      </c>
      <c r="CA95" s="4504">
        <f t="shared" si="353"/>
        <v>1778.5047819733402</v>
      </c>
      <c r="CB95" s="4504">
        <f t="shared" si="354"/>
        <v>1954.5390189725063</v>
      </c>
      <c r="CC95" s="4504">
        <f t="shared" si="355"/>
        <v>2152.770287139826</v>
      </c>
      <c r="CD95" s="4504">
        <f t="shared" si="356"/>
        <v>473.33043094761109</v>
      </c>
      <c r="CE95" s="4504">
        <f t="shared" si="357"/>
        <v>0</v>
      </c>
      <c r="CF95" s="4504">
        <f t="shared" si="358"/>
        <v>0</v>
      </c>
      <c r="CG95" s="4504">
        <f t="shared" si="359"/>
        <v>0</v>
      </c>
      <c r="CH95" s="4504">
        <f t="shared" si="360"/>
        <v>0</v>
      </c>
      <c r="CI95" s="4504">
        <f t="shared" si="361"/>
        <v>0</v>
      </c>
      <c r="CJ95" s="4504">
        <f t="shared" si="362"/>
        <v>0</v>
      </c>
      <c r="CK95" s="4504">
        <f t="shared" si="363"/>
        <v>0</v>
      </c>
      <c r="CL95" s="4504">
        <f t="shared" si="364"/>
        <v>968.8258286526542</v>
      </c>
      <c r="CM95" s="4504">
        <f t="shared" si="365"/>
        <v>1343.0319866084583</v>
      </c>
      <c r="CN95" s="4504">
        <f t="shared" si="366"/>
        <v>1452.6989276153236</v>
      </c>
      <c r="CO95" s="4504">
        <f t="shared" si="367"/>
        <v>1574.1346513066464</v>
      </c>
      <c r="CP95" s="4504">
        <f t="shared" si="368"/>
        <v>1709.4043464187473</v>
      </c>
      <c r="CQ95" s="4504">
        <f t="shared" si="369"/>
        <v>1860.2303381419852</v>
      </c>
      <c r="CR95" s="4504">
        <f t="shared" si="370"/>
        <v>374.20615795580426</v>
      </c>
      <c r="CS95" s="4504">
        <f t="shared" si="371"/>
        <v>42.411084583675937</v>
      </c>
      <c r="CT95" s="4504">
        <f t="shared" si="372"/>
        <v>29.102298161713971</v>
      </c>
      <c r="CU95" s="4504">
        <f t="shared" si="373"/>
        <v>31.306004269425788</v>
      </c>
      <c r="CV95" s="4504">
        <f t="shared" si="374"/>
        <v>33.757801069318575</v>
      </c>
      <c r="CW95" s="4504">
        <f t="shared" si="375"/>
        <v>36.487331709053265</v>
      </c>
      <c r="CX95" s="4504">
        <f t="shared" si="376"/>
        <v>39.529565818168734</v>
      </c>
      <c r="CY95" s="4504">
        <f t="shared" si="377"/>
        <v>6901.4205305667419</v>
      </c>
      <c r="CZ95" s="4504">
        <f t="shared" si="378"/>
        <v>9525.7138245318929</v>
      </c>
      <c r="DA95" s="4504">
        <f t="shared" si="379"/>
        <v>10358.854469626116</v>
      </c>
      <c r="DB95" s="4504">
        <f t="shared" si="380"/>
        <v>11291.110661853441</v>
      </c>
      <c r="DC95" s="4504">
        <f t="shared" si="381"/>
        <v>12330.714772878819</v>
      </c>
      <c r="DD95" s="4504">
        <f t="shared" si="382"/>
        <v>13469.771280047011</v>
      </c>
      <c r="DE95" s="4504">
        <f t="shared" si="383"/>
        <v>5763.4635637594711</v>
      </c>
      <c r="DF95" s="4504">
        <f t="shared" si="384"/>
        <v>7800.5353252105824</v>
      </c>
      <c r="DG95" s="4504">
        <f t="shared" si="385"/>
        <v>8464.8424306570014</v>
      </c>
      <c r="DH95" s="4504">
        <f t="shared" si="386"/>
        <v>9210.2400882664424</v>
      </c>
      <c r="DI95" s="4504">
        <f t="shared" si="387"/>
        <v>10038.393425037344</v>
      </c>
      <c r="DJ95" s="4504">
        <f t="shared" si="388"/>
        <v>10941.568389984219</v>
      </c>
    </row>
    <row r="96" spans="1:114" ht="14.4" thickBot="1">
      <c r="B96" s="687"/>
      <c r="C96" s="687"/>
      <c r="D96" s="687"/>
      <c r="E96" s="687"/>
      <c r="F96" s="687"/>
      <c r="G96" s="687"/>
      <c r="H96" s="687"/>
      <c r="I96" s="849"/>
      <c r="J96" s="687"/>
      <c r="K96" s="687"/>
      <c r="L96" s="687"/>
      <c r="M96" s="687"/>
      <c r="N96" s="687"/>
      <c r="O96" s="687"/>
      <c r="P96" s="687"/>
      <c r="Q96" s="849"/>
      <c r="R96" s="687"/>
      <c r="S96" s="687"/>
      <c r="T96" s="687"/>
      <c r="U96" s="687"/>
      <c r="V96" s="687"/>
      <c r="W96" s="687"/>
      <c r="X96" s="687"/>
      <c r="Y96" s="849"/>
      <c r="Z96" s="687"/>
      <c r="AA96" s="687"/>
      <c r="AB96" s="687"/>
      <c r="AC96" s="687"/>
      <c r="AD96" s="687"/>
      <c r="AE96" s="687"/>
      <c r="AF96" s="687"/>
      <c r="AG96" s="849"/>
      <c r="AH96" s="687"/>
      <c r="AI96" s="687"/>
      <c r="AJ96" s="687"/>
      <c r="AK96" s="687"/>
      <c r="AL96" s="687"/>
      <c r="AM96" s="687"/>
      <c r="AN96" s="687"/>
      <c r="AO96" s="849"/>
      <c r="AP96" s="687"/>
      <c r="AQ96" s="687"/>
      <c r="AR96" s="687"/>
      <c r="AS96" s="687"/>
      <c r="AT96" s="687"/>
      <c r="AU96" s="687"/>
      <c r="AV96" s="687"/>
      <c r="AW96" s="687"/>
      <c r="AX96" s="687"/>
      <c r="AY96" s="687"/>
      <c r="AZ96" s="687"/>
      <c r="BA96" s="687"/>
      <c r="BB96" s="687"/>
      <c r="BC96" s="687"/>
      <c r="BD96" s="687"/>
      <c r="BE96" s="687"/>
      <c r="BF96" s="687"/>
      <c r="BG96" s="687"/>
      <c r="BH96" s="687"/>
      <c r="BI96" s="4488"/>
    </row>
    <row r="97" spans="2:82" ht="15" customHeight="1">
      <c r="B97" s="5422" t="s">
        <v>82</v>
      </c>
      <c r="C97" s="5416" t="s">
        <v>207</v>
      </c>
      <c r="D97" s="5417"/>
      <c r="E97" s="5417"/>
      <c r="F97" s="5417"/>
      <c r="G97" s="5417"/>
      <c r="H97" s="5418"/>
      <c r="I97" s="850"/>
      <c r="J97" s="828"/>
      <c r="K97" s="5419" t="s">
        <v>208</v>
      </c>
      <c r="L97" s="5420"/>
      <c r="M97" s="5420"/>
      <c r="N97" s="5420"/>
      <c r="O97" s="5420"/>
      <c r="P97" s="5408"/>
      <c r="Q97" s="855"/>
      <c r="R97" s="833"/>
      <c r="S97" s="5421" t="s">
        <v>209</v>
      </c>
      <c r="T97" s="5420"/>
      <c r="U97" s="5420"/>
      <c r="V97" s="5420"/>
      <c r="W97" s="5420"/>
      <c r="X97" s="5408"/>
      <c r="Y97" s="855"/>
      <c r="Z97" s="828"/>
      <c r="AL97" s="688"/>
      <c r="BB97" s="688"/>
      <c r="BH97" s="688"/>
      <c r="BI97" s="4488"/>
    </row>
    <row r="98" spans="2:82" ht="14.4" thickBot="1">
      <c r="B98" s="5423"/>
      <c r="C98" s="704" t="str">
        <f t="shared" ref="C98:X98" si="462">C10</f>
        <v>2024 г.</v>
      </c>
      <c r="D98" s="705" t="str">
        <f t="shared" si="462"/>
        <v>2027 г.</v>
      </c>
      <c r="E98" s="705" t="str">
        <f t="shared" si="462"/>
        <v>2028 г.</v>
      </c>
      <c r="F98" s="705" t="str">
        <f t="shared" si="462"/>
        <v>2029 г.</v>
      </c>
      <c r="G98" s="705" t="str">
        <f t="shared" si="462"/>
        <v>2030 г.</v>
      </c>
      <c r="H98" s="706" t="str">
        <f t="shared" si="462"/>
        <v>2031 г.</v>
      </c>
      <c r="I98" s="851"/>
      <c r="J98" s="829"/>
      <c r="K98" s="707" t="str">
        <f t="shared" si="462"/>
        <v>2024 г.</v>
      </c>
      <c r="L98" s="705" t="str">
        <f t="shared" si="462"/>
        <v>2027 г.</v>
      </c>
      <c r="M98" s="705" t="str">
        <f t="shared" si="462"/>
        <v>2028 г.</v>
      </c>
      <c r="N98" s="705" t="str">
        <f t="shared" si="462"/>
        <v>2029 г.</v>
      </c>
      <c r="O98" s="705" t="str">
        <f t="shared" si="462"/>
        <v>2030 г.</v>
      </c>
      <c r="P98" s="706" t="str">
        <f t="shared" si="462"/>
        <v>2031 г.</v>
      </c>
      <c r="Q98" s="856"/>
      <c r="R98" s="834"/>
      <c r="S98" s="704" t="str">
        <f t="shared" si="462"/>
        <v>2024 г.</v>
      </c>
      <c r="T98" s="705" t="str">
        <f t="shared" si="462"/>
        <v>2027 г.</v>
      </c>
      <c r="U98" s="705" t="str">
        <f t="shared" si="462"/>
        <v>2028 г.</v>
      </c>
      <c r="V98" s="705" t="str">
        <f t="shared" si="462"/>
        <v>2029 г.</v>
      </c>
      <c r="W98" s="705" t="str">
        <f t="shared" si="462"/>
        <v>2030 г.</v>
      </c>
      <c r="X98" s="706" t="str">
        <f t="shared" si="462"/>
        <v>2031 г.</v>
      </c>
      <c r="Y98" s="856"/>
      <c r="Z98" s="829"/>
      <c r="AL98" s="688"/>
      <c r="BB98" s="688"/>
      <c r="BH98" s="688"/>
      <c r="BI98" s="4488"/>
    </row>
    <row r="99" spans="2:82" ht="24">
      <c r="B99" s="1021" t="s">
        <v>929</v>
      </c>
      <c r="C99" s="1022">
        <f t="shared" ref="C99:X99" si="463">C29-C31</f>
        <v>718.33283829895606</v>
      </c>
      <c r="D99" s="1023">
        <f t="shared" si="463"/>
        <v>761.78764897420297</v>
      </c>
      <c r="E99" s="1023">
        <f t="shared" si="463"/>
        <v>763.25930677056874</v>
      </c>
      <c r="F99" s="1023">
        <f t="shared" si="463"/>
        <v>756.91976950694686</v>
      </c>
      <c r="G99" s="1023">
        <f t="shared" si="463"/>
        <v>760.14114664897374</v>
      </c>
      <c r="H99" s="1024">
        <f t="shared" si="463"/>
        <v>753.25911765239005</v>
      </c>
      <c r="I99" s="1025"/>
      <c r="J99" s="1026"/>
      <c r="K99" s="1027">
        <f t="shared" si="463"/>
        <v>31.803552062251342</v>
      </c>
      <c r="L99" s="1023">
        <f t="shared" si="463"/>
        <v>31.73133924565569</v>
      </c>
      <c r="M99" s="1023">
        <f t="shared" si="463"/>
        <v>31.553135620472325</v>
      </c>
      <c r="N99" s="1023">
        <f t="shared" si="463"/>
        <v>30.816293493210374</v>
      </c>
      <c r="O99" s="1023">
        <f t="shared" si="463"/>
        <v>31.680532371125409</v>
      </c>
      <c r="P99" s="1024">
        <f t="shared" si="463"/>
        <v>30.959358042465631</v>
      </c>
      <c r="Q99" s="1028"/>
      <c r="R99" s="1029"/>
      <c r="S99" s="1022">
        <f t="shared" si="463"/>
        <v>244.59925512739284</v>
      </c>
      <c r="T99" s="1023">
        <f t="shared" si="463"/>
        <v>261.49212466517702</v>
      </c>
      <c r="U99" s="1023">
        <f t="shared" si="463"/>
        <v>262.14565633799248</v>
      </c>
      <c r="V99" s="1023">
        <f t="shared" si="463"/>
        <v>262.91631955948776</v>
      </c>
      <c r="W99" s="1023">
        <f t="shared" si="463"/>
        <v>264.21864372272188</v>
      </c>
      <c r="X99" s="1024">
        <f t="shared" si="463"/>
        <v>265.9260759950883</v>
      </c>
      <c r="Y99" s="1028"/>
      <c r="Z99" s="1026"/>
      <c r="AL99" s="688"/>
      <c r="AR99" s="688"/>
      <c r="AS99" s="669"/>
      <c r="AT99" s="669"/>
      <c r="AU99" s="669"/>
      <c r="AV99" s="669"/>
      <c r="AW99" s="669"/>
      <c r="AX99" s="669"/>
      <c r="AY99" s="669"/>
      <c r="AZ99" s="669"/>
      <c r="BA99" s="669"/>
      <c r="BB99" s="669"/>
      <c r="BC99" s="669"/>
      <c r="BD99" s="669"/>
      <c r="BE99" s="669"/>
      <c r="BF99" s="669"/>
      <c r="BG99" s="669"/>
      <c r="BH99" s="669"/>
      <c r="BI99" s="4488"/>
      <c r="BJ99" s="4504">
        <f t="shared" ref="BJ99:BJ102" si="464">IFERROR(C99/$D$1,0)</f>
        <v>367.27774821889227</v>
      </c>
      <c r="BK99" s="4504">
        <f t="shared" ref="BK99:BK102" si="465">IFERROR(D99/$D$1,0)</f>
        <v>389.49584011606476</v>
      </c>
      <c r="BL99" s="4504">
        <f t="shared" ref="BL99:BL102" si="466">IFERROR(E99/$D$1,0)</f>
        <v>390.2482867992457</v>
      </c>
      <c r="BM99" s="4504">
        <f t="shared" ref="BM99:BM102" si="467">IFERROR(F99/$D$1,0)</f>
        <v>387.00693286581497</v>
      </c>
      <c r="BN99" s="4504">
        <f t="shared" ref="BN99:BN102" si="468">IFERROR(G99/$D$1,0)</f>
        <v>388.6539968448044</v>
      </c>
      <c r="BO99" s="4504">
        <f t="shared" ref="BO99:BO102" si="469">IFERROR(H99/$D$1,0)</f>
        <v>385.1352712926942</v>
      </c>
      <c r="BP99" s="4518"/>
      <c r="BQ99" s="4504">
        <f t="shared" ref="BQ99:BQ102" si="470">IFERROR(K99/$D$1,0)</f>
        <v>16.260897962630363</v>
      </c>
      <c r="BR99" s="4504">
        <f t="shared" ref="BR99:BR102" si="471">IFERROR(L99/$D$1,0)</f>
        <v>16.223976135786696</v>
      </c>
      <c r="BS99" s="4504">
        <f t="shared" ref="BS99:BS102" si="472">IFERROR(M99/$D$1,0)</f>
        <v>16.132862069030708</v>
      </c>
      <c r="BT99" s="4504">
        <f t="shared" ref="BT99:BT102" si="473">IFERROR(N99/$D$1,0)</f>
        <v>15.756120671638319</v>
      </c>
      <c r="BU99" s="4504">
        <f t="shared" ref="BU99:BU102" si="474">IFERROR(O99/$D$1,0)</f>
        <v>16.197998993330408</v>
      </c>
      <c r="BV99" s="4504">
        <f t="shared" ref="BV99:BV102" si="475">IFERROR(P99/$D$1,0)</f>
        <v>15.829268414159529</v>
      </c>
      <c r="BW99" s="4518"/>
      <c r="BX99" s="4504">
        <f t="shared" ref="BX99:BX102" si="476">IFERROR(S99/$D$1,0)</f>
        <v>125.06161329327847</v>
      </c>
      <c r="BY99" s="4504">
        <f t="shared" ref="BY99:BY102" si="477">IFERROR(T99/$D$1,0)</f>
        <v>133.69880033805444</v>
      </c>
      <c r="BZ99" s="4504">
        <f t="shared" ref="BZ99:BZ102" si="478">IFERROR(U99/$D$1,0)</f>
        <v>134.03294577646957</v>
      </c>
      <c r="CA99" s="4504">
        <f t="shared" ref="CA99:CA102" si="479">IFERROR(V99/$D$1,0)</f>
        <v>134.42697962475663</v>
      </c>
      <c r="CB99" s="4504">
        <f t="shared" ref="CB99:CB102" si="480">IFERROR(W99/$D$1,0)</f>
        <v>135.09284739610391</v>
      </c>
      <c r="CC99" s="4504">
        <f t="shared" ref="CC99:CC102" si="481">IFERROR(X99/$D$1,0)</f>
        <v>135.96584365465725</v>
      </c>
      <c r="CD99" s="4519"/>
    </row>
    <row r="100" spans="2:82">
      <c r="B100" s="1030" t="s">
        <v>930</v>
      </c>
      <c r="C100" s="1031">
        <f t="shared" ref="C100:X100" si="482">C59+C63</f>
        <v>5619.7654759436673</v>
      </c>
      <c r="D100" s="1032">
        <f t="shared" si="482"/>
        <v>8117.2174857727259</v>
      </c>
      <c r="E100" s="1032">
        <f t="shared" si="482"/>
        <v>9213.5614106359299</v>
      </c>
      <c r="F100" s="1032">
        <f t="shared" si="482"/>
        <v>10457.187257355305</v>
      </c>
      <c r="G100" s="1032">
        <f t="shared" si="482"/>
        <v>11843.712893421936</v>
      </c>
      <c r="H100" s="1033">
        <f t="shared" si="482"/>
        <v>13385.311102452824</v>
      </c>
      <c r="I100" s="1034"/>
      <c r="J100" s="1035"/>
      <c r="K100" s="1036">
        <f t="shared" si="482"/>
        <v>174.89801454546034</v>
      </c>
      <c r="L100" s="1032">
        <f t="shared" si="482"/>
        <v>391.91602535594308</v>
      </c>
      <c r="M100" s="1032">
        <f t="shared" si="482"/>
        <v>446.13897458375129</v>
      </c>
      <c r="N100" s="1032">
        <f t="shared" si="482"/>
        <v>505.8123670655018</v>
      </c>
      <c r="O100" s="1032">
        <f t="shared" si="482"/>
        <v>572.66275956963432</v>
      </c>
      <c r="P100" s="1033">
        <f t="shared" si="482"/>
        <v>647.6333597986528</v>
      </c>
      <c r="Q100" s="1037"/>
      <c r="R100" s="1038"/>
      <c r="S100" s="1031">
        <f t="shared" si="482"/>
        <v>1131.2485373458396</v>
      </c>
      <c r="T100" s="1032">
        <f t="shared" si="482"/>
        <v>1914.6035627122728</v>
      </c>
      <c r="U100" s="1032">
        <f t="shared" si="482"/>
        <v>2193.0069461504127</v>
      </c>
      <c r="V100" s="1032">
        <f t="shared" si="482"/>
        <v>2500.1639960083676</v>
      </c>
      <c r="W100" s="1032">
        <f t="shared" si="482"/>
        <v>2843.8194712440099</v>
      </c>
      <c r="X100" s="1033">
        <f t="shared" si="482"/>
        <v>3229.1499133699326</v>
      </c>
      <c r="Y100" s="1037"/>
      <c r="Z100" s="1035"/>
      <c r="AH100" s="693"/>
      <c r="AI100" s="693"/>
      <c r="AJ100" s="693"/>
      <c r="AL100" s="688"/>
      <c r="AM100" s="693"/>
      <c r="AN100" s="693"/>
      <c r="AP100" s="693"/>
      <c r="AR100" s="688"/>
      <c r="AS100" s="669"/>
      <c r="AT100" s="669"/>
      <c r="AU100" s="669"/>
      <c r="AV100" s="669"/>
      <c r="AW100" s="669"/>
      <c r="AX100" s="669"/>
      <c r="AY100" s="669"/>
      <c r="AZ100" s="669"/>
      <c r="BA100" s="669"/>
      <c r="BB100" s="669"/>
      <c r="BC100" s="669"/>
      <c r="BD100" s="669"/>
      <c r="BE100" s="669"/>
      <c r="BF100" s="669"/>
      <c r="BG100" s="669"/>
      <c r="BH100" s="669"/>
      <c r="BI100" s="4488"/>
      <c r="BJ100" s="4504">
        <f t="shared" si="464"/>
        <v>2873.3404620767997</v>
      </c>
      <c r="BK100" s="4504">
        <f t="shared" si="465"/>
        <v>4150.2673983795758</v>
      </c>
      <c r="BL100" s="4504">
        <f t="shared" si="466"/>
        <v>4710.8191461609294</v>
      </c>
      <c r="BM100" s="4504">
        <f t="shared" si="467"/>
        <v>5346.674944834318</v>
      </c>
      <c r="BN100" s="4504">
        <f t="shared" si="468"/>
        <v>6055.5942456256098</v>
      </c>
      <c r="BO100" s="4504">
        <f t="shared" si="469"/>
        <v>6843.8008939697338</v>
      </c>
      <c r="BP100" s="4518"/>
      <c r="BQ100" s="4504">
        <f t="shared" si="470"/>
        <v>89.423934874432007</v>
      </c>
      <c r="BR100" s="4504">
        <f t="shared" si="471"/>
        <v>200.383481875185</v>
      </c>
      <c r="BS100" s="4504">
        <f t="shared" si="472"/>
        <v>228.10723558987812</v>
      </c>
      <c r="BT100" s="4504">
        <f t="shared" si="473"/>
        <v>258.61775668923264</v>
      </c>
      <c r="BU100" s="4504">
        <f t="shared" si="474"/>
        <v>292.79781963137611</v>
      </c>
      <c r="BV100" s="4504">
        <f t="shared" si="475"/>
        <v>331.12967885688062</v>
      </c>
      <c r="BW100" s="4518"/>
      <c r="BX100" s="4504">
        <f t="shared" si="476"/>
        <v>578.39819276002493</v>
      </c>
      <c r="BY100" s="4504">
        <f t="shared" si="477"/>
        <v>978.92125732414002</v>
      </c>
      <c r="BZ100" s="4504">
        <f t="shared" si="478"/>
        <v>1121.2666469736187</v>
      </c>
      <c r="CA100" s="4504">
        <f t="shared" si="479"/>
        <v>1278.3135528181731</v>
      </c>
      <c r="CB100" s="4504">
        <f t="shared" si="480"/>
        <v>1454.0218072347852</v>
      </c>
      <c r="CC100" s="4504">
        <f t="shared" si="481"/>
        <v>1651.0381338715188</v>
      </c>
      <c r="CD100" s="4519"/>
    </row>
    <row r="101" spans="2:82">
      <c r="B101" s="1030" t="s">
        <v>931</v>
      </c>
      <c r="C101" s="1031">
        <f t="shared" ref="C101:X101" si="483">C90</f>
        <v>1683.7457744091387</v>
      </c>
      <c r="D101" s="1032">
        <f t="shared" si="483"/>
        <v>1864.1993737026696</v>
      </c>
      <c r="E101" s="1032">
        <f t="shared" si="483"/>
        <v>1982.2336446603063</v>
      </c>
      <c r="F101" s="1032">
        <f t="shared" si="483"/>
        <v>2130.4710286233117</v>
      </c>
      <c r="G101" s="1032">
        <f t="shared" si="483"/>
        <v>2299.2019449777345</v>
      </c>
      <c r="H101" s="1033">
        <f t="shared" si="483"/>
        <v>2475.3325852824564</v>
      </c>
      <c r="I101" s="1034"/>
      <c r="J101" s="1035"/>
      <c r="K101" s="1036">
        <f t="shared" si="483"/>
        <v>44.438360887186846</v>
      </c>
      <c r="L101" s="1032">
        <f t="shared" si="483"/>
        <v>60.49652234425406</v>
      </c>
      <c r="M101" s="1032">
        <f t="shared" si="483"/>
        <v>63.317377431934894</v>
      </c>
      <c r="N101" s="1032">
        <f t="shared" si="483"/>
        <v>62.735233319062353</v>
      </c>
      <c r="O101" s="1032">
        <f t="shared" si="483"/>
        <v>73.715055374870943</v>
      </c>
      <c r="P101" s="1033">
        <f t="shared" si="483"/>
        <v>74.307287012469473</v>
      </c>
      <c r="Q101" s="1037"/>
      <c r="R101" s="1038"/>
      <c r="S101" s="1031">
        <f t="shared" si="483"/>
        <v>38.189003959221701</v>
      </c>
      <c r="T101" s="1032">
        <f t="shared" si="483"/>
        <v>48.518793526769052</v>
      </c>
      <c r="U101" s="1032">
        <f t="shared" si="483"/>
        <v>47.749431523704956</v>
      </c>
      <c r="V101" s="1032">
        <f t="shared" si="483"/>
        <v>50.961718268297979</v>
      </c>
      <c r="W101" s="1032">
        <f t="shared" si="483"/>
        <v>54.957769163692817</v>
      </c>
      <c r="X101" s="1033">
        <f t="shared" si="483"/>
        <v>59.069542719019431</v>
      </c>
      <c r="Y101" s="1037"/>
      <c r="Z101" s="1035"/>
      <c r="AL101" s="688"/>
      <c r="AR101" s="688"/>
      <c r="AS101" s="669"/>
      <c r="AT101" s="669"/>
      <c r="AU101" s="669"/>
      <c r="AV101" s="669"/>
      <c r="AW101" s="669"/>
      <c r="AX101" s="669"/>
      <c r="AY101" s="669"/>
      <c r="AZ101" s="669"/>
      <c r="BA101" s="669"/>
      <c r="BB101" s="669"/>
      <c r="BC101" s="669"/>
      <c r="BD101" s="669"/>
      <c r="BE101" s="669"/>
      <c r="BF101" s="669"/>
      <c r="BG101" s="669"/>
      <c r="BH101" s="669"/>
      <c r="BI101" s="4488"/>
      <c r="BJ101" s="4504">
        <f t="shared" si="464"/>
        <v>860.88554445383227</v>
      </c>
      <c r="BK101" s="4504">
        <f t="shared" si="465"/>
        <v>953.15000470525024</v>
      </c>
      <c r="BL101" s="4504">
        <f t="shared" si="466"/>
        <v>1013.4999691488044</v>
      </c>
      <c r="BM101" s="4504">
        <f t="shared" si="467"/>
        <v>1089.2925400588556</v>
      </c>
      <c r="BN101" s="4504">
        <f t="shared" si="468"/>
        <v>1175.5632876976704</v>
      </c>
      <c r="BO101" s="4504">
        <f t="shared" si="469"/>
        <v>1265.6174541153662</v>
      </c>
      <c r="BP101" s="4518"/>
      <c r="BQ101" s="4504">
        <f t="shared" si="470"/>
        <v>22.720973135286219</v>
      </c>
      <c r="BR101" s="4504">
        <f t="shared" si="471"/>
        <v>30.931380715222726</v>
      </c>
      <c r="BS101" s="4504">
        <f t="shared" si="472"/>
        <v>32.373661019584979</v>
      </c>
      <c r="BT101" s="4504">
        <f t="shared" si="473"/>
        <v>32.07601546098708</v>
      </c>
      <c r="BU101" s="4504">
        <f t="shared" si="474"/>
        <v>37.689909335101184</v>
      </c>
      <c r="BV101" s="4504">
        <f t="shared" si="475"/>
        <v>37.992712563192853</v>
      </c>
      <c r="BW101" s="4518"/>
      <c r="BX101" s="4504">
        <f t="shared" si="476"/>
        <v>19.525727675320301</v>
      </c>
      <c r="BY101" s="4504">
        <f t="shared" si="477"/>
        <v>24.807265215672658</v>
      </c>
      <c r="BZ101" s="4504">
        <f t="shared" si="478"/>
        <v>24.413896669805126</v>
      </c>
      <c r="CA101" s="4504">
        <f t="shared" si="479"/>
        <v>26.056312802389769</v>
      </c>
      <c r="CB101" s="4504">
        <f t="shared" si="480"/>
        <v>28.099461182052028</v>
      </c>
      <c r="CC101" s="4504">
        <f t="shared" si="481"/>
        <v>30.201777618207835</v>
      </c>
      <c r="CD101" s="4519"/>
    </row>
    <row r="102" spans="2:82" ht="14.4" thickBot="1">
      <c r="B102" s="1039" t="s">
        <v>932</v>
      </c>
      <c r="C102" s="1040">
        <f t="shared" ref="C102:X102" si="484">C89</f>
        <v>1987.6414943220148</v>
      </c>
      <c r="D102" s="1041">
        <f t="shared" si="484"/>
        <v>2463.1908653298656</v>
      </c>
      <c r="E102" s="1041">
        <f t="shared" si="484"/>
        <v>2427.3509415985777</v>
      </c>
      <c r="F102" s="1041">
        <f t="shared" si="484"/>
        <v>2380.0200218877671</v>
      </c>
      <c r="G102" s="1041">
        <f t="shared" si="484"/>
        <v>2311.2120665092516</v>
      </c>
      <c r="H102" s="1042">
        <f t="shared" si="484"/>
        <v>2218.2220055050884</v>
      </c>
      <c r="I102" s="1043"/>
      <c r="J102" s="1044"/>
      <c r="K102" s="1045">
        <f t="shared" si="484"/>
        <v>2.1007854810116919</v>
      </c>
      <c r="L102" s="1041">
        <f t="shared" si="484"/>
        <v>1.7010960603805048</v>
      </c>
      <c r="M102" s="1041">
        <f t="shared" si="484"/>
        <v>1.6885771933151665</v>
      </c>
      <c r="N102" s="1041">
        <f t="shared" si="484"/>
        <v>1.696858729219243</v>
      </c>
      <c r="O102" s="1041">
        <f t="shared" si="484"/>
        <v>1.7114067890412623</v>
      </c>
      <c r="P102" s="1042">
        <f t="shared" si="484"/>
        <v>1.7289978598149598</v>
      </c>
      <c r="Q102" s="1046"/>
      <c r="R102" s="1047"/>
      <c r="S102" s="1040">
        <f t="shared" si="484"/>
        <v>552.65249416140523</v>
      </c>
      <c r="T102" s="1041">
        <f t="shared" si="484"/>
        <v>655.473997392824</v>
      </c>
      <c r="U102" s="1041">
        <f t="shared" si="484"/>
        <v>652.94198105040437</v>
      </c>
      <c r="V102" s="1041">
        <f t="shared" si="484"/>
        <v>648.81518218974441</v>
      </c>
      <c r="W102" s="1041">
        <f t="shared" si="484"/>
        <v>644.74642945888422</v>
      </c>
      <c r="X102" s="1042">
        <f t="shared" si="484"/>
        <v>642.81514360260178</v>
      </c>
      <c r="Y102" s="1046"/>
      <c r="Z102" s="1044"/>
      <c r="AS102" s="669"/>
      <c r="AT102" s="669"/>
      <c r="AU102" s="669"/>
      <c r="AV102" s="669"/>
      <c r="AW102" s="669"/>
      <c r="AX102" s="669"/>
      <c r="AY102" s="669"/>
      <c r="AZ102" s="669"/>
      <c r="BA102" s="669"/>
      <c r="BB102" s="669"/>
      <c r="BC102" s="669"/>
      <c r="BD102" s="669"/>
      <c r="BE102" s="669"/>
      <c r="BF102" s="669"/>
      <c r="BG102" s="669"/>
      <c r="BH102" s="669"/>
      <c r="BI102" s="4488"/>
      <c r="BJ102" s="4504">
        <f t="shared" si="464"/>
        <v>1016.2649587755658</v>
      </c>
      <c r="BK102" s="4504">
        <f t="shared" si="465"/>
        <v>1259.4094912798482</v>
      </c>
      <c r="BL102" s="4504">
        <f t="shared" si="466"/>
        <v>1241.0848292533492</v>
      </c>
      <c r="BM102" s="4504">
        <f t="shared" si="467"/>
        <v>1216.8849142756617</v>
      </c>
      <c r="BN102" s="4504">
        <f t="shared" si="468"/>
        <v>1181.7039653289148</v>
      </c>
      <c r="BO102" s="4504">
        <f t="shared" si="469"/>
        <v>1134.1589021055452</v>
      </c>
      <c r="BP102" s="4518"/>
      <c r="BQ102" s="4504">
        <f t="shared" si="470"/>
        <v>1.0741145605761708</v>
      </c>
      <c r="BR102" s="4504">
        <f t="shared" si="471"/>
        <v>0.86975660480742434</v>
      </c>
      <c r="BS102" s="4504">
        <f t="shared" si="472"/>
        <v>0.86335580971514225</v>
      </c>
      <c r="BT102" s="4504">
        <f t="shared" si="473"/>
        <v>0.86759009178673152</v>
      </c>
      <c r="BU102" s="4504">
        <f t="shared" si="474"/>
        <v>0.87502839666088683</v>
      </c>
      <c r="BV102" s="4504">
        <f t="shared" si="475"/>
        <v>0.88402256832902648</v>
      </c>
      <c r="BW102" s="4518"/>
      <c r="BX102" s="4504">
        <f t="shared" si="476"/>
        <v>282.56673338756701</v>
      </c>
      <c r="BY102" s="4504">
        <f t="shared" si="477"/>
        <v>335.1385332021822</v>
      </c>
      <c r="BZ102" s="4504">
        <f t="shared" si="478"/>
        <v>333.8439338032469</v>
      </c>
      <c r="CA102" s="4504">
        <f t="shared" si="479"/>
        <v>331.73393505046164</v>
      </c>
      <c r="CB102" s="4504">
        <f t="shared" si="480"/>
        <v>329.65361481257793</v>
      </c>
      <c r="CC102" s="4504">
        <f t="shared" si="481"/>
        <v>328.66616403399161</v>
      </c>
      <c r="CD102" s="4519"/>
    </row>
    <row r="103" spans="2:82" ht="14.4" thickBot="1">
      <c r="B103" s="1048"/>
      <c r="C103" s="1049"/>
      <c r="D103" s="1050"/>
      <c r="E103" s="1050"/>
      <c r="F103" s="1050"/>
      <c r="G103" s="1050"/>
      <c r="H103" s="1051"/>
      <c r="I103" s="1052"/>
      <c r="J103" s="1053"/>
      <c r="K103" s="1054"/>
      <c r="L103" s="1055"/>
      <c r="M103" s="1055"/>
      <c r="N103" s="1055"/>
      <c r="O103" s="1055"/>
      <c r="P103" s="1056"/>
      <c r="Q103" s="1057"/>
      <c r="R103" s="1058"/>
      <c r="S103" s="1059"/>
      <c r="T103" s="1055"/>
      <c r="U103" s="1055"/>
      <c r="V103" s="1055"/>
      <c r="W103" s="1055"/>
      <c r="X103" s="1051"/>
      <c r="Y103" s="1057"/>
      <c r="Z103" s="1053"/>
      <c r="AS103" s="669"/>
      <c r="AT103" s="669"/>
      <c r="AU103" s="669"/>
      <c r="AV103" s="669"/>
      <c r="AW103" s="669"/>
      <c r="AX103" s="669"/>
      <c r="AY103" s="669"/>
      <c r="AZ103" s="669"/>
      <c r="BA103" s="669"/>
      <c r="BB103" s="669"/>
      <c r="BC103" s="669"/>
      <c r="BD103" s="669"/>
      <c r="BE103" s="669"/>
      <c r="BF103" s="669"/>
      <c r="BG103" s="669"/>
      <c r="BH103" s="669"/>
      <c r="BI103" s="4488"/>
    </row>
    <row r="104" spans="2:82">
      <c r="B104" s="1060" t="s">
        <v>924</v>
      </c>
      <c r="C104" s="1061">
        <f>'2. Променливи'!E25</f>
        <v>1807.8504200000002</v>
      </c>
      <c r="D104" s="1062">
        <f>'2. Променливи'!F25</f>
        <v>1817.20642</v>
      </c>
      <c r="E104" s="1062">
        <f>'2. Променливи'!G25</f>
        <v>1818.70642</v>
      </c>
      <c r="F104" s="1062">
        <f>'2. Променливи'!H25</f>
        <v>1818.7564199999999</v>
      </c>
      <c r="G104" s="1062">
        <f>'2. Променливи'!I25</f>
        <v>1818.77142</v>
      </c>
      <c r="H104" s="1063">
        <f>'2. Променливи'!J25</f>
        <v>1818.9514199999999</v>
      </c>
      <c r="I104" s="1064"/>
      <c r="J104" s="1065"/>
      <c r="K104" s="1066"/>
      <c r="L104" s="1067"/>
      <c r="M104" s="1067"/>
      <c r="N104" s="1067"/>
      <c r="O104" s="1067"/>
      <c r="P104" s="1068"/>
      <c r="Q104" s="1069"/>
      <c r="R104" s="1070"/>
      <c r="S104" s="1071"/>
      <c r="T104" s="1067"/>
      <c r="U104" s="1067"/>
      <c r="V104" s="1067"/>
      <c r="W104" s="1067"/>
      <c r="X104" s="1068"/>
      <c r="Y104" s="1069"/>
      <c r="Z104" s="1065"/>
      <c r="AG104" s="847"/>
      <c r="AH104" s="696"/>
      <c r="AI104" s="696"/>
      <c r="AJ104" s="696"/>
      <c r="AK104" s="696"/>
      <c r="AL104" s="696"/>
      <c r="AM104" s="696"/>
      <c r="AN104" s="696"/>
      <c r="AO104" s="847"/>
      <c r="AP104" s="696"/>
      <c r="AQ104" s="696"/>
      <c r="AR104" s="696"/>
      <c r="AS104" s="669"/>
      <c r="AT104" s="669"/>
      <c r="AU104" s="669"/>
      <c r="AV104" s="669"/>
      <c r="AW104" s="669"/>
      <c r="AX104" s="669"/>
      <c r="AY104" s="669"/>
      <c r="AZ104" s="669"/>
      <c r="BA104" s="669"/>
      <c r="BB104" s="669"/>
      <c r="BC104" s="669"/>
      <c r="BD104" s="669"/>
      <c r="BE104" s="669"/>
      <c r="BF104" s="669"/>
      <c r="BG104" s="669"/>
      <c r="BH104" s="669"/>
      <c r="BI104" s="4488"/>
      <c r="BJ104" s="4524"/>
      <c r="BK104" s="4524"/>
      <c r="BL104" s="4524"/>
      <c r="BM104" s="4524"/>
      <c r="BN104" s="4524"/>
      <c r="BO104" s="4524"/>
      <c r="BP104" s="4524"/>
      <c r="BQ104" s="4524"/>
      <c r="BR104" s="4524"/>
      <c r="BS104" s="4524"/>
      <c r="BT104" s="4524"/>
      <c r="BU104" s="4524"/>
      <c r="BV104" s="4524"/>
      <c r="BW104" s="4524"/>
      <c r="BX104" s="4524"/>
      <c r="BY104" s="4524"/>
      <c r="BZ104" s="4524"/>
      <c r="CA104" s="4524"/>
      <c r="CB104" s="4524"/>
      <c r="CC104" s="4524"/>
      <c r="CD104" s="4524"/>
    </row>
    <row r="105" spans="2:82">
      <c r="B105" s="1030" t="s">
        <v>925</v>
      </c>
      <c r="C105" s="1072"/>
      <c r="D105" s="1073"/>
      <c r="E105" s="1073"/>
      <c r="F105" s="1073"/>
      <c r="G105" s="1073"/>
      <c r="H105" s="1074"/>
      <c r="I105" s="1034"/>
      <c r="J105" s="1075"/>
      <c r="K105" s="1076">
        <f>'2. Променливи'!E31</f>
        <v>151.45356999999998</v>
      </c>
      <c r="L105" s="1077">
        <f>'2. Променливи'!F31</f>
        <v>155.79843999999997</v>
      </c>
      <c r="M105" s="1077">
        <f>'2. Променливи'!G31</f>
        <v>156.81443999999996</v>
      </c>
      <c r="N105" s="1077">
        <f>'2. Променливи'!H31</f>
        <v>156.81443999999996</v>
      </c>
      <c r="O105" s="1077">
        <f>'2. Променливи'!I31</f>
        <v>156.81443999999996</v>
      </c>
      <c r="P105" s="1078">
        <f>'2. Променливи'!J31</f>
        <v>156.81443999999996</v>
      </c>
      <c r="Q105" s="1037"/>
      <c r="R105" s="1079"/>
      <c r="S105" s="1080"/>
      <c r="T105" s="1073"/>
      <c r="U105" s="1073"/>
      <c r="V105" s="1073"/>
      <c r="W105" s="1073"/>
      <c r="X105" s="1074"/>
      <c r="Y105" s="1037"/>
      <c r="Z105" s="1075"/>
      <c r="AG105" s="847"/>
      <c r="AH105" s="696"/>
      <c r="AI105" s="696"/>
      <c r="AJ105" s="696"/>
      <c r="AK105" s="696"/>
      <c r="AL105" s="696"/>
      <c r="AM105" s="696"/>
      <c r="AN105" s="696"/>
      <c r="AO105" s="847"/>
      <c r="AP105" s="696"/>
      <c r="AQ105" s="696"/>
      <c r="AR105" s="696"/>
      <c r="AS105" s="669"/>
      <c r="AT105" s="669"/>
      <c r="AU105" s="669"/>
      <c r="AV105" s="669"/>
      <c r="AW105" s="669"/>
      <c r="AX105" s="669"/>
      <c r="AY105" s="669"/>
      <c r="AZ105" s="669"/>
      <c r="BA105" s="669"/>
      <c r="BB105" s="669"/>
      <c r="BC105" s="669"/>
      <c r="BD105" s="669"/>
      <c r="BE105" s="669"/>
      <c r="BF105" s="669"/>
      <c r="BG105" s="669"/>
      <c r="BH105" s="669"/>
      <c r="BI105" s="4488"/>
      <c r="BJ105" s="4524"/>
      <c r="BK105" s="4524"/>
      <c r="BL105" s="4524"/>
      <c r="BM105" s="4524"/>
      <c r="BN105" s="4524"/>
      <c r="BO105" s="4524"/>
      <c r="BP105" s="4524"/>
      <c r="BQ105" s="4524"/>
      <c r="BR105" s="4524"/>
      <c r="BS105" s="4524"/>
      <c r="BT105" s="4524"/>
      <c r="BU105" s="4524"/>
      <c r="BV105" s="4524"/>
      <c r="BW105" s="4524"/>
      <c r="BX105" s="4524"/>
      <c r="BY105" s="4524"/>
      <c r="BZ105" s="4524"/>
      <c r="CA105" s="4524"/>
      <c r="CB105" s="4524"/>
      <c r="CC105" s="4524"/>
      <c r="CD105" s="4524"/>
    </row>
    <row r="106" spans="2:82">
      <c r="B106" s="1030" t="s">
        <v>926</v>
      </c>
      <c r="C106" s="1081">
        <f>'4. Отчет и прогн. потребление'!D9/1000</f>
        <v>9507.991</v>
      </c>
      <c r="D106" s="1077">
        <f>'4. Отчет и прогн. потребление'!E9/1000</f>
        <v>9407</v>
      </c>
      <c r="E106" s="1077">
        <f>'4. Отчет и прогн. потребление'!F9/1000</f>
        <v>9282</v>
      </c>
      <c r="F106" s="1077">
        <f>'4. Отчет и прогн. потребление'!G9/1000</f>
        <v>9133</v>
      </c>
      <c r="G106" s="1077">
        <f>'4. Отчет и прогн. потребление'!H9/1000</f>
        <v>8933</v>
      </c>
      <c r="H106" s="1078">
        <f>'4. Отчет и прогн. потребление'!I9/1000</f>
        <v>8647.5</v>
      </c>
      <c r="I106" s="1082"/>
      <c r="J106" s="1083"/>
      <c r="K106" s="1084"/>
      <c r="L106" s="1073"/>
      <c r="M106" s="1073"/>
      <c r="N106" s="1073"/>
      <c r="O106" s="1073"/>
      <c r="P106" s="1074"/>
      <c r="Q106" s="1085"/>
      <c r="R106" s="1086"/>
      <c r="S106" s="1080"/>
      <c r="T106" s="1073"/>
      <c r="U106" s="1073"/>
      <c r="V106" s="1073"/>
      <c r="W106" s="1073"/>
      <c r="X106" s="1074"/>
      <c r="Y106" s="1085"/>
      <c r="Z106" s="1083"/>
      <c r="AG106" s="847"/>
      <c r="AH106" s="696"/>
      <c r="AI106" s="696"/>
      <c r="AJ106" s="696"/>
      <c r="AK106" s="696"/>
      <c r="AL106" s="696"/>
      <c r="AM106" s="696"/>
      <c r="AN106" s="696"/>
      <c r="AO106" s="847"/>
      <c r="AP106" s="696"/>
      <c r="AQ106" s="696"/>
      <c r="AR106" s="696"/>
      <c r="AS106" s="669"/>
      <c r="AT106" s="669"/>
      <c r="AU106" s="669"/>
      <c r="AV106" s="669"/>
      <c r="AW106" s="669"/>
      <c r="AX106" s="669"/>
      <c r="AY106" s="669"/>
      <c r="AZ106" s="669"/>
      <c r="BA106" s="669"/>
      <c r="BB106" s="669"/>
      <c r="BC106" s="669"/>
      <c r="BD106" s="669"/>
      <c r="BE106" s="669"/>
      <c r="BF106" s="669"/>
      <c r="BG106" s="669"/>
      <c r="BH106" s="669"/>
      <c r="BI106" s="4488"/>
      <c r="BJ106" s="4524"/>
      <c r="BK106" s="4524"/>
      <c r="BL106" s="4524"/>
      <c r="BM106" s="4524"/>
      <c r="BN106" s="4524"/>
      <c r="BO106" s="4524"/>
      <c r="BP106" s="4524"/>
      <c r="BQ106" s="4524"/>
      <c r="BR106" s="4524"/>
      <c r="BS106" s="4524"/>
      <c r="BT106" s="4524"/>
      <c r="BU106" s="4524"/>
      <c r="BV106" s="4524"/>
      <c r="BW106" s="4524"/>
      <c r="BX106" s="4524"/>
      <c r="BY106" s="4524"/>
      <c r="BZ106" s="4524"/>
      <c r="CA106" s="4524"/>
      <c r="CB106" s="4524"/>
      <c r="CC106" s="4524"/>
      <c r="CD106" s="4524"/>
    </row>
    <row r="107" spans="2:82">
      <c r="B107" s="3363" t="s">
        <v>927</v>
      </c>
      <c r="C107" s="1080"/>
      <c r="D107" s="1073"/>
      <c r="E107" s="1073"/>
      <c r="F107" s="1073"/>
      <c r="G107" s="1073"/>
      <c r="H107" s="1074"/>
      <c r="I107" s="1034"/>
      <c r="J107" s="1075"/>
      <c r="K107" s="1076">
        <f>'4. Отчет и прогн. потребление'!D48/1000</f>
        <v>1881.9421539999998</v>
      </c>
      <c r="L107" s="1077">
        <f>'4. Отчет и прогн. потребление'!E48/1000</f>
        <v>1889.5652776666668</v>
      </c>
      <c r="M107" s="1077">
        <f>'4. Отчет и прогн. потребление'!F48/1000</f>
        <v>1895.1583957083928</v>
      </c>
      <c r="N107" s="1077">
        <f>'4. Отчет и прогн. потребление'!G48/1000</f>
        <v>1903.2958178917993</v>
      </c>
      <c r="O107" s="1077">
        <f>'4. Отчет и прогн. потребление'!H48/1000</f>
        <v>1914.7228651251783</v>
      </c>
      <c r="P107" s="1078">
        <f>'4. Отчет и прогн. потребление'!I48/1000</f>
        <v>1926.7732897072683</v>
      </c>
      <c r="Q107" s="1037"/>
      <c r="R107" s="1079"/>
      <c r="S107" s="1080"/>
      <c r="T107" s="1073"/>
      <c r="U107" s="1073"/>
      <c r="V107" s="1073"/>
      <c r="W107" s="1073"/>
      <c r="X107" s="1074"/>
      <c r="Y107" s="1037"/>
      <c r="Z107" s="1075"/>
      <c r="AG107" s="847"/>
      <c r="AH107" s="696"/>
      <c r="AI107" s="696"/>
      <c r="AJ107" s="696"/>
      <c r="AK107" s="696"/>
      <c r="AL107" s="696"/>
      <c r="AM107" s="696"/>
      <c r="AN107" s="696"/>
      <c r="AO107" s="847"/>
      <c r="AP107" s="696"/>
      <c r="AQ107" s="696"/>
      <c r="AR107" s="696"/>
      <c r="AS107" s="669"/>
      <c r="AT107" s="669"/>
      <c r="AU107" s="669"/>
      <c r="AV107" s="669"/>
      <c r="AW107" s="669"/>
      <c r="AX107" s="669"/>
      <c r="AY107" s="669"/>
      <c r="AZ107" s="669"/>
      <c r="BA107" s="669"/>
      <c r="BB107" s="669"/>
      <c r="BC107" s="669"/>
      <c r="BD107" s="669"/>
      <c r="BE107" s="669"/>
      <c r="BF107" s="669"/>
      <c r="BG107" s="669"/>
      <c r="BH107" s="669"/>
      <c r="BI107" s="4488"/>
      <c r="BJ107" s="4504">
        <f t="shared" ref="BJ107" si="485">IFERROR(C107/$D$1,0)</f>
        <v>0</v>
      </c>
      <c r="BK107" s="4504">
        <f t="shared" ref="BK107" si="486">IFERROR(D107/$D$1,0)</f>
        <v>0</v>
      </c>
      <c r="BL107" s="4504">
        <f t="shared" ref="BL107" si="487">IFERROR(E107/$D$1,0)</f>
        <v>0</v>
      </c>
      <c r="BM107" s="4504">
        <f t="shared" ref="BM107" si="488">IFERROR(F107/$D$1,0)</f>
        <v>0</v>
      </c>
      <c r="BN107" s="4504">
        <f t="shared" ref="BN107" si="489">IFERROR(G107/$D$1,0)</f>
        <v>0</v>
      </c>
      <c r="BO107" s="4504">
        <f t="shared" ref="BO107" si="490">IFERROR(H107/$D$1,0)</f>
        <v>0</v>
      </c>
      <c r="BP107" s="4518"/>
      <c r="BQ107" s="4504">
        <f t="shared" ref="BQ107" si="491">IFERROR(K107/$D$1,0)</f>
        <v>962.22174422112346</v>
      </c>
      <c r="BR107" s="4504">
        <f t="shared" ref="BR107" si="492">IFERROR(L107/$D$1,0)</f>
        <v>966.11938546124497</v>
      </c>
      <c r="BS107" s="4504">
        <f t="shared" ref="BS107" si="493">IFERROR(M107/$D$1,0)</f>
        <v>968.97910130655168</v>
      </c>
      <c r="BT107" s="4504">
        <f t="shared" ref="BT107" si="494">IFERROR(N107/$D$1,0)</f>
        <v>973.13969920279339</v>
      </c>
      <c r="BU107" s="4504">
        <f t="shared" ref="BU107" si="495">IFERROR(O107/$D$1,0)</f>
        <v>978.98225567926579</v>
      </c>
      <c r="BV107" s="4504">
        <f t="shared" ref="BV107" si="496">IFERROR(P107/$D$1,0)</f>
        <v>985.14353993305576</v>
      </c>
      <c r="BW107" s="4518"/>
      <c r="BX107" s="4504">
        <f t="shared" ref="BX107" si="497">IFERROR(S107/$D$1,0)</f>
        <v>0</v>
      </c>
      <c r="BY107" s="4504">
        <f t="shared" ref="BY107" si="498">IFERROR(T107/$D$1,0)</f>
        <v>0</v>
      </c>
      <c r="BZ107" s="4504">
        <f t="shared" ref="BZ107" si="499">IFERROR(U107/$D$1,0)</f>
        <v>0</v>
      </c>
      <c r="CA107" s="4504">
        <f t="shared" ref="CA107" si="500">IFERROR(V107/$D$1,0)</f>
        <v>0</v>
      </c>
      <c r="CB107" s="4504">
        <f t="shared" ref="CB107" si="501">IFERROR(W107/$D$1,0)</f>
        <v>0</v>
      </c>
      <c r="CC107" s="4504">
        <f t="shared" ref="CC107" si="502">IFERROR(X107/$D$1,0)</f>
        <v>0</v>
      </c>
      <c r="CD107" s="4519"/>
    </row>
    <row r="108" spans="2:82" ht="14.4" thickBot="1">
      <c r="B108" s="3364" t="s">
        <v>928</v>
      </c>
      <c r="C108" s="423"/>
      <c r="D108" s="424"/>
      <c r="E108" s="424"/>
      <c r="F108" s="424"/>
      <c r="G108" s="424"/>
      <c r="H108" s="425"/>
      <c r="I108" s="1087"/>
      <c r="J108" s="950"/>
      <c r="K108" s="954"/>
      <c r="L108" s="424"/>
      <c r="M108" s="424"/>
      <c r="N108" s="424"/>
      <c r="O108" s="424"/>
      <c r="P108" s="425"/>
      <c r="Q108" s="1088"/>
      <c r="R108" s="1089"/>
      <c r="S108" s="1090">
        <f>'2. Променливи'!E66/1000</f>
        <v>5749.5879999999997</v>
      </c>
      <c r="T108" s="1091">
        <f>'2. Променливи'!F66/1000</f>
        <v>5899.8310000000001</v>
      </c>
      <c r="U108" s="1091">
        <f>'2. Променливи'!G66/1000</f>
        <v>5883.1480000000001</v>
      </c>
      <c r="V108" s="1091">
        <f>'2. Променливи'!H66/1000</f>
        <v>5866.7460000000001</v>
      </c>
      <c r="W108" s="1091">
        <f>'2. Променливи'!I66/1000</f>
        <v>5850.6220000000003</v>
      </c>
      <c r="X108" s="1092">
        <f>'2. Променливи'!J66/1000</f>
        <v>5834.7740000000003</v>
      </c>
      <c r="Y108" s="1088"/>
      <c r="Z108" s="950"/>
      <c r="AG108" s="847"/>
      <c r="AH108" s="696"/>
      <c r="AI108" s="696"/>
      <c r="AJ108" s="696"/>
      <c r="AK108" s="696"/>
      <c r="AL108" s="696"/>
      <c r="AM108" s="696"/>
      <c r="AN108" s="696"/>
      <c r="AO108" s="847"/>
      <c r="AP108" s="696"/>
      <c r="AQ108" s="696"/>
      <c r="AR108" s="696"/>
      <c r="AS108" s="669"/>
      <c r="AT108" s="669"/>
      <c r="AU108" s="669"/>
      <c r="AV108" s="669"/>
      <c r="AW108" s="669"/>
      <c r="AX108" s="669"/>
      <c r="AY108" s="669"/>
      <c r="AZ108" s="669"/>
      <c r="BA108" s="669"/>
      <c r="BB108" s="669"/>
      <c r="BC108" s="669"/>
      <c r="BD108" s="669"/>
      <c r="BE108" s="669"/>
      <c r="BF108" s="669"/>
      <c r="BG108" s="669"/>
      <c r="BH108" s="669"/>
      <c r="BI108" s="4488"/>
      <c r="BJ108" s="4524"/>
      <c r="BK108" s="4524"/>
      <c r="BL108" s="4524"/>
      <c r="BM108" s="4524"/>
      <c r="BN108" s="4524"/>
      <c r="BO108" s="4524"/>
      <c r="BP108" s="4524"/>
      <c r="BQ108" s="4524"/>
      <c r="BR108" s="4524"/>
      <c r="BS108" s="4524"/>
      <c r="BT108" s="4524"/>
      <c r="BU108" s="4524"/>
      <c r="BV108" s="4524"/>
      <c r="BW108" s="4524"/>
      <c r="BX108" s="4524"/>
      <c r="BY108" s="4524"/>
      <c r="BZ108" s="4524"/>
      <c r="CA108" s="4524"/>
      <c r="CB108" s="4524"/>
      <c r="CC108" s="4524"/>
      <c r="CD108" s="4524"/>
    </row>
    <row r="109" spans="2:82" ht="14.4" thickBot="1">
      <c r="B109" s="1093"/>
      <c r="C109" s="1094"/>
      <c r="D109" s="1095"/>
      <c r="E109" s="1095"/>
      <c r="F109" s="1095"/>
      <c r="G109" s="1095"/>
      <c r="H109" s="1096"/>
      <c r="I109" s="1097"/>
      <c r="J109" s="1098"/>
      <c r="K109" s="1099"/>
      <c r="L109" s="1100"/>
      <c r="M109" s="1100"/>
      <c r="N109" s="1100"/>
      <c r="O109" s="1100"/>
      <c r="P109" s="1101"/>
      <c r="Q109" s="1102"/>
      <c r="R109" s="1103"/>
      <c r="S109" s="1104"/>
      <c r="T109" s="1100"/>
      <c r="U109" s="1100"/>
      <c r="V109" s="1100"/>
      <c r="W109" s="1100"/>
      <c r="X109" s="1105"/>
      <c r="Y109" s="1102"/>
      <c r="Z109" s="1098"/>
      <c r="AG109" s="847"/>
      <c r="AH109" s="696"/>
      <c r="AI109" s="696"/>
      <c r="AJ109" s="696"/>
      <c r="AK109" s="696"/>
      <c r="AL109" s="696"/>
      <c r="AM109" s="696"/>
      <c r="AN109" s="696"/>
      <c r="AO109" s="847"/>
      <c r="AP109" s="696"/>
      <c r="AQ109" s="696"/>
      <c r="AR109" s="696"/>
      <c r="AS109" s="669"/>
      <c r="AT109" s="669"/>
      <c r="AU109" s="669"/>
      <c r="AV109" s="669"/>
      <c r="AW109" s="669"/>
      <c r="AX109" s="669"/>
      <c r="AY109" s="669"/>
      <c r="AZ109" s="669"/>
      <c r="BA109" s="669"/>
      <c r="BB109" s="669"/>
      <c r="BC109" s="669"/>
      <c r="BD109" s="669"/>
      <c r="BE109" s="669"/>
      <c r="BF109" s="669"/>
      <c r="BG109" s="669"/>
      <c r="BH109" s="669"/>
      <c r="BI109" s="4488"/>
    </row>
    <row r="110" spans="2:82" ht="54.75" customHeight="1">
      <c r="B110" s="708" t="s">
        <v>933</v>
      </c>
      <c r="C110" s="354">
        <f>IFERROR(C99/C104,0)</f>
        <v>0.39734085870829733</v>
      </c>
      <c r="D110" s="355">
        <f>IFERROR(D99/D104,0)</f>
        <v>0.41920809908551993</v>
      </c>
      <c r="E110" s="355">
        <f t="shared" ref="E110:H110" si="503">IFERROR(E99/E104,0)</f>
        <v>0.41967153047745265</v>
      </c>
      <c r="F110" s="355">
        <f t="shared" si="503"/>
        <v>0.41617434923305829</v>
      </c>
      <c r="G110" s="355">
        <f>IFERROR(G99/G104,0)</f>
        <v>0.41794209997481363</v>
      </c>
      <c r="H110" s="356">
        <f t="shared" si="503"/>
        <v>0.41411722675495649</v>
      </c>
      <c r="I110" s="852"/>
      <c r="J110" s="830"/>
      <c r="K110" s="357">
        <f>IFERROR(K99/K105,0)</f>
        <v>0.20998879103510962</v>
      </c>
      <c r="L110" s="355">
        <f t="shared" ref="L110:P110" si="504">IFERROR(L99/L105,0)</f>
        <v>0.20366917182004965</v>
      </c>
      <c r="M110" s="355">
        <f t="shared" si="504"/>
        <v>0.20121320218005645</v>
      </c>
      <c r="N110" s="355">
        <f t="shared" si="504"/>
        <v>0.19651438664201065</v>
      </c>
      <c r="O110" s="355">
        <f t="shared" si="504"/>
        <v>0.20202560664136171</v>
      </c>
      <c r="P110" s="356">
        <f t="shared" si="504"/>
        <v>0.19742670408710855</v>
      </c>
      <c r="Q110" s="857"/>
      <c r="R110" s="835"/>
      <c r="S110" s="354">
        <f>IFERROR(S99/S108,0)</f>
        <v>4.2542049122022807E-2</v>
      </c>
      <c r="T110" s="355">
        <f t="shared" ref="T110:X110" si="505">IFERROR(T99/T108,0)</f>
        <v>4.4321968657267813E-2</v>
      </c>
      <c r="U110" s="355">
        <f t="shared" si="505"/>
        <v>4.4558739018293006E-2</v>
      </c>
      <c r="V110" s="355">
        <f t="shared" si="505"/>
        <v>4.4814675726456837E-2</v>
      </c>
      <c r="W110" s="355">
        <f t="shared" si="505"/>
        <v>4.5160778413427131E-2</v>
      </c>
      <c r="X110" s="356">
        <f t="shared" si="505"/>
        <v>4.5576071325999647E-2</v>
      </c>
      <c r="Y110" s="857"/>
      <c r="Z110" s="830"/>
      <c r="AG110" s="847"/>
      <c r="AH110" s="696"/>
      <c r="AI110" s="696"/>
      <c r="AJ110" s="696"/>
      <c r="AK110" s="696"/>
      <c r="AL110" s="696"/>
      <c r="AM110" s="696"/>
      <c r="AN110" s="696"/>
      <c r="AO110" s="847"/>
      <c r="AP110" s="696"/>
      <c r="AQ110" s="696"/>
      <c r="AR110" s="696"/>
      <c r="AS110" s="669"/>
      <c r="AT110" s="669"/>
      <c r="AU110" s="669"/>
      <c r="AV110" s="669"/>
      <c r="AW110" s="669"/>
      <c r="AX110" s="669"/>
      <c r="AY110" s="669"/>
      <c r="AZ110" s="669"/>
      <c r="BA110" s="669"/>
      <c r="BB110" s="669"/>
      <c r="BC110" s="669"/>
      <c r="BD110" s="669"/>
      <c r="BE110" s="669"/>
      <c r="BF110" s="669"/>
      <c r="BG110" s="669"/>
      <c r="BH110" s="669"/>
      <c r="BI110" s="4488"/>
      <c r="BJ110" s="4525">
        <f t="shared" ref="BJ110:BJ113" si="506">IFERROR(C110/$D$1,0)</f>
        <v>0.2031571551250862</v>
      </c>
      <c r="BK110" s="4525">
        <f t="shared" ref="BK110:BK113" si="507">IFERROR(D110/$D$1,0)</f>
        <v>0.21433769759412624</v>
      </c>
      <c r="BL110" s="4525">
        <f t="shared" ref="BL110:BL113" si="508">IFERROR(E110/$D$1,0)</f>
        <v>0.2145746463023129</v>
      </c>
      <c r="BM110" s="4525">
        <f t="shared" ref="BM110:BM113" si="509">IFERROR(F110/$D$1,0)</f>
        <v>0.21278656592498238</v>
      </c>
      <c r="BN110" s="4525">
        <f t="shared" ref="BN110:BN113" si="510">IFERROR(G110/$D$1,0)</f>
        <v>0.21369040252722049</v>
      </c>
      <c r="BO110" s="4525">
        <f t="shared" ref="BO110:BO113" si="511">IFERROR(H110/$D$1,0)</f>
        <v>0.2117347759033027</v>
      </c>
      <c r="BP110" s="4527"/>
      <c r="BQ110" s="4525">
        <f t="shared" ref="BQ110:BQ113" si="512">IFERROR(K110/$D$1,0)</f>
        <v>0.10736556399846083</v>
      </c>
      <c r="BR110" s="4525">
        <f t="shared" ref="BR110:BR113" si="513">IFERROR(L110/$D$1,0)</f>
        <v>0.10413439400154904</v>
      </c>
      <c r="BS110" s="4525">
        <f t="shared" ref="BS110:BS113" si="514">IFERROR(M110/$D$1,0)</f>
        <v>0.10287867666415612</v>
      </c>
      <c r="BT110" s="4525">
        <f t="shared" ref="BT110:BT113" si="515">IFERROR(N110/$D$1,0)</f>
        <v>0.10047621042831466</v>
      </c>
      <c r="BU110" s="4525">
        <f t="shared" ref="BU110:BU113" si="516">IFERROR(O110/$D$1,0)</f>
        <v>0.10329405246946909</v>
      </c>
      <c r="BV110" s="4525">
        <f t="shared" ref="BV110:BV113" si="517">IFERROR(P110/$D$1,0)</f>
        <v>0.10094267093106689</v>
      </c>
      <c r="BW110" s="4527"/>
      <c r="BX110" s="4525">
        <f t="shared" ref="BX110:BX113" si="518">IFERROR(S110/$D$1,0)</f>
        <v>2.1751404325540978E-2</v>
      </c>
      <c r="BY110" s="4525">
        <f t="shared" ref="BY110:BY113" si="519">IFERROR(T110/$D$1,0)</f>
        <v>2.2661462733094294E-2</v>
      </c>
      <c r="BZ110" s="4525">
        <f t="shared" ref="BZ110:BZ113" si="520">IFERROR(U110/$D$1,0)</f>
        <v>2.2782521496394374E-2</v>
      </c>
      <c r="CA110" s="4525">
        <f t="shared" ref="CA110:CA113" si="521">IFERROR(V110/$D$1,0)</f>
        <v>2.2913379857378628E-2</v>
      </c>
      <c r="CB110" s="4525">
        <f t="shared" ref="CB110:CB113" si="522">IFERROR(W110/$D$1,0)</f>
        <v>2.3090339351286734E-2</v>
      </c>
      <c r="CC110" s="4525">
        <f t="shared" ref="CC110:CC113" si="523">IFERROR(X110/$D$1,0)</f>
        <v>2.3302675245803393E-2</v>
      </c>
      <c r="CD110" s="4526"/>
    </row>
    <row r="111" spans="2:82" ht="36">
      <c r="B111" s="709" t="s">
        <v>934</v>
      </c>
      <c r="C111" s="358">
        <f>IFERROR(C100/C104,0)</f>
        <v>3.1085345412280661</v>
      </c>
      <c r="D111" s="359">
        <f t="shared" ref="D111:H111" si="524">IFERROR(D100/D104,0)</f>
        <v>4.4668659522855556</v>
      </c>
      <c r="E111" s="359">
        <f t="shared" si="524"/>
        <v>5.0659970786466628</v>
      </c>
      <c r="F111" s="359">
        <f t="shared" si="524"/>
        <v>5.749635928353344</v>
      </c>
      <c r="G111" s="359">
        <f t="shared" si="524"/>
        <v>6.5119303960812935</v>
      </c>
      <c r="H111" s="360">
        <f t="shared" si="524"/>
        <v>7.358806263475044</v>
      </c>
      <c r="I111" s="853"/>
      <c r="J111" s="831"/>
      <c r="K111" s="361">
        <f>IFERROR(K100/K105,0)</f>
        <v>1.1547962490779211</v>
      </c>
      <c r="L111" s="359">
        <f t="shared" ref="L111:P111" si="525">IFERROR(L100/L105,0)</f>
        <v>2.5155324106964301</v>
      </c>
      <c r="M111" s="359">
        <f t="shared" si="525"/>
        <v>2.845012070213377</v>
      </c>
      <c r="N111" s="359">
        <f t="shared" si="525"/>
        <v>3.2255471311538781</v>
      </c>
      <c r="O111" s="359">
        <f t="shared" si="525"/>
        <v>3.6518496611003073</v>
      </c>
      <c r="P111" s="360">
        <f t="shared" si="525"/>
        <v>4.1299344613841233</v>
      </c>
      <c r="Q111" s="858"/>
      <c r="R111" s="836"/>
      <c r="S111" s="358">
        <f>IFERROR(S100/S108,0)</f>
        <v>0.19675297383844542</v>
      </c>
      <c r="T111" s="359">
        <f t="shared" ref="T111:X111" si="526">IFERROR(T100/T108,0)</f>
        <v>0.32451837395211369</v>
      </c>
      <c r="U111" s="359">
        <f t="shared" si="526"/>
        <v>0.37276079849604543</v>
      </c>
      <c r="V111" s="359">
        <f t="shared" si="526"/>
        <v>0.42615855467551644</v>
      </c>
      <c r="W111" s="359">
        <f t="shared" si="526"/>
        <v>0.48607130510978319</v>
      </c>
      <c r="X111" s="360">
        <f t="shared" si="526"/>
        <v>0.55343187471698685</v>
      </c>
      <c r="Y111" s="858"/>
      <c r="Z111" s="831"/>
      <c r="AG111" s="847"/>
      <c r="AH111" s="696"/>
      <c r="AI111" s="696"/>
      <c r="AJ111" s="696"/>
      <c r="AK111" s="696"/>
      <c r="AL111" s="696"/>
      <c r="AM111" s="696"/>
      <c r="AN111" s="696"/>
      <c r="AO111" s="847"/>
      <c r="AP111" s="696"/>
      <c r="AQ111" s="696"/>
      <c r="AR111" s="696"/>
      <c r="AS111" s="669"/>
      <c r="AT111" s="669"/>
      <c r="AU111" s="669"/>
      <c r="AV111" s="669"/>
      <c r="AW111" s="669"/>
      <c r="AX111" s="669"/>
      <c r="AY111" s="669"/>
      <c r="AZ111" s="669"/>
      <c r="BA111" s="669"/>
      <c r="BB111" s="669"/>
      <c r="BC111" s="669"/>
      <c r="BD111" s="669"/>
      <c r="BE111" s="669"/>
      <c r="BF111" s="669"/>
      <c r="BG111" s="669"/>
      <c r="BH111" s="669"/>
      <c r="BI111" s="4488"/>
      <c r="BJ111" s="4525">
        <f t="shared" si="506"/>
        <v>1.5893684733479219</v>
      </c>
      <c r="BK111" s="4525">
        <f t="shared" si="507"/>
        <v>2.2838722957954198</v>
      </c>
      <c r="BL111" s="4525">
        <f t="shared" si="508"/>
        <v>2.5902031764757996</v>
      </c>
      <c r="BM111" s="4525">
        <f t="shared" si="509"/>
        <v>2.9397421700011472</v>
      </c>
      <c r="BN111" s="4525">
        <f t="shared" si="510"/>
        <v>3.329497142431241</v>
      </c>
      <c r="BO111" s="4525">
        <f t="shared" si="511"/>
        <v>3.7624978978106709</v>
      </c>
      <c r="BP111" s="4527"/>
      <c r="BQ111" s="4525">
        <f t="shared" si="512"/>
        <v>0.5904379465893872</v>
      </c>
      <c r="BR111" s="4525">
        <f t="shared" si="513"/>
        <v>1.2861712984750362</v>
      </c>
      <c r="BS111" s="4525">
        <f t="shared" si="514"/>
        <v>1.4546315734053457</v>
      </c>
      <c r="BT111" s="4525">
        <f t="shared" si="515"/>
        <v>1.649196060574732</v>
      </c>
      <c r="BU111" s="4525">
        <f t="shared" si="516"/>
        <v>1.8671610830697492</v>
      </c>
      <c r="BV111" s="4525">
        <f t="shared" si="517"/>
        <v>2.1116019599781799</v>
      </c>
      <c r="BW111" s="4527"/>
      <c r="BX111" s="4525">
        <f t="shared" si="518"/>
        <v>0.10059819812480912</v>
      </c>
      <c r="BY111" s="4525">
        <f t="shared" si="519"/>
        <v>0.16592360990071411</v>
      </c>
      <c r="BZ111" s="4525">
        <f t="shared" si="520"/>
        <v>0.19058956989924761</v>
      </c>
      <c r="CA111" s="4525">
        <f t="shared" si="521"/>
        <v>0.21789140910790633</v>
      </c>
      <c r="CB111" s="4525">
        <f t="shared" si="522"/>
        <v>0.24852431198508215</v>
      </c>
      <c r="CC111" s="4525">
        <f t="shared" si="523"/>
        <v>0.28296522433799814</v>
      </c>
      <c r="CD111" s="4526"/>
    </row>
    <row r="112" spans="2:82" ht="36">
      <c r="B112" s="709" t="s">
        <v>935</v>
      </c>
      <c r="C112" s="358">
        <f>IFERROR(C101/C104,0)</f>
        <v>0.93135237062872633</v>
      </c>
      <c r="D112" s="359">
        <f t="shared" ref="D112:H112" si="527">IFERROR(D101/D104,0)</f>
        <v>1.0258599976235334</v>
      </c>
      <c r="E112" s="359">
        <f t="shared" si="527"/>
        <v>1.0899140305780117</v>
      </c>
      <c r="F112" s="359">
        <f t="shared" si="527"/>
        <v>1.1713888705466737</v>
      </c>
      <c r="G112" s="359">
        <f t="shared" si="527"/>
        <v>1.2641511295453138</v>
      </c>
      <c r="H112" s="360">
        <f t="shared" si="527"/>
        <v>1.3608568970371164</v>
      </c>
      <c r="I112" s="853"/>
      <c r="J112" s="831"/>
      <c r="K112" s="361">
        <f>IFERROR(K101/K105,0)</f>
        <v>0.2934124358190226</v>
      </c>
      <c r="L112" s="359">
        <f t="shared" ref="L112:P112" si="528">IFERROR(L101/L105,0)</f>
        <v>0.38829992356954324</v>
      </c>
      <c r="M112" s="359">
        <f t="shared" si="528"/>
        <v>0.4037726208883245</v>
      </c>
      <c r="N112" s="359">
        <f t="shared" si="528"/>
        <v>0.40006030898087169</v>
      </c>
      <c r="O112" s="359">
        <f t="shared" si="528"/>
        <v>0.47007823625726664</v>
      </c>
      <c r="P112" s="360">
        <f t="shared" si="528"/>
        <v>0.47385487594426567</v>
      </c>
      <c r="Q112" s="858"/>
      <c r="R112" s="836"/>
      <c r="S112" s="358">
        <f>IFERROR(S101/S108,0)</f>
        <v>6.6420418226874178E-3</v>
      </c>
      <c r="T112" s="359">
        <f t="shared" ref="T112:X112" si="529">IFERROR(T101/T108,0)</f>
        <v>8.2237598885068156E-3</v>
      </c>
      <c r="U112" s="359">
        <f t="shared" si="529"/>
        <v>8.1163063590623512E-3</v>
      </c>
      <c r="V112" s="359">
        <f t="shared" si="529"/>
        <v>8.6865390573067219E-3</v>
      </c>
      <c r="W112" s="359">
        <f t="shared" si="529"/>
        <v>9.3934916943348608E-3</v>
      </c>
      <c r="X112" s="360">
        <f t="shared" si="529"/>
        <v>1.01237070568662E-2</v>
      </c>
      <c r="Y112" s="858"/>
      <c r="Z112" s="831"/>
      <c r="AG112" s="847"/>
      <c r="AH112" s="696"/>
      <c r="AI112" s="696"/>
      <c r="AJ112" s="696"/>
      <c r="AK112" s="696"/>
      <c r="AL112" s="696"/>
      <c r="AM112" s="696"/>
      <c r="AN112" s="696"/>
      <c r="AO112" s="847"/>
      <c r="AP112" s="696"/>
      <c r="AQ112" s="696"/>
      <c r="AR112" s="696"/>
      <c r="AS112" s="669"/>
      <c r="AT112" s="669"/>
      <c r="AU112" s="669"/>
      <c r="AV112" s="669"/>
      <c r="AW112" s="669"/>
      <c r="AX112" s="669"/>
      <c r="AY112" s="669"/>
      <c r="AZ112" s="669"/>
      <c r="BA112" s="669"/>
      <c r="BB112" s="669"/>
      <c r="BC112" s="669"/>
      <c r="BD112" s="669"/>
      <c r="BE112" s="669"/>
      <c r="BF112" s="669"/>
      <c r="BG112" s="669"/>
      <c r="BH112" s="669"/>
      <c r="BI112" s="4488"/>
      <c r="BJ112" s="4525">
        <f t="shared" si="506"/>
        <v>0.47619290563531919</v>
      </c>
      <c r="BK112" s="4525">
        <f t="shared" si="507"/>
        <v>0.52451388802888466</v>
      </c>
      <c r="BL112" s="4525">
        <f t="shared" si="508"/>
        <v>0.55726419503638447</v>
      </c>
      <c r="BM112" s="4525">
        <f t="shared" si="509"/>
        <v>0.59892161923412246</v>
      </c>
      <c r="BN112" s="4525">
        <f t="shared" si="510"/>
        <v>0.64635020914154806</v>
      </c>
      <c r="BO112" s="4525">
        <f t="shared" si="511"/>
        <v>0.69579508292495584</v>
      </c>
      <c r="BP112" s="4527"/>
      <c r="BQ112" s="4525">
        <f t="shared" si="512"/>
        <v>0.15001939627627278</v>
      </c>
      <c r="BR112" s="4525">
        <f t="shared" si="513"/>
        <v>0.19853459839021961</v>
      </c>
      <c r="BS112" s="4525">
        <f t="shared" si="514"/>
        <v>0.20644566290951899</v>
      </c>
      <c r="BT112" s="4525">
        <f t="shared" si="515"/>
        <v>0.2045475879707703</v>
      </c>
      <c r="BU112" s="4525">
        <f t="shared" si="516"/>
        <v>0.2403471857253783</v>
      </c>
      <c r="BV112" s="4525">
        <f t="shared" si="517"/>
        <v>0.24227815093554433</v>
      </c>
      <c r="BW112" s="4527"/>
      <c r="BX112" s="4525">
        <f t="shared" si="518"/>
        <v>3.3960220585058098E-3</v>
      </c>
      <c r="BY112" s="4525">
        <f t="shared" si="519"/>
        <v>4.2047416639006538E-3</v>
      </c>
      <c r="BZ112" s="4525">
        <f t="shared" si="520"/>
        <v>4.14980154668982E-3</v>
      </c>
      <c r="CA112" s="4525">
        <f t="shared" si="521"/>
        <v>4.4413568956947801E-3</v>
      </c>
      <c r="CB112" s="4525">
        <f t="shared" si="522"/>
        <v>4.8028160393975249E-3</v>
      </c>
      <c r="CC112" s="4525">
        <f t="shared" si="523"/>
        <v>5.1761692257845521E-3</v>
      </c>
      <c r="CD112" s="4526"/>
    </row>
    <row r="113" spans="1:82" ht="36.6" thickBot="1">
      <c r="B113" s="710" t="s">
        <v>936</v>
      </c>
      <c r="C113" s="362">
        <f>IFERROR(C102/C106,0)</f>
        <v>0.20904957675307168</v>
      </c>
      <c r="D113" s="363">
        <f t="shared" ref="D113:H113" si="530">IFERROR(D102/D106,0)</f>
        <v>0.26184658927711973</v>
      </c>
      <c r="E113" s="363">
        <f t="shared" si="530"/>
        <v>0.26151162913149945</v>
      </c>
      <c r="F113" s="363">
        <f t="shared" si="530"/>
        <v>0.26059564457328011</v>
      </c>
      <c r="G113" s="363">
        <f t="shared" si="530"/>
        <v>0.25872742264740306</v>
      </c>
      <c r="H113" s="364">
        <f t="shared" si="530"/>
        <v>0.25651598791617097</v>
      </c>
      <c r="I113" s="854"/>
      <c r="J113" s="832"/>
      <c r="K113" s="365">
        <f>IFERROR(K102/K107,0)</f>
        <v>1.1162858946256922E-3</v>
      </c>
      <c r="L113" s="363">
        <f t="shared" ref="L113:P113" si="531">IFERROR(L102/L107,0)</f>
        <v>9.0025789555209571E-4</v>
      </c>
      <c r="M113" s="363">
        <f t="shared" si="531"/>
        <v>8.9099528416145489E-4</v>
      </c>
      <c r="N113" s="363">
        <f t="shared" si="531"/>
        <v>8.915370449869332E-4</v>
      </c>
      <c r="O113" s="363">
        <f t="shared" si="531"/>
        <v>8.9381435831413448E-4</v>
      </c>
      <c r="P113" s="364">
        <f t="shared" si="531"/>
        <v>8.9735407328469022E-4</v>
      </c>
      <c r="Q113" s="859"/>
      <c r="R113" s="837"/>
      <c r="S113" s="362">
        <f>IFERROR(S102/S108,0)</f>
        <v>9.612036447853399E-2</v>
      </c>
      <c r="T113" s="363">
        <f t="shared" ref="T113:X113" si="532">IFERROR(T102/T108,0)</f>
        <v>0.1111004700630957</v>
      </c>
      <c r="U113" s="363">
        <f t="shared" si="532"/>
        <v>0.11098513602758325</v>
      </c>
      <c r="V113" s="363">
        <f t="shared" si="532"/>
        <v>0.11059200145868671</v>
      </c>
      <c r="W113" s="363">
        <f t="shared" si="532"/>
        <v>0.11020134773001643</v>
      </c>
      <c r="X113" s="364">
        <f t="shared" si="532"/>
        <v>0.11016967299892022</v>
      </c>
      <c r="Y113" s="859"/>
      <c r="Z113" s="832"/>
      <c r="AG113" s="847"/>
      <c r="AH113" s="696"/>
      <c r="AI113" s="696"/>
      <c r="AJ113" s="696"/>
      <c r="AK113" s="696"/>
      <c r="AL113" s="696"/>
      <c r="AM113" s="696"/>
      <c r="AN113" s="696"/>
      <c r="AO113" s="847"/>
      <c r="AP113" s="696"/>
      <c r="AQ113" s="696"/>
      <c r="AR113" s="696"/>
      <c r="AS113" s="669"/>
      <c r="AT113" s="669"/>
      <c r="AU113" s="669"/>
      <c r="AV113" s="669"/>
      <c r="AW113" s="669"/>
      <c r="AX113" s="669"/>
      <c r="AY113" s="669"/>
      <c r="AZ113" s="669"/>
      <c r="BA113" s="669"/>
      <c r="BB113" s="669"/>
      <c r="BC113" s="669"/>
      <c r="BD113" s="669"/>
      <c r="BE113" s="669"/>
      <c r="BF113" s="669"/>
      <c r="BG113" s="669"/>
      <c r="BH113" s="669"/>
      <c r="BI113" s="4488"/>
      <c r="BJ113" s="4525">
        <f t="shared" si="506"/>
        <v>0.10688535136135129</v>
      </c>
      <c r="BK113" s="4525">
        <f t="shared" si="507"/>
        <v>0.13388003521631212</v>
      </c>
      <c r="BL113" s="4525">
        <f t="shared" si="508"/>
        <v>0.13370877281333216</v>
      </c>
      <c r="BM113" s="4525">
        <f t="shared" si="509"/>
        <v>0.13324043734541352</v>
      </c>
      <c r="BN113" s="4525">
        <f t="shared" si="510"/>
        <v>0.13228523064243983</v>
      </c>
      <c r="BO113" s="4525">
        <f t="shared" si="511"/>
        <v>0.1311545420185655</v>
      </c>
      <c r="BP113" s="4527"/>
      <c r="BQ113" s="4525">
        <f t="shared" si="512"/>
        <v>5.7074791501597383E-4</v>
      </c>
      <c r="BR113" s="4525">
        <f t="shared" si="513"/>
        <v>4.6029455297857979E-4</v>
      </c>
      <c r="BS113" s="4525">
        <f t="shared" si="514"/>
        <v>4.5555865497586955E-4</v>
      </c>
      <c r="BT113" s="4525">
        <f t="shared" si="515"/>
        <v>4.5583565288748678E-4</v>
      </c>
      <c r="BU113" s="4525">
        <f t="shared" si="516"/>
        <v>4.5700002470262471E-4</v>
      </c>
      <c r="BV113" s="4525">
        <f t="shared" si="517"/>
        <v>4.5880985222881857E-4</v>
      </c>
      <c r="BW113" s="4527"/>
      <c r="BX113" s="4525">
        <f t="shared" si="518"/>
        <v>4.914556197549582E-2</v>
      </c>
      <c r="BY113" s="4525">
        <f t="shared" si="519"/>
        <v>5.6804768340344355E-2</v>
      </c>
      <c r="BZ113" s="4525">
        <f t="shared" si="520"/>
        <v>5.6745798984361245E-2</v>
      </c>
      <c r="CA113" s="4525">
        <f t="shared" si="521"/>
        <v>5.654479247106687E-2</v>
      </c>
      <c r="CB113" s="4525">
        <f t="shared" si="522"/>
        <v>5.6345054391238721E-2</v>
      </c>
      <c r="CC113" s="4525">
        <f t="shared" si="523"/>
        <v>5.632885935839016E-2</v>
      </c>
      <c r="CD113" s="4526"/>
    </row>
    <row r="114" spans="1:82">
      <c r="C114" s="3066"/>
      <c r="D114" s="3066"/>
      <c r="E114" s="3066"/>
      <c r="F114" s="3066"/>
      <c r="G114" s="3066"/>
      <c r="H114" s="3066"/>
      <c r="I114" s="849"/>
      <c r="J114" s="687"/>
      <c r="K114" s="687"/>
      <c r="L114" s="687"/>
      <c r="M114" s="687"/>
      <c r="N114" s="687"/>
      <c r="O114" s="687"/>
      <c r="P114" s="687"/>
      <c r="Q114" s="849"/>
      <c r="R114" s="687"/>
      <c r="S114" s="687"/>
      <c r="T114" s="687"/>
      <c r="U114" s="687"/>
      <c r="V114" s="687"/>
      <c r="W114" s="687"/>
      <c r="Y114" s="849"/>
      <c r="Z114" s="687"/>
      <c r="AA114" s="687"/>
      <c r="AB114" s="687"/>
      <c r="AC114" s="687"/>
      <c r="AD114" s="687"/>
      <c r="AE114" s="687"/>
      <c r="AG114" s="849"/>
      <c r="AH114" s="687"/>
      <c r="AI114" s="687"/>
      <c r="AJ114" s="687"/>
      <c r="AK114" s="687"/>
      <c r="AL114" s="687"/>
      <c r="AM114" s="687"/>
      <c r="AO114" s="849"/>
      <c r="AP114" s="687"/>
      <c r="AW114" s="696"/>
      <c r="AX114" s="696"/>
      <c r="AY114" s="696"/>
      <c r="AZ114" s="696"/>
      <c r="BA114" s="696"/>
      <c r="BB114" s="696"/>
      <c r="BC114" s="696"/>
      <c r="BD114" s="696"/>
      <c r="BE114" s="696"/>
      <c r="BF114" s="696"/>
      <c r="BG114" s="696"/>
      <c r="BH114" s="696"/>
    </row>
    <row r="115" spans="1:82">
      <c r="I115" s="849"/>
      <c r="J115" s="687"/>
      <c r="K115" s="687"/>
      <c r="L115" s="687"/>
      <c r="M115" s="687"/>
      <c r="N115" s="687"/>
      <c r="O115" s="687"/>
      <c r="P115" s="687"/>
      <c r="Q115" s="849"/>
      <c r="R115" s="687"/>
      <c r="S115" s="687"/>
      <c r="T115" s="687"/>
      <c r="U115" s="687"/>
      <c r="V115" s="687"/>
      <c r="W115" s="687"/>
      <c r="Y115" s="849"/>
      <c r="Z115" s="687"/>
      <c r="AA115" s="687"/>
      <c r="AB115" s="687"/>
      <c r="AC115" s="687"/>
      <c r="AD115" s="687"/>
      <c r="AE115" s="687"/>
      <c r="AG115" s="849"/>
      <c r="AH115" s="687"/>
      <c r="AI115" s="687"/>
      <c r="AJ115" s="687"/>
      <c r="AK115" s="687"/>
      <c r="AL115" s="687"/>
      <c r="AM115" s="687"/>
      <c r="AO115" s="849"/>
      <c r="AP115" s="687"/>
      <c r="AW115" s="696"/>
      <c r="AX115" s="696"/>
      <c r="AY115" s="696"/>
      <c r="AZ115" s="696"/>
      <c r="BA115" s="696"/>
      <c r="BB115" s="696"/>
      <c r="BC115" s="696"/>
      <c r="BD115" s="696"/>
      <c r="BE115" s="696"/>
      <c r="BF115" s="696"/>
      <c r="BG115" s="696"/>
      <c r="BH115" s="696"/>
    </row>
    <row r="116" spans="1:82">
      <c r="B116" s="3067" t="str">
        <f>'Приложение '!B82</f>
        <v>Дата: 16.03.2026</v>
      </c>
      <c r="Q116" s="3068"/>
      <c r="R116" s="671"/>
      <c r="X116" s="41"/>
      <c r="AF116" s="41"/>
      <c r="AN116" s="41"/>
      <c r="AQ116" s="41"/>
      <c r="AR116" s="41"/>
      <c r="AS116" s="41"/>
      <c r="AT116" s="41"/>
      <c r="AU116" s="41"/>
      <c r="AV116" s="41"/>
      <c r="AW116" s="696"/>
      <c r="AX116" s="696"/>
      <c r="AY116" s="696"/>
      <c r="AZ116" s="696"/>
      <c r="BA116" s="696"/>
      <c r="BB116" s="696"/>
      <c r="BC116" s="696"/>
      <c r="BD116" s="696"/>
      <c r="BE116" s="696"/>
      <c r="BF116" s="696"/>
      <c r="BG116" s="696"/>
      <c r="BH116" s="696"/>
    </row>
    <row r="117" spans="1:82">
      <c r="Q117" s="3068"/>
      <c r="R117" s="3069"/>
      <c r="X117" s="688"/>
      <c r="AF117" s="688"/>
      <c r="AN117" s="688"/>
      <c r="AQ117" s="43"/>
      <c r="AR117" s="689"/>
      <c r="AS117" s="32"/>
      <c r="AT117" s="32"/>
      <c r="AU117" s="32"/>
      <c r="AV117" s="688"/>
      <c r="AW117" s="696"/>
      <c r="AX117" s="696"/>
      <c r="AY117" s="696"/>
      <c r="AZ117" s="696"/>
      <c r="BA117" s="696"/>
      <c r="BB117" s="696"/>
      <c r="BC117" s="696"/>
      <c r="BD117" s="696"/>
      <c r="BE117" s="696"/>
      <c r="BF117" s="696"/>
      <c r="BG117" s="696"/>
      <c r="BH117" s="696"/>
    </row>
    <row r="118" spans="1:82">
      <c r="Q118" s="3068"/>
      <c r="R118" s="671"/>
      <c r="X118" s="688"/>
      <c r="AF118" s="688"/>
      <c r="AN118" s="688"/>
      <c r="AQ118" s="688"/>
      <c r="AR118" s="690"/>
      <c r="AS118" s="691"/>
      <c r="AT118" s="692"/>
      <c r="AU118" s="32"/>
      <c r="AV118" s="688"/>
      <c r="AW118" s="696"/>
      <c r="AX118" s="696"/>
      <c r="AY118" s="696"/>
      <c r="AZ118" s="696"/>
      <c r="BA118" s="696"/>
      <c r="BB118" s="696"/>
      <c r="BC118" s="696"/>
      <c r="BD118" s="696"/>
      <c r="BE118" s="696"/>
      <c r="BF118" s="696"/>
      <c r="BG118" s="696"/>
      <c r="BH118" s="696"/>
    </row>
    <row r="119" spans="1:82">
      <c r="B119" s="694" t="s">
        <v>187</v>
      </c>
      <c r="Q119" s="3068"/>
      <c r="R119" s="671"/>
      <c r="X119" s="688"/>
      <c r="AF119" s="688"/>
      <c r="AN119" s="688"/>
      <c r="AQ119" s="688"/>
      <c r="AR119" s="690"/>
      <c r="AS119" s="691"/>
      <c r="AT119" s="692"/>
      <c r="AU119" s="32"/>
      <c r="AV119" s="688"/>
      <c r="AW119" s="696"/>
      <c r="AX119" s="696"/>
      <c r="AY119" s="696"/>
      <c r="AZ119" s="696"/>
      <c r="BA119" s="696"/>
      <c r="BB119" s="696"/>
      <c r="BC119" s="696"/>
      <c r="BD119" s="696"/>
      <c r="BE119" s="696"/>
      <c r="BF119" s="696"/>
      <c r="BG119" s="696"/>
      <c r="BH119" s="696"/>
    </row>
    <row r="120" spans="1:82">
      <c r="B120" s="1446" t="s">
        <v>1057</v>
      </c>
      <c r="Q120" s="3068"/>
      <c r="R120" s="671"/>
      <c r="X120" s="688"/>
      <c r="AF120" s="688"/>
      <c r="AN120" s="688"/>
      <c r="AQ120" s="688"/>
      <c r="AR120" s="690"/>
      <c r="AS120" s="691"/>
      <c r="AT120" s="692"/>
      <c r="AU120" s="32"/>
      <c r="AV120" s="688"/>
      <c r="AW120" s="696"/>
      <c r="AX120" s="696"/>
      <c r="AY120" s="696"/>
      <c r="AZ120" s="696"/>
      <c r="BA120" s="696"/>
      <c r="BB120" s="696"/>
      <c r="BC120" s="696"/>
      <c r="BD120" s="696"/>
      <c r="BE120" s="696"/>
      <c r="BF120" s="696"/>
      <c r="BG120" s="696"/>
      <c r="BH120" s="696"/>
    </row>
    <row r="121" spans="1:82" s="44" customFormat="1">
      <c r="B121" s="1446" t="s">
        <v>1056</v>
      </c>
      <c r="C121" s="45"/>
      <c r="D121" s="45"/>
      <c r="E121" s="45"/>
      <c r="F121" s="45"/>
      <c r="G121" s="45"/>
      <c r="H121" s="45"/>
      <c r="I121" s="844"/>
      <c r="J121" s="45"/>
      <c r="K121" s="45"/>
      <c r="L121" s="45"/>
      <c r="M121" s="45"/>
      <c r="N121" s="45"/>
      <c r="O121" s="45"/>
      <c r="P121" s="45"/>
      <c r="Q121" s="693"/>
      <c r="R121" s="3069"/>
      <c r="S121" s="693"/>
      <c r="T121" s="45"/>
      <c r="U121" s="45"/>
      <c r="V121" s="45"/>
      <c r="W121" s="45"/>
      <c r="X121" s="688"/>
      <c r="Y121" s="844"/>
      <c r="AC121" s="45"/>
      <c r="AD121" s="45"/>
      <c r="AE121" s="45"/>
      <c r="AF121" s="688"/>
      <c r="AG121" s="844"/>
      <c r="AH121" s="45"/>
      <c r="AI121" s="45"/>
      <c r="AJ121" s="45"/>
      <c r="AK121" s="45"/>
      <c r="AL121" s="45"/>
      <c r="AM121" s="45"/>
      <c r="AN121" s="688"/>
      <c r="AO121" s="844"/>
      <c r="AP121" s="45"/>
      <c r="AQ121" s="688"/>
      <c r="AR121" s="690"/>
      <c r="AS121" s="691"/>
      <c r="AT121" s="692"/>
      <c r="AU121" s="32"/>
      <c r="AV121" s="688"/>
      <c r="AW121" s="696"/>
      <c r="AX121" s="696"/>
      <c r="AY121" s="696"/>
      <c r="AZ121" s="696"/>
      <c r="BA121" s="696"/>
      <c r="BB121" s="696"/>
      <c r="BC121" s="696"/>
      <c r="BD121" s="696"/>
      <c r="BE121" s="696"/>
      <c r="BF121" s="696"/>
      <c r="BG121" s="696"/>
      <c r="BH121" s="696"/>
    </row>
    <row r="122" spans="1:82" s="44" customFormat="1">
      <c r="C122" s="693"/>
      <c r="D122" s="693"/>
      <c r="E122" s="693"/>
      <c r="F122" s="693"/>
      <c r="G122" s="693"/>
      <c r="H122" s="693"/>
      <c r="I122" s="844"/>
      <c r="J122" s="693"/>
      <c r="K122" s="693"/>
      <c r="L122" s="693"/>
      <c r="M122" s="693"/>
      <c r="N122" s="693"/>
      <c r="O122" s="693"/>
      <c r="P122" s="693"/>
      <c r="Q122" s="844"/>
      <c r="R122" s="693"/>
      <c r="S122" s="693"/>
      <c r="T122" s="693"/>
      <c r="U122" s="693"/>
      <c r="V122" s="693"/>
      <c r="W122" s="45"/>
      <c r="X122" s="688"/>
      <c r="Y122" s="844"/>
      <c r="AC122" s="693"/>
      <c r="AD122" s="693"/>
      <c r="AE122" s="45"/>
      <c r="AF122" s="688"/>
      <c r="AG122" s="844"/>
      <c r="AH122" s="693"/>
      <c r="AI122" s="693"/>
      <c r="AJ122" s="693"/>
      <c r="AK122" s="693"/>
      <c r="AL122" s="693"/>
      <c r="AM122" s="45"/>
      <c r="AN122" s="688"/>
      <c r="AO122" s="844"/>
      <c r="AP122" s="693"/>
      <c r="AQ122" s="694"/>
      <c r="AR122" s="688"/>
      <c r="AS122" s="32"/>
      <c r="AT122" s="32"/>
      <c r="AU122" s="32"/>
      <c r="AV122" s="688"/>
      <c r="AW122" s="696"/>
      <c r="AX122" s="696"/>
      <c r="AY122" s="696"/>
      <c r="AZ122" s="696"/>
      <c r="BA122" s="696"/>
      <c r="BB122" s="696"/>
      <c r="BC122" s="696"/>
      <c r="BD122" s="696"/>
      <c r="BE122" s="696"/>
      <c r="BF122" s="696"/>
      <c r="BG122" s="696"/>
      <c r="BH122" s="696"/>
    </row>
    <row r="123" spans="1:82" s="44" customFormat="1">
      <c r="A123" s="23"/>
      <c r="C123" s="45"/>
      <c r="D123" s="45"/>
      <c r="E123" s="45"/>
      <c r="F123" s="45"/>
      <c r="G123" s="45"/>
      <c r="H123" s="45"/>
      <c r="I123" s="844"/>
      <c r="J123" s="45"/>
      <c r="K123" s="45"/>
      <c r="L123" s="45"/>
      <c r="M123" s="45"/>
      <c r="N123" s="45"/>
      <c r="O123" s="45"/>
      <c r="P123" s="45"/>
      <c r="Q123" s="844"/>
      <c r="R123" s="45"/>
      <c r="S123" s="45"/>
      <c r="T123" s="45"/>
      <c r="U123" s="45"/>
      <c r="V123" s="45"/>
      <c r="W123" s="45"/>
      <c r="X123" s="688"/>
      <c r="Y123" s="844"/>
      <c r="Z123" s="45"/>
      <c r="AA123" s="671"/>
      <c r="AB123" s="45"/>
      <c r="AC123" s="45"/>
      <c r="AD123" s="45"/>
      <c r="AE123" s="45"/>
      <c r="AF123" s="688"/>
      <c r="AG123" s="844"/>
      <c r="AH123" s="45"/>
      <c r="AI123" s="45"/>
      <c r="AJ123" s="45"/>
      <c r="AK123" s="45"/>
      <c r="AL123" s="45"/>
      <c r="AM123" s="45"/>
      <c r="AN123" s="688"/>
      <c r="AO123" s="844"/>
      <c r="AP123" s="45"/>
      <c r="AR123" s="695"/>
      <c r="AS123" s="691"/>
      <c r="AT123" s="692"/>
      <c r="AU123" s="32"/>
      <c r="AV123" s="688"/>
      <c r="AW123" s="696"/>
      <c r="AX123" s="696"/>
      <c r="AY123" s="696"/>
      <c r="AZ123" s="696"/>
      <c r="BA123" s="696"/>
      <c r="BB123" s="696"/>
      <c r="BC123" s="696"/>
      <c r="BD123" s="696"/>
      <c r="BE123" s="696"/>
      <c r="BF123" s="696"/>
      <c r="BG123" s="696"/>
      <c r="BH123" s="696"/>
    </row>
    <row r="124" spans="1:82" s="44" customFormat="1">
      <c r="C124" s="45"/>
      <c r="D124" s="45"/>
      <c r="E124" s="45"/>
      <c r="F124" s="45"/>
      <c r="G124" s="45"/>
      <c r="H124" s="45"/>
      <c r="I124" s="844"/>
      <c r="J124" s="45"/>
      <c r="K124" s="45"/>
      <c r="L124" s="45"/>
      <c r="M124" s="45"/>
      <c r="N124" s="45"/>
      <c r="O124" s="45"/>
      <c r="P124" s="45"/>
      <c r="Q124" s="844"/>
      <c r="R124" s="45"/>
      <c r="S124" s="45"/>
      <c r="T124" s="45"/>
      <c r="U124" s="45"/>
      <c r="V124" s="45"/>
      <c r="W124" s="45"/>
      <c r="X124" s="45"/>
      <c r="Y124" s="844"/>
      <c r="Z124" s="45"/>
      <c r="AA124" s="45"/>
      <c r="AB124" s="45"/>
      <c r="AC124" s="45"/>
      <c r="AD124" s="45"/>
      <c r="AE124" s="45"/>
      <c r="AF124" s="45"/>
      <c r="AG124" s="844"/>
      <c r="AH124" s="45"/>
      <c r="AI124" s="45"/>
      <c r="AJ124" s="45"/>
      <c r="AK124" s="45"/>
      <c r="AL124" s="45"/>
      <c r="AM124" s="45"/>
      <c r="AN124" s="45"/>
      <c r="AO124" s="844"/>
      <c r="AP124" s="45"/>
      <c r="AQ124" s="45"/>
      <c r="AR124" s="696"/>
      <c r="AS124" s="696"/>
      <c r="AT124" s="696"/>
      <c r="AU124" s="696"/>
      <c r="AV124" s="696"/>
      <c r="AW124" s="696"/>
      <c r="AX124" s="696"/>
      <c r="AY124" s="696"/>
      <c r="AZ124" s="696"/>
      <c r="BA124" s="696"/>
      <c r="BB124" s="696"/>
      <c r="BC124" s="696"/>
      <c r="BD124" s="696"/>
      <c r="BE124" s="696"/>
      <c r="BF124" s="696"/>
      <c r="BG124" s="696"/>
      <c r="BH124" s="696"/>
    </row>
    <row r="125" spans="1:82" s="44" customFormat="1">
      <c r="C125" s="45"/>
      <c r="D125" s="45"/>
      <c r="E125" s="45"/>
      <c r="F125" s="45"/>
      <c r="G125" s="45"/>
      <c r="H125" s="45"/>
      <c r="I125" s="844"/>
      <c r="J125" s="45"/>
      <c r="K125" s="45"/>
      <c r="L125" s="45"/>
      <c r="M125" s="45"/>
      <c r="N125" s="45"/>
      <c r="O125" s="45"/>
      <c r="P125" s="45"/>
      <c r="Q125" s="844"/>
      <c r="R125" s="45"/>
      <c r="S125" s="45"/>
      <c r="T125" s="45"/>
      <c r="U125" s="45"/>
      <c r="V125" s="45"/>
      <c r="W125" s="45"/>
      <c r="X125" s="45"/>
      <c r="Y125" s="844"/>
      <c r="Z125" s="45"/>
      <c r="AA125" s="45"/>
      <c r="AB125" s="45"/>
      <c r="AC125" s="45"/>
      <c r="AD125" s="45"/>
      <c r="AE125" s="45"/>
      <c r="AF125" s="45"/>
      <c r="AG125" s="844"/>
      <c r="AH125" s="45"/>
      <c r="AI125" s="45"/>
      <c r="AJ125" s="45"/>
      <c r="AK125" s="45"/>
      <c r="AL125" s="45"/>
      <c r="AM125" s="45"/>
      <c r="AN125" s="45"/>
      <c r="AO125" s="844"/>
      <c r="AP125" s="45"/>
      <c r="AQ125" s="45"/>
      <c r="AR125" s="696"/>
      <c r="AS125" s="696"/>
      <c r="AT125" s="696"/>
      <c r="AU125" s="696"/>
      <c r="AV125" s="696"/>
      <c r="AW125" s="696"/>
      <c r="AX125" s="696"/>
      <c r="AY125" s="696"/>
      <c r="AZ125" s="696"/>
      <c r="BA125" s="696"/>
      <c r="BB125" s="696"/>
      <c r="BC125" s="696"/>
      <c r="BD125" s="696"/>
      <c r="BE125" s="696"/>
      <c r="BF125" s="696"/>
      <c r="BG125" s="696"/>
      <c r="BH125" s="696"/>
    </row>
    <row r="126" spans="1:82" s="44" customFormat="1">
      <c r="A126" s="697"/>
      <c r="B126" s="698"/>
      <c r="C126" s="699"/>
      <c r="D126" s="699"/>
      <c r="E126" s="699"/>
      <c r="F126" s="699"/>
      <c r="G126" s="696"/>
      <c r="H126" s="696"/>
      <c r="I126" s="847"/>
      <c r="J126" s="696"/>
      <c r="K126" s="696"/>
      <c r="L126" s="696"/>
      <c r="M126" s="696"/>
      <c r="N126" s="696"/>
      <c r="O126" s="696"/>
      <c r="P126" s="696"/>
      <c r="Q126" s="847"/>
      <c r="R126" s="696"/>
      <c r="S126" s="696"/>
      <c r="T126" s="696"/>
      <c r="U126" s="696"/>
      <c r="V126" s="696"/>
      <c r="W126" s="696"/>
      <c r="X126" s="696"/>
      <c r="Y126" s="847"/>
      <c r="Z126" s="696"/>
      <c r="AA126" s="696"/>
      <c r="AB126" s="696"/>
      <c r="AC126" s="696"/>
      <c r="AD126" s="696"/>
      <c r="AE126" s="696"/>
      <c r="AF126" s="696"/>
      <c r="AG126" s="847"/>
      <c r="AH126" s="696"/>
      <c r="AI126" s="696"/>
      <c r="AJ126" s="696"/>
      <c r="AK126" s="696"/>
      <c r="AL126" s="696"/>
      <c r="AM126" s="696"/>
      <c r="AN126" s="696"/>
      <c r="AO126" s="847"/>
      <c r="AP126" s="696"/>
      <c r="AQ126" s="696"/>
      <c r="AR126" s="696"/>
      <c r="AS126" s="696"/>
      <c r="AT126" s="696"/>
      <c r="AW126" s="696"/>
      <c r="AX126" s="696"/>
      <c r="AY126" s="696"/>
      <c r="AZ126" s="696"/>
      <c r="BA126" s="696"/>
      <c r="BB126" s="696"/>
      <c r="BC126" s="696"/>
      <c r="BD126" s="696"/>
      <c r="BE126" s="696"/>
      <c r="BF126" s="696"/>
      <c r="BG126" s="696"/>
      <c r="BH126" s="696"/>
    </row>
    <row r="127" spans="1:82" s="44" customFormat="1">
      <c r="A127" s="700"/>
      <c r="B127" s="5413"/>
      <c r="C127" s="676"/>
      <c r="D127" s="676"/>
      <c r="E127" s="676"/>
      <c r="F127" s="676"/>
      <c r="G127" s="696"/>
      <c r="H127" s="696"/>
      <c r="I127" s="847"/>
      <c r="J127" s="696"/>
      <c r="K127" s="696"/>
      <c r="L127" s="696"/>
      <c r="M127" s="696"/>
      <c r="N127" s="696"/>
      <c r="O127" s="696"/>
      <c r="P127" s="696"/>
      <c r="Q127" s="847"/>
      <c r="R127" s="696"/>
      <c r="S127" s="696"/>
      <c r="T127" s="696"/>
      <c r="U127" s="696"/>
      <c r="V127" s="696"/>
      <c r="W127" s="696"/>
      <c r="X127" s="696"/>
      <c r="Y127" s="847"/>
      <c r="Z127" s="696"/>
      <c r="AA127" s="696"/>
      <c r="AB127" s="696"/>
      <c r="AC127" s="696"/>
      <c r="AD127" s="696"/>
      <c r="AE127" s="696"/>
      <c r="AF127" s="696"/>
      <c r="AG127" s="847"/>
      <c r="AH127" s="696"/>
      <c r="AI127" s="696"/>
      <c r="AJ127" s="696"/>
      <c r="AK127" s="696"/>
      <c r="AL127" s="696"/>
      <c r="AM127" s="696"/>
      <c r="AN127" s="696"/>
      <c r="AO127" s="847"/>
      <c r="AP127" s="696"/>
      <c r="AQ127" s="696"/>
      <c r="AR127" s="696"/>
      <c r="AS127" s="696"/>
      <c r="AT127" s="45"/>
      <c r="AW127" s="696"/>
      <c r="AX127" s="696"/>
      <c r="AY127" s="696"/>
      <c r="AZ127" s="696"/>
      <c r="BA127" s="696"/>
      <c r="BB127" s="696"/>
      <c r="BC127" s="696"/>
      <c r="BD127" s="696"/>
      <c r="BE127" s="696"/>
      <c r="BF127" s="696"/>
      <c r="BG127" s="696"/>
      <c r="BH127" s="696"/>
    </row>
    <row r="128" spans="1:82" s="44" customFormat="1">
      <c r="A128" s="700"/>
      <c r="B128" s="5413"/>
      <c r="C128" s="676"/>
      <c r="D128" s="676"/>
      <c r="E128" s="676"/>
      <c r="F128" s="676"/>
      <c r="G128" s="696"/>
      <c r="H128" s="696"/>
      <c r="I128" s="847"/>
      <c r="J128" s="696"/>
      <c r="K128" s="696"/>
      <c r="L128" s="696"/>
      <c r="M128" s="696"/>
      <c r="N128" s="696"/>
      <c r="O128" s="696"/>
      <c r="P128" s="696"/>
      <c r="Q128" s="847"/>
      <c r="R128" s="696"/>
      <c r="S128" s="696"/>
      <c r="T128" s="696"/>
      <c r="U128" s="696"/>
      <c r="V128" s="696"/>
      <c r="W128" s="696"/>
      <c r="X128" s="696"/>
      <c r="Y128" s="847"/>
      <c r="Z128" s="696"/>
      <c r="AA128" s="696"/>
      <c r="AB128" s="696"/>
      <c r="AC128" s="696"/>
      <c r="AD128" s="696"/>
      <c r="AE128" s="696"/>
      <c r="AF128" s="696"/>
      <c r="AG128" s="847"/>
      <c r="AH128" s="696"/>
      <c r="AI128" s="696"/>
      <c r="AJ128" s="696"/>
      <c r="AK128" s="696"/>
      <c r="AL128" s="696"/>
      <c r="AM128" s="696"/>
      <c r="AN128" s="696"/>
      <c r="AO128" s="847"/>
      <c r="AP128" s="696"/>
      <c r="AQ128" s="696"/>
      <c r="AR128" s="696"/>
      <c r="AS128" s="696"/>
      <c r="AT128" s="696"/>
      <c r="AW128" s="696"/>
      <c r="AX128" s="696"/>
      <c r="AY128" s="696"/>
      <c r="AZ128" s="696"/>
      <c r="BA128" s="696"/>
      <c r="BB128" s="696"/>
      <c r="BC128" s="696"/>
      <c r="BD128" s="696"/>
      <c r="BE128" s="696"/>
      <c r="BF128" s="696"/>
      <c r="BG128" s="696"/>
      <c r="BH128" s="696"/>
    </row>
    <row r="129" spans="1:60" s="44" customFormat="1">
      <c r="A129" s="700"/>
      <c r="B129" s="700"/>
      <c r="C129" s="696"/>
      <c r="D129" s="696"/>
      <c r="E129" s="696"/>
      <c r="F129" s="696"/>
      <c r="G129" s="696"/>
      <c r="H129" s="696"/>
      <c r="I129" s="847"/>
      <c r="J129" s="696"/>
      <c r="K129" s="696"/>
      <c r="L129" s="696"/>
      <c r="M129" s="696"/>
      <c r="N129" s="696"/>
      <c r="O129" s="696"/>
      <c r="P129" s="696"/>
      <c r="Q129" s="847"/>
      <c r="R129" s="696"/>
      <c r="S129" s="696"/>
      <c r="T129" s="696"/>
      <c r="U129" s="696"/>
      <c r="V129" s="696"/>
      <c r="W129" s="696"/>
      <c r="X129" s="696"/>
      <c r="Y129" s="847"/>
      <c r="Z129" s="696"/>
      <c r="AA129" s="696"/>
      <c r="AB129" s="696"/>
      <c r="AC129" s="696"/>
      <c r="AD129" s="696"/>
      <c r="AE129" s="696"/>
      <c r="AF129" s="696"/>
      <c r="AG129" s="847"/>
      <c r="AH129" s="696"/>
      <c r="AI129" s="696"/>
      <c r="AJ129" s="696"/>
      <c r="AK129" s="696"/>
      <c r="AL129" s="696"/>
      <c r="AM129" s="696"/>
      <c r="AN129" s="696"/>
      <c r="AO129" s="847"/>
      <c r="AP129" s="696"/>
      <c r="AQ129" s="696"/>
      <c r="AR129" s="696"/>
      <c r="AS129" s="696"/>
      <c r="AT129" s="696"/>
      <c r="AU129" s="696"/>
      <c r="AV129" s="696"/>
      <c r="AW129" s="696"/>
      <c r="AX129" s="696"/>
      <c r="AY129" s="696"/>
      <c r="AZ129" s="696"/>
      <c r="BA129" s="696"/>
      <c r="BB129" s="696"/>
      <c r="BC129" s="696"/>
      <c r="BD129" s="696"/>
      <c r="BE129" s="696"/>
      <c r="BF129" s="696"/>
      <c r="BG129" s="696"/>
      <c r="BH129" s="696"/>
    </row>
    <row r="130" spans="1:60" s="44" customFormat="1">
      <c r="A130" s="700"/>
      <c r="B130" s="700"/>
      <c r="C130" s="696"/>
      <c r="D130" s="696"/>
      <c r="E130" s="696"/>
      <c r="F130" s="696"/>
      <c r="G130" s="696"/>
      <c r="H130" s="696"/>
      <c r="I130" s="847"/>
      <c r="J130" s="696"/>
      <c r="K130" s="696"/>
      <c r="L130" s="696"/>
      <c r="M130" s="696"/>
      <c r="N130" s="696"/>
      <c r="O130" s="696"/>
      <c r="P130" s="696"/>
      <c r="Q130" s="847"/>
      <c r="R130" s="696"/>
      <c r="S130" s="696"/>
      <c r="T130" s="696"/>
      <c r="U130" s="696"/>
      <c r="V130" s="696"/>
      <c r="W130" s="696"/>
      <c r="X130" s="696"/>
      <c r="Y130" s="847"/>
      <c r="Z130" s="696"/>
      <c r="AA130" s="696"/>
      <c r="AB130" s="696"/>
      <c r="AC130" s="696"/>
      <c r="AD130" s="696"/>
      <c r="AE130" s="696"/>
      <c r="AF130" s="696"/>
      <c r="AG130" s="847"/>
      <c r="AH130" s="696"/>
      <c r="AI130" s="696"/>
      <c r="AJ130" s="696"/>
      <c r="AK130" s="696"/>
      <c r="AL130" s="696"/>
      <c r="AM130" s="696"/>
      <c r="AN130" s="696"/>
      <c r="AO130" s="847"/>
      <c r="AP130" s="696"/>
      <c r="AQ130" s="696"/>
      <c r="AR130" s="696"/>
      <c r="AS130" s="696"/>
      <c r="AT130" s="696"/>
      <c r="AU130" s="696"/>
      <c r="AV130" s="696"/>
      <c r="AW130" s="696"/>
      <c r="AX130" s="696"/>
      <c r="AY130" s="696"/>
      <c r="AZ130" s="696"/>
      <c r="BA130" s="696"/>
      <c r="BB130" s="696"/>
      <c r="BC130" s="696"/>
      <c r="BD130" s="696"/>
      <c r="BE130" s="696"/>
      <c r="BF130" s="696"/>
      <c r="BG130" s="696"/>
      <c r="BH130" s="696"/>
    </row>
    <row r="131" spans="1:60" s="44" customFormat="1">
      <c r="A131" s="700"/>
      <c r="B131" s="700"/>
      <c r="C131" s="696"/>
      <c r="D131" s="696"/>
      <c r="E131" s="696"/>
      <c r="F131" s="696"/>
      <c r="G131" s="696"/>
      <c r="H131" s="696"/>
      <c r="I131" s="847"/>
      <c r="J131" s="696"/>
      <c r="K131" s="696"/>
      <c r="L131" s="696"/>
      <c r="M131" s="696"/>
      <c r="N131" s="696"/>
      <c r="O131" s="696"/>
      <c r="P131" s="696"/>
      <c r="Q131" s="847"/>
      <c r="R131" s="696"/>
      <c r="S131" s="696"/>
      <c r="T131" s="696"/>
      <c r="U131" s="696"/>
      <c r="V131" s="696"/>
      <c r="W131" s="696"/>
      <c r="X131" s="696"/>
      <c r="Y131" s="847"/>
      <c r="Z131" s="696"/>
      <c r="AA131" s="696"/>
      <c r="AB131" s="696"/>
      <c r="AC131" s="696"/>
      <c r="AD131" s="696"/>
      <c r="AE131" s="696"/>
      <c r="AF131" s="696"/>
      <c r="AG131" s="847"/>
      <c r="AH131" s="696"/>
      <c r="AI131" s="696"/>
      <c r="AJ131" s="696"/>
      <c r="AK131" s="696"/>
      <c r="AL131" s="696"/>
      <c r="AM131" s="696"/>
      <c r="AN131" s="696"/>
      <c r="AO131" s="847"/>
      <c r="AP131" s="696"/>
      <c r="AQ131" s="696"/>
      <c r="AR131" s="696"/>
      <c r="AS131" s="696"/>
      <c r="AT131" s="696"/>
      <c r="AU131" s="696"/>
      <c r="AV131" s="696"/>
      <c r="AW131" s="696"/>
      <c r="AX131" s="696"/>
      <c r="AY131" s="696"/>
      <c r="AZ131" s="696"/>
      <c r="BA131" s="696"/>
      <c r="BB131" s="696"/>
      <c r="BC131" s="696"/>
      <c r="BD131" s="696"/>
      <c r="BE131" s="696"/>
      <c r="BF131" s="696"/>
      <c r="BG131" s="696"/>
      <c r="BH131" s="696"/>
    </row>
    <row r="132" spans="1:60" s="44" customFormat="1">
      <c r="A132" s="700"/>
      <c r="B132" s="700"/>
      <c r="C132" s="696"/>
      <c r="D132" s="696"/>
      <c r="E132" s="696"/>
      <c r="F132" s="696"/>
      <c r="G132" s="696"/>
      <c r="H132" s="696"/>
      <c r="I132" s="847"/>
      <c r="J132" s="696"/>
      <c r="K132" s="696"/>
      <c r="L132" s="696"/>
      <c r="M132" s="696"/>
      <c r="N132" s="696"/>
      <c r="O132" s="696"/>
      <c r="P132" s="696"/>
      <c r="Q132" s="847"/>
      <c r="R132" s="696"/>
      <c r="S132" s="696"/>
      <c r="T132" s="696"/>
      <c r="U132" s="696"/>
      <c r="V132" s="696"/>
      <c r="W132" s="696"/>
      <c r="X132" s="696"/>
      <c r="Y132" s="847"/>
      <c r="Z132" s="696"/>
      <c r="AA132" s="696"/>
      <c r="AB132" s="696"/>
      <c r="AC132" s="696"/>
      <c r="AD132" s="696"/>
      <c r="AE132" s="696"/>
      <c r="AF132" s="696"/>
      <c r="AG132" s="847"/>
      <c r="AH132" s="696"/>
      <c r="AI132" s="696"/>
      <c r="AJ132" s="696"/>
      <c r="AK132" s="696"/>
      <c r="AL132" s="696"/>
      <c r="AM132" s="696"/>
      <c r="AN132" s="696"/>
      <c r="AO132" s="847"/>
      <c r="AP132" s="696"/>
      <c r="AQ132" s="696"/>
      <c r="AR132" s="696"/>
      <c r="AS132" s="696"/>
      <c r="AT132" s="696"/>
      <c r="AU132" s="696"/>
      <c r="AV132" s="696"/>
      <c r="AW132" s="696"/>
      <c r="AX132" s="696"/>
      <c r="AY132" s="696"/>
      <c r="AZ132" s="696"/>
      <c r="BA132" s="696"/>
      <c r="BB132" s="696"/>
      <c r="BC132" s="696"/>
      <c r="BD132" s="696"/>
      <c r="BE132" s="696"/>
      <c r="BF132" s="696"/>
      <c r="BG132" s="696"/>
      <c r="BH132" s="696"/>
    </row>
    <row r="133" spans="1:60" s="44" customFormat="1">
      <c r="A133" s="700"/>
      <c r="B133" s="700"/>
      <c r="C133" s="696"/>
      <c r="D133" s="696"/>
      <c r="E133" s="696"/>
      <c r="F133" s="696"/>
      <c r="G133" s="696"/>
      <c r="H133" s="696"/>
      <c r="I133" s="847"/>
      <c r="J133" s="696"/>
      <c r="K133" s="696"/>
      <c r="L133" s="696"/>
      <c r="M133" s="696"/>
      <c r="N133" s="696"/>
      <c r="O133" s="696"/>
      <c r="P133" s="696"/>
      <c r="Q133" s="847"/>
      <c r="R133" s="696"/>
      <c r="S133" s="696"/>
      <c r="T133" s="696"/>
      <c r="U133" s="696"/>
      <c r="V133" s="696"/>
      <c r="W133" s="696"/>
      <c r="X133" s="696"/>
      <c r="Y133" s="847"/>
      <c r="Z133" s="696"/>
      <c r="AA133" s="696"/>
      <c r="AB133" s="696"/>
      <c r="AC133" s="696"/>
      <c r="AD133" s="696"/>
      <c r="AE133" s="696"/>
      <c r="AF133" s="696"/>
      <c r="AG133" s="847"/>
      <c r="AH133" s="696"/>
      <c r="AI133" s="696"/>
      <c r="AJ133" s="696"/>
      <c r="AK133" s="696"/>
      <c r="AL133" s="696"/>
      <c r="AM133" s="696"/>
      <c r="AN133" s="696"/>
      <c r="AO133" s="847"/>
      <c r="AP133" s="696"/>
      <c r="AQ133" s="696"/>
      <c r="AR133" s="696"/>
      <c r="AS133" s="696"/>
      <c r="AT133" s="696"/>
      <c r="AU133" s="696"/>
      <c r="AV133" s="696"/>
      <c r="AW133" s="696"/>
      <c r="AX133" s="696"/>
      <c r="AY133" s="696"/>
      <c r="AZ133" s="696"/>
      <c r="BA133" s="696"/>
      <c r="BB133" s="696"/>
      <c r="BC133" s="696"/>
      <c r="BD133" s="696"/>
      <c r="BE133" s="696"/>
      <c r="BF133" s="696"/>
      <c r="BG133" s="696"/>
      <c r="BH133" s="696"/>
    </row>
    <row r="134" spans="1:60" s="44" customFormat="1">
      <c r="A134" s="700"/>
      <c r="B134" s="700"/>
      <c r="C134" s="696"/>
      <c r="D134" s="696"/>
      <c r="E134" s="696"/>
      <c r="F134" s="696"/>
      <c r="G134" s="696"/>
      <c r="H134" s="696"/>
      <c r="I134" s="847"/>
      <c r="J134" s="696"/>
      <c r="K134" s="696"/>
      <c r="L134" s="696"/>
      <c r="M134" s="696"/>
      <c r="N134" s="696"/>
      <c r="O134" s="696"/>
      <c r="P134" s="696"/>
      <c r="Q134" s="847"/>
      <c r="R134" s="696"/>
      <c r="S134" s="696"/>
      <c r="T134" s="696"/>
      <c r="U134" s="696"/>
      <c r="V134" s="696"/>
      <c r="W134" s="696"/>
      <c r="X134" s="696"/>
      <c r="Y134" s="847"/>
      <c r="Z134" s="696"/>
      <c r="AA134" s="696"/>
      <c r="AB134" s="696"/>
      <c r="AC134" s="696"/>
      <c r="AD134" s="696"/>
      <c r="AE134" s="696"/>
      <c r="AF134" s="696"/>
      <c r="AG134" s="847"/>
      <c r="AH134" s="696"/>
      <c r="AI134" s="696"/>
      <c r="AJ134" s="696"/>
      <c r="AK134" s="696"/>
      <c r="AL134" s="696"/>
      <c r="AM134" s="696"/>
      <c r="AN134" s="696"/>
      <c r="AO134" s="847"/>
      <c r="AP134" s="696"/>
      <c r="AQ134" s="696"/>
      <c r="AR134" s="696"/>
      <c r="AS134" s="696"/>
      <c r="AT134" s="696"/>
      <c r="AU134" s="696"/>
      <c r="AV134" s="696"/>
      <c r="AW134" s="696"/>
      <c r="AX134" s="696"/>
      <c r="AY134" s="696"/>
      <c r="AZ134" s="696"/>
      <c r="BA134" s="696"/>
      <c r="BB134" s="696"/>
      <c r="BC134" s="696"/>
      <c r="BD134" s="696"/>
      <c r="BE134" s="696"/>
      <c r="BF134" s="696"/>
      <c r="BG134" s="696"/>
      <c r="BH134" s="696"/>
    </row>
    <row r="135" spans="1:60" s="44" customFormat="1">
      <c r="A135" s="700"/>
      <c r="B135" s="700"/>
      <c r="C135" s="696"/>
      <c r="D135" s="696"/>
      <c r="E135" s="696"/>
      <c r="F135" s="696"/>
      <c r="G135" s="696"/>
      <c r="H135" s="696"/>
      <c r="I135" s="847"/>
      <c r="J135" s="696"/>
      <c r="K135" s="696"/>
      <c r="L135" s="696"/>
      <c r="M135" s="696"/>
      <c r="N135" s="696"/>
      <c r="O135" s="696"/>
      <c r="P135" s="696"/>
      <c r="Q135" s="847"/>
      <c r="R135" s="696"/>
      <c r="S135" s="696"/>
      <c r="T135" s="696"/>
      <c r="U135" s="696"/>
      <c r="V135" s="696"/>
      <c r="W135" s="696"/>
      <c r="X135" s="696"/>
      <c r="Y135" s="847"/>
      <c r="Z135" s="696"/>
      <c r="AA135" s="696"/>
      <c r="AB135" s="696"/>
      <c r="AC135" s="696"/>
      <c r="AD135" s="696"/>
      <c r="AE135" s="696"/>
      <c r="AF135" s="696"/>
      <c r="AG135" s="847"/>
      <c r="AH135" s="696"/>
      <c r="AI135" s="696"/>
      <c r="AJ135" s="696"/>
      <c r="AK135" s="696"/>
      <c r="AL135" s="696"/>
      <c r="AM135" s="696"/>
      <c r="AN135" s="696"/>
      <c r="AO135" s="847"/>
      <c r="AP135" s="696"/>
      <c r="AQ135" s="696"/>
      <c r="AR135" s="696"/>
      <c r="AS135" s="696"/>
      <c r="AT135" s="696"/>
      <c r="AU135" s="696"/>
      <c r="AV135" s="696"/>
      <c r="AW135" s="696"/>
      <c r="AX135" s="696"/>
      <c r="AY135" s="696"/>
      <c r="AZ135" s="696"/>
      <c r="BA135" s="696"/>
      <c r="BB135" s="696"/>
      <c r="BC135" s="696"/>
      <c r="BD135" s="696"/>
      <c r="BE135" s="696"/>
      <c r="BF135" s="696"/>
      <c r="BG135" s="696"/>
      <c r="BH135" s="696"/>
    </row>
    <row r="136" spans="1:60" s="44" customFormat="1">
      <c r="A136" s="700"/>
      <c r="B136" s="700"/>
      <c r="C136" s="696"/>
      <c r="D136" s="696"/>
      <c r="E136" s="696"/>
      <c r="F136" s="696"/>
      <c r="G136" s="696"/>
      <c r="H136" s="696"/>
      <c r="I136" s="847"/>
      <c r="J136" s="696"/>
      <c r="K136" s="696"/>
      <c r="L136" s="696"/>
      <c r="M136" s="696"/>
      <c r="N136" s="696"/>
      <c r="O136" s="696"/>
      <c r="P136" s="696"/>
      <c r="Q136" s="847"/>
      <c r="R136" s="696"/>
      <c r="S136" s="696"/>
      <c r="T136" s="696"/>
      <c r="U136" s="696"/>
      <c r="V136" s="696"/>
      <c r="W136" s="696"/>
      <c r="X136" s="696"/>
      <c r="Y136" s="847"/>
      <c r="Z136" s="696"/>
      <c r="AA136" s="696"/>
      <c r="AB136" s="696"/>
      <c r="AC136" s="696"/>
      <c r="AD136" s="696"/>
      <c r="AE136" s="696"/>
      <c r="AF136" s="696"/>
      <c r="AG136" s="847"/>
      <c r="AH136" s="696"/>
      <c r="AI136" s="696"/>
      <c r="AJ136" s="696"/>
      <c r="AK136" s="696"/>
      <c r="AL136" s="696"/>
      <c r="AM136" s="696"/>
      <c r="AN136" s="696"/>
      <c r="AO136" s="847"/>
      <c r="AP136" s="696"/>
      <c r="AQ136" s="696"/>
      <c r="AR136" s="696"/>
      <c r="AS136" s="696"/>
      <c r="AT136" s="696"/>
      <c r="AU136" s="696"/>
      <c r="AV136" s="696"/>
      <c r="AW136" s="696"/>
      <c r="AX136" s="696"/>
      <c r="AY136" s="696"/>
      <c r="AZ136" s="696"/>
      <c r="BA136" s="696"/>
      <c r="BB136" s="696"/>
      <c r="BC136" s="696"/>
      <c r="BD136" s="696"/>
      <c r="BE136" s="696"/>
      <c r="BF136" s="696"/>
      <c r="BG136" s="696"/>
      <c r="BH136" s="696"/>
    </row>
    <row r="137" spans="1:60" s="44" customFormat="1">
      <c r="A137" s="700"/>
      <c r="B137" s="700"/>
      <c r="C137" s="696"/>
      <c r="D137" s="696"/>
      <c r="E137" s="696"/>
      <c r="F137" s="696"/>
      <c r="G137" s="696"/>
      <c r="H137" s="696"/>
      <c r="I137" s="847"/>
      <c r="J137" s="696"/>
      <c r="K137" s="696"/>
      <c r="L137" s="696"/>
      <c r="M137" s="696"/>
      <c r="N137" s="696"/>
      <c r="O137" s="696"/>
      <c r="P137" s="696"/>
      <c r="Q137" s="847"/>
      <c r="R137" s="696"/>
      <c r="S137" s="696"/>
      <c r="T137" s="696"/>
      <c r="U137" s="696"/>
      <c r="V137" s="696"/>
      <c r="W137" s="696"/>
      <c r="X137" s="696"/>
      <c r="Y137" s="847"/>
      <c r="Z137" s="696"/>
      <c r="AA137" s="696"/>
      <c r="AB137" s="696"/>
      <c r="AC137" s="696"/>
      <c r="AD137" s="696"/>
      <c r="AE137" s="696"/>
      <c r="AF137" s="696"/>
      <c r="AG137" s="847"/>
      <c r="AH137" s="696"/>
      <c r="AI137" s="696"/>
      <c r="AJ137" s="696"/>
      <c r="AK137" s="696"/>
      <c r="AL137" s="696"/>
      <c r="AM137" s="696"/>
      <c r="AN137" s="696"/>
      <c r="AO137" s="847"/>
      <c r="AP137" s="696"/>
      <c r="AQ137" s="696"/>
      <c r="AR137" s="696"/>
      <c r="AS137" s="696"/>
      <c r="AT137" s="696"/>
      <c r="AU137" s="696"/>
      <c r="AV137" s="696"/>
      <c r="AW137" s="696"/>
      <c r="AX137" s="696"/>
      <c r="AY137" s="696"/>
      <c r="AZ137" s="696"/>
      <c r="BA137" s="696"/>
      <c r="BB137" s="696"/>
      <c r="BC137" s="696"/>
      <c r="BD137" s="696"/>
      <c r="BE137" s="696"/>
      <c r="BF137" s="696"/>
      <c r="BG137" s="696"/>
      <c r="BH137" s="696"/>
    </row>
    <row r="138" spans="1:60" s="44" customFormat="1">
      <c r="A138" s="700"/>
      <c r="B138" s="700"/>
      <c r="C138" s="696"/>
      <c r="D138" s="696"/>
      <c r="E138" s="696"/>
      <c r="F138" s="696"/>
      <c r="G138" s="696"/>
      <c r="H138" s="696"/>
      <c r="I138" s="847"/>
      <c r="J138" s="696"/>
      <c r="K138" s="696"/>
      <c r="L138" s="696"/>
      <c r="M138" s="696"/>
      <c r="N138" s="696"/>
      <c r="O138" s="696"/>
      <c r="P138" s="696"/>
      <c r="Q138" s="847"/>
      <c r="R138" s="696"/>
      <c r="S138" s="696"/>
      <c r="T138" s="696"/>
      <c r="U138" s="696"/>
      <c r="V138" s="696"/>
      <c r="W138" s="696"/>
      <c r="X138" s="696"/>
      <c r="Y138" s="847"/>
      <c r="Z138" s="696"/>
      <c r="AA138" s="696"/>
      <c r="AB138" s="696"/>
      <c r="AC138" s="696"/>
      <c r="AD138" s="696"/>
      <c r="AE138" s="696"/>
      <c r="AF138" s="696"/>
      <c r="AG138" s="847"/>
      <c r="AH138" s="696"/>
      <c r="AI138" s="696"/>
      <c r="AJ138" s="696"/>
      <c r="AK138" s="696"/>
      <c r="AL138" s="696"/>
      <c r="AM138" s="696"/>
      <c r="AN138" s="696"/>
      <c r="AO138" s="847"/>
      <c r="AP138" s="696"/>
      <c r="AQ138" s="696"/>
      <c r="AR138" s="696"/>
      <c r="AS138" s="696"/>
      <c r="AT138" s="696"/>
      <c r="AU138" s="696"/>
      <c r="AV138" s="696"/>
      <c r="AW138" s="696"/>
      <c r="AX138" s="696"/>
      <c r="AY138" s="696"/>
      <c r="AZ138" s="696"/>
      <c r="BA138" s="696"/>
      <c r="BB138" s="696"/>
      <c r="BC138" s="696"/>
      <c r="BD138" s="696"/>
      <c r="BE138" s="696"/>
      <c r="BF138" s="696"/>
      <c r="BG138" s="696"/>
      <c r="BH138" s="696"/>
    </row>
    <row r="139" spans="1:60" s="44" customFormat="1">
      <c r="A139" s="700"/>
      <c r="B139" s="700"/>
      <c r="C139" s="696"/>
      <c r="D139" s="696"/>
      <c r="E139" s="696"/>
      <c r="F139" s="696"/>
      <c r="G139" s="696"/>
      <c r="H139" s="696"/>
      <c r="I139" s="847"/>
      <c r="J139" s="696"/>
      <c r="K139" s="696"/>
      <c r="L139" s="696"/>
      <c r="M139" s="696"/>
      <c r="N139" s="696"/>
      <c r="O139" s="696"/>
      <c r="P139" s="696"/>
      <c r="Q139" s="847"/>
      <c r="R139" s="696"/>
      <c r="S139" s="696"/>
      <c r="T139" s="696"/>
      <c r="U139" s="696"/>
      <c r="V139" s="696"/>
      <c r="W139" s="696"/>
      <c r="X139" s="696"/>
      <c r="Y139" s="847"/>
      <c r="Z139" s="696"/>
      <c r="AA139" s="696"/>
      <c r="AB139" s="696"/>
      <c r="AC139" s="696"/>
      <c r="AD139" s="696"/>
      <c r="AE139" s="696"/>
      <c r="AF139" s="696"/>
      <c r="AG139" s="847"/>
      <c r="AH139" s="696"/>
      <c r="AI139" s="696"/>
      <c r="AJ139" s="696"/>
      <c r="AK139" s="696"/>
      <c r="AL139" s="696"/>
      <c r="AM139" s="696"/>
      <c r="AN139" s="696"/>
      <c r="AO139" s="847"/>
      <c r="AP139" s="696"/>
      <c r="AQ139" s="696"/>
      <c r="AR139" s="696"/>
      <c r="AS139" s="696"/>
      <c r="AT139" s="696"/>
      <c r="AU139" s="696"/>
      <c r="AV139" s="696"/>
      <c r="AW139" s="696"/>
      <c r="AX139" s="696"/>
      <c r="AY139" s="696"/>
      <c r="AZ139" s="696"/>
      <c r="BA139" s="696"/>
      <c r="BB139" s="696"/>
      <c r="BC139" s="696"/>
      <c r="BD139" s="696"/>
      <c r="BE139" s="696"/>
      <c r="BF139" s="696"/>
      <c r="BG139" s="696"/>
      <c r="BH139" s="696"/>
    </row>
    <row r="140" spans="1:60" s="44" customFormat="1">
      <c r="A140" s="700"/>
      <c r="B140" s="700"/>
      <c r="C140" s="696"/>
      <c r="D140" s="696"/>
      <c r="E140" s="696"/>
      <c r="F140" s="696"/>
      <c r="G140" s="696"/>
      <c r="H140" s="696"/>
      <c r="I140" s="847"/>
      <c r="J140" s="696"/>
      <c r="K140" s="696"/>
      <c r="L140" s="696"/>
      <c r="M140" s="696"/>
      <c r="N140" s="696"/>
      <c r="O140" s="696"/>
      <c r="P140" s="696"/>
      <c r="Q140" s="847"/>
      <c r="R140" s="696"/>
      <c r="S140" s="696"/>
      <c r="T140" s="696"/>
      <c r="U140" s="696"/>
      <c r="V140" s="696"/>
      <c r="W140" s="696"/>
      <c r="X140" s="696"/>
      <c r="Y140" s="847"/>
      <c r="Z140" s="696"/>
      <c r="AA140" s="696"/>
      <c r="AB140" s="696"/>
      <c r="AC140" s="696"/>
      <c r="AD140" s="696"/>
      <c r="AE140" s="696"/>
      <c r="AF140" s="696"/>
      <c r="AG140" s="847"/>
      <c r="AH140" s="696"/>
      <c r="AI140" s="696"/>
      <c r="AJ140" s="696"/>
      <c r="AK140" s="696"/>
      <c r="AL140" s="696"/>
      <c r="AM140" s="696"/>
      <c r="AN140" s="696"/>
      <c r="AO140" s="847"/>
      <c r="AP140" s="696"/>
      <c r="AQ140" s="696"/>
      <c r="AR140" s="696"/>
      <c r="AS140" s="696"/>
      <c r="AT140" s="696"/>
      <c r="AU140" s="696"/>
      <c r="AV140" s="696"/>
      <c r="AW140" s="696"/>
      <c r="AX140" s="696"/>
      <c r="AY140" s="696"/>
      <c r="AZ140" s="696"/>
      <c r="BA140" s="696"/>
      <c r="BB140" s="696"/>
      <c r="BC140" s="696"/>
      <c r="BD140" s="696"/>
      <c r="BE140" s="696"/>
      <c r="BF140" s="696"/>
      <c r="BG140" s="696"/>
      <c r="BH140" s="696"/>
    </row>
    <row r="141" spans="1:60" s="44" customFormat="1">
      <c r="A141" s="700"/>
      <c r="B141" s="700"/>
      <c r="C141" s="696"/>
      <c r="D141" s="696"/>
      <c r="E141" s="696"/>
      <c r="F141" s="696"/>
      <c r="G141" s="696"/>
      <c r="H141" s="696"/>
      <c r="I141" s="847"/>
      <c r="J141" s="696"/>
      <c r="K141" s="696"/>
      <c r="L141" s="696"/>
      <c r="M141" s="696"/>
      <c r="N141" s="696"/>
      <c r="O141" s="696"/>
      <c r="P141" s="696"/>
      <c r="Q141" s="847"/>
      <c r="R141" s="696"/>
      <c r="S141" s="696"/>
      <c r="T141" s="696"/>
      <c r="U141" s="696"/>
      <c r="V141" s="696"/>
      <c r="W141" s="696"/>
      <c r="X141" s="696"/>
      <c r="Y141" s="847"/>
      <c r="Z141" s="696"/>
      <c r="AA141" s="696"/>
      <c r="AB141" s="696"/>
      <c r="AC141" s="696"/>
      <c r="AD141" s="696"/>
      <c r="AE141" s="696"/>
      <c r="AF141" s="696"/>
      <c r="AG141" s="847"/>
      <c r="AH141" s="696"/>
      <c r="AI141" s="696"/>
      <c r="AJ141" s="696"/>
      <c r="AK141" s="696"/>
      <c r="AL141" s="696"/>
      <c r="AM141" s="696"/>
      <c r="AN141" s="696"/>
      <c r="AO141" s="847"/>
      <c r="AP141" s="696"/>
      <c r="AQ141" s="696"/>
      <c r="AR141" s="696"/>
      <c r="AS141" s="696"/>
      <c r="AT141" s="696"/>
      <c r="AU141" s="696"/>
      <c r="AV141" s="696"/>
      <c r="AW141" s="696"/>
      <c r="AX141" s="696"/>
      <c r="AY141" s="696"/>
      <c r="AZ141" s="696"/>
      <c r="BA141" s="696"/>
      <c r="BB141" s="696"/>
      <c r="BC141" s="696"/>
      <c r="BD141" s="696"/>
      <c r="BE141" s="696"/>
      <c r="BF141" s="696"/>
      <c r="BG141" s="696"/>
      <c r="BH141" s="696"/>
    </row>
    <row r="142" spans="1:60" s="44" customFormat="1">
      <c r="A142" s="700"/>
      <c r="B142" s="700"/>
      <c r="C142" s="696"/>
      <c r="D142" s="696"/>
      <c r="E142" s="696"/>
      <c r="F142" s="696"/>
      <c r="G142" s="696"/>
      <c r="H142" s="696"/>
      <c r="I142" s="847"/>
      <c r="J142" s="696"/>
      <c r="K142" s="696"/>
      <c r="L142" s="696"/>
      <c r="M142" s="696"/>
      <c r="N142" s="696"/>
      <c r="O142" s="696"/>
      <c r="P142" s="696"/>
      <c r="Q142" s="847"/>
      <c r="R142" s="696"/>
      <c r="S142" s="696"/>
      <c r="T142" s="696"/>
      <c r="U142" s="696"/>
      <c r="V142" s="696"/>
      <c r="W142" s="696"/>
      <c r="X142" s="696"/>
      <c r="Y142" s="847"/>
      <c r="Z142" s="696"/>
      <c r="AA142" s="696"/>
      <c r="AB142" s="696"/>
      <c r="AC142" s="696"/>
      <c r="AD142" s="696"/>
      <c r="AE142" s="696"/>
      <c r="AF142" s="696"/>
      <c r="AG142" s="847"/>
      <c r="AH142" s="696"/>
      <c r="AI142" s="696"/>
      <c r="AJ142" s="696"/>
      <c r="AK142" s="696"/>
      <c r="AL142" s="696"/>
      <c r="AM142" s="696"/>
      <c r="AN142" s="696"/>
      <c r="AO142" s="847"/>
      <c r="AP142" s="696"/>
      <c r="AQ142" s="696"/>
      <c r="AR142" s="696"/>
      <c r="AS142" s="696"/>
      <c r="AT142" s="696"/>
      <c r="AU142" s="696"/>
      <c r="AV142" s="696"/>
      <c r="AW142" s="696"/>
      <c r="AX142" s="696"/>
      <c r="AY142" s="696"/>
      <c r="AZ142" s="696"/>
      <c r="BA142" s="696"/>
      <c r="BB142" s="696"/>
      <c r="BC142" s="696"/>
      <c r="BD142" s="696"/>
      <c r="BE142" s="696"/>
      <c r="BF142" s="696"/>
      <c r="BG142" s="696"/>
      <c r="BH142" s="696"/>
    </row>
    <row r="143" spans="1:60" s="44" customFormat="1">
      <c r="A143" s="700"/>
      <c r="B143" s="700"/>
      <c r="C143" s="696"/>
      <c r="D143" s="696"/>
      <c r="E143" s="696"/>
      <c r="F143" s="696"/>
      <c r="G143" s="696"/>
      <c r="H143" s="696"/>
      <c r="I143" s="847"/>
      <c r="J143" s="696"/>
      <c r="K143" s="696"/>
      <c r="L143" s="696"/>
      <c r="M143" s="696"/>
      <c r="N143" s="696"/>
      <c r="O143" s="696"/>
      <c r="P143" s="696"/>
      <c r="Q143" s="847"/>
      <c r="R143" s="696"/>
      <c r="S143" s="696"/>
      <c r="T143" s="696"/>
      <c r="U143" s="696"/>
      <c r="V143" s="696"/>
      <c r="W143" s="696"/>
      <c r="X143" s="696"/>
      <c r="Y143" s="847"/>
      <c r="Z143" s="696"/>
      <c r="AA143" s="696"/>
      <c r="AB143" s="696"/>
      <c r="AC143" s="696"/>
      <c r="AD143" s="696"/>
      <c r="AE143" s="696"/>
      <c r="AF143" s="696"/>
      <c r="AG143" s="847"/>
      <c r="AH143" s="696"/>
      <c r="AI143" s="696"/>
      <c r="AJ143" s="696"/>
      <c r="AK143" s="696"/>
      <c r="AL143" s="696"/>
      <c r="AM143" s="696"/>
      <c r="AN143" s="696"/>
      <c r="AO143" s="847"/>
      <c r="AP143" s="696"/>
      <c r="AQ143" s="696"/>
      <c r="AR143" s="696"/>
      <c r="AS143" s="696"/>
      <c r="AT143" s="696"/>
      <c r="AU143" s="696"/>
      <c r="AV143" s="696"/>
      <c r="AW143" s="696"/>
      <c r="AX143" s="696"/>
      <c r="AY143" s="696"/>
      <c r="AZ143" s="696"/>
      <c r="BA143" s="696"/>
      <c r="BB143" s="696"/>
      <c r="BC143" s="696"/>
      <c r="BD143" s="696"/>
      <c r="BE143" s="696"/>
      <c r="BF143" s="696"/>
      <c r="BG143" s="696"/>
      <c r="BH143" s="696"/>
    </row>
    <row r="144" spans="1:60" s="44" customFormat="1">
      <c r="A144" s="700"/>
      <c r="B144" s="700"/>
      <c r="C144" s="696"/>
      <c r="D144" s="696"/>
      <c r="E144" s="696"/>
      <c r="F144" s="696"/>
      <c r="G144" s="696"/>
      <c r="H144" s="696"/>
      <c r="I144" s="847"/>
      <c r="J144" s="696"/>
      <c r="K144" s="696"/>
      <c r="L144" s="696"/>
      <c r="M144" s="696"/>
      <c r="N144" s="696"/>
      <c r="O144" s="696"/>
      <c r="P144" s="696"/>
      <c r="Q144" s="847"/>
      <c r="R144" s="696"/>
      <c r="S144" s="696"/>
      <c r="T144" s="696"/>
      <c r="U144" s="696"/>
      <c r="V144" s="696"/>
      <c r="W144" s="696"/>
      <c r="X144" s="696"/>
      <c r="Y144" s="847"/>
      <c r="Z144" s="696"/>
      <c r="AA144" s="696"/>
      <c r="AB144" s="696"/>
      <c r="AC144" s="696"/>
      <c r="AD144" s="696"/>
      <c r="AE144" s="696"/>
      <c r="AF144" s="696"/>
      <c r="AG144" s="847"/>
      <c r="AH144" s="696"/>
      <c r="AI144" s="696"/>
      <c r="AJ144" s="696"/>
      <c r="AK144" s="696"/>
      <c r="AL144" s="696"/>
      <c r="AM144" s="696"/>
      <c r="AN144" s="696"/>
      <c r="AO144" s="847"/>
      <c r="AP144" s="696"/>
      <c r="AQ144" s="696"/>
      <c r="AR144" s="696"/>
      <c r="AS144" s="696"/>
      <c r="AT144" s="696"/>
      <c r="AU144" s="696"/>
      <c r="AV144" s="696"/>
      <c r="AW144" s="696"/>
      <c r="AX144" s="696"/>
      <c r="AY144" s="696"/>
      <c r="AZ144" s="696"/>
      <c r="BA144" s="696"/>
      <c r="BB144" s="696"/>
      <c r="BC144" s="696"/>
      <c r="BD144" s="696"/>
      <c r="BE144" s="696"/>
      <c r="BF144" s="696"/>
      <c r="BG144" s="696"/>
      <c r="BH144" s="696"/>
    </row>
    <row r="145" spans="1:60" s="44" customFormat="1">
      <c r="A145" s="700"/>
      <c r="B145" s="700"/>
      <c r="C145" s="696"/>
      <c r="D145" s="696"/>
      <c r="E145" s="696"/>
      <c r="F145" s="696"/>
      <c r="G145" s="696"/>
      <c r="H145" s="696"/>
      <c r="I145" s="847"/>
      <c r="J145" s="696"/>
      <c r="K145" s="696"/>
      <c r="L145" s="696"/>
      <c r="M145" s="696"/>
      <c r="N145" s="696"/>
      <c r="O145" s="696"/>
      <c r="P145" s="696"/>
      <c r="Q145" s="847"/>
      <c r="R145" s="696"/>
      <c r="S145" s="696"/>
      <c r="T145" s="696"/>
      <c r="U145" s="696"/>
      <c r="V145" s="696"/>
      <c r="W145" s="696"/>
      <c r="X145" s="696"/>
      <c r="Y145" s="847"/>
      <c r="Z145" s="696"/>
      <c r="AA145" s="696"/>
      <c r="AB145" s="696"/>
      <c r="AC145" s="696"/>
      <c r="AD145" s="696"/>
      <c r="AE145" s="696"/>
      <c r="AF145" s="696"/>
      <c r="AG145" s="847"/>
      <c r="AH145" s="696"/>
      <c r="AI145" s="696"/>
      <c r="AJ145" s="696"/>
      <c r="AK145" s="696"/>
      <c r="AL145" s="696"/>
      <c r="AM145" s="696"/>
      <c r="AN145" s="696"/>
      <c r="AO145" s="847"/>
      <c r="AP145" s="696"/>
      <c r="AQ145" s="696"/>
      <c r="AR145" s="696"/>
      <c r="AS145" s="696"/>
      <c r="AT145" s="696"/>
      <c r="AU145" s="696"/>
      <c r="AV145" s="696"/>
      <c r="AW145" s="696"/>
      <c r="AX145" s="696"/>
      <c r="AY145" s="696"/>
      <c r="AZ145" s="696"/>
      <c r="BA145" s="696"/>
      <c r="BB145" s="696"/>
      <c r="BC145" s="696"/>
      <c r="BD145" s="696"/>
      <c r="BE145" s="696"/>
      <c r="BF145" s="696"/>
      <c r="BG145" s="696"/>
      <c r="BH145" s="696"/>
    </row>
    <row r="146" spans="1:60" s="44" customFormat="1">
      <c r="A146" s="700"/>
      <c r="B146" s="700"/>
      <c r="C146" s="696"/>
      <c r="D146" s="696"/>
      <c r="E146" s="696"/>
      <c r="F146" s="696"/>
      <c r="G146" s="696"/>
      <c r="H146" s="696"/>
      <c r="I146" s="847"/>
      <c r="J146" s="696"/>
      <c r="K146" s="696"/>
      <c r="L146" s="696"/>
      <c r="M146" s="696"/>
      <c r="N146" s="696"/>
      <c r="O146" s="696"/>
      <c r="P146" s="696"/>
      <c r="Q146" s="847"/>
      <c r="R146" s="696"/>
      <c r="S146" s="696"/>
      <c r="T146" s="696"/>
      <c r="U146" s="696"/>
      <c r="V146" s="696"/>
      <c r="W146" s="696"/>
      <c r="X146" s="696"/>
      <c r="Y146" s="847"/>
      <c r="Z146" s="696"/>
      <c r="AA146" s="696"/>
      <c r="AB146" s="696"/>
      <c r="AC146" s="696"/>
      <c r="AD146" s="696"/>
      <c r="AE146" s="696"/>
      <c r="AF146" s="696"/>
      <c r="AG146" s="847"/>
      <c r="AH146" s="696"/>
      <c r="AI146" s="696"/>
      <c r="AJ146" s="696"/>
      <c r="AK146" s="696"/>
      <c r="AL146" s="696"/>
      <c r="AM146" s="696"/>
      <c r="AN146" s="696"/>
      <c r="AO146" s="847"/>
      <c r="AP146" s="696"/>
      <c r="AQ146" s="696"/>
      <c r="AR146" s="696"/>
      <c r="AS146" s="696"/>
      <c r="AT146" s="696"/>
      <c r="AU146" s="696"/>
      <c r="AV146" s="696"/>
      <c r="AW146" s="696"/>
      <c r="AX146" s="696"/>
      <c r="AY146" s="696"/>
      <c r="AZ146" s="696"/>
      <c r="BA146" s="696"/>
      <c r="BB146" s="696"/>
      <c r="BC146" s="696"/>
      <c r="BD146" s="696"/>
      <c r="BE146" s="696"/>
      <c r="BF146" s="696"/>
      <c r="BG146" s="696"/>
      <c r="BH146" s="696"/>
    </row>
    <row r="147" spans="1:60" s="44" customFormat="1">
      <c r="A147" s="700"/>
      <c r="B147" s="700"/>
      <c r="C147" s="696"/>
      <c r="D147" s="696"/>
      <c r="E147" s="696"/>
      <c r="F147" s="696"/>
      <c r="G147" s="696"/>
      <c r="H147" s="696"/>
      <c r="I147" s="847"/>
      <c r="J147" s="696"/>
      <c r="K147" s="696"/>
      <c r="L147" s="696"/>
      <c r="M147" s="696"/>
      <c r="N147" s="696"/>
      <c r="O147" s="696"/>
      <c r="P147" s="696"/>
      <c r="Q147" s="847"/>
      <c r="R147" s="696"/>
      <c r="S147" s="696"/>
      <c r="T147" s="696"/>
      <c r="U147" s="696"/>
      <c r="V147" s="696"/>
      <c r="W147" s="696"/>
      <c r="X147" s="696"/>
      <c r="Y147" s="847"/>
      <c r="Z147" s="696"/>
      <c r="AA147" s="696"/>
      <c r="AB147" s="696"/>
      <c r="AC147" s="696"/>
      <c r="AD147" s="696"/>
      <c r="AE147" s="696"/>
      <c r="AF147" s="696"/>
      <c r="AG147" s="847"/>
      <c r="AH147" s="696"/>
      <c r="AI147" s="696"/>
      <c r="AJ147" s="696"/>
      <c r="AK147" s="696"/>
      <c r="AL147" s="696"/>
      <c r="AM147" s="696"/>
      <c r="AN147" s="696"/>
      <c r="AO147" s="847"/>
      <c r="AP147" s="696"/>
      <c r="AQ147" s="696"/>
      <c r="AR147" s="696"/>
      <c r="AS147" s="696"/>
      <c r="AT147" s="696"/>
      <c r="AU147" s="696"/>
      <c r="AV147" s="696"/>
      <c r="AW147" s="696"/>
      <c r="AX147" s="696"/>
      <c r="AY147" s="696"/>
      <c r="AZ147" s="696"/>
      <c r="BA147" s="696"/>
      <c r="BB147" s="696"/>
      <c r="BC147" s="696"/>
      <c r="BD147" s="696"/>
      <c r="BE147" s="696"/>
      <c r="BF147" s="696"/>
      <c r="BG147" s="696"/>
      <c r="BH147" s="696"/>
    </row>
    <row r="148" spans="1:60" s="44" customFormat="1">
      <c r="A148" s="700"/>
      <c r="B148" s="700"/>
      <c r="C148" s="696"/>
      <c r="D148" s="696"/>
      <c r="E148" s="696"/>
      <c r="F148" s="696"/>
      <c r="G148" s="696"/>
      <c r="H148" s="696"/>
      <c r="I148" s="847"/>
      <c r="J148" s="696"/>
      <c r="K148" s="696"/>
      <c r="L148" s="696"/>
      <c r="M148" s="696"/>
      <c r="N148" s="696"/>
      <c r="O148" s="696"/>
      <c r="P148" s="696"/>
      <c r="Q148" s="847"/>
      <c r="R148" s="696"/>
      <c r="S148" s="696"/>
      <c r="T148" s="696"/>
      <c r="U148" s="696"/>
      <c r="V148" s="696"/>
      <c r="W148" s="696"/>
      <c r="X148" s="696"/>
      <c r="Y148" s="847"/>
      <c r="Z148" s="696"/>
      <c r="AA148" s="696"/>
      <c r="AB148" s="696"/>
      <c r="AC148" s="696"/>
      <c r="AD148" s="696"/>
      <c r="AE148" s="696"/>
      <c r="AF148" s="696"/>
      <c r="AG148" s="847"/>
      <c r="AH148" s="696"/>
      <c r="AI148" s="696"/>
      <c r="AJ148" s="696"/>
      <c r="AK148" s="696"/>
      <c r="AL148" s="696"/>
      <c r="AM148" s="696"/>
      <c r="AN148" s="696"/>
      <c r="AO148" s="847"/>
      <c r="AP148" s="696"/>
      <c r="AQ148" s="696"/>
      <c r="AR148" s="696"/>
      <c r="AS148" s="696"/>
      <c r="AT148" s="696"/>
      <c r="AU148" s="696"/>
      <c r="AV148" s="696"/>
      <c r="AW148" s="696"/>
      <c r="AX148" s="696"/>
      <c r="AY148" s="696"/>
      <c r="AZ148" s="696"/>
      <c r="BA148" s="696"/>
      <c r="BB148" s="696"/>
      <c r="BC148" s="696"/>
      <c r="BD148" s="696"/>
      <c r="BE148" s="696"/>
      <c r="BF148" s="696"/>
      <c r="BG148" s="696"/>
      <c r="BH148" s="696"/>
    </row>
    <row r="149" spans="1:60" s="44" customFormat="1">
      <c r="A149" s="700"/>
      <c r="B149" s="700"/>
      <c r="C149" s="696"/>
      <c r="D149" s="696"/>
      <c r="E149" s="696"/>
      <c r="F149" s="696"/>
      <c r="G149" s="696"/>
      <c r="H149" s="696"/>
      <c r="I149" s="847"/>
      <c r="J149" s="696"/>
      <c r="K149" s="696"/>
      <c r="L149" s="696"/>
      <c r="M149" s="696"/>
      <c r="N149" s="696"/>
      <c r="O149" s="696"/>
      <c r="P149" s="696"/>
      <c r="Q149" s="847"/>
      <c r="R149" s="696"/>
      <c r="S149" s="696"/>
      <c r="T149" s="696"/>
      <c r="U149" s="696"/>
      <c r="V149" s="696"/>
      <c r="W149" s="696"/>
      <c r="X149" s="696"/>
      <c r="Y149" s="847"/>
      <c r="Z149" s="696"/>
      <c r="AA149" s="696"/>
      <c r="AB149" s="696"/>
      <c r="AC149" s="696"/>
      <c r="AD149" s="696"/>
      <c r="AE149" s="696"/>
      <c r="AF149" s="696"/>
      <c r="AG149" s="847"/>
      <c r="AH149" s="696"/>
      <c r="AI149" s="696"/>
      <c r="AJ149" s="696"/>
      <c r="AK149" s="696"/>
      <c r="AL149" s="696"/>
      <c r="AM149" s="696"/>
      <c r="AN149" s="696"/>
      <c r="AO149" s="847"/>
      <c r="AP149" s="696"/>
      <c r="AQ149" s="696"/>
      <c r="AR149" s="696"/>
      <c r="AS149" s="696"/>
      <c r="AT149" s="696"/>
      <c r="AU149" s="696"/>
      <c r="AV149" s="696"/>
      <c r="AW149" s="696"/>
      <c r="AX149" s="696"/>
      <c r="AY149" s="696"/>
      <c r="AZ149" s="696"/>
      <c r="BA149" s="696"/>
      <c r="BB149" s="696"/>
      <c r="BC149" s="696"/>
      <c r="BD149" s="696"/>
      <c r="BE149" s="696"/>
      <c r="BF149" s="696"/>
      <c r="BG149" s="696"/>
      <c r="BH149" s="696"/>
    </row>
    <row r="150" spans="1:60" s="44" customFormat="1">
      <c r="A150" s="700"/>
      <c r="B150" s="700"/>
      <c r="C150" s="696"/>
      <c r="D150" s="696"/>
      <c r="E150" s="696"/>
      <c r="F150" s="696"/>
      <c r="G150" s="696"/>
      <c r="H150" s="696"/>
      <c r="I150" s="847"/>
      <c r="J150" s="696"/>
      <c r="K150" s="696"/>
      <c r="L150" s="696"/>
      <c r="M150" s="696"/>
      <c r="N150" s="696"/>
      <c r="O150" s="696"/>
      <c r="P150" s="696"/>
      <c r="Q150" s="847"/>
      <c r="R150" s="696"/>
      <c r="S150" s="696"/>
      <c r="T150" s="696"/>
      <c r="U150" s="696"/>
      <c r="V150" s="696"/>
      <c r="W150" s="696"/>
      <c r="X150" s="696"/>
      <c r="Y150" s="847"/>
      <c r="Z150" s="696"/>
      <c r="AA150" s="696"/>
      <c r="AB150" s="696"/>
      <c r="AC150" s="696"/>
      <c r="AD150" s="696"/>
      <c r="AE150" s="696"/>
      <c r="AF150" s="696"/>
      <c r="AG150" s="847"/>
      <c r="AH150" s="696"/>
      <c r="AI150" s="696"/>
      <c r="AJ150" s="696"/>
      <c r="AK150" s="696"/>
      <c r="AL150" s="696"/>
      <c r="AM150" s="696"/>
      <c r="AN150" s="696"/>
      <c r="AO150" s="847"/>
      <c r="AP150" s="696"/>
      <c r="AQ150" s="696"/>
      <c r="AR150" s="696"/>
      <c r="AS150" s="696"/>
      <c r="AT150" s="696"/>
      <c r="AU150" s="696"/>
      <c r="AV150" s="696"/>
      <c r="AW150" s="696"/>
      <c r="AX150" s="696"/>
      <c r="AY150" s="696"/>
      <c r="AZ150" s="696"/>
      <c r="BA150" s="696"/>
      <c r="BB150" s="696"/>
      <c r="BC150" s="696"/>
      <c r="BD150" s="696"/>
      <c r="BE150" s="696"/>
      <c r="BF150" s="696"/>
      <c r="BG150" s="696"/>
      <c r="BH150" s="696"/>
    </row>
    <row r="151" spans="1:60" s="44" customFormat="1">
      <c r="A151" s="700"/>
      <c r="B151" s="700"/>
      <c r="C151" s="696"/>
      <c r="D151" s="696"/>
      <c r="E151" s="696"/>
      <c r="F151" s="696"/>
      <c r="G151" s="696"/>
      <c r="H151" s="696"/>
      <c r="I151" s="847"/>
      <c r="J151" s="696"/>
      <c r="K151" s="696"/>
      <c r="L151" s="696"/>
      <c r="M151" s="696"/>
      <c r="N151" s="696"/>
      <c r="O151" s="696"/>
      <c r="P151" s="696"/>
      <c r="Q151" s="847"/>
      <c r="R151" s="696"/>
      <c r="S151" s="696"/>
      <c r="T151" s="696"/>
      <c r="U151" s="696"/>
      <c r="V151" s="696"/>
      <c r="W151" s="696"/>
      <c r="X151" s="696"/>
      <c r="Y151" s="847"/>
      <c r="Z151" s="696"/>
      <c r="AA151" s="696"/>
      <c r="AB151" s="696"/>
      <c r="AC151" s="696"/>
      <c r="AD151" s="696"/>
      <c r="AE151" s="696"/>
      <c r="AF151" s="696"/>
      <c r="AG151" s="847"/>
      <c r="AH151" s="696"/>
      <c r="AI151" s="696"/>
      <c r="AJ151" s="696"/>
      <c r="AK151" s="696"/>
      <c r="AL151" s="696"/>
      <c r="AM151" s="696"/>
      <c r="AN151" s="696"/>
      <c r="AO151" s="847"/>
      <c r="AP151" s="696"/>
      <c r="AQ151" s="696"/>
      <c r="AR151" s="696"/>
      <c r="AS151" s="696"/>
      <c r="AT151" s="696"/>
      <c r="AU151" s="696"/>
      <c r="AV151" s="696"/>
      <c r="AW151" s="696"/>
      <c r="AX151" s="696"/>
      <c r="AY151" s="696"/>
      <c r="AZ151" s="696"/>
      <c r="BA151" s="696"/>
      <c r="BB151" s="696"/>
      <c r="BC151" s="696"/>
      <c r="BD151" s="696"/>
      <c r="BE151" s="696"/>
      <c r="BF151" s="696"/>
      <c r="BG151" s="696"/>
      <c r="BH151" s="696"/>
    </row>
    <row r="152" spans="1:60" s="44" customFormat="1">
      <c r="A152" s="700"/>
      <c r="B152" s="700"/>
      <c r="C152" s="696"/>
      <c r="D152" s="696"/>
      <c r="E152" s="696"/>
      <c r="F152" s="696"/>
      <c r="G152" s="696"/>
      <c r="H152" s="696"/>
      <c r="I152" s="847"/>
      <c r="J152" s="696"/>
      <c r="K152" s="696"/>
      <c r="L152" s="696"/>
      <c r="M152" s="696"/>
      <c r="N152" s="696"/>
      <c r="O152" s="696"/>
      <c r="P152" s="696"/>
      <c r="Q152" s="847"/>
      <c r="R152" s="696"/>
      <c r="S152" s="696"/>
      <c r="T152" s="696"/>
      <c r="U152" s="696"/>
      <c r="V152" s="696"/>
      <c r="W152" s="696"/>
      <c r="X152" s="696"/>
      <c r="Y152" s="847"/>
      <c r="Z152" s="696"/>
      <c r="AA152" s="696"/>
      <c r="AB152" s="696"/>
      <c r="AC152" s="696"/>
      <c r="AD152" s="696"/>
      <c r="AE152" s="696"/>
      <c r="AF152" s="696"/>
      <c r="AG152" s="847"/>
      <c r="AH152" s="696"/>
      <c r="AI152" s="696"/>
      <c r="AJ152" s="696"/>
      <c r="AK152" s="696"/>
      <c r="AL152" s="696"/>
      <c r="AM152" s="696"/>
      <c r="AN152" s="696"/>
      <c r="AO152" s="847"/>
      <c r="AP152" s="696"/>
      <c r="AQ152" s="696"/>
      <c r="AR152" s="696"/>
      <c r="AS152" s="696"/>
      <c r="AT152" s="696"/>
      <c r="AU152" s="696"/>
      <c r="AV152" s="696"/>
      <c r="AW152" s="696"/>
      <c r="AX152" s="696"/>
      <c r="AY152" s="696"/>
      <c r="AZ152" s="696"/>
      <c r="BA152" s="696"/>
      <c r="BB152" s="696"/>
      <c r="BC152" s="696"/>
      <c r="BD152" s="696"/>
      <c r="BE152" s="696"/>
      <c r="BF152" s="696"/>
      <c r="BG152" s="696"/>
      <c r="BH152" s="696"/>
    </row>
    <row r="153" spans="1:60" s="44" customFormat="1">
      <c r="A153" s="700"/>
      <c r="B153" s="700"/>
      <c r="C153" s="696"/>
      <c r="D153" s="696"/>
      <c r="E153" s="696"/>
      <c r="F153" s="696"/>
      <c r="G153" s="696"/>
      <c r="H153" s="696"/>
      <c r="I153" s="847"/>
      <c r="J153" s="696"/>
      <c r="K153" s="696"/>
      <c r="L153" s="696"/>
      <c r="M153" s="696"/>
      <c r="N153" s="696"/>
      <c r="O153" s="696"/>
      <c r="P153" s="696"/>
      <c r="Q153" s="847"/>
      <c r="R153" s="696"/>
      <c r="S153" s="696"/>
      <c r="T153" s="696"/>
      <c r="U153" s="696"/>
      <c r="V153" s="696"/>
      <c r="W153" s="696"/>
      <c r="X153" s="696"/>
      <c r="Y153" s="847"/>
      <c r="Z153" s="696"/>
      <c r="AA153" s="696"/>
      <c r="AB153" s="696"/>
      <c r="AC153" s="696"/>
      <c r="AD153" s="696"/>
      <c r="AE153" s="696"/>
      <c r="AF153" s="696"/>
      <c r="AG153" s="847"/>
      <c r="AH153" s="696"/>
      <c r="AI153" s="696"/>
      <c r="AJ153" s="696"/>
      <c r="AK153" s="696"/>
      <c r="AL153" s="696"/>
      <c r="AM153" s="696"/>
      <c r="AN153" s="696"/>
      <c r="AO153" s="847"/>
      <c r="AP153" s="696"/>
      <c r="AQ153" s="696"/>
      <c r="AR153" s="696"/>
      <c r="AS153" s="696"/>
      <c r="AT153" s="696"/>
      <c r="AU153" s="696"/>
      <c r="AV153" s="696"/>
      <c r="AW153" s="696"/>
      <c r="AX153" s="696"/>
      <c r="AY153" s="696"/>
      <c r="AZ153" s="696"/>
      <c r="BA153" s="696"/>
      <c r="BB153" s="696"/>
      <c r="BC153" s="696"/>
      <c r="BD153" s="696"/>
      <c r="BE153" s="696"/>
      <c r="BF153" s="696"/>
      <c r="BG153" s="696"/>
      <c r="BH153" s="696"/>
    </row>
    <row r="154" spans="1:60" s="44" customFormat="1">
      <c r="A154" s="700"/>
      <c r="B154" s="700"/>
      <c r="C154" s="696"/>
      <c r="D154" s="696"/>
      <c r="E154" s="696"/>
      <c r="F154" s="696"/>
      <c r="G154" s="696"/>
      <c r="H154" s="696"/>
      <c r="I154" s="847"/>
      <c r="J154" s="696"/>
      <c r="K154" s="696"/>
      <c r="L154" s="696"/>
      <c r="M154" s="696"/>
      <c r="N154" s="696"/>
      <c r="O154" s="696"/>
      <c r="P154" s="696"/>
      <c r="Q154" s="847"/>
      <c r="R154" s="696"/>
      <c r="S154" s="696"/>
      <c r="T154" s="696"/>
      <c r="U154" s="696"/>
      <c r="V154" s="696"/>
      <c r="W154" s="696"/>
      <c r="X154" s="696"/>
      <c r="Y154" s="847"/>
      <c r="Z154" s="696"/>
      <c r="AA154" s="696"/>
      <c r="AB154" s="696"/>
      <c r="AC154" s="696"/>
      <c r="AD154" s="696"/>
      <c r="AE154" s="696"/>
      <c r="AF154" s="696"/>
      <c r="AG154" s="847"/>
      <c r="AH154" s="696"/>
      <c r="AI154" s="696"/>
      <c r="AJ154" s="696"/>
      <c r="AK154" s="696"/>
      <c r="AL154" s="696"/>
      <c r="AM154" s="696"/>
      <c r="AN154" s="696"/>
      <c r="AO154" s="847"/>
      <c r="AP154" s="696"/>
      <c r="AQ154" s="696"/>
      <c r="AR154" s="696"/>
      <c r="AS154" s="696"/>
      <c r="AT154" s="696"/>
      <c r="AU154" s="696"/>
      <c r="AV154" s="696"/>
      <c r="AW154" s="696"/>
      <c r="AX154" s="696"/>
      <c r="AY154" s="696"/>
      <c r="AZ154" s="696"/>
      <c r="BA154" s="696"/>
      <c r="BB154" s="696"/>
      <c r="BC154" s="696"/>
      <c r="BD154" s="696"/>
      <c r="BE154" s="696"/>
      <c r="BF154" s="696"/>
      <c r="BG154" s="696"/>
      <c r="BH154" s="696"/>
    </row>
    <row r="155" spans="1:60" s="44" customFormat="1">
      <c r="A155" s="700"/>
      <c r="B155" s="700"/>
      <c r="C155" s="696"/>
      <c r="D155" s="696"/>
      <c r="E155" s="696"/>
      <c r="F155" s="696"/>
      <c r="G155" s="696"/>
      <c r="H155" s="696"/>
      <c r="I155" s="847"/>
      <c r="J155" s="696"/>
      <c r="K155" s="696"/>
      <c r="L155" s="696"/>
      <c r="M155" s="696"/>
      <c r="N155" s="696"/>
      <c r="O155" s="696"/>
      <c r="P155" s="696"/>
      <c r="Q155" s="847"/>
      <c r="R155" s="696"/>
      <c r="S155" s="696"/>
      <c r="T155" s="696"/>
      <c r="U155" s="696"/>
      <c r="V155" s="696"/>
      <c r="W155" s="696"/>
      <c r="X155" s="696"/>
      <c r="Y155" s="847"/>
      <c r="Z155" s="696"/>
      <c r="AA155" s="696"/>
      <c r="AB155" s="696"/>
      <c r="AC155" s="696"/>
      <c r="AD155" s="696"/>
      <c r="AE155" s="696"/>
      <c r="AF155" s="696"/>
      <c r="AG155" s="847"/>
      <c r="AH155" s="696"/>
      <c r="AI155" s="696"/>
      <c r="AJ155" s="696"/>
      <c r="AK155" s="696"/>
      <c r="AL155" s="696"/>
      <c r="AM155" s="696"/>
      <c r="AN155" s="696"/>
      <c r="AO155" s="847"/>
      <c r="AP155" s="696"/>
      <c r="AQ155" s="696"/>
      <c r="AR155" s="696"/>
      <c r="AS155" s="696"/>
      <c r="AT155" s="696"/>
      <c r="AU155" s="696"/>
      <c r="AV155" s="696"/>
      <c r="AW155" s="696"/>
      <c r="AX155" s="696"/>
      <c r="AY155" s="696"/>
      <c r="AZ155" s="696"/>
      <c r="BA155" s="696"/>
      <c r="BB155" s="696"/>
      <c r="BC155" s="696"/>
      <c r="BD155" s="696"/>
      <c r="BE155" s="696"/>
      <c r="BF155" s="696"/>
      <c r="BG155" s="696"/>
      <c r="BH155" s="696"/>
    </row>
    <row r="156" spans="1:60" s="44" customFormat="1">
      <c r="A156" s="700"/>
      <c r="B156" s="700"/>
      <c r="C156" s="696"/>
      <c r="D156" s="696"/>
      <c r="E156" s="696"/>
      <c r="F156" s="696"/>
      <c r="G156" s="696"/>
      <c r="H156" s="696"/>
      <c r="I156" s="847"/>
      <c r="J156" s="696"/>
      <c r="K156" s="696"/>
      <c r="L156" s="696"/>
      <c r="M156" s="696"/>
      <c r="N156" s="696"/>
      <c r="O156" s="696"/>
      <c r="P156" s="696"/>
      <c r="Q156" s="847"/>
      <c r="R156" s="696"/>
      <c r="S156" s="696"/>
      <c r="T156" s="696"/>
      <c r="U156" s="696"/>
      <c r="V156" s="696"/>
      <c r="W156" s="696"/>
      <c r="X156" s="696"/>
      <c r="Y156" s="847"/>
      <c r="Z156" s="696"/>
      <c r="AA156" s="696"/>
      <c r="AB156" s="696"/>
      <c r="AC156" s="696"/>
      <c r="AD156" s="696"/>
      <c r="AE156" s="696"/>
      <c r="AF156" s="696"/>
      <c r="AG156" s="847"/>
      <c r="AH156" s="696"/>
      <c r="AI156" s="696"/>
      <c r="AJ156" s="696"/>
      <c r="AK156" s="696"/>
      <c r="AL156" s="696"/>
      <c r="AM156" s="696"/>
      <c r="AN156" s="696"/>
      <c r="AO156" s="847"/>
      <c r="AP156" s="696"/>
      <c r="AQ156" s="696"/>
      <c r="AR156" s="696"/>
      <c r="AS156" s="696"/>
      <c r="AT156" s="696"/>
      <c r="AU156" s="696"/>
      <c r="AV156" s="696"/>
      <c r="AW156" s="696"/>
      <c r="AX156" s="696"/>
      <c r="AY156" s="696"/>
      <c r="AZ156" s="696"/>
      <c r="BA156" s="696"/>
      <c r="BB156" s="696"/>
      <c r="BC156" s="696"/>
      <c r="BD156" s="696"/>
      <c r="BE156" s="696"/>
      <c r="BF156" s="696"/>
      <c r="BG156" s="696"/>
      <c r="BH156" s="696"/>
    </row>
    <row r="157" spans="1:60" s="44" customFormat="1">
      <c r="A157" s="700"/>
      <c r="B157" s="700"/>
      <c r="C157" s="696"/>
      <c r="D157" s="696"/>
      <c r="E157" s="696"/>
      <c r="F157" s="696"/>
      <c r="G157" s="696"/>
      <c r="H157" s="696"/>
      <c r="I157" s="847"/>
      <c r="J157" s="696"/>
      <c r="K157" s="696"/>
      <c r="L157" s="696"/>
      <c r="M157" s="696"/>
      <c r="N157" s="696"/>
      <c r="O157" s="696"/>
      <c r="P157" s="696"/>
      <c r="Q157" s="847"/>
      <c r="R157" s="696"/>
      <c r="S157" s="696"/>
      <c r="T157" s="696"/>
      <c r="U157" s="696"/>
      <c r="V157" s="696"/>
      <c r="W157" s="696"/>
      <c r="X157" s="696"/>
      <c r="Y157" s="847"/>
      <c r="Z157" s="696"/>
      <c r="AA157" s="696"/>
      <c r="AB157" s="696"/>
      <c r="AC157" s="696"/>
      <c r="AD157" s="696"/>
      <c r="AE157" s="696"/>
      <c r="AF157" s="696"/>
      <c r="AG157" s="847"/>
      <c r="AH157" s="696"/>
      <c r="AI157" s="696"/>
      <c r="AJ157" s="696"/>
      <c r="AK157" s="696"/>
      <c r="AL157" s="696"/>
      <c r="AM157" s="696"/>
      <c r="AN157" s="696"/>
      <c r="AO157" s="847"/>
      <c r="AP157" s="696"/>
      <c r="AQ157" s="696"/>
      <c r="AR157" s="696"/>
      <c r="AS157" s="696"/>
      <c r="AT157" s="696"/>
      <c r="AU157" s="696"/>
      <c r="AV157" s="696"/>
      <c r="AW157" s="696"/>
      <c r="AX157" s="696"/>
      <c r="AY157" s="696"/>
      <c r="AZ157" s="696"/>
      <c r="BA157" s="696"/>
      <c r="BB157" s="696"/>
      <c r="BC157" s="696"/>
      <c r="BD157" s="696"/>
      <c r="BE157" s="696"/>
      <c r="BF157" s="696"/>
      <c r="BG157" s="696"/>
      <c r="BH157" s="696"/>
    </row>
    <row r="158" spans="1:60" s="44" customFormat="1">
      <c r="A158" s="700"/>
      <c r="B158" s="700"/>
      <c r="C158" s="696"/>
      <c r="D158" s="696"/>
      <c r="E158" s="696"/>
      <c r="F158" s="696"/>
      <c r="G158" s="696"/>
      <c r="H158" s="696"/>
      <c r="I158" s="847"/>
      <c r="J158" s="696"/>
      <c r="K158" s="696"/>
      <c r="L158" s="696"/>
      <c r="M158" s="696"/>
      <c r="N158" s="696"/>
      <c r="O158" s="696"/>
      <c r="P158" s="696"/>
      <c r="Q158" s="847"/>
      <c r="R158" s="696"/>
      <c r="S158" s="696"/>
      <c r="T158" s="696"/>
      <c r="U158" s="696"/>
      <c r="V158" s="696"/>
      <c r="W158" s="696"/>
      <c r="X158" s="696"/>
      <c r="Y158" s="847"/>
      <c r="Z158" s="696"/>
      <c r="AA158" s="696"/>
      <c r="AB158" s="696"/>
      <c r="AC158" s="696"/>
      <c r="AD158" s="696"/>
      <c r="AE158" s="696"/>
      <c r="AF158" s="696"/>
      <c r="AG158" s="847"/>
      <c r="AH158" s="696"/>
      <c r="AI158" s="696"/>
      <c r="AJ158" s="696"/>
      <c r="AK158" s="696"/>
      <c r="AL158" s="696"/>
      <c r="AM158" s="696"/>
      <c r="AN158" s="696"/>
      <c r="AO158" s="847"/>
      <c r="AP158" s="696"/>
      <c r="AQ158" s="696"/>
      <c r="AR158" s="696"/>
      <c r="AS158" s="696"/>
      <c r="AT158" s="696"/>
      <c r="AU158" s="696"/>
      <c r="AV158" s="696"/>
      <c r="AW158" s="696"/>
      <c r="AX158" s="696"/>
      <c r="AY158" s="696"/>
      <c r="AZ158" s="696"/>
      <c r="BA158" s="696"/>
      <c r="BB158" s="696"/>
      <c r="BC158" s="696"/>
      <c r="BD158" s="696"/>
      <c r="BE158" s="696"/>
      <c r="BF158" s="696"/>
      <c r="BG158" s="696"/>
      <c r="BH158" s="696"/>
    </row>
    <row r="159" spans="1:60" s="44" customFormat="1">
      <c r="A159" s="700"/>
      <c r="B159" s="700"/>
      <c r="C159" s="696"/>
      <c r="D159" s="696"/>
      <c r="E159" s="696"/>
      <c r="F159" s="696"/>
      <c r="G159" s="696"/>
      <c r="H159" s="696"/>
      <c r="I159" s="847"/>
      <c r="J159" s="696"/>
      <c r="K159" s="696"/>
      <c r="L159" s="696"/>
      <c r="M159" s="696"/>
      <c r="N159" s="696"/>
      <c r="O159" s="696"/>
      <c r="P159" s="696"/>
      <c r="Q159" s="847"/>
      <c r="R159" s="696"/>
      <c r="S159" s="696"/>
      <c r="T159" s="696"/>
      <c r="U159" s="696"/>
      <c r="V159" s="696"/>
      <c r="W159" s="696"/>
      <c r="X159" s="696"/>
      <c r="Y159" s="847"/>
      <c r="Z159" s="696"/>
      <c r="AA159" s="696"/>
      <c r="AB159" s="696"/>
      <c r="AC159" s="696"/>
      <c r="AD159" s="696"/>
      <c r="AE159" s="696"/>
      <c r="AF159" s="696"/>
      <c r="AG159" s="847"/>
      <c r="AH159" s="696"/>
      <c r="AI159" s="696"/>
      <c r="AJ159" s="696"/>
      <c r="AK159" s="696"/>
      <c r="AL159" s="696"/>
      <c r="AM159" s="696"/>
      <c r="AN159" s="696"/>
      <c r="AO159" s="847"/>
      <c r="AP159" s="696"/>
      <c r="AQ159" s="696"/>
      <c r="AR159" s="696"/>
      <c r="AS159" s="696"/>
      <c r="AT159" s="696"/>
      <c r="AU159" s="696"/>
      <c r="AV159" s="696"/>
      <c r="AW159" s="696"/>
      <c r="AX159" s="696"/>
      <c r="AY159" s="696"/>
      <c r="AZ159" s="696"/>
      <c r="BA159" s="696"/>
      <c r="BB159" s="696"/>
      <c r="BC159" s="696"/>
      <c r="BD159" s="696"/>
      <c r="BE159" s="696"/>
      <c r="BF159" s="696"/>
      <c r="BG159" s="696"/>
      <c r="BH159" s="696"/>
    </row>
    <row r="160" spans="1:60" s="44" customFormat="1">
      <c r="A160" s="700"/>
      <c r="B160" s="700"/>
      <c r="C160" s="696"/>
      <c r="D160" s="696"/>
      <c r="E160" s="696"/>
      <c r="F160" s="696"/>
      <c r="G160" s="696"/>
      <c r="H160" s="696"/>
      <c r="I160" s="847"/>
      <c r="J160" s="696"/>
      <c r="K160" s="696"/>
      <c r="L160" s="696"/>
      <c r="M160" s="696"/>
      <c r="N160" s="696"/>
      <c r="O160" s="696"/>
      <c r="P160" s="696"/>
      <c r="Q160" s="847"/>
      <c r="R160" s="696"/>
      <c r="S160" s="696"/>
      <c r="T160" s="696"/>
      <c r="U160" s="696"/>
      <c r="V160" s="696"/>
      <c r="W160" s="696"/>
      <c r="X160" s="696"/>
      <c r="Y160" s="847"/>
      <c r="Z160" s="696"/>
      <c r="AA160" s="696"/>
      <c r="AB160" s="696"/>
      <c r="AC160" s="696"/>
      <c r="AD160" s="696"/>
      <c r="AE160" s="696"/>
      <c r="AF160" s="696"/>
      <c r="AG160" s="847"/>
      <c r="AH160" s="696"/>
      <c r="AI160" s="696"/>
      <c r="AJ160" s="696"/>
      <c r="AK160" s="696"/>
      <c r="AL160" s="696"/>
      <c r="AM160" s="696"/>
      <c r="AN160" s="696"/>
      <c r="AO160" s="847"/>
      <c r="AP160" s="696"/>
      <c r="AQ160" s="696"/>
      <c r="AR160" s="696"/>
      <c r="AS160" s="696"/>
      <c r="AT160" s="696"/>
      <c r="AU160" s="696"/>
      <c r="AV160" s="696"/>
      <c r="AW160" s="696"/>
      <c r="AX160" s="696"/>
      <c r="AY160" s="696"/>
      <c r="AZ160" s="696"/>
      <c r="BA160" s="696"/>
      <c r="BB160" s="696"/>
      <c r="BC160" s="696"/>
      <c r="BD160" s="696"/>
      <c r="BE160" s="696"/>
      <c r="BF160" s="696"/>
      <c r="BG160" s="696"/>
      <c r="BH160" s="696"/>
    </row>
    <row r="161" spans="1:60" s="44" customFormat="1">
      <c r="A161" s="700"/>
      <c r="B161" s="700"/>
      <c r="C161" s="696"/>
      <c r="D161" s="696"/>
      <c r="E161" s="696"/>
      <c r="F161" s="696"/>
      <c r="G161" s="696"/>
      <c r="H161" s="696"/>
      <c r="I161" s="847"/>
      <c r="J161" s="696"/>
      <c r="K161" s="696"/>
      <c r="L161" s="696"/>
      <c r="M161" s="696"/>
      <c r="N161" s="696"/>
      <c r="O161" s="696"/>
      <c r="P161" s="696"/>
      <c r="Q161" s="847"/>
      <c r="R161" s="696"/>
      <c r="S161" s="696"/>
      <c r="T161" s="696"/>
      <c r="U161" s="696"/>
      <c r="V161" s="696"/>
      <c r="W161" s="696"/>
      <c r="X161" s="696"/>
      <c r="Y161" s="847"/>
      <c r="Z161" s="696"/>
      <c r="AA161" s="696"/>
      <c r="AB161" s="696"/>
      <c r="AC161" s="696"/>
      <c r="AD161" s="696"/>
      <c r="AE161" s="696"/>
      <c r="AF161" s="696"/>
      <c r="AG161" s="847"/>
      <c r="AH161" s="696"/>
      <c r="AI161" s="696"/>
      <c r="AJ161" s="696"/>
      <c r="AK161" s="696"/>
      <c r="AL161" s="696"/>
      <c r="AM161" s="696"/>
      <c r="AN161" s="696"/>
      <c r="AO161" s="847"/>
      <c r="AP161" s="696"/>
      <c r="AQ161" s="696"/>
      <c r="AR161" s="696"/>
      <c r="AS161" s="696"/>
      <c r="AT161" s="696"/>
      <c r="AU161" s="696"/>
      <c r="AV161" s="696"/>
      <c r="AW161" s="696"/>
      <c r="AX161" s="696"/>
      <c r="AY161" s="696"/>
      <c r="AZ161" s="696"/>
      <c r="BA161" s="696"/>
      <c r="BB161" s="696"/>
      <c r="BC161" s="696"/>
      <c r="BD161" s="696"/>
      <c r="BE161" s="696"/>
      <c r="BF161" s="696"/>
      <c r="BG161" s="696"/>
      <c r="BH161" s="696"/>
    </row>
    <row r="162" spans="1:60" s="44" customFormat="1">
      <c r="A162" s="700"/>
      <c r="B162" s="700"/>
      <c r="C162" s="696"/>
      <c r="D162" s="696"/>
      <c r="E162" s="696"/>
      <c r="F162" s="696"/>
      <c r="G162" s="696"/>
      <c r="H162" s="696"/>
      <c r="I162" s="847"/>
      <c r="J162" s="696"/>
      <c r="K162" s="696"/>
      <c r="L162" s="696"/>
      <c r="M162" s="696"/>
      <c r="N162" s="696"/>
      <c r="O162" s="696"/>
      <c r="P162" s="696"/>
      <c r="Q162" s="847"/>
      <c r="R162" s="696"/>
      <c r="S162" s="696"/>
      <c r="T162" s="696"/>
      <c r="U162" s="696"/>
      <c r="V162" s="696"/>
      <c r="W162" s="696"/>
      <c r="X162" s="696"/>
      <c r="Y162" s="847"/>
      <c r="Z162" s="696"/>
      <c r="AA162" s="696"/>
      <c r="AB162" s="696"/>
      <c r="AC162" s="696"/>
      <c r="AD162" s="696"/>
      <c r="AE162" s="696"/>
      <c r="AF162" s="696"/>
      <c r="AG162" s="847"/>
      <c r="AH162" s="696"/>
      <c r="AI162" s="696"/>
      <c r="AJ162" s="696"/>
      <c r="AK162" s="696"/>
      <c r="AL162" s="696"/>
      <c r="AM162" s="696"/>
      <c r="AN162" s="696"/>
      <c r="AO162" s="847"/>
      <c r="AP162" s="696"/>
      <c r="AQ162" s="696"/>
      <c r="AR162" s="696"/>
      <c r="AS162" s="696"/>
      <c r="AT162" s="696"/>
      <c r="AU162" s="696"/>
      <c r="AV162" s="696"/>
      <c r="AW162" s="696"/>
      <c r="AX162" s="696"/>
      <c r="AY162" s="696"/>
      <c r="AZ162" s="696"/>
      <c r="BA162" s="696"/>
      <c r="BB162" s="696"/>
      <c r="BC162" s="696"/>
      <c r="BD162" s="696"/>
      <c r="BE162" s="696"/>
      <c r="BF162" s="696"/>
      <c r="BG162" s="696"/>
      <c r="BH162" s="696"/>
    </row>
    <row r="163" spans="1:60" s="44" customFormat="1">
      <c r="A163" s="700"/>
      <c r="B163" s="700"/>
      <c r="C163" s="696"/>
      <c r="D163" s="696"/>
      <c r="E163" s="696"/>
      <c r="F163" s="696"/>
      <c r="G163" s="696"/>
      <c r="H163" s="696"/>
      <c r="I163" s="847"/>
      <c r="J163" s="696"/>
      <c r="K163" s="696"/>
      <c r="L163" s="696"/>
      <c r="M163" s="696"/>
      <c r="N163" s="696"/>
      <c r="O163" s="696"/>
      <c r="P163" s="696"/>
      <c r="Q163" s="847"/>
      <c r="R163" s="696"/>
      <c r="S163" s="696"/>
      <c r="T163" s="696"/>
      <c r="U163" s="696"/>
      <c r="V163" s="696"/>
      <c r="W163" s="696"/>
      <c r="X163" s="696"/>
      <c r="Y163" s="847"/>
      <c r="Z163" s="696"/>
      <c r="AA163" s="696"/>
      <c r="AB163" s="696"/>
      <c r="AC163" s="696"/>
      <c r="AD163" s="696"/>
      <c r="AE163" s="696"/>
      <c r="AF163" s="696"/>
      <c r="AG163" s="847"/>
      <c r="AH163" s="696"/>
      <c r="AI163" s="696"/>
      <c r="AJ163" s="696"/>
      <c r="AK163" s="696"/>
      <c r="AL163" s="696"/>
      <c r="AM163" s="696"/>
      <c r="AN163" s="696"/>
      <c r="AO163" s="847"/>
      <c r="AP163" s="696"/>
      <c r="AQ163" s="696"/>
      <c r="AR163" s="696"/>
      <c r="AS163" s="696"/>
      <c r="AT163" s="696"/>
      <c r="AU163" s="696"/>
      <c r="AV163" s="696"/>
      <c r="AW163" s="696"/>
      <c r="AX163" s="696"/>
      <c r="AY163" s="696"/>
      <c r="AZ163" s="696"/>
      <c r="BA163" s="696"/>
      <c r="BB163" s="696"/>
      <c r="BC163" s="696"/>
      <c r="BD163" s="696"/>
      <c r="BE163" s="696"/>
      <c r="BF163" s="696"/>
      <c r="BG163" s="696"/>
      <c r="BH163" s="696"/>
    </row>
    <row r="164" spans="1:60" s="44" customFormat="1">
      <c r="A164" s="700"/>
      <c r="B164" s="700"/>
      <c r="C164" s="696"/>
      <c r="D164" s="696"/>
      <c r="E164" s="696"/>
      <c r="F164" s="696"/>
      <c r="G164" s="696"/>
      <c r="H164" s="696"/>
      <c r="I164" s="847"/>
      <c r="J164" s="696"/>
      <c r="K164" s="696"/>
      <c r="L164" s="696"/>
      <c r="M164" s="696"/>
      <c r="N164" s="696"/>
      <c r="O164" s="696"/>
      <c r="P164" s="696"/>
      <c r="Q164" s="847"/>
      <c r="R164" s="696"/>
      <c r="S164" s="696"/>
      <c r="T164" s="696"/>
      <c r="U164" s="696"/>
      <c r="V164" s="696"/>
      <c r="W164" s="696"/>
      <c r="X164" s="696"/>
      <c r="Y164" s="847"/>
      <c r="Z164" s="696"/>
      <c r="AA164" s="696"/>
      <c r="AB164" s="696"/>
      <c r="AC164" s="696"/>
      <c r="AD164" s="696"/>
      <c r="AE164" s="696"/>
      <c r="AF164" s="696"/>
      <c r="AG164" s="847"/>
      <c r="AH164" s="696"/>
      <c r="AI164" s="696"/>
      <c r="AJ164" s="696"/>
      <c r="AK164" s="696"/>
      <c r="AL164" s="696"/>
      <c r="AM164" s="696"/>
      <c r="AN164" s="696"/>
      <c r="AO164" s="847"/>
      <c r="AP164" s="696"/>
      <c r="AQ164" s="696"/>
      <c r="AR164" s="696"/>
      <c r="AS164" s="696"/>
      <c r="AT164" s="696"/>
      <c r="AU164" s="696"/>
      <c r="AV164" s="696"/>
      <c r="AW164" s="696"/>
      <c r="AX164" s="696"/>
      <c r="AY164" s="696"/>
      <c r="AZ164" s="696"/>
      <c r="BA164" s="696"/>
      <c r="BB164" s="696"/>
      <c r="BC164" s="696"/>
      <c r="BD164" s="696"/>
      <c r="BE164" s="696"/>
      <c r="BF164" s="696"/>
      <c r="BG164" s="696"/>
      <c r="BH164" s="696"/>
    </row>
    <row r="165" spans="1:60" s="44" customFormat="1">
      <c r="A165" s="700"/>
      <c r="B165" s="700"/>
      <c r="C165" s="696"/>
      <c r="D165" s="696"/>
      <c r="E165" s="696"/>
      <c r="F165" s="696"/>
      <c r="G165" s="696"/>
      <c r="H165" s="696"/>
      <c r="I165" s="847"/>
      <c r="J165" s="696"/>
      <c r="K165" s="696"/>
      <c r="L165" s="696"/>
      <c r="M165" s="696"/>
      <c r="N165" s="696"/>
      <c r="O165" s="696"/>
      <c r="P165" s="696"/>
      <c r="Q165" s="847"/>
      <c r="R165" s="696"/>
      <c r="S165" s="696"/>
      <c r="T165" s="696"/>
      <c r="U165" s="696"/>
      <c r="V165" s="696"/>
      <c r="W165" s="696"/>
      <c r="X165" s="696"/>
      <c r="Y165" s="847"/>
      <c r="Z165" s="696"/>
      <c r="AA165" s="696"/>
      <c r="AB165" s="696"/>
      <c r="AC165" s="696"/>
      <c r="AD165" s="696"/>
      <c r="AE165" s="696"/>
      <c r="AF165" s="696"/>
      <c r="AG165" s="847"/>
      <c r="AH165" s="696"/>
      <c r="AI165" s="696"/>
      <c r="AJ165" s="696"/>
      <c r="AK165" s="696"/>
      <c r="AL165" s="696"/>
      <c r="AM165" s="696"/>
      <c r="AN165" s="696"/>
      <c r="AO165" s="847"/>
      <c r="AP165" s="696"/>
      <c r="AQ165" s="696"/>
      <c r="AR165" s="696"/>
      <c r="AS165" s="696"/>
      <c r="AT165" s="696"/>
      <c r="AU165" s="696"/>
      <c r="AV165" s="696"/>
      <c r="AW165" s="696"/>
      <c r="AX165" s="696"/>
      <c r="AY165" s="696"/>
      <c r="AZ165" s="696"/>
      <c r="BA165" s="696"/>
      <c r="BB165" s="696"/>
      <c r="BC165" s="696"/>
      <c r="BD165" s="696"/>
      <c r="BE165" s="696"/>
      <c r="BF165" s="696"/>
      <c r="BG165" s="696"/>
      <c r="BH165" s="696"/>
    </row>
    <row r="166" spans="1:60" s="44" customFormat="1">
      <c r="A166" s="700"/>
      <c r="B166" s="700"/>
      <c r="C166" s="696"/>
      <c r="D166" s="696"/>
      <c r="E166" s="696"/>
      <c r="F166" s="696"/>
      <c r="G166" s="696"/>
      <c r="H166" s="696"/>
      <c r="I166" s="847"/>
      <c r="J166" s="696"/>
      <c r="K166" s="696"/>
      <c r="L166" s="696"/>
      <c r="M166" s="696"/>
      <c r="N166" s="696"/>
      <c r="O166" s="696"/>
      <c r="P166" s="696"/>
      <c r="Q166" s="847"/>
      <c r="R166" s="696"/>
      <c r="S166" s="696"/>
      <c r="T166" s="696"/>
      <c r="U166" s="696"/>
      <c r="V166" s="696"/>
      <c r="W166" s="696"/>
      <c r="X166" s="696"/>
      <c r="Y166" s="847"/>
      <c r="Z166" s="696"/>
      <c r="AA166" s="696"/>
      <c r="AB166" s="696"/>
      <c r="AC166" s="696"/>
      <c r="AD166" s="696"/>
      <c r="AE166" s="696"/>
      <c r="AF166" s="696"/>
      <c r="AG166" s="847"/>
      <c r="AH166" s="696"/>
      <c r="AI166" s="696"/>
      <c r="AJ166" s="696"/>
      <c r="AK166" s="696"/>
      <c r="AL166" s="696"/>
      <c r="AM166" s="696"/>
      <c r="AN166" s="696"/>
      <c r="AO166" s="847"/>
      <c r="AP166" s="696"/>
      <c r="AQ166" s="696"/>
      <c r="AR166" s="696"/>
      <c r="AS166" s="696"/>
      <c r="AT166" s="696"/>
      <c r="AU166" s="696"/>
      <c r="AV166" s="696"/>
      <c r="AW166" s="696"/>
      <c r="AX166" s="696"/>
      <c r="AY166" s="696"/>
      <c r="AZ166" s="696"/>
      <c r="BA166" s="696"/>
      <c r="BB166" s="696"/>
      <c r="BC166" s="696"/>
      <c r="BD166" s="696"/>
      <c r="BE166" s="696"/>
      <c r="BF166" s="696"/>
      <c r="BG166" s="696"/>
      <c r="BH166" s="696"/>
    </row>
    <row r="167" spans="1:60" s="44" customFormat="1">
      <c r="A167" s="700"/>
      <c r="B167" s="700"/>
      <c r="C167" s="696"/>
      <c r="D167" s="696"/>
      <c r="E167" s="696"/>
      <c r="F167" s="696"/>
      <c r="G167" s="696"/>
      <c r="H167" s="696"/>
      <c r="I167" s="847"/>
      <c r="J167" s="696"/>
      <c r="K167" s="696"/>
      <c r="L167" s="696"/>
      <c r="M167" s="696"/>
      <c r="N167" s="696"/>
      <c r="O167" s="696"/>
      <c r="P167" s="696"/>
      <c r="Q167" s="847"/>
      <c r="R167" s="696"/>
      <c r="S167" s="696"/>
      <c r="T167" s="696"/>
      <c r="U167" s="696"/>
      <c r="V167" s="696"/>
      <c r="W167" s="696"/>
      <c r="X167" s="696"/>
      <c r="Y167" s="847"/>
      <c r="Z167" s="696"/>
      <c r="AA167" s="696"/>
      <c r="AB167" s="696"/>
      <c r="AC167" s="696"/>
      <c r="AD167" s="696"/>
      <c r="AE167" s="696"/>
      <c r="AF167" s="696"/>
      <c r="AG167" s="847"/>
      <c r="AH167" s="696"/>
      <c r="AI167" s="696"/>
      <c r="AJ167" s="696"/>
      <c r="AK167" s="696"/>
      <c r="AL167" s="696"/>
      <c r="AM167" s="696"/>
      <c r="AN167" s="696"/>
      <c r="AO167" s="847"/>
      <c r="AP167" s="696"/>
      <c r="AQ167" s="696"/>
      <c r="AR167" s="696"/>
      <c r="AS167" s="696"/>
      <c r="AT167" s="696"/>
      <c r="AU167" s="696"/>
      <c r="AV167" s="696"/>
      <c r="AW167" s="696"/>
      <c r="AX167" s="696"/>
      <c r="AY167" s="696"/>
      <c r="AZ167" s="696"/>
      <c r="BA167" s="696"/>
      <c r="BB167" s="696"/>
      <c r="BC167" s="696"/>
      <c r="BD167" s="696"/>
      <c r="BE167" s="696"/>
      <c r="BF167" s="696"/>
      <c r="BG167" s="696"/>
      <c r="BH167" s="696"/>
    </row>
    <row r="168" spans="1:60" s="44" customFormat="1">
      <c r="A168" s="700"/>
      <c r="B168" s="700"/>
      <c r="C168" s="696"/>
      <c r="D168" s="696"/>
      <c r="E168" s="696"/>
      <c r="F168" s="696"/>
      <c r="G168" s="696"/>
      <c r="H168" s="696"/>
      <c r="I168" s="847"/>
      <c r="J168" s="696"/>
      <c r="K168" s="696"/>
      <c r="L168" s="696"/>
      <c r="M168" s="696"/>
      <c r="N168" s="696"/>
      <c r="O168" s="696"/>
      <c r="P168" s="696"/>
      <c r="Q168" s="847"/>
      <c r="R168" s="696"/>
      <c r="S168" s="696"/>
      <c r="T168" s="696"/>
      <c r="U168" s="696"/>
      <c r="V168" s="696"/>
      <c r="W168" s="696"/>
      <c r="X168" s="696"/>
      <c r="Y168" s="847"/>
      <c r="Z168" s="696"/>
      <c r="AA168" s="696"/>
      <c r="AB168" s="696"/>
      <c r="AC168" s="696"/>
      <c r="AD168" s="696"/>
      <c r="AE168" s="696"/>
      <c r="AF168" s="696"/>
      <c r="AG168" s="847"/>
      <c r="AH168" s="696"/>
      <c r="AI168" s="696"/>
      <c r="AJ168" s="696"/>
      <c r="AK168" s="696"/>
      <c r="AL168" s="696"/>
      <c r="AM168" s="696"/>
      <c r="AN168" s="696"/>
      <c r="AO168" s="847"/>
      <c r="AP168" s="696"/>
      <c r="AQ168" s="696"/>
      <c r="AR168" s="696"/>
      <c r="AS168" s="696"/>
      <c r="AT168" s="696"/>
      <c r="AU168" s="696"/>
      <c r="AV168" s="696"/>
      <c r="AW168" s="696"/>
      <c r="AX168" s="696"/>
      <c r="AY168" s="696"/>
      <c r="AZ168" s="696"/>
      <c r="BA168" s="696"/>
      <c r="BB168" s="696"/>
      <c r="BC168" s="696"/>
      <c r="BD168" s="696"/>
      <c r="BE168" s="696"/>
      <c r="BF168" s="696"/>
      <c r="BG168" s="696"/>
      <c r="BH168" s="696"/>
    </row>
    <row r="169" spans="1:60" s="44" customFormat="1">
      <c r="A169" s="700"/>
      <c r="B169" s="700"/>
      <c r="C169" s="696"/>
      <c r="D169" s="696"/>
      <c r="E169" s="696"/>
      <c r="F169" s="696"/>
      <c r="G169" s="696"/>
      <c r="H169" s="696"/>
      <c r="I169" s="847"/>
      <c r="J169" s="696"/>
      <c r="K169" s="696"/>
      <c r="L169" s="696"/>
      <c r="M169" s="696"/>
      <c r="N169" s="696"/>
      <c r="O169" s="696"/>
      <c r="P169" s="696"/>
      <c r="Q169" s="847"/>
      <c r="R169" s="696"/>
      <c r="S169" s="696"/>
      <c r="T169" s="696"/>
      <c r="U169" s="696"/>
      <c r="V169" s="696"/>
      <c r="W169" s="696"/>
      <c r="X169" s="696"/>
      <c r="Y169" s="847"/>
      <c r="Z169" s="696"/>
      <c r="AA169" s="696"/>
      <c r="AB169" s="696"/>
      <c r="AC169" s="696"/>
      <c r="AD169" s="696"/>
      <c r="AE169" s="696"/>
      <c r="AF169" s="696"/>
      <c r="AG169" s="847"/>
      <c r="AH169" s="696"/>
      <c r="AI169" s="696"/>
      <c r="AJ169" s="696"/>
      <c r="AK169" s="696"/>
      <c r="AL169" s="696"/>
      <c r="AM169" s="696"/>
      <c r="AN169" s="696"/>
      <c r="AO169" s="847"/>
      <c r="AP169" s="696"/>
      <c r="AQ169" s="696"/>
      <c r="AR169" s="696"/>
      <c r="AS169" s="696"/>
      <c r="AT169" s="696"/>
      <c r="AU169" s="696"/>
      <c r="AV169" s="696"/>
      <c r="AW169" s="696"/>
      <c r="AX169" s="696"/>
      <c r="AY169" s="696"/>
      <c r="AZ169" s="696"/>
      <c r="BA169" s="696"/>
      <c r="BB169" s="696"/>
      <c r="BC169" s="696"/>
      <c r="BD169" s="696"/>
      <c r="BE169" s="696"/>
      <c r="BF169" s="696"/>
      <c r="BG169" s="696"/>
      <c r="BH169" s="696"/>
    </row>
    <row r="170" spans="1:60" s="44" customFormat="1">
      <c r="A170" s="700"/>
      <c r="B170" s="700"/>
      <c r="C170" s="696"/>
      <c r="D170" s="696"/>
      <c r="E170" s="696"/>
      <c r="F170" s="696"/>
      <c r="G170" s="696"/>
      <c r="H170" s="696"/>
      <c r="I170" s="847"/>
      <c r="J170" s="696"/>
      <c r="K170" s="696"/>
      <c r="L170" s="696"/>
      <c r="M170" s="696"/>
      <c r="N170" s="696"/>
      <c r="O170" s="696"/>
      <c r="P170" s="696"/>
      <c r="Q170" s="847"/>
      <c r="R170" s="696"/>
      <c r="S170" s="696"/>
      <c r="T170" s="696"/>
      <c r="U170" s="696"/>
      <c r="V170" s="696"/>
      <c r="W170" s="696"/>
      <c r="X170" s="696"/>
      <c r="Y170" s="847"/>
      <c r="Z170" s="696"/>
      <c r="AA170" s="696"/>
      <c r="AB170" s="696"/>
      <c r="AC170" s="696"/>
      <c r="AD170" s="696"/>
      <c r="AE170" s="696"/>
      <c r="AF170" s="696"/>
      <c r="AG170" s="847"/>
      <c r="AH170" s="696"/>
      <c r="AI170" s="696"/>
      <c r="AJ170" s="696"/>
      <c r="AK170" s="696"/>
      <c r="AL170" s="696"/>
      <c r="AM170" s="696"/>
      <c r="AN170" s="696"/>
      <c r="AO170" s="847"/>
      <c r="AP170" s="696"/>
      <c r="AQ170" s="696"/>
      <c r="AR170" s="696"/>
      <c r="AS170" s="696"/>
      <c r="AT170" s="696"/>
      <c r="AU170" s="696"/>
      <c r="AV170" s="696"/>
      <c r="AW170" s="696"/>
      <c r="AX170" s="696"/>
      <c r="AY170" s="696"/>
      <c r="AZ170" s="696"/>
      <c r="BA170" s="696"/>
      <c r="BB170" s="696"/>
      <c r="BC170" s="696"/>
      <c r="BD170" s="696"/>
      <c r="BE170" s="696"/>
      <c r="BF170" s="696"/>
      <c r="BG170" s="696"/>
      <c r="BH170" s="696"/>
    </row>
    <row r="171" spans="1:60" s="44" customFormat="1">
      <c r="A171" s="700"/>
      <c r="B171" s="700"/>
      <c r="C171" s="696"/>
      <c r="D171" s="696"/>
      <c r="E171" s="696"/>
      <c r="F171" s="696"/>
      <c r="G171" s="696"/>
      <c r="H171" s="696"/>
      <c r="I171" s="847"/>
      <c r="J171" s="696"/>
      <c r="K171" s="696"/>
      <c r="L171" s="696"/>
      <c r="M171" s="696"/>
      <c r="N171" s="696"/>
      <c r="O171" s="696"/>
      <c r="P171" s="696"/>
      <c r="Q171" s="847"/>
      <c r="R171" s="696"/>
      <c r="S171" s="696"/>
      <c r="T171" s="696"/>
      <c r="U171" s="696"/>
      <c r="V171" s="696"/>
      <c r="W171" s="696"/>
      <c r="X171" s="696"/>
      <c r="Y171" s="847"/>
      <c r="Z171" s="696"/>
      <c r="AA171" s="696"/>
      <c r="AB171" s="696"/>
      <c r="AC171" s="696"/>
      <c r="AD171" s="696"/>
      <c r="AE171" s="696"/>
      <c r="AF171" s="696"/>
      <c r="AG171" s="847"/>
      <c r="AH171" s="696"/>
      <c r="AI171" s="696"/>
      <c r="AJ171" s="696"/>
      <c r="AK171" s="696"/>
      <c r="AL171" s="696"/>
      <c r="AM171" s="696"/>
      <c r="AN171" s="696"/>
      <c r="AO171" s="847"/>
      <c r="AP171" s="696"/>
      <c r="AQ171" s="696"/>
      <c r="AR171" s="696"/>
      <c r="AS171" s="696"/>
      <c r="AT171" s="696"/>
      <c r="AU171" s="696"/>
      <c r="AV171" s="696"/>
      <c r="AW171" s="696"/>
      <c r="AX171" s="696"/>
      <c r="AY171" s="696"/>
      <c r="AZ171" s="696"/>
      <c r="BA171" s="696"/>
      <c r="BB171" s="696"/>
      <c r="BC171" s="696"/>
      <c r="BD171" s="696"/>
      <c r="BE171" s="696"/>
      <c r="BF171" s="696"/>
      <c r="BG171" s="696"/>
      <c r="BH171" s="696"/>
    </row>
    <row r="172" spans="1:60" s="44" customFormat="1">
      <c r="A172" s="700"/>
      <c r="B172" s="700"/>
      <c r="C172" s="696"/>
      <c r="D172" s="696"/>
      <c r="E172" s="696"/>
      <c r="F172" s="696"/>
      <c r="G172" s="696"/>
      <c r="H172" s="696"/>
      <c r="I172" s="847"/>
      <c r="J172" s="696"/>
      <c r="K172" s="696"/>
      <c r="L172" s="696"/>
      <c r="M172" s="696"/>
      <c r="N172" s="696"/>
      <c r="O172" s="696"/>
      <c r="P172" s="696"/>
      <c r="Q172" s="847"/>
      <c r="R172" s="696"/>
      <c r="S172" s="696"/>
      <c r="T172" s="696"/>
      <c r="U172" s="696"/>
      <c r="V172" s="696"/>
      <c r="W172" s="696"/>
      <c r="X172" s="696"/>
      <c r="Y172" s="847"/>
      <c r="Z172" s="696"/>
      <c r="AA172" s="696"/>
      <c r="AB172" s="696"/>
      <c r="AC172" s="696"/>
      <c r="AD172" s="696"/>
      <c r="AE172" s="696"/>
      <c r="AF172" s="696"/>
      <c r="AG172" s="847"/>
      <c r="AH172" s="696"/>
      <c r="AI172" s="696"/>
      <c r="AJ172" s="696"/>
      <c r="AK172" s="696"/>
      <c r="AL172" s="696"/>
      <c r="AM172" s="696"/>
      <c r="AN172" s="696"/>
      <c r="AO172" s="847"/>
      <c r="AP172" s="696"/>
      <c r="AQ172" s="696"/>
      <c r="AR172" s="696"/>
      <c r="AS172" s="696"/>
      <c r="AT172" s="696"/>
      <c r="AU172" s="696"/>
      <c r="AV172" s="696"/>
      <c r="AW172" s="696"/>
      <c r="AX172" s="696"/>
      <c r="AY172" s="696"/>
      <c r="AZ172" s="696"/>
      <c r="BA172" s="696"/>
      <c r="BB172" s="696"/>
      <c r="BC172" s="696"/>
      <c r="BD172" s="696"/>
      <c r="BE172" s="696"/>
      <c r="BF172" s="696"/>
      <c r="BG172" s="696"/>
      <c r="BH172" s="696"/>
    </row>
    <row r="173" spans="1:60" s="44" customFormat="1">
      <c r="A173" s="700"/>
      <c r="B173" s="700"/>
      <c r="C173" s="696"/>
      <c r="D173" s="696"/>
      <c r="E173" s="696"/>
      <c r="F173" s="696"/>
      <c r="G173" s="696"/>
      <c r="H173" s="696"/>
      <c r="I173" s="847"/>
      <c r="J173" s="696"/>
      <c r="K173" s="696"/>
      <c r="L173" s="696"/>
      <c r="M173" s="696"/>
      <c r="N173" s="696"/>
      <c r="O173" s="696"/>
      <c r="P173" s="696"/>
      <c r="Q173" s="847"/>
      <c r="R173" s="696"/>
      <c r="S173" s="696"/>
      <c r="T173" s="696"/>
      <c r="U173" s="696"/>
      <c r="V173" s="696"/>
      <c r="W173" s="696"/>
      <c r="X173" s="696"/>
      <c r="Y173" s="847"/>
      <c r="Z173" s="696"/>
      <c r="AA173" s="696"/>
      <c r="AB173" s="696"/>
      <c r="AC173" s="696"/>
      <c r="AD173" s="696"/>
      <c r="AE173" s="696"/>
      <c r="AF173" s="696"/>
      <c r="AG173" s="847"/>
      <c r="AH173" s="696"/>
      <c r="AI173" s="696"/>
      <c r="AJ173" s="696"/>
      <c r="AK173" s="696"/>
      <c r="AL173" s="696"/>
      <c r="AM173" s="696"/>
      <c r="AN173" s="696"/>
      <c r="AO173" s="847"/>
      <c r="AP173" s="696"/>
      <c r="AQ173" s="696"/>
      <c r="AR173" s="696"/>
      <c r="AS173" s="696"/>
      <c r="AT173" s="696"/>
      <c r="AU173" s="696"/>
      <c r="AV173" s="696"/>
      <c r="AW173" s="696"/>
      <c r="AX173" s="696"/>
      <c r="AY173" s="696"/>
      <c r="AZ173" s="696"/>
      <c r="BA173" s="696"/>
      <c r="BB173" s="696"/>
      <c r="BC173" s="696"/>
      <c r="BD173" s="696"/>
      <c r="BE173" s="696"/>
      <c r="BF173" s="696"/>
      <c r="BG173" s="696"/>
      <c r="BH173" s="696"/>
    </row>
    <row r="174" spans="1:60" s="44" customFormat="1">
      <c r="A174" s="700"/>
      <c r="B174" s="700"/>
      <c r="C174" s="696"/>
      <c r="D174" s="696"/>
      <c r="E174" s="696"/>
      <c r="F174" s="696"/>
      <c r="G174" s="696"/>
      <c r="H174" s="696"/>
      <c r="I174" s="847"/>
      <c r="J174" s="696"/>
      <c r="K174" s="696"/>
      <c r="L174" s="696"/>
      <c r="M174" s="696"/>
      <c r="N174" s="696"/>
      <c r="O174" s="696"/>
      <c r="P174" s="696"/>
      <c r="Q174" s="847"/>
      <c r="R174" s="696"/>
      <c r="S174" s="696"/>
      <c r="T174" s="696"/>
      <c r="U174" s="696"/>
      <c r="V174" s="696"/>
      <c r="W174" s="696"/>
      <c r="X174" s="696"/>
      <c r="Y174" s="847"/>
      <c r="Z174" s="696"/>
      <c r="AA174" s="696"/>
      <c r="AB174" s="696"/>
      <c r="AC174" s="696"/>
      <c r="AD174" s="696"/>
      <c r="AE174" s="696"/>
      <c r="AF174" s="696"/>
      <c r="AG174" s="847"/>
      <c r="AH174" s="696"/>
      <c r="AI174" s="696"/>
      <c r="AJ174" s="696"/>
      <c r="AK174" s="696"/>
      <c r="AL174" s="696"/>
      <c r="AM174" s="696"/>
      <c r="AN174" s="696"/>
      <c r="AO174" s="847"/>
      <c r="AP174" s="696"/>
      <c r="AQ174" s="696"/>
      <c r="AR174" s="696"/>
      <c r="AS174" s="696"/>
      <c r="AT174" s="696"/>
      <c r="AU174" s="696"/>
      <c r="AV174" s="696"/>
      <c r="AW174" s="696"/>
      <c r="AX174" s="696"/>
      <c r="AY174" s="696"/>
      <c r="AZ174" s="696"/>
      <c r="BA174" s="696"/>
      <c r="BB174" s="696"/>
      <c r="BC174" s="696"/>
      <c r="BD174" s="696"/>
      <c r="BE174" s="696"/>
      <c r="BF174" s="696"/>
      <c r="BG174" s="696"/>
      <c r="BH174" s="696"/>
    </row>
    <row r="175" spans="1:60" s="44" customFormat="1">
      <c r="A175" s="700"/>
      <c r="B175" s="700"/>
      <c r="C175" s="696"/>
      <c r="D175" s="696"/>
      <c r="E175" s="696"/>
      <c r="F175" s="696"/>
      <c r="G175" s="696"/>
      <c r="H175" s="696"/>
      <c r="I175" s="847"/>
      <c r="J175" s="696"/>
      <c r="K175" s="696"/>
      <c r="L175" s="696"/>
      <c r="M175" s="696"/>
      <c r="N175" s="696"/>
      <c r="O175" s="696"/>
      <c r="P175" s="696"/>
      <c r="Q175" s="847"/>
      <c r="R175" s="696"/>
      <c r="S175" s="696"/>
      <c r="T175" s="696"/>
      <c r="U175" s="696"/>
      <c r="V175" s="696"/>
      <c r="W175" s="696"/>
      <c r="X175" s="696"/>
      <c r="Y175" s="847"/>
      <c r="Z175" s="696"/>
      <c r="AA175" s="696"/>
      <c r="AB175" s="696"/>
      <c r="AC175" s="696"/>
      <c r="AD175" s="696"/>
      <c r="AE175" s="696"/>
      <c r="AF175" s="696"/>
      <c r="AG175" s="847"/>
      <c r="AH175" s="696"/>
      <c r="AI175" s="696"/>
      <c r="AJ175" s="696"/>
      <c r="AK175" s="696"/>
      <c r="AL175" s="696"/>
      <c r="AM175" s="696"/>
      <c r="AN175" s="696"/>
      <c r="AO175" s="847"/>
      <c r="AP175" s="696"/>
      <c r="AQ175" s="696"/>
      <c r="AR175" s="696"/>
      <c r="AS175" s="696"/>
      <c r="AT175" s="696"/>
      <c r="AU175" s="696"/>
      <c r="AV175" s="696"/>
      <c r="AW175" s="696"/>
      <c r="AX175" s="696"/>
      <c r="AY175" s="696"/>
      <c r="AZ175" s="696"/>
      <c r="BA175" s="696"/>
      <c r="BB175" s="696"/>
      <c r="BC175" s="696"/>
      <c r="BD175" s="696"/>
      <c r="BE175" s="696"/>
      <c r="BF175" s="696"/>
      <c r="BG175" s="696"/>
      <c r="BH175" s="696"/>
    </row>
    <row r="176" spans="1:60" s="44" customFormat="1">
      <c r="A176" s="700"/>
      <c r="B176" s="700"/>
      <c r="C176" s="696"/>
      <c r="D176" s="696"/>
      <c r="E176" s="696"/>
      <c r="F176" s="696"/>
      <c r="G176" s="696"/>
      <c r="H176" s="696"/>
      <c r="I176" s="847"/>
      <c r="J176" s="696"/>
      <c r="K176" s="696"/>
      <c r="L176" s="696"/>
      <c r="M176" s="696"/>
      <c r="N176" s="696"/>
      <c r="O176" s="696"/>
      <c r="P176" s="696"/>
      <c r="Q176" s="847"/>
      <c r="R176" s="696"/>
      <c r="S176" s="696"/>
      <c r="T176" s="696"/>
      <c r="U176" s="696"/>
      <c r="V176" s="696"/>
      <c r="W176" s="696"/>
      <c r="X176" s="696"/>
      <c r="Y176" s="847"/>
      <c r="Z176" s="696"/>
      <c r="AA176" s="696"/>
      <c r="AB176" s="696"/>
      <c r="AC176" s="696"/>
      <c r="AD176" s="696"/>
      <c r="AE176" s="696"/>
      <c r="AF176" s="696"/>
      <c r="AG176" s="847"/>
      <c r="AH176" s="696"/>
      <c r="AI176" s="696"/>
      <c r="AJ176" s="696"/>
      <c r="AK176" s="696"/>
      <c r="AL176" s="696"/>
      <c r="AM176" s="696"/>
      <c r="AN176" s="696"/>
      <c r="AO176" s="847"/>
      <c r="AP176" s="696"/>
      <c r="AQ176" s="696"/>
      <c r="AR176" s="696"/>
      <c r="AS176" s="696"/>
      <c r="AT176" s="696"/>
      <c r="AU176" s="696"/>
      <c r="AV176" s="696"/>
      <c r="AW176" s="696"/>
      <c r="AX176" s="696"/>
      <c r="AY176" s="696"/>
      <c r="AZ176" s="696"/>
      <c r="BA176" s="696"/>
      <c r="BB176" s="696"/>
      <c r="BC176" s="696"/>
      <c r="BD176" s="696"/>
      <c r="BE176" s="696"/>
      <c r="BF176" s="696"/>
      <c r="BG176" s="696"/>
      <c r="BH176" s="696"/>
    </row>
    <row r="177" spans="1:60" s="44" customFormat="1">
      <c r="A177" s="700"/>
      <c r="B177" s="700"/>
      <c r="C177" s="696"/>
      <c r="D177" s="696"/>
      <c r="E177" s="696"/>
      <c r="F177" s="696"/>
      <c r="G177" s="696"/>
      <c r="H177" s="696"/>
      <c r="I177" s="847"/>
      <c r="J177" s="696"/>
      <c r="K177" s="696"/>
      <c r="L177" s="696"/>
      <c r="M177" s="696"/>
      <c r="N177" s="696"/>
      <c r="O177" s="696"/>
      <c r="P177" s="696"/>
      <c r="Q177" s="847"/>
      <c r="R177" s="696"/>
      <c r="S177" s="696"/>
      <c r="T177" s="696"/>
      <c r="U177" s="696"/>
      <c r="V177" s="696"/>
      <c r="W177" s="696"/>
      <c r="X177" s="696"/>
      <c r="Y177" s="847"/>
      <c r="Z177" s="696"/>
      <c r="AA177" s="696"/>
      <c r="AB177" s="696"/>
      <c r="AC177" s="696"/>
      <c r="AD177" s="696"/>
      <c r="AE177" s="696"/>
      <c r="AF177" s="696"/>
      <c r="AG177" s="847"/>
      <c r="AH177" s="696"/>
      <c r="AI177" s="696"/>
      <c r="AJ177" s="696"/>
      <c r="AK177" s="696"/>
      <c r="AL177" s="696"/>
      <c r="AM177" s="696"/>
      <c r="AN177" s="696"/>
      <c r="AO177" s="847"/>
      <c r="AP177" s="696"/>
      <c r="AQ177" s="696"/>
      <c r="AR177" s="696"/>
      <c r="AS177" s="696"/>
      <c r="AT177" s="696"/>
      <c r="AU177" s="696"/>
      <c r="AV177" s="696"/>
      <c r="AW177" s="696"/>
      <c r="AX177" s="696"/>
      <c r="AY177" s="696"/>
      <c r="AZ177" s="696"/>
      <c r="BA177" s="696"/>
      <c r="BB177" s="696"/>
      <c r="BC177" s="696"/>
      <c r="BD177" s="696"/>
      <c r="BE177" s="696"/>
      <c r="BF177" s="696"/>
      <c r="BG177" s="696"/>
      <c r="BH177" s="696"/>
    </row>
    <row r="178" spans="1:60" s="44" customFormat="1">
      <c r="A178" s="700"/>
      <c r="B178" s="700"/>
      <c r="C178" s="696"/>
      <c r="D178" s="696"/>
      <c r="E178" s="696"/>
      <c r="F178" s="696"/>
      <c r="G178" s="696"/>
      <c r="H178" s="696"/>
      <c r="I178" s="847"/>
      <c r="J178" s="696"/>
      <c r="K178" s="696"/>
      <c r="L178" s="696"/>
      <c r="M178" s="696"/>
      <c r="N178" s="696"/>
      <c r="O178" s="696"/>
      <c r="P178" s="696"/>
      <c r="Q178" s="847"/>
      <c r="R178" s="696"/>
      <c r="S178" s="696"/>
      <c r="T178" s="696"/>
      <c r="U178" s="696"/>
      <c r="V178" s="696"/>
      <c r="W178" s="696"/>
      <c r="X178" s="696"/>
      <c r="Y178" s="847"/>
      <c r="Z178" s="696"/>
      <c r="AA178" s="696"/>
      <c r="AB178" s="696"/>
      <c r="AC178" s="696"/>
      <c r="AD178" s="696"/>
      <c r="AE178" s="696"/>
      <c r="AF178" s="696"/>
      <c r="AG178" s="847"/>
      <c r="AH178" s="696"/>
      <c r="AI178" s="696"/>
      <c r="AJ178" s="696"/>
      <c r="AK178" s="696"/>
      <c r="AL178" s="696"/>
      <c r="AM178" s="696"/>
      <c r="AN178" s="696"/>
      <c r="AO178" s="847"/>
      <c r="AP178" s="696"/>
      <c r="AQ178" s="696"/>
      <c r="AR178" s="696"/>
      <c r="AS178" s="696"/>
      <c r="AT178" s="696"/>
      <c r="AU178" s="696"/>
      <c r="AV178" s="696"/>
      <c r="AW178" s="696"/>
      <c r="AX178" s="696"/>
      <c r="AY178" s="696"/>
      <c r="AZ178" s="696"/>
      <c r="BA178" s="696"/>
      <c r="BB178" s="696"/>
      <c r="BC178" s="696"/>
      <c r="BD178" s="696"/>
      <c r="BE178" s="696"/>
      <c r="BF178" s="696"/>
      <c r="BG178" s="696"/>
      <c r="BH178" s="696"/>
    </row>
    <row r="179" spans="1:60" s="44" customFormat="1">
      <c r="A179" s="700"/>
      <c r="B179" s="700"/>
      <c r="C179" s="696"/>
      <c r="D179" s="696"/>
      <c r="E179" s="696"/>
      <c r="F179" s="696"/>
      <c r="G179" s="696"/>
      <c r="H179" s="696"/>
      <c r="I179" s="847"/>
      <c r="J179" s="696"/>
      <c r="K179" s="696"/>
      <c r="L179" s="696"/>
      <c r="M179" s="696"/>
      <c r="N179" s="696"/>
      <c r="O179" s="696"/>
      <c r="P179" s="696"/>
      <c r="Q179" s="847"/>
      <c r="R179" s="696"/>
      <c r="S179" s="696"/>
      <c r="T179" s="696"/>
      <c r="U179" s="696"/>
      <c r="V179" s="696"/>
      <c r="W179" s="696"/>
      <c r="X179" s="696"/>
      <c r="Y179" s="847"/>
      <c r="Z179" s="696"/>
      <c r="AA179" s="696"/>
      <c r="AB179" s="696"/>
      <c r="AC179" s="696"/>
      <c r="AD179" s="696"/>
      <c r="AE179" s="696"/>
      <c r="AF179" s="696"/>
      <c r="AG179" s="847"/>
      <c r="AH179" s="696"/>
      <c r="AI179" s="696"/>
      <c r="AJ179" s="696"/>
      <c r="AK179" s="696"/>
      <c r="AL179" s="696"/>
      <c r="AM179" s="696"/>
      <c r="AN179" s="696"/>
      <c r="AO179" s="847"/>
      <c r="AP179" s="696"/>
      <c r="AQ179" s="696"/>
      <c r="AR179" s="696"/>
      <c r="AS179" s="696"/>
      <c r="AT179" s="696"/>
      <c r="AU179" s="696"/>
      <c r="AV179" s="696"/>
      <c r="AW179" s="696"/>
      <c r="AX179" s="696"/>
      <c r="AY179" s="696"/>
      <c r="AZ179" s="696"/>
      <c r="BA179" s="696"/>
      <c r="BB179" s="696"/>
      <c r="BC179" s="696"/>
      <c r="BD179" s="696"/>
      <c r="BE179" s="696"/>
      <c r="BF179" s="696"/>
      <c r="BG179" s="696"/>
      <c r="BH179" s="696"/>
    </row>
    <row r="180" spans="1:60" s="44" customFormat="1">
      <c r="A180" s="700"/>
      <c r="B180" s="700"/>
      <c r="C180" s="696"/>
      <c r="D180" s="696"/>
      <c r="E180" s="696"/>
      <c r="F180" s="696"/>
      <c r="G180" s="696"/>
      <c r="H180" s="696"/>
      <c r="I180" s="847"/>
      <c r="J180" s="696"/>
      <c r="K180" s="696"/>
      <c r="L180" s="696"/>
      <c r="M180" s="696"/>
      <c r="N180" s="696"/>
      <c r="O180" s="696"/>
      <c r="P180" s="696"/>
      <c r="Q180" s="847"/>
      <c r="R180" s="696"/>
      <c r="S180" s="696"/>
      <c r="T180" s="696"/>
      <c r="U180" s="696"/>
      <c r="V180" s="696"/>
      <c r="W180" s="696"/>
      <c r="X180" s="696"/>
      <c r="Y180" s="847"/>
      <c r="Z180" s="696"/>
      <c r="AA180" s="696"/>
      <c r="AB180" s="696"/>
      <c r="AC180" s="696"/>
      <c r="AD180" s="696"/>
      <c r="AE180" s="696"/>
      <c r="AF180" s="696"/>
      <c r="AG180" s="847"/>
      <c r="AH180" s="696"/>
      <c r="AI180" s="696"/>
      <c r="AJ180" s="696"/>
      <c r="AK180" s="696"/>
      <c r="AL180" s="696"/>
      <c r="AM180" s="696"/>
      <c r="AN180" s="696"/>
      <c r="AO180" s="847"/>
      <c r="AP180" s="696"/>
      <c r="AQ180" s="696"/>
      <c r="AR180" s="696"/>
      <c r="AS180" s="696"/>
      <c r="AT180" s="696"/>
      <c r="AU180" s="696"/>
      <c r="AV180" s="696"/>
      <c r="AW180" s="696"/>
      <c r="AX180" s="696"/>
      <c r="AY180" s="696"/>
      <c r="AZ180" s="696"/>
      <c r="BA180" s="696"/>
      <c r="BB180" s="696"/>
      <c r="BC180" s="696"/>
      <c r="BD180" s="696"/>
      <c r="BE180" s="696"/>
      <c r="BF180" s="696"/>
      <c r="BG180" s="696"/>
      <c r="BH180" s="696"/>
    </row>
    <row r="181" spans="1:60" s="44" customFormat="1">
      <c r="A181" s="700"/>
      <c r="B181" s="700"/>
      <c r="C181" s="696"/>
      <c r="D181" s="696"/>
      <c r="E181" s="696"/>
      <c r="F181" s="696"/>
      <c r="G181" s="696"/>
      <c r="H181" s="696"/>
      <c r="I181" s="847"/>
      <c r="J181" s="696"/>
      <c r="K181" s="696"/>
      <c r="L181" s="696"/>
      <c r="M181" s="696"/>
      <c r="N181" s="696"/>
      <c r="O181" s="696"/>
      <c r="P181" s="696"/>
      <c r="Q181" s="847"/>
      <c r="R181" s="696"/>
      <c r="S181" s="696"/>
      <c r="T181" s="696"/>
      <c r="U181" s="696"/>
      <c r="V181" s="696"/>
      <c r="W181" s="696"/>
      <c r="X181" s="696"/>
      <c r="Y181" s="847"/>
      <c r="Z181" s="696"/>
      <c r="AA181" s="696"/>
      <c r="AB181" s="696"/>
      <c r="AC181" s="696"/>
      <c r="AD181" s="696"/>
      <c r="AE181" s="696"/>
      <c r="AF181" s="696"/>
      <c r="AG181" s="847"/>
      <c r="AH181" s="696"/>
      <c r="AI181" s="696"/>
      <c r="AJ181" s="696"/>
      <c r="AK181" s="696"/>
      <c r="AL181" s="696"/>
      <c r="AM181" s="696"/>
      <c r="AN181" s="696"/>
      <c r="AO181" s="847"/>
      <c r="AP181" s="696"/>
      <c r="AQ181" s="696"/>
      <c r="AR181" s="696"/>
      <c r="AS181" s="696"/>
      <c r="AT181" s="696"/>
      <c r="AU181" s="696"/>
      <c r="AV181" s="696"/>
      <c r="AW181" s="696"/>
      <c r="AX181" s="696"/>
      <c r="AY181" s="696"/>
      <c r="AZ181" s="696"/>
      <c r="BA181" s="696"/>
      <c r="BB181" s="696"/>
      <c r="BC181" s="696"/>
      <c r="BD181" s="696"/>
      <c r="BE181" s="696"/>
      <c r="BF181" s="696"/>
      <c r="BG181" s="696"/>
      <c r="BH181" s="696"/>
    </row>
    <row r="182" spans="1:60" s="44" customFormat="1">
      <c r="A182" s="700"/>
      <c r="B182" s="700"/>
      <c r="C182" s="696"/>
      <c r="D182" s="696"/>
      <c r="E182" s="696"/>
      <c r="F182" s="696"/>
      <c r="G182" s="696"/>
      <c r="H182" s="696"/>
      <c r="I182" s="847"/>
      <c r="J182" s="696"/>
      <c r="K182" s="696"/>
      <c r="L182" s="696"/>
      <c r="M182" s="696"/>
      <c r="N182" s="696"/>
      <c r="O182" s="696"/>
      <c r="P182" s="696"/>
      <c r="Q182" s="847"/>
      <c r="R182" s="696"/>
      <c r="S182" s="696"/>
      <c r="T182" s="696"/>
      <c r="U182" s="696"/>
      <c r="V182" s="696"/>
      <c r="W182" s="696"/>
      <c r="X182" s="696"/>
      <c r="Y182" s="847"/>
      <c r="Z182" s="696"/>
      <c r="AA182" s="696"/>
      <c r="AB182" s="696"/>
      <c r="AC182" s="696"/>
      <c r="AD182" s="696"/>
      <c r="AE182" s="696"/>
      <c r="AF182" s="696"/>
      <c r="AG182" s="847"/>
      <c r="AH182" s="696"/>
      <c r="AI182" s="696"/>
      <c r="AJ182" s="696"/>
      <c r="AK182" s="696"/>
      <c r="AL182" s="696"/>
      <c r="AM182" s="696"/>
      <c r="AN182" s="696"/>
      <c r="AO182" s="847"/>
      <c r="AP182" s="696"/>
      <c r="AQ182" s="696"/>
      <c r="AR182" s="696"/>
      <c r="AS182" s="696"/>
      <c r="AT182" s="696"/>
      <c r="AU182" s="696"/>
      <c r="AV182" s="696"/>
      <c r="AW182" s="696"/>
      <c r="AX182" s="696"/>
      <c r="AY182" s="696"/>
      <c r="AZ182" s="696"/>
      <c r="BA182" s="696"/>
      <c r="BB182" s="696"/>
      <c r="BC182" s="696"/>
      <c r="BD182" s="696"/>
      <c r="BE182" s="696"/>
      <c r="BF182" s="696"/>
      <c r="BG182" s="696"/>
      <c r="BH182" s="696"/>
    </row>
    <row r="183" spans="1:60" s="44" customFormat="1">
      <c r="A183" s="700"/>
      <c r="B183" s="700"/>
      <c r="C183" s="696"/>
      <c r="D183" s="696"/>
      <c r="E183" s="696"/>
      <c r="F183" s="696"/>
      <c r="G183" s="696"/>
      <c r="H183" s="696"/>
      <c r="I183" s="847"/>
      <c r="J183" s="696"/>
      <c r="K183" s="696"/>
      <c r="L183" s="696"/>
      <c r="M183" s="696"/>
      <c r="N183" s="696"/>
      <c r="O183" s="696"/>
      <c r="P183" s="696"/>
      <c r="Q183" s="847"/>
      <c r="R183" s="696"/>
      <c r="S183" s="696"/>
      <c r="T183" s="696"/>
      <c r="U183" s="696"/>
      <c r="V183" s="696"/>
      <c r="W183" s="696"/>
      <c r="X183" s="696"/>
      <c r="Y183" s="847"/>
      <c r="Z183" s="696"/>
      <c r="AA183" s="696"/>
      <c r="AB183" s="696"/>
      <c r="AC183" s="696"/>
      <c r="AD183" s="696"/>
      <c r="AE183" s="696"/>
      <c r="AF183" s="696"/>
      <c r="AG183" s="847"/>
      <c r="AH183" s="696"/>
      <c r="AI183" s="696"/>
      <c r="AJ183" s="696"/>
      <c r="AK183" s="696"/>
      <c r="AL183" s="696"/>
      <c r="AM183" s="696"/>
      <c r="AN183" s="696"/>
      <c r="AO183" s="847"/>
      <c r="AP183" s="696"/>
      <c r="AQ183" s="696"/>
      <c r="AR183" s="696"/>
      <c r="AS183" s="696"/>
      <c r="AT183" s="696"/>
      <c r="AU183" s="696"/>
      <c r="AV183" s="696"/>
      <c r="AW183" s="696"/>
      <c r="AX183" s="696"/>
      <c r="AY183" s="696"/>
      <c r="AZ183" s="696"/>
      <c r="BA183" s="696"/>
      <c r="BB183" s="696"/>
      <c r="BC183" s="696"/>
      <c r="BD183" s="696"/>
      <c r="BE183" s="696"/>
      <c r="BF183" s="696"/>
      <c r="BG183" s="696"/>
      <c r="BH183" s="696"/>
    </row>
    <row r="184" spans="1:60" s="44" customFormat="1">
      <c r="A184" s="700"/>
      <c r="B184" s="700"/>
      <c r="C184" s="696"/>
      <c r="D184" s="696"/>
      <c r="E184" s="696"/>
      <c r="F184" s="696"/>
      <c r="G184" s="696"/>
      <c r="H184" s="696"/>
      <c r="I184" s="847"/>
      <c r="J184" s="696"/>
      <c r="K184" s="696"/>
      <c r="L184" s="696"/>
      <c r="M184" s="696"/>
      <c r="N184" s="696"/>
      <c r="O184" s="696"/>
      <c r="P184" s="696"/>
      <c r="Q184" s="847"/>
      <c r="R184" s="696"/>
      <c r="S184" s="696"/>
      <c r="T184" s="696"/>
      <c r="U184" s="696"/>
      <c r="V184" s="696"/>
      <c r="W184" s="696"/>
      <c r="X184" s="696"/>
      <c r="Y184" s="847"/>
      <c r="Z184" s="696"/>
      <c r="AA184" s="696"/>
      <c r="AB184" s="696"/>
      <c r="AC184" s="696"/>
      <c r="AD184" s="696"/>
      <c r="AE184" s="696"/>
      <c r="AF184" s="696"/>
      <c r="AG184" s="847"/>
      <c r="AH184" s="696"/>
      <c r="AI184" s="696"/>
      <c r="AJ184" s="696"/>
      <c r="AK184" s="696"/>
      <c r="AL184" s="696"/>
      <c r="AM184" s="696"/>
      <c r="AN184" s="696"/>
      <c r="AO184" s="847"/>
      <c r="AP184" s="696"/>
      <c r="AQ184" s="696"/>
      <c r="AR184" s="696"/>
      <c r="AS184" s="696"/>
      <c r="AT184" s="696"/>
      <c r="AU184" s="696"/>
      <c r="AV184" s="696"/>
      <c r="AW184" s="696"/>
      <c r="AX184" s="696"/>
      <c r="AY184" s="696"/>
      <c r="AZ184" s="696"/>
      <c r="BA184" s="696"/>
      <c r="BB184" s="696"/>
      <c r="BC184" s="696"/>
      <c r="BD184" s="696"/>
      <c r="BE184" s="696"/>
      <c r="BF184" s="696"/>
      <c r="BG184" s="696"/>
      <c r="BH184" s="696"/>
    </row>
    <row r="185" spans="1:60" s="44" customFormat="1">
      <c r="A185" s="700"/>
      <c r="B185" s="700"/>
      <c r="C185" s="696"/>
      <c r="D185" s="696"/>
      <c r="E185" s="696"/>
      <c r="F185" s="696"/>
      <c r="G185" s="696"/>
      <c r="H185" s="696"/>
      <c r="I185" s="847"/>
      <c r="J185" s="696"/>
      <c r="K185" s="696"/>
      <c r="L185" s="696"/>
      <c r="M185" s="696"/>
      <c r="N185" s="696"/>
      <c r="O185" s="696"/>
      <c r="P185" s="696"/>
      <c r="Q185" s="847"/>
      <c r="R185" s="696"/>
      <c r="S185" s="696"/>
      <c r="T185" s="696"/>
      <c r="U185" s="696"/>
      <c r="V185" s="696"/>
      <c r="W185" s="696"/>
      <c r="X185" s="696"/>
      <c r="Y185" s="847"/>
      <c r="Z185" s="696"/>
      <c r="AA185" s="696"/>
      <c r="AB185" s="696"/>
      <c r="AC185" s="696"/>
      <c r="AD185" s="696"/>
      <c r="AE185" s="696"/>
      <c r="AF185" s="696"/>
      <c r="AG185" s="847"/>
      <c r="AH185" s="696"/>
      <c r="AI185" s="696"/>
      <c r="AJ185" s="696"/>
      <c r="AK185" s="696"/>
      <c r="AL185" s="696"/>
      <c r="AM185" s="696"/>
      <c r="AN185" s="696"/>
      <c r="AO185" s="847"/>
      <c r="AP185" s="696"/>
      <c r="AQ185" s="696"/>
      <c r="AR185" s="696"/>
      <c r="AS185" s="696"/>
      <c r="AT185" s="696"/>
      <c r="AU185" s="696"/>
      <c r="AV185" s="696"/>
      <c r="AW185" s="696"/>
      <c r="AX185" s="696"/>
      <c r="AY185" s="696"/>
      <c r="AZ185" s="696"/>
      <c r="BA185" s="696"/>
      <c r="BB185" s="696"/>
      <c r="BC185" s="696"/>
      <c r="BD185" s="696"/>
      <c r="BE185" s="696"/>
      <c r="BF185" s="696"/>
      <c r="BG185" s="696"/>
      <c r="BH185" s="696"/>
    </row>
    <row r="186" spans="1:60" s="44" customFormat="1">
      <c r="A186" s="700"/>
      <c r="B186" s="700"/>
      <c r="C186" s="696"/>
      <c r="D186" s="696"/>
      <c r="E186" s="696"/>
      <c r="F186" s="696"/>
      <c r="G186" s="696"/>
      <c r="H186" s="696"/>
      <c r="I186" s="847"/>
      <c r="J186" s="696"/>
      <c r="K186" s="696"/>
      <c r="L186" s="696"/>
      <c r="M186" s="696"/>
      <c r="N186" s="696"/>
      <c r="O186" s="696"/>
      <c r="P186" s="696"/>
      <c r="Q186" s="847"/>
      <c r="R186" s="696"/>
      <c r="S186" s="696"/>
      <c r="T186" s="696"/>
      <c r="U186" s="696"/>
      <c r="V186" s="696"/>
      <c r="W186" s="696"/>
      <c r="X186" s="696"/>
      <c r="Y186" s="847"/>
      <c r="Z186" s="696"/>
      <c r="AA186" s="696"/>
      <c r="AB186" s="696"/>
      <c r="AC186" s="696"/>
      <c r="AD186" s="696"/>
      <c r="AE186" s="696"/>
      <c r="AF186" s="696"/>
      <c r="AG186" s="847"/>
      <c r="AH186" s="696"/>
      <c r="AI186" s="696"/>
      <c r="AJ186" s="696"/>
      <c r="AK186" s="696"/>
      <c r="AL186" s="696"/>
      <c r="AM186" s="696"/>
      <c r="AN186" s="696"/>
      <c r="AO186" s="847"/>
      <c r="AP186" s="696"/>
      <c r="AQ186" s="696"/>
      <c r="AR186" s="696"/>
      <c r="AS186" s="696"/>
      <c r="AT186" s="696"/>
      <c r="AU186" s="696"/>
      <c r="AV186" s="696"/>
      <c r="AW186" s="696"/>
      <c r="AX186" s="696"/>
      <c r="AY186" s="696"/>
      <c r="AZ186" s="696"/>
      <c r="BA186" s="696"/>
      <c r="BB186" s="696"/>
      <c r="BC186" s="696"/>
      <c r="BD186" s="696"/>
      <c r="BE186" s="696"/>
      <c r="BF186" s="696"/>
      <c r="BG186" s="696"/>
      <c r="BH186" s="696"/>
    </row>
    <row r="187" spans="1:60" s="44" customFormat="1">
      <c r="A187" s="700"/>
      <c r="B187" s="700"/>
      <c r="C187" s="696"/>
      <c r="D187" s="696"/>
      <c r="E187" s="696"/>
      <c r="F187" s="696"/>
      <c r="G187" s="696"/>
      <c r="H187" s="696"/>
      <c r="I187" s="847"/>
      <c r="J187" s="696"/>
      <c r="K187" s="696"/>
      <c r="L187" s="696"/>
      <c r="M187" s="696"/>
      <c r="N187" s="696"/>
      <c r="O187" s="696"/>
      <c r="P187" s="696"/>
      <c r="Q187" s="847"/>
      <c r="R187" s="696"/>
      <c r="S187" s="696"/>
      <c r="T187" s="696"/>
      <c r="U187" s="696"/>
      <c r="V187" s="696"/>
      <c r="W187" s="696"/>
      <c r="X187" s="696"/>
      <c r="Y187" s="847"/>
      <c r="Z187" s="696"/>
      <c r="AA187" s="696"/>
      <c r="AB187" s="696"/>
      <c r="AC187" s="696"/>
      <c r="AD187" s="696"/>
      <c r="AE187" s="696"/>
      <c r="AF187" s="696"/>
      <c r="AG187" s="847"/>
      <c r="AH187" s="696"/>
      <c r="AI187" s="696"/>
      <c r="AJ187" s="696"/>
      <c r="AK187" s="696"/>
      <c r="AL187" s="696"/>
      <c r="AM187" s="696"/>
      <c r="AN187" s="696"/>
      <c r="AO187" s="847"/>
      <c r="AP187" s="696"/>
      <c r="AQ187" s="696"/>
      <c r="AR187" s="696"/>
      <c r="AS187" s="696"/>
      <c r="AT187" s="696"/>
      <c r="AU187" s="696"/>
      <c r="AV187" s="696"/>
      <c r="AW187" s="696"/>
      <c r="AX187" s="696"/>
      <c r="AY187" s="696"/>
      <c r="AZ187" s="696"/>
      <c r="BA187" s="696"/>
      <c r="BB187" s="696"/>
      <c r="BC187" s="696"/>
      <c r="BD187" s="696"/>
      <c r="BE187" s="696"/>
      <c r="BF187" s="696"/>
      <c r="BG187" s="696"/>
      <c r="BH187" s="696"/>
    </row>
    <row r="188" spans="1:60" s="44" customFormat="1">
      <c r="A188" s="700"/>
      <c r="B188" s="700"/>
      <c r="C188" s="696"/>
      <c r="D188" s="696"/>
      <c r="E188" s="696"/>
      <c r="F188" s="696"/>
      <c r="G188" s="696"/>
      <c r="H188" s="696"/>
      <c r="I188" s="847"/>
      <c r="J188" s="696"/>
      <c r="K188" s="696"/>
      <c r="L188" s="696"/>
      <c r="M188" s="696"/>
      <c r="N188" s="696"/>
      <c r="O188" s="696"/>
      <c r="P188" s="696"/>
      <c r="Q188" s="847"/>
      <c r="R188" s="696"/>
      <c r="S188" s="696"/>
      <c r="T188" s="696"/>
      <c r="U188" s="696"/>
      <c r="V188" s="696"/>
      <c r="W188" s="696"/>
      <c r="X188" s="696"/>
      <c r="Y188" s="847"/>
      <c r="Z188" s="696"/>
      <c r="AA188" s="696"/>
      <c r="AB188" s="696"/>
      <c r="AC188" s="696"/>
      <c r="AD188" s="696"/>
      <c r="AE188" s="696"/>
      <c r="AF188" s="696"/>
      <c r="AG188" s="847"/>
      <c r="AH188" s="696"/>
      <c r="AI188" s="696"/>
      <c r="AJ188" s="696"/>
      <c r="AK188" s="696"/>
      <c r="AL188" s="696"/>
      <c r="AM188" s="696"/>
      <c r="AN188" s="696"/>
      <c r="AO188" s="847"/>
      <c r="AP188" s="696"/>
      <c r="AQ188" s="696"/>
      <c r="AR188" s="696"/>
      <c r="AS188" s="696"/>
      <c r="AT188" s="696"/>
      <c r="AU188" s="696"/>
      <c r="AV188" s="696"/>
      <c r="AW188" s="696"/>
      <c r="AX188" s="696"/>
      <c r="AY188" s="696"/>
      <c r="AZ188" s="696"/>
      <c r="BA188" s="696"/>
      <c r="BB188" s="696"/>
      <c r="BC188" s="696"/>
      <c r="BD188" s="696"/>
      <c r="BE188" s="696"/>
      <c r="BF188" s="696"/>
      <c r="BG188" s="696"/>
      <c r="BH188" s="696"/>
    </row>
    <row r="189" spans="1:60" s="44" customFormat="1">
      <c r="A189" s="700"/>
      <c r="B189" s="700"/>
      <c r="C189" s="696"/>
      <c r="D189" s="696"/>
      <c r="E189" s="696"/>
      <c r="F189" s="696"/>
      <c r="G189" s="696"/>
      <c r="H189" s="696"/>
      <c r="I189" s="847"/>
      <c r="J189" s="696"/>
      <c r="K189" s="696"/>
      <c r="L189" s="696"/>
      <c r="M189" s="696"/>
      <c r="N189" s="696"/>
      <c r="O189" s="696"/>
      <c r="P189" s="696"/>
      <c r="Q189" s="847"/>
      <c r="R189" s="696"/>
      <c r="S189" s="696"/>
      <c r="T189" s="696"/>
      <c r="U189" s="696"/>
      <c r="V189" s="696"/>
      <c r="W189" s="696"/>
      <c r="X189" s="696"/>
      <c r="Y189" s="847"/>
      <c r="Z189" s="696"/>
      <c r="AA189" s="696"/>
      <c r="AB189" s="696"/>
      <c r="AC189" s="696"/>
      <c r="AD189" s="696"/>
      <c r="AE189" s="696"/>
      <c r="AF189" s="696"/>
      <c r="AG189" s="847"/>
      <c r="AH189" s="696"/>
      <c r="AI189" s="696"/>
      <c r="AJ189" s="696"/>
      <c r="AK189" s="696"/>
      <c r="AL189" s="696"/>
      <c r="AM189" s="696"/>
      <c r="AN189" s="696"/>
      <c r="AO189" s="847"/>
      <c r="AP189" s="696"/>
      <c r="AQ189" s="696"/>
      <c r="AR189" s="696"/>
      <c r="AS189" s="696"/>
      <c r="AT189" s="696"/>
      <c r="AU189" s="696"/>
      <c r="AV189" s="696"/>
      <c r="AW189" s="696"/>
      <c r="AX189" s="696"/>
      <c r="AY189" s="696"/>
      <c r="AZ189" s="696"/>
      <c r="BA189" s="696"/>
      <c r="BB189" s="696"/>
      <c r="BC189" s="696"/>
      <c r="BD189" s="696"/>
      <c r="BE189" s="696"/>
      <c r="BF189" s="696"/>
      <c r="BG189" s="696"/>
      <c r="BH189" s="696"/>
    </row>
    <row r="190" spans="1:60" s="44" customFormat="1">
      <c r="A190" s="700"/>
      <c r="B190" s="700"/>
      <c r="C190" s="696"/>
      <c r="D190" s="696"/>
      <c r="E190" s="696"/>
      <c r="F190" s="696"/>
      <c r="G190" s="696"/>
      <c r="H190" s="696"/>
      <c r="I190" s="847"/>
      <c r="J190" s="696"/>
      <c r="K190" s="696"/>
      <c r="L190" s="696"/>
      <c r="M190" s="696"/>
      <c r="N190" s="696"/>
      <c r="O190" s="696"/>
      <c r="P190" s="696"/>
      <c r="Q190" s="847"/>
      <c r="R190" s="696"/>
      <c r="S190" s="696"/>
      <c r="T190" s="696"/>
      <c r="U190" s="696"/>
      <c r="V190" s="696"/>
      <c r="W190" s="696"/>
      <c r="X190" s="696"/>
      <c r="Y190" s="847"/>
      <c r="Z190" s="696"/>
      <c r="AA190" s="696"/>
      <c r="AB190" s="696"/>
      <c r="AC190" s="696"/>
      <c r="AD190" s="696"/>
      <c r="AE190" s="696"/>
      <c r="AF190" s="696"/>
      <c r="AG190" s="847"/>
      <c r="AH190" s="696"/>
      <c r="AI190" s="696"/>
      <c r="AJ190" s="696"/>
      <c r="AK190" s="696"/>
      <c r="AL190" s="696"/>
      <c r="AM190" s="696"/>
      <c r="AN190" s="696"/>
      <c r="AO190" s="847"/>
      <c r="AP190" s="696"/>
      <c r="AQ190" s="696"/>
      <c r="AR190" s="696"/>
      <c r="AS190" s="696"/>
      <c r="AT190" s="696"/>
      <c r="AU190" s="696"/>
      <c r="AV190" s="696"/>
      <c r="AW190" s="696"/>
      <c r="AX190" s="696"/>
      <c r="AY190" s="696"/>
      <c r="AZ190" s="696"/>
      <c r="BA190" s="696"/>
      <c r="BB190" s="696"/>
      <c r="BC190" s="696"/>
      <c r="BD190" s="696"/>
      <c r="BE190" s="696"/>
      <c r="BF190" s="696"/>
      <c r="BG190" s="696"/>
      <c r="BH190" s="696"/>
    </row>
    <row r="191" spans="1:60" s="44" customFormat="1">
      <c r="A191" s="700"/>
      <c r="B191" s="700"/>
      <c r="C191" s="696"/>
      <c r="D191" s="696"/>
      <c r="E191" s="696"/>
      <c r="F191" s="696"/>
      <c r="G191" s="696"/>
      <c r="H191" s="696"/>
      <c r="I191" s="847"/>
      <c r="J191" s="696"/>
      <c r="K191" s="696"/>
      <c r="L191" s="696"/>
      <c r="M191" s="696"/>
      <c r="N191" s="696"/>
      <c r="O191" s="696"/>
      <c r="P191" s="696"/>
      <c r="Q191" s="847"/>
      <c r="R191" s="696"/>
      <c r="S191" s="696"/>
      <c r="T191" s="696"/>
      <c r="U191" s="696"/>
      <c r="V191" s="696"/>
      <c r="W191" s="696"/>
      <c r="X191" s="696"/>
      <c r="Y191" s="847"/>
      <c r="Z191" s="696"/>
      <c r="AA191" s="696"/>
      <c r="AB191" s="696"/>
      <c r="AC191" s="696"/>
      <c r="AD191" s="696"/>
      <c r="AE191" s="696"/>
      <c r="AF191" s="696"/>
      <c r="AG191" s="847"/>
      <c r="AH191" s="696"/>
      <c r="AI191" s="696"/>
      <c r="AJ191" s="696"/>
      <c r="AK191" s="696"/>
      <c r="AL191" s="696"/>
      <c r="AM191" s="696"/>
      <c r="AN191" s="696"/>
      <c r="AO191" s="847"/>
      <c r="AP191" s="696"/>
      <c r="AQ191" s="696"/>
      <c r="AR191" s="696"/>
      <c r="AS191" s="696"/>
      <c r="AT191" s="696"/>
      <c r="AU191" s="696"/>
      <c r="AV191" s="696"/>
      <c r="AW191" s="696"/>
      <c r="AX191" s="696"/>
      <c r="AY191" s="696"/>
      <c r="AZ191" s="696"/>
      <c r="BA191" s="696"/>
      <c r="BB191" s="696"/>
      <c r="BC191" s="696"/>
      <c r="BD191" s="696"/>
      <c r="BE191" s="696"/>
      <c r="BF191" s="696"/>
      <c r="BG191" s="696"/>
      <c r="BH191" s="696"/>
    </row>
    <row r="192" spans="1:60" s="44" customFormat="1">
      <c r="A192" s="700"/>
      <c r="B192" s="700"/>
      <c r="C192" s="696"/>
      <c r="D192" s="696"/>
      <c r="E192" s="696"/>
      <c r="F192" s="696"/>
      <c r="G192" s="696"/>
      <c r="H192" s="696"/>
      <c r="I192" s="847"/>
      <c r="J192" s="696"/>
      <c r="K192" s="696"/>
      <c r="L192" s="696"/>
      <c r="M192" s="696"/>
      <c r="N192" s="696"/>
      <c r="O192" s="696"/>
      <c r="P192" s="696"/>
      <c r="Q192" s="847"/>
      <c r="R192" s="696"/>
      <c r="S192" s="696"/>
      <c r="T192" s="696"/>
      <c r="U192" s="696"/>
      <c r="V192" s="696"/>
      <c r="W192" s="696"/>
      <c r="X192" s="696"/>
      <c r="Y192" s="847"/>
      <c r="Z192" s="696"/>
      <c r="AA192" s="696"/>
      <c r="AB192" s="696"/>
      <c r="AC192" s="696"/>
      <c r="AD192" s="696"/>
      <c r="AE192" s="696"/>
      <c r="AF192" s="696"/>
      <c r="AG192" s="847"/>
      <c r="AH192" s="696"/>
      <c r="AI192" s="696"/>
      <c r="AJ192" s="696"/>
      <c r="AK192" s="696"/>
      <c r="AL192" s="696"/>
      <c r="AM192" s="696"/>
      <c r="AN192" s="696"/>
      <c r="AO192" s="847"/>
      <c r="AP192" s="696"/>
      <c r="AQ192" s="696"/>
      <c r="AR192" s="696"/>
      <c r="AS192" s="696"/>
      <c r="AT192" s="696"/>
      <c r="AU192" s="696"/>
      <c r="AV192" s="696"/>
      <c r="AW192" s="696"/>
      <c r="AX192" s="696"/>
      <c r="AY192" s="696"/>
      <c r="AZ192" s="696"/>
      <c r="BA192" s="696"/>
      <c r="BB192" s="696"/>
      <c r="BC192" s="696"/>
      <c r="BD192" s="696"/>
      <c r="BE192" s="696"/>
      <c r="BF192" s="696"/>
      <c r="BG192" s="696"/>
      <c r="BH192" s="696"/>
    </row>
    <row r="193" spans="1:60" s="44" customFormat="1">
      <c r="A193" s="700"/>
      <c r="B193" s="700"/>
      <c r="C193" s="696"/>
      <c r="D193" s="696"/>
      <c r="E193" s="696"/>
      <c r="F193" s="696"/>
      <c r="G193" s="696"/>
      <c r="H193" s="696"/>
      <c r="I193" s="847"/>
      <c r="J193" s="696"/>
      <c r="K193" s="696"/>
      <c r="L193" s="696"/>
      <c r="M193" s="696"/>
      <c r="N193" s="696"/>
      <c r="O193" s="696"/>
      <c r="P193" s="696"/>
      <c r="Q193" s="847"/>
      <c r="R193" s="696"/>
      <c r="S193" s="696"/>
      <c r="T193" s="696"/>
      <c r="U193" s="696"/>
      <c r="V193" s="696"/>
      <c r="W193" s="696"/>
      <c r="X193" s="696"/>
      <c r="Y193" s="847"/>
      <c r="Z193" s="696"/>
      <c r="AA193" s="696"/>
      <c r="AB193" s="696"/>
      <c r="AC193" s="696"/>
      <c r="AD193" s="696"/>
      <c r="AE193" s="696"/>
      <c r="AF193" s="696"/>
      <c r="AG193" s="847"/>
      <c r="AH193" s="696"/>
      <c r="AI193" s="696"/>
      <c r="AJ193" s="696"/>
      <c r="AK193" s="696"/>
      <c r="AL193" s="696"/>
      <c r="AM193" s="696"/>
      <c r="AN193" s="696"/>
      <c r="AO193" s="847"/>
      <c r="AP193" s="696"/>
      <c r="AQ193" s="696"/>
      <c r="AR193" s="696"/>
      <c r="AS193" s="696"/>
      <c r="AT193" s="696"/>
      <c r="AU193" s="696"/>
      <c r="AV193" s="696"/>
      <c r="AW193" s="696"/>
      <c r="AX193" s="696"/>
      <c r="AY193" s="696"/>
      <c r="AZ193" s="696"/>
      <c r="BA193" s="696"/>
      <c r="BB193" s="696"/>
      <c r="BC193" s="696"/>
      <c r="BD193" s="696"/>
      <c r="BE193" s="696"/>
      <c r="BF193" s="696"/>
      <c r="BG193" s="696"/>
      <c r="BH193" s="696"/>
    </row>
    <row r="194" spans="1:60" s="44" customFormat="1">
      <c r="A194" s="700"/>
      <c r="B194" s="700"/>
      <c r="C194" s="696"/>
      <c r="D194" s="696"/>
      <c r="E194" s="696"/>
      <c r="F194" s="696"/>
      <c r="G194" s="696"/>
      <c r="H194" s="696"/>
      <c r="I194" s="847"/>
      <c r="J194" s="696"/>
      <c r="K194" s="696"/>
      <c r="L194" s="696"/>
      <c r="M194" s="696"/>
      <c r="N194" s="696"/>
      <c r="O194" s="696"/>
      <c r="P194" s="696"/>
      <c r="Q194" s="847"/>
      <c r="R194" s="696"/>
      <c r="S194" s="696"/>
      <c r="T194" s="696"/>
      <c r="U194" s="696"/>
      <c r="V194" s="696"/>
      <c r="W194" s="696"/>
      <c r="X194" s="696"/>
      <c r="Y194" s="847"/>
      <c r="Z194" s="696"/>
      <c r="AA194" s="696"/>
      <c r="AB194" s="696"/>
      <c r="AC194" s="696"/>
      <c r="AD194" s="696"/>
      <c r="AE194" s="696"/>
      <c r="AF194" s="696"/>
      <c r="AG194" s="847"/>
      <c r="AH194" s="696"/>
      <c r="AI194" s="696"/>
      <c r="AJ194" s="696"/>
      <c r="AK194" s="696"/>
      <c r="AL194" s="696"/>
      <c r="AM194" s="696"/>
      <c r="AN194" s="696"/>
      <c r="AO194" s="847"/>
      <c r="AP194" s="696"/>
      <c r="AQ194" s="696"/>
      <c r="AR194" s="696"/>
      <c r="AS194" s="696"/>
      <c r="AT194" s="696"/>
      <c r="AU194" s="696"/>
      <c r="AV194" s="696"/>
      <c r="AW194" s="696"/>
      <c r="AX194" s="696"/>
      <c r="AY194" s="696"/>
      <c r="AZ194" s="696"/>
      <c r="BA194" s="696"/>
      <c r="BB194" s="696"/>
      <c r="BC194" s="696"/>
      <c r="BD194" s="696"/>
      <c r="BE194" s="696"/>
      <c r="BF194" s="696"/>
      <c r="BG194" s="696"/>
      <c r="BH194" s="696"/>
    </row>
    <row r="195" spans="1:60" s="44" customFormat="1">
      <c r="A195" s="700"/>
      <c r="B195" s="700"/>
      <c r="C195" s="696"/>
      <c r="D195" s="696"/>
      <c r="E195" s="696"/>
      <c r="F195" s="696"/>
      <c r="G195" s="696"/>
      <c r="H195" s="696"/>
      <c r="I195" s="847"/>
      <c r="J195" s="696"/>
      <c r="K195" s="696"/>
      <c r="L195" s="696"/>
      <c r="M195" s="696"/>
      <c r="N195" s="696"/>
      <c r="O195" s="696"/>
      <c r="P195" s="696"/>
      <c r="Q195" s="847"/>
      <c r="R195" s="696"/>
      <c r="S195" s="696"/>
      <c r="T195" s="696"/>
      <c r="U195" s="696"/>
      <c r="V195" s="696"/>
      <c r="W195" s="696"/>
      <c r="X195" s="696"/>
      <c r="Y195" s="847"/>
      <c r="Z195" s="696"/>
      <c r="AA195" s="696"/>
      <c r="AB195" s="696"/>
      <c r="AC195" s="696"/>
      <c r="AD195" s="696"/>
      <c r="AE195" s="696"/>
      <c r="AF195" s="696"/>
      <c r="AG195" s="847"/>
      <c r="AH195" s="696"/>
      <c r="AI195" s="696"/>
      <c r="AJ195" s="696"/>
      <c r="AK195" s="696"/>
      <c r="AL195" s="696"/>
      <c r="AM195" s="696"/>
      <c r="AN195" s="696"/>
      <c r="AO195" s="847"/>
      <c r="AP195" s="696"/>
      <c r="AQ195" s="696"/>
      <c r="AR195" s="696"/>
      <c r="AS195" s="696"/>
      <c r="AT195" s="696"/>
      <c r="AU195" s="696"/>
      <c r="AV195" s="696"/>
      <c r="AW195" s="696"/>
      <c r="AX195" s="696"/>
      <c r="AY195" s="696"/>
      <c r="AZ195" s="696"/>
      <c r="BA195" s="696"/>
      <c r="BB195" s="696"/>
      <c r="BC195" s="696"/>
      <c r="BD195" s="696"/>
      <c r="BE195" s="696"/>
      <c r="BF195" s="696"/>
      <c r="BG195" s="696"/>
      <c r="BH195" s="696"/>
    </row>
    <row r="196" spans="1:60" s="44" customFormat="1">
      <c r="A196" s="700"/>
      <c r="B196" s="700"/>
      <c r="C196" s="696"/>
      <c r="D196" s="696"/>
      <c r="E196" s="696"/>
      <c r="F196" s="696"/>
      <c r="G196" s="696"/>
      <c r="H196" s="696"/>
      <c r="I196" s="847"/>
      <c r="J196" s="696"/>
      <c r="K196" s="696"/>
      <c r="L196" s="696"/>
      <c r="M196" s="696"/>
      <c r="N196" s="696"/>
      <c r="O196" s="696"/>
      <c r="P196" s="696"/>
      <c r="Q196" s="847"/>
      <c r="R196" s="696"/>
      <c r="S196" s="696"/>
      <c r="T196" s="696"/>
      <c r="U196" s="696"/>
      <c r="V196" s="696"/>
      <c r="W196" s="696"/>
      <c r="X196" s="696"/>
      <c r="Y196" s="847"/>
      <c r="Z196" s="696"/>
      <c r="AA196" s="696"/>
      <c r="AB196" s="696"/>
      <c r="AC196" s="696"/>
      <c r="AD196" s="696"/>
      <c r="AE196" s="696"/>
      <c r="AF196" s="696"/>
      <c r="AG196" s="847"/>
      <c r="AH196" s="696"/>
      <c r="AI196" s="696"/>
      <c r="AJ196" s="696"/>
      <c r="AK196" s="696"/>
      <c r="AL196" s="696"/>
      <c r="AM196" s="696"/>
      <c r="AN196" s="696"/>
      <c r="AO196" s="847"/>
      <c r="AP196" s="696"/>
      <c r="AQ196" s="696"/>
      <c r="AR196" s="696"/>
      <c r="AS196" s="696"/>
      <c r="AT196" s="696"/>
      <c r="AU196" s="696"/>
      <c r="AV196" s="696"/>
      <c r="AW196" s="696"/>
      <c r="AX196" s="696"/>
      <c r="AY196" s="696"/>
      <c r="AZ196" s="696"/>
      <c r="BA196" s="696"/>
      <c r="BB196" s="696"/>
      <c r="BC196" s="696"/>
      <c r="BD196" s="696"/>
      <c r="BE196" s="696"/>
      <c r="BF196" s="696"/>
      <c r="BG196" s="696"/>
      <c r="BH196" s="696"/>
    </row>
    <row r="197" spans="1:60" s="44" customFormat="1">
      <c r="A197" s="700"/>
      <c r="B197" s="700"/>
      <c r="C197" s="696"/>
      <c r="D197" s="696"/>
      <c r="E197" s="696"/>
      <c r="F197" s="696"/>
      <c r="G197" s="696"/>
      <c r="H197" s="696"/>
      <c r="I197" s="847"/>
      <c r="J197" s="696"/>
      <c r="K197" s="696"/>
      <c r="L197" s="696"/>
      <c r="M197" s="696"/>
      <c r="N197" s="696"/>
      <c r="O197" s="696"/>
      <c r="P197" s="696"/>
      <c r="Q197" s="847"/>
      <c r="R197" s="696"/>
      <c r="S197" s="696"/>
      <c r="T197" s="696"/>
      <c r="U197" s="696"/>
      <c r="V197" s="696"/>
      <c r="W197" s="696"/>
      <c r="X197" s="696"/>
      <c r="Y197" s="847"/>
      <c r="Z197" s="696"/>
      <c r="AA197" s="696"/>
      <c r="AB197" s="696"/>
      <c r="AC197" s="696"/>
      <c r="AD197" s="696"/>
      <c r="AE197" s="696"/>
      <c r="AF197" s="696"/>
      <c r="AG197" s="847"/>
      <c r="AH197" s="696"/>
      <c r="AI197" s="696"/>
      <c r="AJ197" s="696"/>
      <c r="AK197" s="696"/>
      <c r="AL197" s="696"/>
      <c r="AM197" s="696"/>
      <c r="AN197" s="696"/>
      <c r="AO197" s="847"/>
      <c r="AP197" s="696"/>
      <c r="AQ197" s="696"/>
      <c r="AR197" s="696"/>
      <c r="AS197" s="696"/>
      <c r="AT197" s="696"/>
      <c r="AU197" s="696"/>
      <c r="AV197" s="696"/>
      <c r="AW197" s="696"/>
      <c r="AX197" s="696"/>
      <c r="AY197" s="696"/>
      <c r="AZ197" s="696"/>
      <c r="BA197" s="696"/>
      <c r="BB197" s="696"/>
      <c r="BC197" s="696"/>
      <c r="BD197" s="696"/>
      <c r="BE197" s="696"/>
      <c r="BF197" s="696"/>
      <c r="BG197" s="696"/>
      <c r="BH197" s="696"/>
    </row>
    <row r="198" spans="1:60" s="44" customFormat="1">
      <c r="A198" s="700"/>
      <c r="B198" s="700"/>
      <c r="C198" s="696"/>
      <c r="D198" s="696"/>
      <c r="E198" s="696"/>
      <c r="F198" s="696"/>
      <c r="G198" s="696"/>
      <c r="H198" s="696"/>
      <c r="I198" s="847"/>
      <c r="J198" s="696"/>
      <c r="K198" s="696"/>
      <c r="L198" s="696"/>
      <c r="M198" s="696"/>
      <c r="N198" s="696"/>
      <c r="O198" s="696"/>
      <c r="P198" s="696"/>
      <c r="Q198" s="847"/>
      <c r="R198" s="696"/>
      <c r="S198" s="696"/>
      <c r="T198" s="696"/>
      <c r="U198" s="696"/>
      <c r="V198" s="696"/>
      <c r="W198" s="696"/>
      <c r="X198" s="696"/>
      <c r="Y198" s="847"/>
      <c r="Z198" s="696"/>
      <c r="AA198" s="696"/>
      <c r="AB198" s="696"/>
      <c r="AC198" s="696"/>
      <c r="AD198" s="696"/>
      <c r="AE198" s="696"/>
      <c r="AF198" s="696"/>
      <c r="AG198" s="847"/>
      <c r="AH198" s="696"/>
      <c r="AI198" s="696"/>
      <c r="AJ198" s="696"/>
      <c r="AK198" s="696"/>
      <c r="AL198" s="696"/>
      <c r="AM198" s="696"/>
      <c r="AN198" s="696"/>
      <c r="AO198" s="847"/>
      <c r="AP198" s="696"/>
      <c r="AQ198" s="696"/>
      <c r="AR198" s="696"/>
      <c r="AS198" s="696"/>
      <c r="AT198" s="696"/>
      <c r="AU198" s="696"/>
      <c r="AV198" s="696"/>
      <c r="AW198" s="696"/>
      <c r="AX198" s="696"/>
      <c r="AY198" s="696"/>
      <c r="AZ198" s="696"/>
      <c r="BA198" s="696"/>
      <c r="BB198" s="696"/>
      <c r="BC198" s="696"/>
      <c r="BD198" s="696"/>
      <c r="BE198" s="696"/>
      <c r="BF198" s="696"/>
      <c r="BG198" s="696"/>
      <c r="BH198" s="696"/>
    </row>
    <row r="199" spans="1:60" s="44" customFormat="1">
      <c r="A199" s="700"/>
      <c r="B199" s="700"/>
      <c r="C199" s="696"/>
      <c r="D199" s="696"/>
      <c r="E199" s="696"/>
      <c r="F199" s="696"/>
      <c r="G199" s="696"/>
      <c r="H199" s="696"/>
      <c r="I199" s="847"/>
      <c r="J199" s="696"/>
      <c r="K199" s="696"/>
      <c r="L199" s="696"/>
      <c r="M199" s="696"/>
      <c r="N199" s="696"/>
      <c r="O199" s="696"/>
      <c r="P199" s="696"/>
      <c r="Q199" s="847"/>
      <c r="R199" s="696"/>
      <c r="S199" s="696"/>
      <c r="T199" s="696"/>
      <c r="U199" s="696"/>
      <c r="V199" s="696"/>
      <c r="W199" s="696"/>
      <c r="X199" s="696"/>
      <c r="Y199" s="847"/>
      <c r="Z199" s="696"/>
      <c r="AA199" s="696"/>
      <c r="AB199" s="696"/>
      <c r="AC199" s="696"/>
      <c r="AD199" s="696"/>
      <c r="AE199" s="696"/>
      <c r="AF199" s="696"/>
      <c r="AG199" s="847"/>
      <c r="AH199" s="696"/>
      <c r="AI199" s="696"/>
      <c r="AJ199" s="696"/>
      <c r="AK199" s="696"/>
      <c r="AL199" s="696"/>
      <c r="AM199" s="696"/>
      <c r="AN199" s="696"/>
      <c r="AO199" s="847"/>
      <c r="AP199" s="696"/>
      <c r="AQ199" s="696"/>
      <c r="AR199" s="696"/>
      <c r="AS199" s="696"/>
      <c r="AT199" s="696"/>
      <c r="AU199" s="696"/>
      <c r="AV199" s="696"/>
      <c r="AW199" s="696"/>
      <c r="AX199" s="696"/>
      <c r="AY199" s="696"/>
      <c r="AZ199" s="696"/>
      <c r="BA199" s="696"/>
      <c r="BB199" s="696"/>
      <c r="BC199" s="696"/>
      <c r="BD199" s="696"/>
      <c r="BE199" s="696"/>
      <c r="BF199" s="696"/>
      <c r="BG199" s="696"/>
      <c r="BH199" s="696"/>
    </row>
    <row r="200" spans="1:60" s="44" customFormat="1">
      <c r="A200" s="700"/>
      <c r="B200" s="700"/>
      <c r="C200" s="696"/>
      <c r="D200" s="696"/>
      <c r="E200" s="696"/>
      <c r="F200" s="696"/>
      <c r="G200" s="696"/>
      <c r="H200" s="696"/>
      <c r="I200" s="847"/>
      <c r="J200" s="696"/>
      <c r="K200" s="696"/>
      <c r="L200" s="696"/>
      <c r="M200" s="696"/>
      <c r="N200" s="696"/>
      <c r="O200" s="696"/>
      <c r="P200" s="696"/>
      <c r="Q200" s="847"/>
      <c r="R200" s="696"/>
      <c r="S200" s="696"/>
      <c r="T200" s="696"/>
      <c r="U200" s="696"/>
      <c r="V200" s="696"/>
      <c r="W200" s="696"/>
      <c r="X200" s="696"/>
      <c r="Y200" s="847"/>
      <c r="Z200" s="696"/>
      <c r="AA200" s="696"/>
      <c r="AB200" s="696"/>
      <c r="AC200" s="696"/>
      <c r="AD200" s="696"/>
      <c r="AE200" s="696"/>
      <c r="AF200" s="696"/>
      <c r="AG200" s="847"/>
      <c r="AH200" s="696"/>
      <c r="AI200" s="696"/>
      <c r="AJ200" s="696"/>
      <c r="AK200" s="696"/>
      <c r="AL200" s="696"/>
      <c r="AM200" s="696"/>
      <c r="AN200" s="696"/>
      <c r="AO200" s="847"/>
      <c r="AP200" s="696"/>
      <c r="AQ200" s="696"/>
      <c r="AR200" s="696"/>
      <c r="AS200" s="696"/>
      <c r="AT200" s="696"/>
      <c r="AU200" s="696"/>
      <c r="AV200" s="696"/>
      <c r="AW200" s="696"/>
      <c r="AX200" s="696"/>
      <c r="AY200" s="696"/>
      <c r="AZ200" s="696"/>
      <c r="BA200" s="696"/>
      <c r="BB200" s="696"/>
      <c r="BC200" s="696"/>
      <c r="BD200" s="696"/>
      <c r="BE200" s="696"/>
      <c r="BF200" s="696"/>
      <c r="BG200" s="696"/>
      <c r="BH200" s="696"/>
    </row>
    <row r="201" spans="1:60" s="44" customFormat="1">
      <c r="A201" s="700"/>
      <c r="B201" s="700"/>
      <c r="C201" s="696"/>
      <c r="D201" s="696"/>
      <c r="E201" s="696"/>
      <c r="F201" s="696"/>
      <c r="G201" s="696"/>
      <c r="H201" s="696"/>
      <c r="I201" s="847"/>
      <c r="J201" s="696"/>
      <c r="K201" s="696"/>
      <c r="L201" s="696"/>
      <c r="M201" s="696"/>
      <c r="N201" s="696"/>
      <c r="O201" s="696"/>
      <c r="P201" s="696"/>
      <c r="Q201" s="847"/>
      <c r="R201" s="696"/>
      <c r="S201" s="696"/>
      <c r="T201" s="696"/>
      <c r="U201" s="696"/>
      <c r="V201" s="696"/>
      <c r="W201" s="696"/>
      <c r="X201" s="696"/>
      <c r="Y201" s="847"/>
      <c r="Z201" s="696"/>
      <c r="AA201" s="696"/>
      <c r="AB201" s="696"/>
      <c r="AC201" s="696"/>
      <c r="AD201" s="696"/>
      <c r="AE201" s="696"/>
      <c r="AF201" s="696"/>
      <c r="AG201" s="847"/>
      <c r="AH201" s="696"/>
      <c r="AI201" s="696"/>
      <c r="AJ201" s="696"/>
      <c r="AK201" s="696"/>
      <c r="AL201" s="696"/>
      <c r="AM201" s="696"/>
      <c r="AN201" s="696"/>
      <c r="AO201" s="847"/>
      <c r="AP201" s="696"/>
      <c r="AQ201" s="696"/>
      <c r="AR201" s="696"/>
      <c r="AS201" s="696"/>
      <c r="AT201" s="696"/>
      <c r="AU201" s="696"/>
      <c r="AV201" s="696"/>
      <c r="AW201" s="696"/>
      <c r="AX201" s="696"/>
      <c r="AY201" s="696"/>
      <c r="AZ201" s="696"/>
      <c r="BA201" s="696"/>
      <c r="BB201" s="696"/>
      <c r="BC201" s="696"/>
      <c r="BD201" s="696"/>
      <c r="BE201" s="696"/>
      <c r="BF201" s="696"/>
      <c r="BG201" s="696"/>
      <c r="BH201" s="696"/>
    </row>
    <row r="202" spans="1:60" s="44" customFormat="1">
      <c r="A202" s="700"/>
      <c r="B202" s="700"/>
      <c r="C202" s="696"/>
      <c r="D202" s="696"/>
      <c r="E202" s="696"/>
      <c r="F202" s="696"/>
      <c r="G202" s="696"/>
      <c r="H202" s="696"/>
      <c r="I202" s="847"/>
      <c r="J202" s="696"/>
      <c r="K202" s="696"/>
      <c r="L202" s="696"/>
      <c r="M202" s="696"/>
      <c r="N202" s="696"/>
      <c r="O202" s="696"/>
      <c r="P202" s="696"/>
      <c r="Q202" s="847"/>
      <c r="R202" s="696"/>
      <c r="S202" s="696"/>
      <c r="T202" s="696"/>
      <c r="U202" s="696"/>
      <c r="V202" s="696"/>
      <c r="W202" s="696"/>
      <c r="X202" s="696"/>
      <c r="Y202" s="847"/>
      <c r="Z202" s="696"/>
      <c r="AA202" s="696"/>
      <c r="AB202" s="696"/>
      <c r="AC202" s="696"/>
      <c r="AD202" s="696"/>
      <c r="AE202" s="696"/>
      <c r="AF202" s="696"/>
      <c r="AG202" s="847"/>
      <c r="AH202" s="696"/>
      <c r="AI202" s="696"/>
      <c r="AJ202" s="696"/>
      <c r="AK202" s="696"/>
      <c r="AL202" s="696"/>
      <c r="AM202" s="696"/>
      <c r="AN202" s="696"/>
      <c r="AO202" s="847"/>
      <c r="AP202" s="696"/>
      <c r="AQ202" s="696"/>
      <c r="AR202" s="696"/>
      <c r="AS202" s="696"/>
      <c r="AT202" s="696"/>
      <c r="AU202" s="696"/>
      <c r="AV202" s="696"/>
      <c r="AW202" s="696"/>
      <c r="AX202" s="696"/>
      <c r="AY202" s="696"/>
      <c r="AZ202" s="696"/>
      <c r="BA202" s="696"/>
      <c r="BB202" s="696"/>
      <c r="BC202" s="696"/>
      <c r="BD202" s="696"/>
      <c r="BE202" s="696"/>
      <c r="BF202" s="696"/>
      <c r="BG202" s="696"/>
      <c r="BH202" s="696"/>
    </row>
    <row r="203" spans="1:60" s="44" customFormat="1">
      <c r="A203" s="700"/>
      <c r="B203" s="700"/>
      <c r="C203" s="696"/>
      <c r="D203" s="696"/>
      <c r="E203" s="696"/>
      <c r="F203" s="696"/>
      <c r="G203" s="696"/>
      <c r="H203" s="696"/>
      <c r="I203" s="847"/>
      <c r="J203" s="696"/>
      <c r="K203" s="696"/>
      <c r="L203" s="696"/>
      <c r="M203" s="696"/>
      <c r="N203" s="696"/>
      <c r="O203" s="696"/>
      <c r="P203" s="696"/>
      <c r="Q203" s="847"/>
      <c r="R203" s="696"/>
      <c r="S203" s="696"/>
      <c r="T203" s="696"/>
      <c r="U203" s="696"/>
      <c r="V203" s="696"/>
      <c r="W203" s="696"/>
      <c r="X203" s="696"/>
      <c r="Y203" s="847"/>
      <c r="Z203" s="696"/>
      <c r="AA203" s="696"/>
      <c r="AB203" s="696"/>
      <c r="AC203" s="696"/>
      <c r="AD203" s="696"/>
      <c r="AE203" s="696"/>
      <c r="AF203" s="696"/>
      <c r="AG203" s="847"/>
      <c r="AH203" s="696"/>
      <c r="AI203" s="696"/>
      <c r="AJ203" s="696"/>
      <c r="AK203" s="696"/>
      <c r="AL203" s="696"/>
      <c r="AM203" s="696"/>
      <c r="AN203" s="696"/>
      <c r="AO203" s="847"/>
      <c r="AP203" s="696"/>
      <c r="AQ203" s="696"/>
      <c r="AR203" s="696"/>
      <c r="AS203" s="696"/>
      <c r="AT203" s="696"/>
      <c r="AU203" s="696"/>
      <c r="AV203" s="696"/>
      <c r="AW203" s="696"/>
      <c r="AX203" s="696"/>
      <c r="AY203" s="696"/>
      <c r="AZ203" s="696"/>
      <c r="BA203" s="696"/>
      <c r="BB203" s="696"/>
      <c r="BC203" s="696"/>
      <c r="BD203" s="696"/>
      <c r="BE203" s="696"/>
      <c r="BF203" s="696"/>
      <c r="BG203" s="696"/>
      <c r="BH203" s="696"/>
    </row>
    <row r="204" spans="1:60" s="44" customFormat="1">
      <c r="A204" s="700"/>
      <c r="B204" s="700"/>
      <c r="C204" s="696"/>
      <c r="D204" s="696"/>
      <c r="E204" s="696"/>
      <c r="F204" s="696"/>
      <c r="G204" s="696"/>
      <c r="H204" s="696"/>
      <c r="I204" s="847"/>
      <c r="J204" s="696"/>
      <c r="K204" s="696"/>
      <c r="L204" s="696"/>
      <c r="M204" s="696"/>
      <c r="N204" s="696"/>
      <c r="O204" s="696"/>
      <c r="P204" s="696"/>
      <c r="Q204" s="847"/>
      <c r="R204" s="696"/>
      <c r="S204" s="696"/>
      <c r="T204" s="696"/>
      <c r="U204" s="696"/>
      <c r="V204" s="696"/>
      <c r="W204" s="696"/>
      <c r="X204" s="696"/>
      <c r="Y204" s="847"/>
      <c r="Z204" s="696"/>
      <c r="AA204" s="696"/>
      <c r="AB204" s="696"/>
      <c r="AC204" s="696"/>
      <c r="AD204" s="696"/>
      <c r="AE204" s="696"/>
      <c r="AF204" s="696"/>
      <c r="AG204" s="847"/>
      <c r="AH204" s="696"/>
      <c r="AI204" s="696"/>
      <c r="AJ204" s="696"/>
      <c r="AK204" s="696"/>
      <c r="AL204" s="696"/>
      <c r="AM204" s="696"/>
      <c r="AN204" s="696"/>
      <c r="AO204" s="847"/>
      <c r="AP204" s="696"/>
      <c r="AQ204" s="696"/>
      <c r="AR204" s="696"/>
      <c r="AS204" s="696"/>
      <c r="AT204" s="696"/>
      <c r="AU204" s="696"/>
      <c r="AV204" s="696"/>
      <c r="AW204" s="696"/>
      <c r="AX204" s="696"/>
      <c r="AY204" s="696"/>
      <c r="AZ204" s="696"/>
      <c r="BA204" s="696"/>
      <c r="BB204" s="696"/>
      <c r="BC204" s="696"/>
      <c r="BD204" s="696"/>
      <c r="BE204" s="696"/>
      <c r="BF204" s="696"/>
      <c r="BG204" s="696"/>
      <c r="BH204" s="696"/>
    </row>
    <row r="205" spans="1:60" s="44" customFormat="1">
      <c r="A205" s="700"/>
      <c r="B205" s="700"/>
      <c r="C205" s="696"/>
      <c r="D205" s="696"/>
      <c r="E205" s="696"/>
      <c r="F205" s="696"/>
      <c r="G205" s="696"/>
      <c r="H205" s="696"/>
      <c r="I205" s="847"/>
      <c r="J205" s="696"/>
      <c r="K205" s="696"/>
      <c r="L205" s="696"/>
      <c r="M205" s="696"/>
      <c r="N205" s="696"/>
      <c r="O205" s="696"/>
      <c r="P205" s="696"/>
      <c r="Q205" s="847"/>
      <c r="R205" s="696"/>
      <c r="S205" s="696"/>
      <c r="T205" s="696"/>
      <c r="U205" s="696"/>
      <c r="V205" s="696"/>
      <c r="W205" s="696"/>
      <c r="X205" s="696"/>
      <c r="Y205" s="847"/>
      <c r="Z205" s="696"/>
      <c r="AA205" s="696"/>
      <c r="AB205" s="696"/>
      <c r="AC205" s="696"/>
      <c r="AD205" s="696"/>
      <c r="AE205" s="696"/>
      <c r="AF205" s="696"/>
      <c r="AG205" s="847"/>
      <c r="AH205" s="696"/>
      <c r="AI205" s="696"/>
      <c r="AJ205" s="696"/>
      <c r="AK205" s="696"/>
      <c r="AL205" s="696"/>
      <c r="AM205" s="696"/>
      <c r="AN205" s="696"/>
      <c r="AO205" s="847"/>
      <c r="AP205" s="696"/>
      <c r="AQ205" s="696"/>
      <c r="AR205" s="696"/>
      <c r="AS205" s="696"/>
      <c r="AT205" s="696"/>
      <c r="AU205" s="696"/>
      <c r="AV205" s="696"/>
      <c r="AW205" s="696"/>
      <c r="AX205" s="696"/>
      <c r="AY205" s="696"/>
      <c r="AZ205" s="696"/>
      <c r="BA205" s="696"/>
      <c r="BB205" s="696"/>
      <c r="BC205" s="696"/>
      <c r="BD205" s="696"/>
      <c r="BE205" s="696"/>
      <c r="BF205" s="696"/>
      <c r="BG205" s="696"/>
      <c r="BH205" s="696"/>
    </row>
    <row r="206" spans="1:60" s="44" customFormat="1">
      <c r="A206" s="700"/>
      <c r="B206" s="700"/>
      <c r="C206" s="696"/>
      <c r="D206" s="696"/>
      <c r="E206" s="696"/>
      <c r="F206" s="696"/>
      <c r="G206" s="696"/>
      <c r="H206" s="696"/>
      <c r="I206" s="847"/>
      <c r="J206" s="696"/>
      <c r="K206" s="696"/>
      <c r="L206" s="696"/>
      <c r="M206" s="696"/>
      <c r="N206" s="696"/>
      <c r="O206" s="696"/>
      <c r="P206" s="696"/>
      <c r="Q206" s="847"/>
      <c r="R206" s="696"/>
      <c r="S206" s="696"/>
      <c r="T206" s="696"/>
      <c r="U206" s="696"/>
      <c r="V206" s="696"/>
      <c r="W206" s="696"/>
      <c r="X206" s="696"/>
      <c r="Y206" s="847"/>
      <c r="Z206" s="696"/>
      <c r="AA206" s="696"/>
      <c r="AB206" s="696"/>
      <c r="AC206" s="696"/>
      <c r="AD206" s="696"/>
      <c r="AE206" s="696"/>
      <c r="AF206" s="696"/>
      <c r="AG206" s="847"/>
      <c r="AH206" s="696"/>
      <c r="AI206" s="696"/>
      <c r="AJ206" s="696"/>
      <c r="AK206" s="696"/>
      <c r="AL206" s="696"/>
      <c r="AM206" s="696"/>
      <c r="AN206" s="696"/>
      <c r="AO206" s="847"/>
      <c r="AP206" s="696"/>
      <c r="AQ206" s="696"/>
      <c r="AR206" s="696"/>
      <c r="AS206" s="696"/>
      <c r="AT206" s="696"/>
      <c r="AU206" s="696"/>
      <c r="AV206" s="696"/>
      <c r="AW206" s="696"/>
      <c r="AX206" s="696"/>
      <c r="AY206" s="696"/>
      <c r="AZ206" s="696"/>
      <c r="BA206" s="696"/>
      <c r="BB206" s="696"/>
      <c r="BC206" s="696"/>
      <c r="BD206" s="696"/>
      <c r="BE206" s="696"/>
      <c r="BF206" s="696"/>
      <c r="BG206" s="696"/>
      <c r="BH206" s="696"/>
    </row>
    <row r="207" spans="1:60" s="44" customFormat="1">
      <c r="A207" s="700"/>
      <c r="B207" s="700"/>
      <c r="C207" s="696"/>
      <c r="D207" s="696"/>
      <c r="E207" s="696"/>
      <c r="F207" s="696"/>
      <c r="G207" s="696"/>
      <c r="H207" s="696"/>
      <c r="I207" s="847"/>
      <c r="J207" s="696"/>
      <c r="K207" s="696"/>
      <c r="L207" s="696"/>
      <c r="M207" s="696"/>
      <c r="N207" s="696"/>
      <c r="O207" s="696"/>
      <c r="P207" s="696"/>
      <c r="Q207" s="847"/>
      <c r="R207" s="696"/>
      <c r="S207" s="696"/>
      <c r="T207" s="696"/>
      <c r="U207" s="696"/>
      <c r="V207" s="696"/>
      <c r="W207" s="696"/>
      <c r="X207" s="696"/>
      <c r="Y207" s="847"/>
      <c r="Z207" s="696"/>
      <c r="AA207" s="696"/>
      <c r="AB207" s="696"/>
      <c r="AC207" s="696"/>
      <c r="AD207" s="696"/>
      <c r="AE207" s="696"/>
      <c r="AF207" s="696"/>
      <c r="AG207" s="847"/>
      <c r="AH207" s="696"/>
      <c r="AI207" s="696"/>
      <c r="AJ207" s="696"/>
      <c r="AK207" s="696"/>
      <c r="AL207" s="696"/>
      <c r="AM207" s="696"/>
      <c r="AN207" s="696"/>
      <c r="AO207" s="847"/>
      <c r="AP207" s="696"/>
      <c r="AQ207" s="696"/>
      <c r="AR207" s="696"/>
      <c r="AS207" s="696"/>
      <c r="AT207" s="696"/>
      <c r="AU207" s="696"/>
      <c r="AV207" s="696"/>
      <c r="AW207" s="696"/>
      <c r="AX207" s="696"/>
      <c r="AY207" s="696"/>
      <c r="AZ207" s="696"/>
      <c r="BA207" s="696"/>
      <c r="BB207" s="696"/>
      <c r="BC207" s="696"/>
      <c r="BD207" s="696"/>
      <c r="BE207" s="696"/>
      <c r="BF207" s="696"/>
      <c r="BG207" s="696"/>
      <c r="BH207" s="696"/>
    </row>
    <row r="208" spans="1:60" s="44" customFormat="1">
      <c r="A208" s="700"/>
      <c r="B208" s="700"/>
      <c r="C208" s="696"/>
      <c r="D208" s="696"/>
      <c r="E208" s="696"/>
      <c r="F208" s="696"/>
      <c r="G208" s="696"/>
      <c r="H208" s="696"/>
      <c r="I208" s="847"/>
      <c r="J208" s="696"/>
      <c r="K208" s="696"/>
      <c r="L208" s="696"/>
      <c r="M208" s="696"/>
      <c r="N208" s="696"/>
      <c r="O208" s="696"/>
      <c r="P208" s="696"/>
      <c r="Q208" s="847"/>
      <c r="R208" s="696"/>
      <c r="S208" s="696"/>
      <c r="T208" s="696"/>
      <c r="U208" s="696"/>
      <c r="V208" s="696"/>
      <c r="W208" s="696"/>
      <c r="X208" s="696"/>
      <c r="Y208" s="847"/>
      <c r="Z208" s="696"/>
      <c r="AA208" s="696"/>
      <c r="AB208" s="696"/>
      <c r="AC208" s="696"/>
      <c r="AD208" s="696"/>
      <c r="AE208" s="696"/>
      <c r="AF208" s="696"/>
      <c r="AG208" s="847"/>
      <c r="AH208" s="696"/>
      <c r="AI208" s="696"/>
      <c r="AJ208" s="696"/>
      <c r="AK208" s="696"/>
      <c r="AL208" s="696"/>
      <c r="AM208" s="696"/>
      <c r="AN208" s="696"/>
      <c r="AO208" s="847"/>
      <c r="AP208" s="696"/>
      <c r="AQ208" s="696"/>
      <c r="AR208" s="696"/>
      <c r="AS208" s="696"/>
      <c r="AT208" s="696"/>
      <c r="AU208" s="696"/>
      <c r="AV208" s="696"/>
      <c r="AW208" s="696"/>
      <c r="AX208" s="696"/>
      <c r="AY208" s="696"/>
      <c r="AZ208" s="696"/>
      <c r="BA208" s="696"/>
      <c r="BB208" s="696"/>
      <c r="BC208" s="696"/>
      <c r="BD208" s="696"/>
      <c r="BE208" s="696"/>
      <c r="BF208" s="696"/>
      <c r="BG208" s="696"/>
      <c r="BH208" s="696"/>
    </row>
    <row r="209" spans="1:60" s="44" customFormat="1">
      <c r="A209" s="700"/>
      <c r="B209" s="700"/>
      <c r="C209" s="696"/>
      <c r="D209" s="696"/>
      <c r="E209" s="696"/>
      <c r="F209" s="696"/>
      <c r="G209" s="696"/>
      <c r="H209" s="696"/>
      <c r="I209" s="847"/>
      <c r="J209" s="696"/>
      <c r="K209" s="696"/>
      <c r="L209" s="696"/>
      <c r="M209" s="696"/>
      <c r="N209" s="696"/>
      <c r="O209" s="696"/>
      <c r="P209" s="696"/>
      <c r="Q209" s="847"/>
      <c r="R209" s="696"/>
      <c r="S209" s="696"/>
      <c r="T209" s="696"/>
      <c r="U209" s="696"/>
      <c r="V209" s="696"/>
      <c r="W209" s="696"/>
      <c r="X209" s="696"/>
      <c r="Y209" s="847"/>
      <c r="Z209" s="696"/>
      <c r="AA209" s="696"/>
      <c r="AB209" s="696"/>
      <c r="AC209" s="696"/>
      <c r="AD209" s="696"/>
      <c r="AE209" s="696"/>
      <c r="AF209" s="696"/>
      <c r="AG209" s="847"/>
      <c r="AH209" s="696"/>
      <c r="AI209" s="696"/>
      <c r="AJ209" s="696"/>
      <c r="AK209" s="696"/>
      <c r="AL209" s="696"/>
      <c r="AM209" s="696"/>
      <c r="AN209" s="696"/>
      <c r="AO209" s="847"/>
      <c r="AP209" s="696"/>
      <c r="AQ209" s="696"/>
      <c r="AR209" s="696"/>
      <c r="AS209" s="696"/>
      <c r="AT209" s="696"/>
      <c r="AU209" s="696"/>
      <c r="AV209" s="696"/>
      <c r="AW209" s="696"/>
      <c r="AX209" s="696"/>
      <c r="AY209" s="696"/>
      <c r="AZ209" s="696"/>
      <c r="BA209" s="696"/>
      <c r="BB209" s="696"/>
      <c r="BC209" s="696"/>
      <c r="BD209" s="696"/>
      <c r="BE209" s="696"/>
      <c r="BF209" s="696"/>
      <c r="BG209" s="696"/>
      <c r="BH209" s="696"/>
    </row>
    <row r="210" spans="1:60" s="44" customFormat="1">
      <c r="A210" s="700"/>
      <c r="B210" s="700"/>
      <c r="C210" s="696"/>
      <c r="D210" s="696"/>
      <c r="E210" s="696"/>
      <c r="F210" s="696"/>
      <c r="G210" s="696"/>
      <c r="H210" s="696"/>
      <c r="I210" s="847"/>
      <c r="J210" s="696"/>
      <c r="K210" s="696"/>
      <c r="L210" s="696"/>
      <c r="M210" s="696"/>
      <c r="N210" s="696"/>
      <c r="O210" s="696"/>
      <c r="P210" s="696"/>
      <c r="Q210" s="847"/>
      <c r="R210" s="696"/>
      <c r="S210" s="696"/>
      <c r="T210" s="696"/>
      <c r="U210" s="696"/>
      <c r="V210" s="696"/>
      <c r="W210" s="696"/>
      <c r="X210" s="696"/>
      <c r="Y210" s="847"/>
      <c r="Z210" s="696"/>
      <c r="AA210" s="696"/>
      <c r="AB210" s="696"/>
      <c r="AC210" s="696"/>
      <c r="AD210" s="696"/>
      <c r="AE210" s="696"/>
      <c r="AF210" s="696"/>
      <c r="AG210" s="847"/>
      <c r="AH210" s="696"/>
      <c r="AI210" s="696"/>
      <c r="AJ210" s="696"/>
      <c r="AK210" s="696"/>
      <c r="AL210" s="696"/>
      <c r="AM210" s="696"/>
      <c r="AN210" s="696"/>
      <c r="AO210" s="847"/>
      <c r="AP210" s="696"/>
      <c r="AQ210" s="696"/>
      <c r="AR210" s="696"/>
      <c r="AS210" s="696"/>
      <c r="AT210" s="696"/>
      <c r="AU210" s="696"/>
      <c r="AV210" s="696"/>
      <c r="AW210" s="696"/>
      <c r="AX210" s="696"/>
      <c r="AY210" s="696"/>
      <c r="AZ210" s="696"/>
      <c r="BA210" s="696"/>
      <c r="BB210" s="696"/>
      <c r="BC210" s="696"/>
      <c r="BD210" s="696"/>
      <c r="BE210" s="696"/>
      <c r="BF210" s="696"/>
      <c r="BG210" s="696"/>
      <c r="BH210" s="696"/>
    </row>
    <row r="211" spans="1:60" s="44" customFormat="1">
      <c r="A211" s="700"/>
      <c r="B211" s="700"/>
      <c r="C211" s="696"/>
      <c r="D211" s="696"/>
      <c r="E211" s="696"/>
      <c r="F211" s="696"/>
      <c r="G211" s="696"/>
      <c r="H211" s="696"/>
      <c r="I211" s="847"/>
      <c r="J211" s="696"/>
      <c r="K211" s="696"/>
      <c r="L211" s="696"/>
      <c r="M211" s="696"/>
      <c r="N211" s="696"/>
      <c r="O211" s="696"/>
      <c r="P211" s="696"/>
      <c r="Q211" s="847"/>
      <c r="R211" s="696"/>
      <c r="S211" s="696"/>
      <c r="T211" s="696"/>
      <c r="U211" s="696"/>
      <c r="V211" s="696"/>
      <c r="W211" s="696"/>
      <c r="X211" s="696"/>
      <c r="Y211" s="847"/>
      <c r="Z211" s="696"/>
      <c r="AA211" s="696"/>
      <c r="AB211" s="696"/>
      <c r="AC211" s="696"/>
      <c r="AD211" s="696"/>
      <c r="AE211" s="696"/>
      <c r="AF211" s="696"/>
      <c r="AG211" s="847"/>
      <c r="AH211" s="696"/>
      <c r="AI211" s="696"/>
      <c r="AJ211" s="696"/>
      <c r="AK211" s="696"/>
      <c r="AL211" s="696"/>
      <c r="AM211" s="696"/>
      <c r="AN211" s="696"/>
      <c r="AO211" s="847"/>
      <c r="AP211" s="696"/>
      <c r="AQ211" s="696"/>
      <c r="AR211" s="696"/>
      <c r="AS211" s="696"/>
      <c r="AT211" s="696"/>
      <c r="AU211" s="696"/>
      <c r="AV211" s="696"/>
      <c r="AW211" s="696"/>
      <c r="AX211" s="696"/>
      <c r="AY211" s="696"/>
      <c r="AZ211" s="696"/>
      <c r="BA211" s="696"/>
      <c r="BB211" s="696"/>
      <c r="BC211" s="696"/>
      <c r="BD211" s="696"/>
      <c r="BE211" s="696"/>
      <c r="BF211" s="696"/>
      <c r="BG211" s="696"/>
      <c r="BH211" s="696"/>
    </row>
    <row r="212" spans="1:60" s="44" customFormat="1">
      <c r="A212" s="700"/>
      <c r="B212" s="700"/>
      <c r="C212" s="696"/>
      <c r="D212" s="696"/>
      <c r="E212" s="696"/>
      <c r="F212" s="696"/>
      <c r="G212" s="696"/>
      <c r="H212" s="696"/>
      <c r="I212" s="847"/>
      <c r="J212" s="696"/>
      <c r="K212" s="696"/>
      <c r="L212" s="696"/>
      <c r="M212" s="696"/>
      <c r="N212" s="696"/>
      <c r="O212" s="696"/>
      <c r="P212" s="696"/>
      <c r="Q212" s="847"/>
      <c r="R212" s="696"/>
      <c r="S212" s="696"/>
      <c r="T212" s="696"/>
      <c r="U212" s="696"/>
      <c r="V212" s="696"/>
      <c r="W212" s="696"/>
      <c r="X212" s="696"/>
      <c r="Y212" s="847"/>
      <c r="Z212" s="696"/>
      <c r="AA212" s="696"/>
      <c r="AB212" s="696"/>
      <c r="AC212" s="696"/>
      <c r="AD212" s="696"/>
      <c r="AE212" s="696"/>
      <c r="AF212" s="696"/>
      <c r="AG212" s="847"/>
      <c r="AH212" s="696"/>
      <c r="AI212" s="696"/>
      <c r="AJ212" s="696"/>
      <c r="AK212" s="696"/>
      <c r="AL212" s="696"/>
      <c r="AM212" s="696"/>
      <c r="AN212" s="696"/>
      <c r="AO212" s="847"/>
      <c r="AP212" s="696"/>
      <c r="AQ212" s="696"/>
      <c r="AR212" s="696"/>
      <c r="AS212" s="696"/>
      <c r="AT212" s="696"/>
      <c r="AU212" s="696"/>
      <c r="AV212" s="696"/>
      <c r="AW212" s="696"/>
      <c r="AX212" s="696"/>
      <c r="AY212" s="696"/>
      <c r="AZ212" s="696"/>
      <c r="BA212" s="696"/>
      <c r="BB212" s="696"/>
      <c r="BC212" s="696"/>
      <c r="BD212" s="696"/>
      <c r="BE212" s="696"/>
      <c r="BF212" s="696"/>
      <c r="BG212" s="696"/>
      <c r="BH212" s="696"/>
    </row>
    <row r="213" spans="1:60" s="44" customFormat="1">
      <c r="A213" s="700"/>
      <c r="B213" s="700"/>
      <c r="C213" s="696"/>
      <c r="D213" s="696"/>
      <c r="E213" s="696"/>
      <c r="F213" s="696"/>
      <c r="G213" s="696"/>
      <c r="H213" s="696"/>
      <c r="I213" s="847"/>
      <c r="J213" s="696"/>
      <c r="K213" s="696"/>
      <c r="L213" s="696"/>
      <c r="M213" s="696"/>
      <c r="N213" s="696"/>
      <c r="O213" s="696"/>
      <c r="P213" s="696"/>
      <c r="Q213" s="847"/>
      <c r="R213" s="696"/>
      <c r="S213" s="696"/>
      <c r="T213" s="696"/>
      <c r="U213" s="696"/>
      <c r="V213" s="696"/>
      <c r="W213" s="696"/>
      <c r="X213" s="696"/>
      <c r="Y213" s="847"/>
      <c r="Z213" s="696"/>
      <c r="AA213" s="696"/>
      <c r="AB213" s="696"/>
      <c r="AC213" s="696"/>
      <c r="AD213" s="696"/>
      <c r="AE213" s="696"/>
      <c r="AF213" s="696"/>
      <c r="AG213" s="847"/>
      <c r="AH213" s="696"/>
      <c r="AI213" s="696"/>
      <c r="AJ213" s="696"/>
      <c r="AK213" s="696"/>
      <c r="AL213" s="696"/>
      <c r="AM213" s="696"/>
      <c r="AN213" s="696"/>
      <c r="AO213" s="847"/>
      <c r="AP213" s="696"/>
      <c r="AQ213" s="696"/>
      <c r="AR213" s="696"/>
      <c r="AS213" s="696"/>
      <c r="AT213" s="696"/>
      <c r="AU213" s="696"/>
      <c r="AV213" s="696"/>
      <c r="AW213" s="696"/>
      <c r="AX213" s="696"/>
      <c r="AY213" s="696"/>
      <c r="AZ213" s="696"/>
      <c r="BA213" s="696"/>
      <c r="BB213" s="696"/>
      <c r="BC213" s="696"/>
      <c r="BD213" s="696"/>
      <c r="BE213" s="696"/>
      <c r="BF213" s="696"/>
      <c r="BG213" s="696"/>
      <c r="BH213" s="696"/>
    </row>
    <row r="214" spans="1:60" s="44" customFormat="1">
      <c r="A214" s="700"/>
      <c r="B214" s="700"/>
      <c r="C214" s="696"/>
      <c r="D214" s="696"/>
      <c r="E214" s="696"/>
      <c r="F214" s="696"/>
      <c r="G214" s="696"/>
      <c r="H214" s="696"/>
      <c r="I214" s="847"/>
      <c r="J214" s="696"/>
      <c r="K214" s="696"/>
      <c r="L214" s="696"/>
      <c r="M214" s="696"/>
      <c r="N214" s="696"/>
      <c r="O214" s="696"/>
      <c r="P214" s="696"/>
      <c r="Q214" s="847"/>
      <c r="R214" s="696"/>
      <c r="S214" s="696"/>
      <c r="T214" s="696"/>
      <c r="U214" s="696"/>
      <c r="V214" s="696"/>
      <c r="W214" s="696"/>
      <c r="X214" s="696"/>
      <c r="Y214" s="847"/>
      <c r="Z214" s="696"/>
      <c r="AA214" s="696"/>
      <c r="AB214" s="696"/>
      <c r="AC214" s="696"/>
      <c r="AD214" s="696"/>
      <c r="AE214" s="696"/>
      <c r="AF214" s="696"/>
      <c r="AG214" s="847"/>
      <c r="AH214" s="696"/>
      <c r="AI214" s="696"/>
      <c r="AJ214" s="696"/>
      <c r="AK214" s="696"/>
      <c r="AL214" s="696"/>
      <c r="AM214" s="696"/>
      <c r="AN214" s="696"/>
      <c r="AO214" s="847"/>
      <c r="AP214" s="696"/>
      <c r="AQ214" s="696"/>
      <c r="AR214" s="696"/>
      <c r="AS214" s="696"/>
      <c r="AT214" s="696"/>
      <c r="AU214" s="696"/>
      <c r="AV214" s="696"/>
      <c r="AW214" s="696"/>
      <c r="AX214" s="696"/>
      <c r="AY214" s="696"/>
      <c r="AZ214" s="696"/>
      <c r="BA214" s="696"/>
      <c r="BB214" s="696"/>
      <c r="BC214" s="696"/>
      <c r="BD214" s="696"/>
      <c r="BE214" s="696"/>
      <c r="BF214" s="696"/>
      <c r="BG214" s="696"/>
      <c r="BH214" s="696"/>
    </row>
    <row r="215" spans="1:60" s="44" customFormat="1">
      <c r="A215" s="700"/>
      <c r="B215" s="700"/>
      <c r="C215" s="696"/>
      <c r="D215" s="696"/>
      <c r="E215" s="696"/>
      <c r="F215" s="696"/>
      <c r="G215" s="696"/>
      <c r="H215" s="696"/>
      <c r="I215" s="847"/>
      <c r="J215" s="696"/>
      <c r="K215" s="696"/>
      <c r="L215" s="696"/>
      <c r="M215" s="696"/>
      <c r="N215" s="696"/>
      <c r="O215" s="696"/>
      <c r="P215" s="696"/>
      <c r="Q215" s="847"/>
      <c r="R215" s="696"/>
      <c r="S215" s="696"/>
      <c r="T215" s="696"/>
      <c r="U215" s="696"/>
      <c r="V215" s="696"/>
      <c r="W215" s="696"/>
      <c r="X215" s="696"/>
      <c r="Y215" s="847"/>
      <c r="Z215" s="696"/>
      <c r="AA215" s="696"/>
      <c r="AB215" s="696"/>
      <c r="AC215" s="696"/>
      <c r="AD215" s="696"/>
      <c r="AE215" s="696"/>
      <c r="AF215" s="696"/>
      <c r="AG215" s="847"/>
      <c r="AH215" s="696"/>
      <c r="AI215" s="696"/>
      <c r="AJ215" s="696"/>
      <c r="AK215" s="696"/>
      <c r="AL215" s="696"/>
      <c r="AM215" s="696"/>
      <c r="AN215" s="696"/>
      <c r="AO215" s="847"/>
      <c r="AP215" s="696"/>
      <c r="AQ215" s="696"/>
      <c r="AR215" s="696"/>
      <c r="AS215" s="696"/>
      <c r="AT215" s="696"/>
      <c r="AU215" s="696"/>
      <c r="AV215" s="696"/>
      <c r="AW215" s="696"/>
      <c r="AX215" s="696"/>
      <c r="AY215" s="696"/>
      <c r="AZ215" s="696"/>
      <c r="BA215" s="696"/>
      <c r="BB215" s="696"/>
      <c r="BC215" s="696"/>
      <c r="BD215" s="696"/>
      <c r="BE215" s="696"/>
      <c r="BF215" s="696"/>
      <c r="BG215" s="696"/>
      <c r="BH215" s="696"/>
    </row>
    <row r="216" spans="1:60" s="44" customFormat="1">
      <c r="A216" s="700"/>
      <c r="B216" s="700"/>
      <c r="C216" s="696"/>
      <c r="D216" s="696"/>
      <c r="E216" s="696"/>
      <c r="F216" s="696"/>
      <c r="G216" s="696"/>
      <c r="H216" s="696"/>
      <c r="I216" s="847"/>
      <c r="J216" s="696"/>
      <c r="K216" s="696"/>
      <c r="L216" s="696"/>
      <c r="M216" s="696"/>
      <c r="N216" s="696"/>
      <c r="O216" s="696"/>
      <c r="P216" s="696"/>
      <c r="Q216" s="847"/>
      <c r="R216" s="696"/>
      <c r="S216" s="696"/>
      <c r="T216" s="696"/>
      <c r="U216" s="696"/>
      <c r="V216" s="696"/>
      <c r="W216" s="696"/>
      <c r="X216" s="696"/>
      <c r="Y216" s="847"/>
      <c r="Z216" s="696"/>
      <c r="AA216" s="696"/>
      <c r="AB216" s="696"/>
      <c r="AC216" s="696"/>
      <c r="AD216" s="696"/>
      <c r="AE216" s="696"/>
      <c r="AF216" s="696"/>
      <c r="AG216" s="847"/>
      <c r="AH216" s="696"/>
      <c r="AI216" s="696"/>
      <c r="AJ216" s="696"/>
      <c r="AK216" s="696"/>
      <c r="AL216" s="696"/>
      <c r="AM216" s="696"/>
      <c r="AN216" s="696"/>
      <c r="AO216" s="847"/>
      <c r="AP216" s="696"/>
      <c r="AQ216" s="696"/>
      <c r="AR216" s="696"/>
      <c r="AS216" s="696"/>
      <c r="AT216" s="696"/>
      <c r="AU216" s="696"/>
      <c r="AV216" s="696"/>
      <c r="AW216" s="696"/>
      <c r="AX216" s="696"/>
      <c r="AY216" s="696"/>
      <c r="AZ216" s="696"/>
      <c r="BA216" s="696"/>
      <c r="BB216" s="696"/>
      <c r="BC216" s="696"/>
      <c r="BD216" s="696"/>
      <c r="BE216" s="696"/>
      <c r="BF216" s="696"/>
      <c r="BG216" s="696"/>
      <c r="BH216" s="696"/>
    </row>
    <row r="217" spans="1:60" s="44" customFormat="1">
      <c r="A217" s="700"/>
      <c r="B217" s="700"/>
      <c r="C217" s="696"/>
      <c r="D217" s="696"/>
      <c r="E217" s="696"/>
      <c r="F217" s="696"/>
      <c r="G217" s="696"/>
      <c r="H217" s="696"/>
      <c r="I217" s="847"/>
      <c r="J217" s="696"/>
      <c r="K217" s="696"/>
      <c r="L217" s="696"/>
      <c r="M217" s="696"/>
      <c r="N217" s="696"/>
      <c r="O217" s="696"/>
      <c r="P217" s="696"/>
      <c r="Q217" s="847"/>
      <c r="R217" s="696"/>
      <c r="S217" s="696"/>
      <c r="T217" s="696"/>
      <c r="U217" s="696"/>
      <c r="V217" s="696"/>
      <c r="W217" s="696"/>
      <c r="X217" s="696"/>
      <c r="Y217" s="847"/>
      <c r="Z217" s="696"/>
      <c r="AA217" s="696"/>
      <c r="AB217" s="696"/>
      <c r="AC217" s="696"/>
      <c r="AD217" s="696"/>
      <c r="AE217" s="696"/>
      <c r="AF217" s="696"/>
      <c r="AG217" s="847"/>
      <c r="AH217" s="696"/>
      <c r="AI217" s="696"/>
      <c r="AJ217" s="696"/>
      <c r="AK217" s="696"/>
      <c r="AL217" s="696"/>
      <c r="AM217" s="696"/>
      <c r="AN217" s="696"/>
      <c r="AO217" s="847"/>
      <c r="AP217" s="696"/>
      <c r="AQ217" s="696"/>
      <c r="AR217" s="696"/>
      <c r="AS217" s="696"/>
      <c r="AT217" s="696"/>
      <c r="AU217" s="696"/>
      <c r="AV217" s="696"/>
      <c r="AW217" s="696"/>
      <c r="AX217" s="696"/>
      <c r="AY217" s="696"/>
      <c r="AZ217" s="696"/>
      <c r="BA217" s="696"/>
      <c r="BB217" s="696"/>
      <c r="BC217" s="696"/>
      <c r="BD217" s="696"/>
      <c r="BE217" s="696"/>
      <c r="BF217" s="696"/>
      <c r="BG217" s="696"/>
      <c r="BH217" s="696"/>
    </row>
    <row r="218" spans="1:60" s="44" customFormat="1">
      <c r="A218" s="700"/>
      <c r="B218" s="700"/>
      <c r="C218" s="696"/>
      <c r="D218" s="696"/>
      <c r="E218" s="696"/>
      <c r="F218" s="696"/>
      <c r="G218" s="696"/>
      <c r="H218" s="696"/>
      <c r="I218" s="847"/>
      <c r="J218" s="696"/>
      <c r="K218" s="696"/>
      <c r="L218" s="696"/>
      <c r="M218" s="696"/>
      <c r="N218" s="696"/>
      <c r="O218" s="696"/>
      <c r="P218" s="696"/>
      <c r="Q218" s="847"/>
      <c r="R218" s="696"/>
      <c r="S218" s="696"/>
      <c r="T218" s="696"/>
      <c r="U218" s="696"/>
      <c r="V218" s="696"/>
      <c r="W218" s="696"/>
      <c r="X218" s="696"/>
      <c r="Y218" s="847"/>
      <c r="Z218" s="696"/>
      <c r="AA218" s="696"/>
      <c r="AB218" s="696"/>
      <c r="AC218" s="696"/>
      <c r="AD218" s="696"/>
      <c r="AE218" s="696"/>
      <c r="AF218" s="696"/>
      <c r="AG218" s="847"/>
      <c r="AH218" s="696"/>
      <c r="AI218" s="696"/>
      <c r="AJ218" s="696"/>
      <c r="AK218" s="696"/>
      <c r="AL218" s="696"/>
      <c r="AM218" s="696"/>
      <c r="AN218" s="696"/>
      <c r="AO218" s="847"/>
      <c r="AP218" s="696"/>
      <c r="AQ218" s="696"/>
      <c r="AR218" s="696"/>
      <c r="AS218" s="696"/>
      <c r="AT218" s="696"/>
      <c r="AU218" s="696"/>
      <c r="AV218" s="696"/>
      <c r="AW218" s="696"/>
      <c r="AX218" s="696"/>
      <c r="AY218" s="696"/>
      <c r="AZ218" s="696"/>
      <c r="BA218" s="696"/>
      <c r="BB218" s="696"/>
      <c r="BC218" s="696"/>
      <c r="BD218" s="696"/>
      <c r="BE218" s="696"/>
      <c r="BF218" s="696"/>
      <c r="BG218" s="696"/>
      <c r="BH218" s="696"/>
    </row>
    <row r="219" spans="1:60" s="44" customFormat="1">
      <c r="A219" s="700"/>
      <c r="B219" s="700"/>
      <c r="C219" s="696"/>
      <c r="D219" s="696"/>
      <c r="E219" s="696"/>
      <c r="F219" s="696"/>
      <c r="G219" s="696"/>
      <c r="H219" s="696"/>
      <c r="I219" s="847"/>
      <c r="J219" s="696"/>
      <c r="K219" s="696"/>
      <c r="L219" s="696"/>
      <c r="M219" s="696"/>
      <c r="N219" s="696"/>
      <c r="O219" s="696"/>
      <c r="P219" s="696"/>
      <c r="Q219" s="847"/>
      <c r="R219" s="696"/>
      <c r="S219" s="696"/>
      <c r="T219" s="696"/>
      <c r="U219" s="696"/>
      <c r="V219" s="696"/>
      <c r="W219" s="696"/>
      <c r="X219" s="696"/>
      <c r="Y219" s="847"/>
      <c r="Z219" s="696"/>
      <c r="AA219" s="696"/>
      <c r="AB219" s="696"/>
      <c r="AC219" s="696"/>
      <c r="AD219" s="696"/>
      <c r="AE219" s="696"/>
      <c r="AF219" s="696"/>
      <c r="AG219" s="847"/>
      <c r="AH219" s="696"/>
      <c r="AI219" s="696"/>
      <c r="AJ219" s="696"/>
      <c r="AK219" s="696"/>
      <c r="AL219" s="696"/>
      <c r="AM219" s="696"/>
      <c r="AN219" s="696"/>
      <c r="AO219" s="847"/>
      <c r="AP219" s="696"/>
      <c r="AQ219" s="696"/>
      <c r="AR219" s="696"/>
      <c r="AS219" s="696"/>
      <c r="AT219" s="696"/>
      <c r="AU219" s="696"/>
      <c r="AV219" s="696"/>
      <c r="AW219" s="696"/>
      <c r="AX219" s="696"/>
      <c r="AY219" s="696"/>
      <c r="AZ219" s="696"/>
      <c r="BA219" s="696"/>
      <c r="BB219" s="696"/>
      <c r="BC219" s="696"/>
      <c r="BD219" s="696"/>
      <c r="BE219" s="696"/>
      <c r="BF219" s="696"/>
      <c r="BG219" s="696"/>
      <c r="BH219" s="696"/>
    </row>
    <row r="220" spans="1:60" s="44" customFormat="1">
      <c r="A220" s="700"/>
      <c r="B220" s="700"/>
      <c r="C220" s="696"/>
      <c r="D220" s="696"/>
      <c r="E220" s="696"/>
      <c r="F220" s="696"/>
      <c r="G220" s="696"/>
      <c r="H220" s="696"/>
      <c r="I220" s="847"/>
      <c r="J220" s="696"/>
      <c r="K220" s="696"/>
      <c r="L220" s="696"/>
      <c r="M220" s="696"/>
      <c r="N220" s="696"/>
      <c r="O220" s="696"/>
      <c r="P220" s="696"/>
      <c r="Q220" s="847"/>
      <c r="R220" s="696"/>
      <c r="S220" s="696"/>
      <c r="T220" s="696"/>
      <c r="U220" s="696"/>
      <c r="V220" s="696"/>
      <c r="W220" s="696"/>
      <c r="X220" s="696"/>
      <c r="Y220" s="847"/>
      <c r="Z220" s="696"/>
      <c r="AA220" s="696"/>
      <c r="AB220" s="696"/>
      <c r="AC220" s="696"/>
      <c r="AD220" s="696"/>
      <c r="AE220" s="696"/>
      <c r="AF220" s="696"/>
      <c r="AG220" s="847"/>
      <c r="AH220" s="696"/>
      <c r="AI220" s="696"/>
      <c r="AJ220" s="696"/>
      <c r="AK220" s="696"/>
      <c r="AL220" s="696"/>
      <c r="AM220" s="696"/>
      <c r="AN220" s="696"/>
      <c r="AO220" s="847"/>
      <c r="AP220" s="696"/>
      <c r="AQ220" s="696"/>
      <c r="AR220" s="696"/>
      <c r="AS220" s="696"/>
      <c r="AT220" s="696"/>
      <c r="AU220" s="696"/>
      <c r="AV220" s="696"/>
      <c r="AW220" s="696"/>
      <c r="AX220" s="696"/>
      <c r="AY220" s="696"/>
      <c r="AZ220" s="696"/>
      <c r="BA220" s="696"/>
      <c r="BB220" s="696"/>
      <c r="BC220" s="696"/>
      <c r="BD220" s="696"/>
      <c r="BE220" s="696"/>
      <c r="BF220" s="696"/>
      <c r="BG220" s="696"/>
      <c r="BH220" s="696"/>
    </row>
    <row r="221" spans="1:60" s="44" customFormat="1">
      <c r="A221" s="700"/>
      <c r="B221" s="700"/>
      <c r="C221" s="696"/>
      <c r="D221" s="696"/>
      <c r="E221" s="696"/>
      <c r="F221" s="696"/>
      <c r="G221" s="696"/>
      <c r="H221" s="696"/>
      <c r="I221" s="847"/>
      <c r="J221" s="696"/>
      <c r="K221" s="696"/>
      <c r="L221" s="696"/>
      <c r="M221" s="696"/>
      <c r="N221" s="696"/>
      <c r="O221" s="696"/>
      <c r="P221" s="696"/>
      <c r="Q221" s="847"/>
      <c r="R221" s="696"/>
      <c r="S221" s="696"/>
      <c r="T221" s="696"/>
      <c r="U221" s="696"/>
      <c r="V221" s="696"/>
      <c r="W221" s="696"/>
      <c r="X221" s="696"/>
      <c r="Y221" s="847"/>
      <c r="Z221" s="696"/>
      <c r="AA221" s="696"/>
      <c r="AB221" s="696"/>
      <c r="AC221" s="696"/>
      <c r="AD221" s="696"/>
      <c r="AE221" s="696"/>
      <c r="AF221" s="696"/>
      <c r="AG221" s="847"/>
      <c r="AH221" s="696"/>
      <c r="AI221" s="696"/>
      <c r="AJ221" s="696"/>
      <c r="AK221" s="696"/>
      <c r="AL221" s="696"/>
      <c r="AM221" s="696"/>
      <c r="AN221" s="696"/>
      <c r="AO221" s="847"/>
      <c r="AP221" s="696"/>
      <c r="AQ221" s="696"/>
      <c r="AR221" s="696"/>
      <c r="AS221" s="696"/>
      <c r="AT221" s="696"/>
      <c r="AU221" s="696"/>
      <c r="AV221" s="696"/>
      <c r="AW221" s="696"/>
      <c r="AX221" s="696"/>
      <c r="AY221" s="696"/>
      <c r="AZ221" s="696"/>
      <c r="BA221" s="696"/>
      <c r="BB221" s="696"/>
      <c r="BC221" s="696"/>
      <c r="BD221" s="696"/>
      <c r="BE221" s="696"/>
      <c r="BF221" s="696"/>
      <c r="BG221" s="696"/>
      <c r="BH221" s="696"/>
    </row>
    <row r="222" spans="1:60" s="44" customFormat="1">
      <c r="A222" s="700"/>
      <c r="B222" s="700"/>
      <c r="C222" s="696"/>
      <c r="D222" s="696"/>
      <c r="E222" s="696"/>
      <c r="F222" s="696"/>
      <c r="G222" s="696"/>
      <c r="H222" s="696"/>
      <c r="I222" s="847"/>
      <c r="J222" s="696"/>
      <c r="K222" s="696"/>
      <c r="L222" s="696"/>
      <c r="M222" s="696"/>
      <c r="N222" s="696"/>
      <c r="O222" s="696"/>
      <c r="P222" s="696"/>
      <c r="Q222" s="847"/>
      <c r="R222" s="696"/>
      <c r="S222" s="696"/>
      <c r="T222" s="696"/>
      <c r="U222" s="696"/>
      <c r="V222" s="696"/>
      <c r="W222" s="696"/>
      <c r="X222" s="696"/>
      <c r="Y222" s="847"/>
      <c r="Z222" s="696"/>
      <c r="AA222" s="696"/>
      <c r="AB222" s="696"/>
      <c r="AC222" s="696"/>
      <c r="AD222" s="696"/>
      <c r="AE222" s="696"/>
      <c r="AF222" s="696"/>
      <c r="AG222" s="847"/>
      <c r="AH222" s="696"/>
      <c r="AI222" s="696"/>
      <c r="AJ222" s="696"/>
      <c r="AK222" s="696"/>
      <c r="AL222" s="696"/>
      <c r="AM222" s="696"/>
      <c r="AN222" s="696"/>
      <c r="AO222" s="847"/>
      <c r="AP222" s="696"/>
      <c r="AQ222" s="696"/>
      <c r="AR222" s="696"/>
      <c r="AS222" s="696"/>
      <c r="AT222" s="696"/>
      <c r="AU222" s="696"/>
      <c r="AV222" s="696"/>
      <c r="AW222" s="696"/>
      <c r="AX222" s="696"/>
      <c r="AY222" s="696"/>
      <c r="AZ222" s="696"/>
      <c r="BA222" s="696"/>
      <c r="BB222" s="696"/>
      <c r="BC222" s="696"/>
      <c r="BD222" s="696"/>
      <c r="BE222" s="696"/>
      <c r="BF222" s="696"/>
      <c r="BG222" s="696"/>
      <c r="BH222" s="696"/>
    </row>
    <row r="223" spans="1:60" s="44" customFormat="1">
      <c r="A223" s="700"/>
      <c r="B223" s="700"/>
      <c r="C223" s="696"/>
      <c r="D223" s="696"/>
      <c r="E223" s="696"/>
      <c r="F223" s="696"/>
      <c r="G223" s="696"/>
      <c r="H223" s="696"/>
      <c r="I223" s="847"/>
      <c r="J223" s="696"/>
      <c r="K223" s="696"/>
      <c r="L223" s="696"/>
      <c r="M223" s="696"/>
      <c r="N223" s="696"/>
      <c r="O223" s="696"/>
      <c r="P223" s="696"/>
      <c r="Q223" s="847"/>
      <c r="R223" s="696"/>
      <c r="S223" s="696"/>
      <c r="T223" s="696"/>
      <c r="U223" s="696"/>
      <c r="V223" s="696"/>
      <c r="W223" s="696"/>
      <c r="X223" s="696"/>
      <c r="Y223" s="847"/>
      <c r="Z223" s="696"/>
      <c r="AA223" s="696"/>
      <c r="AB223" s="696"/>
      <c r="AC223" s="696"/>
      <c r="AD223" s="696"/>
      <c r="AE223" s="696"/>
      <c r="AF223" s="696"/>
      <c r="AG223" s="847"/>
      <c r="AH223" s="696"/>
      <c r="AI223" s="696"/>
      <c r="AJ223" s="696"/>
      <c r="AK223" s="696"/>
      <c r="AL223" s="696"/>
      <c r="AM223" s="696"/>
      <c r="AN223" s="696"/>
      <c r="AO223" s="847"/>
      <c r="AP223" s="696"/>
      <c r="AQ223" s="696"/>
      <c r="AR223" s="696"/>
      <c r="AS223" s="696"/>
      <c r="AT223" s="696"/>
      <c r="AU223" s="696"/>
      <c r="AV223" s="696"/>
      <c r="AW223" s="696"/>
      <c r="AX223" s="696"/>
      <c r="AY223" s="696"/>
      <c r="AZ223" s="696"/>
      <c r="BA223" s="696"/>
      <c r="BB223" s="696"/>
      <c r="BC223" s="696"/>
      <c r="BD223" s="696"/>
      <c r="BE223" s="696"/>
      <c r="BF223" s="696"/>
      <c r="BG223" s="696"/>
      <c r="BH223" s="696"/>
    </row>
    <row r="224" spans="1:60" s="44" customFormat="1">
      <c r="A224" s="700"/>
      <c r="B224" s="700"/>
      <c r="C224" s="696"/>
      <c r="D224" s="696"/>
      <c r="E224" s="696"/>
      <c r="F224" s="696"/>
      <c r="G224" s="696"/>
      <c r="H224" s="696"/>
      <c r="I224" s="847"/>
      <c r="J224" s="696"/>
      <c r="K224" s="696"/>
      <c r="L224" s="696"/>
      <c r="M224" s="696"/>
      <c r="N224" s="696"/>
      <c r="O224" s="696"/>
      <c r="P224" s="696"/>
      <c r="Q224" s="847"/>
      <c r="R224" s="696"/>
      <c r="S224" s="696"/>
      <c r="T224" s="696"/>
      <c r="U224" s="696"/>
      <c r="V224" s="696"/>
      <c r="W224" s="696"/>
      <c r="X224" s="696"/>
      <c r="Y224" s="847"/>
      <c r="Z224" s="696"/>
      <c r="AA224" s="696"/>
      <c r="AB224" s="696"/>
      <c r="AC224" s="696"/>
      <c r="AD224" s="696"/>
      <c r="AE224" s="696"/>
      <c r="AF224" s="696"/>
      <c r="AG224" s="847"/>
      <c r="AH224" s="696"/>
      <c r="AI224" s="696"/>
      <c r="AJ224" s="696"/>
      <c r="AK224" s="696"/>
      <c r="AL224" s="696"/>
      <c r="AM224" s="696"/>
      <c r="AN224" s="696"/>
      <c r="AO224" s="847"/>
      <c r="AP224" s="696"/>
      <c r="AQ224" s="696"/>
      <c r="AR224" s="696"/>
      <c r="AS224" s="696"/>
      <c r="AT224" s="696"/>
      <c r="AU224" s="696"/>
      <c r="AV224" s="696"/>
      <c r="AW224" s="696"/>
      <c r="AX224" s="696"/>
      <c r="AY224" s="696"/>
      <c r="AZ224" s="696"/>
      <c r="BA224" s="696"/>
      <c r="BB224" s="696"/>
      <c r="BC224" s="696"/>
      <c r="BD224" s="696"/>
      <c r="BE224" s="696"/>
      <c r="BF224" s="696"/>
      <c r="BG224" s="696"/>
      <c r="BH224" s="696"/>
    </row>
    <row r="225" spans="1:60" s="44" customFormat="1">
      <c r="A225" s="700"/>
      <c r="B225" s="700"/>
      <c r="C225" s="696"/>
      <c r="D225" s="696"/>
      <c r="E225" s="696"/>
      <c r="F225" s="696"/>
      <c r="G225" s="696"/>
      <c r="H225" s="696"/>
      <c r="I225" s="847"/>
      <c r="J225" s="696"/>
      <c r="K225" s="696"/>
      <c r="L225" s="696"/>
      <c r="M225" s="696"/>
      <c r="N225" s="696"/>
      <c r="O225" s="696"/>
      <c r="P225" s="696"/>
      <c r="Q225" s="847"/>
      <c r="R225" s="696"/>
      <c r="S225" s="696"/>
      <c r="T225" s="696"/>
      <c r="U225" s="696"/>
      <c r="V225" s="696"/>
      <c r="W225" s="696"/>
      <c r="X225" s="696"/>
      <c r="Y225" s="847"/>
      <c r="Z225" s="696"/>
      <c r="AA225" s="696"/>
      <c r="AB225" s="696"/>
      <c r="AC225" s="696"/>
      <c r="AD225" s="696"/>
      <c r="AE225" s="696"/>
      <c r="AF225" s="696"/>
      <c r="AG225" s="847"/>
      <c r="AH225" s="696"/>
      <c r="AI225" s="696"/>
      <c r="AJ225" s="696"/>
      <c r="AK225" s="696"/>
      <c r="AL225" s="696"/>
      <c r="AM225" s="696"/>
      <c r="AN225" s="696"/>
      <c r="AO225" s="847"/>
      <c r="AP225" s="696"/>
      <c r="AQ225" s="696"/>
      <c r="AR225" s="696"/>
      <c r="AS225" s="696"/>
      <c r="AT225" s="696"/>
      <c r="AU225" s="696"/>
      <c r="AV225" s="696"/>
      <c r="AW225" s="696"/>
      <c r="AX225" s="696"/>
      <c r="AY225" s="696"/>
      <c r="AZ225" s="696"/>
      <c r="BA225" s="696"/>
      <c r="BB225" s="696"/>
      <c r="BC225" s="696"/>
      <c r="BD225" s="696"/>
      <c r="BE225" s="696"/>
      <c r="BF225" s="696"/>
      <c r="BG225" s="696"/>
      <c r="BH225" s="696"/>
    </row>
    <row r="226" spans="1:60" s="44" customFormat="1">
      <c r="A226" s="700"/>
      <c r="B226" s="700"/>
      <c r="C226" s="696"/>
      <c r="D226" s="696"/>
      <c r="E226" s="696"/>
      <c r="F226" s="696"/>
      <c r="G226" s="696"/>
      <c r="H226" s="696"/>
      <c r="I226" s="847"/>
      <c r="J226" s="696"/>
      <c r="K226" s="696"/>
      <c r="L226" s="696"/>
      <c r="M226" s="696"/>
      <c r="N226" s="696"/>
      <c r="O226" s="696"/>
      <c r="P226" s="696"/>
      <c r="Q226" s="847"/>
      <c r="R226" s="696"/>
      <c r="S226" s="696"/>
      <c r="T226" s="696"/>
      <c r="U226" s="696"/>
      <c r="V226" s="696"/>
      <c r="W226" s="696"/>
      <c r="X226" s="696"/>
      <c r="Y226" s="847"/>
      <c r="Z226" s="696"/>
      <c r="AA226" s="696"/>
      <c r="AB226" s="696"/>
      <c r="AC226" s="696"/>
      <c r="AD226" s="696"/>
      <c r="AE226" s="696"/>
      <c r="AF226" s="696"/>
      <c r="AG226" s="847"/>
      <c r="AH226" s="696"/>
      <c r="AI226" s="696"/>
      <c r="AJ226" s="696"/>
      <c r="AK226" s="696"/>
      <c r="AL226" s="696"/>
      <c r="AM226" s="696"/>
      <c r="AN226" s="696"/>
      <c r="AO226" s="847"/>
      <c r="AP226" s="696"/>
      <c r="AQ226" s="696"/>
      <c r="AR226" s="696"/>
      <c r="AS226" s="696"/>
      <c r="AT226" s="696"/>
      <c r="AU226" s="696"/>
      <c r="AV226" s="696"/>
      <c r="AW226" s="696"/>
      <c r="AX226" s="696"/>
      <c r="AY226" s="696"/>
      <c r="AZ226" s="696"/>
      <c r="BA226" s="696"/>
      <c r="BB226" s="696"/>
      <c r="BC226" s="696"/>
      <c r="BD226" s="696"/>
      <c r="BE226" s="696"/>
      <c r="BF226" s="696"/>
      <c r="BG226" s="696"/>
      <c r="BH226" s="696"/>
    </row>
    <row r="227" spans="1:60" s="44" customFormat="1">
      <c r="A227" s="700"/>
      <c r="B227" s="700"/>
      <c r="C227" s="696"/>
      <c r="D227" s="696"/>
      <c r="E227" s="696"/>
      <c r="F227" s="696"/>
      <c r="G227" s="696"/>
      <c r="H227" s="696"/>
      <c r="I227" s="847"/>
      <c r="J227" s="696"/>
      <c r="K227" s="696"/>
      <c r="L227" s="696"/>
      <c r="M227" s="696"/>
      <c r="N227" s="696"/>
      <c r="O227" s="696"/>
      <c r="P227" s="696"/>
      <c r="Q227" s="847"/>
      <c r="R227" s="696"/>
      <c r="S227" s="696"/>
      <c r="T227" s="696"/>
      <c r="U227" s="696"/>
      <c r="V227" s="696"/>
      <c r="W227" s="696"/>
      <c r="X227" s="696"/>
      <c r="Y227" s="847"/>
      <c r="Z227" s="696"/>
      <c r="AA227" s="696"/>
      <c r="AB227" s="696"/>
      <c r="AC227" s="696"/>
      <c r="AD227" s="696"/>
      <c r="AE227" s="696"/>
      <c r="AF227" s="696"/>
      <c r="AG227" s="847"/>
      <c r="AH227" s="696"/>
      <c r="AI227" s="696"/>
      <c r="AJ227" s="696"/>
      <c r="AK227" s="696"/>
      <c r="AL227" s="696"/>
      <c r="AM227" s="696"/>
      <c r="AN227" s="696"/>
      <c r="AO227" s="847"/>
      <c r="AP227" s="696"/>
      <c r="AQ227" s="696"/>
      <c r="AR227" s="696"/>
      <c r="AS227" s="696"/>
      <c r="AT227" s="696"/>
      <c r="AU227" s="696"/>
      <c r="AV227" s="696"/>
      <c r="AW227" s="696"/>
      <c r="AX227" s="696"/>
      <c r="AY227" s="696"/>
      <c r="AZ227" s="696"/>
      <c r="BA227" s="696"/>
      <c r="BB227" s="696"/>
      <c r="BC227" s="696"/>
      <c r="BD227" s="696"/>
      <c r="BE227" s="696"/>
      <c r="BF227" s="696"/>
      <c r="BG227" s="696"/>
      <c r="BH227" s="696"/>
    </row>
    <row r="228" spans="1:60" s="44" customFormat="1">
      <c r="A228" s="700"/>
      <c r="B228" s="700"/>
      <c r="C228" s="696"/>
      <c r="D228" s="696"/>
      <c r="E228" s="696"/>
      <c r="F228" s="696"/>
      <c r="G228" s="696"/>
      <c r="H228" s="696"/>
      <c r="I228" s="847"/>
      <c r="J228" s="696"/>
      <c r="K228" s="696"/>
      <c r="L228" s="696"/>
      <c r="M228" s="696"/>
      <c r="N228" s="696"/>
      <c r="O228" s="696"/>
      <c r="P228" s="696"/>
      <c r="Q228" s="847"/>
      <c r="R228" s="696"/>
      <c r="S228" s="696"/>
      <c r="T228" s="696"/>
      <c r="U228" s="696"/>
      <c r="V228" s="696"/>
      <c r="W228" s="696"/>
      <c r="X228" s="696"/>
      <c r="Y228" s="847"/>
      <c r="Z228" s="696"/>
      <c r="AA228" s="696"/>
      <c r="AB228" s="696"/>
      <c r="AC228" s="696"/>
      <c r="AD228" s="696"/>
      <c r="AE228" s="696"/>
      <c r="AF228" s="696"/>
      <c r="AG228" s="847"/>
      <c r="AH228" s="696"/>
      <c r="AI228" s="696"/>
      <c r="AJ228" s="696"/>
      <c r="AK228" s="696"/>
      <c r="AL228" s="696"/>
      <c r="AM228" s="696"/>
      <c r="AN228" s="696"/>
      <c r="AO228" s="847"/>
      <c r="AP228" s="696"/>
      <c r="AQ228" s="696"/>
      <c r="AR228" s="696"/>
      <c r="AS228" s="696"/>
      <c r="AT228" s="696"/>
      <c r="AU228" s="696"/>
      <c r="AV228" s="696"/>
      <c r="AW228" s="696"/>
      <c r="AX228" s="696"/>
      <c r="AY228" s="696"/>
      <c r="AZ228" s="696"/>
      <c r="BA228" s="696"/>
      <c r="BB228" s="696"/>
      <c r="BC228" s="696"/>
      <c r="BD228" s="696"/>
      <c r="BE228" s="696"/>
      <c r="BF228" s="696"/>
      <c r="BG228" s="696"/>
      <c r="BH228" s="696"/>
    </row>
    <row r="229" spans="1:60" s="44" customFormat="1">
      <c r="A229" s="700"/>
      <c r="B229" s="700"/>
      <c r="C229" s="696"/>
      <c r="D229" s="696"/>
      <c r="E229" s="696"/>
      <c r="F229" s="696"/>
      <c r="G229" s="696"/>
      <c r="H229" s="696"/>
      <c r="I229" s="847"/>
      <c r="J229" s="696"/>
      <c r="K229" s="696"/>
      <c r="L229" s="696"/>
      <c r="M229" s="696"/>
      <c r="N229" s="696"/>
      <c r="O229" s="696"/>
      <c r="P229" s="696"/>
      <c r="Q229" s="847"/>
      <c r="R229" s="696"/>
      <c r="S229" s="696"/>
      <c r="T229" s="696"/>
      <c r="U229" s="696"/>
      <c r="V229" s="696"/>
      <c r="W229" s="696"/>
      <c r="X229" s="696"/>
      <c r="Y229" s="847"/>
      <c r="Z229" s="696"/>
      <c r="AA229" s="696"/>
      <c r="AB229" s="696"/>
      <c r="AC229" s="696"/>
      <c r="AD229" s="696"/>
      <c r="AE229" s="696"/>
      <c r="AF229" s="696"/>
      <c r="AG229" s="847"/>
      <c r="AH229" s="696"/>
      <c r="AI229" s="696"/>
      <c r="AJ229" s="696"/>
      <c r="AK229" s="696"/>
      <c r="AL229" s="696"/>
      <c r="AM229" s="696"/>
      <c r="AN229" s="696"/>
      <c r="AO229" s="847"/>
      <c r="AP229" s="696"/>
      <c r="AQ229" s="696"/>
      <c r="AR229" s="696"/>
      <c r="AS229" s="696"/>
      <c r="AT229" s="696"/>
      <c r="AU229" s="696"/>
      <c r="AV229" s="696"/>
      <c r="AW229" s="696"/>
      <c r="AX229" s="696"/>
      <c r="AY229" s="696"/>
      <c r="AZ229" s="696"/>
      <c r="BA229" s="696"/>
      <c r="BB229" s="696"/>
      <c r="BC229" s="696"/>
      <c r="BD229" s="696"/>
      <c r="BE229" s="696"/>
      <c r="BF229" s="696"/>
      <c r="BG229" s="696"/>
      <c r="BH229" s="696"/>
    </row>
    <row r="230" spans="1:60" s="44" customFormat="1">
      <c r="A230" s="700"/>
      <c r="B230" s="700"/>
      <c r="C230" s="696"/>
      <c r="D230" s="696"/>
      <c r="E230" s="696"/>
      <c r="F230" s="696"/>
      <c r="G230" s="696"/>
      <c r="H230" s="696"/>
      <c r="I230" s="847"/>
      <c r="J230" s="696"/>
      <c r="K230" s="696"/>
      <c r="L230" s="696"/>
      <c r="M230" s="696"/>
      <c r="N230" s="696"/>
      <c r="O230" s="696"/>
      <c r="P230" s="696"/>
      <c r="Q230" s="847"/>
      <c r="R230" s="696"/>
      <c r="S230" s="696"/>
      <c r="T230" s="696"/>
      <c r="U230" s="696"/>
      <c r="V230" s="696"/>
      <c r="W230" s="696"/>
      <c r="X230" s="696"/>
      <c r="Y230" s="847"/>
      <c r="Z230" s="696"/>
      <c r="AA230" s="696"/>
      <c r="AB230" s="696"/>
      <c r="AC230" s="696"/>
      <c r="AD230" s="696"/>
      <c r="AE230" s="696"/>
      <c r="AF230" s="696"/>
      <c r="AG230" s="847"/>
      <c r="AH230" s="696"/>
      <c r="AI230" s="696"/>
      <c r="AJ230" s="696"/>
      <c r="AK230" s="696"/>
      <c r="AL230" s="696"/>
      <c r="AM230" s="696"/>
      <c r="AN230" s="696"/>
      <c r="AO230" s="847"/>
      <c r="AP230" s="696"/>
      <c r="AQ230" s="696"/>
      <c r="AR230" s="696"/>
      <c r="AS230" s="696"/>
      <c r="AT230" s="696"/>
      <c r="AU230" s="696"/>
      <c r="AV230" s="696"/>
      <c r="AW230" s="696"/>
      <c r="AX230" s="696"/>
      <c r="AY230" s="696"/>
      <c r="AZ230" s="696"/>
      <c r="BA230" s="696"/>
      <c r="BB230" s="696"/>
      <c r="BC230" s="696"/>
      <c r="BD230" s="696"/>
      <c r="BE230" s="696"/>
      <c r="BF230" s="696"/>
      <c r="BG230" s="696"/>
      <c r="BH230" s="696"/>
    </row>
    <row r="231" spans="1:60" s="44" customFormat="1">
      <c r="A231" s="700"/>
      <c r="B231" s="700"/>
      <c r="C231" s="696"/>
      <c r="D231" s="696"/>
      <c r="E231" s="696"/>
      <c r="F231" s="696"/>
      <c r="G231" s="696"/>
      <c r="H231" s="696"/>
      <c r="I231" s="847"/>
      <c r="J231" s="696"/>
      <c r="K231" s="696"/>
      <c r="L231" s="696"/>
      <c r="M231" s="696"/>
      <c r="N231" s="696"/>
      <c r="O231" s="696"/>
      <c r="P231" s="696"/>
      <c r="Q231" s="847"/>
      <c r="R231" s="696"/>
      <c r="S231" s="696"/>
      <c r="T231" s="696"/>
      <c r="U231" s="696"/>
      <c r="V231" s="696"/>
      <c r="W231" s="696"/>
      <c r="X231" s="696"/>
      <c r="Y231" s="847"/>
      <c r="Z231" s="696"/>
      <c r="AA231" s="696"/>
      <c r="AB231" s="696"/>
      <c r="AC231" s="696"/>
      <c r="AD231" s="696"/>
      <c r="AE231" s="696"/>
      <c r="AF231" s="696"/>
      <c r="AG231" s="847"/>
      <c r="AH231" s="696"/>
      <c r="AI231" s="696"/>
      <c r="AJ231" s="696"/>
      <c r="AK231" s="696"/>
      <c r="AL231" s="696"/>
      <c r="AM231" s="696"/>
      <c r="AN231" s="696"/>
      <c r="AO231" s="847"/>
      <c r="AP231" s="696"/>
      <c r="AQ231" s="696"/>
      <c r="AR231" s="696"/>
      <c r="AS231" s="696"/>
      <c r="AT231" s="696"/>
      <c r="AU231" s="696"/>
      <c r="AV231" s="696"/>
      <c r="AW231" s="696"/>
      <c r="AX231" s="696"/>
      <c r="AY231" s="696"/>
      <c r="AZ231" s="696"/>
      <c r="BA231" s="696"/>
      <c r="BB231" s="696"/>
      <c r="BC231" s="696"/>
      <c r="BD231" s="696"/>
      <c r="BE231" s="696"/>
      <c r="BF231" s="696"/>
      <c r="BG231" s="696"/>
      <c r="BH231" s="696"/>
    </row>
    <row r="232" spans="1:60" s="44" customFormat="1">
      <c r="A232" s="700"/>
      <c r="B232" s="700"/>
      <c r="C232" s="696"/>
      <c r="D232" s="696"/>
      <c r="E232" s="696"/>
      <c r="F232" s="696"/>
      <c r="G232" s="696"/>
      <c r="H232" s="696"/>
      <c r="I232" s="847"/>
      <c r="J232" s="696"/>
      <c r="K232" s="696"/>
      <c r="L232" s="696"/>
      <c r="M232" s="696"/>
      <c r="N232" s="696"/>
      <c r="O232" s="696"/>
      <c r="P232" s="696"/>
      <c r="Q232" s="847"/>
      <c r="R232" s="696"/>
      <c r="S232" s="696"/>
      <c r="T232" s="696"/>
      <c r="U232" s="696"/>
      <c r="V232" s="696"/>
      <c r="W232" s="696"/>
      <c r="X232" s="696"/>
      <c r="Y232" s="847"/>
      <c r="Z232" s="696"/>
      <c r="AA232" s="696"/>
      <c r="AB232" s="696"/>
      <c r="AC232" s="696"/>
      <c r="AD232" s="696"/>
      <c r="AE232" s="696"/>
      <c r="AF232" s="696"/>
      <c r="AG232" s="847"/>
      <c r="AH232" s="696"/>
      <c r="AI232" s="696"/>
      <c r="AJ232" s="696"/>
      <c r="AK232" s="696"/>
      <c r="AL232" s="696"/>
      <c r="AM232" s="696"/>
      <c r="AN232" s="696"/>
      <c r="AO232" s="847"/>
      <c r="AP232" s="696"/>
      <c r="AQ232" s="696"/>
      <c r="AR232" s="696"/>
      <c r="AS232" s="696"/>
      <c r="AT232" s="696"/>
      <c r="AU232" s="696"/>
      <c r="AV232" s="696"/>
      <c r="AW232" s="696"/>
      <c r="AX232" s="696"/>
      <c r="AY232" s="696"/>
      <c r="AZ232" s="696"/>
      <c r="BA232" s="696"/>
      <c r="BB232" s="696"/>
      <c r="BC232" s="696"/>
      <c r="BD232" s="696"/>
      <c r="BE232" s="696"/>
      <c r="BF232" s="696"/>
      <c r="BG232" s="696"/>
      <c r="BH232" s="696"/>
    </row>
    <row r="233" spans="1:60" s="44" customFormat="1">
      <c r="A233" s="700"/>
      <c r="B233" s="700"/>
      <c r="C233" s="696"/>
      <c r="D233" s="696"/>
      <c r="E233" s="696"/>
      <c r="F233" s="696"/>
      <c r="G233" s="696"/>
      <c r="H233" s="696"/>
      <c r="I233" s="847"/>
      <c r="J233" s="696"/>
      <c r="K233" s="696"/>
      <c r="L233" s="696"/>
      <c r="M233" s="696"/>
      <c r="N233" s="696"/>
      <c r="O233" s="696"/>
      <c r="P233" s="696"/>
      <c r="Q233" s="847"/>
      <c r="R233" s="696"/>
      <c r="S233" s="696"/>
      <c r="T233" s="696"/>
      <c r="U233" s="696"/>
      <c r="V233" s="696"/>
      <c r="W233" s="696"/>
      <c r="X233" s="696"/>
      <c r="Y233" s="847"/>
      <c r="Z233" s="696"/>
      <c r="AA233" s="696"/>
      <c r="AB233" s="696"/>
      <c r="AC233" s="696"/>
      <c r="AD233" s="696"/>
      <c r="AE233" s="696"/>
      <c r="AF233" s="696"/>
      <c r="AG233" s="847"/>
      <c r="AH233" s="696"/>
      <c r="AI233" s="696"/>
      <c r="AJ233" s="696"/>
      <c r="AK233" s="696"/>
      <c r="AL233" s="696"/>
      <c r="AM233" s="696"/>
      <c r="AN233" s="696"/>
      <c r="AO233" s="847"/>
      <c r="AP233" s="696"/>
      <c r="AQ233" s="696"/>
      <c r="AR233" s="696"/>
      <c r="AS233" s="696"/>
      <c r="AT233" s="696"/>
      <c r="AU233" s="696"/>
      <c r="AV233" s="696"/>
      <c r="AW233" s="696"/>
      <c r="AX233" s="696"/>
      <c r="AY233" s="696"/>
      <c r="AZ233" s="696"/>
      <c r="BA233" s="696"/>
      <c r="BB233" s="696"/>
      <c r="BC233" s="696"/>
      <c r="BD233" s="696"/>
      <c r="BE233" s="696"/>
      <c r="BF233" s="696"/>
      <c r="BG233" s="696"/>
      <c r="BH233" s="696"/>
    </row>
    <row r="234" spans="1:60" s="44" customFormat="1">
      <c r="A234" s="700"/>
      <c r="B234" s="700"/>
      <c r="C234" s="696"/>
      <c r="D234" s="696"/>
      <c r="E234" s="696"/>
      <c r="F234" s="696"/>
      <c r="G234" s="696"/>
      <c r="H234" s="696"/>
      <c r="I234" s="847"/>
      <c r="J234" s="696"/>
      <c r="K234" s="696"/>
      <c r="L234" s="696"/>
      <c r="M234" s="696"/>
      <c r="N234" s="696"/>
      <c r="O234" s="696"/>
      <c r="P234" s="696"/>
      <c r="Q234" s="847"/>
      <c r="R234" s="696"/>
      <c r="S234" s="696"/>
      <c r="T234" s="696"/>
      <c r="U234" s="696"/>
      <c r="V234" s="696"/>
      <c r="W234" s="696"/>
      <c r="X234" s="696"/>
      <c r="Y234" s="847"/>
      <c r="Z234" s="696"/>
      <c r="AA234" s="696"/>
      <c r="AB234" s="696"/>
      <c r="AC234" s="696"/>
      <c r="AD234" s="696"/>
      <c r="AE234" s="696"/>
      <c r="AF234" s="696"/>
      <c r="AG234" s="847"/>
      <c r="AH234" s="696"/>
      <c r="AI234" s="696"/>
      <c r="AJ234" s="696"/>
      <c r="AK234" s="696"/>
      <c r="AL234" s="696"/>
      <c r="AM234" s="696"/>
      <c r="AN234" s="696"/>
      <c r="AO234" s="847"/>
      <c r="AP234" s="696"/>
      <c r="AQ234" s="696"/>
      <c r="AR234" s="696"/>
      <c r="AS234" s="696"/>
      <c r="AT234" s="696"/>
      <c r="AU234" s="696"/>
      <c r="AV234" s="696"/>
      <c r="AW234" s="696"/>
      <c r="AX234" s="696"/>
      <c r="AY234" s="696"/>
      <c r="AZ234" s="696"/>
      <c r="BA234" s="696"/>
      <c r="BB234" s="696"/>
      <c r="BC234" s="696"/>
      <c r="BD234" s="696"/>
      <c r="BE234" s="696"/>
      <c r="BF234" s="696"/>
      <c r="BG234" s="696"/>
      <c r="BH234" s="696"/>
    </row>
    <row r="235" spans="1:60" s="44" customFormat="1">
      <c r="A235" s="700"/>
      <c r="B235" s="700"/>
      <c r="C235" s="696"/>
      <c r="D235" s="696"/>
      <c r="E235" s="696"/>
      <c r="F235" s="696"/>
      <c r="G235" s="696"/>
      <c r="H235" s="696"/>
      <c r="I235" s="847"/>
      <c r="J235" s="696"/>
      <c r="K235" s="696"/>
      <c r="L235" s="696"/>
      <c r="M235" s="696"/>
      <c r="N235" s="696"/>
      <c r="O235" s="696"/>
      <c r="P235" s="696"/>
      <c r="Q235" s="847"/>
      <c r="R235" s="696"/>
      <c r="S235" s="696"/>
      <c r="T235" s="696"/>
      <c r="U235" s="696"/>
      <c r="V235" s="696"/>
      <c r="W235" s="696"/>
      <c r="X235" s="696"/>
      <c r="Y235" s="847"/>
      <c r="Z235" s="696"/>
      <c r="AA235" s="696"/>
      <c r="AB235" s="696"/>
      <c r="AC235" s="696"/>
      <c r="AD235" s="696"/>
      <c r="AE235" s="696"/>
      <c r="AF235" s="696"/>
      <c r="AG235" s="847"/>
      <c r="AH235" s="696"/>
      <c r="AI235" s="696"/>
      <c r="AJ235" s="696"/>
      <c r="AK235" s="696"/>
      <c r="AL235" s="696"/>
      <c r="AM235" s="696"/>
      <c r="AN235" s="696"/>
      <c r="AO235" s="847"/>
      <c r="AP235" s="696"/>
      <c r="AQ235" s="696"/>
      <c r="AR235" s="696"/>
      <c r="AS235" s="696"/>
      <c r="AT235" s="696"/>
      <c r="AU235" s="696"/>
      <c r="AV235" s="696"/>
      <c r="AW235" s="696"/>
      <c r="AX235" s="696"/>
      <c r="AY235" s="696"/>
      <c r="AZ235" s="696"/>
      <c r="BA235" s="696"/>
      <c r="BB235" s="696"/>
      <c r="BC235" s="696"/>
      <c r="BD235" s="696"/>
      <c r="BE235" s="696"/>
      <c r="BF235" s="696"/>
      <c r="BG235" s="696"/>
      <c r="BH235" s="696"/>
    </row>
    <row r="236" spans="1:60" s="44" customFormat="1">
      <c r="A236" s="700"/>
      <c r="B236" s="700"/>
      <c r="C236" s="696"/>
      <c r="D236" s="696"/>
      <c r="E236" s="696"/>
      <c r="F236" s="696"/>
      <c r="G236" s="696"/>
      <c r="H236" s="696"/>
      <c r="I236" s="847"/>
      <c r="J236" s="696"/>
      <c r="K236" s="696"/>
      <c r="L236" s="696"/>
      <c r="M236" s="696"/>
      <c r="N236" s="696"/>
      <c r="O236" s="696"/>
      <c r="P236" s="696"/>
      <c r="Q236" s="847"/>
      <c r="R236" s="696"/>
      <c r="S236" s="696"/>
      <c r="T236" s="696"/>
      <c r="U236" s="696"/>
      <c r="V236" s="696"/>
      <c r="W236" s="696"/>
      <c r="X236" s="696"/>
      <c r="Y236" s="847"/>
      <c r="Z236" s="696"/>
      <c r="AA236" s="696"/>
      <c r="AB236" s="696"/>
      <c r="AC236" s="696"/>
      <c r="AD236" s="696"/>
      <c r="AE236" s="696"/>
      <c r="AF236" s="696"/>
      <c r="AG236" s="847"/>
      <c r="AH236" s="696"/>
      <c r="AI236" s="696"/>
      <c r="AJ236" s="696"/>
      <c r="AK236" s="696"/>
      <c r="AL236" s="696"/>
      <c r="AM236" s="696"/>
      <c r="AN236" s="696"/>
      <c r="AO236" s="847"/>
      <c r="AP236" s="696"/>
      <c r="AQ236" s="696"/>
      <c r="AR236" s="696"/>
      <c r="AS236" s="696"/>
      <c r="AT236" s="696"/>
      <c r="AU236" s="696"/>
      <c r="AV236" s="696"/>
      <c r="AW236" s="696"/>
      <c r="AX236" s="696"/>
      <c r="AY236" s="696"/>
      <c r="AZ236" s="696"/>
      <c r="BA236" s="696"/>
      <c r="BB236" s="696"/>
      <c r="BC236" s="696"/>
      <c r="BD236" s="696"/>
      <c r="BE236" s="696"/>
      <c r="BF236" s="696"/>
      <c r="BG236" s="696"/>
      <c r="BH236" s="696"/>
    </row>
    <row r="237" spans="1:60" s="44" customFormat="1">
      <c r="A237" s="700"/>
      <c r="B237" s="700"/>
      <c r="C237" s="696"/>
      <c r="D237" s="696"/>
      <c r="E237" s="696"/>
      <c r="F237" s="696"/>
      <c r="G237" s="696"/>
      <c r="H237" s="696"/>
      <c r="I237" s="847"/>
      <c r="J237" s="696"/>
      <c r="K237" s="696"/>
      <c r="L237" s="696"/>
      <c r="M237" s="696"/>
      <c r="N237" s="696"/>
      <c r="O237" s="696"/>
      <c r="P237" s="696"/>
      <c r="Q237" s="847"/>
      <c r="R237" s="696"/>
      <c r="S237" s="696"/>
      <c r="T237" s="696"/>
      <c r="U237" s="696"/>
      <c r="V237" s="696"/>
      <c r="W237" s="696"/>
      <c r="X237" s="696"/>
      <c r="Y237" s="847"/>
      <c r="Z237" s="696"/>
      <c r="AA237" s="696"/>
      <c r="AB237" s="696"/>
      <c r="AC237" s="696"/>
      <c r="AD237" s="696"/>
      <c r="AE237" s="696"/>
      <c r="AF237" s="696"/>
      <c r="AG237" s="847"/>
      <c r="AH237" s="696"/>
      <c r="AI237" s="696"/>
      <c r="AJ237" s="696"/>
      <c r="AK237" s="696"/>
      <c r="AL237" s="696"/>
      <c r="AM237" s="696"/>
      <c r="AN237" s="696"/>
      <c r="AO237" s="847"/>
      <c r="AP237" s="696"/>
      <c r="AQ237" s="696"/>
      <c r="AR237" s="696"/>
      <c r="AS237" s="696"/>
      <c r="AT237" s="696"/>
      <c r="AU237" s="696"/>
      <c r="AV237" s="696"/>
      <c r="AW237" s="696"/>
      <c r="AX237" s="696"/>
      <c r="AY237" s="696"/>
      <c r="AZ237" s="696"/>
      <c r="BA237" s="696"/>
      <c r="BB237" s="696"/>
      <c r="BC237" s="696"/>
      <c r="BD237" s="696"/>
      <c r="BE237" s="696"/>
      <c r="BF237" s="696"/>
      <c r="BG237" s="696"/>
      <c r="BH237" s="696"/>
    </row>
    <row r="238" spans="1:60" s="44" customFormat="1">
      <c r="A238" s="700"/>
      <c r="B238" s="700"/>
      <c r="C238" s="696"/>
      <c r="D238" s="696"/>
      <c r="E238" s="696"/>
      <c r="F238" s="696"/>
      <c r="G238" s="696"/>
      <c r="H238" s="696"/>
      <c r="I238" s="847"/>
      <c r="J238" s="696"/>
      <c r="K238" s="696"/>
      <c r="L238" s="696"/>
      <c r="M238" s="696"/>
      <c r="N238" s="696"/>
      <c r="O238" s="696"/>
      <c r="P238" s="696"/>
      <c r="Q238" s="847"/>
      <c r="R238" s="696"/>
      <c r="S238" s="696"/>
      <c r="T238" s="696"/>
      <c r="U238" s="696"/>
      <c r="V238" s="696"/>
      <c r="W238" s="696"/>
      <c r="X238" s="696"/>
      <c r="Y238" s="847"/>
      <c r="Z238" s="696"/>
      <c r="AA238" s="696"/>
      <c r="AB238" s="696"/>
      <c r="AC238" s="696"/>
      <c r="AD238" s="696"/>
      <c r="AE238" s="696"/>
      <c r="AF238" s="696"/>
      <c r="AG238" s="847"/>
      <c r="AH238" s="696"/>
      <c r="AI238" s="696"/>
      <c r="AJ238" s="696"/>
      <c r="AK238" s="696"/>
      <c r="AL238" s="696"/>
      <c r="AM238" s="696"/>
      <c r="AN238" s="696"/>
      <c r="AO238" s="847"/>
      <c r="AP238" s="696"/>
      <c r="AQ238" s="696"/>
      <c r="AR238" s="696"/>
      <c r="AS238" s="696"/>
      <c r="AT238" s="696"/>
      <c r="AU238" s="696"/>
      <c r="AV238" s="696"/>
      <c r="AW238" s="696"/>
      <c r="AX238" s="696"/>
      <c r="AY238" s="696"/>
      <c r="AZ238" s="696"/>
      <c r="BA238" s="696"/>
      <c r="BB238" s="696"/>
      <c r="BC238" s="696"/>
      <c r="BD238" s="696"/>
      <c r="BE238" s="696"/>
      <c r="BF238" s="696"/>
      <c r="BG238" s="696"/>
      <c r="BH238" s="696"/>
    </row>
    <row r="239" spans="1:60" s="44" customFormat="1">
      <c r="A239" s="700"/>
      <c r="B239" s="700"/>
      <c r="C239" s="696"/>
      <c r="D239" s="696"/>
      <c r="E239" s="696"/>
      <c r="F239" s="696"/>
      <c r="G239" s="696"/>
      <c r="H239" s="696"/>
      <c r="I239" s="847"/>
      <c r="J239" s="696"/>
      <c r="K239" s="696"/>
      <c r="L239" s="696"/>
      <c r="M239" s="696"/>
      <c r="N239" s="696"/>
      <c r="O239" s="696"/>
      <c r="P239" s="696"/>
      <c r="Q239" s="847"/>
      <c r="R239" s="696"/>
      <c r="S239" s="696"/>
      <c r="T239" s="696"/>
      <c r="U239" s="696"/>
      <c r="V239" s="696"/>
      <c r="W239" s="696"/>
      <c r="X239" s="696"/>
      <c r="Y239" s="847"/>
      <c r="Z239" s="696"/>
      <c r="AA239" s="696"/>
      <c r="AB239" s="696"/>
      <c r="AC239" s="696"/>
      <c r="AD239" s="696"/>
      <c r="AE239" s="696"/>
      <c r="AF239" s="696"/>
      <c r="AG239" s="847"/>
      <c r="AH239" s="696"/>
      <c r="AI239" s="696"/>
      <c r="AJ239" s="696"/>
      <c r="AK239" s="696"/>
      <c r="AL239" s="696"/>
      <c r="AM239" s="696"/>
      <c r="AN239" s="696"/>
      <c r="AO239" s="847"/>
      <c r="AP239" s="696"/>
      <c r="AQ239" s="696"/>
      <c r="AR239" s="696"/>
      <c r="AS239" s="696"/>
      <c r="AT239" s="696"/>
      <c r="AU239" s="696"/>
      <c r="AV239" s="696"/>
      <c r="AW239" s="696"/>
      <c r="AX239" s="696"/>
      <c r="AY239" s="696"/>
      <c r="AZ239" s="696"/>
      <c r="BA239" s="696"/>
      <c r="BB239" s="696"/>
      <c r="BC239" s="696"/>
      <c r="BD239" s="696"/>
      <c r="BE239" s="696"/>
      <c r="BF239" s="696"/>
      <c r="BG239" s="696"/>
      <c r="BH239" s="696"/>
    </row>
    <row r="240" spans="1:60" s="44" customFormat="1">
      <c r="A240" s="700"/>
      <c r="B240" s="700"/>
      <c r="C240" s="696"/>
      <c r="D240" s="696"/>
      <c r="E240" s="696"/>
      <c r="F240" s="696"/>
      <c r="G240" s="696"/>
      <c r="H240" s="696"/>
      <c r="I240" s="847"/>
      <c r="J240" s="696"/>
      <c r="K240" s="696"/>
      <c r="L240" s="696"/>
      <c r="M240" s="696"/>
      <c r="N240" s="696"/>
      <c r="O240" s="696"/>
      <c r="P240" s="696"/>
      <c r="Q240" s="847"/>
      <c r="R240" s="696"/>
      <c r="S240" s="696"/>
      <c r="T240" s="696"/>
      <c r="U240" s="696"/>
      <c r="V240" s="696"/>
      <c r="W240" s="696"/>
      <c r="X240" s="696"/>
      <c r="Y240" s="847"/>
      <c r="Z240" s="696"/>
      <c r="AA240" s="696"/>
      <c r="AB240" s="696"/>
      <c r="AC240" s="696"/>
      <c r="AD240" s="696"/>
      <c r="AE240" s="696"/>
      <c r="AF240" s="696"/>
      <c r="AG240" s="847"/>
      <c r="AH240" s="696"/>
      <c r="AI240" s="696"/>
      <c r="AJ240" s="696"/>
      <c r="AK240" s="696"/>
      <c r="AL240" s="696"/>
      <c r="AM240" s="696"/>
      <c r="AN240" s="696"/>
      <c r="AO240" s="847"/>
      <c r="AP240" s="696"/>
      <c r="AQ240" s="696"/>
      <c r="AR240" s="696"/>
      <c r="AS240" s="696"/>
      <c r="AT240" s="696"/>
      <c r="AU240" s="696"/>
      <c r="AV240" s="696"/>
      <c r="AW240" s="696"/>
      <c r="AX240" s="696"/>
      <c r="AY240" s="696"/>
      <c r="AZ240" s="696"/>
      <c r="BA240" s="696"/>
      <c r="BB240" s="696"/>
      <c r="BC240" s="696"/>
      <c r="BD240" s="696"/>
      <c r="BE240" s="696"/>
      <c r="BF240" s="696"/>
      <c r="BG240" s="696"/>
      <c r="BH240" s="696"/>
    </row>
    <row r="241" spans="1:60" s="44" customFormat="1">
      <c r="A241" s="700"/>
      <c r="B241" s="700"/>
      <c r="C241" s="696"/>
      <c r="D241" s="696"/>
      <c r="E241" s="696"/>
      <c r="F241" s="696"/>
      <c r="G241" s="696"/>
      <c r="H241" s="696"/>
      <c r="I241" s="847"/>
      <c r="J241" s="696"/>
      <c r="K241" s="696"/>
      <c r="L241" s="696"/>
      <c r="M241" s="696"/>
      <c r="N241" s="696"/>
      <c r="O241" s="696"/>
      <c r="P241" s="696"/>
      <c r="Q241" s="847"/>
      <c r="R241" s="696"/>
      <c r="S241" s="696"/>
      <c r="T241" s="696"/>
      <c r="U241" s="696"/>
      <c r="V241" s="696"/>
      <c r="W241" s="696"/>
      <c r="X241" s="696"/>
      <c r="Y241" s="847"/>
      <c r="Z241" s="696"/>
      <c r="AA241" s="696"/>
      <c r="AB241" s="696"/>
      <c r="AC241" s="696"/>
      <c r="AD241" s="696"/>
      <c r="AE241" s="696"/>
      <c r="AF241" s="696"/>
      <c r="AG241" s="847"/>
      <c r="AH241" s="696"/>
      <c r="AI241" s="696"/>
      <c r="AJ241" s="696"/>
      <c r="AK241" s="696"/>
      <c r="AL241" s="696"/>
      <c r="AM241" s="696"/>
      <c r="AN241" s="696"/>
      <c r="AO241" s="847"/>
      <c r="AP241" s="696"/>
      <c r="AQ241" s="696"/>
      <c r="AR241" s="696"/>
      <c r="AS241" s="696"/>
      <c r="AT241" s="696"/>
      <c r="AU241" s="696"/>
      <c r="AV241" s="696"/>
      <c r="AW241" s="696"/>
      <c r="AX241" s="696"/>
      <c r="AY241" s="696"/>
      <c r="AZ241" s="696"/>
      <c r="BA241" s="696"/>
      <c r="BB241" s="696"/>
      <c r="BC241" s="696"/>
      <c r="BD241" s="696"/>
      <c r="BE241" s="696"/>
      <c r="BF241" s="696"/>
      <c r="BG241" s="696"/>
      <c r="BH241" s="696"/>
    </row>
    <row r="242" spans="1:60" s="44" customFormat="1">
      <c r="A242" s="700"/>
      <c r="B242" s="700"/>
      <c r="C242" s="696"/>
      <c r="D242" s="696"/>
      <c r="E242" s="696"/>
      <c r="F242" s="696"/>
      <c r="G242" s="696"/>
      <c r="H242" s="696"/>
      <c r="I242" s="847"/>
      <c r="J242" s="696"/>
      <c r="K242" s="696"/>
      <c r="L242" s="696"/>
      <c r="M242" s="696"/>
      <c r="N242" s="696"/>
      <c r="O242" s="696"/>
      <c r="P242" s="696"/>
      <c r="Q242" s="847"/>
      <c r="R242" s="696"/>
      <c r="S242" s="696"/>
      <c r="T242" s="696"/>
      <c r="U242" s="696"/>
      <c r="V242" s="696"/>
      <c r="W242" s="696"/>
      <c r="X242" s="696"/>
      <c r="Y242" s="847"/>
      <c r="Z242" s="696"/>
      <c r="AA242" s="696"/>
      <c r="AB242" s="696"/>
      <c r="AC242" s="696"/>
      <c r="AD242" s="696"/>
      <c r="AE242" s="696"/>
      <c r="AF242" s="696"/>
      <c r="AG242" s="847"/>
      <c r="AH242" s="696"/>
      <c r="AI242" s="696"/>
      <c r="AJ242" s="696"/>
      <c r="AK242" s="696"/>
      <c r="AL242" s="696"/>
      <c r="AM242" s="696"/>
      <c r="AN242" s="696"/>
      <c r="AO242" s="847"/>
      <c r="AP242" s="696"/>
      <c r="AQ242" s="696"/>
      <c r="AR242" s="696"/>
      <c r="AS242" s="696"/>
      <c r="AT242" s="696"/>
      <c r="AU242" s="696"/>
      <c r="AV242" s="696"/>
      <c r="AW242" s="696"/>
      <c r="AX242" s="696"/>
      <c r="AY242" s="696"/>
      <c r="AZ242" s="696"/>
      <c r="BA242" s="696"/>
      <c r="BB242" s="696"/>
      <c r="BC242" s="696"/>
      <c r="BD242" s="696"/>
      <c r="BE242" s="696"/>
      <c r="BF242" s="696"/>
      <c r="BG242" s="696"/>
      <c r="BH242" s="696"/>
    </row>
    <row r="243" spans="1:60" s="44" customFormat="1">
      <c r="A243" s="700"/>
      <c r="B243" s="700"/>
      <c r="C243" s="696"/>
      <c r="D243" s="696"/>
      <c r="E243" s="696"/>
      <c r="F243" s="696"/>
      <c r="G243" s="696"/>
      <c r="H243" s="696"/>
      <c r="I243" s="847"/>
      <c r="J243" s="696"/>
      <c r="K243" s="696"/>
      <c r="L243" s="696"/>
      <c r="M243" s="696"/>
      <c r="N243" s="696"/>
      <c r="O243" s="696"/>
      <c r="P243" s="696"/>
      <c r="Q243" s="847"/>
      <c r="R243" s="696"/>
      <c r="S243" s="696"/>
      <c r="T243" s="696"/>
      <c r="U243" s="696"/>
      <c r="V243" s="696"/>
      <c r="W243" s="696"/>
      <c r="X243" s="696"/>
      <c r="Y243" s="847"/>
      <c r="Z243" s="696"/>
      <c r="AA243" s="696"/>
      <c r="AB243" s="696"/>
      <c r="AC243" s="696"/>
      <c r="AD243" s="696"/>
      <c r="AE243" s="696"/>
      <c r="AF243" s="696"/>
      <c r="AG243" s="847"/>
      <c r="AH243" s="696"/>
      <c r="AI243" s="696"/>
      <c r="AJ243" s="696"/>
      <c r="AK243" s="696"/>
      <c r="AL243" s="696"/>
      <c r="AM243" s="696"/>
      <c r="AN243" s="696"/>
      <c r="AO243" s="847"/>
      <c r="AP243" s="696"/>
      <c r="AQ243" s="696"/>
      <c r="AR243" s="696"/>
      <c r="AS243" s="696"/>
      <c r="AT243" s="696"/>
      <c r="AU243" s="696"/>
      <c r="AV243" s="696"/>
      <c r="AW243" s="696"/>
      <c r="AX243" s="696"/>
      <c r="AY243" s="696"/>
      <c r="AZ243" s="696"/>
      <c r="BA243" s="696"/>
      <c r="BB243" s="696"/>
      <c r="BC243" s="696"/>
      <c r="BD243" s="696"/>
      <c r="BE243" s="696"/>
      <c r="BF243" s="696"/>
      <c r="BG243" s="696"/>
      <c r="BH243" s="696"/>
    </row>
    <row r="244" spans="1:60" s="44" customFormat="1">
      <c r="A244" s="700"/>
      <c r="B244" s="700"/>
      <c r="C244" s="696"/>
      <c r="D244" s="696"/>
      <c r="E244" s="696"/>
      <c r="F244" s="696"/>
      <c r="G244" s="696"/>
      <c r="H244" s="696"/>
      <c r="I244" s="847"/>
      <c r="J244" s="696"/>
      <c r="K244" s="696"/>
      <c r="L244" s="696"/>
      <c r="M244" s="696"/>
      <c r="N244" s="696"/>
      <c r="O244" s="696"/>
      <c r="P244" s="696"/>
      <c r="Q244" s="847"/>
      <c r="R244" s="696"/>
      <c r="S244" s="696"/>
      <c r="T244" s="696"/>
      <c r="U244" s="696"/>
      <c r="V244" s="696"/>
      <c r="W244" s="696"/>
      <c r="X244" s="696"/>
      <c r="Y244" s="847"/>
      <c r="Z244" s="696"/>
      <c r="AA244" s="696"/>
      <c r="AB244" s="696"/>
      <c r="AC244" s="696"/>
      <c r="AD244" s="696"/>
      <c r="AE244" s="696"/>
      <c r="AF244" s="696"/>
      <c r="AG244" s="847"/>
      <c r="AH244" s="696"/>
      <c r="AI244" s="696"/>
      <c r="AJ244" s="696"/>
      <c r="AK244" s="696"/>
      <c r="AL244" s="696"/>
      <c r="AM244" s="696"/>
      <c r="AN244" s="696"/>
      <c r="AO244" s="847"/>
      <c r="AP244" s="696"/>
      <c r="AQ244" s="696"/>
      <c r="AR244" s="696"/>
      <c r="AS244" s="696"/>
      <c r="AT244" s="696"/>
      <c r="AU244" s="696"/>
      <c r="AV244" s="696"/>
      <c r="AW244" s="696"/>
      <c r="AX244" s="696"/>
      <c r="AY244" s="696"/>
      <c r="AZ244" s="696"/>
      <c r="BA244" s="696"/>
      <c r="BB244" s="696"/>
      <c r="BC244" s="696"/>
      <c r="BD244" s="696"/>
      <c r="BE244" s="696"/>
      <c r="BF244" s="696"/>
      <c r="BG244" s="696"/>
      <c r="BH244" s="696"/>
    </row>
    <row r="245" spans="1:60" s="44" customFormat="1">
      <c r="A245" s="700"/>
      <c r="B245" s="700"/>
      <c r="C245" s="696"/>
      <c r="D245" s="696"/>
      <c r="E245" s="696"/>
      <c r="F245" s="696"/>
      <c r="G245" s="696"/>
      <c r="H245" s="696"/>
      <c r="I245" s="847"/>
      <c r="J245" s="696"/>
      <c r="K245" s="696"/>
      <c r="L245" s="696"/>
      <c r="M245" s="696"/>
      <c r="N245" s="696"/>
      <c r="O245" s="696"/>
      <c r="P245" s="696"/>
      <c r="Q245" s="847"/>
      <c r="R245" s="696"/>
      <c r="S245" s="696"/>
      <c r="T245" s="696"/>
      <c r="U245" s="696"/>
      <c r="V245" s="696"/>
      <c r="W245" s="696"/>
      <c r="X245" s="696"/>
      <c r="Y245" s="847"/>
      <c r="Z245" s="696"/>
      <c r="AA245" s="696"/>
      <c r="AB245" s="696"/>
      <c r="AC245" s="696"/>
      <c r="AD245" s="696"/>
      <c r="AE245" s="696"/>
      <c r="AF245" s="696"/>
      <c r="AG245" s="847"/>
      <c r="AH245" s="696"/>
      <c r="AI245" s="696"/>
      <c r="AJ245" s="696"/>
      <c r="AK245" s="696"/>
      <c r="AL245" s="696"/>
      <c r="AM245" s="696"/>
      <c r="AN245" s="696"/>
      <c r="AO245" s="847"/>
      <c r="AP245" s="696"/>
      <c r="AQ245" s="696"/>
      <c r="AR245" s="696"/>
      <c r="AS245" s="696"/>
      <c r="AT245" s="696"/>
      <c r="AU245" s="696"/>
      <c r="AV245" s="696"/>
      <c r="AW245" s="696"/>
      <c r="AX245" s="696"/>
      <c r="AY245" s="696"/>
      <c r="AZ245" s="696"/>
      <c r="BA245" s="696"/>
      <c r="BB245" s="696"/>
      <c r="BC245" s="696"/>
      <c r="BD245" s="696"/>
      <c r="BE245" s="696"/>
      <c r="BF245" s="696"/>
      <c r="BG245" s="696"/>
      <c r="BH245" s="696"/>
    </row>
    <row r="246" spans="1:60" s="44" customFormat="1">
      <c r="A246" s="700"/>
      <c r="B246" s="700"/>
      <c r="C246" s="696"/>
      <c r="D246" s="696"/>
      <c r="E246" s="696"/>
      <c r="F246" s="696"/>
      <c r="G246" s="696"/>
      <c r="H246" s="696"/>
      <c r="I246" s="847"/>
      <c r="J246" s="696"/>
      <c r="K246" s="696"/>
      <c r="L246" s="696"/>
      <c r="M246" s="696"/>
      <c r="N246" s="696"/>
      <c r="O246" s="696"/>
      <c r="P246" s="696"/>
      <c r="Q246" s="847"/>
      <c r="R246" s="696"/>
      <c r="S246" s="696"/>
      <c r="T246" s="696"/>
      <c r="U246" s="696"/>
      <c r="V246" s="696"/>
      <c r="W246" s="696"/>
      <c r="X246" s="696"/>
      <c r="Y246" s="847"/>
      <c r="Z246" s="696"/>
      <c r="AA246" s="696"/>
      <c r="AB246" s="696"/>
      <c r="AC246" s="696"/>
      <c r="AD246" s="696"/>
      <c r="AE246" s="696"/>
      <c r="AF246" s="696"/>
      <c r="AG246" s="847"/>
      <c r="AH246" s="696"/>
      <c r="AI246" s="696"/>
      <c r="AJ246" s="696"/>
      <c r="AK246" s="696"/>
      <c r="AL246" s="696"/>
      <c r="AM246" s="696"/>
      <c r="AN246" s="696"/>
      <c r="AO246" s="847"/>
      <c r="AP246" s="696"/>
      <c r="AQ246" s="696"/>
      <c r="AR246" s="696"/>
      <c r="AS246" s="696"/>
      <c r="AT246" s="696"/>
      <c r="AU246" s="696"/>
      <c r="AV246" s="696"/>
      <c r="AW246" s="696"/>
      <c r="AX246" s="696"/>
      <c r="AY246" s="696"/>
      <c r="AZ246" s="696"/>
      <c r="BA246" s="696"/>
      <c r="BB246" s="696"/>
      <c r="BC246" s="696"/>
      <c r="BD246" s="696"/>
      <c r="BE246" s="696"/>
      <c r="BF246" s="696"/>
      <c r="BG246" s="696"/>
      <c r="BH246" s="696"/>
    </row>
    <row r="247" spans="1:60" s="44" customFormat="1">
      <c r="A247" s="700"/>
      <c r="B247" s="700"/>
      <c r="C247" s="696"/>
      <c r="D247" s="696"/>
      <c r="E247" s="696"/>
      <c r="F247" s="696"/>
      <c r="G247" s="696"/>
      <c r="H247" s="696"/>
      <c r="I247" s="847"/>
      <c r="J247" s="696"/>
      <c r="K247" s="696"/>
      <c r="L247" s="696"/>
      <c r="M247" s="696"/>
      <c r="N247" s="696"/>
      <c r="O247" s="696"/>
      <c r="P247" s="696"/>
      <c r="Q247" s="847"/>
      <c r="R247" s="696"/>
      <c r="S247" s="696"/>
      <c r="T247" s="696"/>
      <c r="U247" s="696"/>
      <c r="V247" s="696"/>
      <c r="W247" s="696"/>
      <c r="X247" s="696"/>
      <c r="Y247" s="847"/>
      <c r="Z247" s="696"/>
      <c r="AA247" s="696"/>
      <c r="AB247" s="696"/>
      <c r="AC247" s="696"/>
      <c r="AD247" s="696"/>
      <c r="AE247" s="696"/>
      <c r="AF247" s="696"/>
      <c r="AG247" s="847"/>
      <c r="AH247" s="696"/>
      <c r="AI247" s="696"/>
      <c r="AJ247" s="696"/>
      <c r="AK247" s="696"/>
      <c r="AL247" s="696"/>
      <c r="AM247" s="696"/>
      <c r="AN247" s="696"/>
      <c r="AO247" s="847"/>
      <c r="AP247" s="696"/>
      <c r="AQ247" s="696"/>
      <c r="AR247" s="696"/>
      <c r="AS247" s="696"/>
      <c r="AT247" s="696"/>
      <c r="AU247" s="696"/>
      <c r="AV247" s="696"/>
      <c r="AW247" s="696"/>
      <c r="AX247" s="696"/>
      <c r="AY247" s="696"/>
      <c r="AZ247" s="696"/>
      <c r="BA247" s="696"/>
      <c r="BB247" s="696"/>
      <c r="BC247" s="696"/>
      <c r="BD247" s="696"/>
      <c r="BE247" s="696"/>
      <c r="BF247" s="696"/>
      <c r="BG247" s="696"/>
      <c r="BH247" s="696"/>
    </row>
    <row r="248" spans="1:60" s="44" customFormat="1">
      <c r="A248" s="700"/>
      <c r="B248" s="700"/>
      <c r="C248" s="696"/>
      <c r="D248" s="696"/>
      <c r="E248" s="696"/>
      <c r="F248" s="696"/>
      <c r="G248" s="696"/>
      <c r="H248" s="696"/>
      <c r="I248" s="847"/>
      <c r="J248" s="696"/>
      <c r="K248" s="696"/>
      <c r="L248" s="696"/>
      <c r="M248" s="696"/>
      <c r="N248" s="696"/>
      <c r="O248" s="696"/>
      <c r="P248" s="696"/>
      <c r="Q248" s="847"/>
      <c r="R248" s="696"/>
      <c r="S248" s="696"/>
      <c r="T248" s="696"/>
      <c r="U248" s="696"/>
      <c r="V248" s="696"/>
      <c r="W248" s="696"/>
      <c r="X248" s="696"/>
      <c r="Y248" s="847"/>
      <c r="Z248" s="696"/>
      <c r="AA248" s="696"/>
      <c r="AB248" s="696"/>
      <c r="AC248" s="696"/>
      <c r="AD248" s="696"/>
      <c r="AE248" s="696"/>
      <c r="AF248" s="696"/>
      <c r="AG248" s="847"/>
      <c r="AH248" s="696"/>
      <c r="AI248" s="696"/>
      <c r="AJ248" s="696"/>
      <c r="AK248" s="696"/>
      <c r="AL248" s="696"/>
      <c r="AM248" s="696"/>
      <c r="AN248" s="696"/>
      <c r="AO248" s="847"/>
      <c r="AP248" s="696"/>
      <c r="AQ248" s="696"/>
      <c r="AR248" s="696"/>
      <c r="AS248" s="696"/>
      <c r="AT248" s="696"/>
      <c r="AU248" s="696"/>
      <c r="AV248" s="696"/>
      <c r="AW248" s="696"/>
      <c r="AX248" s="696"/>
      <c r="AY248" s="696"/>
      <c r="AZ248" s="696"/>
      <c r="BA248" s="696"/>
      <c r="BB248" s="696"/>
      <c r="BC248" s="696"/>
      <c r="BD248" s="696"/>
      <c r="BE248" s="696"/>
      <c r="BF248" s="696"/>
      <c r="BG248" s="696"/>
      <c r="BH248" s="696"/>
    </row>
    <row r="249" spans="1:60" s="44" customFormat="1">
      <c r="A249" s="700"/>
      <c r="B249" s="700"/>
      <c r="C249" s="696"/>
      <c r="D249" s="696"/>
      <c r="E249" s="696"/>
      <c r="F249" s="696"/>
      <c r="G249" s="696"/>
      <c r="H249" s="696"/>
      <c r="I249" s="847"/>
      <c r="J249" s="696"/>
      <c r="K249" s="696"/>
      <c r="L249" s="696"/>
      <c r="M249" s="696"/>
      <c r="N249" s="696"/>
      <c r="O249" s="696"/>
      <c r="P249" s="696"/>
      <c r="Q249" s="847"/>
      <c r="R249" s="696"/>
      <c r="S249" s="696"/>
      <c r="T249" s="696"/>
      <c r="U249" s="696"/>
      <c r="V249" s="696"/>
      <c r="W249" s="696"/>
      <c r="X249" s="696"/>
      <c r="Y249" s="847"/>
      <c r="Z249" s="696"/>
      <c r="AA249" s="696"/>
      <c r="AB249" s="696"/>
      <c r="AC249" s="696"/>
      <c r="AD249" s="696"/>
      <c r="AE249" s="696"/>
      <c r="AF249" s="696"/>
      <c r="AG249" s="847"/>
      <c r="AH249" s="696"/>
      <c r="AI249" s="696"/>
      <c r="AJ249" s="696"/>
      <c r="AK249" s="696"/>
      <c r="AL249" s="696"/>
      <c r="AM249" s="696"/>
      <c r="AN249" s="696"/>
      <c r="AO249" s="847"/>
      <c r="AP249" s="696"/>
      <c r="AQ249" s="696"/>
      <c r="AR249" s="696"/>
      <c r="AS249" s="696"/>
      <c r="AT249" s="696"/>
      <c r="AU249" s="696"/>
      <c r="AV249" s="696"/>
      <c r="AW249" s="696"/>
      <c r="AX249" s="696"/>
      <c r="AY249" s="696"/>
      <c r="AZ249" s="696"/>
      <c r="BA249" s="696"/>
      <c r="BB249" s="696"/>
      <c r="BC249" s="696"/>
      <c r="BD249" s="696"/>
      <c r="BE249" s="696"/>
      <c r="BF249" s="696"/>
      <c r="BG249" s="696"/>
      <c r="BH249" s="696"/>
    </row>
    <row r="250" spans="1:60" s="44" customFormat="1">
      <c r="A250" s="700"/>
      <c r="B250" s="700"/>
      <c r="C250" s="696"/>
      <c r="D250" s="696"/>
      <c r="E250" s="696"/>
      <c r="F250" s="696"/>
      <c r="G250" s="696"/>
      <c r="H250" s="696"/>
      <c r="I250" s="847"/>
      <c r="J250" s="696"/>
      <c r="K250" s="696"/>
      <c r="L250" s="696"/>
      <c r="M250" s="696"/>
      <c r="N250" s="696"/>
      <c r="O250" s="696"/>
      <c r="P250" s="696"/>
      <c r="Q250" s="847"/>
      <c r="R250" s="696"/>
      <c r="S250" s="696"/>
      <c r="T250" s="696"/>
      <c r="U250" s="696"/>
      <c r="V250" s="696"/>
      <c r="W250" s="696"/>
      <c r="X250" s="696"/>
      <c r="Y250" s="847"/>
      <c r="Z250" s="696"/>
      <c r="AA250" s="696"/>
      <c r="AB250" s="696"/>
      <c r="AC250" s="696"/>
      <c r="AD250" s="696"/>
      <c r="AE250" s="696"/>
      <c r="AF250" s="696"/>
      <c r="AG250" s="847"/>
      <c r="AH250" s="696"/>
      <c r="AI250" s="696"/>
      <c r="AJ250" s="696"/>
      <c r="AK250" s="696"/>
      <c r="AL250" s="696"/>
      <c r="AM250" s="696"/>
      <c r="AN250" s="696"/>
      <c r="AO250" s="847"/>
      <c r="AP250" s="696"/>
      <c r="AQ250" s="696"/>
      <c r="AR250" s="696"/>
      <c r="AS250" s="696"/>
      <c r="AT250" s="696"/>
      <c r="AU250" s="696"/>
      <c r="AV250" s="696"/>
      <c r="AW250" s="696"/>
      <c r="AX250" s="696"/>
      <c r="AY250" s="696"/>
      <c r="AZ250" s="696"/>
      <c r="BA250" s="696"/>
      <c r="BB250" s="696"/>
      <c r="BC250" s="696"/>
      <c r="BD250" s="696"/>
      <c r="BE250" s="696"/>
      <c r="BF250" s="696"/>
      <c r="BG250" s="696"/>
      <c r="BH250" s="696"/>
    </row>
    <row r="251" spans="1:60" s="44" customFormat="1">
      <c r="A251" s="700"/>
      <c r="B251" s="700"/>
      <c r="C251" s="696"/>
      <c r="D251" s="696"/>
      <c r="E251" s="696"/>
      <c r="F251" s="696"/>
      <c r="G251" s="696"/>
      <c r="H251" s="696"/>
      <c r="I251" s="847"/>
      <c r="J251" s="696"/>
      <c r="K251" s="696"/>
      <c r="L251" s="696"/>
      <c r="M251" s="696"/>
      <c r="N251" s="696"/>
      <c r="O251" s="696"/>
      <c r="P251" s="696"/>
      <c r="Q251" s="847"/>
      <c r="R251" s="696"/>
      <c r="S251" s="696"/>
      <c r="T251" s="696"/>
      <c r="U251" s="696"/>
      <c r="V251" s="696"/>
      <c r="W251" s="696"/>
      <c r="X251" s="696"/>
      <c r="Y251" s="847"/>
      <c r="Z251" s="696"/>
      <c r="AA251" s="696"/>
      <c r="AB251" s="696"/>
      <c r="AC251" s="696"/>
      <c r="AD251" s="696"/>
      <c r="AE251" s="696"/>
      <c r="AF251" s="696"/>
      <c r="AG251" s="847"/>
      <c r="AH251" s="696"/>
      <c r="AI251" s="696"/>
      <c r="AJ251" s="696"/>
      <c r="AK251" s="696"/>
      <c r="AL251" s="696"/>
      <c r="AM251" s="696"/>
      <c r="AN251" s="696"/>
      <c r="AO251" s="847"/>
      <c r="AP251" s="696"/>
      <c r="AQ251" s="696"/>
      <c r="AR251" s="696"/>
      <c r="AS251" s="696"/>
      <c r="AT251" s="696"/>
      <c r="AU251" s="696"/>
      <c r="AV251" s="696"/>
      <c r="AW251" s="696"/>
      <c r="AX251" s="696"/>
      <c r="AY251" s="696"/>
      <c r="AZ251" s="696"/>
      <c r="BA251" s="696"/>
      <c r="BB251" s="696"/>
      <c r="BC251" s="696"/>
      <c r="BD251" s="696"/>
      <c r="BE251" s="696"/>
      <c r="BF251" s="696"/>
      <c r="BG251" s="696"/>
      <c r="BH251" s="696"/>
    </row>
    <row r="252" spans="1:60" s="44" customFormat="1">
      <c r="A252" s="700"/>
      <c r="B252" s="700"/>
      <c r="C252" s="696"/>
      <c r="D252" s="696"/>
      <c r="E252" s="696"/>
      <c r="F252" s="696"/>
      <c r="G252" s="696"/>
      <c r="H252" s="696"/>
      <c r="I252" s="847"/>
      <c r="J252" s="696"/>
      <c r="K252" s="696"/>
      <c r="L252" s="696"/>
      <c r="M252" s="696"/>
      <c r="N252" s="696"/>
      <c r="O252" s="696"/>
      <c r="P252" s="696"/>
      <c r="Q252" s="847"/>
      <c r="R252" s="696"/>
      <c r="S252" s="696"/>
      <c r="T252" s="696"/>
      <c r="U252" s="696"/>
      <c r="V252" s="696"/>
      <c r="W252" s="696"/>
      <c r="X252" s="696"/>
      <c r="Y252" s="847"/>
      <c r="Z252" s="696"/>
      <c r="AA252" s="696"/>
      <c r="AB252" s="696"/>
      <c r="AC252" s="696"/>
      <c r="AD252" s="696"/>
      <c r="AE252" s="696"/>
      <c r="AF252" s="696"/>
      <c r="AG252" s="847"/>
      <c r="AH252" s="696"/>
      <c r="AI252" s="696"/>
      <c r="AJ252" s="696"/>
      <c r="AK252" s="696"/>
      <c r="AL252" s="696"/>
      <c r="AM252" s="696"/>
      <c r="AN252" s="696"/>
      <c r="AO252" s="847"/>
      <c r="AP252" s="696"/>
      <c r="AQ252" s="696"/>
      <c r="AR252" s="696"/>
      <c r="AS252" s="696"/>
      <c r="AT252" s="696"/>
      <c r="AU252" s="696"/>
      <c r="AV252" s="696"/>
      <c r="AW252" s="696"/>
      <c r="AX252" s="696"/>
      <c r="AY252" s="696"/>
      <c r="AZ252" s="696"/>
      <c r="BA252" s="696"/>
      <c r="BB252" s="696"/>
      <c r="BC252" s="696"/>
      <c r="BD252" s="696"/>
      <c r="BE252" s="696"/>
      <c r="BF252" s="696"/>
      <c r="BG252" s="696"/>
      <c r="BH252" s="696"/>
    </row>
    <row r="253" spans="1:60" s="44" customFormat="1">
      <c r="A253" s="700"/>
      <c r="B253" s="700"/>
      <c r="C253" s="696"/>
      <c r="D253" s="696"/>
      <c r="E253" s="696"/>
      <c r="F253" s="696"/>
      <c r="G253" s="696"/>
      <c r="H253" s="696"/>
      <c r="I253" s="847"/>
      <c r="J253" s="696"/>
      <c r="K253" s="696"/>
      <c r="L253" s="696"/>
      <c r="M253" s="696"/>
      <c r="N253" s="696"/>
      <c r="O253" s="696"/>
      <c r="P253" s="696"/>
      <c r="Q253" s="847"/>
      <c r="R253" s="696"/>
      <c r="S253" s="696"/>
      <c r="T253" s="696"/>
      <c r="U253" s="696"/>
      <c r="V253" s="696"/>
      <c r="W253" s="696"/>
      <c r="X253" s="696"/>
      <c r="Y253" s="847"/>
      <c r="Z253" s="696"/>
      <c r="AA253" s="696"/>
      <c r="AB253" s="696"/>
      <c r="AC253" s="696"/>
      <c r="AD253" s="696"/>
      <c r="AE253" s="696"/>
      <c r="AF253" s="696"/>
      <c r="AG253" s="847"/>
      <c r="AH253" s="696"/>
      <c r="AI253" s="696"/>
      <c r="AJ253" s="696"/>
      <c r="AK253" s="696"/>
      <c r="AL253" s="696"/>
      <c r="AM253" s="696"/>
      <c r="AN253" s="696"/>
      <c r="AO253" s="847"/>
      <c r="AP253" s="696"/>
      <c r="AQ253" s="696"/>
      <c r="AR253" s="696"/>
      <c r="AS253" s="696"/>
      <c r="AT253" s="696"/>
      <c r="AU253" s="696"/>
      <c r="AV253" s="696"/>
      <c r="AW253" s="696"/>
      <c r="AX253" s="696"/>
      <c r="AY253" s="696"/>
      <c r="AZ253" s="696"/>
      <c r="BA253" s="696"/>
      <c r="BB253" s="696"/>
      <c r="BC253" s="696"/>
      <c r="BD253" s="696"/>
      <c r="BE253" s="696"/>
      <c r="BF253" s="696"/>
      <c r="BG253" s="696"/>
      <c r="BH253" s="696"/>
    </row>
    <row r="254" spans="1:60" s="44" customFormat="1">
      <c r="A254" s="700"/>
      <c r="B254" s="700"/>
      <c r="C254" s="696"/>
      <c r="D254" s="696"/>
      <c r="E254" s="696"/>
      <c r="F254" s="696"/>
      <c r="G254" s="696"/>
      <c r="H254" s="696"/>
      <c r="I254" s="847"/>
      <c r="J254" s="696"/>
      <c r="K254" s="696"/>
      <c r="L254" s="696"/>
      <c r="M254" s="696"/>
      <c r="N254" s="696"/>
      <c r="O254" s="696"/>
      <c r="P254" s="696"/>
      <c r="Q254" s="847"/>
      <c r="R254" s="696"/>
      <c r="S254" s="696"/>
      <c r="T254" s="696"/>
      <c r="U254" s="696"/>
      <c r="V254" s="696"/>
      <c r="W254" s="696"/>
      <c r="X254" s="696"/>
      <c r="Y254" s="847"/>
      <c r="Z254" s="696"/>
      <c r="AA254" s="696"/>
      <c r="AB254" s="696"/>
      <c r="AC254" s="696"/>
      <c r="AD254" s="696"/>
      <c r="AE254" s="696"/>
      <c r="AF254" s="696"/>
      <c r="AG254" s="847"/>
      <c r="AH254" s="696"/>
      <c r="AI254" s="696"/>
      <c r="AJ254" s="696"/>
      <c r="AK254" s="696"/>
      <c r="AL254" s="696"/>
      <c r="AM254" s="696"/>
      <c r="AN254" s="696"/>
      <c r="AO254" s="847"/>
      <c r="AP254" s="696"/>
      <c r="AQ254" s="696"/>
      <c r="AR254" s="696"/>
      <c r="AS254" s="696"/>
      <c r="AT254" s="696"/>
      <c r="AU254" s="696"/>
      <c r="AV254" s="696"/>
      <c r="AW254" s="696"/>
      <c r="AX254" s="696"/>
      <c r="AY254" s="696"/>
      <c r="AZ254" s="696"/>
      <c r="BA254" s="696"/>
      <c r="BB254" s="696"/>
      <c r="BC254" s="696"/>
      <c r="BD254" s="696"/>
      <c r="BE254" s="696"/>
      <c r="BF254" s="696"/>
      <c r="BG254" s="696"/>
      <c r="BH254" s="696"/>
    </row>
    <row r="255" spans="1:60" s="44" customFormat="1">
      <c r="A255" s="700"/>
      <c r="B255" s="700"/>
      <c r="C255" s="696"/>
      <c r="D255" s="696"/>
      <c r="E255" s="696"/>
      <c r="F255" s="696"/>
      <c r="G255" s="696"/>
      <c r="H255" s="696"/>
      <c r="I255" s="847"/>
      <c r="J255" s="696"/>
      <c r="K255" s="696"/>
      <c r="L255" s="696"/>
      <c r="M255" s="696"/>
      <c r="N255" s="696"/>
      <c r="O255" s="696"/>
      <c r="P255" s="696"/>
      <c r="Q255" s="847"/>
      <c r="R255" s="696"/>
      <c r="S255" s="696"/>
      <c r="T255" s="696"/>
      <c r="U255" s="696"/>
      <c r="V255" s="696"/>
      <c r="W255" s="696"/>
      <c r="X255" s="696"/>
      <c r="Y255" s="847"/>
      <c r="Z255" s="696"/>
      <c r="AA255" s="696"/>
      <c r="AB255" s="696"/>
      <c r="AC255" s="696"/>
      <c r="AD255" s="696"/>
      <c r="AE255" s="696"/>
      <c r="AF255" s="696"/>
      <c r="AG255" s="847"/>
      <c r="AH255" s="696"/>
      <c r="AI255" s="696"/>
      <c r="AJ255" s="696"/>
      <c r="AK255" s="696"/>
      <c r="AL255" s="696"/>
      <c r="AM255" s="696"/>
      <c r="AN255" s="696"/>
      <c r="AO255" s="847"/>
      <c r="AP255" s="696"/>
      <c r="AQ255" s="696"/>
      <c r="AR255" s="696"/>
      <c r="AS255" s="696"/>
      <c r="AT255" s="696"/>
      <c r="AU255" s="696"/>
      <c r="AV255" s="696"/>
      <c r="AW255" s="696"/>
      <c r="AX255" s="696"/>
      <c r="AY255" s="696"/>
      <c r="AZ255" s="696"/>
      <c r="BA255" s="696"/>
      <c r="BB255" s="696"/>
      <c r="BC255" s="696"/>
      <c r="BD255" s="696"/>
      <c r="BE255" s="696"/>
      <c r="BF255" s="696"/>
      <c r="BG255" s="696"/>
      <c r="BH255" s="696"/>
    </row>
    <row r="256" spans="1:60" s="44" customFormat="1">
      <c r="A256" s="700"/>
      <c r="B256" s="700"/>
      <c r="C256" s="696"/>
      <c r="D256" s="696"/>
      <c r="E256" s="696"/>
      <c r="F256" s="696"/>
      <c r="G256" s="696"/>
      <c r="H256" s="696"/>
      <c r="I256" s="847"/>
      <c r="J256" s="696"/>
      <c r="K256" s="696"/>
      <c r="L256" s="696"/>
      <c r="M256" s="696"/>
      <c r="N256" s="696"/>
      <c r="O256" s="696"/>
      <c r="P256" s="696"/>
      <c r="Q256" s="847"/>
      <c r="R256" s="696"/>
      <c r="S256" s="696"/>
      <c r="T256" s="696"/>
      <c r="U256" s="696"/>
      <c r="V256" s="696"/>
      <c r="W256" s="696"/>
      <c r="X256" s="696"/>
      <c r="Y256" s="847"/>
      <c r="Z256" s="696"/>
      <c r="AA256" s="696"/>
      <c r="AB256" s="696"/>
      <c r="AC256" s="696"/>
      <c r="AD256" s="696"/>
      <c r="AE256" s="696"/>
      <c r="AF256" s="696"/>
      <c r="AG256" s="847"/>
      <c r="AH256" s="696"/>
      <c r="AI256" s="696"/>
      <c r="AJ256" s="696"/>
      <c r="AK256" s="696"/>
      <c r="AL256" s="696"/>
      <c r="AM256" s="696"/>
      <c r="AN256" s="696"/>
      <c r="AO256" s="847"/>
      <c r="AP256" s="696"/>
      <c r="AQ256" s="696"/>
      <c r="AR256" s="696"/>
      <c r="AS256" s="696"/>
      <c r="AT256" s="696"/>
      <c r="AU256" s="696"/>
      <c r="AV256" s="696"/>
      <c r="AW256" s="696"/>
      <c r="AX256" s="696"/>
      <c r="AY256" s="696"/>
      <c r="AZ256" s="696"/>
      <c r="BA256" s="696"/>
      <c r="BB256" s="696"/>
      <c r="BC256" s="696"/>
      <c r="BD256" s="696"/>
      <c r="BE256" s="696"/>
      <c r="BF256" s="696"/>
      <c r="BG256" s="696"/>
      <c r="BH256" s="696"/>
    </row>
    <row r="257" spans="1:60" s="44" customFormat="1">
      <c r="A257" s="700"/>
      <c r="B257" s="700"/>
      <c r="C257" s="696"/>
      <c r="D257" s="696"/>
      <c r="E257" s="696"/>
      <c r="F257" s="696"/>
      <c r="G257" s="696"/>
      <c r="H257" s="696"/>
      <c r="I257" s="847"/>
      <c r="J257" s="696"/>
      <c r="K257" s="696"/>
      <c r="L257" s="696"/>
      <c r="M257" s="696"/>
      <c r="N257" s="696"/>
      <c r="O257" s="696"/>
      <c r="P257" s="696"/>
      <c r="Q257" s="847"/>
      <c r="R257" s="696"/>
      <c r="S257" s="696"/>
      <c r="T257" s="696"/>
      <c r="U257" s="696"/>
      <c r="V257" s="696"/>
      <c r="W257" s="696"/>
      <c r="X257" s="696"/>
      <c r="Y257" s="847"/>
      <c r="Z257" s="696"/>
      <c r="AA257" s="696"/>
      <c r="AB257" s="696"/>
      <c r="AC257" s="696"/>
      <c r="AD257" s="696"/>
      <c r="AE257" s="696"/>
      <c r="AF257" s="696"/>
      <c r="AG257" s="847"/>
      <c r="AH257" s="696"/>
      <c r="AI257" s="696"/>
      <c r="AJ257" s="696"/>
      <c r="AK257" s="696"/>
      <c r="AL257" s="696"/>
      <c r="AM257" s="696"/>
      <c r="AN257" s="696"/>
      <c r="AO257" s="847"/>
      <c r="AP257" s="696"/>
      <c r="AQ257" s="696"/>
      <c r="AR257" s="696"/>
      <c r="AS257" s="696"/>
      <c r="AT257" s="696"/>
      <c r="AU257" s="696"/>
      <c r="AV257" s="696"/>
      <c r="AW257" s="696"/>
      <c r="AX257" s="696"/>
      <c r="AY257" s="696"/>
      <c r="AZ257" s="696"/>
      <c r="BA257" s="696"/>
      <c r="BB257" s="696"/>
      <c r="BC257" s="696"/>
      <c r="BD257" s="696"/>
      <c r="BE257" s="696"/>
      <c r="BF257" s="696"/>
      <c r="BG257" s="696"/>
      <c r="BH257" s="696"/>
    </row>
    <row r="258" spans="1:60" s="44" customFormat="1">
      <c r="A258" s="700"/>
      <c r="B258" s="700"/>
      <c r="C258" s="696"/>
      <c r="D258" s="696"/>
      <c r="E258" s="696"/>
      <c r="F258" s="696"/>
      <c r="G258" s="696"/>
      <c r="H258" s="696"/>
      <c r="I258" s="847"/>
      <c r="J258" s="696"/>
      <c r="K258" s="696"/>
      <c r="L258" s="696"/>
      <c r="M258" s="696"/>
      <c r="N258" s="696"/>
      <c r="O258" s="696"/>
      <c r="P258" s="696"/>
      <c r="Q258" s="847"/>
      <c r="R258" s="696"/>
      <c r="S258" s="696"/>
      <c r="T258" s="696"/>
      <c r="U258" s="696"/>
      <c r="V258" s="696"/>
      <c r="W258" s="696"/>
      <c r="X258" s="696"/>
      <c r="Y258" s="847"/>
      <c r="Z258" s="696"/>
      <c r="AA258" s="696"/>
      <c r="AB258" s="696"/>
      <c r="AC258" s="696"/>
      <c r="AD258" s="696"/>
      <c r="AE258" s="696"/>
      <c r="AF258" s="696"/>
      <c r="AG258" s="847"/>
      <c r="AH258" s="696"/>
      <c r="AI258" s="696"/>
      <c r="AJ258" s="696"/>
      <c r="AK258" s="696"/>
      <c r="AL258" s="696"/>
      <c r="AM258" s="696"/>
      <c r="AN258" s="696"/>
      <c r="AO258" s="847"/>
      <c r="AP258" s="696"/>
      <c r="AQ258" s="696"/>
      <c r="AR258" s="696"/>
      <c r="AS258" s="696"/>
      <c r="AT258" s="696"/>
      <c r="AU258" s="696"/>
      <c r="AV258" s="696"/>
      <c r="AW258" s="696"/>
      <c r="AX258" s="696"/>
      <c r="AY258" s="696"/>
      <c r="AZ258" s="696"/>
      <c r="BA258" s="696"/>
      <c r="BB258" s="696"/>
      <c r="BC258" s="696"/>
      <c r="BD258" s="696"/>
      <c r="BE258" s="696"/>
      <c r="BF258" s="696"/>
      <c r="BG258" s="696"/>
      <c r="BH258" s="696"/>
    </row>
    <row r="259" spans="1:60" s="44" customFormat="1">
      <c r="A259" s="700"/>
      <c r="B259" s="700"/>
      <c r="C259" s="696"/>
      <c r="D259" s="696"/>
      <c r="E259" s="696"/>
      <c r="F259" s="696"/>
      <c r="G259" s="696"/>
      <c r="H259" s="696"/>
      <c r="I259" s="847"/>
      <c r="J259" s="696"/>
      <c r="K259" s="696"/>
      <c r="L259" s="696"/>
      <c r="M259" s="696"/>
      <c r="N259" s="696"/>
      <c r="O259" s="696"/>
      <c r="P259" s="696"/>
      <c r="Q259" s="847"/>
      <c r="R259" s="696"/>
      <c r="S259" s="696"/>
      <c r="T259" s="696"/>
      <c r="U259" s="696"/>
      <c r="V259" s="696"/>
      <c r="W259" s="696"/>
      <c r="X259" s="696"/>
      <c r="Y259" s="847"/>
      <c r="Z259" s="696"/>
      <c r="AA259" s="696"/>
      <c r="AB259" s="696"/>
      <c r="AC259" s="696"/>
      <c r="AD259" s="696"/>
      <c r="AE259" s="696"/>
      <c r="AF259" s="696"/>
      <c r="AG259" s="847"/>
      <c r="AH259" s="696"/>
      <c r="AI259" s="696"/>
      <c r="AJ259" s="696"/>
      <c r="AK259" s="696"/>
      <c r="AL259" s="696"/>
      <c r="AM259" s="696"/>
      <c r="AN259" s="696"/>
      <c r="AO259" s="847"/>
      <c r="AP259" s="696"/>
      <c r="AQ259" s="696"/>
      <c r="AR259" s="696"/>
      <c r="AS259" s="696"/>
      <c r="AT259" s="696"/>
      <c r="AU259" s="696"/>
      <c r="AV259" s="696"/>
      <c r="AW259" s="696"/>
      <c r="AX259" s="696"/>
      <c r="AY259" s="696"/>
      <c r="AZ259" s="696"/>
      <c r="BA259" s="696"/>
      <c r="BB259" s="696"/>
      <c r="BC259" s="696"/>
      <c r="BD259" s="696"/>
      <c r="BE259" s="696"/>
      <c r="BF259" s="696"/>
      <c r="BG259" s="696"/>
      <c r="BH259" s="696"/>
    </row>
    <row r="260" spans="1:60" s="44" customFormat="1">
      <c r="A260" s="700"/>
      <c r="B260" s="700"/>
      <c r="C260" s="696"/>
      <c r="D260" s="696"/>
      <c r="E260" s="696"/>
      <c r="F260" s="696"/>
      <c r="G260" s="696"/>
      <c r="H260" s="696"/>
      <c r="I260" s="847"/>
      <c r="J260" s="696"/>
      <c r="K260" s="696"/>
      <c r="L260" s="696"/>
      <c r="M260" s="696"/>
      <c r="N260" s="696"/>
      <c r="O260" s="696"/>
      <c r="P260" s="696"/>
      <c r="Q260" s="847"/>
      <c r="R260" s="696"/>
      <c r="S260" s="696"/>
      <c r="T260" s="696"/>
      <c r="U260" s="696"/>
      <c r="V260" s="696"/>
      <c r="W260" s="696"/>
      <c r="X260" s="696"/>
      <c r="Y260" s="847"/>
      <c r="Z260" s="696"/>
      <c r="AA260" s="696"/>
      <c r="AB260" s="696"/>
      <c r="AC260" s="696"/>
      <c r="AD260" s="696"/>
      <c r="AE260" s="696"/>
      <c r="AF260" s="696"/>
      <c r="AG260" s="847"/>
      <c r="AH260" s="696"/>
      <c r="AI260" s="696"/>
      <c r="AJ260" s="696"/>
      <c r="AK260" s="696"/>
      <c r="AL260" s="696"/>
      <c r="AM260" s="696"/>
      <c r="AN260" s="696"/>
      <c r="AO260" s="847"/>
      <c r="AP260" s="696"/>
      <c r="AQ260" s="696"/>
      <c r="AR260" s="696"/>
      <c r="AS260" s="696"/>
      <c r="AT260" s="696"/>
      <c r="AU260" s="696"/>
      <c r="AV260" s="696"/>
      <c r="AW260" s="696"/>
      <c r="AX260" s="696"/>
      <c r="AY260" s="696"/>
      <c r="AZ260" s="696"/>
      <c r="BA260" s="696"/>
      <c r="BB260" s="696"/>
      <c r="BC260" s="696"/>
      <c r="BD260" s="696"/>
      <c r="BE260" s="696"/>
      <c r="BF260" s="696"/>
      <c r="BG260" s="696"/>
      <c r="BH260" s="696"/>
    </row>
    <row r="261" spans="1:60" s="44" customFormat="1">
      <c r="A261" s="700"/>
      <c r="B261" s="700"/>
      <c r="C261" s="696"/>
      <c r="D261" s="696"/>
      <c r="E261" s="696"/>
      <c r="F261" s="696"/>
      <c r="G261" s="696"/>
      <c r="H261" s="696"/>
      <c r="I261" s="847"/>
      <c r="J261" s="696"/>
      <c r="K261" s="696"/>
      <c r="L261" s="696"/>
      <c r="M261" s="696"/>
      <c r="N261" s="696"/>
      <c r="O261" s="696"/>
      <c r="P261" s="696"/>
      <c r="Q261" s="847"/>
      <c r="R261" s="696"/>
      <c r="S261" s="696"/>
      <c r="T261" s="696"/>
      <c r="U261" s="696"/>
      <c r="V261" s="696"/>
      <c r="W261" s="696"/>
      <c r="X261" s="696"/>
      <c r="Y261" s="847"/>
      <c r="Z261" s="696"/>
      <c r="AA261" s="696"/>
      <c r="AB261" s="696"/>
      <c r="AC261" s="696"/>
      <c r="AD261" s="696"/>
      <c r="AE261" s="696"/>
      <c r="AF261" s="696"/>
      <c r="AG261" s="847"/>
      <c r="AH261" s="696"/>
      <c r="AI261" s="696"/>
      <c r="AJ261" s="696"/>
      <c r="AK261" s="696"/>
      <c r="AL261" s="696"/>
      <c r="AM261" s="696"/>
      <c r="AN261" s="696"/>
      <c r="AO261" s="847"/>
      <c r="AP261" s="696"/>
      <c r="AQ261" s="696"/>
      <c r="AR261" s="696"/>
      <c r="AS261" s="696"/>
      <c r="AT261" s="696"/>
      <c r="AU261" s="696"/>
      <c r="AV261" s="696"/>
      <c r="AW261" s="696"/>
      <c r="AX261" s="696"/>
      <c r="AY261" s="696"/>
      <c r="AZ261" s="696"/>
      <c r="BA261" s="696"/>
      <c r="BB261" s="696"/>
      <c r="BC261" s="696"/>
      <c r="BD261" s="696"/>
      <c r="BE261" s="696"/>
      <c r="BF261" s="696"/>
      <c r="BG261" s="696"/>
      <c r="BH261" s="696"/>
    </row>
    <row r="262" spans="1:60" s="44" customFormat="1">
      <c r="A262" s="700"/>
      <c r="B262" s="700"/>
      <c r="C262" s="696"/>
      <c r="D262" s="696"/>
      <c r="E262" s="696"/>
      <c r="F262" s="696"/>
      <c r="G262" s="696"/>
      <c r="H262" s="696"/>
      <c r="I262" s="847"/>
      <c r="J262" s="696"/>
      <c r="K262" s="696"/>
      <c r="L262" s="696"/>
      <c r="M262" s="696"/>
      <c r="N262" s="696"/>
      <c r="O262" s="696"/>
      <c r="P262" s="696"/>
      <c r="Q262" s="847"/>
      <c r="R262" s="696"/>
      <c r="S262" s="696"/>
      <c r="T262" s="696"/>
      <c r="U262" s="696"/>
      <c r="V262" s="696"/>
      <c r="W262" s="696"/>
      <c r="X262" s="696"/>
      <c r="Y262" s="847"/>
      <c r="Z262" s="696"/>
      <c r="AA262" s="696"/>
      <c r="AB262" s="696"/>
      <c r="AC262" s="696"/>
      <c r="AD262" s="696"/>
      <c r="AE262" s="696"/>
      <c r="AF262" s="696"/>
      <c r="AG262" s="847"/>
      <c r="AH262" s="696"/>
      <c r="AI262" s="696"/>
      <c r="AJ262" s="696"/>
      <c r="AK262" s="696"/>
      <c r="AL262" s="696"/>
      <c r="AM262" s="696"/>
      <c r="AN262" s="696"/>
      <c r="AO262" s="847"/>
      <c r="AP262" s="696"/>
      <c r="AQ262" s="696"/>
      <c r="AR262" s="696"/>
      <c r="AS262" s="696"/>
      <c r="AT262" s="696"/>
      <c r="AU262" s="696"/>
      <c r="AV262" s="696"/>
      <c r="AW262" s="696"/>
      <c r="AX262" s="696"/>
      <c r="AY262" s="696"/>
      <c r="AZ262" s="696"/>
      <c r="BA262" s="696"/>
      <c r="BB262" s="696"/>
      <c r="BC262" s="696"/>
      <c r="BD262" s="696"/>
      <c r="BE262" s="696"/>
      <c r="BF262" s="696"/>
      <c r="BG262" s="696"/>
      <c r="BH262" s="696"/>
    </row>
    <row r="263" spans="1:60" s="44" customFormat="1">
      <c r="A263" s="700"/>
      <c r="B263" s="700"/>
      <c r="C263" s="696"/>
      <c r="D263" s="696"/>
      <c r="E263" s="696"/>
      <c r="F263" s="696"/>
      <c r="G263" s="696"/>
      <c r="H263" s="696"/>
      <c r="I263" s="847"/>
      <c r="J263" s="696"/>
      <c r="K263" s="696"/>
      <c r="L263" s="696"/>
      <c r="M263" s="696"/>
      <c r="N263" s="696"/>
      <c r="O263" s="696"/>
      <c r="P263" s="696"/>
      <c r="Q263" s="847"/>
      <c r="R263" s="696"/>
      <c r="S263" s="696"/>
      <c r="T263" s="696"/>
      <c r="U263" s="696"/>
      <c r="V263" s="696"/>
      <c r="W263" s="696"/>
      <c r="X263" s="696"/>
      <c r="Y263" s="847"/>
      <c r="Z263" s="696"/>
      <c r="AA263" s="696"/>
      <c r="AB263" s="696"/>
      <c r="AC263" s="696"/>
      <c r="AD263" s="696"/>
      <c r="AE263" s="696"/>
      <c r="AF263" s="696"/>
      <c r="AG263" s="847"/>
      <c r="AH263" s="696"/>
      <c r="AI263" s="696"/>
      <c r="AJ263" s="696"/>
      <c r="AK263" s="696"/>
      <c r="AL263" s="696"/>
      <c r="AM263" s="696"/>
      <c r="AN263" s="696"/>
      <c r="AO263" s="847"/>
      <c r="AP263" s="696"/>
      <c r="AQ263" s="696"/>
      <c r="AR263" s="696"/>
      <c r="AS263" s="696"/>
      <c r="AT263" s="696"/>
      <c r="AU263" s="696"/>
      <c r="AV263" s="696"/>
      <c r="AW263" s="696"/>
      <c r="AX263" s="696"/>
      <c r="AY263" s="696"/>
      <c r="AZ263" s="696"/>
      <c r="BA263" s="696"/>
      <c r="BB263" s="696"/>
      <c r="BC263" s="696"/>
      <c r="BD263" s="696"/>
      <c r="BE263" s="696"/>
      <c r="BF263" s="696"/>
      <c r="BG263" s="696"/>
      <c r="BH263" s="696"/>
    </row>
    <row r="264" spans="1:60" s="44" customFormat="1">
      <c r="A264" s="700"/>
      <c r="B264" s="700"/>
      <c r="C264" s="696"/>
      <c r="D264" s="696"/>
      <c r="E264" s="696"/>
      <c r="F264" s="696"/>
      <c r="G264" s="696"/>
      <c r="H264" s="696"/>
      <c r="I264" s="847"/>
      <c r="J264" s="696"/>
      <c r="K264" s="696"/>
      <c r="L264" s="696"/>
      <c r="M264" s="696"/>
      <c r="N264" s="696"/>
      <c r="O264" s="696"/>
      <c r="P264" s="696"/>
      <c r="Q264" s="847"/>
      <c r="R264" s="696"/>
      <c r="S264" s="696"/>
      <c r="T264" s="696"/>
      <c r="U264" s="696"/>
      <c r="V264" s="696"/>
      <c r="W264" s="696"/>
      <c r="X264" s="696"/>
      <c r="Y264" s="847"/>
      <c r="Z264" s="696"/>
      <c r="AA264" s="696"/>
      <c r="AB264" s="696"/>
      <c r="AC264" s="696"/>
      <c r="AD264" s="696"/>
      <c r="AE264" s="696"/>
      <c r="AF264" s="696"/>
      <c r="AG264" s="847"/>
      <c r="AH264" s="696"/>
      <c r="AI264" s="696"/>
      <c r="AJ264" s="696"/>
      <c r="AK264" s="696"/>
      <c r="AL264" s="696"/>
      <c r="AM264" s="696"/>
      <c r="AN264" s="696"/>
      <c r="AO264" s="847"/>
      <c r="AP264" s="696"/>
      <c r="AQ264" s="696"/>
      <c r="AR264" s="696"/>
      <c r="AS264" s="696"/>
      <c r="AT264" s="696"/>
      <c r="AU264" s="696"/>
      <c r="AV264" s="696"/>
      <c r="AW264" s="696"/>
      <c r="AX264" s="696"/>
      <c r="AY264" s="696"/>
      <c r="AZ264" s="696"/>
      <c r="BA264" s="696"/>
      <c r="BB264" s="696"/>
      <c r="BC264" s="696"/>
      <c r="BD264" s="696"/>
      <c r="BE264" s="696"/>
      <c r="BF264" s="696"/>
      <c r="BG264" s="696"/>
      <c r="BH264" s="696"/>
    </row>
    <row r="265" spans="1:60" s="44" customFormat="1">
      <c r="A265" s="700"/>
      <c r="B265" s="700"/>
      <c r="C265" s="696"/>
      <c r="D265" s="696"/>
      <c r="E265" s="696"/>
      <c r="F265" s="696"/>
      <c r="G265" s="696"/>
      <c r="H265" s="696"/>
      <c r="I265" s="847"/>
      <c r="J265" s="696"/>
      <c r="K265" s="696"/>
      <c r="L265" s="696"/>
      <c r="M265" s="696"/>
      <c r="N265" s="696"/>
      <c r="O265" s="696"/>
      <c r="P265" s="696"/>
      <c r="Q265" s="847"/>
      <c r="R265" s="696"/>
      <c r="S265" s="696"/>
      <c r="T265" s="696"/>
      <c r="U265" s="696"/>
      <c r="V265" s="696"/>
      <c r="W265" s="696"/>
      <c r="X265" s="696"/>
      <c r="Y265" s="847"/>
      <c r="Z265" s="696"/>
      <c r="AA265" s="696"/>
      <c r="AB265" s="696"/>
      <c r="AC265" s="696"/>
      <c r="AD265" s="696"/>
      <c r="AE265" s="696"/>
      <c r="AF265" s="696"/>
      <c r="AG265" s="847"/>
      <c r="AH265" s="696"/>
      <c r="AI265" s="696"/>
      <c r="AJ265" s="696"/>
      <c r="AK265" s="696"/>
      <c r="AL265" s="696"/>
      <c r="AM265" s="696"/>
      <c r="AN265" s="696"/>
      <c r="AO265" s="847"/>
      <c r="AP265" s="696"/>
      <c r="AQ265" s="696"/>
      <c r="AR265" s="696"/>
      <c r="AS265" s="696"/>
      <c r="AT265" s="696"/>
      <c r="AU265" s="696"/>
      <c r="AV265" s="696"/>
      <c r="AW265" s="696"/>
      <c r="AX265" s="696"/>
      <c r="AY265" s="696"/>
      <c r="AZ265" s="696"/>
      <c r="BA265" s="696"/>
      <c r="BB265" s="696"/>
      <c r="BC265" s="696"/>
      <c r="BD265" s="696"/>
      <c r="BE265" s="696"/>
      <c r="BF265" s="696"/>
      <c r="BG265" s="696"/>
      <c r="BH265" s="696"/>
    </row>
    <row r="266" spans="1:60" s="44" customFormat="1">
      <c r="A266" s="700"/>
      <c r="B266" s="700"/>
      <c r="C266" s="696"/>
      <c r="D266" s="696"/>
      <c r="E266" s="696"/>
      <c r="F266" s="696"/>
      <c r="G266" s="696"/>
      <c r="H266" s="696"/>
      <c r="I266" s="847"/>
      <c r="J266" s="696"/>
      <c r="K266" s="696"/>
      <c r="L266" s="696"/>
      <c r="M266" s="696"/>
      <c r="N266" s="696"/>
      <c r="O266" s="696"/>
      <c r="P266" s="696"/>
      <c r="Q266" s="847"/>
      <c r="R266" s="696"/>
      <c r="S266" s="696"/>
      <c r="T266" s="696"/>
      <c r="U266" s="696"/>
      <c r="V266" s="696"/>
      <c r="W266" s="696"/>
      <c r="X266" s="696"/>
      <c r="Y266" s="847"/>
      <c r="Z266" s="696"/>
      <c r="AA266" s="696"/>
      <c r="AB266" s="696"/>
      <c r="AC266" s="696"/>
      <c r="AD266" s="696"/>
      <c r="AE266" s="696"/>
      <c r="AF266" s="696"/>
      <c r="AG266" s="847"/>
      <c r="AH266" s="696"/>
      <c r="AI266" s="696"/>
      <c r="AJ266" s="696"/>
      <c r="AK266" s="696"/>
      <c r="AL266" s="696"/>
      <c r="AM266" s="696"/>
      <c r="AN266" s="696"/>
      <c r="AO266" s="847"/>
      <c r="AP266" s="696"/>
      <c r="AQ266" s="696"/>
      <c r="AR266" s="696"/>
      <c r="AS266" s="696"/>
      <c r="AT266" s="696"/>
      <c r="AU266" s="696"/>
      <c r="AV266" s="696"/>
      <c r="AW266" s="696"/>
      <c r="AX266" s="696"/>
      <c r="AY266" s="696"/>
      <c r="AZ266" s="696"/>
      <c r="BA266" s="696"/>
      <c r="BB266" s="696"/>
      <c r="BC266" s="696"/>
      <c r="BD266" s="696"/>
      <c r="BE266" s="696"/>
      <c r="BF266" s="696"/>
      <c r="BG266" s="696"/>
      <c r="BH266" s="696"/>
    </row>
    <row r="267" spans="1:60" s="44" customFormat="1">
      <c r="A267" s="700"/>
      <c r="B267" s="700"/>
      <c r="C267" s="696"/>
      <c r="D267" s="696"/>
      <c r="E267" s="696"/>
      <c r="F267" s="696"/>
      <c r="G267" s="696"/>
      <c r="H267" s="696"/>
      <c r="I267" s="847"/>
      <c r="J267" s="696"/>
      <c r="K267" s="696"/>
      <c r="L267" s="696"/>
      <c r="M267" s="696"/>
      <c r="N267" s="696"/>
      <c r="O267" s="696"/>
      <c r="P267" s="696"/>
      <c r="Q267" s="847"/>
      <c r="R267" s="696"/>
      <c r="S267" s="696"/>
      <c r="T267" s="696"/>
      <c r="U267" s="696"/>
      <c r="V267" s="696"/>
      <c r="W267" s="696"/>
      <c r="X267" s="696"/>
      <c r="Y267" s="847"/>
      <c r="Z267" s="696"/>
      <c r="AA267" s="696"/>
      <c r="AB267" s="696"/>
      <c r="AC267" s="696"/>
      <c r="AD267" s="696"/>
      <c r="AE267" s="696"/>
      <c r="AF267" s="696"/>
      <c r="AG267" s="847"/>
      <c r="AH267" s="696"/>
      <c r="AI267" s="696"/>
      <c r="AJ267" s="696"/>
      <c r="AK267" s="696"/>
      <c r="AL267" s="696"/>
      <c r="AM267" s="696"/>
      <c r="AN267" s="696"/>
      <c r="AO267" s="847"/>
      <c r="AP267" s="696"/>
      <c r="AQ267" s="696"/>
      <c r="AR267" s="696"/>
      <c r="AS267" s="696"/>
      <c r="AT267" s="696"/>
      <c r="AU267" s="696"/>
      <c r="AV267" s="696"/>
      <c r="AW267" s="696"/>
      <c r="AX267" s="696"/>
      <c r="AY267" s="696"/>
      <c r="AZ267" s="696"/>
      <c r="BA267" s="696"/>
      <c r="BB267" s="696"/>
      <c r="BC267" s="696"/>
      <c r="BD267" s="696"/>
      <c r="BE267" s="696"/>
      <c r="BF267" s="696"/>
      <c r="BG267" s="696"/>
      <c r="BH267" s="696"/>
    </row>
    <row r="268" spans="1:60" s="44" customFormat="1">
      <c r="A268" s="700"/>
      <c r="B268" s="700"/>
      <c r="C268" s="696"/>
      <c r="D268" s="696"/>
      <c r="E268" s="696"/>
      <c r="F268" s="696"/>
      <c r="G268" s="696"/>
      <c r="H268" s="696"/>
      <c r="I268" s="847"/>
      <c r="J268" s="696"/>
      <c r="K268" s="696"/>
      <c r="L268" s="696"/>
      <c r="M268" s="696"/>
      <c r="N268" s="696"/>
      <c r="O268" s="696"/>
      <c r="P268" s="696"/>
      <c r="Q268" s="847"/>
      <c r="R268" s="696"/>
      <c r="S268" s="696"/>
      <c r="T268" s="696"/>
      <c r="U268" s="696"/>
      <c r="V268" s="696"/>
      <c r="W268" s="696"/>
      <c r="X268" s="696"/>
      <c r="Y268" s="847"/>
      <c r="Z268" s="696"/>
      <c r="AA268" s="696"/>
      <c r="AB268" s="696"/>
      <c r="AC268" s="696"/>
      <c r="AD268" s="696"/>
      <c r="AE268" s="696"/>
      <c r="AF268" s="696"/>
      <c r="AG268" s="847"/>
      <c r="AH268" s="696"/>
      <c r="AI268" s="696"/>
      <c r="AJ268" s="696"/>
      <c r="AK268" s="696"/>
      <c r="AL268" s="696"/>
      <c r="AM268" s="696"/>
      <c r="AN268" s="696"/>
      <c r="AO268" s="847"/>
      <c r="AP268" s="696"/>
      <c r="AQ268" s="696"/>
      <c r="AR268" s="696"/>
      <c r="AS268" s="696"/>
      <c r="AT268" s="696"/>
      <c r="AU268" s="696"/>
      <c r="AV268" s="696"/>
      <c r="AW268" s="696"/>
      <c r="AX268" s="696"/>
      <c r="AY268" s="696"/>
      <c r="AZ268" s="696"/>
      <c r="BA268" s="696"/>
      <c r="BB268" s="696"/>
      <c r="BC268" s="696"/>
      <c r="BD268" s="696"/>
      <c r="BE268" s="696"/>
      <c r="BF268" s="696"/>
      <c r="BG268" s="696"/>
      <c r="BH268" s="696"/>
    </row>
    <row r="269" spans="1:60" s="44" customFormat="1">
      <c r="A269" s="700"/>
      <c r="B269" s="700"/>
      <c r="C269" s="696"/>
      <c r="D269" s="696"/>
      <c r="E269" s="696"/>
      <c r="F269" s="696"/>
      <c r="G269" s="696"/>
      <c r="H269" s="696"/>
      <c r="I269" s="847"/>
      <c r="J269" s="696"/>
      <c r="K269" s="696"/>
      <c r="L269" s="696"/>
      <c r="M269" s="696"/>
      <c r="N269" s="696"/>
      <c r="O269" s="696"/>
      <c r="P269" s="696"/>
      <c r="Q269" s="847"/>
      <c r="R269" s="696"/>
      <c r="S269" s="696"/>
      <c r="T269" s="696"/>
      <c r="U269" s="696"/>
      <c r="V269" s="696"/>
      <c r="W269" s="696"/>
      <c r="X269" s="696"/>
      <c r="Y269" s="847"/>
      <c r="Z269" s="696"/>
      <c r="AA269" s="696"/>
      <c r="AB269" s="696"/>
      <c r="AC269" s="696"/>
      <c r="AD269" s="696"/>
      <c r="AE269" s="696"/>
      <c r="AF269" s="696"/>
      <c r="AG269" s="847"/>
      <c r="AH269" s="696"/>
      <c r="AI269" s="696"/>
      <c r="AJ269" s="696"/>
      <c r="AK269" s="696"/>
      <c r="AL269" s="696"/>
      <c r="AM269" s="696"/>
      <c r="AN269" s="696"/>
      <c r="AO269" s="847"/>
      <c r="AP269" s="696"/>
      <c r="AQ269" s="696"/>
      <c r="AR269" s="696"/>
      <c r="AS269" s="696"/>
      <c r="AT269" s="696"/>
      <c r="AU269" s="696"/>
      <c r="AV269" s="696"/>
      <c r="AW269" s="696"/>
      <c r="AX269" s="696"/>
      <c r="AY269" s="696"/>
      <c r="AZ269" s="696"/>
      <c r="BA269" s="696"/>
      <c r="BB269" s="696"/>
      <c r="BC269" s="696"/>
      <c r="BD269" s="696"/>
      <c r="BE269" s="696"/>
      <c r="BF269" s="696"/>
      <c r="BG269" s="696"/>
      <c r="BH269" s="696"/>
    </row>
    <row r="270" spans="1:60" s="44" customFormat="1">
      <c r="A270" s="700"/>
      <c r="B270" s="700"/>
      <c r="C270" s="696"/>
      <c r="D270" s="696"/>
      <c r="E270" s="696"/>
      <c r="F270" s="696"/>
      <c r="G270" s="696"/>
      <c r="H270" s="696"/>
      <c r="I270" s="847"/>
      <c r="J270" s="696"/>
      <c r="K270" s="696"/>
      <c r="L270" s="696"/>
      <c r="M270" s="696"/>
      <c r="N270" s="696"/>
      <c r="O270" s="696"/>
      <c r="P270" s="696"/>
      <c r="Q270" s="847"/>
      <c r="R270" s="696"/>
      <c r="S270" s="696"/>
      <c r="T270" s="696"/>
      <c r="U270" s="696"/>
      <c r="V270" s="696"/>
      <c r="W270" s="696"/>
      <c r="X270" s="696"/>
      <c r="Y270" s="847"/>
      <c r="Z270" s="696"/>
      <c r="AA270" s="696"/>
      <c r="AB270" s="696"/>
      <c r="AC270" s="696"/>
      <c r="AD270" s="696"/>
      <c r="AE270" s="696"/>
      <c r="AF270" s="696"/>
      <c r="AG270" s="847"/>
      <c r="AH270" s="696"/>
      <c r="AI270" s="696"/>
      <c r="AJ270" s="696"/>
      <c r="AK270" s="696"/>
      <c r="AL270" s="696"/>
      <c r="AM270" s="696"/>
      <c r="AN270" s="696"/>
      <c r="AO270" s="847"/>
      <c r="AP270" s="696"/>
      <c r="AQ270" s="696"/>
      <c r="AR270" s="696"/>
      <c r="AS270" s="696"/>
      <c r="AT270" s="696"/>
      <c r="AU270" s="696"/>
      <c r="AV270" s="696"/>
      <c r="AW270" s="696"/>
      <c r="AX270" s="696"/>
      <c r="AY270" s="696"/>
      <c r="AZ270" s="696"/>
      <c r="BA270" s="696"/>
      <c r="BB270" s="696"/>
      <c r="BC270" s="696"/>
      <c r="BD270" s="696"/>
      <c r="BE270" s="696"/>
      <c r="BF270" s="696"/>
      <c r="BG270" s="696"/>
      <c r="BH270" s="696"/>
    </row>
    <row r="271" spans="1:60" s="44" customFormat="1">
      <c r="A271" s="700"/>
      <c r="B271" s="700"/>
      <c r="C271" s="696"/>
      <c r="D271" s="696"/>
      <c r="E271" s="696"/>
      <c r="F271" s="696"/>
      <c r="G271" s="696"/>
      <c r="H271" s="696"/>
      <c r="I271" s="847"/>
      <c r="J271" s="696"/>
      <c r="K271" s="696"/>
      <c r="L271" s="696"/>
      <c r="M271" s="696"/>
      <c r="N271" s="696"/>
      <c r="O271" s="696"/>
      <c r="P271" s="696"/>
      <c r="Q271" s="847"/>
      <c r="R271" s="696"/>
      <c r="S271" s="696"/>
      <c r="T271" s="696"/>
      <c r="U271" s="696"/>
      <c r="V271" s="696"/>
      <c r="W271" s="696"/>
      <c r="X271" s="696"/>
      <c r="Y271" s="847"/>
      <c r="Z271" s="696"/>
      <c r="AA271" s="696"/>
      <c r="AB271" s="696"/>
      <c r="AC271" s="696"/>
      <c r="AD271" s="696"/>
      <c r="AE271" s="696"/>
      <c r="AF271" s="696"/>
      <c r="AG271" s="847"/>
      <c r="AH271" s="696"/>
      <c r="AI271" s="696"/>
      <c r="AJ271" s="696"/>
      <c r="AK271" s="696"/>
      <c r="AL271" s="696"/>
      <c r="AM271" s="696"/>
      <c r="AN271" s="696"/>
      <c r="AO271" s="847"/>
      <c r="AP271" s="696"/>
      <c r="AQ271" s="696"/>
      <c r="AR271" s="696"/>
      <c r="AS271" s="696"/>
      <c r="AT271" s="696"/>
      <c r="AU271" s="696"/>
      <c r="AV271" s="696"/>
      <c r="AW271" s="696"/>
      <c r="AX271" s="696"/>
      <c r="AY271" s="696"/>
      <c r="AZ271" s="696"/>
      <c r="BA271" s="696"/>
      <c r="BB271" s="696"/>
      <c r="BC271" s="696"/>
      <c r="BD271" s="696"/>
      <c r="BE271" s="696"/>
      <c r="BF271" s="696"/>
      <c r="BG271" s="696"/>
      <c r="BH271" s="696"/>
    </row>
    <row r="272" spans="1:60" s="44" customFormat="1">
      <c r="A272" s="700"/>
      <c r="B272" s="700"/>
      <c r="C272" s="696"/>
      <c r="D272" s="696"/>
      <c r="E272" s="696"/>
      <c r="F272" s="696"/>
      <c r="G272" s="696"/>
      <c r="H272" s="696"/>
      <c r="I272" s="847"/>
      <c r="J272" s="696"/>
      <c r="K272" s="696"/>
      <c r="L272" s="696"/>
      <c r="M272" s="696"/>
      <c r="N272" s="696"/>
      <c r="O272" s="696"/>
      <c r="P272" s="696"/>
      <c r="Q272" s="847"/>
      <c r="R272" s="696"/>
      <c r="S272" s="696"/>
      <c r="T272" s="696"/>
      <c r="U272" s="696"/>
      <c r="V272" s="696"/>
      <c r="W272" s="696"/>
      <c r="X272" s="696"/>
      <c r="Y272" s="847"/>
      <c r="Z272" s="696"/>
      <c r="AA272" s="696"/>
      <c r="AB272" s="696"/>
      <c r="AC272" s="696"/>
      <c r="AD272" s="696"/>
      <c r="AE272" s="696"/>
      <c r="AF272" s="696"/>
      <c r="AG272" s="847"/>
      <c r="AH272" s="696"/>
      <c r="AI272" s="696"/>
      <c r="AJ272" s="696"/>
      <c r="AK272" s="696"/>
      <c r="AL272" s="696"/>
      <c r="AM272" s="696"/>
      <c r="AN272" s="696"/>
      <c r="AO272" s="847"/>
      <c r="AP272" s="696"/>
      <c r="AQ272" s="696"/>
      <c r="AR272" s="696"/>
      <c r="AS272" s="696"/>
      <c r="AT272" s="696"/>
      <c r="AU272" s="696"/>
      <c r="AV272" s="696"/>
      <c r="AW272" s="696"/>
      <c r="AX272" s="696"/>
      <c r="AY272" s="696"/>
      <c r="AZ272" s="696"/>
      <c r="BA272" s="696"/>
      <c r="BB272" s="696"/>
      <c r="BC272" s="696"/>
      <c r="BD272" s="696"/>
      <c r="BE272" s="696"/>
      <c r="BF272" s="696"/>
      <c r="BG272" s="696"/>
      <c r="BH272" s="696"/>
    </row>
    <row r="273" spans="1:60" s="44" customFormat="1">
      <c r="A273" s="700"/>
      <c r="B273" s="700"/>
      <c r="C273" s="696"/>
      <c r="D273" s="696"/>
      <c r="E273" s="696"/>
      <c r="F273" s="696"/>
      <c r="G273" s="696"/>
      <c r="H273" s="696"/>
      <c r="I273" s="847"/>
      <c r="J273" s="696"/>
      <c r="K273" s="696"/>
      <c r="L273" s="696"/>
      <c r="M273" s="696"/>
      <c r="N273" s="696"/>
      <c r="O273" s="696"/>
      <c r="P273" s="696"/>
      <c r="Q273" s="847"/>
      <c r="R273" s="696"/>
      <c r="S273" s="696"/>
      <c r="T273" s="696"/>
      <c r="U273" s="696"/>
      <c r="V273" s="696"/>
      <c r="W273" s="696"/>
      <c r="X273" s="696"/>
      <c r="Y273" s="847"/>
      <c r="Z273" s="696"/>
      <c r="AA273" s="696"/>
      <c r="AB273" s="696"/>
      <c r="AC273" s="696"/>
      <c r="AD273" s="696"/>
      <c r="AE273" s="696"/>
      <c r="AF273" s="696"/>
      <c r="AG273" s="847"/>
      <c r="AH273" s="696"/>
      <c r="AI273" s="696"/>
      <c r="AJ273" s="696"/>
      <c r="AK273" s="696"/>
      <c r="AL273" s="696"/>
      <c r="AM273" s="696"/>
      <c r="AN273" s="696"/>
      <c r="AO273" s="847"/>
      <c r="AP273" s="696"/>
      <c r="AQ273" s="696"/>
      <c r="AR273" s="696"/>
      <c r="AS273" s="696"/>
      <c r="AT273" s="696"/>
      <c r="AU273" s="696"/>
      <c r="AV273" s="696"/>
      <c r="AW273" s="696"/>
      <c r="AX273" s="696"/>
      <c r="AY273" s="696"/>
      <c r="AZ273" s="696"/>
      <c r="BA273" s="696"/>
      <c r="BB273" s="696"/>
      <c r="BC273" s="696"/>
      <c r="BD273" s="696"/>
      <c r="BE273" s="696"/>
      <c r="BF273" s="696"/>
      <c r="BG273" s="696"/>
      <c r="BH273" s="696"/>
    </row>
    <row r="274" spans="1:60" s="44" customFormat="1">
      <c r="A274" s="700"/>
      <c r="B274" s="700"/>
      <c r="C274" s="696"/>
      <c r="D274" s="696"/>
      <c r="E274" s="696"/>
      <c r="F274" s="696"/>
      <c r="G274" s="696"/>
      <c r="H274" s="696"/>
      <c r="I274" s="847"/>
      <c r="J274" s="696"/>
      <c r="K274" s="696"/>
      <c r="L274" s="696"/>
      <c r="M274" s="696"/>
      <c r="N274" s="696"/>
      <c r="O274" s="696"/>
      <c r="P274" s="696"/>
      <c r="Q274" s="847"/>
      <c r="R274" s="696"/>
      <c r="S274" s="696"/>
      <c r="T274" s="696"/>
      <c r="U274" s="696"/>
      <c r="V274" s="696"/>
      <c r="W274" s="696"/>
      <c r="X274" s="696"/>
      <c r="Y274" s="847"/>
      <c r="Z274" s="696"/>
      <c r="AA274" s="696"/>
      <c r="AB274" s="696"/>
      <c r="AC274" s="696"/>
      <c r="AD274" s="696"/>
      <c r="AE274" s="696"/>
      <c r="AF274" s="696"/>
      <c r="AG274" s="847"/>
      <c r="AH274" s="696"/>
      <c r="AI274" s="696"/>
      <c r="AJ274" s="696"/>
      <c r="AK274" s="696"/>
      <c r="AL274" s="696"/>
      <c r="AM274" s="696"/>
      <c r="AN274" s="696"/>
      <c r="AO274" s="847"/>
      <c r="AP274" s="696"/>
      <c r="AQ274" s="696"/>
      <c r="AR274" s="696"/>
      <c r="AS274" s="696"/>
      <c r="AT274" s="696"/>
      <c r="AU274" s="696"/>
      <c r="AV274" s="696"/>
      <c r="AW274" s="696"/>
      <c r="AX274" s="696"/>
      <c r="AY274" s="696"/>
      <c r="AZ274" s="696"/>
      <c r="BA274" s="696"/>
      <c r="BB274" s="696"/>
      <c r="BC274" s="696"/>
      <c r="BD274" s="696"/>
      <c r="BE274" s="696"/>
      <c r="BF274" s="696"/>
      <c r="BG274" s="696"/>
      <c r="BH274" s="696"/>
    </row>
    <row r="275" spans="1:60" s="44" customFormat="1">
      <c r="A275" s="700"/>
      <c r="B275" s="700"/>
      <c r="C275" s="696"/>
      <c r="D275" s="696"/>
      <c r="E275" s="696"/>
      <c r="F275" s="696"/>
      <c r="G275" s="696"/>
      <c r="H275" s="696"/>
      <c r="I275" s="847"/>
      <c r="J275" s="696"/>
      <c r="K275" s="696"/>
      <c r="L275" s="696"/>
      <c r="M275" s="696"/>
      <c r="N275" s="696"/>
      <c r="O275" s="696"/>
      <c r="P275" s="696"/>
      <c r="Q275" s="847"/>
      <c r="R275" s="696"/>
      <c r="S275" s="696"/>
      <c r="T275" s="696"/>
      <c r="U275" s="696"/>
      <c r="V275" s="696"/>
      <c r="W275" s="696"/>
      <c r="X275" s="696"/>
      <c r="Y275" s="847"/>
      <c r="Z275" s="696"/>
      <c r="AA275" s="696"/>
      <c r="AB275" s="696"/>
      <c r="AC275" s="696"/>
      <c r="AD275" s="696"/>
      <c r="AE275" s="696"/>
      <c r="AF275" s="696"/>
      <c r="AG275" s="847"/>
      <c r="AH275" s="696"/>
      <c r="AI275" s="696"/>
      <c r="AJ275" s="696"/>
      <c r="AK275" s="696"/>
      <c r="AL275" s="696"/>
      <c r="AM275" s="696"/>
      <c r="AN275" s="696"/>
      <c r="AO275" s="847"/>
      <c r="AP275" s="696"/>
      <c r="AQ275" s="696"/>
      <c r="AR275" s="696"/>
      <c r="AS275" s="696"/>
      <c r="AT275" s="696"/>
      <c r="AU275" s="696"/>
      <c r="AV275" s="696"/>
      <c r="AW275" s="696"/>
      <c r="AX275" s="696"/>
      <c r="AY275" s="696"/>
      <c r="AZ275" s="696"/>
      <c r="BA275" s="696"/>
      <c r="BB275" s="696"/>
      <c r="BC275" s="696"/>
      <c r="BD275" s="696"/>
      <c r="BE275" s="696"/>
      <c r="BF275" s="696"/>
      <c r="BG275" s="696"/>
      <c r="BH275" s="696"/>
    </row>
    <row r="276" spans="1:60" s="44" customFormat="1">
      <c r="A276" s="700"/>
      <c r="B276" s="700"/>
      <c r="C276" s="696"/>
      <c r="D276" s="696"/>
      <c r="E276" s="696"/>
      <c r="F276" s="696"/>
      <c r="G276" s="696"/>
      <c r="H276" s="696"/>
      <c r="I276" s="847"/>
      <c r="J276" s="696"/>
      <c r="K276" s="696"/>
      <c r="L276" s="696"/>
      <c r="M276" s="696"/>
      <c r="N276" s="696"/>
      <c r="O276" s="696"/>
      <c r="P276" s="696"/>
      <c r="Q276" s="847"/>
      <c r="R276" s="696"/>
      <c r="S276" s="696"/>
      <c r="T276" s="696"/>
      <c r="U276" s="696"/>
      <c r="V276" s="696"/>
      <c r="W276" s="696"/>
      <c r="X276" s="696"/>
      <c r="Y276" s="847"/>
      <c r="Z276" s="696"/>
      <c r="AA276" s="696"/>
      <c r="AB276" s="696"/>
      <c r="AC276" s="696"/>
      <c r="AD276" s="696"/>
      <c r="AE276" s="696"/>
      <c r="AF276" s="696"/>
      <c r="AG276" s="847"/>
      <c r="AH276" s="696"/>
      <c r="AI276" s="696"/>
      <c r="AJ276" s="696"/>
      <c r="AK276" s="696"/>
      <c r="AL276" s="696"/>
      <c r="AM276" s="696"/>
      <c r="AN276" s="696"/>
      <c r="AO276" s="847"/>
      <c r="AP276" s="696"/>
      <c r="AQ276" s="696"/>
      <c r="AR276" s="696"/>
      <c r="AS276" s="696"/>
      <c r="AT276" s="696"/>
      <c r="AU276" s="696"/>
      <c r="AV276" s="696"/>
      <c r="AW276" s="696"/>
      <c r="AX276" s="696"/>
      <c r="AY276" s="696"/>
      <c r="AZ276" s="696"/>
      <c r="BA276" s="696"/>
      <c r="BB276" s="696"/>
      <c r="BC276" s="696"/>
      <c r="BD276" s="696"/>
      <c r="BE276" s="696"/>
      <c r="BF276" s="696"/>
      <c r="BG276" s="696"/>
      <c r="BH276" s="696"/>
    </row>
    <row r="277" spans="1:60" s="44" customFormat="1">
      <c r="A277" s="700"/>
      <c r="B277" s="700"/>
      <c r="C277" s="696"/>
      <c r="D277" s="696"/>
      <c r="E277" s="696"/>
      <c r="F277" s="696"/>
      <c r="G277" s="696"/>
      <c r="H277" s="696"/>
      <c r="I277" s="847"/>
      <c r="J277" s="696"/>
      <c r="K277" s="696"/>
      <c r="L277" s="696"/>
      <c r="M277" s="696"/>
      <c r="N277" s="696"/>
      <c r="O277" s="696"/>
      <c r="P277" s="696"/>
      <c r="Q277" s="847"/>
      <c r="R277" s="696"/>
      <c r="S277" s="696"/>
      <c r="T277" s="696"/>
      <c r="U277" s="696"/>
      <c r="V277" s="696"/>
      <c r="W277" s="696"/>
      <c r="X277" s="696"/>
      <c r="Y277" s="847"/>
      <c r="Z277" s="696"/>
      <c r="AA277" s="696"/>
      <c r="AB277" s="696"/>
      <c r="AC277" s="696"/>
      <c r="AD277" s="696"/>
      <c r="AE277" s="696"/>
      <c r="AF277" s="696"/>
      <c r="AG277" s="847"/>
      <c r="AH277" s="696"/>
      <c r="AI277" s="696"/>
      <c r="AJ277" s="696"/>
      <c r="AK277" s="696"/>
      <c r="AL277" s="696"/>
      <c r="AM277" s="696"/>
      <c r="AN277" s="696"/>
      <c r="AO277" s="847"/>
      <c r="AP277" s="696"/>
      <c r="AQ277" s="696"/>
      <c r="AR277" s="696"/>
      <c r="AS277" s="696"/>
      <c r="AT277" s="696"/>
      <c r="AU277" s="696"/>
      <c r="AV277" s="696"/>
      <c r="AW277" s="696"/>
      <c r="AX277" s="696"/>
      <c r="AY277" s="696"/>
      <c r="AZ277" s="696"/>
      <c r="BA277" s="696"/>
      <c r="BB277" s="696"/>
      <c r="BC277" s="696"/>
      <c r="BD277" s="696"/>
      <c r="BE277" s="696"/>
      <c r="BF277" s="696"/>
      <c r="BG277" s="696"/>
      <c r="BH277" s="696"/>
    </row>
    <row r="278" spans="1:60" s="44" customFormat="1">
      <c r="A278" s="700"/>
      <c r="B278" s="700"/>
      <c r="C278" s="696"/>
      <c r="D278" s="696"/>
      <c r="E278" s="696"/>
      <c r="F278" s="696"/>
      <c r="G278" s="696"/>
      <c r="H278" s="696"/>
      <c r="I278" s="847"/>
      <c r="J278" s="696"/>
      <c r="K278" s="696"/>
      <c r="L278" s="696"/>
      <c r="M278" s="696"/>
      <c r="N278" s="696"/>
      <c r="O278" s="696"/>
      <c r="P278" s="696"/>
      <c r="Q278" s="847"/>
      <c r="R278" s="696"/>
      <c r="S278" s="696"/>
      <c r="T278" s="696"/>
      <c r="U278" s="696"/>
      <c r="V278" s="696"/>
      <c r="W278" s="696"/>
      <c r="X278" s="696"/>
      <c r="Y278" s="847"/>
      <c r="Z278" s="696"/>
      <c r="AA278" s="696"/>
      <c r="AB278" s="696"/>
      <c r="AC278" s="696"/>
      <c r="AD278" s="696"/>
      <c r="AE278" s="696"/>
      <c r="AF278" s="696"/>
      <c r="AG278" s="847"/>
      <c r="AH278" s="696"/>
      <c r="AI278" s="696"/>
      <c r="AJ278" s="696"/>
      <c r="AK278" s="696"/>
      <c r="AL278" s="696"/>
      <c r="AM278" s="696"/>
      <c r="AN278" s="696"/>
      <c r="AO278" s="847"/>
      <c r="AP278" s="696"/>
      <c r="AQ278" s="696"/>
      <c r="AR278" s="696"/>
      <c r="AS278" s="696"/>
      <c r="AT278" s="696"/>
      <c r="AU278" s="696"/>
      <c r="AV278" s="696"/>
      <c r="AW278" s="696"/>
      <c r="AX278" s="696"/>
      <c r="AY278" s="696"/>
      <c r="AZ278" s="696"/>
      <c r="BA278" s="696"/>
      <c r="BB278" s="696"/>
      <c r="BC278" s="696"/>
      <c r="BD278" s="696"/>
      <c r="BE278" s="696"/>
      <c r="BF278" s="696"/>
      <c r="BG278" s="696"/>
      <c r="BH278" s="696"/>
    </row>
    <row r="279" spans="1:60" s="44" customFormat="1">
      <c r="A279" s="700"/>
      <c r="B279" s="700"/>
      <c r="C279" s="696"/>
      <c r="D279" s="696"/>
      <c r="E279" s="696"/>
      <c r="F279" s="696"/>
      <c r="G279" s="696"/>
      <c r="H279" s="696"/>
      <c r="I279" s="847"/>
      <c r="J279" s="696"/>
      <c r="K279" s="696"/>
      <c r="L279" s="696"/>
      <c r="M279" s="696"/>
      <c r="N279" s="696"/>
      <c r="O279" s="696"/>
      <c r="P279" s="696"/>
      <c r="Q279" s="847"/>
      <c r="R279" s="696"/>
      <c r="S279" s="696"/>
      <c r="T279" s="696"/>
      <c r="U279" s="696"/>
      <c r="V279" s="696"/>
      <c r="W279" s="696"/>
      <c r="X279" s="696"/>
      <c r="Y279" s="847"/>
      <c r="Z279" s="696"/>
      <c r="AA279" s="696"/>
      <c r="AB279" s="696"/>
      <c r="AC279" s="696"/>
      <c r="AD279" s="696"/>
      <c r="AE279" s="696"/>
      <c r="AF279" s="696"/>
      <c r="AG279" s="847"/>
      <c r="AH279" s="696"/>
      <c r="AI279" s="696"/>
      <c r="AJ279" s="696"/>
      <c r="AK279" s="696"/>
      <c r="AL279" s="696"/>
      <c r="AM279" s="696"/>
      <c r="AN279" s="696"/>
      <c r="AO279" s="847"/>
      <c r="AP279" s="696"/>
      <c r="AQ279" s="696"/>
      <c r="AR279" s="696"/>
      <c r="AS279" s="696"/>
      <c r="AT279" s="696"/>
      <c r="AU279" s="696"/>
      <c r="AV279" s="696"/>
      <c r="AW279" s="696"/>
      <c r="AX279" s="696"/>
      <c r="AY279" s="696"/>
      <c r="AZ279" s="696"/>
      <c r="BA279" s="696"/>
      <c r="BB279" s="696"/>
      <c r="BC279" s="696"/>
      <c r="BD279" s="696"/>
      <c r="BE279" s="696"/>
      <c r="BF279" s="696"/>
      <c r="BG279" s="696"/>
      <c r="BH279" s="696"/>
    </row>
    <row r="280" spans="1:60" s="44" customFormat="1">
      <c r="A280" s="700"/>
      <c r="B280" s="700"/>
      <c r="C280" s="696"/>
      <c r="D280" s="696"/>
      <c r="E280" s="696"/>
      <c r="F280" s="696"/>
      <c r="G280" s="696"/>
      <c r="H280" s="696"/>
      <c r="I280" s="847"/>
      <c r="J280" s="696"/>
      <c r="K280" s="696"/>
      <c r="L280" s="696"/>
      <c r="M280" s="696"/>
      <c r="N280" s="696"/>
      <c r="O280" s="696"/>
      <c r="P280" s="696"/>
      <c r="Q280" s="847"/>
      <c r="R280" s="696"/>
      <c r="S280" s="696"/>
      <c r="T280" s="696"/>
      <c r="U280" s="696"/>
      <c r="V280" s="696"/>
      <c r="W280" s="696"/>
      <c r="X280" s="696"/>
      <c r="Y280" s="847"/>
      <c r="Z280" s="696"/>
      <c r="AA280" s="696"/>
      <c r="AB280" s="696"/>
      <c r="AC280" s="696"/>
      <c r="AD280" s="696"/>
      <c r="AE280" s="696"/>
      <c r="AF280" s="696"/>
      <c r="AG280" s="847"/>
      <c r="AH280" s="696"/>
      <c r="AI280" s="696"/>
      <c r="AJ280" s="696"/>
      <c r="AK280" s="696"/>
      <c r="AL280" s="696"/>
      <c r="AM280" s="696"/>
      <c r="AN280" s="696"/>
      <c r="AO280" s="847"/>
      <c r="AP280" s="696"/>
      <c r="AQ280" s="696"/>
      <c r="AR280" s="696"/>
      <c r="AS280" s="696"/>
      <c r="AT280" s="696"/>
      <c r="AU280" s="696"/>
      <c r="AV280" s="696"/>
      <c r="AW280" s="696"/>
      <c r="AX280" s="696"/>
      <c r="AY280" s="696"/>
      <c r="AZ280" s="696"/>
      <c r="BA280" s="696"/>
      <c r="BB280" s="696"/>
      <c r="BC280" s="696"/>
      <c r="BD280" s="696"/>
      <c r="BE280" s="696"/>
      <c r="BF280" s="696"/>
      <c r="BG280" s="696"/>
      <c r="BH280" s="696"/>
    </row>
    <row r="281" spans="1:60" s="44" customFormat="1">
      <c r="A281" s="700"/>
      <c r="B281" s="700"/>
      <c r="C281" s="696"/>
      <c r="D281" s="696"/>
      <c r="E281" s="696"/>
      <c r="F281" s="696"/>
      <c r="G281" s="696"/>
      <c r="H281" s="696"/>
      <c r="I281" s="847"/>
      <c r="J281" s="696"/>
      <c r="K281" s="696"/>
      <c r="L281" s="696"/>
      <c r="M281" s="696"/>
      <c r="N281" s="696"/>
      <c r="O281" s="696"/>
      <c r="P281" s="696"/>
      <c r="Q281" s="847"/>
      <c r="R281" s="696"/>
      <c r="S281" s="696"/>
      <c r="T281" s="696"/>
      <c r="U281" s="696"/>
      <c r="V281" s="696"/>
      <c r="W281" s="696"/>
      <c r="X281" s="696"/>
      <c r="Y281" s="847"/>
      <c r="Z281" s="696"/>
      <c r="AA281" s="696"/>
      <c r="AB281" s="696"/>
      <c r="AC281" s="696"/>
      <c r="AD281" s="696"/>
      <c r="AE281" s="696"/>
      <c r="AF281" s="696"/>
      <c r="AG281" s="847"/>
      <c r="AH281" s="696"/>
      <c r="AI281" s="696"/>
      <c r="AJ281" s="696"/>
      <c r="AK281" s="696"/>
      <c r="AL281" s="696"/>
      <c r="AM281" s="696"/>
      <c r="AN281" s="696"/>
      <c r="AO281" s="847"/>
      <c r="AP281" s="696"/>
      <c r="AQ281" s="696"/>
      <c r="AR281" s="696"/>
      <c r="AS281" s="696"/>
      <c r="AT281" s="696"/>
      <c r="AU281" s="696"/>
      <c r="AV281" s="696"/>
      <c r="AW281" s="696"/>
      <c r="AX281" s="696"/>
      <c r="AY281" s="696"/>
      <c r="AZ281" s="696"/>
      <c r="BA281" s="696"/>
      <c r="BB281" s="696"/>
      <c r="BC281" s="696"/>
      <c r="BD281" s="696"/>
      <c r="BE281" s="696"/>
      <c r="BF281" s="696"/>
      <c r="BG281" s="696"/>
      <c r="BH281" s="696"/>
    </row>
    <row r="282" spans="1:60" s="44" customFormat="1">
      <c r="A282" s="700"/>
      <c r="B282" s="700"/>
      <c r="C282" s="696"/>
      <c r="D282" s="696"/>
      <c r="E282" s="696"/>
      <c r="F282" s="696"/>
      <c r="G282" s="696"/>
      <c r="H282" s="696"/>
      <c r="I282" s="847"/>
      <c r="J282" s="696"/>
      <c r="K282" s="696"/>
      <c r="L282" s="696"/>
      <c r="M282" s="696"/>
      <c r="N282" s="696"/>
      <c r="O282" s="696"/>
      <c r="P282" s="696"/>
      <c r="Q282" s="847"/>
      <c r="R282" s="696"/>
      <c r="S282" s="696"/>
      <c r="T282" s="696"/>
      <c r="U282" s="696"/>
      <c r="V282" s="696"/>
      <c r="W282" s="696"/>
      <c r="X282" s="696"/>
      <c r="Y282" s="847"/>
      <c r="Z282" s="696"/>
      <c r="AA282" s="696"/>
      <c r="AB282" s="696"/>
      <c r="AC282" s="696"/>
      <c r="AD282" s="696"/>
      <c r="AE282" s="696"/>
      <c r="AF282" s="696"/>
      <c r="AG282" s="847"/>
      <c r="AH282" s="696"/>
      <c r="AI282" s="696"/>
      <c r="AJ282" s="696"/>
      <c r="AK282" s="696"/>
      <c r="AL282" s="696"/>
      <c r="AM282" s="696"/>
      <c r="AN282" s="696"/>
      <c r="AO282" s="847"/>
      <c r="AP282" s="696"/>
      <c r="AQ282" s="696"/>
      <c r="AR282" s="696"/>
      <c r="AS282" s="696"/>
      <c r="AT282" s="696"/>
      <c r="AU282" s="696"/>
      <c r="AV282" s="696"/>
      <c r="AW282" s="696"/>
      <c r="AX282" s="696"/>
      <c r="AY282" s="696"/>
      <c r="AZ282" s="696"/>
      <c r="BA282" s="696"/>
      <c r="BB282" s="696"/>
      <c r="BC282" s="696"/>
      <c r="BD282" s="696"/>
      <c r="BE282" s="696"/>
      <c r="BF282" s="696"/>
      <c r="BG282" s="696"/>
      <c r="BH282" s="696"/>
    </row>
    <row r="283" spans="1:60" s="44" customFormat="1">
      <c r="A283" s="700"/>
      <c r="B283" s="700"/>
      <c r="C283" s="696"/>
      <c r="D283" s="696"/>
      <c r="E283" s="696"/>
      <c r="F283" s="696"/>
      <c r="G283" s="696"/>
      <c r="H283" s="696"/>
      <c r="I283" s="847"/>
      <c r="J283" s="696"/>
      <c r="K283" s="696"/>
      <c r="L283" s="696"/>
      <c r="M283" s="696"/>
      <c r="N283" s="696"/>
      <c r="O283" s="696"/>
      <c r="P283" s="696"/>
      <c r="Q283" s="847"/>
      <c r="R283" s="696"/>
      <c r="S283" s="696"/>
      <c r="T283" s="696"/>
      <c r="U283" s="696"/>
      <c r="V283" s="696"/>
      <c r="W283" s="696"/>
      <c r="X283" s="696"/>
      <c r="Y283" s="847"/>
      <c r="Z283" s="696"/>
      <c r="AA283" s="696"/>
      <c r="AB283" s="696"/>
      <c r="AC283" s="696"/>
      <c r="AD283" s="696"/>
      <c r="AE283" s="696"/>
      <c r="AF283" s="696"/>
      <c r="AG283" s="847"/>
      <c r="AH283" s="696"/>
      <c r="AI283" s="696"/>
      <c r="AJ283" s="696"/>
      <c r="AK283" s="696"/>
      <c r="AL283" s="696"/>
      <c r="AM283" s="696"/>
      <c r="AN283" s="696"/>
      <c r="AO283" s="847"/>
      <c r="AP283" s="696"/>
      <c r="AQ283" s="696"/>
      <c r="AR283" s="696"/>
      <c r="AS283" s="696"/>
      <c r="AT283" s="696"/>
      <c r="AU283" s="696"/>
      <c r="AV283" s="696"/>
      <c r="AW283" s="696"/>
      <c r="AX283" s="696"/>
      <c r="AY283" s="696"/>
      <c r="AZ283" s="696"/>
      <c r="BA283" s="696"/>
      <c r="BB283" s="696"/>
      <c r="BC283" s="696"/>
      <c r="BD283" s="696"/>
      <c r="BE283" s="696"/>
      <c r="BF283" s="696"/>
      <c r="BG283" s="696"/>
      <c r="BH283" s="696"/>
    </row>
    <row r="284" spans="1:60" s="44" customFormat="1">
      <c r="A284" s="700"/>
      <c r="B284" s="700"/>
      <c r="C284" s="696"/>
      <c r="D284" s="696"/>
      <c r="E284" s="696"/>
      <c r="F284" s="696"/>
      <c r="G284" s="696"/>
      <c r="H284" s="696"/>
      <c r="I284" s="847"/>
      <c r="J284" s="696"/>
      <c r="K284" s="696"/>
      <c r="L284" s="696"/>
      <c r="M284" s="696"/>
      <c r="N284" s="696"/>
      <c r="O284" s="696"/>
      <c r="P284" s="696"/>
      <c r="Q284" s="847"/>
      <c r="R284" s="696"/>
      <c r="S284" s="696"/>
      <c r="T284" s="696"/>
      <c r="U284" s="696"/>
      <c r="V284" s="696"/>
      <c r="W284" s="696"/>
      <c r="X284" s="696"/>
      <c r="Y284" s="847"/>
      <c r="Z284" s="696"/>
      <c r="AA284" s="696"/>
      <c r="AB284" s="696"/>
      <c r="AC284" s="696"/>
      <c r="AD284" s="696"/>
      <c r="AE284" s="696"/>
      <c r="AF284" s="696"/>
      <c r="AG284" s="847"/>
      <c r="AH284" s="696"/>
      <c r="AI284" s="696"/>
      <c r="AJ284" s="696"/>
      <c r="AK284" s="696"/>
      <c r="AL284" s="696"/>
      <c r="AM284" s="696"/>
      <c r="AN284" s="696"/>
      <c r="AO284" s="847"/>
      <c r="AP284" s="696"/>
      <c r="AQ284" s="696"/>
      <c r="AR284" s="696"/>
      <c r="AS284" s="696"/>
      <c r="AT284" s="696"/>
      <c r="AU284" s="696"/>
      <c r="AV284" s="696"/>
      <c r="AW284" s="696"/>
      <c r="AX284" s="696"/>
      <c r="AY284" s="696"/>
      <c r="AZ284" s="696"/>
      <c r="BA284" s="696"/>
      <c r="BB284" s="696"/>
      <c r="BC284" s="696"/>
      <c r="BD284" s="696"/>
      <c r="BE284" s="696"/>
      <c r="BF284" s="696"/>
      <c r="BG284" s="696"/>
      <c r="BH284" s="696"/>
    </row>
    <row r="285" spans="1:60" s="44" customFormat="1">
      <c r="A285" s="700"/>
      <c r="B285" s="700"/>
      <c r="C285" s="696"/>
      <c r="D285" s="696"/>
      <c r="E285" s="696"/>
      <c r="F285" s="696"/>
      <c r="G285" s="696"/>
      <c r="H285" s="696"/>
      <c r="I285" s="847"/>
      <c r="J285" s="696"/>
      <c r="K285" s="696"/>
      <c r="L285" s="696"/>
      <c r="M285" s="696"/>
      <c r="N285" s="696"/>
      <c r="O285" s="696"/>
      <c r="P285" s="696"/>
      <c r="Q285" s="847"/>
      <c r="R285" s="696"/>
      <c r="S285" s="696"/>
      <c r="T285" s="696"/>
      <c r="U285" s="696"/>
      <c r="V285" s="696"/>
      <c r="W285" s="696"/>
      <c r="X285" s="696"/>
      <c r="Y285" s="847"/>
      <c r="Z285" s="696"/>
      <c r="AA285" s="696"/>
      <c r="AB285" s="696"/>
      <c r="AC285" s="696"/>
      <c r="AD285" s="696"/>
      <c r="AE285" s="696"/>
      <c r="AF285" s="696"/>
      <c r="AG285" s="847"/>
      <c r="AH285" s="696"/>
      <c r="AI285" s="696"/>
      <c r="AJ285" s="696"/>
      <c r="AK285" s="696"/>
      <c r="AL285" s="696"/>
      <c r="AM285" s="696"/>
      <c r="AN285" s="696"/>
      <c r="AO285" s="847"/>
      <c r="AP285" s="696"/>
      <c r="AQ285" s="696"/>
      <c r="AR285" s="696"/>
      <c r="AS285" s="696"/>
      <c r="AT285" s="696"/>
      <c r="AU285" s="696"/>
      <c r="AV285" s="696"/>
      <c r="AW285" s="696"/>
      <c r="AX285" s="696"/>
      <c r="AY285" s="696"/>
      <c r="AZ285" s="696"/>
      <c r="BA285" s="696"/>
      <c r="BB285" s="696"/>
      <c r="BC285" s="696"/>
      <c r="BD285" s="696"/>
      <c r="BE285" s="696"/>
      <c r="BF285" s="696"/>
      <c r="BG285" s="696"/>
      <c r="BH285" s="696"/>
    </row>
    <row r="286" spans="1:60" s="44" customFormat="1">
      <c r="A286" s="700"/>
      <c r="B286" s="700"/>
      <c r="C286" s="696"/>
      <c r="D286" s="696"/>
      <c r="E286" s="696"/>
      <c r="F286" s="696"/>
      <c r="G286" s="696"/>
      <c r="H286" s="696"/>
      <c r="I286" s="847"/>
      <c r="J286" s="696"/>
      <c r="K286" s="696"/>
      <c r="L286" s="696"/>
      <c r="M286" s="696"/>
      <c r="N286" s="696"/>
      <c r="O286" s="696"/>
      <c r="P286" s="696"/>
      <c r="Q286" s="847"/>
      <c r="R286" s="696"/>
      <c r="S286" s="696"/>
      <c r="T286" s="696"/>
      <c r="U286" s="696"/>
      <c r="V286" s="696"/>
      <c r="W286" s="696"/>
      <c r="X286" s="696"/>
      <c r="Y286" s="847"/>
      <c r="Z286" s="696"/>
      <c r="AA286" s="696"/>
      <c r="AB286" s="696"/>
      <c r="AC286" s="696"/>
      <c r="AD286" s="696"/>
      <c r="AE286" s="696"/>
      <c r="AF286" s="696"/>
      <c r="AG286" s="847"/>
      <c r="AH286" s="696"/>
      <c r="AI286" s="696"/>
      <c r="AJ286" s="696"/>
      <c r="AK286" s="696"/>
      <c r="AL286" s="696"/>
      <c r="AM286" s="696"/>
      <c r="AN286" s="696"/>
      <c r="AO286" s="847"/>
      <c r="AP286" s="696"/>
      <c r="AQ286" s="696"/>
      <c r="AR286" s="696"/>
      <c r="AS286" s="696"/>
      <c r="AT286" s="696"/>
      <c r="AU286" s="696"/>
      <c r="AV286" s="696"/>
      <c r="AW286" s="696"/>
      <c r="AX286" s="696"/>
      <c r="AY286" s="696"/>
      <c r="AZ286" s="696"/>
      <c r="BA286" s="696"/>
      <c r="BB286" s="696"/>
      <c r="BC286" s="696"/>
      <c r="BD286" s="696"/>
      <c r="BE286" s="696"/>
      <c r="BF286" s="696"/>
      <c r="BG286" s="696"/>
      <c r="BH286" s="696"/>
    </row>
    <row r="287" spans="1:60" s="44" customFormat="1">
      <c r="A287" s="700"/>
      <c r="B287" s="700"/>
      <c r="C287" s="696"/>
      <c r="D287" s="696"/>
      <c r="E287" s="696"/>
      <c r="F287" s="696"/>
      <c r="G287" s="696"/>
      <c r="H287" s="696"/>
      <c r="I287" s="847"/>
      <c r="J287" s="696"/>
      <c r="K287" s="696"/>
      <c r="L287" s="696"/>
      <c r="M287" s="696"/>
      <c r="N287" s="696"/>
      <c r="O287" s="696"/>
      <c r="P287" s="696"/>
      <c r="Q287" s="847"/>
      <c r="R287" s="696"/>
      <c r="S287" s="696"/>
      <c r="T287" s="696"/>
      <c r="U287" s="696"/>
      <c r="V287" s="696"/>
      <c r="W287" s="696"/>
      <c r="X287" s="696"/>
      <c r="Y287" s="847"/>
      <c r="Z287" s="696"/>
      <c r="AA287" s="696"/>
      <c r="AB287" s="696"/>
      <c r="AC287" s="696"/>
      <c r="AD287" s="696"/>
      <c r="AE287" s="696"/>
      <c r="AF287" s="696"/>
      <c r="AG287" s="847"/>
      <c r="AH287" s="696"/>
      <c r="AI287" s="696"/>
      <c r="AJ287" s="696"/>
      <c r="AK287" s="696"/>
      <c r="AL287" s="696"/>
      <c r="AM287" s="696"/>
      <c r="AN287" s="696"/>
      <c r="AO287" s="847"/>
      <c r="AP287" s="696"/>
      <c r="AQ287" s="696"/>
      <c r="AR287" s="696"/>
      <c r="AS287" s="696"/>
      <c r="AT287" s="696"/>
      <c r="AU287" s="696"/>
      <c r="AV287" s="696"/>
      <c r="AW287" s="696"/>
      <c r="AX287" s="696"/>
      <c r="AY287" s="696"/>
      <c r="AZ287" s="696"/>
      <c r="BA287" s="696"/>
      <c r="BB287" s="696"/>
      <c r="BC287" s="696"/>
      <c r="BD287" s="696"/>
      <c r="BE287" s="696"/>
      <c r="BF287" s="696"/>
      <c r="BG287" s="696"/>
      <c r="BH287" s="696"/>
    </row>
    <row r="288" spans="1:60" s="44" customFormat="1">
      <c r="A288" s="700"/>
      <c r="B288" s="700"/>
      <c r="C288" s="696"/>
      <c r="D288" s="696"/>
      <c r="E288" s="696"/>
      <c r="F288" s="696"/>
      <c r="G288" s="696"/>
      <c r="H288" s="696"/>
      <c r="I288" s="847"/>
      <c r="J288" s="696"/>
      <c r="K288" s="696"/>
      <c r="L288" s="696"/>
      <c r="M288" s="696"/>
      <c r="N288" s="696"/>
      <c r="O288" s="696"/>
      <c r="P288" s="696"/>
      <c r="Q288" s="847"/>
      <c r="R288" s="696"/>
      <c r="S288" s="696"/>
      <c r="T288" s="696"/>
      <c r="U288" s="696"/>
      <c r="V288" s="696"/>
      <c r="W288" s="696"/>
      <c r="X288" s="696"/>
      <c r="Y288" s="847"/>
      <c r="Z288" s="696"/>
      <c r="AA288" s="696"/>
      <c r="AB288" s="696"/>
      <c r="AC288" s="696"/>
      <c r="AD288" s="696"/>
      <c r="AE288" s="696"/>
      <c r="AF288" s="696"/>
      <c r="AG288" s="847"/>
      <c r="AH288" s="696"/>
      <c r="AI288" s="696"/>
      <c r="AJ288" s="696"/>
      <c r="AK288" s="696"/>
      <c r="AL288" s="696"/>
      <c r="AM288" s="696"/>
      <c r="AN288" s="696"/>
      <c r="AO288" s="847"/>
      <c r="AP288" s="696"/>
      <c r="AQ288" s="696"/>
      <c r="AR288" s="696"/>
      <c r="AS288" s="696"/>
      <c r="AT288" s="696"/>
      <c r="AU288" s="696"/>
      <c r="AV288" s="696"/>
      <c r="AW288" s="696"/>
      <c r="AX288" s="696"/>
      <c r="AY288" s="696"/>
      <c r="AZ288" s="696"/>
      <c r="BA288" s="696"/>
      <c r="BB288" s="696"/>
      <c r="BC288" s="696"/>
      <c r="BD288" s="696"/>
      <c r="BE288" s="696"/>
      <c r="BF288" s="696"/>
      <c r="BG288" s="696"/>
      <c r="BH288" s="696"/>
    </row>
    <row r="289" spans="1:60" s="44" customFormat="1">
      <c r="A289" s="700"/>
      <c r="B289" s="700"/>
      <c r="C289" s="696"/>
      <c r="D289" s="696"/>
      <c r="E289" s="696"/>
      <c r="F289" s="696"/>
      <c r="G289" s="696"/>
      <c r="H289" s="696"/>
      <c r="I289" s="847"/>
      <c r="J289" s="696"/>
      <c r="K289" s="696"/>
      <c r="L289" s="696"/>
      <c r="M289" s="696"/>
      <c r="N289" s="696"/>
      <c r="O289" s="696"/>
      <c r="P289" s="696"/>
      <c r="Q289" s="847"/>
      <c r="R289" s="696"/>
      <c r="S289" s="696"/>
      <c r="T289" s="696"/>
      <c r="U289" s="696"/>
      <c r="V289" s="696"/>
      <c r="W289" s="696"/>
      <c r="X289" s="696"/>
      <c r="Y289" s="847"/>
      <c r="Z289" s="696"/>
      <c r="AA289" s="696"/>
      <c r="AB289" s="696"/>
      <c r="AC289" s="696"/>
      <c r="AD289" s="696"/>
      <c r="AE289" s="696"/>
      <c r="AF289" s="696"/>
      <c r="AG289" s="847"/>
      <c r="AH289" s="696"/>
      <c r="AI289" s="696"/>
      <c r="AJ289" s="696"/>
      <c r="AK289" s="696"/>
      <c r="AL289" s="696"/>
      <c r="AM289" s="696"/>
      <c r="AN289" s="696"/>
      <c r="AO289" s="847"/>
      <c r="AP289" s="696"/>
      <c r="AQ289" s="696"/>
      <c r="AR289" s="696"/>
      <c r="AS289" s="696"/>
      <c r="AT289" s="696"/>
      <c r="AU289" s="696"/>
      <c r="AV289" s="696"/>
      <c r="AW289" s="696"/>
      <c r="AX289" s="696"/>
      <c r="AY289" s="696"/>
      <c r="AZ289" s="696"/>
      <c r="BA289" s="696"/>
      <c r="BB289" s="696"/>
      <c r="BC289" s="696"/>
      <c r="BD289" s="696"/>
      <c r="BE289" s="696"/>
      <c r="BF289" s="696"/>
      <c r="BG289" s="696"/>
      <c r="BH289" s="696"/>
    </row>
    <row r="290" spans="1:60" s="44" customFormat="1">
      <c r="A290" s="700"/>
      <c r="B290" s="700"/>
      <c r="C290" s="696"/>
      <c r="D290" s="696"/>
      <c r="E290" s="696"/>
      <c r="F290" s="696"/>
      <c r="G290" s="696"/>
      <c r="H290" s="696"/>
      <c r="I290" s="847"/>
      <c r="J290" s="696"/>
      <c r="K290" s="696"/>
      <c r="L290" s="696"/>
      <c r="M290" s="696"/>
      <c r="N290" s="696"/>
      <c r="O290" s="696"/>
      <c r="P290" s="696"/>
      <c r="Q290" s="847"/>
      <c r="R290" s="696"/>
      <c r="S290" s="696"/>
      <c r="T290" s="696"/>
      <c r="U290" s="696"/>
      <c r="V290" s="696"/>
      <c r="W290" s="696"/>
      <c r="X290" s="696"/>
      <c r="Y290" s="847"/>
      <c r="Z290" s="696"/>
      <c r="AA290" s="696"/>
      <c r="AB290" s="696"/>
      <c r="AC290" s="696"/>
      <c r="AD290" s="696"/>
      <c r="AE290" s="696"/>
      <c r="AF290" s="696"/>
      <c r="AG290" s="847"/>
      <c r="AH290" s="696"/>
      <c r="AI290" s="696"/>
      <c r="AJ290" s="696"/>
      <c r="AK290" s="696"/>
      <c r="AL290" s="696"/>
      <c r="AM290" s="696"/>
      <c r="AN290" s="696"/>
      <c r="AO290" s="847"/>
      <c r="AP290" s="696"/>
      <c r="AQ290" s="696"/>
      <c r="AR290" s="696"/>
      <c r="AS290" s="696"/>
      <c r="AT290" s="696"/>
      <c r="AU290" s="696"/>
      <c r="AV290" s="696"/>
      <c r="AW290" s="696"/>
      <c r="AX290" s="696"/>
      <c r="AY290" s="696"/>
      <c r="AZ290" s="696"/>
      <c r="BA290" s="696"/>
      <c r="BB290" s="696"/>
      <c r="BC290" s="696"/>
      <c r="BD290" s="696"/>
      <c r="BE290" s="696"/>
      <c r="BF290" s="696"/>
      <c r="BG290" s="696"/>
      <c r="BH290" s="696"/>
    </row>
    <row r="291" spans="1:60" s="44" customFormat="1">
      <c r="A291" s="700"/>
      <c r="B291" s="700"/>
      <c r="C291" s="696"/>
      <c r="D291" s="696"/>
      <c r="E291" s="696"/>
      <c r="F291" s="696"/>
      <c r="G291" s="696"/>
      <c r="H291" s="696"/>
      <c r="I291" s="847"/>
      <c r="J291" s="696"/>
      <c r="K291" s="696"/>
      <c r="L291" s="696"/>
      <c r="M291" s="696"/>
      <c r="N291" s="696"/>
      <c r="O291" s="696"/>
      <c r="P291" s="696"/>
      <c r="Q291" s="847"/>
      <c r="R291" s="696"/>
      <c r="S291" s="696"/>
      <c r="T291" s="696"/>
      <c r="U291" s="696"/>
      <c r="V291" s="696"/>
      <c r="W291" s="696"/>
      <c r="X291" s="696"/>
      <c r="Y291" s="847"/>
      <c r="Z291" s="696"/>
      <c r="AA291" s="696"/>
      <c r="AB291" s="696"/>
      <c r="AC291" s="696"/>
      <c r="AD291" s="696"/>
      <c r="AE291" s="696"/>
      <c r="AF291" s="696"/>
      <c r="AG291" s="847"/>
      <c r="AH291" s="696"/>
      <c r="AI291" s="696"/>
      <c r="AJ291" s="696"/>
      <c r="AK291" s="696"/>
      <c r="AL291" s="696"/>
      <c r="AM291" s="696"/>
      <c r="AN291" s="696"/>
      <c r="AO291" s="847"/>
      <c r="AP291" s="696"/>
      <c r="AQ291" s="696"/>
      <c r="AR291" s="696"/>
      <c r="AS291" s="696"/>
      <c r="AT291" s="696"/>
      <c r="AU291" s="696"/>
      <c r="AV291" s="696"/>
      <c r="AW291" s="696"/>
      <c r="AX291" s="696"/>
      <c r="AY291" s="696"/>
      <c r="AZ291" s="696"/>
      <c r="BA291" s="696"/>
      <c r="BB291" s="696"/>
      <c r="BC291" s="696"/>
      <c r="BD291" s="696"/>
      <c r="BE291" s="696"/>
      <c r="BF291" s="696"/>
      <c r="BG291" s="696"/>
      <c r="BH291" s="696"/>
    </row>
    <row r="292" spans="1:60" s="44" customFormat="1">
      <c r="A292" s="700"/>
      <c r="B292" s="700"/>
      <c r="C292" s="696"/>
      <c r="D292" s="696"/>
      <c r="E292" s="696"/>
      <c r="F292" s="696"/>
      <c r="G292" s="696"/>
      <c r="H292" s="696"/>
      <c r="I292" s="847"/>
      <c r="J292" s="696"/>
      <c r="K292" s="696"/>
      <c r="L292" s="696"/>
      <c r="M292" s="696"/>
      <c r="N292" s="696"/>
      <c r="O292" s="696"/>
      <c r="P292" s="696"/>
      <c r="Q292" s="847"/>
      <c r="R292" s="696"/>
      <c r="S292" s="696"/>
      <c r="T292" s="696"/>
      <c r="U292" s="696"/>
      <c r="V292" s="696"/>
      <c r="W292" s="696"/>
      <c r="X292" s="696"/>
      <c r="Y292" s="847"/>
      <c r="Z292" s="696"/>
      <c r="AA292" s="696"/>
      <c r="AB292" s="696"/>
      <c r="AC292" s="696"/>
      <c r="AD292" s="696"/>
      <c r="AE292" s="696"/>
      <c r="AF292" s="696"/>
      <c r="AG292" s="847"/>
      <c r="AH292" s="696"/>
      <c r="AI292" s="696"/>
      <c r="AJ292" s="696"/>
      <c r="AK292" s="696"/>
      <c r="AL292" s="696"/>
      <c r="AM292" s="696"/>
      <c r="AN292" s="696"/>
      <c r="AO292" s="847"/>
      <c r="AP292" s="696"/>
      <c r="AQ292" s="696"/>
      <c r="AR292" s="696"/>
      <c r="AS292" s="696"/>
      <c r="AT292" s="696"/>
      <c r="AU292" s="696"/>
      <c r="AV292" s="696"/>
      <c r="AW292" s="696"/>
      <c r="AX292" s="696"/>
      <c r="AY292" s="696"/>
      <c r="AZ292" s="696"/>
      <c r="BA292" s="696"/>
      <c r="BB292" s="696"/>
      <c r="BC292" s="696"/>
      <c r="BD292" s="696"/>
      <c r="BE292" s="696"/>
      <c r="BF292" s="696"/>
      <c r="BG292" s="696"/>
      <c r="BH292" s="696"/>
    </row>
    <row r="293" spans="1:60" s="44" customFormat="1">
      <c r="A293" s="700"/>
      <c r="B293" s="700"/>
      <c r="C293" s="696"/>
      <c r="D293" s="696"/>
      <c r="E293" s="696"/>
      <c r="F293" s="696"/>
      <c r="G293" s="696"/>
      <c r="H293" s="696"/>
      <c r="I293" s="847"/>
      <c r="J293" s="696"/>
      <c r="K293" s="696"/>
      <c r="L293" s="696"/>
      <c r="M293" s="696"/>
      <c r="N293" s="696"/>
      <c r="O293" s="696"/>
      <c r="P293" s="696"/>
      <c r="Q293" s="847"/>
      <c r="R293" s="696"/>
      <c r="S293" s="696"/>
      <c r="T293" s="696"/>
      <c r="U293" s="696"/>
      <c r="V293" s="696"/>
      <c r="W293" s="696"/>
      <c r="X293" s="696"/>
      <c r="Y293" s="847"/>
      <c r="Z293" s="696"/>
      <c r="AA293" s="696"/>
      <c r="AB293" s="696"/>
      <c r="AC293" s="696"/>
      <c r="AD293" s="696"/>
      <c r="AE293" s="696"/>
      <c r="AF293" s="696"/>
      <c r="AG293" s="847"/>
      <c r="AH293" s="696"/>
      <c r="AI293" s="696"/>
      <c r="AJ293" s="696"/>
      <c r="AK293" s="696"/>
      <c r="AL293" s="696"/>
      <c r="AM293" s="696"/>
      <c r="AN293" s="696"/>
      <c r="AO293" s="847"/>
      <c r="AP293" s="696"/>
      <c r="AQ293" s="696"/>
      <c r="AR293" s="696"/>
      <c r="AS293" s="696"/>
      <c r="AT293" s="696"/>
      <c r="AU293" s="696"/>
      <c r="AV293" s="696"/>
      <c r="AW293" s="696"/>
      <c r="AX293" s="696"/>
      <c r="AY293" s="696"/>
      <c r="AZ293" s="696"/>
      <c r="BA293" s="696"/>
      <c r="BB293" s="696"/>
      <c r="BC293" s="696"/>
      <c r="BD293" s="696"/>
      <c r="BE293" s="696"/>
      <c r="BF293" s="696"/>
      <c r="BG293" s="696"/>
      <c r="BH293" s="696"/>
    </row>
    <row r="294" spans="1:60" s="44" customFormat="1">
      <c r="A294" s="700"/>
      <c r="B294" s="700"/>
      <c r="C294" s="696"/>
      <c r="D294" s="696"/>
      <c r="E294" s="696"/>
      <c r="F294" s="696"/>
      <c r="G294" s="696"/>
      <c r="H294" s="696"/>
      <c r="I294" s="847"/>
      <c r="J294" s="696"/>
      <c r="K294" s="696"/>
      <c r="L294" s="696"/>
      <c r="M294" s="696"/>
      <c r="N294" s="696"/>
      <c r="O294" s="696"/>
      <c r="P294" s="696"/>
      <c r="Q294" s="847"/>
      <c r="R294" s="696"/>
      <c r="S294" s="696"/>
      <c r="T294" s="696"/>
      <c r="U294" s="696"/>
      <c r="V294" s="696"/>
      <c r="W294" s="696"/>
      <c r="X294" s="696"/>
      <c r="Y294" s="847"/>
      <c r="Z294" s="696"/>
      <c r="AA294" s="696"/>
      <c r="AB294" s="696"/>
      <c r="AC294" s="696"/>
      <c r="AD294" s="696"/>
      <c r="AE294" s="696"/>
      <c r="AF294" s="696"/>
      <c r="AG294" s="847"/>
      <c r="AH294" s="696"/>
      <c r="AI294" s="696"/>
      <c r="AJ294" s="696"/>
      <c r="AK294" s="696"/>
      <c r="AL294" s="696"/>
      <c r="AM294" s="696"/>
      <c r="AN294" s="696"/>
      <c r="AO294" s="847"/>
      <c r="AP294" s="696"/>
      <c r="AQ294" s="696"/>
      <c r="AR294" s="696"/>
      <c r="AS294" s="696"/>
      <c r="AT294" s="696"/>
      <c r="AU294" s="696"/>
      <c r="AV294" s="696"/>
      <c r="AW294" s="696"/>
      <c r="AX294" s="696"/>
      <c r="AY294" s="696"/>
      <c r="AZ294" s="696"/>
      <c r="BA294" s="696"/>
      <c r="BB294" s="696"/>
      <c r="BC294" s="696"/>
      <c r="BD294" s="696"/>
      <c r="BE294" s="696"/>
      <c r="BF294" s="696"/>
      <c r="BG294" s="696"/>
      <c r="BH294" s="696"/>
    </row>
    <row r="295" spans="1:60" s="44" customFormat="1">
      <c r="A295" s="700"/>
      <c r="B295" s="700"/>
      <c r="C295" s="696"/>
      <c r="D295" s="696"/>
      <c r="E295" s="696"/>
      <c r="F295" s="696"/>
      <c r="G295" s="696"/>
      <c r="H295" s="696"/>
      <c r="I295" s="847"/>
      <c r="J295" s="696"/>
      <c r="K295" s="696"/>
      <c r="L295" s="696"/>
      <c r="M295" s="696"/>
      <c r="N295" s="696"/>
      <c r="O295" s="696"/>
      <c r="P295" s="696"/>
      <c r="Q295" s="847"/>
      <c r="R295" s="696"/>
      <c r="S295" s="696"/>
      <c r="T295" s="696"/>
      <c r="U295" s="696"/>
      <c r="V295" s="696"/>
      <c r="W295" s="696"/>
      <c r="X295" s="696"/>
      <c r="Y295" s="847"/>
      <c r="Z295" s="696"/>
      <c r="AA295" s="696"/>
      <c r="AB295" s="696"/>
      <c r="AC295" s="696"/>
      <c r="AD295" s="696"/>
      <c r="AE295" s="696"/>
      <c r="AF295" s="696"/>
      <c r="AG295" s="847"/>
      <c r="AH295" s="696"/>
      <c r="AI295" s="696"/>
      <c r="AJ295" s="696"/>
      <c r="AK295" s="696"/>
      <c r="AL295" s="696"/>
      <c r="AM295" s="696"/>
      <c r="AN295" s="696"/>
      <c r="AO295" s="847"/>
      <c r="AP295" s="696"/>
      <c r="AQ295" s="696"/>
      <c r="AR295" s="696"/>
      <c r="AS295" s="696"/>
      <c r="AT295" s="696"/>
      <c r="AU295" s="696"/>
      <c r="AV295" s="696"/>
      <c r="AW295" s="696"/>
      <c r="AX295" s="696"/>
      <c r="AY295" s="696"/>
      <c r="AZ295" s="696"/>
      <c r="BA295" s="696"/>
      <c r="BB295" s="696"/>
      <c r="BC295" s="696"/>
      <c r="BD295" s="696"/>
      <c r="BE295" s="696"/>
      <c r="BF295" s="696"/>
      <c r="BG295" s="696"/>
      <c r="BH295" s="696"/>
    </row>
    <row r="296" spans="1:60" s="44" customFormat="1">
      <c r="A296" s="700"/>
      <c r="B296" s="700"/>
      <c r="C296" s="696"/>
      <c r="D296" s="696"/>
      <c r="E296" s="696"/>
      <c r="F296" s="696"/>
      <c r="G296" s="696"/>
      <c r="H296" s="696"/>
      <c r="I296" s="847"/>
      <c r="J296" s="696"/>
      <c r="K296" s="696"/>
      <c r="L296" s="696"/>
      <c r="M296" s="696"/>
      <c r="N296" s="696"/>
      <c r="O296" s="696"/>
      <c r="P296" s="696"/>
      <c r="Q296" s="847"/>
      <c r="R296" s="696"/>
      <c r="S296" s="696"/>
      <c r="T296" s="696"/>
      <c r="U296" s="696"/>
      <c r="V296" s="696"/>
      <c r="W296" s="696"/>
      <c r="X296" s="696"/>
      <c r="Y296" s="847"/>
      <c r="Z296" s="696"/>
      <c r="AA296" s="696"/>
      <c r="AB296" s="696"/>
      <c r="AC296" s="696"/>
      <c r="AD296" s="696"/>
      <c r="AE296" s="696"/>
      <c r="AF296" s="696"/>
      <c r="AG296" s="847"/>
      <c r="AH296" s="696"/>
      <c r="AI296" s="696"/>
      <c r="AJ296" s="696"/>
      <c r="AK296" s="696"/>
      <c r="AL296" s="696"/>
      <c r="AM296" s="696"/>
      <c r="AN296" s="696"/>
      <c r="AO296" s="847"/>
      <c r="AP296" s="696"/>
      <c r="AQ296" s="696"/>
      <c r="AR296" s="696"/>
      <c r="AS296" s="696"/>
      <c r="AT296" s="696"/>
      <c r="AU296" s="696"/>
      <c r="AV296" s="696"/>
      <c r="AW296" s="696"/>
      <c r="AX296" s="696"/>
      <c r="AY296" s="696"/>
      <c r="AZ296" s="696"/>
      <c r="BA296" s="696"/>
      <c r="BB296" s="696"/>
      <c r="BC296" s="696"/>
      <c r="BD296" s="696"/>
      <c r="BE296" s="696"/>
      <c r="BF296" s="696"/>
      <c r="BG296" s="696"/>
      <c r="BH296" s="696"/>
    </row>
    <row r="297" spans="1:60" s="44" customFormat="1">
      <c r="A297" s="700"/>
      <c r="B297" s="700"/>
      <c r="C297" s="696"/>
      <c r="D297" s="696"/>
      <c r="E297" s="696"/>
      <c r="F297" s="696"/>
      <c r="G297" s="696"/>
      <c r="H297" s="696"/>
      <c r="I297" s="847"/>
      <c r="J297" s="696"/>
      <c r="K297" s="696"/>
      <c r="L297" s="696"/>
      <c r="M297" s="696"/>
      <c r="N297" s="696"/>
      <c r="O297" s="696"/>
      <c r="P297" s="696"/>
      <c r="Q297" s="847"/>
      <c r="R297" s="696"/>
      <c r="S297" s="696"/>
      <c r="T297" s="696"/>
      <c r="U297" s="696"/>
      <c r="V297" s="696"/>
      <c r="W297" s="696"/>
      <c r="X297" s="696"/>
      <c r="Y297" s="847"/>
      <c r="Z297" s="696"/>
      <c r="AA297" s="696"/>
      <c r="AB297" s="696"/>
      <c r="AC297" s="696"/>
      <c r="AD297" s="696"/>
      <c r="AE297" s="696"/>
      <c r="AF297" s="696"/>
      <c r="AG297" s="847"/>
      <c r="AH297" s="696"/>
      <c r="AI297" s="696"/>
      <c r="AJ297" s="696"/>
      <c r="AK297" s="696"/>
      <c r="AL297" s="696"/>
      <c r="AM297" s="696"/>
      <c r="AN297" s="696"/>
      <c r="AO297" s="847"/>
      <c r="AP297" s="696"/>
      <c r="AQ297" s="696"/>
      <c r="AR297" s="696"/>
      <c r="AS297" s="696"/>
      <c r="AT297" s="696"/>
      <c r="AU297" s="696"/>
      <c r="AV297" s="696"/>
      <c r="AW297" s="696"/>
      <c r="AX297" s="696"/>
      <c r="AY297" s="696"/>
      <c r="AZ297" s="696"/>
      <c r="BA297" s="696"/>
      <c r="BB297" s="696"/>
      <c r="BC297" s="696"/>
      <c r="BD297" s="696"/>
      <c r="BE297" s="696"/>
      <c r="BF297" s="696"/>
      <c r="BG297" s="696"/>
      <c r="BH297" s="696"/>
    </row>
    <row r="298" spans="1:60" s="44" customFormat="1">
      <c r="A298" s="700"/>
      <c r="B298" s="700"/>
      <c r="C298" s="696"/>
      <c r="D298" s="696"/>
      <c r="E298" s="696"/>
      <c r="F298" s="696"/>
      <c r="G298" s="696"/>
      <c r="H298" s="696"/>
      <c r="I298" s="847"/>
      <c r="J298" s="696"/>
      <c r="K298" s="696"/>
      <c r="L298" s="696"/>
      <c r="M298" s="696"/>
      <c r="N298" s="696"/>
      <c r="O298" s="696"/>
      <c r="P298" s="696"/>
      <c r="Q298" s="847"/>
      <c r="R298" s="696"/>
      <c r="S298" s="696"/>
      <c r="T298" s="696"/>
      <c r="U298" s="696"/>
      <c r="V298" s="696"/>
      <c r="W298" s="696"/>
      <c r="X298" s="696"/>
      <c r="Y298" s="847"/>
      <c r="Z298" s="696"/>
      <c r="AA298" s="696"/>
      <c r="AB298" s="696"/>
      <c r="AC298" s="696"/>
      <c r="AD298" s="696"/>
      <c r="AE298" s="696"/>
      <c r="AF298" s="696"/>
      <c r="AG298" s="847"/>
      <c r="AH298" s="696"/>
      <c r="AI298" s="696"/>
      <c r="AJ298" s="696"/>
      <c r="AK298" s="696"/>
      <c r="AL298" s="696"/>
      <c r="AM298" s="696"/>
      <c r="AN298" s="696"/>
      <c r="AO298" s="847"/>
      <c r="AP298" s="696"/>
      <c r="AQ298" s="696"/>
      <c r="AR298" s="696"/>
      <c r="AS298" s="696"/>
      <c r="AT298" s="696"/>
      <c r="AU298" s="696"/>
      <c r="AV298" s="696"/>
      <c r="AW298" s="696"/>
      <c r="AX298" s="696"/>
      <c r="AY298" s="696"/>
      <c r="AZ298" s="696"/>
      <c r="BA298" s="696"/>
      <c r="BB298" s="696"/>
      <c r="BC298" s="696"/>
      <c r="BD298" s="696"/>
      <c r="BE298" s="696"/>
      <c r="BF298" s="696"/>
      <c r="BG298" s="696"/>
      <c r="BH298" s="696"/>
    </row>
    <row r="299" spans="1:60" s="44" customFormat="1">
      <c r="A299" s="700"/>
      <c r="B299" s="700"/>
      <c r="C299" s="696"/>
      <c r="D299" s="696"/>
      <c r="E299" s="696"/>
      <c r="F299" s="696"/>
      <c r="G299" s="696"/>
      <c r="H299" s="696"/>
      <c r="I299" s="847"/>
      <c r="J299" s="696"/>
      <c r="K299" s="696"/>
      <c r="L299" s="696"/>
      <c r="M299" s="696"/>
      <c r="N299" s="696"/>
      <c r="O299" s="696"/>
      <c r="P299" s="696"/>
      <c r="Q299" s="847"/>
      <c r="R299" s="696"/>
      <c r="S299" s="696"/>
      <c r="T299" s="696"/>
      <c r="U299" s="696"/>
      <c r="V299" s="696"/>
      <c r="W299" s="696"/>
      <c r="X299" s="696"/>
      <c r="Y299" s="847"/>
      <c r="Z299" s="696"/>
      <c r="AA299" s="696"/>
      <c r="AB299" s="696"/>
      <c r="AC299" s="696"/>
      <c r="AD299" s="696"/>
      <c r="AE299" s="696"/>
      <c r="AF299" s="696"/>
      <c r="AG299" s="847"/>
      <c r="AH299" s="696"/>
      <c r="AI299" s="696"/>
      <c r="AJ299" s="696"/>
      <c r="AK299" s="696"/>
      <c r="AL299" s="696"/>
      <c r="AM299" s="696"/>
      <c r="AN299" s="696"/>
      <c r="AO299" s="847"/>
      <c r="AP299" s="696"/>
      <c r="AQ299" s="696"/>
      <c r="AR299" s="696"/>
      <c r="AS299" s="696"/>
      <c r="AT299" s="696"/>
      <c r="AU299" s="696"/>
      <c r="AV299" s="696"/>
      <c r="AW299" s="696"/>
      <c r="AX299" s="696"/>
      <c r="AY299" s="696"/>
      <c r="AZ299" s="696"/>
      <c r="BA299" s="696"/>
      <c r="BB299" s="696"/>
      <c r="BC299" s="696"/>
      <c r="BD299" s="696"/>
      <c r="BE299" s="696"/>
      <c r="BF299" s="696"/>
      <c r="BG299" s="696"/>
      <c r="BH299" s="696"/>
    </row>
    <row r="300" spans="1:60" s="44" customFormat="1">
      <c r="A300" s="700"/>
      <c r="B300" s="700"/>
      <c r="C300" s="696"/>
      <c r="D300" s="696"/>
      <c r="E300" s="696"/>
      <c r="F300" s="696"/>
      <c r="G300" s="696"/>
      <c r="H300" s="696"/>
      <c r="I300" s="847"/>
      <c r="J300" s="696"/>
      <c r="K300" s="696"/>
      <c r="L300" s="696"/>
      <c r="M300" s="696"/>
      <c r="N300" s="696"/>
      <c r="O300" s="696"/>
      <c r="P300" s="696"/>
      <c r="Q300" s="847"/>
      <c r="R300" s="696"/>
      <c r="S300" s="696"/>
      <c r="T300" s="696"/>
      <c r="U300" s="696"/>
      <c r="V300" s="696"/>
      <c r="W300" s="696"/>
      <c r="X300" s="696"/>
      <c r="Y300" s="847"/>
      <c r="Z300" s="696"/>
      <c r="AA300" s="696"/>
      <c r="AB300" s="696"/>
      <c r="AC300" s="696"/>
      <c r="AD300" s="696"/>
      <c r="AE300" s="696"/>
      <c r="AF300" s="696"/>
      <c r="AG300" s="847"/>
      <c r="AH300" s="696"/>
      <c r="AI300" s="696"/>
      <c r="AJ300" s="696"/>
      <c r="AK300" s="696"/>
      <c r="AL300" s="696"/>
      <c r="AM300" s="696"/>
      <c r="AN300" s="696"/>
      <c r="AO300" s="847"/>
      <c r="AP300" s="696"/>
      <c r="AQ300" s="696"/>
      <c r="AR300" s="696"/>
      <c r="AS300" s="696"/>
      <c r="AT300" s="696"/>
      <c r="AU300" s="696"/>
      <c r="AV300" s="696"/>
      <c r="AW300" s="696"/>
      <c r="AX300" s="696"/>
      <c r="AY300" s="696"/>
      <c r="AZ300" s="696"/>
      <c r="BA300" s="696"/>
      <c r="BB300" s="696"/>
      <c r="BC300" s="696"/>
      <c r="BD300" s="696"/>
      <c r="BE300" s="696"/>
      <c r="BF300" s="696"/>
      <c r="BG300" s="696"/>
      <c r="BH300" s="696"/>
    </row>
    <row r="301" spans="1:60" s="44" customFormat="1">
      <c r="A301" s="700"/>
      <c r="B301" s="700"/>
      <c r="C301" s="696"/>
      <c r="D301" s="696"/>
      <c r="E301" s="696"/>
      <c r="F301" s="696"/>
      <c r="G301" s="696"/>
      <c r="H301" s="696"/>
      <c r="I301" s="847"/>
      <c r="J301" s="696"/>
      <c r="K301" s="696"/>
      <c r="L301" s="696"/>
      <c r="M301" s="696"/>
      <c r="N301" s="696"/>
      <c r="O301" s="696"/>
      <c r="P301" s="696"/>
      <c r="Q301" s="847"/>
      <c r="R301" s="696"/>
      <c r="S301" s="696"/>
      <c r="T301" s="696"/>
      <c r="U301" s="696"/>
      <c r="V301" s="696"/>
      <c r="W301" s="696"/>
      <c r="X301" s="696"/>
      <c r="Y301" s="847"/>
      <c r="Z301" s="696"/>
      <c r="AA301" s="696"/>
      <c r="AB301" s="696"/>
      <c r="AC301" s="696"/>
      <c r="AD301" s="696"/>
      <c r="AE301" s="696"/>
      <c r="AF301" s="696"/>
      <c r="AG301" s="847"/>
      <c r="AH301" s="696"/>
      <c r="AI301" s="696"/>
      <c r="AJ301" s="696"/>
      <c r="AK301" s="696"/>
      <c r="AL301" s="696"/>
      <c r="AM301" s="696"/>
      <c r="AN301" s="696"/>
      <c r="AO301" s="847"/>
      <c r="AP301" s="696"/>
      <c r="AQ301" s="696"/>
      <c r="AR301" s="696"/>
      <c r="AS301" s="696"/>
      <c r="AT301" s="696"/>
      <c r="AU301" s="696"/>
      <c r="AV301" s="696"/>
      <c r="AW301" s="696"/>
      <c r="AX301" s="696"/>
      <c r="AY301" s="696"/>
      <c r="AZ301" s="696"/>
      <c r="BA301" s="696"/>
      <c r="BB301" s="696"/>
      <c r="BC301" s="696"/>
      <c r="BD301" s="696"/>
      <c r="BE301" s="696"/>
      <c r="BF301" s="696"/>
      <c r="BG301" s="696"/>
      <c r="BH301" s="696"/>
    </row>
    <row r="302" spans="1:60" s="44" customFormat="1">
      <c r="A302" s="700"/>
      <c r="B302" s="700"/>
      <c r="C302" s="696"/>
      <c r="D302" s="696"/>
      <c r="E302" s="696"/>
      <c r="F302" s="696"/>
      <c r="G302" s="696"/>
      <c r="H302" s="696"/>
      <c r="I302" s="847"/>
      <c r="J302" s="696"/>
      <c r="K302" s="696"/>
      <c r="L302" s="696"/>
      <c r="M302" s="696"/>
      <c r="N302" s="696"/>
      <c r="O302" s="696"/>
      <c r="P302" s="696"/>
      <c r="Q302" s="847"/>
      <c r="R302" s="696"/>
      <c r="S302" s="696"/>
      <c r="T302" s="696"/>
      <c r="U302" s="696"/>
      <c r="V302" s="696"/>
      <c r="W302" s="696"/>
      <c r="X302" s="696"/>
      <c r="Y302" s="847"/>
      <c r="Z302" s="696"/>
      <c r="AA302" s="696"/>
      <c r="AB302" s="696"/>
      <c r="AC302" s="696"/>
      <c r="AD302" s="696"/>
      <c r="AE302" s="696"/>
      <c r="AF302" s="696"/>
      <c r="AG302" s="847"/>
      <c r="AH302" s="696"/>
      <c r="AI302" s="696"/>
      <c r="AJ302" s="696"/>
      <c r="AK302" s="696"/>
      <c r="AL302" s="696"/>
      <c r="AM302" s="696"/>
      <c r="AN302" s="696"/>
      <c r="AO302" s="847"/>
      <c r="AP302" s="696"/>
      <c r="AQ302" s="696"/>
      <c r="AR302" s="696"/>
      <c r="AS302" s="696"/>
      <c r="AT302" s="696"/>
      <c r="AU302" s="696"/>
      <c r="AV302" s="696"/>
      <c r="AW302" s="696"/>
      <c r="AX302" s="696"/>
      <c r="AY302" s="696"/>
      <c r="AZ302" s="696"/>
      <c r="BA302" s="696"/>
      <c r="BB302" s="696"/>
      <c r="BC302" s="696"/>
      <c r="BD302" s="696"/>
      <c r="BE302" s="696"/>
      <c r="BF302" s="696"/>
      <c r="BG302" s="696"/>
      <c r="BH302" s="696"/>
    </row>
    <row r="303" spans="1:60" s="44" customFormat="1">
      <c r="A303" s="700"/>
      <c r="B303" s="700"/>
      <c r="C303" s="696"/>
      <c r="D303" s="696"/>
      <c r="E303" s="696"/>
      <c r="F303" s="696"/>
      <c r="G303" s="696"/>
      <c r="H303" s="696"/>
      <c r="I303" s="847"/>
      <c r="J303" s="696"/>
      <c r="K303" s="696"/>
      <c r="L303" s="696"/>
      <c r="M303" s="696"/>
      <c r="N303" s="696"/>
      <c r="O303" s="696"/>
      <c r="P303" s="696"/>
      <c r="Q303" s="847"/>
      <c r="R303" s="696"/>
      <c r="S303" s="696"/>
      <c r="T303" s="696"/>
      <c r="U303" s="696"/>
      <c r="V303" s="696"/>
      <c r="W303" s="696"/>
      <c r="X303" s="696"/>
      <c r="Y303" s="847"/>
      <c r="Z303" s="696"/>
      <c r="AA303" s="696"/>
      <c r="AB303" s="696"/>
      <c r="AC303" s="696"/>
      <c r="AD303" s="696"/>
      <c r="AE303" s="696"/>
      <c r="AF303" s="696"/>
      <c r="AG303" s="847"/>
      <c r="AH303" s="696"/>
      <c r="AI303" s="696"/>
      <c r="AJ303" s="696"/>
      <c r="AK303" s="696"/>
      <c r="AL303" s="696"/>
      <c r="AM303" s="696"/>
      <c r="AN303" s="696"/>
      <c r="AO303" s="847"/>
      <c r="AP303" s="696"/>
      <c r="AQ303" s="696"/>
      <c r="AR303" s="696"/>
      <c r="AS303" s="696"/>
      <c r="AT303" s="696"/>
      <c r="AU303" s="696"/>
      <c r="AV303" s="696"/>
      <c r="AW303" s="696"/>
      <c r="AX303" s="696"/>
      <c r="AY303" s="696"/>
      <c r="AZ303" s="696"/>
      <c r="BA303" s="696"/>
      <c r="BB303" s="696"/>
      <c r="BC303" s="696"/>
      <c r="BD303" s="696"/>
      <c r="BE303" s="696"/>
      <c r="BF303" s="696"/>
      <c r="BG303" s="696"/>
      <c r="BH303" s="696"/>
    </row>
    <row r="304" spans="1:60" s="44" customFormat="1">
      <c r="A304" s="700"/>
      <c r="B304" s="700"/>
      <c r="C304" s="696"/>
      <c r="D304" s="696"/>
      <c r="E304" s="696"/>
      <c r="F304" s="696"/>
      <c r="G304" s="696"/>
      <c r="H304" s="696"/>
      <c r="I304" s="847"/>
      <c r="J304" s="696"/>
      <c r="K304" s="696"/>
      <c r="L304" s="696"/>
      <c r="M304" s="696"/>
      <c r="N304" s="696"/>
      <c r="O304" s="696"/>
      <c r="P304" s="696"/>
      <c r="Q304" s="847"/>
      <c r="R304" s="696"/>
      <c r="S304" s="696"/>
      <c r="T304" s="696"/>
      <c r="U304" s="696"/>
      <c r="V304" s="696"/>
      <c r="W304" s="696"/>
      <c r="X304" s="696"/>
      <c r="Y304" s="847"/>
      <c r="Z304" s="696"/>
      <c r="AA304" s="696"/>
      <c r="AB304" s="696"/>
      <c r="AC304" s="696"/>
      <c r="AD304" s="696"/>
      <c r="AE304" s="696"/>
      <c r="AF304" s="696"/>
      <c r="AG304" s="847"/>
      <c r="AH304" s="696"/>
      <c r="AI304" s="696"/>
      <c r="AJ304" s="696"/>
      <c r="AK304" s="696"/>
      <c r="AL304" s="696"/>
      <c r="AM304" s="696"/>
      <c r="AN304" s="696"/>
      <c r="AO304" s="847"/>
      <c r="AP304" s="696"/>
      <c r="AQ304" s="696"/>
      <c r="AR304" s="696"/>
      <c r="AS304" s="696"/>
      <c r="AT304" s="696"/>
      <c r="AU304" s="696"/>
      <c r="AV304" s="696"/>
      <c r="AW304" s="696"/>
      <c r="AX304" s="696"/>
      <c r="AY304" s="696"/>
      <c r="AZ304" s="696"/>
      <c r="BA304" s="696"/>
      <c r="BB304" s="696"/>
      <c r="BC304" s="696"/>
      <c r="BD304" s="696"/>
      <c r="BE304" s="696"/>
      <c r="BF304" s="696"/>
      <c r="BG304" s="696"/>
      <c r="BH304" s="696"/>
    </row>
    <row r="305" spans="1:60" s="44" customFormat="1">
      <c r="A305" s="700"/>
      <c r="B305" s="700"/>
      <c r="C305" s="696"/>
      <c r="D305" s="696"/>
      <c r="E305" s="696"/>
      <c r="F305" s="696"/>
      <c r="G305" s="696"/>
      <c r="H305" s="696"/>
      <c r="I305" s="847"/>
      <c r="J305" s="696"/>
      <c r="K305" s="696"/>
      <c r="L305" s="696"/>
      <c r="M305" s="696"/>
      <c r="N305" s="696"/>
      <c r="O305" s="696"/>
      <c r="P305" s="696"/>
      <c r="Q305" s="847"/>
      <c r="R305" s="696"/>
      <c r="S305" s="696"/>
      <c r="T305" s="696"/>
      <c r="U305" s="696"/>
      <c r="V305" s="696"/>
      <c r="W305" s="696"/>
      <c r="X305" s="696"/>
      <c r="Y305" s="847"/>
      <c r="Z305" s="696"/>
      <c r="AA305" s="696"/>
      <c r="AB305" s="696"/>
      <c r="AC305" s="696"/>
      <c r="AD305" s="696"/>
      <c r="AE305" s="696"/>
      <c r="AF305" s="696"/>
      <c r="AG305" s="847"/>
      <c r="AH305" s="696"/>
      <c r="AI305" s="696"/>
      <c r="AJ305" s="696"/>
      <c r="AK305" s="696"/>
      <c r="AL305" s="696"/>
      <c r="AM305" s="696"/>
      <c r="AN305" s="696"/>
      <c r="AO305" s="847"/>
      <c r="AP305" s="696"/>
      <c r="AQ305" s="696"/>
      <c r="AR305" s="696"/>
      <c r="AS305" s="696"/>
      <c r="AT305" s="696"/>
      <c r="AU305" s="696"/>
      <c r="AV305" s="696"/>
      <c r="AW305" s="696"/>
      <c r="AX305" s="696"/>
      <c r="AY305" s="696"/>
      <c r="AZ305" s="696"/>
      <c r="BA305" s="696"/>
      <c r="BB305" s="696"/>
      <c r="BC305" s="696"/>
      <c r="BD305" s="696"/>
      <c r="BE305" s="696"/>
      <c r="BF305" s="696"/>
      <c r="BG305" s="696"/>
      <c r="BH305" s="696"/>
    </row>
    <row r="306" spans="1:60" s="44" customFormat="1">
      <c r="A306" s="700"/>
      <c r="B306" s="700"/>
      <c r="C306" s="696"/>
      <c r="D306" s="696"/>
      <c r="E306" s="696"/>
      <c r="F306" s="696"/>
      <c r="G306" s="696"/>
      <c r="H306" s="696"/>
      <c r="I306" s="847"/>
      <c r="J306" s="696"/>
      <c r="K306" s="696"/>
      <c r="L306" s="696"/>
      <c r="M306" s="696"/>
      <c r="N306" s="696"/>
      <c r="O306" s="696"/>
      <c r="P306" s="696"/>
      <c r="Q306" s="847"/>
      <c r="R306" s="696"/>
      <c r="S306" s="696"/>
      <c r="T306" s="696"/>
      <c r="U306" s="696"/>
      <c r="V306" s="696"/>
      <c r="W306" s="696"/>
      <c r="X306" s="696"/>
      <c r="Y306" s="847"/>
      <c r="Z306" s="696"/>
      <c r="AA306" s="696"/>
      <c r="AB306" s="696"/>
      <c r="AC306" s="696"/>
      <c r="AD306" s="696"/>
      <c r="AE306" s="696"/>
      <c r="AF306" s="696"/>
      <c r="AG306" s="847"/>
      <c r="AH306" s="696"/>
      <c r="AI306" s="696"/>
      <c r="AJ306" s="696"/>
      <c r="AK306" s="696"/>
      <c r="AL306" s="696"/>
      <c r="AM306" s="696"/>
      <c r="AN306" s="696"/>
      <c r="AO306" s="847"/>
      <c r="AP306" s="696"/>
      <c r="AQ306" s="696"/>
      <c r="AR306" s="696"/>
      <c r="AS306" s="696"/>
      <c r="AT306" s="696"/>
      <c r="AU306" s="696"/>
      <c r="AV306" s="696"/>
      <c r="AW306" s="696"/>
      <c r="AX306" s="696"/>
      <c r="AY306" s="696"/>
      <c r="AZ306" s="696"/>
      <c r="BA306" s="696"/>
      <c r="BB306" s="696"/>
      <c r="BC306" s="696"/>
      <c r="BD306" s="696"/>
      <c r="BE306" s="696"/>
      <c r="BF306" s="696"/>
      <c r="BG306" s="696"/>
      <c r="BH306" s="696"/>
    </row>
    <row r="307" spans="1:60" s="44" customFormat="1">
      <c r="A307" s="700"/>
      <c r="B307" s="700"/>
      <c r="C307" s="696"/>
      <c r="D307" s="696"/>
      <c r="E307" s="696"/>
      <c r="F307" s="696"/>
      <c r="G307" s="696"/>
      <c r="H307" s="696"/>
      <c r="I307" s="847"/>
      <c r="J307" s="696"/>
      <c r="K307" s="696"/>
      <c r="L307" s="696"/>
      <c r="M307" s="696"/>
      <c r="N307" s="696"/>
      <c r="O307" s="696"/>
      <c r="P307" s="696"/>
      <c r="Q307" s="847"/>
      <c r="R307" s="696"/>
      <c r="S307" s="696"/>
      <c r="T307" s="696"/>
      <c r="U307" s="696"/>
      <c r="V307" s="696"/>
      <c r="W307" s="696"/>
      <c r="X307" s="696"/>
      <c r="Y307" s="847"/>
      <c r="Z307" s="696"/>
      <c r="AA307" s="696"/>
      <c r="AB307" s="696"/>
      <c r="AC307" s="696"/>
      <c r="AD307" s="696"/>
      <c r="AE307" s="696"/>
      <c r="AF307" s="696"/>
      <c r="AG307" s="847"/>
      <c r="AH307" s="696"/>
      <c r="AI307" s="696"/>
      <c r="AJ307" s="696"/>
      <c r="AK307" s="696"/>
      <c r="AL307" s="696"/>
      <c r="AM307" s="696"/>
      <c r="AN307" s="696"/>
      <c r="AO307" s="847"/>
      <c r="AP307" s="696"/>
      <c r="AQ307" s="696"/>
      <c r="AR307" s="696"/>
      <c r="AS307" s="696"/>
      <c r="AT307" s="696"/>
      <c r="AU307" s="696"/>
      <c r="AV307" s="696"/>
      <c r="AW307" s="696"/>
      <c r="AX307" s="696"/>
      <c r="AY307" s="696"/>
      <c r="AZ307" s="696"/>
      <c r="BA307" s="696"/>
      <c r="BB307" s="696"/>
      <c r="BC307" s="696"/>
      <c r="BD307" s="696"/>
      <c r="BE307" s="696"/>
      <c r="BF307" s="696"/>
      <c r="BG307" s="696"/>
      <c r="BH307" s="696"/>
    </row>
    <row r="308" spans="1:60" s="44" customFormat="1">
      <c r="A308" s="700"/>
      <c r="B308" s="700"/>
      <c r="C308" s="696"/>
      <c r="D308" s="696"/>
      <c r="E308" s="696"/>
      <c r="F308" s="696"/>
      <c r="G308" s="696"/>
      <c r="H308" s="696"/>
      <c r="I308" s="847"/>
      <c r="J308" s="696"/>
      <c r="K308" s="696"/>
      <c r="L308" s="696"/>
      <c r="M308" s="696"/>
      <c r="N308" s="696"/>
      <c r="O308" s="696"/>
      <c r="P308" s="696"/>
      <c r="Q308" s="847"/>
      <c r="R308" s="696"/>
      <c r="S308" s="696"/>
      <c r="T308" s="696"/>
      <c r="U308" s="696"/>
      <c r="V308" s="696"/>
      <c r="W308" s="696"/>
      <c r="X308" s="696"/>
      <c r="Y308" s="847"/>
      <c r="Z308" s="696"/>
      <c r="AA308" s="696"/>
      <c r="AB308" s="696"/>
      <c r="AC308" s="696"/>
      <c r="AD308" s="696"/>
      <c r="AE308" s="696"/>
      <c r="AF308" s="696"/>
      <c r="AG308" s="847"/>
      <c r="AH308" s="696"/>
      <c r="AI308" s="696"/>
      <c r="AJ308" s="696"/>
      <c r="AK308" s="696"/>
      <c r="AL308" s="696"/>
      <c r="AM308" s="696"/>
      <c r="AN308" s="696"/>
      <c r="AO308" s="847"/>
      <c r="AP308" s="696"/>
      <c r="AQ308" s="696"/>
      <c r="AR308" s="696"/>
      <c r="AS308" s="696"/>
      <c r="AT308" s="696"/>
      <c r="AU308" s="696"/>
      <c r="AV308" s="696"/>
      <c r="AW308" s="696"/>
      <c r="AX308" s="696"/>
      <c r="AY308" s="696"/>
      <c r="AZ308" s="696"/>
      <c r="BA308" s="696"/>
      <c r="BB308" s="696"/>
      <c r="BC308" s="696"/>
      <c r="BD308" s="696"/>
      <c r="BE308" s="696"/>
      <c r="BF308" s="696"/>
      <c r="BG308" s="696"/>
      <c r="BH308" s="696"/>
    </row>
    <row r="309" spans="1:60" s="44" customFormat="1">
      <c r="A309" s="700"/>
      <c r="B309" s="700"/>
      <c r="C309" s="696"/>
      <c r="D309" s="696"/>
      <c r="E309" s="696"/>
      <c r="F309" s="696"/>
      <c r="G309" s="696"/>
      <c r="H309" s="696"/>
      <c r="I309" s="847"/>
      <c r="J309" s="696"/>
      <c r="K309" s="696"/>
      <c r="L309" s="696"/>
      <c r="M309" s="696"/>
      <c r="N309" s="696"/>
      <c r="O309" s="696"/>
      <c r="P309" s="696"/>
      <c r="Q309" s="847"/>
      <c r="R309" s="696"/>
      <c r="S309" s="696"/>
      <c r="T309" s="696"/>
      <c r="U309" s="696"/>
      <c r="V309" s="696"/>
      <c r="W309" s="696"/>
      <c r="X309" s="696"/>
      <c r="Y309" s="847"/>
      <c r="Z309" s="696"/>
      <c r="AA309" s="696"/>
      <c r="AB309" s="696"/>
      <c r="AC309" s="696"/>
      <c r="AD309" s="696"/>
      <c r="AE309" s="696"/>
      <c r="AF309" s="696"/>
      <c r="AG309" s="847"/>
      <c r="AH309" s="696"/>
      <c r="AI309" s="696"/>
      <c r="AJ309" s="696"/>
      <c r="AK309" s="696"/>
      <c r="AL309" s="696"/>
      <c r="AM309" s="696"/>
      <c r="AN309" s="696"/>
      <c r="AO309" s="847"/>
      <c r="AP309" s="696"/>
      <c r="AQ309" s="696"/>
      <c r="AR309" s="696"/>
      <c r="AS309" s="696"/>
      <c r="AT309" s="696"/>
      <c r="AU309" s="696"/>
      <c r="AV309" s="696"/>
      <c r="AW309" s="696"/>
      <c r="AX309" s="696"/>
      <c r="AY309" s="696"/>
      <c r="AZ309" s="696"/>
      <c r="BA309" s="696"/>
      <c r="BB309" s="696"/>
      <c r="BC309" s="696"/>
      <c r="BD309" s="696"/>
      <c r="BE309" s="696"/>
      <c r="BF309" s="696"/>
      <c r="BG309" s="696"/>
      <c r="BH309" s="696"/>
    </row>
    <row r="310" spans="1:60" s="44" customFormat="1">
      <c r="A310" s="700"/>
      <c r="B310" s="700"/>
      <c r="C310" s="696"/>
      <c r="D310" s="696"/>
      <c r="E310" s="696"/>
      <c r="F310" s="696"/>
      <c r="G310" s="696"/>
      <c r="H310" s="696"/>
      <c r="I310" s="847"/>
      <c r="J310" s="696"/>
      <c r="K310" s="696"/>
      <c r="L310" s="696"/>
      <c r="M310" s="696"/>
      <c r="N310" s="696"/>
      <c r="O310" s="696"/>
      <c r="P310" s="696"/>
      <c r="Q310" s="847"/>
      <c r="R310" s="696"/>
      <c r="S310" s="696"/>
      <c r="T310" s="696"/>
      <c r="U310" s="696"/>
      <c r="V310" s="696"/>
      <c r="W310" s="696"/>
      <c r="X310" s="696"/>
      <c r="Y310" s="847"/>
      <c r="Z310" s="696"/>
      <c r="AA310" s="696"/>
      <c r="AB310" s="696"/>
      <c r="AC310" s="696"/>
      <c r="AD310" s="696"/>
      <c r="AE310" s="696"/>
      <c r="AF310" s="696"/>
      <c r="AG310" s="847"/>
      <c r="AH310" s="696"/>
      <c r="AI310" s="696"/>
      <c r="AJ310" s="696"/>
      <c r="AK310" s="696"/>
      <c r="AL310" s="696"/>
      <c r="AM310" s="696"/>
      <c r="AN310" s="696"/>
      <c r="AO310" s="847"/>
      <c r="AP310" s="696"/>
      <c r="AQ310" s="696"/>
      <c r="AR310" s="696"/>
      <c r="AS310" s="696"/>
      <c r="AT310" s="696"/>
      <c r="AU310" s="696"/>
      <c r="AV310" s="696"/>
      <c r="AW310" s="696"/>
      <c r="AX310" s="696"/>
      <c r="AY310" s="696"/>
      <c r="AZ310" s="696"/>
      <c r="BA310" s="696"/>
      <c r="BB310" s="696"/>
      <c r="BC310" s="696"/>
      <c r="BD310" s="696"/>
      <c r="BE310" s="696"/>
      <c r="BF310" s="696"/>
      <c r="BG310" s="696"/>
      <c r="BH310" s="696"/>
    </row>
    <row r="311" spans="1:60" s="44" customFormat="1">
      <c r="A311" s="700"/>
      <c r="B311" s="700"/>
      <c r="C311" s="696"/>
      <c r="D311" s="696"/>
      <c r="E311" s="696"/>
      <c r="F311" s="696"/>
      <c r="G311" s="696"/>
      <c r="H311" s="696"/>
      <c r="I311" s="847"/>
      <c r="J311" s="696"/>
      <c r="K311" s="696"/>
      <c r="L311" s="696"/>
      <c r="M311" s="696"/>
      <c r="N311" s="696"/>
      <c r="O311" s="696"/>
      <c r="P311" s="696"/>
      <c r="Q311" s="847"/>
      <c r="R311" s="696"/>
      <c r="S311" s="696"/>
      <c r="T311" s="696"/>
      <c r="U311" s="696"/>
      <c r="V311" s="696"/>
      <c r="W311" s="696"/>
      <c r="X311" s="696"/>
      <c r="Y311" s="847"/>
      <c r="Z311" s="696"/>
      <c r="AA311" s="696"/>
      <c r="AB311" s="696"/>
      <c r="AC311" s="696"/>
      <c r="AD311" s="696"/>
      <c r="AE311" s="696"/>
      <c r="AF311" s="696"/>
      <c r="AG311" s="847"/>
      <c r="AH311" s="696"/>
      <c r="AI311" s="696"/>
      <c r="AJ311" s="696"/>
      <c r="AK311" s="696"/>
      <c r="AL311" s="696"/>
      <c r="AM311" s="696"/>
      <c r="AN311" s="696"/>
      <c r="AO311" s="847"/>
      <c r="AP311" s="696"/>
      <c r="AQ311" s="696"/>
      <c r="AR311" s="696"/>
      <c r="AS311" s="696"/>
      <c r="AT311" s="696"/>
      <c r="AU311" s="696"/>
      <c r="AV311" s="696"/>
      <c r="AW311" s="696"/>
      <c r="AX311" s="696"/>
      <c r="AY311" s="696"/>
      <c r="AZ311" s="696"/>
      <c r="BA311" s="696"/>
      <c r="BB311" s="696"/>
      <c r="BC311" s="696"/>
      <c r="BD311" s="696"/>
      <c r="BE311" s="696"/>
      <c r="BF311" s="696"/>
      <c r="BG311" s="696"/>
      <c r="BH311" s="696"/>
    </row>
    <row r="312" spans="1:60" s="44" customFormat="1">
      <c r="A312" s="700"/>
      <c r="B312" s="700"/>
      <c r="C312" s="696"/>
      <c r="D312" s="696"/>
      <c r="E312" s="696"/>
      <c r="F312" s="696"/>
      <c r="G312" s="696"/>
      <c r="H312" s="696"/>
      <c r="I312" s="847"/>
      <c r="J312" s="696"/>
      <c r="K312" s="696"/>
      <c r="L312" s="696"/>
      <c r="M312" s="696"/>
      <c r="N312" s="696"/>
      <c r="O312" s="696"/>
      <c r="P312" s="696"/>
      <c r="Q312" s="847"/>
      <c r="R312" s="696"/>
      <c r="S312" s="696"/>
      <c r="T312" s="696"/>
      <c r="U312" s="696"/>
      <c r="V312" s="696"/>
      <c r="W312" s="696"/>
      <c r="X312" s="696"/>
      <c r="Y312" s="847"/>
      <c r="Z312" s="696"/>
      <c r="AA312" s="696"/>
      <c r="AB312" s="696"/>
      <c r="AC312" s="696"/>
      <c r="AD312" s="696"/>
      <c r="AE312" s="696"/>
      <c r="AF312" s="696"/>
      <c r="AG312" s="847"/>
      <c r="AH312" s="696"/>
      <c r="AI312" s="696"/>
      <c r="AJ312" s="696"/>
      <c r="AK312" s="696"/>
      <c r="AL312" s="696"/>
      <c r="AM312" s="696"/>
      <c r="AN312" s="696"/>
      <c r="AO312" s="847"/>
      <c r="AP312" s="696"/>
      <c r="AQ312" s="696"/>
      <c r="AR312" s="696"/>
      <c r="AS312" s="696"/>
      <c r="AT312" s="696"/>
      <c r="AU312" s="696"/>
      <c r="AV312" s="696"/>
      <c r="AW312" s="696"/>
      <c r="AX312" s="696"/>
      <c r="AY312" s="696"/>
      <c r="AZ312" s="696"/>
      <c r="BA312" s="696"/>
      <c r="BB312" s="696"/>
      <c r="BC312" s="696"/>
      <c r="BD312" s="696"/>
      <c r="BE312" s="696"/>
      <c r="BF312" s="696"/>
      <c r="BG312" s="696"/>
      <c r="BH312" s="696"/>
    </row>
    <row r="313" spans="1:60" s="44" customFormat="1">
      <c r="A313" s="700"/>
      <c r="B313" s="700"/>
      <c r="C313" s="696"/>
      <c r="D313" s="696"/>
      <c r="E313" s="696"/>
      <c r="F313" s="696"/>
      <c r="G313" s="696"/>
      <c r="H313" s="696"/>
      <c r="I313" s="847"/>
      <c r="J313" s="696"/>
      <c r="K313" s="696"/>
      <c r="L313" s="696"/>
      <c r="M313" s="696"/>
      <c r="N313" s="696"/>
      <c r="O313" s="696"/>
      <c r="P313" s="696"/>
      <c r="Q313" s="847"/>
      <c r="R313" s="696"/>
      <c r="S313" s="696"/>
      <c r="T313" s="696"/>
      <c r="U313" s="696"/>
      <c r="V313" s="696"/>
      <c r="W313" s="696"/>
      <c r="X313" s="696"/>
      <c r="Y313" s="847"/>
      <c r="Z313" s="696"/>
      <c r="AA313" s="696"/>
      <c r="AB313" s="696"/>
      <c r="AC313" s="696"/>
      <c r="AD313" s="696"/>
      <c r="AE313" s="696"/>
      <c r="AF313" s="696"/>
      <c r="AG313" s="847"/>
      <c r="AH313" s="696"/>
      <c r="AI313" s="696"/>
      <c r="AJ313" s="696"/>
      <c r="AK313" s="696"/>
      <c r="AL313" s="696"/>
      <c r="AM313" s="696"/>
      <c r="AN313" s="696"/>
      <c r="AO313" s="847"/>
      <c r="AP313" s="696"/>
      <c r="AQ313" s="696"/>
      <c r="AR313" s="696"/>
      <c r="AS313" s="696"/>
      <c r="AT313" s="696"/>
      <c r="AU313" s="696"/>
      <c r="AV313" s="696"/>
      <c r="AW313" s="696"/>
      <c r="AX313" s="696"/>
      <c r="AY313" s="696"/>
      <c r="AZ313" s="696"/>
      <c r="BA313" s="696"/>
      <c r="BB313" s="696"/>
      <c r="BC313" s="696"/>
      <c r="BD313" s="696"/>
      <c r="BE313" s="696"/>
      <c r="BF313" s="696"/>
      <c r="BG313" s="696"/>
      <c r="BH313" s="696"/>
    </row>
    <row r="314" spans="1:60" s="44" customFormat="1">
      <c r="A314" s="700"/>
      <c r="B314" s="700"/>
      <c r="C314" s="696"/>
      <c r="D314" s="696"/>
      <c r="E314" s="696"/>
      <c r="F314" s="696"/>
      <c r="G314" s="696"/>
      <c r="H314" s="696"/>
      <c r="I314" s="847"/>
      <c r="J314" s="696"/>
      <c r="K314" s="696"/>
      <c r="L314" s="696"/>
      <c r="M314" s="696"/>
      <c r="N314" s="696"/>
      <c r="O314" s="696"/>
      <c r="P314" s="696"/>
      <c r="Q314" s="847"/>
      <c r="R314" s="696"/>
      <c r="S314" s="696"/>
      <c r="T314" s="696"/>
      <c r="U314" s="696"/>
      <c r="V314" s="696"/>
      <c r="W314" s="696"/>
      <c r="X314" s="696"/>
      <c r="Y314" s="847"/>
      <c r="Z314" s="696"/>
      <c r="AA314" s="696"/>
      <c r="AB314" s="696"/>
      <c r="AC314" s="696"/>
      <c r="AD314" s="696"/>
      <c r="AE314" s="696"/>
      <c r="AF314" s="696"/>
      <c r="AG314" s="847"/>
      <c r="AH314" s="696"/>
      <c r="AI314" s="696"/>
      <c r="AJ314" s="696"/>
      <c r="AK314" s="696"/>
      <c r="AL314" s="696"/>
      <c r="AM314" s="696"/>
      <c r="AN314" s="696"/>
      <c r="AO314" s="847"/>
      <c r="AP314" s="696"/>
      <c r="AQ314" s="696"/>
      <c r="AR314" s="696"/>
      <c r="AS314" s="696"/>
      <c r="AT314" s="696"/>
      <c r="AU314" s="696"/>
      <c r="AV314" s="696"/>
      <c r="AW314" s="696"/>
      <c r="AX314" s="696"/>
      <c r="AY314" s="696"/>
      <c r="AZ314" s="696"/>
      <c r="BA314" s="696"/>
      <c r="BB314" s="696"/>
      <c r="BC314" s="696"/>
      <c r="BD314" s="696"/>
      <c r="BE314" s="696"/>
      <c r="BF314" s="696"/>
      <c r="BG314" s="696"/>
      <c r="BH314" s="696"/>
    </row>
    <row r="315" spans="1:60" s="44" customFormat="1">
      <c r="A315" s="700"/>
      <c r="B315" s="700"/>
      <c r="C315" s="696"/>
      <c r="D315" s="696"/>
      <c r="E315" s="696"/>
      <c r="F315" s="696"/>
      <c r="G315" s="696"/>
      <c r="H315" s="696"/>
      <c r="I315" s="847"/>
      <c r="J315" s="696"/>
      <c r="K315" s="696"/>
      <c r="L315" s="696"/>
      <c r="M315" s="696"/>
      <c r="N315" s="696"/>
      <c r="O315" s="696"/>
      <c r="P315" s="696"/>
      <c r="Q315" s="847"/>
      <c r="R315" s="696"/>
      <c r="S315" s="696"/>
      <c r="T315" s="696"/>
      <c r="U315" s="696"/>
      <c r="V315" s="696"/>
      <c r="W315" s="696"/>
      <c r="X315" s="696"/>
      <c r="Y315" s="847"/>
      <c r="Z315" s="696"/>
      <c r="AA315" s="696"/>
      <c r="AB315" s="696"/>
      <c r="AC315" s="696"/>
      <c r="AD315" s="696"/>
      <c r="AE315" s="696"/>
      <c r="AF315" s="696"/>
      <c r="AG315" s="847"/>
      <c r="AH315" s="696"/>
      <c r="AI315" s="696"/>
      <c r="AJ315" s="696"/>
      <c r="AK315" s="696"/>
      <c r="AL315" s="696"/>
      <c r="AM315" s="696"/>
      <c r="AN315" s="696"/>
      <c r="AO315" s="847"/>
      <c r="AP315" s="696"/>
      <c r="AQ315" s="696"/>
      <c r="AR315" s="696"/>
      <c r="AS315" s="696"/>
      <c r="AT315" s="696"/>
      <c r="AU315" s="696"/>
      <c r="AV315" s="696"/>
      <c r="AW315" s="696"/>
      <c r="AX315" s="696"/>
      <c r="AY315" s="696"/>
      <c r="AZ315" s="696"/>
      <c r="BA315" s="696"/>
      <c r="BB315" s="696"/>
      <c r="BC315" s="696"/>
      <c r="BD315" s="696"/>
      <c r="BE315" s="696"/>
      <c r="BF315" s="696"/>
      <c r="BG315" s="696"/>
      <c r="BH315" s="696"/>
    </row>
    <row r="316" spans="1:60" s="44" customFormat="1">
      <c r="A316" s="700"/>
      <c r="B316" s="700"/>
      <c r="C316" s="696"/>
      <c r="D316" s="696"/>
      <c r="E316" s="696"/>
      <c r="F316" s="696"/>
      <c r="G316" s="696"/>
      <c r="H316" s="696"/>
      <c r="I316" s="847"/>
      <c r="J316" s="696"/>
      <c r="K316" s="696"/>
      <c r="L316" s="696"/>
      <c r="M316" s="696"/>
      <c r="N316" s="696"/>
      <c r="O316" s="696"/>
      <c r="P316" s="696"/>
      <c r="Q316" s="847"/>
      <c r="R316" s="696"/>
      <c r="S316" s="696"/>
      <c r="T316" s="696"/>
      <c r="U316" s="696"/>
      <c r="V316" s="696"/>
      <c r="W316" s="696"/>
      <c r="X316" s="696"/>
      <c r="Y316" s="847"/>
      <c r="Z316" s="696"/>
      <c r="AA316" s="696"/>
      <c r="AB316" s="696"/>
      <c r="AC316" s="696"/>
      <c r="AD316" s="696"/>
      <c r="AE316" s="696"/>
      <c r="AF316" s="696"/>
      <c r="AG316" s="847"/>
      <c r="AH316" s="696"/>
      <c r="AI316" s="696"/>
      <c r="AJ316" s="696"/>
      <c r="AK316" s="696"/>
      <c r="AL316" s="696"/>
      <c r="AM316" s="696"/>
      <c r="AN316" s="696"/>
      <c r="AO316" s="847"/>
      <c r="AP316" s="696"/>
      <c r="AQ316" s="696"/>
      <c r="AR316" s="696"/>
      <c r="AS316" s="696"/>
      <c r="AT316" s="696"/>
      <c r="AU316" s="696"/>
      <c r="AV316" s="696"/>
      <c r="AW316" s="696"/>
      <c r="AX316" s="696"/>
      <c r="AY316" s="696"/>
      <c r="AZ316" s="696"/>
      <c r="BA316" s="696"/>
      <c r="BB316" s="696"/>
      <c r="BC316" s="696"/>
      <c r="BD316" s="696"/>
      <c r="BE316" s="696"/>
      <c r="BF316" s="696"/>
      <c r="BG316" s="696"/>
      <c r="BH316" s="696"/>
    </row>
    <row r="317" spans="1:60" s="44" customFormat="1">
      <c r="A317" s="700"/>
      <c r="B317" s="700"/>
      <c r="C317" s="696"/>
      <c r="D317" s="696"/>
      <c r="E317" s="696"/>
      <c r="F317" s="696"/>
      <c r="G317" s="696"/>
      <c r="H317" s="696"/>
      <c r="I317" s="847"/>
      <c r="J317" s="696"/>
      <c r="K317" s="696"/>
      <c r="L317" s="696"/>
      <c r="M317" s="696"/>
      <c r="N317" s="696"/>
      <c r="O317" s="696"/>
      <c r="P317" s="696"/>
      <c r="Q317" s="847"/>
      <c r="R317" s="696"/>
      <c r="S317" s="696"/>
      <c r="T317" s="696"/>
      <c r="U317" s="696"/>
      <c r="V317" s="696"/>
      <c r="W317" s="696"/>
      <c r="X317" s="696"/>
      <c r="Y317" s="847"/>
      <c r="Z317" s="696"/>
      <c r="AA317" s="696"/>
      <c r="AB317" s="696"/>
      <c r="AC317" s="696"/>
      <c r="AD317" s="696"/>
      <c r="AE317" s="696"/>
      <c r="AF317" s="696"/>
      <c r="AG317" s="847"/>
      <c r="AH317" s="696"/>
      <c r="AI317" s="696"/>
      <c r="AJ317" s="696"/>
      <c r="AK317" s="696"/>
      <c r="AL317" s="696"/>
      <c r="AM317" s="696"/>
      <c r="AN317" s="696"/>
      <c r="AO317" s="847"/>
      <c r="AP317" s="696"/>
      <c r="AQ317" s="696"/>
      <c r="AR317" s="696"/>
      <c r="AS317" s="696"/>
      <c r="AT317" s="696"/>
      <c r="AU317" s="696"/>
      <c r="AV317" s="696"/>
      <c r="AW317" s="696"/>
      <c r="AX317" s="696"/>
      <c r="AY317" s="696"/>
      <c r="AZ317" s="696"/>
      <c r="BA317" s="696"/>
      <c r="BB317" s="696"/>
      <c r="BC317" s="696"/>
      <c r="BD317" s="696"/>
      <c r="BE317" s="696"/>
      <c r="BF317" s="696"/>
      <c r="BG317" s="696"/>
      <c r="BH317" s="696"/>
    </row>
    <row r="318" spans="1:60" s="44" customFormat="1">
      <c r="A318" s="700"/>
      <c r="B318" s="700"/>
      <c r="C318" s="696"/>
      <c r="D318" s="696"/>
      <c r="E318" s="696"/>
      <c r="F318" s="696"/>
      <c r="G318" s="696"/>
      <c r="H318" s="696"/>
      <c r="I318" s="847"/>
      <c r="J318" s="696"/>
      <c r="K318" s="696"/>
      <c r="L318" s="696"/>
      <c r="M318" s="696"/>
      <c r="N318" s="696"/>
      <c r="O318" s="696"/>
      <c r="P318" s="696"/>
      <c r="Q318" s="847"/>
      <c r="R318" s="696"/>
      <c r="S318" s="696"/>
      <c r="T318" s="696"/>
      <c r="U318" s="696"/>
      <c r="V318" s="696"/>
      <c r="W318" s="696"/>
      <c r="X318" s="696"/>
      <c r="Y318" s="847"/>
      <c r="Z318" s="696"/>
      <c r="AA318" s="696"/>
      <c r="AB318" s="696"/>
      <c r="AC318" s="696"/>
      <c r="AD318" s="696"/>
      <c r="AE318" s="696"/>
      <c r="AF318" s="696"/>
      <c r="AG318" s="847"/>
      <c r="AH318" s="696"/>
      <c r="AI318" s="696"/>
      <c r="AJ318" s="696"/>
      <c r="AK318" s="696"/>
      <c r="AL318" s="696"/>
      <c r="AM318" s="696"/>
      <c r="AN318" s="696"/>
      <c r="AO318" s="847"/>
      <c r="AP318" s="696"/>
      <c r="AQ318" s="696"/>
      <c r="AR318" s="696"/>
      <c r="AS318" s="696"/>
      <c r="AT318" s="696"/>
      <c r="AU318" s="696"/>
      <c r="AV318" s="696"/>
      <c r="AW318" s="696"/>
      <c r="AX318" s="696"/>
      <c r="AY318" s="696"/>
      <c r="AZ318" s="696"/>
      <c r="BA318" s="696"/>
      <c r="BB318" s="696"/>
      <c r="BC318" s="696"/>
      <c r="BD318" s="696"/>
      <c r="BE318" s="696"/>
      <c r="BF318" s="696"/>
      <c r="BG318" s="696"/>
      <c r="BH318" s="696"/>
    </row>
    <row r="319" spans="1:60" s="44" customFormat="1">
      <c r="A319" s="700"/>
      <c r="B319" s="700"/>
      <c r="C319" s="696"/>
      <c r="D319" s="696"/>
      <c r="E319" s="696"/>
      <c r="F319" s="696"/>
      <c r="G319" s="696"/>
      <c r="H319" s="696"/>
      <c r="I319" s="847"/>
      <c r="J319" s="696"/>
      <c r="K319" s="696"/>
      <c r="L319" s="696"/>
      <c r="M319" s="696"/>
      <c r="N319" s="696"/>
      <c r="O319" s="696"/>
      <c r="P319" s="696"/>
      <c r="Q319" s="847"/>
      <c r="R319" s="696"/>
      <c r="S319" s="696"/>
      <c r="T319" s="696"/>
      <c r="U319" s="696"/>
      <c r="V319" s="696"/>
      <c r="W319" s="696"/>
      <c r="X319" s="696"/>
      <c r="Y319" s="847"/>
      <c r="Z319" s="696"/>
      <c r="AA319" s="696"/>
      <c r="AB319" s="696"/>
      <c r="AC319" s="696"/>
      <c r="AD319" s="696"/>
      <c r="AE319" s="696"/>
      <c r="AF319" s="696"/>
      <c r="AG319" s="847"/>
      <c r="AH319" s="696"/>
      <c r="AI319" s="696"/>
      <c r="AJ319" s="696"/>
      <c r="AK319" s="696"/>
      <c r="AL319" s="696"/>
      <c r="AM319" s="696"/>
      <c r="AN319" s="696"/>
      <c r="AO319" s="847"/>
      <c r="AP319" s="696"/>
      <c r="AQ319" s="696"/>
      <c r="AR319" s="696"/>
      <c r="AS319" s="696"/>
      <c r="AT319" s="696"/>
      <c r="AU319" s="696"/>
      <c r="AV319" s="696"/>
      <c r="AW319" s="696"/>
      <c r="AX319" s="696"/>
      <c r="AY319" s="696"/>
      <c r="AZ319" s="696"/>
      <c r="BA319" s="696"/>
      <c r="BB319" s="696"/>
      <c r="BC319" s="696"/>
      <c r="BD319" s="696"/>
      <c r="BE319" s="696"/>
      <c r="BF319" s="696"/>
      <c r="BG319" s="696"/>
      <c r="BH319" s="696"/>
    </row>
    <row r="320" spans="1:60" s="44" customFormat="1">
      <c r="A320" s="700"/>
      <c r="B320" s="700"/>
      <c r="C320" s="696"/>
      <c r="D320" s="696"/>
      <c r="E320" s="696"/>
      <c r="F320" s="696"/>
      <c r="G320" s="696"/>
      <c r="H320" s="696"/>
      <c r="I320" s="847"/>
      <c r="J320" s="696"/>
      <c r="K320" s="696"/>
      <c r="L320" s="696"/>
      <c r="M320" s="696"/>
      <c r="N320" s="696"/>
      <c r="O320" s="696"/>
      <c r="P320" s="696"/>
      <c r="Q320" s="847"/>
      <c r="R320" s="696"/>
      <c r="S320" s="696"/>
      <c r="T320" s="696"/>
      <c r="U320" s="696"/>
      <c r="V320" s="696"/>
      <c r="W320" s="696"/>
      <c r="X320" s="696"/>
      <c r="Y320" s="847"/>
      <c r="Z320" s="696"/>
      <c r="AA320" s="696"/>
      <c r="AB320" s="696"/>
      <c r="AC320" s="696"/>
      <c r="AD320" s="696"/>
      <c r="AE320" s="696"/>
      <c r="AF320" s="696"/>
      <c r="AG320" s="847"/>
      <c r="AH320" s="696"/>
      <c r="AI320" s="696"/>
      <c r="AJ320" s="696"/>
      <c r="AK320" s="696"/>
      <c r="AL320" s="696"/>
      <c r="AM320" s="696"/>
      <c r="AN320" s="696"/>
      <c r="AO320" s="847"/>
      <c r="AP320" s="696"/>
      <c r="AQ320" s="696"/>
      <c r="AR320" s="696"/>
      <c r="AS320" s="696"/>
      <c r="AT320" s="696"/>
      <c r="AU320" s="696"/>
      <c r="AV320" s="696"/>
      <c r="AW320" s="696"/>
      <c r="AX320" s="696"/>
      <c r="AY320" s="696"/>
      <c r="AZ320" s="696"/>
      <c r="BA320" s="696"/>
      <c r="BB320" s="696"/>
      <c r="BC320" s="696"/>
      <c r="BD320" s="696"/>
      <c r="BE320" s="696"/>
      <c r="BF320" s="696"/>
      <c r="BG320" s="696"/>
      <c r="BH320" s="696"/>
    </row>
    <row r="321" spans="1:60" s="44" customFormat="1">
      <c r="A321" s="700"/>
      <c r="B321" s="700"/>
      <c r="C321" s="696"/>
      <c r="D321" s="696"/>
      <c r="E321" s="696"/>
      <c r="F321" s="696"/>
      <c r="G321" s="696"/>
      <c r="H321" s="696"/>
      <c r="I321" s="847"/>
      <c r="J321" s="696"/>
      <c r="K321" s="696"/>
      <c r="L321" s="696"/>
      <c r="M321" s="696"/>
      <c r="N321" s="696"/>
      <c r="O321" s="696"/>
      <c r="P321" s="696"/>
      <c r="Q321" s="847"/>
      <c r="R321" s="696"/>
      <c r="S321" s="696"/>
      <c r="T321" s="696"/>
      <c r="U321" s="696"/>
      <c r="V321" s="696"/>
      <c r="W321" s="696"/>
      <c r="X321" s="696"/>
      <c r="Y321" s="847"/>
      <c r="Z321" s="696"/>
      <c r="AA321" s="696"/>
      <c r="AB321" s="696"/>
      <c r="AC321" s="696"/>
      <c r="AD321" s="696"/>
      <c r="AE321" s="696"/>
      <c r="AF321" s="696"/>
      <c r="AG321" s="847"/>
      <c r="AH321" s="696"/>
      <c r="AI321" s="696"/>
      <c r="AJ321" s="696"/>
      <c r="AK321" s="696"/>
      <c r="AL321" s="696"/>
      <c r="AM321" s="696"/>
      <c r="AN321" s="696"/>
      <c r="AO321" s="847"/>
      <c r="AP321" s="696"/>
      <c r="AQ321" s="696"/>
      <c r="AR321" s="696"/>
      <c r="AS321" s="696"/>
      <c r="AT321" s="696"/>
      <c r="AU321" s="696"/>
      <c r="AV321" s="696"/>
      <c r="AW321" s="696"/>
      <c r="AX321" s="696"/>
      <c r="AY321" s="696"/>
      <c r="AZ321" s="696"/>
      <c r="BA321" s="696"/>
      <c r="BB321" s="696"/>
      <c r="BC321" s="696"/>
      <c r="BD321" s="696"/>
      <c r="BE321" s="696"/>
      <c r="BF321" s="696"/>
      <c r="BG321" s="696"/>
      <c r="BH321" s="696"/>
    </row>
    <row r="322" spans="1:60" s="44" customFormat="1">
      <c r="A322" s="700"/>
      <c r="B322" s="700"/>
      <c r="C322" s="696"/>
      <c r="D322" s="696"/>
      <c r="E322" s="696"/>
      <c r="F322" s="696"/>
      <c r="G322" s="696"/>
      <c r="H322" s="696"/>
      <c r="I322" s="847"/>
      <c r="J322" s="696"/>
      <c r="K322" s="696"/>
      <c r="L322" s="696"/>
      <c r="M322" s="696"/>
      <c r="N322" s="696"/>
      <c r="O322" s="696"/>
      <c r="P322" s="696"/>
      <c r="Q322" s="847"/>
      <c r="R322" s="696"/>
      <c r="S322" s="696"/>
      <c r="T322" s="696"/>
      <c r="U322" s="696"/>
      <c r="V322" s="696"/>
      <c r="W322" s="696"/>
      <c r="X322" s="696"/>
      <c r="Y322" s="847"/>
      <c r="Z322" s="696"/>
      <c r="AA322" s="696"/>
      <c r="AB322" s="696"/>
      <c r="AC322" s="696"/>
      <c r="AD322" s="696"/>
      <c r="AE322" s="696"/>
      <c r="AF322" s="696"/>
      <c r="AG322" s="847"/>
      <c r="AH322" s="696"/>
      <c r="AI322" s="696"/>
      <c r="AJ322" s="696"/>
      <c r="AK322" s="696"/>
      <c r="AL322" s="696"/>
      <c r="AM322" s="696"/>
      <c r="AN322" s="696"/>
      <c r="AO322" s="847"/>
      <c r="AP322" s="696"/>
      <c r="AQ322" s="696"/>
      <c r="AR322" s="696"/>
      <c r="AS322" s="696"/>
      <c r="AT322" s="696"/>
      <c r="AU322" s="696"/>
      <c r="AV322" s="696"/>
      <c r="AW322" s="696"/>
      <c r="AX322" s="696"/>
      <c r="AY322" s="696"/>
      <c r="AZ322" s="696"/>
      <c r="BA322" s="696"/>
      <c r="BB322" s="696"/>
      <c r="BC322" s="696"/>
      <c r="BD322" s="696"/>
      <c r="BE322" s="696"/>
      <c r="BF322" s="696"/>
      <c r="BG322" s="696"/>
      <c r="BH322" s="696"/>
    </row>
    <row r="323" spans="1:60" s="44" customFormat="1">
      <c r="A323" s="700"/>
      <c r="B323" s="700"/>
      <c r="C323" s="696"/>
      <c r="D323" s="696"/>
      <c r="E323" s="696"/>
      <c r="F323" s="696"/>
      <c r="G323" s="696"/>
      <c r="H323" s="696"/>
      <c r="I323" s="847"/>
      <c r="J323" s="696"/>
      <c r="K323" s="696"/>
      <c r="L323" s="696"/>
      <c r="M323" s="696"/>
      <c r="N323" s="696"/>
      <c r="O323" s="696"/>
      <c r="P323" s="696"/>
      <c r="Q323" s="847"/>
      <c r="R323" s="696"/>
      <c r="S323" s="696"/>
      <c r="T323" s="696"/>
      <c r="U323" s="696"/>
      <c r="V323" s="696"/>
      <c r="W323" s="696"/>
      <c r="X323" s="696"/>
      <c r="Y323" s="847"/>
      <c r="Z323" s="696"/>
      <c r="AA323" s="696"/>
      <c r="AB323" s="696"/>
      <c r="AC323" s="696"/>
      <c r="AD323" s="696"/>
      <c r="AE323" s="696"/>
      <c r="AF323" s="696"/>
      <c r="AG323" s="847"/>
      <c r="AH323" s="696"/>
      <c r="AI323" s="696"/>
      <c r="AJ323" s="696"/>
      <c r="AK323" s="696"/>
      <c r="AL323" s="696"/>
      <c r="AM323" s="696"/>
      <c r="AN323" s="696"/>
      <c r="AO323" s="847"/>
      <c r="AP323" s="696"/>
      <c r="AQ323" s="696"/>
      <c r="AR323" s="696"/>
      <c r="AS323" s="696"/>
      <c r="AT323" s="696"/>
      <c r="AU323" s="696"/>
      <c r="AV323" s="696"/>
      <c r="AW323" s="696"/>
      <c r="AX323" s="696"/>
      <c r="AY323" s="696"/>
      <c r="AZ323" s="696"/>
      <c r="BA323" s="696"/>
      <c r="BB323" s="696"/>
      <c r="BC323" s="696"/>
      <c r="BD323" s="696"/>
      <c r="BE323" s="696"/>
      <c r="BF323" s="696"/>
      <c r="BG323" s="696"/>
      <c r="BH323" s="696"/>
    </row>
    <row r="324" spans="1:60" s="44" customFormat="1">
      <c r="A324" s="700"/>
      <c r="B324" s="700"/>
      <c r="C324" s="696"/>
      <c r="D324" s="696"/>
      <c r="E324" s="696"/>
      <c r="F324" s="696"/>
      <c r="G324" s="696"/>
      <c r="H324" s="696"/>
      <c r="I324" s="847"/>
      <c r="J324" s="696"/>
      <c r="K324" s="696"/>
      <c r="L324" s="696"/>
      <c r="M324" s="696"/>
      <c r="N324" s="696"/>
      <c r="O324" s="696"/>
      <c r="P324" s="696"/>
      <c r="Q324" s="847"/>
      <c r="R324" s="696"/>
      <c r="S324" s="696"/>
      <c r="T324" s="696"/>
      <c r="U324" s="696"/>
      <c r="V324" s="696"/>
      <c r="W324" s="696"/>
      <c r="X324" s="696"/>
      <c r="Y324" s="847"/>
      <c r="Z324" s="696"/>
      <c r="AA324" s="696"/>
      <c r="AB324" s="696"/>
      <c r="AC324" s="696"/>
      <c r="AD324" s="696"/>
      <c r="AE324" s="696"/>
      <c r="AF324" s="696"/>
      <c r="AG324" s="847"/>
      <c r="AH324" s="696"/>
      <c r="AI324" s="696"/>
      <c r="AJ324" s="696"/>
      <c r="AK324" s="696"/>
      <c r="AL324" s="696"/>
      <c r="AM324" s="696"/>
      <c r="AN324" s="696"/>
      <c r="AO324" s="847"/>
      <c r="AP324" s="696"/>
      <c r="AQ324" s="696"/>
      <c r="AR324" s="696"/>
      <c r="AS324" s="696"/>
      <c r="AT324" s="696"/>
      <c r="AU324" s="696"/>
      <c r="AV324" s="696"/>
      <c r="AW324" s="696"/>
      <c r="AX324" s="696"/>
      <c r="AY324" s="696"/>
      <c r="AZ324" s="696"/>
      <c r="BA324" s="696"/>
      <c r="BB324" s="696"/>
      <c r="BC324" s="696"/>
      <c r="BD324" s="696"/>
      <c r="BE324" s="696"/>
      <c r="BF324" s="696"/>
      <c r="BG324" s="696"/>
      <c r="BH324" s="696"/>
    </row>
    <row r="325" spans="1:60" s="44" customFormat="1">
      <c r="A325" s="700"/>
      <c r="B325" s="700"/>
      <c r="C325" s="696"/>
      <c r="D325" s="696"/>
      <c r="E325" s="696"/>
      <c r="F325" s="696"/>
      <c r="G325" s="696"/>
      <c r="H325" s="696"/>
      <c r="I325" s="847"/>
      <c r="J325" s="696"/>
      <c r="K325" s="696"/>
      <c r="L325" s="696"/>
      <c r="M325" s="696"/>
      <c r="N325" s="696"/>
      <c r="O325" s="696"/>
      <c r="P325" s="696"/>
      <c r="Q325" s="847"/>
      <c r="R325" s="696"/>
      <c r="S325" s="696"/>
      <c r="T325" s="696"/>
      <c r="U325" s="696"/>
      <c r="V325" s="696"/>
      <c r="W325" s="696"/>
      <c r="X325" s="696"/>
      <c r="Y325" s="847"/>
      <c r="Z325" s="696"/>
      <c r="AA325" s="696"/>
      <c r="AB325" s="696"/>
      <c r="AC325" s="696"/>
      <c r="AD325" s="696"/>
      <c r="AE325" s="696"/>
      <c r="AF325" s="696"/>
      <c r="AG325" s="847"/>
      <c r="AH325" s="696"/>
      <c r="AI325" s="696"/>
      <c r="AJ325" s="696"/>
      <c r="AK325" s="696"/>
      <c r="AL325" s="696"/>
      <c r="AM325" s="696"/>
      <c r="AN325" s="696"/>
      <c r="AO325" s="847"/>
      <c r="AP325" s="696"/>
      <c r="AQ325" s="696"/>
      <c r="AR325" s="696"/>
      <c r="AS325" s="696"/>
      <c r="AT325" s="696"/>
      <c r="AU325" s="696"/>
      <c r="AV325" s="696"/>
      <c r="AW325" s="696"/>
      <c r="AX325" s="696"/>
      <c r="AY325" s="696"/>
      <c r="AZ325" s="696"/>
      <c r="BA325" s="696"/>
      <c r="BB325" s="696"/>
      <c r="BC325" s="696"/>
      <c r="BD325" s="696"/>
      <c r="BE325" s="696"/>
      <c r="BF325" s="696"/>
      <c r="BG325" s="696"/>
      <c r="BH325" s="696"/>
    </row>
    <row r="326" spans="1:60" s="44" customFormat="1">
      <c r="A326" s="700"/>
      <c r="B326" s="700"/>
      <c r="C326" s="696"/>
      <c r="D326" s="696"/>
      <c r="E326" s="696"/>
      <c r="F326" s="696"/>
      <c r="G326" s="696"/>
      <c r="H326" s="696"/>
      <c r="I326" s="847"/>
      <c r="J326" s="696"/>
      <c r="K326" s="696"/>
      <c r="L326" s="696"/>
      <c r="M326" s="696"/>
      <c r="N326" s="696"/>
      <c r="O326" s="696"/>
      <c r="P326" s="696"/>
      <c r="Q326" s="847"/>
      <c r="R326" s="696"/>
      <c r="S326" s="696"/>
      <c r="T326" s="696"/>
      <c r="U326" s="696"/>
      <c r="V326" s="696"/>
      <c r="W326" s="696"/>
      <c r="X326" s="696"/>
      <c r="Y326" s="847"/>
      <c r="Z326" s="696"/>
      <c r="AA326" s="696"/>
      <c r="AB326" s="696"/>
      <c r="AC326" s="696"/>
      <c r="AD326" s="696"/>
      <c r="AE326" s="696"/>
      <c r="AF326" s="696"/>
      <c r="AG326" s="847"/>
      <c r="AH326" s="696"/>
      <c r="AI326" s="696"/>
      <c r="AJ326" s="696"/>
      <c r="AK326" s="696"/>
      <c r="AL326" s="696"/>
      <c r="AM326" s="696"/>
      <c r="AN326" s="696"/>
      <c r="AO326" s="847"/>
      <c r="AP326" s="696"/>
      <c r="AQ326" s="696"/>
      <c r="AR326" s="696"/>
      <c r="AS326" s="696"/>
      <c r="AT326" s="696"/>
      <c r="AU326" s="696"/>
      <c r="AV326" s="696"/>
      <c r="AW326" s="696"/>
      <c r="AX326" s="696"/>
      <c r="AY326" s="696"/>
      <c r="AZ326" s="696"/>
      <c r="BA326" s="696"/>
      <c r="BB326" s="696"/>
      <c r="BC326" s="696"/>
      <c r="BD326" s="696"/>
      <c r="BE326" s="696"/>
      <c r="BF326" s="696"/>
      <c r="BG326" s="696"/>
      <c r="BH326" s="696"/>
    </row>
    <row r="327" spans="1:60" s="44" customFormat="1">
      <c r="A327" s="700"/>
      <c r="B327" s="700"/>
      <c r="C327" s="696"/>
      <c r="D327" s="696"/>
      <c r="E327" s="696"/>
      <c r="F327" s="696"/>
      <c r="G327" s="696"/>
      <c r="H327" s="696"/>
      <c r="I327" s="847"/>
      <c r="J327" s="696"/>
      <c r="K327" s="696"/>
      <c r="L327" s="696"/>
      <c r="M327" s="696"/>
      <c r="N327" s="696"/>
      <c r="O327" s="696"/>
      <c r="P327" s="696"/>
      <c r="Q327" s="847"/>
      <c r="R327" s="696"/>
      <c r="S327" s="696"/>
      <c r="T327" s="696"/>
      <c r="U327" s="696"/>
      <c r="V327" s="696"/>
      <c r="W327" s="696"/>
      <c r="X327" s="696"/>
      <c r="Y327" s="847"/>
      <c r="Z327" s="696"/>
      <c r="AA327" s="696"/>
      <c r="AB327" s="696"/>
      <c r="AC327" s="696"/>
      <c r="AD327" s="696"/>
      <c r="AE327" s="696"/>
      <c r="AF327" s="696"/>
      <c r="AG327" s="847"/>
      <c r="AH327" s="696"/>
      <c r="AI327" s="696"/>
      <c r="AJ327" s="696"/>
      <c r="AK327" s="696"/>
      <c r="AL327" s="696"/>
      <c r="AM327" s="696"/>
      <c r="AN327" s="696"/>
      <c r="AO327" s="847"/>
      <c r="AP327" s="696"/>
      <c r="AQ327" s="696"/>
      <c r="AR327" s="696"/>
      <c r="AS327" s="696"/>
      <c r="AT327" s="696"/>
      <c r="AU327" s="696"/>
      <c r="AV327" s="696"/>
      <c r="AW327" s="696"/>
      <c r="AX327" s="696"/>
      <c r="AY327" s="696"/>
      <c r="AZ327" s="696"/>
      <c r="BA327" s="696"/>
      <c r="BB327" s="696"/>
      <c r="BC327" s="696"/>
      <c r="BD327" s="696"/>
      <c r="BE327" s="696"/>
      <c r="BF327" s="696"/>
      <c r="BG327" s="696"/>
      <c r="BH327" s="696"/>
    </row>
    <row r="328" spans="1:60" s="44" customFormat="1">
      <c r="A328" s="700"/>
      <c r="B328" s="700"/>
      <c r="C328" s="696"/>
      <c r="D328" s="696"/>
      <c r="E328" s="696"/>
      <c r="F328" s="696"/>
      <c r="G328" s="696"/>
      <c r="H328" s="696"/>
      <c r="I328" s="847"/>
      <c r="J328" s="696"/>
      <c r="K328" s="696"/>
      <c r="L328" s="696"/>
      <c r="M328" s="696"/>
      <c r="N328" s="696"/>
      <c r="O328" s="696"/>
      <c r="P328" s="696"/>
      <c r="Q328" s="847"/>
      <c r="R328" s="696"/>
      <c r="S328" s="696"/>
      <c r="T328" s="696"/>
      <c r="U328" s="696"/>
      <c r="V328" s="696"/>
      <c r="W328" s="696"/>
      <c r="X328" s="696"/>
      <c r="Y328" s="847"/>
      <c r="Z328" s="696"/>
      <c r="AA328" s="696"/>
      <c r="AB328" s="696"/>
      <c r="AC328" s="696"/>
      <c r="AD328" s="696"/>
      <c r="AE328" s="696"/>
      <c r="AF328" s="696"/>
      <c r="AG328" s="847"/>
      <c r="AH328" s="696"/>
      <c r="AI328" s="696"/>
      <c r="AJ328" s="696"/>
      <c r="AK328" s="696"/>
      <c r="AL328" s="696"/>
      <c r="AM328" s="696"/>
      <c r="AN328" s="696"/>
      <c r="AO328" s="847"/>
      <c r="AP328" s="696"/>
      <c r="AQ328" s="696"/>
      <c r="AR328" s="696"/>
      <c r="AS328" s="696"/>
      <c r="AT328" s="696"/>
      <c r="AU328" s="696"/>
      <c r="AV328" s="696"/>
      <c r="AW328" s="696"/>
      <c r="AX328" s="696"/>
      <c r="AY328" s="696"/>
      <c r="AZ328" s="696"/>
      <c r="BA328" s="696"/>
      <c r="BB328" s="696"/>
      <c r="BC328" s="696"/>
      <c r="BD328" s="696"/>
      <c r="BE328" s="696"/>
      <c r="BF328" s="696"/>
      <c r="BG328" s="696"/>
      <c r="BH328" s="696"/>
    </row>
    <row r="329" spans="1:60" s="44" customFormat="1">
      <c r="A329" s="700"/>
      <c r="B329" s="700"/>
      <c r="C329" s="696"/>
      <c r="D329" s="696"/>
      <c r="E329" s="696"/>
      <c r="F329" s="696"/>
      <c r="G329" s="696"/>
      <c r="H329" s="696"/>
      <c r="I329" s="847"/>
      <c r="J329" s="696"/>
      <c r="K329" s="696"/>
      <c r="L329" s="696"/>
      <c r="M329" s="696"/>
      <c r="N329" s="696"/>
      <c r="O329" s="696"/>
      <c r="P329" s="696"/>
      <c r="Q329" s="847"/>
      <c r="R329" s="696"/>
      <c r="S329" s="696"/>
      <c r="T329" s="696"/>
      <c r="U329" s="696"/>
      <c r="V329" s="696"/>
      <c r="W329" s="696"/>
      <c r="X329" s="696"/>
      <c r="Y329" s="847"/>
      <c r="Z329" s="696"/>
      <c r="AA329" s="696"/>
      <c r="AB329" s="696"/>
      <c r="AC329" s="696"/>
      <c r="AD329" s="696"/>
      <c r="AE329" s="696"/>
      <c r="AF329" s="696"/>
      <c r="AG329" s="847"/>
      <c r="AH329" s="696"/>
      <c r="AI329" s="696"/>
      <c r="AJ329" s="696"/>
      <c r="AK329" s="696"/>
      <c r="AL329" s="696"/>
      <c r="AM329" s="696"/>
      <c r="AN329" s="696"/>
      <c r="AO329" s="847"/>
      <c r="AP329" s="696"/>
      <c r="AQ329" s="696"/>
      <c r="AR329" s="696"/>
      <c r="AS329" s="696"/>
      <c r="AT329" s="696"/>
      <c r="AU329" s="696"/>
      <c r="AV329" s="696"/>
      <c r="AW329" s="696"/>
      <c r="AX329" s="696"/>
      <c r="AY329" s="696"/>
      <c r="AZ329" s="696"/>
      <c r="BA329" s="696"/>
      <c r="BB329" s="696"/>
      <c r="BC329" s="696"/>
      <c r="BD329" s="696"/>
      <c r="BE329" s="696"/>
      <c r="BF329" s="696"/>
      <c r="BG329" s="696"/>
      <c r="BH329" s="696"/>
    </row>
    <row r="330" spans="1:60" s="44" customFormat="1">
      <c r="A330" s="700"/>
      <c r="B330" s="700"/>
      <c r="C330" s="696"/>
      <c r="D330" s="696"/>
      <c r="E330" s="696"/>
      <c r="F330" s="696"/>
      <c r="G330" s="696"/>
      <c r="H330" s="696"/>
      <c r="I330" s="847"/>
      <c r="J330" s="696"/>
      <c r="K330" s="696"/>
      <c r="L330" s="696"/>
      <c r="M330" s="696"/>
      <c r="N330" s="696"/>
      <c r="O330" s="696"/>
      <c r="P330" s="696"/>
      <c r="Q330" s="847"/>
      <c r="R330" s="696"/>
      <c r="S330" s="696"/>
      <c r="T330" s="696"/>
      <c r="U330" s="696"/>
      <c r="V330" s="696"/>
      <c r="W330" s="696"/>
      <c r="X330" s="696"/>
      <c r="Y330" s="847"/>
      <c r="Z330" s="696"/>
      <c r="AA330" s="696"/>
      <c r="AB330" s="696"/>
      <c r="AC330" s="696"/>
      <c r="AD330" s="696"/>
      <c r="AE330" s="696"/>
      <c r="AF330" s="696"/>
      <c r="AG330" s="847"/>
      <c r="AH330" s="696"/>
      <c r="AI330" s="696"/>
      <c r="AJ330" s="696"/>
      <c r="AK330" s="696"/>
      <c r="AL330" s="696"/>
      <c r="AM330" s="696"/>
      <c r="AN330" s="696"/>
      <c r="AO330" s="847"/>
      <c r="AP330" s="696"/>
      <c r="AQ330" s="696"/>
      <c r="AR330" s="696"/>
      <c r="AS330" s="696"/>
      <c r="AT330" s="696"/>
      <c r="AU330" s="696"/>
      <c r="AV330" s="696"/>
      <c r="AW330" s="696"/>
      <c r="AX330" s="696"/>
      <c r="AY330" s="696"/>
      <c r="AZ330" s="696"/>
      <c r="BA330" s="696"/>
      <c r="BB330" s="696"/>
      <c r="BC330" s="696"/>
      <c r="BD330" s="696"/>
      <c r="BE330" s="696"/>
      <c r="BF330" s="696"/>
      <c r="BG330" s="696"/>
      <c r="BH330" s="696"/>
    </row>
    <row r="331" spans="1:60" s="44" customFormat="1">
      <c r="A331" s="700"/>
      <c r="B331" s="700"/>
      <c r="C331" s="696"/>
      <c r="D331" s="696"/>
      <c r="E331" s="696"/>
      <c r="F331" s="696"/>
      <c r="G331" s="696"/>
      <c r="H331" s="696"/>
      <c r="I331" s="847"/>
      <c r="J331" s="696"/>
      <c r="K331" s="696"/>
      <c r="L331" s="696"/>
      <c r="M331" s="696"/>
      <c r="N331" s="696"/>
      <c r="O331" s="696"/>
      <c r="P331" s="696"/>
      <c r="Q331" s="847"/>
      <c r="R331" s="696"/>
      <c r="S331" s="696"/>
      <c r="T331" s="696"/>
      <c r="U331" s="696"/>
      <c r="V331" s="696"/>
      <c r="W331" s="696"/>
      <c r="X331" s="696"/>
      <c r="Y331" s="847"/>
      <c r="Z331" s="696"/>
      <c r="AA331" s="696"/>
      <c r="AB331" s="696"/>
      <c r="AC331" s="696"/>
      <c r="AD331" s="696"/>
      <c r="AE331" s="696"/>
      <c r="AF331" s="696"/>
      <c r="AG331" s="847"/>
      <c r="AH331" s="696"/>
      <c r="AI331" s="696"/>
      <c r="AJ331" s="696"/>
      <c r="AK331" s="696"/>
      <c r="AL331" s="696"/>
      <c r="AM331" s="696"/>
      <c r="AN331" s="696"/>
      <c r="AO331" s="847"/>
      <c r="AP331" s="696"/>
      <c r="AQ331" s="696"/>
      <c r="AR331" s="696"/>
      <c r="AS331" s="696"/>
      <c r="AT331" s="696"/>
      <c r="AU331" s="696"/>
      <c r="AV331" s="696"/>
      <c r="AW331" s="696"/>
      <c r="AX331" s="696"/>
      <c r="AY331" s="696"/>
      <c r="AZ331" s="696"/>
      <c r="BA331" s="696"/>
      <c r="BB331" s="696"/>
      <c r="BC331" s="696"/>
      <c r="BD331" s="696"/>
      <c r="BE331" s="696"/>
      <c r="BF331" s="696"/>
      <c r="BG331" s="696"/>
      <c r="BH331" s="696"/>
    </row>
    <row r="332" spans="1:60" s="44" customFormat="1">
      <c r="A332" s="700"/>
      <c r="B332" s="700"/>
      <c r="C332" s="696"/>
      <c r="D332" s="696"/>
      <c r="E332" s="696"/>
      <c r="F332" s="696"/>
      <c r="G332" s="696"/>
      <c r="H332" s="696"/>
      <c r="I332" s="847"/>
      <c r="J332" s="696"/>
      <c r="K332" s="696"/>
      <c r="L332" s="696"/>
      <c r="M332" s="696"/>
      <c r="N332" s="696"/>
      <c r="O332" s="696"/>
      <c r="P332" s="696"/>
      <c r="Q332" s="847"/>
      <c r="R332" s="696"/>
      <c r="S332" s="696"/>
      <c r="T332" s="696"/>
      <c r="U332" s="696"/>
      <c r="V332" s="696"/>
      <c r="W332" s="696"/>
      <c r="X332" s="696"/>
      <c r="Y332" s="847"/>
      <c r="Z332" s="696"/>
      <c r="AA332" s="696"/>
      <c r="AB332" s="696"/>
      <c r="AC332" s="696"/>
      <c r="AD332" s="696"/>
      <c r="AE332" s="696"/>
      <c r="AF332" s="696"/>
      <c r="AG332" s="847"/>
      <c r="AH332" s="696"/>
      <c r="AI332" s="696"/>
      <c r="AJ332" s="696"/>
      <c r="AK332" s="696"/>
      <c r="AL332" s="696"/>
      <c r="AM332" s="696"/>
      <c r="AN332" s="696"/>
      <c r="AO332" s="847"/>
      <c r="AP332" s="696"/>
      <c r="AQ332" s="696"/>
      <c r="AR332" s="696"/>
      <c r="AS332" s="696"/>
      <c r="AT332" s="696"/>
      <c r="AU332" s="696"/>
      <c r="AV332" s="696"/>
      <c r="AW332" s="696"/>
      <c r="AX332" s="696"/>
      <c r="AY332" s="696"/>
      <c r="AZ332" s="696"/>
      <c r="BA332" s="696"/>
      <c r="BB332" s="696"/>
      <c r="BC332" s="696"/>
      <c r="BD332" s="696"/>
      <c r="BE332" s="696"/>
      <c r="BF332" s="696"/>
      <c r="BG332" s="696"/>
      <c r="BH332" s="696"/>
    </row>
    <row r="333" spans="1:60" s="44" customFormat="1">
      <c r="A333" s="700"/>
      <c r="B333" s="700"/>
      <c r="C333" s="696"/>
      <c r="D333" s="696"/>
      <c r="E333" s="696"/>
      <c r="F333" s="696"/>
      <c r="G333" s="696"/>
      <c r="H333" s="696"/>
      <c r="I333" s="847"/>
      <c r="J333" s="696"/>
      <c r="K333" s="696"/>
      <c r="L333" s="696"/>
      <c r="M333" s="696"/>
      <c r="N333" s="696"/>
      <c r="O333" s="696"/>
      <c r="P333" s="696"/>
      <c r="Q333" s="847"/>
      <c r="R333" s="696"/>
      <c r="S333" s="696"/>
      <c r="T333" s="696"/>
      <c r="U333" s="696"/>
      <c r="V333" s="696"/>
      <c r="W333" s="696"/>
      <c r="X333" s="696"/>
      <c r="Y333" s="847"/>
      <c r="Z333" s="696"/>
      <c r="AA333" s="696"/>
      <c r="AB333" s="696"/>
      <c r="AC333" s="696"/>
      <c r="AD333" s="696"/>
      <c r="AE333" s="696"/>
      <c r="AF333" s="696"/>
      <c r="AG333" s="847"/>
      <c r="AH333" s="696"/>
      <c r="AI333" s="696"/>
      <c r="AJ333" s="696"/>
      <c r="AK333" s="696"/>
      <c r="AL333" s="696"/>
      <c r="AM333" s="696"/>
      <c r="AN333" s="696"/>
      <c r="AO333" s="847"/>
      <c r="AP333" s="696"/>
      <c r="AQ333" s="696"/>
      <c r="AR333" s="696"/>
      <c r="AS333" s="696"/>
      <c r="AT333" s="696"/>
      <c r="AU333" s="696"/>
      <c r="AV333" s="696"/>
      <c r="AW333" s="696"/>
      <c r="AX333" s="696"/>
      <c r="AY333" s="696"/>
      <c r="AZ333" s="696"/>
      <c r="BA333" s="696"/>
      <c r="BB333" s="696"/>
      <c r="BC333" s="696"/>
      <c r="BD333" s="696"/>
      <c r="BE333" s="696"/>
      <c r="BF333" s="696"/>
      <c r="BG333" s="696"/>
      <c r="BH333" s="696"/>
    </row>
    <row r="334" spans="1:60" s="44" customFormat="1">
      <c r="A334" s="700"/>
      <c r="B334" s="700"/>
      <c r="C334" s="696"/>
      <c r="D334" s="696"/>
      <c r="E334" s="696"/>
      <c r="F334" s="696"/>
      <c r="G334" s="696"/>
      <c r="H334" s="696"/>
      <c r="I334" s="847"/>
      <c r="J334" s="696"/>
      <c r="K334" s="696"/>
      <c r="L334" s="696"/>
      <c r="M334" s="696"/>
      <c r="N334" s="696"/>
      <c r="O334" s="696"/>
      <c r="P334" s="696"/>
      <c r="Q334" s="847"/>
      <c r="R334" s="696"/>
      <c r="S334" s="696"/>
      <c r="T334" s="696"/>
      <c r="U334" s="696"/>
      <c r="V334" s="696"/>
      <c r="W334" s="696"/>
      <c r="X334" s="696"/>
      <c r="Y334" s="847"/>
      <c r="Z334" s="696"/>
      <c r="AA334" s="696"/>
      <c r="AB334" s="696"/>
      <c r="AC334" s="696"/>
      <c r="AD334" s="696"/>
      <c r="AE334" s="696"/>
      <c r="AF334" s="696"/>
      <c r="AG334" s="847"/>
      <c r="AH334" s="696"/>
      <c r="AI334" s="696"/>
      <c r="AJ334" s="696"/>
      <c r="AK334" s="696"/>
      <c r="AL334" s="696"/>
      <c r="AM334" s="696"/>
      <c r="AN334" s="696"/>
      <c r="AO334" s="847"/>
      <c r="AP334" s="696"/>
      <c r="AQ334" s="696"/>
      <c r="AR334" s="696"/>
      <c r="AS334" s="696"/>
      <c r="AT334" s="696"/>
      <c r="AU334" s="696"/>
      <c r="AV334" s="696"/>
      <c r="AW334" s="696"/>
      <c r="AX334" s="696"/>
      <c r="AY334" s="696"/>
      <c r="AZ334" s="696"/>
      <c r="BA334" s="696"/>
      <c r="BB334" s="696"/>
      <c r="BC334" s="696"/>
      <c r="BD334" s="696"/>
      <c r="BE334" s="696"/>
      <c r="BF334" s="696"/>
      <c r="BG334" s="696"/>
      <c r="BH334" s="696"/>
    </row>
    <row r="335" spans="1:60" s="44" customFormat="1">
      <c r="A335" s="700"/>
      <c r="B335" s="700"/>
      <c r="C335" s="696"/>
      <c r="D335" s="696"/>
      <c r="E335" s="696"/>
      <c r="F335" s="696"/>
      <c r="G335" s="696"/>
      <c r="H335" s="696"/>
      <c r="I335" s="847"/>
      <c r="J335" s="696"/>
      <c r="K335" s="696"/>
      <c r="L335" s="696"/>
      <c r="M335" s="696"/>
      <c r="N335" s="696"/>
      <c r="O335" s="696"/>
      <c r="P335" s="696"/>
      <c r="Q335" s="847"/>
      <c r="R335" s="696"/>
      <c r="S335" s="696"/>
      <c r="T335" s="696"/>
      <c r="U335" s="696"/>
      <c r="V335" s="696"/>
      <c r="W335" s="696"/>
      <c r="X335" s="696"/>
      <c r="Y335" s="847"/>
      <c r="Z335" s="696"/>
      <c r="AA335" s="696"/>
      <c r="AB335" s="696"/>
      <c r="AC335" s="696"/>
      <c r="AD335" s="696"/>
      <c r="AE335" s="696"/>
      <c r="AF335" s="696"/>
      <c r="AG335" s="847"/>
      <c r="AH335" s="696"/>
      <c r="AI335" s="696"/>
      <c r="AJ335" s="696"/>
      <c r="AK335" s="696"/>
      <c r="AL335" s="696"/>
      <c r="AM335" s="696"/>
      <c r="AN335" s="696"/>
      <c r="AO335" s="847"/>
      <c r="AP335" s="696"/>
      <c r="AQ335" s="696"/>
      <c r="AR335" s="696"/>
      <c r="AS335" s="696"/>
      <c r="AT335" s="696"/>
      <c r="AU335" s="696"/>
      <c r="AV335" s="696"/>
      <c r="AW335" s="696"/>
      <c r="AX335" s="696"/>
      <c r="AY335" s="696"/>
      <c r="AZ335" s="696"/>
      <c r="BA335" s="696"/>
      <c r="BB335" s="696"/>
      <c r="BC335" s="696"/>
      <c r="BD335" s="696"/>
      <c r="BE335" s="696"/>
      <c r="BF335" s="696"/>
      <c r="BG335" s="696"/>
      <c r="BH335" s="696"/>
    </row>
    <row r="336" spans="1:60" s="44" customFormat="1">
      <c r="A336" s="700"/>
      <c r="B336" s="700"/>
      <c r="C336" s="696"/>
      <c r="D336" s="696"/>
      <c r="E336" s="696"/>
      <c r="F336" s="696"/>
      <c r="G336" s="696"/>
      <c r="H336" s="696"/>
      <c r="I336" s="847"/>
      <c r="J336" s="696"/>
      <c r="K336" s="696"/>
      <c r="L336" s="696"/>
      <c r="M336" s="696"/>
      <c r="N336" s="696"/>
      <c r="O336" s="696"/>
      <c r="P336" s="696"/>
      <c r="Q336" s="847"/>
      <c r="R336" s="696"/>
      <c r="S336" s="696"/>
      <c r="T336" s="696"/>
      <c r="U336" s="696"/>
      <c r="V336" s="696"/>
      <c r="W336" s="696"/>
      <c r="X336" s="696"/>
      <c r="Y336" s="847"/>
      <c r="Z336" s="696"/>
      <c r="AA336" s="696"/>
      <c r="AB336" s="696"/>
      <c r="AC336" s="696"/>
      <c r="AD336" s="696"/>
      <c r="AE336" s="696"/>
      <c r="AF336" s="696"/>
      <c r="AG336" s="847"/>
      <c r="AH336" s="696"/>
      <c r="AI336" s="696"/>
      <c r="AJ336" s="696"/>
      <c r="AK336" s="696"/>
      <c r="AL336" s="696"/>
      <c r="AM336" s="696"/>
      <c r="AN336" s="696"/>
      <c r="AO336" s="847"/>
      <c r="AP336" s="696"/>
      <c r="AQ336" s="696"/>
      <c r="AR336" s="696"/>
      <c r="AS336" s="696"/>
      <c r="AT336" s="696"/>
      <c r="AU336" s="696"/>
      <c r="AV336" s="696"/>
      <c r="AW336" s="696"/>
      <c r="AX336" s="696"/>
      <c r="AY336" s="696"/>
      <c r="AZ336" s="696"/>
      <c r="BA336" s="696"/>
      <c r="BB336" s="696"/>
      <c r="BC336" s="696"/>
      <c r="BD336" s="696"/>
      <c r="BE336" s="696"/>
      <c r="BF336" s="696"/>
      <c r="BG336" s="696"/>
      <c r="BH336" s="696"/>
    </row>
    <row r="337" spans="1:60" s="44" customFormat="1">
      <c r="A337" s="700"/>
      <c r="B337" s="700"/>
      <c r="C337" s="696"/>
      <c r="D337" s="696"/>
      <c r="E337" s="696"/>
      <c r="F337" s="696"/>
      <c r="G337" s="696"/>
      <c r="H337" s="696"/>
      <c r="I337" s="847"/>
      <c r="J337" s="696"/>
      <c r="K337" s="696"/>
      <c r="L337" s="696"/>
      <c r="M337" s="696"/>
      <c r="N337" s="696"/>
      <c r="O337" s="696"/>
      <c r="P337" s="696"/>
      <c r="Q337" s="847"/>
      <c r="R337" s="696"/>
      <c r="S337" s="696"/>
      <c r="T337" s="696"/>
      <c r="U337" s="696"/>
      <c r="V337" s="696"/>
      <c r="W337" s="696"/>
      <c r="X337" s="696"/>
      <c r="Y337" s="847"/>
      <c r="Z337" s="696"/>
      <c r="AA337" s="696"/>
      <c r="AB337" s="696"/>
      <c r="AC337" s="696"/>
      <c r="AD337" s="696"/>
      <c r="AE337" s="696"/>
      <c r="AF337" s="696"/>
      <c r="AG337" s="847"/>
      <c r="AH337" s="696"/>
      <c r="AI337" s="696"/>
      <c r="AJ337" s="696"/>
      <c r="AK337" s="696"/>
      <c r="AL337" s="696"/>
      <c r="AM337" s="696"/>
      <c r="AN337" s="696"/>
      <c r="AO337" s="847"/>
      <c r="AP337" s="696"/>
      <c r="AQ337" s="696"/>
      <c r="AR337" s="696"/>
      <c r="AS337" s="696"/>
      <c r="AT337" s="696"/>
      <c r="AU337" s="696"/>
      <c r="AV337" s="696"/>
      <c r="AW337" s="696"/>
      <c r="AX337" s="696"/>
      <c r="AY337" s="696"/>
      <c r="AZ337" s="696"/>
      <c r="BA337" s="696"/>
      <c r="BB337" s="696"/>
      <c r="BC337" s="696"/>
      <c r="BD337" s="696"/>
      <c r="BE337" s="696"/>
      <c r="BF337" s="696"/>
      <c r="BG337" s="696"/>
      <c r="BH337" s="696"/>
    </row>
    <row r="338" spans="1:60" s="44" customFormat="1">
      <c r="A338" s="700"/>
      <c r="B338" s="700"/>
      <c r="C338" s="696"/>
      <c r="D338" s="696"/>
      <c r="E338" s="696"/>
      <c r="F338" s="696"/>
      <c r="G338" s="696"/>
      <c r="H338" s="696"/>
      <c r="I338" s="847"/>
      <c r="J338" s="696"/>
      <c r="K338" s="696"/>
      <c r="L338" s="696"/>
      <c r="M338" s="696"/>
      <c r="N338" s="696"/>
      <c r="O338" s="696"/>
      <c r="P338" s="696"/>
      <c r="Q338" s="847"/>
      <c r="R338" s="696"/>
      <c r="S338" s="696"/>
      <c r="T338" s="696"/>
      <c r="U338" s="696"/>
      <c r="V338" s="696"/>
      <c r="W338" s="696"/>
      <c r="X338" s="696"/>
      <c r="Y338" s="847"/>
      <c r="Z338" s="696"/>
      <c r="AA338" s="696"/>
      <c r="AB338" s="696"/>
      <c r="AC338" s="696"/>
      <c r="AD338" s="696"/>
      <c r="AE338" s="696"/>
      <c r="AF338" s="696"/>
      <c r="AG338" s="847"/>
      <c r="AH338" s="696"/>
      <c r="AI338" s="696"/>
      <c r="AJ338" s="696"/>
      <c r="AK338" s="696"/>
      <c r="AL338" s="696"/>
      <c r="AM338" s="696"/>
      <c r="AN338" s="696"/>
      <c r="AO338" s="847"/>
      <c r="AP338" s="696"/>
      <c r="AQ338" s="696"/>
      <c r="AR338" s="696"/>
      <c r="AS338" s="696"/>
      <c r="AT338" s="696"/>
      <c r="AU338" s="696"/>
      <c r="AV338" s="696"/>
      <c r="AW338" s="696"/>
      <c r="AX338" s="696"/>
      <c r="AY338" s="696"/>
      <c r="AZ338" s="696"/>
      <c r="BA338" s="696"/>
      <c r="BB338" s="696"/>
      <c r="BC338" s="696"/>
      <c r="BD338" s="696"/>
      <c r="BE338" s="696"/>
      <c r="BF338" s="696"/>
      <c r="BG338" s="696"/>
      <c r="BH338" s="696"/>
    </row>
    <row r="339" spans="1:60" s="44" customFormat="1">
      <c r="A339" s="700"/>
      <c r="B339" s="700"/>
      <c r="C339" s="696"/>
      <c r="D339" s="696"/>
      <c r="E339" s="696"/>
      <c r="F339" s="696"/>
      <c r="G339" s="696"/>
      <c r="H339" s="696"/>
      <c r="I339" s="847"/>
      <c r="J339" s="696"/>
      <c r="K339" s="696"/>
      <c r="L339" s="696"/>
      <c r="M339" s="696"/>
      <c r="N339" s="696"/>
      <c r="O339" s="696"/>
      <c r="P339" s="696"/>
      <c r="Q339" s="847"/>
      <c r="R339" s="696"/>
      <c r="S339" s="696"/>
      <c r="T339" s="696"/>
      <c r="U339" s="696"/>
      <c r="V339" s="696"/>
      <c r="W339" s="696"/>
      <c r="X339" s="696"/>
      <c r="Y339" s="847"/>
      <c r="Z339" s="696"/>
      <c r="AA339" s="696"/>
      <c r="AB339" s="696"/>
      <c r="AC339" s="696"/>
      <c r="AD339" s="696"/>
      <c r="AE339" s="696"/>
      <c r="AF339" s="696"/>
      <c r="AG339" s="847"/>
      <c r="AH339" s="696"/>
      <c r="AI339" s="696"/>
      <c r="AJ339" s="696"/>
      <c r="AK339" s="696"/>
      <c r="AL339" s="696"/>
      <c r="AM339" s="696"/>
      <c r="AN339" s="696"/>
      <c r="AO339" s="847"/>
      <c r="AP339" s="696"/>
      <c r="AQ339" s="696"/>
      <c r="AR339" s="696"/>
      <c r="AS339" s="696"/>
      <c r="AT339" s="696"/>
      <c r="AU339" s="696"/>
      <c r="AV339" s="696"/>
      <c r="AW339" s="696"/>
      <c r="AX339" s="696"/>
      <c r="AY339" s="696"/>
      <c r="AZ339" s="696"/>
      <c r="BA339" s="696"/>
      <c r="BB339" s="696"/>
      <c r="BC339" s="696"/>
      <c r="BD339" s="696"/>
      <c r="BE339" s="696"/>
      <c r="BF339" s="696"/>
      <c r="BG339" s="696"/>
      <c r="BH339" s="696"/>
    </row>
    <row r="340" spans="1:60" s="44" customFormat="1">
      <c r="A340" s="700"/>
      <c r="B340" s="700"/>
      <c r="C340" s="696"/>
      <c r="D340" s="696"/>
      <c r="E340" s="696"/>
      <c r="F340" s="696"/>
      <c r="G340" s="696"/>
      <c r="H340" s="696"/>
      <c r="I340" s="847"/>
      <c r="J340" s="696"/>
      <c r="K340" s="696"/>
      <c r="L340" s="696"/>
      <c r="M340" s="696"/>
      <c r="N340" s="696"/>
      <c r="O340" s="696"/>
      <c r="P340" s="696"/>
      <c r="Q340" s="847"/>
      <c r="R340" s="696"/>
      <c r="S340" s="696"/>
      <c r="T340" s="696"/>
      <c r="U340" s="696"/>
      <c r="V340" s="696"/>
      <c r="W340" s="696"/>
      <c r="X340" s="696"/>
      <c r="Y340" s="847"/>
      <c r="Z340" s="696"/>
      <c r="AA340" s="696"/>
      <c r="AB340" s="696"/>
      <c r="AC340" s="696"/>
      <c r="AD340" s="696"/>
      <c r="AE340" s="696"/>
      <c r="AF340" s="696"/>
      <c r="AG340" s="847"/>
      <c r="AH340" s="696"/>
      <c r="AI340" s="696"/>
      <c r="AJ340" s="696"/>
      <c r="AK340" s="696"/>
      <c r="AL340" s="696"/>
      <c r="AM340" s="696"/>
      <c r="AN340" s="696"/>
      <c r="AO340" s="847"/>
      <c r="AP340" s="696"/>
      <c r="AQ340" s="696"/>
      <c r="AR340" s="696"/>
      <c r="AS340" s="696"/>
      <c r="AT340" s="696"/>
      <c r="AU340" s="696"/>
      <c r="AV340" s="696"/>
      <c r="AW340" s="696"/>
      <c r="AX340" s="696"/>
      <c r="AY340" s="696"/>
      <c r="AZ340" s="696"/>
      <c r="BA340" s="696"/>
      <c r="BB340" s="696"/>
      <c r="BC340" s="696"/>
      <c r="BD340" s="696"/>
      <c r="BE340" s="696"/>
      <c r="BF340" s="696"/>
      <c r="BG340" s="696"/>
      <c r="BH340" s="696"/>
    </row>
    <row r="341" spans="1:60" s="44" customFormat="1">
      <c r="A341" s="700"/>
      <c r="B341" s="700"/>
      <c r="C341" s="696"/>
      <c r="D341" s="696"/>
      <c r="E341" s="696"/>
      <c r="F341" s="696"/>
      <c r="G341" s="696"/>
      <c r="H341" s="696"/>
      <c r="I341" s="847"/>
      <c r="J341" s="696"/>
      <c r="K341" s="696"/>
      <c r="L341" s="696"/>
      <c r="M341" s="696"/>
      <c r="N341" s="696"/>
      <c r="O341" s="696"/>
      <c r="P341" s="696"/>
      <c r="Q341" s="847"/>
      <c r="R341" s="696"/>
      <c r="S341" s="696"/>
      <c r="T341" s="696"/>
      <c r="U341" s="696"/>
      <c r="V341" s="696"/>
      <c r="W341" s="696"/>
      <c r="X341" s="696"/>
      <c r="Y341" s="847"/>
      <c r="Z341" s="696"/>
      <c r="AA341" s="696"/>
      <c r="AB341" s="696"/>
      <c r="AC341" s="696"/>
      <c r="AD341" s="696"/>
      <c r="AE341" s="696"/>
      <c r="AF341" s="696"/>
      <c r="AG341" s="847"/>
      <c r="AH341" s="696"/>
      <c r="AI341" s="696"/>
      <c r="AJ341" s="696"/>
      <c r="AK341" s="696"/>
      <c r="AL341" s="696"/>
      <c r="AM341" s="696"/>
      <c r="AN341" s="696"/>
      <c r="AO341" s="847"/>
      <c r="AP341" s="696"/>
      <c r="AQ341" s="696"/>
      <c r="AR341" s="696"/>
      <c r="AS341" s="696"/>
      <c r="AT341" s="696"/>
      <c r="AU341" s="696"/>
      <c r="AV341" s="696"/>
      <c r="AW341" s="696"/>
      <c r="AX341" s="696"/>
      <c r="AY341" s="696"/>
      <c r="AZ341" s="696"/>
      <c r="BA341" s="696"/>
      <c r="BB341" s="696"/>
      <c r="BC341" s="696"/>
      <c r="BD341" s="696"/>
      <c r="BE341" s="696"/>
      <c r="BF341" s="696"/>
      <c r="BG341" s="696"/>
      <c r="BH341" s="696"/>
    </row>
    <row r="342" spans="1:60" s="44" customFormat="1">
      <c r="A342" s="700"/>
      <c r="B342" s="700"/>
      <c r="C342" s="696"/>
      <c r="D342" s="696"/>
      <c r="E342" s="696"/>
      <c r="F342" s="696"/>
      <c r="G342" s="696"/>
      <c r="H342" s="696"/>
      <c r="I342" s="847"/>
      <c r="J342" s="696"/>
      <c r="K342" s="696"/>
      <c r="L342" s="696"/>
      <c r="M342" s="696"/>
      <c r="N342" s="696"/>
      <c r="O342" s="696"/>
      <c r="P342" s="696"/>
      <c r="Q342" s="847"/>
      <c r="R342" s="696"/>
      <c r="S342" s="696"/>
      <c r="T342" s="696"/>
      <c r="U342" s="696"/>
      <c r="V342" s="696"/>
      <c r="W342" s="696"/>
      <c r="X342" s="696"/>
      <c r="Y342" s="847"/>
      <c r="Z342" s="696"/>
      <c r="AA342" s="696"/>
      <c r="AB342" s="696"/>
      <c r="AC342" s="696"/>
      <c r="AD342" s="696"/>
      <c r="AE342" s="696"/>
      <c r="AF342" s="696"/>
      <c r="AG342" s="847"/>
      <c r="AH342" s="696"/>
      <c r="AI342" s="696"/>
      <c r="AJ342" s="696"/>
      <c r="AK342" s="696"/>
      <c r="AL342" s="696"/>
      <c r="AM342" s="696"/>
      <c r="AN342" s="696"/>
      <c r="AO342" s="847"/>
      <c r="AP342" s="696"/>
      <c r="AQ342" s="696"/>
      <c r="AR342" s="696"/>
      <c r="AS342" s="696"/>
      <c r="AT342" s="696"/>
      <c r="AU342" s="696"/>
      <c r="AV342" s="696"/>
      <c r="AW342" s="696"/>
      <c r="AX342" s="696"/>
      <c r="AY342" s="696"/>
      <c r="AZ342" s="696"/>
      <c r="BA342" s="696"/>
      <c r="BB342" s="696"/>
      <c r="BC342" s="696"/>
      <c r="BD342" s="696"/>
      <c r="BE342" s="696"/>
      <c r="BF342" s="696"/>
      <c r="BG342" s="696"/>
      <c r="BH342" s="696"/>
    </row>
    <row r="343" spans="1:60" s="44" customFormat="1">
      <c r="A343" s="700"/>
      <c r="B343" s="700"/>
      <c r="C343" s="696"/>
      <c r="D343" s="696"/>
      <c r="E343" s="696"/>
      <c r="F343" s="696"/>
      <c r="G343" s="696"/>
      <c r="H343" s="696"/>
      <c r="I343" s="847"/>
      <c r="J343" s="696"/>
      <c r="K343" s="696"/>
      <c r="L343" s="696"/>
      <c r="M343" s="696"/>
      <c r="N343" s="696"/>
      <c r="O343" s="696"/>
      <c r="P343" s="696"/>
      <c r="Q343" s="847"/>
      <c r="R343" s="696"/>
      <c r="S343" s="696"/>
      <c r="T343" s="696"/>
      <c r="U343" s="696"/>
      <c r="V343" s="696"/>
      <c r="W343" s="696"/>
      <c r="X343" s="696"/>
      <c r="Y343" s="847"/>
      <c r="Z343" s="696"/>
      <c r="AA343" s="696"/>
      <c r="AB343" s="696"/>
      <c r="AC343" s="696"/>
      <c r="AD343" s="696"/>
      <c r="AE343" s="696"/>
      <c r="AF343" s="696"/>
      <c r="AG343" s="847"/>
      <c r="AH343" s="696"/>
      <c r="AI343" s="696"/>
      <c r="AJ343" s="696"/>
      <c r="AK343" s="696"/>
      <c r="AL343" s="696"/>
      <c r="AM343" s="696"/>
      <c r="AN343" s="696"/>
      <c r="AO343" s="847"/>
      <c r="AP343" s="696"/>
      <c r="AQ343" s="696"/>
      <c r="AR343" s="696"/>
      <c r="AS343" s="696"/>
      <c r="AT343" s="696"/>
      <c r="AU343" s="696"/>
      <c r="AV343" s="696"/>
      <c r="AW343" s="696"/>
      <c r="AX343" s="696"/>
      <c r="AY343" s="696"/>
      <c r="AZ343" s="696"/>
      <c r="BA343" s="696"/>
      <c r="BB343" s="696"/>
      <c r="BC343" s="696"/>
      <c r="BD343" s="696"/>
      <c r="BE343" s="696"/>
      <c r="BF343" s="696"/>
      <c r="BG343" s="696"/>
      <c r="BH343" s="696"/>
    </row>
    <row r="344" spans="1:60" s="44" customFormat="1">
      <c r="A344" s="700"/>
      <c r="B344" s="700"/>
      <c r="C344" s="696"/>
      <c r="D344" s="696"/>
      <c r="E344" s="696"/>
      <c r="F344" s="696"/>
      <c r="G344" s="696"/>
      <c r="H344" s="696"/>
      <c r="I344" s="847"/>
      <c r="J344" s="696"/>
      <c r="K344" s="696"/>
      <c r="L344" s="696"/>
      <c r="M344" s="696"/>
      <c r="N344" s="696"/>
      <c r="O344" s="696"/>
      <c r="P344" s="696"/>
      <c r="Q344" s="847"/>
      <c r="R344" s="696"/>
      <c r="S344" s="696"/>
      <c r="T344" s="696"/>
      <c r="U344" s="696"/>
      <c r="V344" s="696"/>
      <c r="W344" s="696"/>
      <c r="X344" s="696"/>
      <c r="Y344" s="847"/>
      <c r="Z344" s="696"/>
      <c r="AA344" s="696"/>
      <c r="AB344" s="696"/>
      <c r="AC344" s="696"/>
      <c r="AD344" s="696"/>
      <c r="AE344" s="696"/>
      <c r="AF344" s="696"/>
      <c r="AG344" s="847"/>
      <c r="AH344" s="696"/>
      <c r="AI344" s="696"/>
      <c r="AJ344" s="696"/>
      <c r="AK344" s="696"/>
      <c r="AL344" s="696"/>
      <c r="AM344" s="696"/>
      <c r="AN344" s="696"/>
      <c r="AO344" s="847"/>
      <c r="AP344" s="696"/>
      <c r="AQ344" s="696"/>
      <c r="AR344" s="696"/>
      <c r="AS344" s="696"/>
      <c r="AT344" s="696"/>
      <c r="AU344" s="696"/>
      <c r="AV344" s="696"/>
      <c r="AW344" s="696"/>
      <c r="AX344" s="696"/>
      <c r="AY344" s="696"/>
      <c r="AZ344" s="696"/>
      <c r="BA344" s="696"/>
      <c r="BB344" s="696"/>
      <c r="BC344" s="696"/>
      <c r="BD344" s="696"/>
      <c r="BE344" s="696"/>
      <c r="BF344" s="696"/>
      <c r="BG344" s="696"/>
      <c r="BH344" s="696"/>
    </row>
    <row r="345" spans="1:60" s="44" customFormat="1">
      <c r="A345" s="700"/>
      <c r="B345" s="700"/>
      <c r="C345" s="696"/>
      <c r="D345" s="696"/>
      <c r="E345" s="696"/>
      <c r="F345" s="696"/>
      <c r="G345" s="696"/>
      <c r="H345" s="696"/>
      <c r="I345" s="847"/>
      <c r="J345" s="696"/>
      <c r="K345" s="696"/>
      <c r="L345" s="696"/>
      <c r="M345" s="696"/>
      <c r="N345" s="696"/>
      <c r="O345" s="696"/>
      <c r="P345" s="696"/>
      <c r="Q345" s="847"/>
      <c r="R345" s="696"/>
      <c r="S345" s="696"/>
      <c r="T345" s="696"/>
      <c r="U345" s="696"/>
      <c r="V345" s="696"/>
      <c r="W345" s="696"/>
      <c r="X345" s="696"/>
      <c r="Y345" s="847"/>
      <c r="Z345" s="696"/>
      <c r="AA345" s="696"/>
      <c r="AB345" s="696"/>
      <c r="AC345" s="696"/>
      <c r="AD345" s="696"/>
      <c r="AE345" s="696"/>
      <c r="AF345" s="696"/>
      <c r="AG345" s="847"/>
      <c r="AH345" s="696"/>
      <c r="AI345" s="696"/>
      <c r="AJ345" s="696"/>
      <c r="AK345" s="696"/>
      <c r="AL345" s="696"/>
      <c r="AM345" s="696"/>
      <c r="AN345" s="696"/>
      <c r="AO345" s="847"/>
      <c r="AP345" s="696"/>
      <c r="AQ345" s="696"/>
      <c r="AR345" s="696"/>
      <c r="AS345" s="696"/>
      <c r="AT345" s="696"/>
      <c r="AU345" s="696"/>
      <c r="AV345" s="696"/>
      <c r="AW345" s="696"/>
      <c r="AX345" s="696"/>
      <c r="AY345" s="696"/>
      <c r="AZ345" s="696"/>
      <c r="BA345" s="696"/>
      <c r="BB345" s="696"/>
      <c r="BC345" s="696"/>
      <c r="BD345" s="696"/>
      <c r="BE345" s="696"/>
      <c r="BF345" s="696"/>
      <c r="BG345" s="696"/>
      <c r="BH345" s="696"/>
    </row>
    <row r="346" spans="1:60" s="44" customFormat="1">
      <c r="A346" s="700"/>
      <c r="B346" s="700"/>
      <c r="C346" s="696"/>
      <c r="D346" s="696"/>
      <c r="E346" s="696"/>
      <c r="F346" s="696"/>
      <c r="G346" s="696"/>
      <c r="H346" s="696"/>
      <c r="I346" s="847"/>
      <c r="J346" s="696"/>
      <c r="K346" s="696"/>
      <c r="L346" s="696"/>
      <c r="M346" s="696"/>
      <c r="N346" s="696"/>
      <c r="O346" s="696"/>
      <c r="P346" s="696"/>
      <c r="Q346" s="847"/>
      <c r="R346" s="696"/>
      <c r="S346" s="696"/>
      <c r="T346" s="696"/>
      <c r="U346" s="696"/>
      <c r="V346" s="696"/>
      <c r="W346" s="696"/>
      <c r="X346" s="696"/>
      <c r="Y346" s="847"/>
      <c r="Z346" s="696"/>
      <c r="AA346" s="696"/>
      <c r="AB346" s="696"/>
      <c r="AC346" s="696"/>
      <c r="AD346" s="696"/>
      <c r="AE346" s="696"/>
      <c r="AF346" s="696"/>
      <c r="AG346" s="847"/>
      <c r="AH346" s="696"/>
      <c r="AI346" s="696"/>
      <c r="AJ346" s="696"/>
      <c r="AK346" s="696"/>
      <c r="AL346" s="696"/>
      <c r="AM346" s="696"/>
      <c r="AN346" s="696"/>
      <c r="AO346" s="847"/>
      <c r="AP346" s="696"/>
      <c r="AQ346" s="696"/>
      <c r="AR346" s="696"/>
      <c r="AS346" s="696"/>
      <c r="AT346" s="696"/>
      <c r="AU346" s="696"/>
      <c r="AV346" s="696"/>
      <c r="AW346" s="696"/>
      <c r="AX346" s="696"/>
      <c r="AY346" s="696"/>
      <c r="AZ346" s="696"/>
      <c r="BA346" s="696"/>
      <c r="BB346" s="696"/>
      <c r="BC346" s="696"/>
      <c r="BD346" s="696"/>
      <c r="BE346" s="696"/>
      <c r="BF346" s="696"/>
      <c r="BG346" s="696"/>
      <c r="BH346" s="696"/>
    </row>
    <row r="347" spans="1:60" s="44" customFormat="1">
      <c r="A347" s="700"/>
      <c r="B347" s="700"/>
      <c r="C347" s="696"/>
      <c r="D347" s="696"/>
      <c r="E347" s="696"/>
      <c r="F347" s="696"/>
      <c r="G347" s="696"/>
      <c r="H347" s="696"/>
      <c r="I347" s="847"/>
      <c r="J347" s="696"/>
      <c r="K347" s="696"/>
      <c r="L347" s="696"/>
      <c r="M347" s="696"/>
      <c r="N347" s="696"/>
      <c r="O347" s="696"/>
      <c r="P347" s="696"/>
      <c r="Q347" s="847"/>
      <c r="R347" s="696"/>
      <c r="S347" s="696"/>
      <c r="T347" s="696"/>
      <c r="U347" s="696"/>
      <c r="V347" s="696"/>
      <c r="W347" s="696"/>
      <c r="X347" s="696"/>
      <c r="Y347" s="847"/>
      <c r="Z347" s="696"/>
      <c r="AA347" s="696"/>
      <c r="AB347" s="696"/>
      <c r="AC347" s="696"/>
      <c r="AD347" s="696"/>
      <c r="AE347" s="696"/>
      <c r="AF347" s="696"/>
      <c r="AG347" s="847"/>
      <c r="AH347" s="696"/>
      <c r="AI347" s="696"/>
      <c r="AJ347" s="696"/>
      <c r="AK347" s="696"/>
      <c r="AL347" s="696"/>
      <c r="AM347" s="696"/>
      <c r="AN347" s="696"/>
      <c r="AO347" s="847"/>
      <c r="AP347" s="696"/>
      <c r="AQ347" s="696"/>
      <c r="AR347" s="696"/>
      <c r="AS347" s="696"/>
      <c r="AT347" s="696"/>
      <c r="AU347" s="696"/>
      <c r="AV347" s="696"/>
      <c r="AW347" s="696"/>
      <c r="AX347" s="696"/>
      <c r="AY347" s="696"/>
      <c r="AZ347" s="696"/>
      <c r="BA347" s="696"/>
      <c r="BB347" s="696"/>
      <c r="BC347" s="696"/>
      <c r="BD347" s="696"/>
      <c r="BE347" s="696"/>
      <c r="BF347" s="696"/>
      <c r="BG347" s="696"/>
      <c r="BH347" s="696"/>
    </row>
    <row r="348" spans="1:60" s="44" customFormat="1">
      <c r="A348" s="700"/>
      <c r="B348" s="700"/>
      <c r="C348" s="696"/>
      <c r="D348" s="696"/>
      <c r="E348" s="696"/>
      <c r="F348" s="696"/>
      <c r="G348" s="696"/>
      <c r="H348" s="696"/>
      <c r="I348" s="847"/>
      <c r="J348" s="696"/>
      <c r="K348" s="696"/>
      <c r="L348" s="696"/>
      <c r="M348" s="696"/>
      <c r="N348" s="696"/>
      <c r="O348" s="696"/>
      <c r="P348" s="696"/>
      <c r="Q348" s="847"/>
      <c r="R348" s="696"/>
      <c r="S348" s="696"/>
      <c r="T348" s="696"/>
      <c r="U348" s="696"/>
      <c r="V348" s="696"/>
      <c r="W348" s="696"/>
      <c r="X348" s="696"/>
      <c r="Y348" s="847"/>
      <c r="Z348" s="696"/>
      <c r="AA348" s="696"/>
      <c r="AB348" s="696"/>
      <c r="AC348" s="696"/>
      <c r="AD348" s="696"/>
      <c r="AE348" s="696"/>
      <c r="AF348" s="696"/>
      <c r="AG348" s="847"/>
      <c r="AH348" s="696"/>
      <c r="AI348" s="696"/>
      <c r="AJ348" s="696"/>
      <c r="AK348" s="696"/>
      <c r="AL348" s="696"/>
      <c r="AM348" s="696"/>
      <c r="AN348" s="696"/>
      <c r="AO348" s="847"/>
      <c r="AP348" s="696"/>
      <c r="AQ348" s="696"/>
      <c r="AR348" s="696"/>
      <c r="AS348" s="696"/>
      <c r="AT348" s="696"/>
      <c r="AU348" s="696"/>
      <c r="AV348" s="696"/>
      <c r="AW348" s="696"/>
      <c r="AX348" s="696"/>
      <c r="AY348" s="696"/>
      <c r="AZ348" s="696"/>
      <c r="BA348" s="696"/>
      <c r="BB348" s="696"/>
      <c r="BC348" s="696"/>
      <c r="BD348" s="696"/>
      <c r="BE348" s="696"/>
      <c r="BF348" s="696"/>
      <c r="BG348" s="696"/>
      <c r="BH348" s="696"/>
    </row>
    <row r="349" spans="1:60" s="44" customFormat="1">
      <c r="A349" s="700"/>
      <c r="B349" s="700"/>
      <c r="C349" s="696"/>
      <c r="D349" s="696"/>
      <c r="E349" s="696"/>
      <c r="F349" s="696"/>
      <c r="G349" s="696"/>
      <c r="H349" s="696"/>
      <c r="I349" s="847"/>
      <c r="J349" s="696"/>
      <c r="K349" s="696"/>
      <c r="L349" s="696"/>
      <c r="M349" s="696"/>
      <c r="N349" s="696"/>
      <c r="O349" s="696"/>
      <c r="P349" s="696"/>
      <c r="Q349" s="847"/>
      <c r="R349" s="696"/>
      <c r="S349" s="696"/>
      <c r="T349" s="696"/>
      <c r="U349" s="696"/>
      <c r="V349" s="696"/>
      <c r="W349" s="696"/>
      <c r="X349" s="696"/>
      <c r="Y349" s="847"/>
      <c r="Z349" s="696"/>
      <c r="AA349" s="696"/>
      <c r="AB349" s="696"/>
      <c r="AC349" s="696"/>
      <c r="AD349" s="696"/>
      <c r="AE349" s="696"/>
      <c r="AF349" s="696"/>
      <c r="AG349" s="847"/>
      <c r="AH349" s="696"/>
      <c r="AI349" s="696"/>
      <c r="AJ349" s="696"/>
      <c r="AK349" s="696"/>
      <c r="AL349" s="696"/>
      <c r="AM349" s="696"/>
      <c r="AN349" s="696"/>
      <c r="AO349" s="847"/>
      <c r="AP349" s="696"/>
      <c r="AQ349" s="696"/>
      <c r="AR349" s="696"/>
      <c r="AS349" s="696"/>
      <c r="AT349" s="696"/>
      <c r="AU349" s="696"/>
      <c r="AV349" s="696"/>
      <c r="AW349" s="696"/>
      <c r="AX349" s="696"/>
      <c r="AY349" s="696"/>
      <c r="AZ349" s="696"/>
      <c r="BA349" s="696"/>
      <c r="BB349" s="696"/>
      <c r="BC349" s="696"/>
      <c r="BD349" s="696"/>
      <c r="BE349" s="696"/>
      <c r="BF349" s="696"/>
      <c r="BG349" s="696"/>
      <c r="BH349" s="696"/>
    </row>
    <row r="350" spans="1:60" s="44" customFormat="1">
      <c r="A350" s="700"/>
      <c r="B350" s="700"/>
      <c r="C350" s="696"/>
      <c r="D350" s="696"/>
      <c r="E350" s="696"/>
      <c r="F350" s="696"/>
      <c r="G350" s="696"/>
      <c r="H350" s="696"/>
      <c r="I350" s="847"/>
      <c r="J350" s="696"/>
      <c r="K350" s="696"/>
      <c r="L350" s="696"/>
      <c r="M350" s="696"/>
      <c r="N350" s="696"/>
      <c r="O350" s="696"/>
      <c r="P350" s="696"/>
      <c r="Q350" s="847"/>
      <c r="R350" s="696"/>
      <c r="S350" s="696"/>
      <c r="T350" s="696"/>
      <c r="U350" s="696"/>
      <c r="V350" s="696"/>
      <c r="W350" s="696"/>
      <c r="X350" s="696"/>
      <c r="Y350" s="847"/>
      <c r="Z350" s="696"/>
      <c r="AA350" s="696"/>
      <c r="AB350" s="696"/>
      <c r="AC350" s="696"/>
      <c r="AD350" s="696"/>
      <c r="AE350" s="696"/>
      <c r="AF350" s="696"/>
      <c r="AG350" s="847"/>
      <c r="AH350" s="696"/>
      <c r="AI350" s="696"/>
      <c r="AJ350" s="696"/>
      <c r="AK350" s="696"/>
      <c r="AL350" s="696"/>
      <c r="AM350" s="696"/>
      <c r="AN350" s="696"/>
      <c r="AO350" s="847"/>
      <c r="AP350" s="696"/>
      <c r="AQ350" s="696"/>
      <c r="AR350" s="696"/>
      <c r="AS350" s="696"/>
      <c r="AT350" s="696"/>
      <c r="AU350" s="696"/>
      <c r="AV350" s="696"/>
      <c r="AW350" s="696"/>
      <c r="AX350" s="696"/>
      <c r="AY350" s="696"/>
      <c r="AZ350" s="696"/>
      <c r="BA350" s="696"/>
      <c r="BB350" s="696"/>
      <c r="BC350" s="696"/>
      <c r="BD350" s="696"/>
      <c r="BE350" s="696"/>
      <c r="BF350" s="696"/>
      <c r="BG350" s="696"/>
      <c r="BH350" s="696"/>
    </row>
    <row r="351" spans="1:60" s="44" customFormat="1">
      <c r="A351" s="700"/>
      <c r="B351" s="700"/>
      <c r="C351" s="696"/>
      <c r="D351" s="696"/>
      <c r="E351" s="696"/>
      <c r="F351" s="696"/>
      <c r="G351" s="696"/>
      <c r="H351" s="696"/>
      <c r="I351" s="847"/>
      <c r="J351" s="696"/>
      <c r="K351" s="696"/>
      <c r="L351" s="696"/>
      <c r="M351" s="696"/>
      <c r="N351" s="696"/>
      <c r="O351" s="696"/>
      <c r="P351" s="696"/>
      <c r="Q351" s="847"/>
      <c r="R351" s="696"/>
      <c r="S351" s="696"/>
      <c r="T351" s="696"/>
      <c r="U351" s="696"/>
      <c r="V351" s="696"/>
      <c r="W351" s="696"/>
      <c r="X351" s="696"/>
      <c r="Y351" s="847"/>
      <c r="Z351" s="696"/>
      <c r="AA351" s="696"/>
      <c r="AB351" s="696"/>
      <c r="AC351" s="696"/>
      <c r="AD351" s="696"/>
      <c r="AE351" s="696"/>
      <c r="AF351" s="696"/>
      <c r="AG351" s="847"/>
      <c r="AH351" s="696"/>
      <c r="AI351" s="696"/>
      <c r="AJ351" s="696"/>
      <c r="AK351" s="696"/>
      <c r="AL351" s="696"/>
      <c r="AM351" s="696"/>
      <c r="AN351" s="696"/>
      <c r="AO351" s="847"/>
      <c r="AP351" s="696"/>
      <c r="AQ351" s="696"/>
      <c r="AR351" s="696"/>
      <c r="AS351" s="696"/>
      <c r="AT351" s="696"/>
      <c r="AU351" s="696"/>
      <c r="AV351" s="696"/>
      <c r="AW351" s="696"/>
      <c r="AX351" s="696"/>
      <c r="AY351" s="696"/>
      <c r="AZ351" s="696"/>
      <c r="BA351" s="696"/>
      <c r="BB351" s="696"/>
      <c r="BC351" s="696"/>
      <c r="BD351" s="696"/>
      <c r="BE351" s="696"/>
      <c r="BF351" s="696"/>
      <c r="BG351" s="696"/>
      <c r="BH351" s="696"/>
    </row>
    <row r="352" spans="1:60" s="44" customFormat="1">
      <c r="A352" s="700"/>
      <c r="B352" s="700"/>
      <c r="C352" s="696"/>
      <c r="D352" s="696"/>
      <c r="E352" s="696"/>
      <c r="F352" s="696"/>
      <c r="G352" s="696"/>
      <c r="H352" s="696"/>
      <c r="I352" s="847"/>
      <c r="J352" s="696"/>
      <c r="K352" s="696"/>
      <c r="L352" s="696"/>
      <c r="M352" s="696"/>
      <c r="N352" s="696"/>
      <c r="O352" s="696"/>
      <c r="P352" s="696"/>
      <c r="Q352" s="847"/>
      <c r="R352" s="696"/>
      <c r="S352" s="696"/>
      <c r="T352" s="696"/>
      <c r="U352" s="696"/>
      <c r="V352" s="696"/>
      <c r="W352" s="696"/>
      <c r="X352" s="696"/>
      <c r="Y352" s="847"/>
      <c r="Z352" s="696"/>
      <c r="AA352" s="696"/>
      <c r="AB352" s="696"/>
      <c r="AC352" s="696"/>
      <c r="AD352" s="696"/>
      <c r="AE352" s="696"/>
      <c r="AF352" s="696"/>
      <c r="AG352" s="847"/>
      <c r="AH352" s="696"/>
      <c r="AI352" s="696"/>
      <c r="AJ352" s="696"/>
      <c r="AK352" s="696"/>
      <c r="AL352" s="696"/>
      <c r="AM352" s="696"/>
      <c r="AN352" s="696"/>
      <c r="AO352" s="847"/>
      <c r="AP352" s="696"/>
      <c r="AQ352" s="696"/>
      <c r="AR352" s="696"/>
      <c r="AS352" s="696"/>
      <c r="AT352" s="696"/>
      <c r="AU352" s="696"/>
      <c r="AV352" s="696"/>
      <c r="AW352" s="696"/>
      <c r="AX352" s="696"/>
      <c r="AY352" s="696"/>
      <c r="AZ352" s="696"/>
      <c r="BA352" s="696"/>
      <c r="BB352" s="696"/>
      <c r="BC352" s="696"/>
      <c r="BD352" s="696"/>
      <c r="BE352" s="696"/>
      <c r="BF352" s="696"/>
      <c r="BG352" s="696"/>
      <c r="BH352" s="696"/>
    </row>
    <row r="353" spans="1:60" s="44" customFormat="1">
      <c r="A353" s="700"/>
      <c r="B353" s="700"/>
      <c r="C353" s="696"/>
      <c r="D353" s="696"/>
      <c r="E353" s="696"/>
      <c r="F353" s="696"/>
      <c r="G353" s="696"/>
      <c r="H353" s="696"/>
      <c r="I353" s="847"/>
      <c r="J353" s="696"/>
      <c r="K353" s="696"/>
      <c r="L353" s="696"/>
      <c r="M353" s="696"/>
      <c r="N353" s="696"/>
      <c r="O353" s="696"/>
      <c r="P353" s="696"/>
      <c r="Q353" s="847"/>
      <c r="R353" s="696"/>
      <c r="S353" s="696"/>
      <c r="T353" s="696"/>
      <c r="U353" s="696"/>
      <c r="V353" s="696"/>
      <c r="W353" s="696"/>
      <c r="X353" s="696"/>
      <c r="Y353" s="847"/>
      <c r="Z353" s="696"/>
      <c r="AA353" s="696"/>
      <c r="AB353" s="696"/>
      <c r="AC353" s="696"/>
      <c r="AD353" s="696"/>
      <c r="AE353" s="696"/>
      <c r="AF353" s="696"/>
      <c r="AG353" s="847"/>
      <c r="AH353" s="696"/>
      <c r="AI353" s="696"/>
      <c r="AJ353" s="696"/>
      <c r="AK353" s="696"/>
      <c r="AL353" s="696"/>
      <c r="AM353" s="696"/>
      <c r="AN353" s="696"/>
      <c r="AO353" s="847"/>
      <c r="AP353" s="696"/>
      <c r="AQ353" s="696"/>
      <c r="AR353" s="696"/>
      <c r="AS353" s="696"/>
      <c r="AT353" s="696"/>
      <c r="AU353" s="696"/>
      <c r="AV353" s="696"/>
      <c r="AW353" s="696"/>
      <c r="AX353" s="696"/>
      <c r="AY353" s="696"/>
      <c r="AZ353" s="696"/>
      <c r="BA353" s="696"/>
      <c r="BB353" s="696"/>
      <c r="BC353" s="696"/>
      <c r="BD353" s="696"/>
      <c r="BE353" s="696"/>
      <c r="BF353" s="696"/>
      <c r="BG353" s="696"/>
      <c r="BH353" s="696"/>
    </row>
    <row r="354" spans="1:60" s="44" customFormat="1">
      <c r="A354" s="700"/>
      <c r="B354" s="700"/>
      <c r="C354" s="696"/>
      <c r="D354" s="696"/>
      <c r="E354" s="696"/>
      <c r="F354" s="696"/>
      <c r="G354" s="696"/>
      <c r="H354" s="696"/>
      <c r="I354" s="847"/>
      <c r="J354" s="696"/>
      <c r="K354" s="696"/>
      <c r="L354" s="696"/>
      <c r="M354" s="696"/>
      <c r="N354" s="696"/>
      <c r="O354" s="696"/>
      <c r="P354" s="696"/>
      <c r="Q354" s="847"/>
      <c r="R354" s="696"/>
      <c r="S354" s="696"/>
      <c r="T354" s="696"/>
      <c r="U354" s="696"/>
      <c r="V354" s="696"/>
      <c r="W354" s="696"/>
      <c r="X354" s="696"/>
      <c r="Y354" s="847"/>
      <c r="Z354" s="696"/>
      <c r="AA354" s="696"/>
      <c r="AB354" s="696"/>
      <c r="AC354" s="696"/>
      <c r="AD354" s="696"/>
      <c r="AE354" s="696"/>
      <c r="AF354" s="696"/>
      <c r="AG354" s="847"/>
      <c r="AH354" s="696"/>
      <c r="AI354" s="696"/>
      <c r="AJ354" s="696"/>
      <c r="AK354" s="696"/>
      <c r="AL354" s="696"/>
      <c r="AM354" s="696"/>
      <c r="AN354" s="696"/>
      <c r="AO354" s="847"/>
      <c r="AP354" s="696"/>
      <c r="AQ354" s="696"/>
      <c r="AR354" s="696"/>
      <c r="AS354" s="696"/>
      <c r="AT354" s="696"/>
      <c r="AU354" s="696"/>
      <c r="AV354" s="696"/>
      <c r="AW354" s="696"/>
      <c r="AX354" s="696"/>
      <c r="AY354" s="696"/>
      <c r="AZ354" s="696"/>
      <c r="BA354" s="696"/>
      <c r="BB354" s="696"/>
      <c r="BC354" s="696"/>
      <c r="BD354" s="696"/>
      <c r="BE354" s="696"/>
      <c r="BF354" s="696"/>
      <c r="BG354" s="696"/>
      <c r="BH354" s="696"/>
    </row>
    <row r="355" spans="1:60" s="44" customFormat="1">
      <c r="A355" s="700"/>
      <c r="B355" s="700"/>
      <c r="C355" s="696"/>
      <c r="D355" s="696"/>
      <c r="E355" s="696"/>
      <c r="F355" s="696"/>
      <c r="G355" s="696"/>
      <c r="H355" s="696"/>
      <c r="I355" s="847"/>
      <c r="J355" s="696"/>
      <c r="K355" s="696"/>
      <c r="L355" s="696"/>
      <c r="M355" s="696"/>
      <c r="N355" s="696"/>
      <c r="O355" s="696"/>
      <c r="P355" s="696"/>
      <c r="Q355" s="847"/>
      <c r="R355" s="696"/>
      <c r="S355" s="696"/>
      <c r="T355" s="696"/>
      <c r="U355" s="696"/>
      <c r="V355" s="696"/>
      <c r="W355" s="696"/>
      <c r="X355" s="696"/>
      <c r="Y355" s="847"/>
      <c r="Z355" s="696"/>
      <c r="AA355" s="696"/>
      <c r="AB355" s="696"/>
      <c r="AC355" s="696"/>
      <c r="AD355" s="696"/>
      <c r="AE355" s="696"/>
      <c r="AF355" s="696"/>
      <c r="AG355" s="847"/>
      <c r="AH355" s="696"/>
      <c r="AI355" s="696"/>
      <c r="AJ355" s="696"/>
      <c r="AK355" s="696"/>
      <c r="AL355" s="696"/>
      <c r="AM355" s="696"/>
      <c r="AN355" s="696"/>
      <c r="AO355" s="847"/>
      <c r="AP355" s="696"/>
      <c r="AQ355" s="696"/>
      <c r="AR355" s="696"/>
      <c r="AS355" s="696"/>
      <c r="AT355" s="696"/>
      <c r="AU355" s="696"/>
      <c r="AV355" s="696"/>
      <c r="AW355" s="696"/>
      <c r="AX355" s="696"/>
      <c r="AY355" s="696"/>
      <c r="AZ355" s="696"/>
      <c r="BA355" s="696"/>
      <c r="BB355" s="696"/>
      <c r="BC355" s="696"/>
      <c r="BD355" s="696"/>
      <c r="BE355" s="696"/>
      <c r="BF355" s="696"/>
      <c r="BG355" s="696"/>
      <c r="BH355" s="696"/>
    </row>
    <row r="356" spans="1:60" s="44" customFormat="1">
      <c r="A356" s="700"/>
      <c r="B356" s="700"/>
      <c r="C356" s="696"/>
      <c r="D356" s="696"/>
      <c r="E356" s="696"/>
      <c r="F356" s="696"/>
      <c r="G356" s="696"/>
      <c r="H356" s="696"/>
      <c r="I356" s="847"/>
      <c r="J356" s="696"/>
      <c r="K356" s="696"/>
      <c r="L356" s="696"/>
      <c r="M356" s="696"/>
      <c r="N356" s="696"/>
      <c r="O356" s="696"/>
      <c r="P356" s="696"/>
      <c r="Q356" s="847"/>
      <c r="R356" s="696"/>
      <c r="S356" s="696"/>
      <c r="T356" s="696"/>
      <c r="U356" s="696"/>
      <c r="V356" s="696"/>
      <c r="W356" s="696"/>
      <c r="X356" s="696"/>
      <c r="Y356" s="847"/>
      <c r="Z356" s="696"/>
      <c r="AA356" s="696"/>
      <c r="AB356" s="696"/>
      <c r="AC356" s="696"/>
      <c r="AD356" s="696"/>
      <c r="AE356" s="696"/>
      <c r="AF356" s="696"/>
      <c r="AG356" s="847"/>
      <c r="AH356" s="696"/>
      <c r="AI356" s="696"/>
      <c r="AJ356" s="696"/>
      <c r="AK356" s="696"/>
      <c r="AL356" s="696"/>
      <c r="AM356" s="696"/>
      <c r="AN356" s="696"/>
      <c r="AO356" s="847"/>
      <c r="AP356" s="696"/>
      <c r="AQ356" s="696"/>
      <c r="AR356" s="696"/>
      <c r="AS356" s="696"/>
      <c r="AT356" s="696"/>
      <c r="AU356" s="696"/>
      <c r="AV356" s="696"/>
      <c r="AW356" s="696"/>
      <c r="AX356" s="696"/>
      <c r="AY356" s="696"/>
      <c r="AZ356" s="696"/>
      <c r="BA356" s="696"/>
      <c r="BB356" s="696"/>
      <c r="BC356" s="696"/>
      <c r="BD356" s="696"/>
      <c r="BE356" s="696"/>
      <c r="BF356" s="696"/>
      <c r="BG356" s="696"/>
      <c r="BH356" s="696"/>
    </row>
    <row r="357" spans="1:60" s="44" customFormat="1">
      <c r="A357" s="700"/>
      <c r="B357" s="700"/>
      <c r="C357" s="696"/>
      <c r="D357" s="696"/>
      <c r="E357" s="696"/>
      <c r="F357" s="696"/>
      <c r="G357" s="696"/>
      <c r="H357" s="696"/>
      <c r="I357" s="847"/>
      <c r="J357" s="696"/>
      <c r="K357" s="696"/>
      <c r="L357" s="696"/>
      <c r="M357" s="696"/>
      <c r="N357" s="696"/>
      <c r="O357" s="696"/>
      <c r="P357" s="696"/>
      <c r="Q357" s="847"/>
      <c r="R357" s="696"/>
      <c r="S357" s="696"/>
      <c r="T357" s="696"/>
      <c r="U357" s="696"/>
      <c r="V357" s="696"/>
      <c r="W357" s="696"/>
      <c r="X357" s="696"/>
      <c r="Y357" s="847"/>
      <c r="Z357" s="696"/>
      <c r="AA357" s="696"/>
      <c r="AB357" s="696"/>
      <c r="AC357" s="696"/>
      <c r="AD357" s="696"/>
      <c r="AE357" s="696"/>
      <c r="AF357" s="696"/>
      <c r="AG357" s="847"/>
      <c r="AH357" s="696"/>
      <c r="AI357" s="696"/>
      <c r="AJ357" s="696"/>
      <c r="AK357" s="696"/>
      <c r="AL357" s="696"/>
      <c r="AM357" s="696"/>
      <c r="AN357" s="696"/>
      <c r="AO357" s="847"/>
      <c r="AP357" s="696"/>
      <c r="AQ357" s="696"/>
      <c r="AR357" s="696"/>
      <c r="AS357" s="696"/>
      <c r="AT357" s="696"/>
      <c r="AU357" s="696"/>
      <c r="AV357" s="696"/>
      <c r="AW357" s="696"/>
      <c r="AX357" s="696"/>
      <c r="AY357" s="696"/>
      <c r="AZ357" s="696"/>
      <c r="BA357" s="696"/>
      <c r="BB357" s="696"/>
      <c r="BC357" s="696"/>
      <c r="BD357" s="696"/>
      <c r="BE357" s="696"/>
      <c r="BF357" s="696"/>
      <c r="BG357" s="696"/>
      <c r="BH357" s="696"/>
    </row>
    <row r="358" spans="1:60" s="44" customFormat="1">
      <c r="A358" s="700"/>
      <c r="B358" s="700"/>
      <c r="C358" s="696"/>
      <c r="D358" s="696"/>
      <c r="E358" s="696"/>
      <c r="F358" s="696"/>
      <c r="G358" s="696"/>
      <c r="H358" s="696"/>
      <c r="I358" s="847"/>
      <c r="J358" s="696"/>
      <c r="K358" s="696"/>
      <c r="L358" s="696"/>
      <c r="M358" s="696"/>
      <c r="N358" s="696"/>
      <c r="O358" s="696"/>
      <c r="P358" s="696"/>
      <c r="Q358" s="847"/>
      <c r="R358" s="696"/>
      <c r="S358" s="696"/>
      <c r="T358" s="696"/>
      <c r="U358" s="696"/>
      <c r="V358" s="696"/>
      <c r="W358" s="696"/>
      <c r="X358" s="696"/>
      <c r="Y358" s="847"/>
      <c r="Z358" s="696"/>
      <c r="AA358" s="696"/>
      <c r="AB358" s="696"/>
      <c r="AC358" s="696"/>
      <c r="AD358" s="696"/>
      <c r="AE358" s="696"/>
      <c r="AF358" s="696"/>
      <c r="AG358" s="847"/>
      <c r="AH358" s="696"/>
      <c r="AI358" s="696"/>
      <c r="AJ358" s="696"/>
      <c r="AK358" s="696"/>
      <c r="AL358" s="696"/>
      <c r="AM358" s="696"/>
      <c r="AN358" s="696"/>
      <c r="AO358" s="847"/>
      <c r="AP358" s="696"/>
      <c r="AQ358" s="696"/>
      <c r="AR358" s="696"/>
      <c r="AS358" s="696"/>
      <c r="AT358" s="696"/>
      <c r="AU358" s="696"/>
      <c r="AV358" s="696"/>
      <c r="AW358" s="696"/>
      <c r="AX358" s="696"/>
      <c r="AY358" s="696"/>
      <c r="AZ358" s="696"/>
      <c r="BA358" s="696"/>
      <c r="BB358" s="696"/>
      <c r="BC358" s="696"/>
      <c r="BD358" s="696"/>
      <c r="BE358" s="696"/>
      <c r="BF358" s="696"/>
      <c r="BG358" s="696"/>
      <c r="BH358" s="696"/>
    </row>
    <row r="359" spans="1:60" s="44" customFormat="1">
      <c r="A359" s="700"/>
      <c r="B359" s="700"/>
      <c r="C359" s="696"/>
      <c r="D359" s="696"/>
      <c r="E359" s="696"/>
      <c r="F359" s="696"/>
      <c r="G359" s="696"/>
      <c r="H359" s="696"/>
      <c r="I359" s="847"/>
      <c r="J359" s="696"/>
      <c r="K359" s="696"/>
      <c r="L359" s="696"/>
      <c r="M359" s="696"/>
      <c r="N359" s="696"/>
      <c r="O359" s="696"/>
      <c r="P359" s="696"/>
      <c r="Q359" s="847"/>
      <c r="R359" s="696"/>
      <c r="S359" s="696"/>
      <c r="T359" s="696"/>
      <c r="U359" s="696"/>
      <c r="V359" s="696"/>
      <c r="W359" s="696"/>
      <c r="X359" s="696"/>
      <c r="Y359" s="847"/>
      <c r="Z359" s="696"/>
      <c r="AA359" s="696"/>
      <c r="AB359" s="696"/>
      <c r="AC359" s="696"/>
      <c r="AD359" s="696"/>
      <c r="AE359" s="696"/>
      <c r="AF359" s="696"/>
      <c r="AG359" s="847"/>
      <c r="AH359" s="696"/>
      <c r="AI359" s="696"/>
      <c r="AJ359" s="696"/>
      <c r="AK359" s="696"/>
      <c r="AL359" s="696"/>
      <c r="AM359" s="696"/>
      <c r="AN359" s="696"/>
      <c r="AO359" s="847"/>
      <c r="AP359" s="696"/>
      <c r="AQ359" s="696"/>
      <c r="AR359" s="696"/>
      <c r="AS359" s="696"/>
      <c r="AT359" s="696"/>
      <c r="AU359" s="696"/>
      <c r="AV359" s="696"/>
      <c r="AW359" s="696"/>
      <c r="AX359" s="696"/>
      <c r="AY359" s="696"/>
      <c r="AZ359" s="696"/>
      <c r="BA359" s="696"/>
      <c r="BB359" s="696"/>
      <c r="BC359" s="696"/>
      <c r="BD359" s="696"/>
      <c r="BE359" s="696"/>
      <c r="BF359" s="696"/>
      <c r="BG359" s="696"/>
      <c r="BH359" s="696"/>
    </row>
    <row r="360" spans="1:60" s="44" customFormat="1">
      <c r="A360" s="700"/>
      <c r="B360" s="700"/>
      <c r="C360" s="696"/>
      <c r="D360" s="696"/>
      <c r="E360" s="696"/>
      <c r="F360" s="696"/>
      <c r="G360" s="696"/>
      <c r="H360" s="696"/>
      <c r="I360" s="847"/>
      <c r="J360" s="696"/>
      <c r="K360" s="696"/>
      <c r="L360" s="696"/>
      <c r="M360" s="696"/>
      <c r="N360" s="696"/>
      <c r="O360" s="696"/>
      <c r="P360" s="696"/>
      <c r="Q360" s="847"/>
      <c r="R360" s="696"/>
      <c r="S360" s="696"/>
      <c r="T360" s="696"/>
      <c r="U360" s="696"/>
      <c r="V360" s="696"/>
      <c r="W360" s="696"/>
      <c r="X360" s="696"/>
      <c r="Y360" s="847"/>
      <c r="Z360" s="696"/>
      <c r="AA360" s="696"/>
      <c r="AB360" s="696"/>
      <c r="AC360" s="696"/>
      <c r="AD360" s="696"/>
      <c r="AE360" s="696"/>
      <c r="AF360" s="696"/>
      <c r="AG360" s="847"/>
      <c r="AH360" s="696"/>
      <c r="AI360" s="696"/>
      <c r="AJ360" s="696"/>
      <c r="AK360" s="696"/>
      <c r="AL360" s="696"/>
      <c r="AM360" s="696"/>
      <c r="AN360" s="696"/>
      <c r="AO360" s="847"/>
      <c r="AP360" s="696"/>
      <c r="AQ360" s="696"/>
      <c r="AR360" s="696"/>
      <c r="AS360" s="696"/>
      <c r="AT360" s="696"/>
      <c r="AU360" s="696"/>
      <c r="AV360" s="696"/>
      <c r="AW360" s="696"/>
      <c r="AX360" s="696"/>
      <c r="AY360" s="696"/>
      <c r="AZ360" s="696"/>
      <c r="BA360" s="696"/>
      <c r="BB360" s="696"/>
      <c r="BC360" s="696"/>
      <c r="BD360" s="696"/>
      <c r="BE360" s="696"/>
      <c r="BF360" s="696"/>
      <c r="BG360" s="696"/>
      <c r="BH360" s="696"/>
    </row>
    <row r="361" spans="1:60" s="44" customFormat="1">
      <c r="A361" s="700"/>
      <c r="B361" s="700"/>
      <c r="C361" s="696"/>
      <c r="D361" s="696"/>
      <c r="E361" s="696"/>
      <c r="F361" s="696"/>
      <c r="G361" s="696"/>
      <c r="H361" s="696"/>
      <c r="I361" s="847"/>
      <c r="J361" s="696"/>
      <c r="K361" s="696"/>
      <c r="L361" s="696"/>
      <c r="M361" s="696"/>
      <c r="N361" s="696"/>
      <c r="O361" s="696"/>
      <c r="P361" s="696"/>
      <c r="Q361" s="847"/>
      <c r="R361" s="696"/>
      <c r="S361" s="696"/>
      <c r="T361" s="696"/>
      <c r="U361" s="696"/>
      <c r="V361" s="696"/>
      <c r="W361" s="696"/>
      <c r="X361" s="696"/>
      <c r="Y361" s="847"/>
      <c r="Z361" s="696"/>
      <c r="AA361" s="696"/>
      <c r="AB361" s="696"/>
      <c r="AC361" s="696"/>
      <c r="AD361" s="696"/>
      <c r="AE361" s="696"/>
      <c r="AF361" s="696"/>
      <c r="AG361" s="847"/>
      <c r="AH361" s="696"/>
      <c r="AI361" s="696"/>
      <c r="AJ361" s="696"/>
      <c r="AK361" s="696"/>
      <c r="AL361" s="696"/>
      <c r="AM361" s="696"/>
      <c r="AN361" s="696"/>
      <c r="AO361" s="847"/>
      <c r="AP361" s="696"/>
      <c r="AQ361" s="696"/>
      <c r="AR361" s="696"/>
      <c r="AS361" s="696"/>
      <c r="AT361" s="696"/>
      <c r="AU361" s="696"/>
      <c r="AV361" s="696"/>
      <c r="AW361" s="696"/>
      <c r="AX361" s="696"/>
      <c r="AY361" s="696"/>
      <c r="AZ361" s="696"/>
      <c r="BA361" s="696"/>
      <c r="BB361" s="696"/>
      <c r="BC361" s="696"/>
      <c r="BD361" s="696"/>
      <c r="BE361" s="696"/>
      <c r="BF361" s="696"/>
      <c r="BG361" s="696"/>
      <c r="BH361" s="696"/>
    </row>
    <row r="362" spans="1:60" s="44" customFormat="1">
      <c r="A362" s="700"/>
      <c r="B362" s="700"/>
      <c r="C362" s="696"/>
      <c r="D362" s="696"/>
      <c r="E362" s="696"/>
      <c r="F362" s="696"/>
      <c r="G362" s="696"/>
      <c r="H362" s="696"/>
      <c r="I362" s="847"/>
      <c r="J362" s="696"/>
      <c r="K362" s="696"/>
      <c r="L362" s="696"/>
      <c r="M362" s="696"/>
      <c r="N362" s="696"/>
      <c r="O362" s="696"/>
      <c r="P362" s="696"/>
      <c r="Q362" s="847"/>
      <c r="R362" s="696"/>
      <c r="S362" s="696"/>
      <c r="T362" s="696"/>
      <c r="U362" s="696"/>
      <c r="V362" s="696"/>
      <c r="W362" s="696"/>
      <c r="X362" s="696"/>
      <c r="Y362" s="847"/>
      <c r="Z362" s="696"/>
      <c r="AA362" s="696"/>
      <c r="AB362" s="696"/>
      <c r="AC362" s="696"/>
      <c r="AD362" s="696"/>
      <c r="AE362" s="696"/>
      <c r="AF362" s="696"/>
      <c r="AG362" s="847"/>
      <c r="AH362" s="696"/>
      <c r="AI362" s="696"/>
      <c r="AJ362" s="696"/>
      <c r="AK362" s="696"/>
      <c r="AL362" s="696"/>
      <c r="AM362" s="696"/>
      <c r="AN362" s="696"/>
      <c r="AO362" s="847"/>
      <c r="AP362" s="696"/>
      <c r="AQ362" s="696"/>
      <c r="AR362" s="696"/>
      <c r="AS362" s="696"/>
      <c r="AT362" s="696"/>
      <c r="AU362" s="696"/>
      <c r="AV362" s="696"/>
      <c r="AW362" s="696"/>
      <c r="AX362" s="696"/>
      <c r="AY362" s="696"/>
      <c r="AZ362" s="696"/>
      <c r="BA362" s="696"/>
      <c r="BB362" s="696"/>
      <c r="BC362" s="696"/>
      <c r="BD362" s="696"/>
      <c r="BE362" s="696"/>
      <c r="BF362" s="696"/>
      <c r="BG362" s="696"/>
      <c r="BH362" s="696"/>
    </row>
    <row r="363" spans="1:60" s="44" customFormat="1">
      <c r="A363" s="700"/>
      <c r="B363" s="700"/>
      <c r="C363" s="696"/>
      <c r="D363" s="696"/>
      <c r="E363" s="696"/>
      <c r="F363" s="696"/>
      <c r="G363" s="696"/>
      <c r="H363" s="696"/>
      <c r="I363" s="847"/>
      <c r="J363" s="696"/>
      <c r="K363" s="696"/>
      <c r="L363" s="696"/>
      <c r="M363" s="696"/>
      <c r="N363" s="696"/>
      <c r="O363" s="696"/>
      <c r="P363" s="696"/>
      <c r="Q363" s="847"/>
      <c r="R363" s="696"/>
      <c r="S363" s="696"/>
      <c r="T363" s="696"/>
      <c r="U363" s="696"/>
      <c r="V363" s="696"/>
      <c r="W363" s="696"/>
      <c r="X363" s="696"/>
      <c r="Y363" s="847"/>
      <c r="Z363" s="696"/>
      <c r="AA363" s="696"/>
      <c r="AB363" s="696"/>
      <c r="AC363" s="696"/>
      <c r="AD363" s="696"/>
      <c r="AE363" s="696"/>
      <c r="AF363" s="696"/>
      <c r="AG363" s="847"/>
      <c r="AH363" s="696"/>
      <c r="AI363" s="696"/>
      <c r="AJ363" s="696"/>
      <c r="AK363" s="696"/>
      <c r="AL363" s="696"/>
      <c r="AM363" s="696"/>
      <c r="AN363" s="696"/>
      <c r="AO363" s="847"/>
      <c r="AP363" s="696"/>
      <c r="AQ363" s="696"/>
      <c r="AR363" s="696"/>
      <c r="AS363" s="696"/>
      <c r="AT363" s="696"/>
      <c r="AU363" s="696"/>
      <c r="AV363" s="696"/>
      <c r="AW363" s="696"/>
      <c r="AX363" s="696"/>
      <c r="AY363" s="696"/>
      <c r="AZ363" s="696"/>
      <c r="BA363" s="696"/>
      <c r="BB363" s="696"/>
      <c r="BC363" s="696"/>
      <c r="BD363" s="696"/>
      <c r="BE363" s="696"/>
      <c r="BF363" s="696"/>
      <c r="BG363" s="696"/>
      <c r="BH363" s="696"/>
    </row>
    <row r="364" spans="1:60" s="44" customFormat="1">
      <c r="A364" s="700"/>
      <c r="B364" s="700"/>
      <c r="C364" s="696"/>
      <c r="D364" s="696"/>
      <c r="E364" s="696"/>
      <c r="F364" s="696"/>
      <c r="G364" s="696"/>
      <c r="H364" s="696"/>
      <c r="I364" s="847"/>
      <c r="J364" s="696"/>
      <c r="K364" s="696"/>
      <c r="L364" s="696"/>
      <c r="M364" s="696"/>
      <c r="N364" s="696"/>
      <c r="O364" s="696"/>
      <c r="P364" s="696"/>
      <c r="Q364" s="847"/>
      <c r="R364" s="696"/>
      <c r="S364" s="696"/>
      <c r="T364" s="696"/>
      <c r="U364" s="696"/>
      <c r="V364" s="696"/>
      <c r="W364" s="696"/>
      <c r="X364" s="696"/>
      <c r="Y364" s="847"/>
      <c r="Z364" s="696"/>
      <c r="AA364" s="696"/>
      <c r="AB364" s="696"/>
      <c r="AC364" s="696"/>
      <c r="AD364" s="696"/>
      <c r="AE364" s="696"/>
      <c r="AF364" s="696"/>
      <c r="AG364" s="847"/>
      <c r="AH364" s="696"/>
      <c r="AI364" s="696"/>
      <c r="AJ364" s="696"/>
      <c r="AK364" s="696"/>
      <c r="AL364" s="696"/>
      <c r="AM364" s="696"/>
      <c r="AN364" s="696"/>
      <c r="AO364" s="847"/>
      <c r="AP364" s="696"/>
      <c r="AQ364" s="696"/>
      <c r="AR364" s="696"/>
      <c r="AS364" s="696"/>
      <c r="AT364" s="696"/>
      <c r="AU364" s="696"/>
      <c r="AV364" s="696"/>
      <c r="AW364" s="696"/>
      <c r="AX364" s="696"/>
      <c r="AY364" s="696"/>
      <c r="AZ364" s="696"/>
      <c r="BA364" s="696"/>
      <c r="BB364" s="696"/>
      <c r="BC364" s="696"/>
      <c r="BD364" s="696"/>
      <c r="BE364" s="696"/>
      <c r="BF364" s="696"/>
      <c r="BG364" s="696"/>
      <c r="BH364" s="696"/>
    </row>
    <row r="365" spans="1:60" s="44" customFormat="1">
      <c r="A365" s="700"/>
      <c r="B365" s="700"/>
      <c r="C365" s="696"/>
      <c r="D365" s="696"/>
      <c r="E365" s="696"/>
      <c r="F365" s="696"/>
      <c r="G365" s="696"/>
      <c r="H365" s="696"/>
      <c r="I365" s="847"/>
      <c r="J365" s="696"/>
      <c r="K365" s="696"/>
      <c r="L365" s="696"/>
      <c r="M365" s="696"/>
      <c r="N365" s="696"/>
      <c r="O365" s="696"/>
      <c r="P365" s="696"/>
      <c r="Q365" s="847"/>
      <c r="R365" s="696"/>
      <c r="S365" s="696"/>
      <c r="T365" s="696"/>
      <c r="U365" s="696"/>
      <c r="V365" s="696"/>
      <c r="W365" s="696"/>
      <c r="X365" s="696"/>
      <c r="Y365" s="847"/>
      <c r="Z365" s="696"/>
      <c r="AA365" s="696"/>
      <c r="AB365" s="696"/>
      <c r="AC365" s="696"/>
      <c r="AD365" s="696"/>
      <c r="AE365" s="696"/>
      <c r="AF365" s="696"/>
      <c r="AG365" s="847"/>
      <c r="AH365" s="696"/>
      <c r="AI365" s="696"/>
      <c r="AJ365" s="696"/>
      <c r="AK365" s="696"/>
      <c r="AL365" s="696"/>
      <c r="AM365" s="696"/>
      <c r="AN365" s="696"/>
      <c r="AO365" s="847"/>
      <c r="AP365" s="696"/>
      <c r="AQ365" s="696"/>
      <c r="AR365" s="696"/>
      <c r="AS365" s="696"/>
      <c r="AT365" s="696"/>
      <c r="AU365" s="696"/>
      <c r="AV365" s="696"/>
      <c r="AW365" s="696"/>
      <c r="AX365" s="696"/>
      <c r="AY365" s="696"/>
      <c r="AZ365" s="696"/>
      <c r="BA365" s="696"/>
      <c r="BB365" s="696"/>
      <c r="BC365" s="696"/>
      <c r="BD365" s="696"/>
      <c r="BE365" s="696"/>
      <c r="BF365" s="696"/>
      <c r="BG365" s="696"/>
      <c r="BH365" s="696"/>
    </row>
    <row r="366" spans="1:60" s="44" customFormat="1">
      <c r="A366" s="700"/>
      <c r="B366" s="700"/>
      <c r="C366" s="696"/>
      <c r="D366" s="696"/>
      <c r="E366" s="696"/>
      <c r="F366" s="696"/>
      <c r="G366" s="696"/>
      <c r="H366" s="696"/>
      <c r="I366" s="847"/>
      <c r="J366" s="696"/>
      <c r="K366" s="696"/>
      <c r="L366" s="696"/>
      <c r="M366" s="696"/>
      <c r="N366" s="696"/>
      <c r="O366" s="696"/>
      <c r="P366" s="696"/>
      <c r="Q366" s="847"/>
      <c r="R366" s="696"/>
      <c r="S366" s="696"/>
      <c r="T366" s="696"/>
      <c r="U366" s="696"/>
      <c r="V366" s="696"/>
      <c r="W366" s="696"/>
      <c r="X366" s="696"/>
      <c r="Y366" s="847"/>
      <c r="Z366" s="696"/>
      <c r="AA366" s="696"/>
      <c r="AB366" s="696"/>
      <c r="AC366" s="696"/>
      <c r="AD366" s="696"/>
      <c r="AE366" s="696"/>
      <c r="AF366" s="696"/>
      <c r="AG366" s="847"/>
      <c r="AH366" s="696"/>
      <c r="AI366" s="696"/>
      <c r="AJ366" s="696"/>
      <c r="AK366" s="696"/>
      <c r="AL366" s="696"/>
      <c r="AM366" s="696"/>
      <c r="AN366" s="696"/>
      <c r="AO366" s="847"/>
      <c r="AP366" s="696"/>
      <c r="AQ366" s="696"/>
      <c r="AR366" s="696"/>
      <c r="AS366" s="696"/>
      <c r="AT366" s="696"/>
      <c r="AU366" s="696"/>
      <c r="AV366" s="696"/>
      <c r="AW366" s="696"/>
      <c r="AX366" s="696"/>
      <c r="AY366" s="696"/>
      <c r="AZ366" s="696"/>
      <c r="BA366" s="696"/>
      <c r="BB366" s="696"/>
      <c r="BC366" s="696"/>
      <c r="BD366" s="696"/>
      <c r="BE366" s="696"/>
      <c r="BF366" s="696"/>
      <c r="BG366" s="696"/>
      <c r="BH366" s="696"/>
    </row>
    <row r="367" spans="1:60" s="44" customFormat="1">
      <c r="A367" s="700"/>
      <c r="B367" s="700"/>
      <c r="C367" s="696"/>
      <c r="D367" s="696"/>
      <c r="E367" s="696"/>
      <c r="F367" s="696"/>
      <c r="G367" s="696"/>
      <c r="H367" s="696"/>
      <c r="I367" s="847"/>
      <c r="J367" s="696"/>
      <c r="K367" s="696"/>
      <c r="L367" s="696"/>
      <c r="M367" s="696"/>
      <c r="N367" s="696"/>
      <c r="O367" s="696"/>
      <c r="P367" s="696"/>
      <c r="Q367" s="847"/>
      <c r="R367" s="696"/>
      <c r="S367" s="696"/>
      <c r="T367" s="696"/>
      <c r="U367" s="696"/>
      <c r="V367" s="696"/>
      <c r="W367" s="696"/>
      <c r="X367" s="696"/>
      <c r="Y367" s="847"/>
      <c r="Z367" s="696"/>
      <c r="AA367" s="696"/>
      <c r="AB367" s="696"/>
      <c r="AC367" s="696"/>
      <c r="AD367" s="696"/>
      <c r="AE367" s="696"/>
      <c r="AF367" s="696"/>
      <c r="AG367" s="847"/>
      <c r="AH367" s="696"/>
      <c r="AI367" s="696"/>
      <c r="AJ367" s="696"/>
      <c r="AK367" s="696"/>
      <c r="AL367" s="696"/>
      <c r="AM367" s="696"/>
      <c r="AN367" s="696"/>
      <c r="AO367" s="847"/>
      <c r="AP367" s="696"/>
      <c r="AQ367" s="696"/>
      <c r="AR367" s="696"/>
      <c r="AS367" s="696"/>
      <c r="AT367" s="696"/>
      <c r="AU367" s="696"/>
      <c r="AV367" s="696"/>
      <c r="AW367" s="696"/>
      <c r="AX367" s="696"/>
      <c r="AY367" s="696"/>
      <c r="AZ367" s="696"/>
      <c r="BA367" s="696"/>
      <c r="BB367" s="696"/>
      <c r="BC367" s="696"/>
      <c r="BD367" s="696"/>
      <c r="BE367" s="696"/>
      <c r="BF367" s="696"/>
      <c r="BG367" s="696"/>
      <c r="BH367" s="696"/>
    </row>
    <row r="368" spans="1:60" s="44" customFormat="1">
      <c r="A368" s="700"/>
      <c r="B368" s="700"/>
      <c r="C368" s="696"/>
      <c r="D368" s="696"/>
      <c r="E368" s="696"/>
      <c r="F368" s="696"/>
      <c r="G368" s="696"/>
      <c r="H368" s="696"/>
      <c r="I368" s="847"/>
      <c r="J368" s="696"/>
      <c r="K368" s="696"/>
      <c r="L368" s="696"/>
      <c r="M368" s="696"/>
      <c r="N368" s="696"/>
      <c r="O368" s="696"/>
      <c r="P368" s="696"/>
      <c r="Q368" s="847"/>
      <c r="R368" s="696"/>
      <c r="S368" s="696"/>
      <c r="T368" s="696"/>
      <c r="U368" s="696"/>
      <c r="V368" s="696"/>
      <c r="W368" s="696"/>
      <c r="X368" s="696"/>
      <c r="Y368" s="847"/>
      <c r="Z368" s="696"/>
      <c r="AA368" s="696"/>
      <c r="AB368" s="696"/>
      <c r="AC368" s="696"/>
      <c r="AD368" s="696"/>
      <c r="AE368" s="696"/>
      <c r="AF368" s="696"/>
      <c r="AG368" s="847"/>
      <c r="AH368" s="696"/>
      <c r="AI368" s="696"/>
      <c r="AJ368" s="696"/>
      <c r="AK368" s="696"/>
      <c r="AL368" s="696"/>
      <c r="AM368" s="696"/>
      <c r="AN368" s="696"/>
      <c r="AO368" s="847"/>
      <c r="AP368" s="696"/>
      <c r="AQ368" s="696"/>
      <c r="AR368" s="696"/>
      <c r="AS368" s="696"/>
      <c r="AT368" s="696"/>
      <c r="AU368" s="696"/>
      <c r="AV368" s="696"/>
      <c r="AW368" s="696"/>
      <c r="AX368" s="696"/>
      <c r="AY368" s="696"/>
      <c r="AZ368" s="696"/>
      <c r="BA368" s="696"/>
      <c r="BB368" s="696"/>
      <c r="BC368" s="696"/>
      <c r="BD368" s="696"/>
      <c r="BE368" s="696"/>
      <c r="BF368" s="696"/>
      <c r="BG368" s="696"/>
      <c r="BH368" s="696"/>
    </row>
    <row r="369" spans="1:60" s="44" customFormat="1">
      <c r="A369" s="700"/>
      <c r="B369" s="700"/>
      <c r="C369" s="696"/>
      <c r="D369" s="696"/>
      <c r="E369" s="696"/>
      <c r="F369" s="696"/>
      <c r="G369" s="696"/>
      <c r="H369" s="696"/>
      <c r="I369" s="847"/>
      <c r="J369" s="696"/>
      <c r="K369" s="696"/>
      <c r="L369" s="696"/>
      <c r="M369" s="696"/>
      <c r="N369" s="696"/>
      <c r="O369" s="696"/>
      <c r="P369" s="696"/>
      <c r="Q369" s="847"/>
      <c r="R369" s="696"/>
      <c r="S369" s="696"/>
      <c r="T369" s="696"/>
      <c r="U369" s="696"/>
      <c r="V369" s="696"/>
      <c r="W369" s="696"/>
      <c r="X369" s="696"/>
      <c r="Y369" s="847"/>
      <c r="Z369" s="696"/>
      <c r="AA369" s="696"/>
      <c r="AB369" s="696"/>
      <c r="AC369" s="696"/>
      <c r="AD369" s="696"/>
      <c r="AE369" s="696"/>
      <c r="AF369" s="696"/>
      <c r="AG369" s="847"/>
      <c r="AH369" s="696"/>
      <c r="AI369" s="696"/>
      <c r="AJ369" s="696"/>
      <c r="AK369" s="696"/>
      <c r="AL369" s="696"/>
      <c r="AM369" s="696"/>
      <c r="AN369" s="696"/>
      <c r="AO369" s="847"/>
      <c r="AP369" s="696"/>
      <c r="AQ369" s="696"/>
      <c r="AR369" s="696"/>
      <c r="AS369" s="696"/>
      <c r="AT369" s="696"/>
      <c r="AU369" s="696"/>
      <c r="AV369" s="696"/>
      <c r="AW369" s="696"/>
      <c r="AX369" s="696"/>
      <c r="AY369" s="696"/>
      <c r="AZ369" s="696"/>
      <c r="BA369" s="696"/>
      <c r="BB369" s="696"/>
      <c r="BC369" s="696"/>
      <c r="BD369" s="696"/>
      <c r="BE369" s="696"/>
      <c r="BF369" s="696"/>
      <c r="BG369" s="696"/>
      <c r="BH369" s="696"/>
    </row>
    <row r="370" spans="1:60" s="44" customFormat="1">
      <c r="A370" s="700"/>
      <c r="B370" s="700"/>
      <c r="C370" s="696"/>
      <c r="D370" s="696"/>
      <c r="E370" s="696"/>
      <c r="F370" s="696"/>
      <c r="G370" s="696"/>
      <c r="H370" s="696"/>
      <c r="I370" s="847"/>
      <c r="J370" s="696"/>
      <c r="K370" s="696"/>
      <c r="L370" s="696"/>
      <c r="M370" s="696"/>
      <c r="N370" s="696"/>
      <c r="O370" s="696"/>
      <c r="P370" s="696"/>
      <c r="Q370" s="847"/>
      <c r="R370" s="696"/>
      <c r="S370" s="696"/>
      <c r="T370" s="696"/>
      <c r="U370" s="696"/>
      <c r="V370" s="696"/>
      <c r="W370" s="696"/>
      <c r="X370" s="696"/>
      <c r="Y370" s="847"/>
      <c r="Z370" s="696"/>
      <c r="AA370" s="696"/>
      <c r="AB370" s="696"/>
      <c r="AC370" s="696"/>
      <c r="AD370" s="696"/>
      <c r="AE370" s="696"/>
      <c r="AF370" s="696"/>
      <c r="AG370" s="847"/>
      <c r="AH370" s="696"/>
      <c r="AI370" s="696"/>
      <c r="AJ370" s="696"/>
      <c r="AK370" s="696"/>
      <c r="AL370" s="696"/>
      <c r="AM370" s="696"/>
      <c r="AN370" s="696"/>
      <c r="AO370" s="847"/>
      <c r="AP370" s="696"/>
      <c r="AQ370" s="696"/>
      <c r="AR370" s="696"/>
      <c r="AS370" s="696"/>
      <c r="AT370" s="696"/>
      <c r="AU370" s="696"/>
      <c r="AV370" s="696"/>
      <c r="AW370" s="696"/>
      <c r="AX370" s="696"/>
      <c r="AY370" s="696"/>
      <c r="AZ370" s="696"/>
      <c r="BA370" s="696"/>
      <c r="BB370" s="696"/>
      <c r="BC370" s="696"/>
      <c r="BD370" s="696"/>
      <c r="BE370" s="696"/>
      <c r="BF370" s="696"/>
      <c r="BG370" s="696"/>
      <c r="BH370" s="696"/>
    </row>
    <row r="371" spans="1:60" s="44" customFormat="1">
      <c r="A371" s="700"/>
      <c r="B371" s="700"/>
      <c r="C371" s="696"/>
      <c r="D371" s="696"/>
      <c r="E371" s="696"/>
      <c r="F371" s="696"/>
      <c r="G371" s="696"/>
      <c r="H371" s="696"/>
      <c r="I371" s="847"/>
      <c r="J371" s="696"/>
      <c r="K371" s="696"/>
      <c r="L371" s="696"/>
      <c r="M371" s="696"/>
      <c r="N371" s="696"/>
      <c r="O371" s="696"/>
      <c r="P371" s="696"/>
      <c r="Q371" s="847"/>
      <c r="R371" s="696"/>
      <c r="S371" s="696"/>
      <c r="T371" s="696"/>
      <c r="U371" s="696"/>
      <c r="V371" s="696"/>
      <c r="W371" s="696"/>
      <c r="X371" s="696"/>
      <c r="Y371" s="847"/>
      <c r="Z371" s="696"/>
      <c r="AA371" s="696"/>
      <c r="AB371" s="696"/>
      <c r="AC371" s="696"/>
      <c r="AD371" s="696"/>
      <c r="AE371" s="696"/>
      <c r="AF371" s="696"/>
      <c r="AG371" s="847"/>
      <c r="AH371" s="696"/>
      <c r="AI371" s="696"/>
      <c r="AJ371" s="696"/>
      <c r="AK371" s="696"/>
      <c r="AL371" s="696"/>
      <c r="AM371" s="696"/>
      <c r="AN371" s="696"/>
      <c r="AO371" s="847"/>
      <c r="AP371" s="696"/>
      <c r="AQ371" s="696"/>
      <c r="AR371" s="696"/>
      <c r="AS371" s="696"/>
      <c r="AT371" s="696"/>
      <c r="AU371" s="696"/>
      <c r="AV371" s="696"/>
      <c r="AW371" s="696"/>
      <c r="AX371" s="696"/>
      <c r="AY371" s="696"/>
      <c r="AZ371" s="696"/>
      <c r="BA371" s="696"/>
      <c r="BB371" s="696"/>
      <c r="BC371" s="696"/>
      <c r="BD371" s="696"/>
      <c r="BE371" s="696"/>
      <c r="BF371" s="696"/>
      <c r="BG371" s="696"/>
      <c r="BH371" s="696"/>
    </row>
    <row r="372" spans="1:60" s="44" customFormat="1">
      <c r="A372" s="700"/>
      <c r="B372" s="700"/>
      <c r="C372" s="696"/>
      <c r="D372" s="696"/>
      <c r="E372" s="696"/>
      <c r="F372" s="696"/>
      <c r="G372" s="696"/>
      <c r="H372" s="696"/>
      <c r="I372" s="847"/>
      <c r="J372" s="696"/>
      <c r="K372" s="696"/>
      <c r="L372" s="696"/>
      <c r="M372" s="696"/>
      <c r="N372" s="696"/>
      <c r="O372" s="696"/>
      <c r="P372" s="696"/>
      <c r="Q372" s="847"/>
      <c r="R372" s="696"/>
      <c r="S372" s="696"/>
      <c r="T372" s="696"/>
      <c r="U372" s="696"/>
      <c r="V372" s="696"/>
      <c r="W372" s="696"/>
      <c r="X372" s="696"/>
      <c r="Y372" s="847"/>
      <c r="Z372" s="696"/>
      <c r="AA372" s="696"/>
      <c r="AB372" s="696"/>
      <c r="AC372" s="696"/>
      <c r="AD372" s="696"/>
      <c r="AE372" s="696"/>
      <c r="AF372" s="696"/>
      <c r="AG372" s="847"/>
      <c r="AH372" s="696"/>
      <c r="AI372" s="696"/>
      <c r="AJ372" s="696"/>
      <c r="AK372" s="696"/>
      <c r="AL372" s="696"/>
      <c r="AM372" s="696"/>
      <c r="AN372" s="696"/>
      <c r="AO372" s="847"/>
      <c r="AP372" s="696"/>
      <c r="AQ372" s="696"/>
      <c r="AR372" s="696"/>
      <c r="AS372" s="696"/>
      <c r="AT372" s="696"/>
      <c r="AU372" s="696"/>
      <c r="AV372" s="696"/>
      <c r="AW372" s="696"/>
      <c r="AX372" s="696"/>
      <c r="AY372" s="696"/>
      <c r="AZ372" s="696"/>
      <c r="BA372" s="696"/>
      <c r="BB372" s="696"/>
      <c r="BC372" s="696"/>
      <c r="BD372" s="696"/>
      <c r="BE372" s="696"/>
      <c r="BF372" s="696"/>
      <c r="BG372" s="696"/>
      <c r="BH372" s="696"/>
    </row>
    <row r="373" spans="1:60" s="44" customFormat="1">
      <c r="A373" s="700"/>
      <c r="B373" s="700"/>
      <c r="C373" s="696"/>
      <c r="D373" s="696"/>
      <c r="E373" s="696"/>
      <c r="F373" s="696"/>
      <c r="G373" s="696"/>
      <c r="H373" s="696"/>
      <c r="I373" s="847"/>
      <c r="J373" s="696"/>
      <c r="K373" s="696"/>
      <c r="L373" s="696"/>
      <c r="M373" s="696"/>
      <c r="N373" s="696"/>
      <c r="O373" s="696"/>
      <c r="P373" s="696"/>
      <c r="Q373" s="847"/>
      <c r="R373" s="696"/>
      <c r="S373" s="696"/>
      <c r="T373" s="696"/>
      <c r="U373" s="696"/>
      <c r="V373" s="696"/>
      <c r="W373" s="696"/>
      <c r="X373" s="696"/>
      <c r="Y373" s="847"/>
      <c r="Z373" s="696"/>
      <c r="AA373" s="696"/>
      <c r="AB373" s="696"/>
      <c r="AC373" s="696"/>
      <c r="AD373" s="696"/>
      <c r="AE373" s="696"/>
      <c r="AF373" s="696"/>
      <c r="AG373" s="847"/>
      <c r="AH373" s="696"/>
      <c r="AI373" s="696"/>
      <c r="AJ373" s="696"/>
      <c r="AK373" s="696"/>
      <c r="AL373" s="696"/>
      <c r="AM373" s="696"/>
      <c r="AN373" s="696"/>
      <c r="AO373" s="847"/>
      <c r="AP373" s="696"/>
      <c r="AQ373" s="696"/>
      <c r="AR373" s="696"/>
      <c r="AS373" s="696"/>
      <c r="AT373" s="696"/>
      <c r="AU373" s="696"/>
      <c r="AV373" s="696"/>
      <c r="AW373" s="696"/>
      <c r="AX373" s="696"/>
      <c r="AY373" s="696"/>
      <c r="AZ373" s="696"/>
      <c r="BA373" s="696"/>
      <c r="BB373" s="696"/>
      <c r="BC373" s="696"/>
      <c r="BD373" s="696"/>
      <c r="BE373" s="696"/>
      <c r="BF373" s="696"/>
      <c r="BG373" s="696"/>
      <c r="BH373" s="696"/>
    </row>
    <row r="374" spans="1:60" s="44" customFormat="1">
      <c r="A374" s="700"/>
      <c r="B374" s="700"/>
      <c r="C374" s="696"/>
      <c r="D374" s="696"/>
      <c r="E374" s="696"/>
      <c r="F374" s="696"/>
      <c r="G374" s="696"/>
      <c r="H374" s="696"/>
      <c r="I374" s="847"/>
      <c r="J374" s="696"/>
      <c r="K374" s="696"/>
      <c r="L374" s="696"/>
      <c r="M374" s="696"/>
      <c r="N374" s="696"/>
      <c r="O374" s="696"/>
      <c r="P374" s="696"/>
      <c r="Q374" s="847"/>
      <c r="R374" s="696"/>
      <c r="S374" s="696"/>
      <c r="T374" s="696"/>
      <c r="U374" s="696"/>
      <c r="V374" s="696"/>
      <c r="W374" s="696"/>
      <c r="X374" s="696"/>
      <c r="Y374" s="847"/>
      <c r="Z374" s="696"/>
      <c r="AA374" s="696"/>
      <c r="AB374" s="696"/>
      <c r="AC374" s="696"/>
      <c r="AD374" s="696"/>
      <c r="AE374" s="696"/>
      <c r="AF374" s="696"/>
      <c r="AG374" s="847"/>
      <c r="AH374" s="696"/>
      <c r="AI374" s="696"/>
      <c r="AJ374" s="696"/>
      <c r="AK374" s="696"/>
      <c r="AL374" s="696"/>
      <c r="AM374" s="696"/>
      <c r="AN374" s="696"/>
      <c r="AO374" s="847"/>
      <c r="AP374" s="696"/>
      <c r="AQ374" s="696"/>
      <c r="AR374" s="696"/>
      <c r="AS374" s="696"/>
      <c r="AT374" s="696"/>
      <c r="AU374" s="696"/>
      <c r="AV374" s="696"/>
      <c r="AW374" s="696"/>
      <c r="AX374" s="696"/>
      <c r="AY374" s="696"/>
      <c r="AZ374" s="696"/>
      <c r="BA374" s="696"/>
      <c r="BB374" s="696"/>
      <c r="BC374" s="696"/>
      <c r="BD374" s="696"/>
      <c r="BE374" s="696"/>
      <c r="BF374" s="696"/>
      <c r="BG374" s="696"/>
      <c r="BH374" s="696"/>
    </row>
    <row r="375" spans="1:60" s="44" customFormat="1">
      <c r="A375" s="700"/>
      <c r="B375" s="700"/>
      <c r="C375" s="696"/>
      <c r="D375" s="696"/>
      <c r="E375" s="696"/>
      <c r="F375" s="696"/>
      <c r="G375" s="696"/>
      <c r="H375" s="696"/>
      <c r="I375" s="847"/>
      <c r="J375" s="696"/>
      <c r="K375" s="696"/>
      <c r="L375" s="696"/>
      <c r="M375" s="696"/>
      <c r="N375" s="696"/>
      <c r="O375" s="696"/>
      <c r="P375" s="696"/>
      <c r="Q375" s="847"/>
      <c r="R375" s="696"/>
      <c r="S375" s="696"/>
      <c r="T375" s="696"/>
      <c r="U375" s="696"/>
      <c r="V375" s="696"/>
      <c r="W375" s="696"/>
      <c r="X375" s="696"/>
      <c r="Y375" s="847"/>
      <c r="Z375" s="696"/>
      <c r="AA375" s="696"/>
      <c r="AB375" s="696"/>
      <c r="AC375" s="696"/>
      <c r="AD375" s="696"/>
      <c r="AE375" s="696"/>
      <c r="AF375" s="696"/>
      <c r="AG375" s="847"/>
      <c r="AH375" s="696"/>
      <c r="AI375" s="696"/>
      <c r="AJ375" s="696"/>
      <c r="AK375" s="696"/>
      <c r="AL375" s="696"/>
      <c r="AM375" s="696"/>
      <c r="AN375" s="696"/>
      <c r="AO375" s="847"/>
      <c r="AP375" s="696"/>
      <c r="AQ375" s="696"/>
      <c r="AR375" s="696"/>
      <c r="AS375" s="696"/>
      <c r="AT375" s="696"/>
      <c r="AU375" s="696"/>
      <c r="AV375" s="696"/>
      <c r="AW375" s="696"/>
      <c r="AX375" s="696"/>
      <c r="AY375" s="696"/>
      <c r="AZ375" s="696"/>
      <c r="BA375" s="696"/>
      <c r="BB375" s="696"/>
      <c r="BC375" s="696"/>
      <c r="BD375" s="696"/>
      <c r="BE375" s="696"/>
      <c r="BF375" s="696"/>
      <c r="BG375" s="696"/>
      <c r="BH375" s="696"/>
    </row>
    <row r="376" spans="1:60" s="44" customFormat="1">
      <c r="A376" s="700"/>
      <c r="B376" s="700"/>
      <c r="C376" s="696"/>
      <c r="D376" s="696"/>
      <c r="E376" s="696"/>
      <c r="F376" s="696"/>
      <c r="G376" s="696"/>
      <c r="H376" s="696"/>
      <c r="I376" s="847"/>
      <c r="J376" s="696"/>
      <c r="K376" s="696"/>
      <c r="L376" s="696"/>
      <c r="M376" s="696"/>
      <c r="N376" s="696"/>
      <c r="O376" s="696"/>
      <c r="P376" s="696"/>
      <c r="Q376" s="847"/>
      <c r="R376" s="696"/>
      <c r="S376" s="696"/>
      <c r="T376" s="696"/>
      <c r="U376" s="696"/>
      <c r="V376" s="696"/>
      <c r="W376" s="696"/>
      <c r="X376" s="696"/>
      <c r="Y376" s="847"/>
      <c r="Z376" s="696"/>
      <c r="AA376" s="696"/>
      <c r="AB376" s="696"/>
      <c r="AC376" s="696"/>
      <c r="AD376" s="696"/>
      <c r="AE376" s="696"/>
      <c r="AF376" s="696"/>
      <c r="AG376" s="847"/>
      <c r="AH376" s="696"/>
      <c r="AI376" s="696"/>
      <c r="AJ376" s="696"/>
      <c r="AK376" s="696"/>
      <c r="AL376" s="696"/>
      <c r="AM376" s="696"/>
      <c r="AN376" s="696"/>
      <c r="AO376" s="847"/>
      <c r="AP376" s="696"/>
      <c r="AQ376" s="696"/>
      <c r="AR376" s="696"/>
      <c r="AS376" s="696"/>
      <c r="AT376" s="696"/>
      <c r="AU376" s="696"/>
      <c r="AV376" s="696"/>
      <c r="AW376" s="696"/>
      <c r="AX376" s="696"/>
      <c r="AY376" s="696"/>
      <c r="AZ376" s="696"/>
      <c r="BA376" s="696"/>
      <c r="BB376" s="696"/>
      <c r="BC376" s="696"/>
      <c r="BD376" s="696"/>
      <c r="BE376" s="696"/>
      <c r="BF376" s="696"/>
      <c r="BG376" s="696"/>
      <c r="BH376" s="696"/>
    </row>
    <row r="377" spans="1:60" s="44" customFormat="1">
      <c r="A377" s="700"/>
      <c r="B377" s="700"/>
      <c r="C377" s="696"/>
      <c r="D377" s="696"/>
      <c r="E377" s="696"/>
      <c r="F377" s="696"/>
      <c r="G377" s="696"/>
      <c r="H377" s="696"/>
      <c r="I377" s="847"/>
      <c r="J377" s="696"/>
      <c r="K377" s="696"/>
      <c r="L377" s="696"/>
      <c r="M377" s="696"/>
      <c r="N377" s="696"/>
      <c r="O377" s="696"/>
      <c r="P377" s="696"/>
      <c r="Q377" s="847"/>
      <c r="R377" s="696"/>
      <c r="S377" s="696"/>
      <c r="T377" s="696"/>
      <c r="U377" s="696"/>
      <c r="V377" s="696"/>
      <c r="W377" s="696"/>
      <c r="X377" s="696"/>
      <c r="Y377" s="847"/>
      <c r="Z377" s="696"/>
      <c r="AA377" s="696"/>
      <c r="AB377" s="696"/>
      <c r="AC377" s="696"/>
      <c r="AD377" s="696"/>
      <c r="AE377" s="696"/>
      <c r="AF377" s="696"/>
      <c r="AG377" s="847"/>
      <c r="AH377" s="696"/>
      <c r="AI377" s="696"/>
      <c r="AJ377" s="696"/>
      <c r="AK377" s="696"/>
      <c r="AL377" s="696"/>
      <c r="AM377" s="696"/>
      <c r="AN377" s="696"/>
      <c r="AO377" s="847"/>
      <c r="AP377" s="696"/>
      <c r="AQ377" s="696"/>
      <c r="AR377" s="696"/>
      <c r="AS377" s="696"/>
      <c r="AT377" s="696"/>
      <c r="AU377" s="696"/>
      <c r="AV377" s="696"/>
      <c r="AW377" s="696"/>
      <c r="AX377" s="696"/>
      <c r="AY377" s="696"/>
      <c r="AZ377" s="696"/>
      <c r="BA377" s="696"/>
      <c r="BB377" s="696"/>
      <c r="BC377" s="696"/>
      <c r="BD377" s="696"/>
      <c r="BE377" s="696"/>
      <c r="BF377" s="696"/>
      <c r="BG377" s="696"/>
      <c r="BH377" s="696"/>
    </row>
    <row r="378" spans="1:60" s="44" customFormat="1">
      <c r="A378" s="700"/>
      <c r="B378" s="700"/>
      <c r="C378" s="696"/>
      <c r="D378" s="696"/>
      <c r="E378" s="696"/>
      <c r="F378" s="696"/>
      <c r="G378" s="696"/>
      <c r="H378" s="696"/>
      <c r="I378" s="847"/>
      <c r="J378" s="696"/>
      <c r="K378" s="696"/>
      <c r="L378" s="696"/>
      <c r="M378" s="696"/>
      <c r="N378" s="696"/>
      <c r="O378" s="696"/>
      <c r="P378" s="696"/>
      <c r="Q378" s="847"/>
      <c r="R378" s="696"/>
      <c r="S378" s="696"/>
      <c r="T378" s="696"/>
      <c r="U378" s="696"/>
      <c r="V378" s="696"/>
      <c r="W378" s="696"/>
      <c r="X378" s="696"/>
      <c r="Y378" s="847"/>
      <c r="Z378" s="696"/>
      <c r="AA378" s="696"/>
      <c r="AB378" s="696"/>
      <c r="AC378" s="696"/>
      <c r="AD378" s="696"/>
      <c r="AE378" s="696"/>
      <c r="AF378" s="696"/>
      <c r="AG378" s="847"/>
      <c r="AH378" s="696"/>
      <c r="AI378" s="696"/>
      <c r="AJ378" s="696"/>
      <c r="AK378" s="696"/>
      <c r="AL378" s="696"/>
      <c r="AM378" s="696"/>
      <c r="AN378" s="696"/>
      <c r="AO378" s="847"/>
      <c r="AP378" s="696"/>
      <c r="AQ378" s="696"/>
      <c r="AR378" s="696"/>
      <c r="AS378" s="696"/>
      <c r="AT378" s="696"/>
      <c r="AU378" s="696"/>
      <c r="AV378" s="696"/>
      <c r="AW378" s="696"/>
      <c r="AX378" s="696"/>
      <c r="AY378" s="696"/>
      <c r="AZ378" s="696"/>
      <c r="BA378" s="696"/>
      <c r="BB378" s="696"/>
      <c r="BC378" s="696"/>
      <c r="BD378" s="696"/>
      <c r="BE378" s="696"/>
      <c r="BF378" s="696"/>
      <c r="BG378" s="696"/>
      <c r="BH378" s="696"/>
    </row>
    <row r="379" spans="1:60" s="44" customFormat="1">
      <c r="A379" s="700"/>
      <c r="B379" s="700"/>
      <c r="C379" s="696"/>
      <c r="D379" s="696"/>
      <c r="E379" s="696"/>
      <c r="F379" s="696"/>
      <c r="G379" s="696"/>
      <c r="H379" s="696"/>
      <c r="I379" s="847"/>
      <c r="J379" s="696"/>
      <c r="K379" s="696"/>
      <c r="L379" s="696"/>
      <c r="M379" s="696"/>
      <c r="N379" s="696"/>
      <c r="O379" s="696"/>
      <c r="P379" s="696"/>
      <c r="Q379" s="847"/>
      <c r="R379" s="696"/>
      <c r="S379" s="696"/>
      <c r="T379" s="696"/>
      <c r="U379" s="696"/>
      <c r="V379" s="696"/>
      <c r="W379" s="696"/>
      <c r="X379" s="696"/>
      <c r="Y379" s="847"/>
      <c r="Z379" s="696"/>
      <c r="AA379" s="696"/>
      <c r="AB379" s="696"/>
      <c r="AC379" s="696"/>
      <c r="AD379" s="696"/>
      <c r="AE379" s="696"/>
      <c r="AF379" s="696"/>
      <c r="AG379" s="847"/>
      <c r="AH379" s="696"/>
      <c r="AI379" s="696"/>
      <c r="AJ379" s="696"/>
      <c r="AK379" s="696"/>
      <c r="AL379" s="696"/>
      <c r="AM379" s="696"/>
      <c r="AN379" s="696"/>
      <c r="AO379" s="847"/>
      <c r="AP379" s="696"/>
      <c r="AQ379" s="696"/>
      <c r="AR379" s="696"/>
      <c r="AS379" s="696"/>
      <c r="AT379" s="696"/>
      <c r="AU379" s="696"/>
      <c r="AV379" s="696"/>
      <c r="AW379" s="696"/>
      <c r="AX379" s="696"/>
      <c r="AY379" s="696"/>
      <c r="AZ379" s="696"/>
      <c r="BA379" s="696"/>
      <c r="BB379" s="696"/>
      <c r="BC379" s="696"/>
      <c r="BD379" s="696"/>
      <c r="BE379" s="696"/>
      <c r="BF379" s="696"/>
      <c r="BG379" s="696"/>
      <c r="BH379" s="696"/>
    </row>
    <row r="380" spans="1:60" s="44" customFormat="1">
      <c r="A380" s="700"/>
      <c r="B380" s="700"/>
      <c r="C380" s="696"/>
      <c r="D380" s="696"/>
      <c r="E380" s="696"/>
      <c r="F380" s="696"/>
      <c r="G380" s="696"/>
      <c r="H380" s="696"/>
      <c r="I380" s="847"/>
      <c r="J380" s="696"/>
      <c r="K380" s="696"/>
      <c r="L380" s="696"/>
      <c r="M380" s="696"/>
      <c r="N380" s="696"/>
      <c r="O380" s="696"/>
      <c r="P380" s="696"/>
      <c r="Q380" s="847"/>
      <c r="R380" s="696"/>
      <c r="S380" s="696"/>
      <c r="T380" s="696"/>
      <c r="U380" s="696"/>
      <c r="V380" s="696"/>
      <c r="W380" s="696"/>
      <c r="X380" s="696"/>
      <c r="Y380" s="847"/>
      <c r="Z380" s="696"/>
      <c r="AA380" s="696"/>
      <c r="AB380" s="696"/>
      <c r="AC380" s="696"/>
      <c r="AD380" s="696"/>
      <c r="AE380" s="696"/>
      <c r="AF380" s="696"/>
      <c r="AG380" s="847"/>
      <c r="AH380" s="696"/>
      <c r="AI380" s="696"/>
      <c r="AJ380" s="696"/>
      <c r="AK380" s="696"/>
      <c r="AL380" s="696"/>
      <c r="AM380" s="696"/>
      <c r="AN380" s="696"/>
      <c r="AO380" s="847"/>
      <c r="AP380" s="696"/>
      <c r="AQ380" s="696"/>
      <c r="AR380" s="696"/>
      <c r="AS380" s="696"/>
      <c r="AT380" s="696"/>
      <c r="AU380" s="696"/>
      <c r="AV380" s="696"/>
      <c r="AW380" s="696"/>
      <c r="AX380" s="696"/>
      <c r="AY380" s="696"/>
      <c r="AZ380" s="696"/>
      <c r="BA380" s="696"/>
      <c r="BB380" s="696"/>
      <c r="BC380" s="696"/>
      <c r="BD380" s="696"/>
      <c r="BE380" s="696"/>
      <c r="BF380" s="696"/>
      <c r="BG380" s="696"/>
      <c r="BH380" s="696"/>
    </row>
    <row r="381" spans="1:60" s="44" customFormat="1">
      <c r="A381" s="700"/>
      <c r="B381" s="700"/>
      <c r="C381" s="696"/>
      <c r="D381" s="696"/>
      <c r="E381" s="696"/>
      <c r="F381" s="696"/>
      <c r="G381" s="696"/>
      <c r="H381" s="696"/>
      <c r="I381" s="847"/>
      <c r="J381" s="696"/>
      <c r="K381" s="696"/>
      <c r="L381" s="696"/>
      <c r="M381" s="696"/>
      <c r="N381" s="696"/>
      <c r="O381" s="696"/>
      <c r="P381" s="696"/>
      <c r="Q381" s="847"/>
      <c r="R381" s="696"/>
      <c r="S381" s="696"/>
      <c r="T381" s="696"/>
      <c r="U381" s="696"/>
      <c r="V381" s="696"/>
      <c r="W381" s="696"/>
      <c r="X381" s="696"/>
      <c r="Y381" s="847"/>
      <c r="Z381" s="696"/>
      <c r="AA381" s="696"/>
      <c r="AB381" s="696"/>
      <c r="AC381" s="696"/>
      <c r="AD381" s="696"/>
      <c r="AE381" s="696"/>
      <c r="AF381" s="696"/>
      <c r="AG381" s="847"/>
      <c r="AH381" s="696"/>
      <c r="AI381" s="696"/>
      <c r="AJ381" s="696"/>
      <c r="AK381" s="696"/>
      <c r="AL381" s="696"/>
      <c r="AM381" s="696"/>
      <c r="AN381" s="696"/>
      <c r="AO381" s="847"/>
      <c r="AP381" s="696"/>
      <c r="AQ381" s="696"/>
      <c r="AR381" s="696"/>
      <c r="AS381" s="696"/>
      <c r="AT381" s="696"/>
      <c r="AU381" s="696"/>
      <c r="AV381" s="696"/>
      <c r="AW381" s="696"/>
      <c r="AX381" s="696"/>
      <c r="AY381" s="696"/>
      <c r="AZ381" s="696"/>
      <c r="BA381" s="696"/>
      <c r="BB381" s="696"/>
      <c r="BC381" s="696"/>
      <c r="BD381" s="696"/>
      <c r="BE381" s="696"/>
      <c r="BF381" s="696"/>
      <c r="BG381" s="696"/>
      <c r="BH381" s="696"/>
    </row>
    <row r="382" spans="1:60" s="44" customFormat="1">
      <c r="A382" s="700"/>
      <c r="B382" s="700"/>
      <c r="C382" s="696"/>
      <c r="D382" s="696"/>
      <c r="E382" s="696"/>
      <c r="F382" s="696"/>
      <c r="G382" s="696"/>
      <c r="H382" s="696"/>
      <c r="I382" s="847"/>
      <c r="J382" s="696"/>
      <c r="K382" s="696"/>
      <c r="L382" s="696"/>
      <c r="M382" s="696"/>
      <c r="N382" s="696"/>
      <c r="O382" s="696"/>
      <c r="P382" s="696"/>
      <c r="Q382" s="847"/>
      <c r="R382" s="696"/>
      <c r="S382" s="696"/>
      <c r="T382" s="696"/>
      <c r="U382" s="696"/>
      <c r="V382" s="696"/>
      <c r="W382" s="696"/>
      <c r="X382" s="696"/>
      <c r="Y382" s="847"/>
      <c r="Z382" s="696"/>
      <c r="AA382" s="696"/>
      <c r="AB382" s="696"/>
      <c r="AC382" s="696"/>
      <c r="AD382" s="696"/>
      <c r="AE382" s="696"/>
      <c r="AF382" s="696"/>
      <c r="AG382" s="847"/>
      <c r="AH382" s="696"/>
      <c r="AI382" s="696"/>
      <c r="AJ382" s="696"/>
      <c r="AK382" s="696"/>
      <c r="AL382" s="696"/>
      <c r="AM382" s="696"/>
      <c r="AN382" s="696"/>
      <c r="AO382" s="847"/>
      <c r="AP382" s="696"/>
      <c r="AQ382" s="696"/>
      <c r="AR382" s="696"/>
      <c r="AS382" s="696"/>
      <c r="AT382" s="696"/>
      <c r="AU382" s="696"/>
      <c r="AV382" s="696"/>
      <c r="AW382" s="696"/>
      <c r="AX382" s="696"/>
      <c r="AY382" s="696"/>
      <c r="AZ382" s="696"/>
      <c r="BA382" s="696"/>
      <c r="BB382" s="696"/>
      <c r="BC382" s="696"/>
      <c r="BD382" s="696"/>
      <c r="BE382" s="696"/>
      <c r="BF382" s="696"/>
      <c r="BG382" s="696"/>
      <c r="BH382" s="696"/>
    </row>
    <row r="383" spans="1:60" s="44" customFormat="1">
      <c r="A383" s="700"/>
      <c r="B383" s="700"/>
      <c r="C383" s="696"/>
      <c r="D383" s="696"/>
      <c r="E383" s="696"/>
      <c r="F383" s="696"/>
      <c r="G383" s="696"/>
      <c r="H383" s="696"/>
      <c r="I383" s="847"/>
      <c r="J383" s="696"/>
      <c r="K383" s="696"/>
      <c r="L383" s="696"/>
      <c r="M383" s="696"/>
      <c r="N383" s="696"/>
      <c r="O383" s="696"/>
      <c r="P383" s="696"/>
      <c r="Q383" s="847"/>
      <c r="R383" s="696"/>
      <c r="S383" s="696"/>
      <c r="T383" s="696"/>
      <c r="U383" s="696"/>
      <c r="V383" s="696"/>
      <c r="W383" s="696"/>
      <c r="X383" s="696"/>
      <c r="Y383" s="847"/>
      <c r="Z383" s="696"/>
      <c r="AA383" s="696"/>
      <c r="AB383" s="696"/>
      <c r="AC383" s="696"/>
      <c r="AD383" s="696"/>
      <c r="AE383" s="696"/>
      <c r="AF383" s="696"/>
      <c r="AG383" s="847"/>
      <c r="AH383" s="696"/>
      <c r="AI383" s="696"/>
      <c r="AJ383" s="696"/>
      <c r="AK383" s="696"/>
      <c r="AL383" s="696"/>
      <c r="AM383" s="696"/>
      <c r="AN383" s="696"/>
      <c r="AO383" s="847"/>
      <c r="AP383" s="696"/>
      <c r="AQ383" s="696"/>
      <c r="AR383" s="696"/>
      <c r="AS383" s="696"/>
      <c r="AT383" s="696"/>
      <c r="AU383" s="696"/>
      <c r="AV383" s="696"/>
      <c r="AW383" s="696"/>
      <c r="AX383" s="696"/>
      <c r="AY383" s="696"/>
      <c r="AZ383" s="696"/>
      <c r="BA383" s="696"/>
      <c r="BB383" s="696"/>
      <c r="BC383" s="696"/>
      <c r="BD383" s="696"/>
      <c r="BE383" s="696"/>
      <c r="BF383" s="696"/>
      <c r="BG383" s="696"/>
      <c r="BH383" s="696"/>
    </row>
    <row r="384" spans="1:60" s="44" customFormat="1">
      <c r="A384" s="700"/>
      <c r="B384" s="700"/>
      <c r="C384" s="696"/>
      <c r="D384" s="696"/>
      <c r="E384" s="696"/>
      <c r="F384" s="696"/>
      <c r="G384" s="696"/>
      <c r="H384" s="696"/>
      <c r="I384" s="847"/>
      <c r="J384" s="696"/>
      <c r="K384" s="696"/>
      <c r="L384" s="696"/>
      <c r="M384" s="696"/>
      <c r="N384" s="696"/>
      <c r="O384" s="696"/>
      <c r="P384" s="696"/>
      <c r="Q384" s="847"/>
      <c r="R384" s="696"/>
      <c r="S384" s="696"/>
      <c r="T384" s="696"/>
      <c r="U384" s="696"/>
      <c r="V384" s="696"/>
      <c r="W384" s="696"/>
      <c r="X384" s="696"/>
      <c r="Y384" s="847"/>
      <c r="Z384" s="696"/>
      <c r="AA384" s="696"/>
      <c r="AB384" s="696"/>
      <c r="AC384" s="696"/>
      <c r="AD384" s="696"/>
      <c r="AE384" s="696"/>
      <c r="AF384" s="696"/>
      <c r="AG384" s="847"/>
      <c r="AH384" s="696"/>
      <c r="AI384" s="696"/>
      <c r="AJ384" s="696"/>
      <c r="AK384" s="696"/>
      <c r="AL384" s="696"/>
      <c r="AM384" s="696"/>
      <c r="AN384" s="696"/>
      <c r="AO384" s="847"/>
      <c r="AP384" s="696"/>
      <c r="AQ384" s="696"/>
      <c r="AR384" s="696"/>
      <c r="AS384" s="696"/>
      <c r="AT384" s="696"/>
      <c r="AU384" s="696"/>
      <c r="AV384" s="696"/>
      <c r="AW384" s="696"/>
      <c r="AX384" s="696"/>
      <c r="AY384" s="696"/>
      <c r="AZ384" s="696"/>
      <c r="BA384" s="696"/>
      <c r="BB384" s="696"/>
      <c r="BC384" s="696"/>
      <c r="BD384" s="696"/>
      <c r="BE384" s="696"/>
      <c r="BF384" s="696"/>
      <c r="BG384" s="696"/>
      <c r="BH384" s="696"/>
    </row>
    <row r="385" spans="1:60" s="44" customFormat="1">
      <c r="A385" s="700"/>
      <c r="B385" s="700"/>
      <c r="C385" s="696"/>
      <c r="D385" s="696"/>
      <c r="E385" s="696"/>
      <c r="F385" s="696"/>
      <c r="G385" s="696"/>
      <c r="H385" s="696"/>
      <c r="I385" s="847"/>
      <c r="J385" s="696"/>
      <c r="K385" s="696"/>
      <c r="L385" s="696"/>
      <c r="M385" s="696"/>
      <c r="N385" s="696"/>
      <c r="O385" s="696"/>
      <c r="P385" s="696"/>
      <c r="Q385" s="847"/>
      <c r="R385" s="696"/>
      <c r="S385" s="696"/>
      <c r="T385" s="696"/>
      <c r="U385" s="696"/>
      <c r="V385" s="696"/>
      <c r="W385" s="696"/>
      <c r="X385" s="696"/>
      <c r="Y385" s="847"/>
      <c r="Z385" s="696"/>
      <c r="AA385" s="696"/>
      <c r="AB385" s="696"/>
      <c r="AC385" s="696"/>
      <c r="AD385" s="696"/>
      <c r="AE385" s="696"/>
      <c r="AF385" s="696"/>
      <c r="AG385" s="847"/>
      <c r="AH385" s="696"/>
      <c r="AI385" s="696"/>
      <c r="AJ385" s="696"/>
      <c r="AK385" s="696"/>
      <c r="AL385" s="696"/>
      <c r="AM385" s="696"/>
      <c r="AN385" s="696"/>
      <c r="AO385" s="847"/>
      <c r="AP385" s="696"/>
      <c r="AQ385" s="696"/>
      <c r="AR385" s="696"/>
      <c r="AS385" s="696"/>
      <c r="AT385" s="696"/>
      <c r="AU385" s="696"/>
      <c r="AV385" s="696"/>
      <c r="AW385" s="696"/>
      <c r="AX385" s="696"/>
      <c r="AY385" s="696"/>
      <c r="AZ385" s="696"/>
      <c r="BA385" s="696"/>
      <c r="BB385" s="696"/>
      <c r="BC385" s="696"/>
      <c r="BD385" s="696"/>
      <c r="BE385" s="696"/>
      <c r="BF385" s="696"/>
      <c r="BG385" s="696"/>
      <c r="BH385" s="696"/>
    </row>
    <row r="386" spans="1:60" s="44" customFormat="1">
      <c r="A386" s="700"/>
      <c r="B386" s="700"/>
      <c r="C386" s="696"/>
      <c r="D386" s="696"/>
      <c r="E386" s="696"/>
      <c r="F386" s="696"/>
      <c r="G386" s="696"/>
      <c r="H386" s="696"/>
      <c r="I386" s="847"/>
      <c r="J386" s="696"/>
      <c r="K386" s="696"/>
      <c r="L386" s="696"/>
      <c r="M386" s="696"/>
      <c r="N386" s="696"/>
      <c r="O386" s="696"/>
      <c r="P386" s="696"/>
      <c r="Q386" s="847"/>
      <c r="R386" s="696"/>
      <c r="S386" s="696"/>
      <c r="T386" s="696"/>
      <c r="U386" s="696"/>
      <c r="V386" s="696"/>
      <c r="W386" s="696"/>
      <c r="X386" s="696"/>
      <c r="Y386" s="847"/>
      <c r="Z386" s="696"/>
      <c r="AA386" s="696"/>
      <c r="AB386" s="696"/>
      <c r="AC386" s="696"/>
      <c r="AD386" s="696"/>
      <c r="AE386" s="696"/>
      <c r="AF386" s="696"/>
      <c r="AG386" s="847"/>
      <c r="AH386" s="696"/>
      <c r="AI386" s="696"/>
      <c r="AJ386" s="696"/>
      <c r="AK386" s="696"/>
      <c r="AL386" s="696"/>
      <c r="AM386" s="696"/>
      <c r="AN386" s="696"/>
      <c r="AO386" s="847"/>
      <c r="AP386" s="696"/>
      <c r="AQ386" s="696"/>
      <c r="AR386" s="696"/>
      <c r="AS386" s="696"/>
      <c r="AT386" s="696"/>
      <c r="AU386" s="696"/>
      <c r="AV386" s="696"/>
      <c r="AW386" s="696"/>
      <c r="AX386" s="696"/>
      <c r="AY386" s="696"/>
      <c r="AZ386" s="696"/>
      <c r="BA386" s="696"/>
      <c r="BB386" s="696"/>
      <c r="BC386" s="696"/>
      <c r="BD386" s="696"/>
      <c r="BE386" s="696"/>
      <c r="BF386" s="696"/>
      <c r="BG386" s="696"/>
      <c r="BH386" s="696"/>
    </row>
    <row r="387" spans="1:60" s="44" customFormat="1">
      <c r="A387" s="700"/>
      <c r="B387" s="700"/>
      <c r="C387" s="696"/>
      <c r="D387" s="696"/>
      <c r="E387" s="696"/>
      <c r="F387" s="696"/>
      <c r="G387" s="696"/>
      <c r="H387" s="696"/>
      <c r="I387" s="847"/>
      <c r="J387" s="696"/>
      <c r="K387" s="696"/>
      <c r="L387" s="696"/>
      <c r="M387" s="696"/>
      <c r="N387" s="696"/>
      <c r="O387" s="696"/>
      <c r="P387" s="696"/>
      <c r="Q387" s="847"/>
      <c r="R387" s="696"/>
      <c r="S387" s="696"/>
      <c r="T387" s="696"/>
      <c r="U387" s="696"/>
      <c r="V387" s="696"/>
      <c r="W387" s="696"/>
      <c r="X387" s="696"/>
      <c r="Y387" s="847"/>
      <c r="Z387" s="696"/>
      <c r="AA387" s="696"/>
      <c r="AB387" s="696"/>
      <c r="AC387" s="696"/>
      <c r="AD387" s="696"/>
      <c r="AE387" s="696"/>
      <c r="AF387" s="696"/>
      <c r="AG387" s="847"/>
      <c r="AH387" s="696"/>
      <c r="AI387" s="696"/>
      <c r="AJ387" s="696"/>
      <c r="AK387" s="696"/>
      <c r="AL387" s="696"/>
      <c r="AM387" s="696"/>
      <c r="AN387" s="696"/>
      <c r="AO387" s="847"/>
      <c r="AP387" s="696"/>
      <c r="AQ387" s="696"/>
      <c r="AR387" s="696"/>
      <c r="AS387" s="696"/>
      <c r="AT387" s="696"/>
      <c r="AU387" s="696"/>
      <c r="AV387" s="696"/>
      <c r="AW387" s="696"/>
      <c r="AX387" s="696"/>
      <c r="AY387" s="696"/>
      <c r="AZ387" s="696"/>
      <c r="BA387" s="696"/>
      <c r="BB387" s="696"/>
      <c r="BC387" s="696"/>
      <c r="BD387" s="696"/>
      <c r="BE387" s="696"/>
      <c r="BF387" s="696"/>
      <c r="BG387" s="696"/>
      <c r="BH387" s="696"/>
    </row>
    <row r="388" spans="1:60" s="44" customFormat="1">
      <c r="A388" s="700"/>
      <c r="B388" s="700"/>
      <c r="C388" s="696"/>
      <c r="D388" s="696"/>
      <c r="E388" s="696"/>
      <c r="F388" s="696"/>
      <c r="G388" s="696"/>
      <c r="H388" s="696"/>
      <c r="I388" s="847"/>
      <c r="J388" s="696"/>
      <c r="K388" s="696"/>
      <c r="L388" s="696"/>
      <c r="M388" s="696"/>
      <c r="N388" s="696"/>
      <c r="O388" s="696"/>
      <c r="P388" s="696"/>
      <c r="Q388" s="847"/>
      <c r="R388" s="696"/>
      <c r="S388" s="696"/>
      <c r="T388" s="696"/>
      <c r="U388" s="696"/>
      <c r="V388" s="696"/>
      <c r="W388" s="696"/>
      <c r="X388" s="696"/>
      <c r="Y388" s="847"/>
      <c r="Z388" s="696"/>
      <c r="AA388" s="696"/>
      <c r="AB388" s="696"/>
      <c r="AC388" s="696"/>
      <c r="AD388" s="696"/>
      <c r="AE388" s="696"/>
      <c r="AF388" s="696"/>
      <c r="AG388" s="847"/>
      <c r="AH388" s="696"/>
      <c r="AI388" s="696"/>
      <c r="AJ388" s="696"/>
      <c r="AK388" s="696"/>
      <c r="AL388" s="696"/>
      <c r="AM388" s="696"/>
      <c r="AN388" s="696"/>
      <c r="AO388" s="847"/>
      <c r="AP388" s="696"/>
      <c r="AQ388" s="696"/>
      <c r="AR388" s="696"/>
      <c r="AS388" s="696"/>
      <c r="AT388" s="696"/>
      <c r="AU388" s="696"/>
      <c r="AV388" s="696"/>
      <c r="AW388" s="696"/>
      <c r="AX388" s="696"/>
      <c r="AY388" s="696"/>
      <c r="AZ388" s="696"/>
      <c r="BA388" s="696"/>
      <c r="BB388" s="696"/>
      <c r="BC388" s="696"/>
      <c r="BD388" s="696"/>
      <c r="BE388" s="696"/>
      <c r="BF388" s="696"/>
      <c r="BG388" s="696"/>
      <c r="BH388" s="696"/>
    </row>
    <row r="389" spans="1:60" s="44" customFormat="1">
      <c r="A389" s="700"/>
      <c r="B389" s="700"/>
      <c r="C389" s="696"/>
      <c r="D389" s="696"/>
      <c r="E389" s="696"/>
      <c r="F389" s="696"/>
      <c r="G389" s="696"/>
      <c r="H389" s="696"/>
      <c r="I389" s="847"/>
      <c r="J389" s="696"/>
      <c r="K389" s="696"/>
      <c r="L389" s="696"/>
      <c r="M389" s="696"/>
      <c r="N389" s="696"/>
      <c r="O389" s="696"/>
      <c r="P389" s="696"/>
      <c r="Q389" s="847"/>
      <c r="R389" s="696"/>
      <c r="S389" s="696"/>
      <c r="T389" s="696"/>
      <c r="U389" s="696"/>
      <c r="V389" s="696"/>
      <c r="W389" s="696"/>
      <c r="X389" s="696"/>
      <c r="Y389" s="847"/>
      <c r="Z389" s="696"/>
      <c r="AA389" s="696"/>
      <c r="AB389" s="696"/>
      <c r="AC389" s="696"/>
      <c r="AD389" s="696"/>
      <c r="AE389" s="696"/>
      <c r="AF389" s="696"/>
      <c r="AG389" s="847"/>
      <c r="AH389" s="696"/>
      <c r="AI389" s="696"/>
      <c r="AJ389" s="696"/>
      <c r="AK389" s="696"/>
      <c r="AL389" s="696"/>
      <c r="AM389" s="696"/>
      <c r="AN389" s="696"/>
      <c r="AO389" s="847"/>
      <c r="AP389" s="696"/>
      <c r="AQ389" s="696"/>
      <c r="AR389" s="696"/>
      <c r="AS389" s="696"/>
      <c r="AT389" s="696"/>
      <c r="AU389" s="696"/>
      <c r="AV389" s="696"/>
      <c r="AW389" s="696"/>
      <c r="AX389" s="696"/>
      <c r="AY389" s="696"/>
      <c r="AZ389" s="696"/>
      <c r="BA389" s="696"/>
      <c r="BB389" s="696"/>
      <c r="BC389" s="696"/>
      <c r="BD389" s="696"/>
      <c r="BE389" s="696"/>
      <c r="BF389" s="696"/>
      <c r="BG389" s="696"/>
      <c r="BH389" s="696"/>
    </row>
    <row r="390" spans="1:60" s="44" customFormat="1">
      <c r="A390" s="700"/>
      <c r="B390" s="700"/>
      <c r="C390" s="696"/>
      <c r="D390" s="696"/>
      <c r="E390" s="696"/>
      <c r="F390" s="696"/>
      <c r="G390" s="696"/>
      <c r="H390" s="696"/>
      <c r="I390" s="847"/>
      <c r="J390" s="696"/>
      <c r="K390" s="696"/>
      <c r="L390" s="696"/>
      <c r="M390" s="696"/>
      <c r="N390" s="696"/>
      <c r="O390" s="696"/>
      <c r="P390" s="696"/>
      <c r="Q390" s="847"/>
      <c r="R390" s="696"/>
      <c r="S390" s="696"/>
      <c r="T390" s="696"/>
      <c r="U390" s="696"/>
      <c r="V390" s="696"/>
      <c r="W390" s="696"/>
      <c r="X390" s="696"/>
      <c r="Y390" s="847"/>
      <c r="Z390" s="696"/>
      <c r="AA390" s="696"/>
      <c r="AB390" s="696"/>
      <c r="AC390" s="696"/>
      <c r="AD390" s="696"/>
      <c r="AE390" s="696"/>
      <c r="AF390" s="696"/>
      <c r="AG390" s="847"/>
      <c r="AH390" s="696"/>
      <c r="AI390" s="696"/>
      <c r="AJ390" s="696"/>
      <c r="AK390" s="696"/>
      <c r="AL390" s="696"/>
      <c r="AM390" s="696"/>
      <c r="AN390" s="696"/>
      <c r="AO390" s="847"/>
      <c r="AP390" s="696"/>
      <c r="AQ390" s="696"/>
      <c r="AR390" s="696"/>
      <c r="AS390" s="696"/>
      <c r="AT390" s="696"/>
      <c r="AU390" s="696"/>
      <c r="AV390" s="696"/>
      <c r="AW390" s="696"/>
      <c r="AX390" s="696"/>
      <c r="AY390" s="696"/>
      <c r="AZ390" s="696"/>
      <c r="BA390" s="696"/>
      <c r="BB390" s="696"/>
      <c r="BC390" s="696"/>
      <c r="BD390" s="696"/>
      <c r="BE390" s="696"/>
      <c r="BF390" s="696"/>
      <c r="BG390" s="696"/>
      <c r="BH390" s="696"/>
    </row>
    <row r="391" spans="1:60" s="44" customFormat="1">
      <c r="A391" s="700"/>
      <c r="B391" s="700"/>
      <c r="C391" s="696"/>
      <c r="D391" s="696"/>
      <c r="E391" s="696"/>
      <c r="F391" s="696"/>
      <c r="G391" s="696"/>
      <c r="H391" s="696"/>
      <c r="I391" s="847"/>
      <c r="J391" s="696"/>
      <c r="K391" s="696"/>
      <c r="L391" s="696"/>
      <c r="M391" s="696"/>
      <c r="N391" s="696"/>
      <c r="O391" s="696"/>
      <c r="P391" s="696"/>
      <c r="Q391" s="847"/>
      <c r="R391" s="696"/>
      <c r="S391" s="696"/>
      <c r="T391" s="696"/>
      <c r="U391" s="696"/>
      <c r="V391" s="696"/>
      <c r="W391" s="696"/>
      <c r="X391" s="696"/>
      <c r="Y391" s="847"/>
      <c r="Z391" s="696"/>
      <c r="AA391" s="696"/>
      <c r="AB391" s="696"/>
      <c r="AC391" s="696"/>
      <c r="AD391" s="696"/>
      <c r="AE391" s="696"/>
      <c r="AF391" s="696"/>
      <c r="AG391" s="847"/>
      <c r="AH391" s="696"/>
      <c r="AI391" s="696"/>
      <c r="AJ391" s="696"/>
      <c r="AK391" s="696"/>
      <c r="AL391" s="696"/>
      <c r="AM391" s="696"/>
      <c r="AN391" s="696"/>
      <c r="AO391" s="847"/>
      <c r="AP391" s="696"/>
      <c r="AQ391" s="696"/>
      <c r="AR391" s="696"/>
      <c r="AS391" s="696"/>
      <c r="AT391" s="696"/>
      <c r="AU391" s="696"/>
      <c r="AV391" s="696"/>
      <c r="AW391" s="696"/>
      <c r="AX391" s="696"/>
      <c r="AY391" s="696"/>
      <c r="AZ391" s="696"/>
      <c r="BA391" s="696"/>
      <c r="BB391" s="696"/>
      <c r="BC391" s="696"/>
      <c r="BD391" s="696"/>
      <c r="BE391" s="696"/>
      <c r="BF391" s="696"/>
      <c r="BG391" s="696"/>
      <c r="BH391" s="696"/>
    </row>
    <row r="392" spans="1:60" s="44" customFormat="1">
      <c r="A392" s="700"/>
      <c r="B392" s="700"/>
      <c r="C392" s="696"/>
      <c r="D392" s="696"/>
      <c r="E392" s="696"/>
      <c r="F392" s="696"/>
      <c r="G392" s="696"/>
      <c r="H392" s="696"/>
      <c r="I392" s="847"/>
      <c r="J392" s="696"/>
      <c r="K392" s="696"/>
      <c r="L392" s="696"/>
      <c r="M392" s="696"/>
      <c r="N392" s="696"/>
      <c r="O392" s="696"/>
      <c r="P392" s="696"/>
      <c r="Q392" s="847"/>
      <c r="R392" s="696"/>
      <c r="S392" s="696"/>
      <c r="T392" s="696"/>
      <c r="U392" s="696"/>
      <c r="V392" s="696"/>
      <c r="W392" s="696"/>
      <c r="X392" s="696"/>
      <c r="Y392" s="847"/>
      <c r="Z392" s="696"/>
      <c r="AA392" s="696"/>
      <c r="AB392" s="696"/>
      <c r="AC392" s="696"/>
      <c r="AD392" s="696"/>
      <c r="AE392" s="696"/>
      <c r="AF392" s="696"/>
      <c r="AG392" s="847"/>
      <c r="AH392" s="696"/>
      <c r="AI392" s="696"/>
      <c r="AJ392" s="696"/>
      <c r="AK392" s="696"/>
      <c r="AL392" s="696"/>
      <c r="AM392" s="696"/>
      <c r="AN392" s="696"/>
      <c r="AO392" s="847"/>
      <c r="AP392" s="696"/>
      <c r="AQ392" s="696"/>
      <c r="AR392" s="696"/>
      <c r="AS392" s="696"/>
      <c r="AT392" s="696"/>
      <c r="AU392" s="696"/>
      <c r="AV392" s="696"/>
      <c r="AW392" s="696"/>
      <c r="AX392" s="696"/>
      <c r="AY392" s="696"/>
      <c r="AZ392" s="696"/>
      <c r="BA392" s="696"/>
      <c r="BB392" s="696"/>
      <c r="BC392" s="696"/>
      <c r="BD392" s="696"/>
      <c r="BE392" s="696"/>
      <c r="BF392" s="696"/>
      <c r="BG392" s="696"/>
      <c r="BH392" s="696"/>
    </row>
    <row r="393" spans="1:60" s="44" customFormat="1">
      <c r="A393" s="700"/>
      <c r="B393" s="700"/>
      <c r="C393" s="696"/>
      <c r="D393" s="696"/>
      <c r="E393" s="696"/>
      <c r="F393" s="696"/>
      <c r="G393" s="696"/>
      <c r="H393" s="696"/>
      <c r="I393" s="847"/>
      <c r="J393" s="696"/>
      <c r="K393" s="696"/>
      <c r="L393" s="696"/>
      <c r="M393" s="696"/>
      <c r="N393" s="696"/>
      <c r="O393" s="696"/>
      <c r="P393" s="696"/>
      <c r="Q393" s="847"/>
      <c r="R393" s="696"/>
      <c r="S393" s="696"/>
      <c r="T393" s="696"/>
      <c r="U393" s="696"/>
      <c r="V393" s="696"/>
      <c r="W393" s="696"/>
      <c r="X393" s="696"/>
      <c r="Y393" s="847"/>
      <c r="Z393" s="696"/>
      <c r="AA393" s="696"/>
      <c r="AB393" s="696"/>
      <c r="AC393" s="696"/>
      <c r="AD393" s="696"/>
      <c r="AE393" s="696"/>
      <c r="AF393" s="696"/>
      <c r="AG393" s="847"/>
      <c r="AH393" s="696"/>
      <c r="AI393" s="696"/>
      <c r="AJ393" s="696"/>
      <c r="AK393" s="696"/>
      <c r="AL393" s="696"/>
      <c r="AM393" s="696"/>
      <c r="AN393" s="696"/>
      <c r="AO393" s="847"/>
      <c r="AP393" s="696"/>
      <c r="AQ393" s="696"/>
      <c r="AR393" s="696"/>
      <c r="AS393" s="696"/>
      <c r="AT393" s="696"/>
      <c r="AU393" s="696"/>
      <c r="AV393" s="696"/>
      <c r="AW393" s="696"/>
      <c r="AX393" s="696"/>
      <c r="AY393" s="696"/>
      <c r="AZ393" s="696"/>
      <c r="BA393" s="696"/>
      <c r="BB393" s="696"/>
      <c r="BC393" s="696"/>
      <c r="BD393" s="696"/>
      <c r="BE393" s="696"/>
      <c r="BF393" s="696"/>
      <c r="BG393" s="696"/>
      <c r="BH393" s="696"/>
    </row>
    <row r="394" spans="1:60" s="44" customFormat="1">
      <c r="A394" s="700"/>
      <c r="B394" s="700"/>
      <c r="C394" s="696"/>
      <c r="D394" s="696"/>
      <c r="E394" s="696"/>
      <c r="F394" s="696"/>
      <c r="G394" s="696"/>
      <c r="H394" s="696"/>
      <c r="I394" s="847"/>
      <c r="J394" s="696"/>
      <c r="K394" s="696"/>
      <c r="L394" s="696"/>
      <c r="M394" s="696"/>
      <c r="N394" s="696"/>
      <c r="O394" s="696"/>
      <c r="P394" s="696"/>
      <c r="Q394" s="847"/>
      <c r="R394" s="696"/>
      <c r="S394" s="696"/>
      <c r="T394" s="696"/>
      <c r="U394" s="696"/>
      <c r="V394" s="696"/>
      <c r="W394" s="696"/>
      <c r="X394" s="696"/>
      <c r="Y394" s="847"/>
      <c r="Z394" s="696"/>
      <c r="AA394" s="696"/>
      <c r="AB394" s="696"/>
      <c r="AC394" s="696"/>
      <c r="AD394" s="696"/>
      <c r="AE394" s="696"/>
      <c r="AF394" s="696"/>
      <c r="AG394" s="847"/>
      <c r="AH394" s="696"/>
      <c r="AI394" s="696"/>
      <c r="AJ394" s="696"/>
      <c r="AK394" s="696"/>
      <c r="AL394" s="696"/>
      <c r="AM394" s="696"/>
      <c r="AN394" s="696"/>
      <c r="AO394" s="847"/>
      <c r="AP394" s="696"/>
      <c r="AQ394" s="696"/>
      <c r="AR394" s="696"/>
      <c r="AS394" s="696"/>
      <c r="AT394" s="696"/>
      <c r="AU394" s="696"/>
      <c r="AV394" s="696"/>
      <c r="AW394" s="696"/>
      <c r="AX394" s="696"/>
      <c r="AY394" s="696"/>
      <c r="AZ394" s="696"/>
      <c r="BA394" s="696"/>
      <c r="BB394" s="696"/>
      <c r="BC394" s="696"/>
      <c r="BD394" s="696"/>
      <c r="BE394" s="696"/>
      <c r="BF394" s="696"/>
      <c r="BG394" s="696"/>
      <c r="BH394" s="696"/>
    </row>
    <row r="395" spans="1:60" s="44" customFormat="1">
      <c r="A395" s="700"/>
      <c r="B395" s="700"/>
      <c r="C395" s="696"/>
      <c r="D395" s="696"/>
      <c r="E395" s="696"/>
      <c r="F395" s="696"/>
      <c r="G395" s="696"/>
      <c r="H395" s="696"/>
      <c r="I395" s="847"/>
      <c r="J395" s="696"/>
      <c r="K395" s="696"/>
      <c r="L395" s="696"/>
      <c r="M395" s="696"/>
      <c r="N395" s="696"/>
      <c r="O395" s="696"/>
      <c r="P395" s="696"/>
      <c r="Q395" s="847"/>
      <c r="R395" s="696"/>
      <c r="S395" s="696"/>
      <c r="T395" s="696"/>
      <c r="U395" s="696"/>
      <c r="V395" s="696"/>
      <c r="W395" s="696"/>
      <c r="X395" s="696"/>
      <c r="Y395" s="847"/>
      <c r="Z395" s="696"/>
      <c r="AA395" s="696"/>
      <c r="AB395" s="696"/>
      <c r="AC395" s="696"/>
      <c r="AD395" s="696"/>
      <c r="AE395" s="696"/>
      <c r="AF395" s="696"/>
      <c r="AG395" s="847"/>
      <c r="AH395" s="696"/>
      <c r="AI395" s="696"/>
      <c r="AJ395" s="696"/>
      <c r="AK395" s="696"/>
      <c r="AL395" s="696"/>
      <c r="AM395" s="696"/>
      <c r="AN395" s="696"/>
      <c r="AO395" s="847"/>
      <c r="AP395" s="696"/>
      <c r="AQ395" s="696"/>
      <c r="AR395" s="696"/>
      <c r="AS395" s="696"/>
      <c r="AT395" s="696"/>
      <c r="AU395" s="696"/>
      <c r="AV395" s="696"/>
      <c r="AW395" s="696"/>
      <c r="AX395" s="696"/>
      <c r="AY395" s="696"/>
      <c r="AZ395" s="696"/>
      <c r="BA395" s="696"/>
      <c r="BB395" s="696"/>
      <c r="BC395" s="696"/>
      <c r="BD395" s="696"/>
      <c r="BE395" s="696"/>
      <c r="BF395" s="696"/>
      <c r="BG395" s="696"/>
      <c r="BH395" s="696"/>
    </row>
    <row r="396" spans="1:60" s="44" customFormat="1">
      <c r="A396" s="700"/>
      <c r="B396" s="700"/>
      <c r="C396" s="696"/>
      <c r="D396" s="696"/>
      <c r="E396" s="696"/>
      <c r="F396" s="696"/>
      <c r="G396" s="696"/>
      <c r="H396" s="696"/>
      <c r="I396" s="847"/>
      <c r="J396" s="696"/>
      <c r="K396" s="696"/>
      <c r="L396" s="696"/>
      <c r="M396" s="696"/>
      <c r="N396" s="696"/>
      <c r="O396" s="696"/>
      <c r="P396" s="696"/>
      <c r="Q396" s="847"/>
      <c r="R396" s="696"/>
      <c r="S396" s="696"/>
      <c r="T396" s="696"/>
      <c r="U396" s="696"/>
      <c r="V396" s="696"/>
      <c r="W396" s="696"/>
      <c r="X396" s="696"/>
      <c r="Y396" s="847"/>
      <c r="Z396" s="696"/>
      <c r="AA396" s="696"/>
      <c r="AB396" s="696"/>
      <c r="AC396" s="696"/>
      <c r="AD396" s="696"/>
      <c r="AE396" s="696"/>
      <c r="AF396" s="696"/>
      <c r="AG396" s="847"/>
      <c r="AH396" s="696"/>
      <c r="AI396" s="696"/>
      <c r="AJ396" s="696"/>
      <c r="AK396" s="696"/>
      <c r="AL396" s="696"/>
      <c r="AM396" s="696"/>
      <c r="AN396" s="696"/>
      <c r="AO396" s="847"/>
      <c r="AP396" s="696"/>
      <c r="AQ396" s="696"/>
      <c r="AR396" s="696"/>
      <c r="AS396" s="696"/>
      <c r="AT396" s="696"/>
      <c r="AU396" s="696"/>
      <c r="AV396" s="696"/>
      <c r="AW396" s="696"/>
      <c r="AX396" s="696"/>
      <c r="AY396" s="696"/>
      <c r="AZ396" s="696"/>
      <c r="BA396" s="696"/>
      <c r="BB396" s="696"/>
      <c r="BC396" s="696"/>
      <c r="BD396" s="696"/>
      <c r="BE396" s="696"/>
      <c r="BF396" s="696"/>
      <c r="BG396" s="696"/>
      <c r="BH396" s="696"/>
    </row>
    <row r="397" spans="1:60" s="44" customFormat="1">
      <c r="A397" s="700"/>
      <c r="B397" s="700"/>
      <c r="C397" s="696"/>
      <c r="D397" s="696"/>
      <c r="E397" s="696"/>
      <c r="F397" s="696"/>
      <c r="G397" s="696"/>
      <c r="H397" s="696"/>
      <c r="I397" s="847"/>
      <c r="J397" s="696"/>
      <c r="K397" s="696"/>
      <c r="L397" s="696"/>
      <c r="M397" s="696"/>
      <c r="N397" s="696"/>
      <c r="O397" s="696"/>
      <c r="P397" s="696"/>
      <c r="Q397" s="847"/>
      <c r="R397" s="696"/>
      <c r="S397" s="696"/>
      <c r="T397" s="696"/>
      <c r="U397" s="696"/>
      <c r="V397" s="696"/>
      <c r="W397" s="696"/>
      <c r="X397" s="696"/>
      <c r="Y397" s="847"/>
      <c r="Z397" s="696"/>
      <c r="AA397" s="696"/>
      <c r="AB397" s="696"/>
      <c r="AC397" s="696"/>
      <c r="AD397" s="696"/>
      <c r="AE397" s="696"/>
      <c r="AF397" s="696"/>
      <c r="AG397" s="847"/>
      <c r="AH397" s="696"/>
      <c r="AI397" s="696"/>
      <c r="AJ397" s="696"/>
      <c r="AK397" s="696"/>
      <c r="AL397" s="696"/>
      <c r="AM397" s="696"/>
      <c r="AN397" s="696"/>
      <c r="AO397" s="847"/>
      <c r="AP397" s="696"/>
      <c r="AQ397" s="696"/>
      <c r="AR397" s="696"/>
      <c r="AS397" s="696"/>
      <c r="AT397" s="696"/>
      <c r="AU397" s="696"/>
      <c r="AV397" s="696"/>
      <c r="AW397" s="696"/>
      <c r="AX397" s="696"/>
      <c r="AY397" s="696"/>
      <c r="AZ397" s="696"/>
      <c r="BA397" s="696"/>
      <c r="BB397" s="696"/>
      <c r="BC397" s="696"/>
      <c r="BD397" s="696"/>
      <c r="BE397" s="696"/>
      <c r="BF397" s="696"/>
      <c r="BG397" s="696"/>
      <c r="BH397" s="696"/>
    </row>
    <row r="398" spans="1:60" s="44" customFormat="1">
      <c r="A398" s="700"/>
      <c r="B398" s="700"/>
      <c r="C398" s="696"/>
      <c r="D398" s="696"/>
      <c r="E398" s="696"/>
      <c r="F398" s="696"/>
      <c r="G398" s="696"/>
      <c r="H398" s="696"/>
      <c r="I398" s="847"/>
      <c r="J398" s="696"/>
      <c r="K398" s="696"/>
      <c r="L398" s="696"/>
      <c r="M398" s="696"/>
      <c r="N398" s="696"/>
      <c r="O398" s="696"/>
      <c r="P398" s="696"/>
      <c r="Q398" s="847"/>
      <c r="R398" s="696"/>
      <c r="S398" s="696"/>
      <c r="T398" s="696"/>
      <c r="U398" s="696"/>
      <c r="V398" s="696"/>
      <c r="W398" s="696"/>
      <c r="X398" s="696"/>
      <c r="Y398" s="847"/>
      <c r="Z398" s="696"/>
      <c r="AA398" s="696"/>
      <c r="AB398" s="696"/>
      <c r="AC398" s="696"/>
      <c r="AD398" s="696"/>
      <c r="AE398" s="696"/>
      <c r="AF398" s="696"/>
      <c r="AG398" s="847"/>
      <c r="AH398" s="696"/>
      <c r="AI398" s="696"/>
      <c r="AJ398" s="696"/>
      <c r="AK398" s="696"/>
      <c r="AL398" s="696"/>
      <c r="AM398" s="696"/>
      <c r="AN398" s="696"/>
      <c r="AO398" s="847"/>
      <c r="AP398" s="696"/>
      <c r="AQ398" s="696"/>
      <c r="AR398" s="696"/>
      <c r="AS398" s="696"/>
      <c r="AT398" s="696"/>
      <c r="AU398" s="696"/>
      <c r="AV398" s="696"/>
      <c r="AW398" s="696"/>
      <c r="AX398" s="696"/>
      <c r="AY398" s="696"/>
      <c r="AZ398" s="696"/>
      <c r="BA398" s="696"/>
      <c r="BB398" s="696"/>
      <c r="BC398" s="696"/>
      <c r="BD398" s="696"/>
      <c r="BE398" s="696"/>
      <c r="BF398" s="696"/>
      <c r="BG398" s="696"/>
      <c r="BH398" s="696"/>
    </row>
    <row r="399" spans="1:60" s="44" customFormat="1">
      <c r="A399" s="700"/>
      <c r="B399" s="700"/>
      <c r="C399" s="696"/>
      <c r="D399" s="696"/>
      <c r="E399" s="696"/>
      <c r="F399" s="696"/>
      <c r="G399" s="696"/>
      <c r="H399" s="696"/>
      <c r="I399" s="847"/>
      <c r="J399" s="696"/>
      <c r="K399" s="696"/>
      <c r="L399" s="696"/>
      <c r="M399" s="696"/>
      <c r="N399" s="696"/>
      <c r="O399" s="696"/>
      <c r="P399" s="696"/>
      <c r="Q399" s="847"/>
      <c r="R399" s="696"/>
      <c r="S399" s="696"/>
      <c r="T399" s="696"/>
      <c r="U399" s="696"/>
      <c r="V399" s="696"/>
      <c r="W399" s="696"/>
      <c r="X399" s="696"/>
      <c r="Y399" s="847"/>
      <c r="Z399" s="696"/>
      <c r="AA399" s="696"/>
      <c r="AB399" s="696"/>
      <c r="AC399" s="696"/>
      <c r="AD399" s="696"/>
      <c r="AE399" s="696"/>
      <c r="AF399" s="696"/>
      <c r="AG399" s="847"/>
      <c r="AH399" s="696"/>
      <c r="AI399" s="696"/>
      <c r="AJ399" s="696"/>
      <c r="AK399" s="696"/>
      <c r="AL399" s="696"/>
      <c r="AM399" s="696"/>
      <c r="AN399" s="696"/>
      <c r="AO399" s="847"/>
      <c r="AP399" s="696"/>
      <c r="AQ399" s="696"/>
      <c r="AR399" s="696"/>
      <c r="AS399" s="696"/>
      <c r="AT399" s="696"/>
      <c r="AU399" s="696"/>
      <c r="AV399" s="696"/>
      <c r="AW399" s="696"/>
      <c r="AX399" s="696"/>
      <c r="AY399" s="696"/>
      <c r="AZ399" s="696"/>
      <c r="BA399" s="696"/>
      <c r="BB399" s="696"/>
      <c r="BC399" s="696"/>
      <c r="BD399" s="696"/>
      <c r="BE399" s="696"/>
      <c r="BF399" s="696"/>
      <c r="BG399" s="696"/>
      <c r="BH399" s="696"/>
    </row>
    <row r="400" spans="1:60" s="44" customFormat="1">
      <c r="A400" s="700"/>
      <c r="B400" s="700"/>
      <c r="C400" s="696"/>
      <c r="D400" s="696"/>
      <c r="E400" s="696"/>
      <c r="F400" s="696"/>
      <c r="G400" s="696"/>
      <c r="H400" s="696"/>
      <c r="I400" s="847"/>
      <c r="J400" s="696"/>
      <c r="K400" s="696"/>
      <c r="L400" s="696"/>
      <c r="M400" s="696"/>
      <c r="N400" s="696"/>
      <c r="O400" s="696"/>
      <c r="P400" s="696"/>
      <c r="Q400" s="847"/>
      <c r="R400" s="696"/>
      <c r="S400" s="696"/>
      <c r="T400" s="696"/>
      <c r="U400" s="696"/>
      <c r="V400" s="696"/>
      <c r="W400" s="696"/>
      <c r="X400" s="696"/>
      <c r="Y400" s="847"/>
      <c r="Z400" s="696"/>
      <c r="AA400" s="696"/>
      <c r="AB400" s="696"/>
      <c r="AC400" s="696"/>
      <c r="AD400" s="696"/>
      <c r="AE400" s="696"/>
      <c r="AF400" s="696"/>
      <c r="AG400" s="847"/>
      <c r="AH400" s="696"/>
      <c r="AI400" s="696"/>
      <c r="AJ400" s="696"/>
      <c r="AK400" s="696"/>
      <c r="AL400" s="696"/>
      <c r="AM400" s="696"/>
      <c r="AN400" s="696"/>
      <c r="AO400" s="847"/>
      <c r="AP400" s="696"/>
      <c r="AQ400" s="696"/>
      <c r="AR400" s="696"/>
      <c r="AS400" s="696"/>
      <c r="AT400" s="696"/>
      <c r="AU400" s="696"/>
      <c r="AV400" s="696"/>
      <c r="AW400" s="696"/>
      <c r="AX400" s="696"/>
      <c r="AY400" s="696"/>
      <c r="AZ400" s="696"/>
      <c r="BA400" s="696"/>
      <c r="BB400" s="696"/>
      <c r="BC400" s="696"/>
      <c r="BD400" s="696"/>
      <c r="BE400" s="696"/>
      <c r="BF400" s="696"/>
      <c r="BG400" s="696"/>
      <c r="BH400" s="696"/>
    </row>
    <row r="401" spans="1:60" s="44" customFormat="1">
      <c r="A401" s="700"/>
      <c r="B401" s="700"/>
      <c r="C401" s="696"/>
      <c r="D401" s="696"/>
      <c r="E401" s="696"/>
      <c r="F401" s="696"/>
      <c r="G401" s="696"/>
      <c r="H401" s="696"/>
      <c r="I401" s="847"/>
      <c r="J401" s="696"/>
      <c r="K401" s="696"/>
      <c r="L401" s="696"/>
      <c r="M401" s="696"/>
      <c r="N401" s="696"/>
      <c r="O401" s="696"/>
      <c r="P401" s="696"/>
      <c r="Q401" s="847"/>
      <c r="R401" s="696"/>
      <c r="S401" s="696"/>
      <c r="T401" s="696"/>
      <c r="U401" s="696"/>
      <c r="V401" s="696"/>
      <c r="W401" s="696"/>
      <c r="X401" s="696"/>
      <c r="Y401" s="847"/>
      <c r="Z401" s="696"/>
      <c r="AA401" s="696"/>
      <c r="AB401" s="696"/>
      <c r="AC401" s="696"/>
      <c r="AD401" s="696"/>
      <c r="AE401" s="696"/>
      <c r="AF401" s="696"/>
      <c r="AG401" s="847"/>
      <c r="AH401" s="696"/>
      <c r="AI401" s="696"/>
      <c r="AJ401" s="696"/>
      <c r="AK401" s="696"/>
      <c r="AL401" s="696"/>
      <c r="AM401" s="696"/>
      <c r="AN401" s="696"/>
      <c r="AO401" s="847"/>
      <c r="AP401" s="696"/>
      <c r="AQ401" s="696"/>
      <c r="AR401" s="696"/>
      <c r="AS401" s="696"/>
      <c r="AT401" s="696"/>
      <c r="AU401" s="696"/>
      <c r="AV401" s="696"/>
      <c r="AW401" s="696"/>
      <c r="AX401" s="696"/>
      <c r="AY401" s="696"/>
      <c r="AZ401" s="696"/>
      <c r="BA401" s="696"/>
      <c r="BB401" s="696"/>
      <c r="BC401" s="696"/>
      <c r="BD401" s="696"/>
      <c r="BE401" s="696"/>
      <c r="BF401" s="696"/>
      <c r="BG401" s="696"/>
      <c r="BH401" s="696"/>
    </row>
    <row r="402" spans="1:60" s="44" customFormat="1">
      <c r="A402" s="700"/>
      <c r="B402" s="700"/>
      <c r="C402" s="696"/>
      <c r="D402" s="696"/>
      <c r="E402" s="696"/>
      <c r="F402" s="696"/>
      <c r="G402" s="696"/>
      <c r="H402" s="696"/>
      <c r="I402" s="847"/>
      <c r="J402" s="696"/>
      <c r="K402" s="696"/>
      <c r="L402" s="696"/>
      <c r="M402" s="696"/>
      <c r="N402" s="696"/>
      <c r="O402" s="696"/>
      <c r="P402" s="696"/>
      <c r="Q402" s="847"/>
      <c r="R402" s="696"/>
      <c r="S402" s="696"/>
      <c r="T402" s="696"/>
      <c r="U402" s="696"/>
      <c r="V402" s="696"/>
      <c r="W402" s="696"/>
      <c r="X402" s="696"/>
      <c r="Y402" s="847"/>
      <c r="Z402" s="696"/>
      <c r="AA402" s="696"/>
      <c r="AB402" s="696"/>
      <c r="AC402" s="696"/>
      <c r="AD402" s="696"/>
      <c r="AE402" s="696"/>
      <c r="AF402" s="696"/>
      <c r="AG402" s="847"/>
      <c r="AH402" s="696"/>
      <c r="AI402" s="696"/>
      <c r="AJ402" s="696"/>
      <c r="AK402" s="696"/>
      <c r="AL402" s="696"/>
      <c r="AM402" s="696"/>
      <c r="AN402" s="696"/>
      <c r="AO402" s="847"/>
      <c r="AP402" s="696"/>
      <c r="AQ402" s="696"/>
      <c r="AR402" s="696"/>
      <c r="AS402" s="696"/>
      <c r="AT402" s="696"/>
      <c r="AU402" s="696"/>
      <c r="AV402" s="696"/>
      <c r="AW402" s="696"/>
      <c r="AX402" s="696"/>
      <c r="AY402" s="696"/>
      <c r="AZ402" s="696"/>
      <c r="BA402" s="696"/>
      <c r="BB402" s="696"/>
      <c r="BC402" s="696"/>
      <c r="BD402" s="696"/>
      <c r="BE402" s="696"/>
      <c r="BF402" s="696"/>
      <c r="BG402" s="696"/>
      <c r="BH402" s="696"/>
    </row>
    <row r="403" spans="1:60" s="44" customFormat="1">
      <c r="A403" s="700"/>
      <c r="B403" s="700"/>
      <c r="C403" s="696"/>
      <c r="D403" s="696"/>
      <c r="E403" s="696"/>
      <c r="F403" s="696"/>
      <c r="G403" s="696"/>
      <c r="H403" s="696"/>
      <c r="I403" s="847"/>
      <c r="J403" s="696"/>
      <c r="K403" s="696"/>
      <c r="L403" s="696"/>
      <c r="M403" s="696"/>
      <c r="N403" s="696"/>
      <c r="O403" s="696"/>
      <c r="P403" s="696"/>
      <c r="Q403" s="847"/>
      <c r="R403" s="696"/>
      <c r="S403" s="696"/>
      <c r="T403" s="696"/>
      <c r="U403" s="696"/>
      <c r="V403" s="696"/>
      <c r="W403" s="696"/>
      <c r="X403" s="696"/>
      <c r="Y403" s="847"/>
      <c r="Z403" s="696"/>
      <c r="AA403" s="696"/>
      <c r="AB403" s="696"/>
      <c r="AC403" s="696"/>
      <c r="AD403" s="696"/>
      <c r="AE403" s="696"/>
      <c r="AF403" s="696"/>
      <c r="AG403" s="847"/>
      <c r="AH403" s="696"/>
      <c r="AI403" s="696"/>
      <c r="AJ403" s="696"/>
      <c r="AK403" s="696"/>
      <c r="AL403" s="696"/>
      <c r="AM403" s="696"/>
      <c r="AN403" s="696"/>
      <c r="AO403" s="847"/>
      <c r="AP403" s="696"/>
      <c r="AQ403" s="696"/>
      <c r="AR403" s="696"/>
      <c r="AS403" s="696"/>
      <c r="AT403" s="696"/>
      <c r="AU403" s="696"/>
      <c r="AV403" s="696"/>
      <c r="AW403" s="696"/>
      <c r="AX403" s="696"/>
      <c r="AY403" s="696"/>
      <c r="AZ403" s="696"/>
      <c r="BA403" s="696"/>
      <c r="BB403" s="696"/>
      <c r="BC403" s="696"/>
      <c r="BD403" s="696"/>
      <c r="BE403" s="696"/>
      <c r="BF403" s="696"/>
      <c r="BG403" s="696"/>
      <c r="BH403" s="696"/>
    </row>
    <row r="404" spans="1:60" s="44" customFormat="1">
      <c r="A404" s="700"/>
      <c r="B404" s="700"/>
      <c r="C404" s="696"/>
      <c r="D404" s="696"/>
      <c r="E404" s="696"/>
      <c r="F404" s="696"/>
      <c r="G404" s="696"/>
      <c r="H404" s="696"/>
      <c r="I404" s="847"/>
      <c r="J404" s="696"/>
      <c r="K404" s="696"/>
      <c r="L404" s="696"/>
      <c r="M404" s="696"/>
      <c r="N404" s="696"/>
      <c r="O404" s="696"/>
      <c r="P404" s="696"/>
      <c r="Q404" s="847"/>
      <c r="R404" s="696"/>
      <c r="S404" s="696"/>
      <c r="T404" s="696"/>
      <c r="U404" s="696"/>
      <c r="V404" s="696"/>
      <c r="W404" s="696"/>
      <c r="X404" s="696"/>
      <c r="Y404" s="847"/>
      <c r="Z404" s="696"/>
      <c r="AA404" s="696"/>
      <c r="AB404" s="696"/>
      <c r="AC404" s="696"/>
      <c r="AD404" s="696"/>
      <c r="AE404" s="696"/>
      <c r="AF404" s="696"/>
      <c r="AG404" s="847"/>
      <c r="AH404" s="696"/>
      <c r="AI404" s="696"/>
      <c r="AJ404" s="696"/>
      <c r="AK404" s="696"/>
      <c r="AL404" s="696"/>
      <c r="AM404" s="696"/>
      <c r="AN404" s="696"/>
      <c r="AO404" s="847"/>
      <c r="AP404" s="696"/>
      <c r="AQ404" s="696"/>
      <c r="AR404" s="696"/>
      <c r="AS404" s="696"/>
      <c r="AT404" s="696"/>
      <c r="AU404" s="696"/>
      <c r="AV404" s="696"/>
      <c r="AW404" s="696"/>
      <c r="AX404" s="696"/>
      <c r="AY404" s="696"/>
      <c r="AZ404" s="696"/>
      <c r="BA404" s="696"/>
      <c r="BB404" s="696"/>
      <c r="BC404" s="696"/>
      <c r="BD404" s="696"/>
      <c r="BE404" s="696"/>
      <c r="BF404" s="696"/>
      <c r="BG404" s="696"/>
      <c r="BH404" s="696"/>
    </row>
    <row r="405" spans="1:60" s="44" customFormat="1">
      <c r="A405" s="700"/>
      <c r="B405" s="700"/>
      <c r="C405" s="696"/>
      <c r="D405" s="696"/>
      <c r="E405" s="696"/>
      <c r="F405" s="696"/>
      <c r="G405" s="696"/>
      <c r="H405" s="696"/>
      <c r="I405" s="847"/>
      <c r="J405" s="696"/>
      <c r="K405" s="696"/>
      <c r="L405" s="696"/>
      <c r="M405" s="696"/>
      <c r="N405" s="696"/>
      <c r="O405" s="696"/>
      <c r="P405" s="696"/>
      <c r="Q405" s="847"/>
      <c r="R405" s="696"/>
      <c r="S405" s="696"/>
      <c r="T405" s="696"/>
      <c r="U405" s="696"/>
      <c r="V405" s="696"/>
      <c r="W405" s="696"/>
      <c r="X405" s="696"/>
      <c r="Y405" s="847"/>
      <c r="Z405" s="696"/>
      <c r="AA405" s="696"/>
      <c r="AB405" s="696"/>
      <c r="AC405" s="696"/>
      <c r="AD405" s="696"/>
      <c r="AE405" s="696"/>
      <c r="AF405" s="696"/>
      <c r="AG405" s="847"/>
      <c r="AH405" s="696"/>
      <c r="AI405" s="696"/>
      <c r="AJ405" s="696"/>
      <c r="AK405" s="696"/>
      <c r="AL405" s="696"/>
      <c r="AM405" s="696"/>
      <c r="AN405" s="696"/>
      <c r="AO405" s="847"/>
      <c r="AP405" s="696"/>
      <c r="AQ405" s="696"/>
      <c r="AR405" s="696"/>
      <c r="AS405" s="696"/>
      <c r="AT405" s="696"/>
      <c r="AU405" s="696"/>
      <c r="AV405" s="696"/>
      <c r="AW405" s="696"/>
      <c r="AX405" s="696"/>
      <c r="AY405" s="696"/>
      <c r="AZ405" s="696"/>
      <c r="BA405" s="696"/>
      <c r="BB405" s="696"/>
      <c r="BC405" s="696"/>
      <c r="BD405" s="696"/>
      <c r="BE405" s="696"/>
      <c r="BF405" s="696"/>
      <c r="BG405" s="696"/>
      <c r="BH405" s="696"/>
    </row>
    <row r="406" spans="1:60" s="44" customFormat="1">
      <c r="A406" s="700"/>
      <c r="B406" s="700"/>
      <c r="C406" s="696"/>
      <c r="D406" s="696"/>
      <c r="E406" s="696"/>
      <c r="F406" s="696"/>
      <c r="G406" s="696"/>
      <c r="H406" s="696"/>
      <c r="I406" s="847"/>
      <c r="J406" s="696"/>
      <c r="K406" s="696"/>
      <c r="L406" s="696"/>
      <c r="M406" s="696"/>
      <c r="N406" s="696"/>
      <c r="O406" s="696"/>
      <c r="P406" s="696"/>
      <c r="Q406" s="847"/>
      <c r="R406" s="696"/>
      <c r="S406" s="696"/>
      <c r="T406" s="696"/>
      <c r="U406" s="696"/>
      <c r="V406" s="696"/>
      <c r="W406" s="696"/>
      <c r="X406" s="696"/>
      <c r="Y406" s="847"/>
      <c r="Z406" s="696"/>
      <c r="AA406" s="696"/>
      <c r="AB406" s="696"/>
      <c r="AC406" s="696"/>
      <c r="AD406" s="696"/>
      <c r="AE406" s="696"/>
      <c r="AF406" s="696"/>
      <c r="AG406" s="847"/>
      <c r="AH406" s="696"/>
      <c r="AI406" s="696"/>
      <c r="AJ406" s="696"/>
      <c r="AK406" s="696"/>
      <c r="AL406" s="696"/>
      <c r="AM406" s="696"/>
      <c r="AN406" s="696"/>
      <c r="AO406" s="847"/>
      <c r="AP406" s="696"/>
      <c r="AQ406" s="696"/>
      <c r="AR406" s="696"/>
      <c r="AS406" s="696"/>
      <c r="AT406" s="696"/>
      <c r="AU406" s="696"/>
      <c r="AV406" s="696"/>
      <c r="AW406" s="696"/>
      <c r="AX406" s="696"/>
      <c r="AY406" s="696"/>
      <c r="AZ406" s="696"/>
      <c r="BA406" s="696"/>
      <c r="BB406" s="696"/>
      <c r="BC406" s="696"/>
      <c r="BD406" s="696"/>
      <c r="BE406" s="696"/>
      <c r="BF406" s="696"/>
      <c r="BG406" s="696"/>
      <c r="BH406" s="696"/>
    </row>
    <row r="407" spans="1:60" s="44" customFormat="1">
      <c r="A407" s="700"/>
      <c r="B407" s="700"/>
      <c r="C407" s="696"/>
      <c r="D407" s="696"/>
      <c r="E407" s="696"/>
      <c r="F407" s="696"/>
      <c r="G407" s="696"/>
      <c r="H407" s="696"/>
      <c r="I407" s="847"/>
      <c r="J407" s="696"/>
      <c r="K407" s="696"/>
      <c r="L407" s="696"/>
      <c r="M407" s="696"/>
      <c r="N407" s="696"/>
      <c r="O407" s="696"/>
      <c r="P407" s="696"/>
      <c r="Q407" s="847"/>
      <c r="R407" s="696"/>
      <c r="S407" s="696"/>
      <c r="T407" s="696"/>
      <c r="U407" s="696"/>
      <c r="V407" s="696"/>
      <c r="W407" s="696"/>
      <c r="X407" s="696"/>
      <c r="Y407" s="847"/>
      <c r="Z407" s="696"/>
      <c r="AA407" s="696"/>
      <c r="AB407" s="696"/>
      <c r="AC407" s="696"/>
      <c r="AD407" s="696"/>
      <c r="AE407" s="696"/>
      <c r="AF407" s="696"/>
      <c r="AG407" s="847"/>
      <c r="AH407" s="696"/>
      <c r="AI407" s="696"/>
      <c r="AJ407" s="696"/>
      <c r="AK407" s="696"/>
      <c r="AL407" s="696"/>
      <c r="AM407" s="696"/>
      <c r="AN407" s="696"/>
      <c r="AO407" s="847"/>
      <c r="AP407" s="696"/>
      <c r="AQ407" s="696"/>
      <c r="AR407" s="696"/>
      <c r="AS407" s="696"/>
      <c r="AT407" s="696"/>
      <c r="AU407" s="696"/>
      <c r="AV407" s="696"/>
      <c r="AW407" s="696"/>
      <c r="AX407" s="696"/>
      <c r="AY407" s="696"/>
      <c r="AZ407" s="696"/>
      <c r="BA407" s="696"/>
      <c r="BB407" s="696"/>
      <c r="BC407" s="696"/>
      <c r="BD407" s="696"/>
      <c r="BE407" s="696"/>
      <c r="BF407" s="696"/>
      <c r="BG407" s="696"/>
      <c r="BH407" s="696"/>
    </row>
    <row r="408" spans="1:60" s="44" customFormat="1">
      <c r="A408" s="700"/>
      <c r="B408" s="700"/>
      <c r="C408" s="696"/>
      <c r="D408" s="696"/>
      <c r="E408" s="696"/>
      <c r="F408" s="696"/>
      <c r="G408" s="696"/>
      <c r="H408" s="696"/>
      <c r="I408" s="847"/>
      <c r="J408" s="696"/>
      <c r="K408" s="696"/>
      <c r="L408" s="696"/>
      <c r="M408" s="696"/>
      <c r="N408" s="696"/>
      <c r="O408" s="696"/>
      <c r="P408" s="696"/>
      <c r="Q408" s="847"/>
      <c r="R408" s="696"/>
      <c r="S408" s="696"/>
      <c r="T408" s="696"/>
      <c r="U408" s="696"/>
      <c r="V408" s="696"/>
      <c r="W408" s="696"/>
      <c r="X408" s="696"/>
      <c r="Y408" s="847"/>
      <c r="Z408" s="696"/>
      <c r="AA408" s="696"/>
      <c r="AB408" s="696"/>
      <c r="AC408" s="696"/>
      <c r="AD408" s="696"/>
      <c r="AE408" s="696"/>
      <c r="AF408" s="696"/>
      <c r="AG408" s="847"/>
      <c r="AH408" s="696"/>
      <c r="AI408" s="696"/>
      <c r="AJ408" s="696"/>
      <c r="AK408" s="696"/>
      <c r="AL408" s="696"/>
      <c r="AM408" s="696"/>
      <c r="AN408" s="696"/>
      <c r="AO408" s="847"/>
      <c r="AP408" s="696"/>
      <c r="AQ408" s="696"/>
      <c r="AR408" s="696"/>
      <c r="AS408" s="696"/>
      <c r="AT408" s="696"/>
      <c r="AU408" s="696"/>
      <c r="AV408" s="696"/>
      <c r="AW408" s="696"/>
      <c r="AX408" s="696"/>
      <c r="AY408" s="696"/>
      <c r="AZ408" s="696"/>
      <c r="BA408" s="696"/>
      <c r="BB408" s="696"/>
      <c r="BC408" s="696"/>
      <c r="BD408" s="696"/>
      <c r="BE408" s="696"/>
      <c r="BF408" s="696"/>
      <c r="BG408" s="696"/>
      <c r="BH408" s="696"/>
    </row>
    <row r="409" spans="1:60" s="44" customFormat="1">
      <c r="A409" s="700"/>
      <c r="B409" s="700"/>
      <c r="C409" s="696"/>
      <c r="D409" s="696"/>
      <c r="E409" s="696"/>
      <c r="F409" s="696"/>
      <c r="G409" s="696"/>
      <c r="H409" s="696"/>
      <c r="I409" s="847"/>
      <c r="J409" s="696"/>
      <c r="K409" s="696"/>
      <c r="L409" s="696"/>
      <c r="M409" s="696"/>
      <c r="N409" s="696"/>
      <c r="O409" s="696"/>
      <c r="P409" s="696"/>
      <c r="Q409" s="847"/>
      <c r="R409" s="696"/>
      <c r="S409" s="696"/>
      <c r="T409" s="696"/>
      <c r="U409" s="696"/>
      <c r="V409" s="696"/>
      <c r="W409" s="696"/>
      <c r="X409" s="696"/>
      <c r="Y409" s="847"/>
      <c r="Z409" s="696"/>
      <c r="AA409" s="696"/>
      <c r="AB409" s="696"/>
      <c r="AC409" s="696"/>
      <c r="AD409" s="696"/>
      <c r="AE409" s="696"/>
      <c r="AF409" s="696"/>
      <c r="AG409" s="847"/>
      <c r="AH409" s="696"/>
      <c r="AI409" s="696"/>
      <c r="AJ409" s="696"/>
      <c r="AK409" s="696"/>
      <c r="AL409" s="696"/>
      <c r="AM409" s="696"/>
      <c r="AN409" s="696"/>
      <c r="AO409" s="847"/>
      <c r="AP409" s="696"/>
      <c r="AQ409" s="696"/>
      <c r="AR409" s="696"/>
      <c r="AS409" s="696"/>
      <c r="AT409" s="696"/>
      <c r="AU409" s="696"/>
      <c r="AV409" s="696"/>
      <c r="AW409" s="696"/>
      <c r="AX409" s="696"/>
      <c r="AY409" s="696"/>
      <c r="AZ409" s="696"/>
      <c r="BA409" s="696"/>
      <c r="BB409" s="696"/>
      <c r="BC409" s="696"/>
      <c r="BD409" s="696"/>
      <c r="BE409" s="696"/>
      <c r="BF409" s="696"/>
      <c r="BG409" s="696"/>
      <c r="BH409" s="696"/>
    </row>
    <row r="410" spans="1:60" s="44" customFormat="1">
      <c r="A410" s="700"/>
      <c r="B410" s="700"/>
      <c r="C410" s="696"/>
      <c r="D410" s="696"/>
      <c r="E410" s="696"/>
      <c r="F410" s="696"/>
      <c r="G410" s="696"/>
      <c r="H410" s="696"/>
      <c r="I410" s="847"/>
      <c r="J410" s="696"/>
      <c r="K410" s="696"/>
      <c r="L410" s="696"/>
      <c r="M410" s="696"/>
      <c r="N410" s="696"/>
      <c r="O410" s="696"/>
      <c r="P410" s="696"/>
      <c r="Q410" s="847"/>
      <c r="R410" s="696"/>
      <c r="S410" s="696"/>
      <c r="T410" s="696"/>
      <c r="U410" s="696"/>
      <c r="V410" s="696"/>
      <c r="W410" s="696"/>
      <c r="X410" s="696"/>
      <c r="Y410" s="847"/>
      <c r="Z410" s="696"/>
      <c r="AA410" s="696"/>
      <c r="AB410" s="696"/>
      <c r="AC410" s="696"/>
      <c r="AD410" s="696"/>
      <c r="AE410" s="696"/>
      <c r="AF410" s="696"/>
      <c r="AG410" s="847"/>
      <c r="AH410" s="696"/>
      <c r="AI410" s="696"/>
      <c r="AJ410" s="696"/>
      <c r="AK410" s="696"/>
      <c r="AL410" s="696"/>
      <c r="AM410" s="696"/>
      <c r="AN410" s="696"/>
      <c r="AO410" s="847"/>
      <c r="AP410" s="696"/>
      <c r="AQ410" s="696"/>
      <c r="AR410" s="696"/>
      <c r="AS410" s="696"/>
      <c r="AT410" s="696"/>
      <c r="AU410" s="696"/>
      <c r="AV410" s="696"/>
      <c r="AW410" s="696"/>
      <c r="AX410" s="696"/>
      <c r="AY410" s="696"/>
      <c r="AZ410" s="696"/>
      <c r="BA410" s="696"/>
      <c r="BB410" s="696"/>
      <c r="BC410" s="696"/>
      <c r="BD410" s="696"/>
      <c r="BE410" s="696"/>
      <c r="BF410" s="696"/>
      <c r="BG410" s="696"/>
      <c r="BH410" s="696"/>
    </row>
    <row r="411" spans="1:60" s="44" customFormat="1">
      <c r="A411" s="700"/>
      <c r="B411" s="700"/>
      <c r="C411" s="696"/>
      <c r="D411" s="696"/>
      <c r="E411" s="696"/>
      <c r="F411" s="696"/>
      <c r="G411" s="696"/>
      <c r="H411" s="696"/>
      <c r="I411" s="847"/>
      <c r="J411" s="696"/>
      <c r="K411" s="696"/>
      <c r="L411" s="696"/>
      <c r="M411" s="696"/>
      <c r="N411" s="696"/>
      <c r="O411" s="696"/>
      <c r="P411" s="696"/>
      <c r="Q411" s="847"/>
      <c r="R411" s="696"/>
      <c r="S411" s="696"/>
      <c r="T411" s="696"/>
      <c r="U411" s="696"/>
      <c r="V411" s="696"/>
      <c r="W411" s="696"/>
      <c r="X411" s="696"/>
      <c r="Y411" s="847"/>
      <c r="Z411" s="696"/>
      <c r="AA411" s="696"/>
      <c r="AB411" s="696"/>
      <c r="AC411" s="696"/>
      <c r="AD411" s="696"/>
      <c r="AE411" s="696"/>
      <c r="AF411" s="696"/>
      <c r="AG411" s="847"/>
      <c r="AH411" s="696"/>
      <c r="AI411" s="696"/>
      <c r="AJ411" s="696"/>
      <c r="AK411" s="696"/>
      <c r="AL411" s="696"/>
      <c r="AM411" s="696"/>
      <c r="AN411" s="696"/>
      <c r="AO411" s="847"/>
      <c r="AP411" s="696"/>
      <c r="AQ411" s="696"/>
      <c r="AR411" s="696"/>
      <c r="AS411" s="696"/>
      <c r="AT411" s="696"/>
      <c r="AU411" s="696"/>
      <c r="AV411" s="696"/>
      <c r="AW411" s="696"/>
      <c r="AX411" s="696"/>
      <c r="AY411" s="696"/>
      <c r="AZ411" s="696"/>
      <c r="BA411" s="696"/>
      <c r="BB411" s="696"/>
      <c r="BC411" s="696"/>
      <c r="BD411" s="696"/>
      <c r="BE411" s="696"/>
      <c r="BF411" s="696"/>
      <c r="BG411" s="696"/>
      <c r="BH411" s="696"/>
    </row>
    <row r="412" spans="1:60" s="44" customFormat="1">
      <c r="A412" s="700"/>
      <c r="B412" s="700"/>
      <c r="C412" s="696"/>
      <c r="D412" s="696"/>
      <c r="E412" s="696"/>
      <c r="F412" s="696"/>
      <c r="G412" s="696"/>
      <c r="H412" s="696"/>
      <c r="I412" s="847"/>
      <c r="J412" s="696"/>
      <c r="K412" s="696"/>
      <c r="L412" s="696"/>
      <c r="M412" s="696"/>
      <c r="N412" s="696"/>
      <c r="O412" s="696"/>
      <c r="P412" s="696"/>
      <c r="Q412" s="847"/>
      <c r="R412" s="696"/>
      <c r="S412" s="696"/>
      <c r="T412" s="696"/>
      <c r="U412" s="696"/>
      <c r="V412" s="696"/>
      <c r="W412" s="696"/>
      <c r="X412" s="696"/>
      <c r="Y412" s="847"/>
      <c r="Z412" s="696"/>
      <c r="AA412" s="696"/>
      <c r="AB412" s="696"/>
      <c r="AC412" s="696"/>
      <c r="AD412" s="696"/>
      <c r="AE412" s="696"/>
      <c r="AF412" s="696"/>
      <c r="AG412" s="847"/>
      <c r="AH412" s="696"/>
      <c r="AI412" s="696"/>
      <c r="AJ412" s="696"/>
      <c r="AK412" s="696"/>
      <c r="AL412" s="696"/>
      <c r="AM412" s="696"/>
      <c r="AN412" s="696"/>
      <c r="AO412" s="847"/>
      <c r="AP412" s="696"/>
      <c r="AQ412" s="696"/>
      <c r="AR412" s="696"/>
      <c r="AS412" s="696"/>
      <c r="AT412" s="696"/>
      <c r="AU412" s="696"/>
      <c r="AV412" s="696"/>
      <c r="AW412" s="696"/>
      <c r="AX412" s="696"/>
      <c r="AY412" s="696"/>
      <c r="AZ412" s="696"/>
      <c r="BA412" s="696"/>
      <c r="BB412" s="696"/>
      <c r="BC412" s="696"/>
      <c r="BD412" s="696"/>
      <c r="BE412" s="696"/>
      <c r="BF412" s="696"/>
      <c r="BG412" s="696"/>
      <c r="BH412" s="696"/>
    </row>
    <row r="413" spans="1:60" s="44" customFormat="1">
      <c r="A413" s="700"/>
      <c r="B413" s="700"/>
      <c r="C413" s="696"/>
      <c r="D413" s="696"/>
      <c r="E413" s="696"/>
      <c r="F413" s="696"/>
      <c r="G413" s="696"/>
      <c r="H413" s="696"/>
      <c r="I413" s="847"/>
      <c r="J413" s="696"/>
      <c r="K413" s="696"/>
      <c r="L413" s="696"/>
      <c r="M413" s="696"/>
      <c r="N413" s="696"/>
      <c r="O413" s="696"/>
      <c r="P413" s="696"/>
      <c r="Q413" s="847"/>
      <c r="R413" s="696"/>
      <c r="S413" s="696"/>
      <c r="T413" s="696"/>
      <c r="U413" s="696"/>
      <c r="V413" s="696"/>
      <c r="W413" s="696"/>
      <c r="X413" s="696"/>
      <c r="Y413" s="847"/>
      <c r="Z413" s="696"/>
      <c r="AA413" s="696"/>
      <c r="AB413" s="696"/>
      <c r="AC413" s="696"/>
      <c r="AD413" s="696"/>
      <c r="AE413" s="696"/>
      <c r="AF413" s="696"/>
      <c r="AG413" s="847"/>
      <c r="AH413" s="696"/>
      <c r="AI413" s="696"/>
      <c r="AJ413" s="696"/>
      <c r="AK413" s="696"/>
      <c r="AL413" s="696"/>
      <c r="AM413" s="696"/>
      <c r="AN413" s="696"/>
      <c r="AO413" s="847"/>
      <c r="AP413" s="696"/>
      <c r="AQ413" s="696"/>
      <c r="AR413" s="696"/>
      <c r="AS413" s="696"/>
      <c r="AT413" s="696"/>
      <c r="AU413" s="696"/>
      <c r="AV413" s="696"/>
      <c r="AW413" s="696"/>
      <c r="AX413" s="696"/>
      <c r="AY413" s="696"/>
      <c r="AZ413" s="696"/>
      <c r="BA413" s="696"/>
      <c r="BB413" s="696"/>
      <c r="BC413" s="696"/>
      <c r="BD413" s="696"/>
      <c r="BE413" s="696"/>
      <c r="BF413" s="696"/>
      <c r="BG413" s="696"/>
      <c r="BH413" s="696"/>
    </row>
    <row r="414" spans="1:60" s="44" customFormat="1">
      <c r="A414" s="700"/>
      <c r="B414" s="700"/>
      <c r="C414" s="696"/>
      <c r="D414" s="696"/>
      <c r="E414" s="696"/>
      <c r="F414" s="696"/>
      <c r="G414" s="696"/>
      <c r="H414" s="696"/>
      <c r="I414" s="847"/>
      <c r="J414" s="696"/>
      <c r="K414" s="696"/>
      <c r="L414" s="696"/>
      <c r="M414" s="696"/>
      <c r="N414" s="696"/>
      <c r="O414" s="696"/>
      <c r="P414" s="696"/>
      <c r="Q414" s="847"/>
      <c r="R414" s="696"/>
      <c r="S414" s="696"/>
      <c r="T414" s="696"/>
      <c r="U414" s="696"/>
      <c r="V414" s="696"/>
      <c r="W414" s="696"/>
      <c r="X414" s="696"/>
      <c r="Y414" s="847"/>
      <c r="Z414" s="696"/>
      <c r="AA414" s="696"/>
      <c r="AB414" s="696"/>
      <c r="AC414" s="696"/>
      <c r="AD414" s="696"/>
      <c r="AE414" s="696"/>
      <c r="AF414" s="696"/>
      <c r="AG414" s="847"/>
      <c r="AH414" s="696"/>
      <c r="AI414" s="696"/>
      <c r="AJ414" s="696"/>
      <c r="AK414" s="696"/>
      <c r="AL414" s="696"/>
      <c r="AM414" s="696"/>
      <c r="AN414" s="696"/>
      <c r="AO414" s="847"/>
      <c r="AP414" s="696"/>
      <c r="AQ414" s="696"/>
      <c r="AR414" s="696"/>
      <c r="AS414" s="696"/>
      <c r="AT414" s="696"/>
      <c r="AU414" s="696"/>
      <c r="AV414" s="696"/>
      <c r="AW414" s="696"/>
      <c r="AX414" s="696"/>
      <c r="AY414" s="696"/>
      <c r="AZ414" s="696"/>
      <c r="BA414" s="696"/>
      <c r="BB414" s="696"/>
      <c r="BC414" s="696"/>
      <c r="BD414" s="696"/>
      <c r="BE414" s="696"/>
      <c r="BF414" s="696"/>
      <c r="BG414" s="696"/>
      <c r="BH414" s="696"/>
    </row>
    <row r="415" spans="1:60" s="44" customFormat="1">
      <c r="A415" s="700"/>
      <c r="B415" s="700"/>
      <c r="C415" s="696"/>
      <c r="D415" s="696"/>
      <c r="E415" s="696"/>
      <c r="F415" s="696"/>
      <c r="G415" s="696"/>
      <c r="H415" s="696"/>
      <c r="I415" s="847"/>
      <c r="J415" s="696"/>
      <c r="K415" s="696"/>
      <c r="L415" s="696"/>
      <c r="M415" s="696"/>
      <c r="N415" s="696"/>
      <c r="O415" s="696"/>
      <c r="P415" s="696"/>
      <c r="Q415" s="847"/>
      <c r="R415" s="696"/>
      <c r="S415" s="696"/>
      <c r="T415" s="696"/>
      <c r="U415" s="696"/>
      <c r="V415" s="696"/>
      <c r="W415" s="696"/>
      <c r="X415" s="696"/>
      <c r="Y415" s="847"/>
      <c r="Z415" s="696"/>
      <c r="AA415" s="696"/>
      <c r="AB415" s="696"/>
      <c r="AC415" s="696"/>
      <c r="AD415" s="696"/>
      <c r="AE415" s="696"/>
      <c r="AF415" s="696"/>
      <c r="AG415" s="847"/>
      <c r="AH415" s="696"/>
      <c r="AI415" s="696"/>
      <c r="AJ415" s="696"/>
      <c r="AK415" s="696"/>
      <c r="AL415" s="696"/>
      <c r="AM415" s="696"/>
      <c r="AN415" s="696"/>
      <c r="AO415" s="847"/>
      <c r="AP415" s="696"/>
      <c r="AQ415" s="696"/>
      <c r="AR415" s="696"/>
      <c r="AS415" s="696"/>
      <c r="AT415" s="696"/>
      <c r="AU415" s="696"/>
      <c r="AV415" s="696"/>
      <c r="AW415" s="696"/>
      <c r="AX415" s="696"/>
      <c r="AY415" s="696"/>
      <c r="AZ415" s="696"/>
      <c r="BA415" s="696"/>
      <c r="BB415" s="696"/>
      <c r="BC415" s="696"/>
      <c r="BD415" s="696"/>
      <c r="BE415" s="696"/>
      <c r="BF415" s="696"/>
      <c r="BG415" s="696"/>
      <c r="BH415" s="696"/>
    </row>
    <row r="416" spans="1:60" s="44" customFormat="1">
      <c r="A416" s="700"/>
      <c r="B416" s="700"/>
      <c r="C416" s="696"/>
      <c r="D416" s="696"/>
      <c r="E416" s="696"/>
      <c r="F416" s="696"/>
      <c r="G416" s="696"/>
      <c r="H416" s="696"/>
      <c r="I416" s="847"/>
      <c r="J416" s="696"/>
      <c r="K416" s="696"/>
      <c r="L416" s="696"/>
      <c r="M416" s="696"/>
      <c r="N416" s="696"/>
      <c r="O416" s="696"/>
      <c r="P416" s="696"/>
      <c r="Q416" s="847"/>
      <c r="R416" s="696"/>
      <c r="S416" s="696"/>
      <c r="T416" s="696"/>
      <c r="U416" s="696"/>
      <c r="V416" s="696"/>
      <c r="W416" s="696"/>
      <c r="X416" s="696"/>
      <c r="Y416" s="847"/>
      <c r="Z416" s="696"/>
      <c r="AA416" s="696"/>
      <c r="AB416" s="696"/>
      <c r="AC416" s="696"/>
      <c r="AD416" s="696"/>
      <c r="AE416" s="696"/>
      <c r="AF416" s="696"/>
      <c r="AG416" s="847"/>
      <c r="AH416" s="696"/>
      <c r="AI416" s="696"/>
      <c r="AJ416" s="696"/>
      <c r="AK416" s="696"/>
      <c r="AL416" s="696"/>
      <c r="AM416" s="696"/>
      <c r="AN416" s="696"/>
      <c r="AO416" s="847"/>
      <c r="AP416" s="696"/>
      <c r="AQ416" s="696"/>
      <c r="AR416" s="696"/>
      <c r="AS416" s="696"/>
      <c r="AT416" s="696"/>
      <c r="AU416" s="696"/>
      <c r="AV416" s="696"/>
      <c r="AW416" s="696"/>
      <c r="AX416" s="696"/>
      <c r="AY416" s="696"/>
      <c r="AZ416" s="696"/>
      <c r="BA416" s="696"/>
      <c r="BB416" s="696"/>
      <c r="BC416" s="696"/>
      <c r="BD416" s="696"/>
      <c r="BE416" s="696"/>
      <c r="BF416" s="696"/>
      <c r="BG416" s="696"/>
      <c r="BH416" s="696"/>
    </row>
    <row r="417" spans="1:60" s="44" customFormat="1">
      <c r="A417" s="700"/>
      <c r="B417" s="700"/>
      <c r="C417" s="696"/>
      <c r="D417" s="696"/>
      <c r="E417" s="696"/>
      <c r="F417" s="696"/>
      <c r="G417" s="696"/>
      <c r="H417" s="696"/>
      <c r="I417" s="847"/>
      <c r="J417" s="696"/>
      <c r="K417" s="696"/>
      <c r="L417" s="696"/>
      <c r="M417" s="696"/>
      <c r="N417" s="696"/>
      <c r="O417" s="696"/>
      <c r="P417" s="696"/>
      <c r="Q417" s="847"/>
      <c r="R417" s="696"/>
      <c r="S417" s="696"/>
      <c r="T417" s="696"/>
      <c r="U417" s="696"/>
      <c r="V417" s="696"/>
      <c r="W417" s="696"/>
      <c r="X417" s="696"/>
      <c r="Y417" s="847"/>
      <c r="Z417" s="696"/>
      <c r="AA417" s="696"/>
      <c r="AB417" s="696"/>
      <c r="AC417" s="696"/>
      <c r="AD417" s="696"/>
      <c r="AE417" s="696"/>
      <c r="AF417" s="696"/>
      <c r="AG417" s="847"/>
      <c r="AH417" s="696"/>
      <c r="AI417" s="696"/>
      <c r="AJ417" s="696"/>
      <c r="AK417" s="696"/>
      <c r="AL417" s="696"/>
      <c r="AM417" s="696"/>
      <c r="AN417" s="696"/>
      <c r="AO417" s="847"/>
      <c r="AP417" s="696"/>
      <c r="AQ417" s="696"/>
      <c r="AR417" s="696"/>
      <c r="AS417" s="696"/>
      <c r="AT417" s="696"/>
      <c r="AU417" s="696"/>
      <c r="AV417" s="696"/>
      <c r="AW417" s="696"/>
      <c r="AX417" s="696"/>
      <c r="AY417" s="696"/>
      <c r="AZ417" s="696"/>
      <c r="BA417" s="696"/>
      <c r="BB417" s="696"/>
      <c r="BC417" s="696"/>
      <c r="BD417" s="696"/>
      <c r="BE417" s="696"/>
      <c r="BF417" s="696"/>
      <c r="BG417" s="696"/>
      <c r="BH417" s="696"/>
    </row>
    <row r="418" spans="1:60" s="44" customFormat="1">
      <c r="A418" s="700"/>
      <c r="B418" s="700"/>
      <c r="C418" s="696"/>
      <c r="D418" s="696"/>
      <c r="E418" s="696"/>
      <c r="F418" s="696"/>
      <c r="G418" s="696"/>
      <c r="H418" s="696"/>
      <c r="I418" s="847"/>
      <c r="J418" s="696"/>
      <c r="K418" s="696"/>
      <c r="L418" s="696"/>
      <c r="M418" s="696"/>
      <c r="N418" s="696"/>
      <c r="O418" s="696"/>
      <c r="P418" s="696"/>
      <c r="Q418" s="847"/>
      <c r="R418" s="696"/>
      <c r="S418" s="696"/>
      <c r="T418" s="696"/>
      <c r="U418" s="696"/>
      <c r="V418" s="696"/>
      <c r="W418" s="696"/>
      <c r="X418" s="696"/>
      <c r="Y418" s="847"/>
      <c r="Z418" s="696"/>
      <c r="AA418" s="696"/>
      <c r="AB418" s="696"/>
      <c r="AC418" s="696"/>
      <c r="AD418" s="696"/>
      <c r="AE418" s="696"/>
      <c r="AF418" s="696"/>
      <c r="AG418" s="847"/>
      <c r="AH418" s="696"/>
      <c r="AI418" s="696"/>
      <c r="AJ418" s="696"/>
      <c r="AK418" s="696"/>
      <c r="AL418" s="696"/>
      <c r="AM418" s="696"/>
      <c r="AN418" s="696"/>
      <c r="AO418" s="847"/>
      <c r="AP418" s="696"/>
      <c r="AQ418" s="696"/>
      <c r="AR418" s="696"/>
      <c r="AS418" s="696"/>
      <c r="AT418" s="696"/>
      <c r="AU418" s="696"/>
      <c r="AV418" s="696"/>
      <c r="AW418" s="696"/>
      <c r="AX418" s="696"/>
      <c r="AY418" s="696"/>
      <c r="AZ418" s="696"/>
      <c r="BA418" s="696"/>
      <c r="BB418" s="696"/>
      <c r="BC418" s="696"/>
      <c r="BD418" s="696"/>
      <c r="BE418" s="696"/>
      <c r="BF418" s="696"/>
      <c r="BG418" s="696"/>
      <c r="BH418" s="696"/>
    </row>
    <row r="419" spans="1:60" s="44" customFormat="1">
      <c r="A419" s="700"/>
      <c r="B419" s="700"/>
      <c r="C419" s="696"/>
      <c r="D419" s="696"/>
      <c r="E419" s="696"/>
      <c r="F419" s="696"/>
      <c r="G419" s="696"/>
      <c r="H419" s="696"/>
      <c r="I419" s="847"/>
      <c r="J419" s="696"/>
      <c r="K419" s="696"/>
      <c r="L419" s="696"/>
      <c r="M419" s="696"/>
      <c r="N419" s="696"/>
      <c r="O419" s="696"/>
      <c r="P419" s="696"/>
      <c r="Q419" s="847"/>
      <c r="R419" s="696"/>
      <c r="S419" s="696"/>
      <c r="T419" s="696"/>
      <c r="U419" s="696"/>
      <c r="V419" s="696"/>
      <c r="W419" s="696"/>
      <c r="X419" s="696"/>
      <c r="Y419" s="847"/>
      <c r="Z419" s="696"/>
      <c r="AA419" s="696"/>
      <c r="AB419" s="696"/>
      <c r="AC419" s="696"/>
      <c r="AD419" s="696"/>
      <c r="AE419" s="696"/>
      <c r="AF419" s="696"/>
      <c r="AG419" s="847"/>
      <c r="AH419" s="696"/>
      <c r="AI419" s="696"/>
      <c r="AJ419" s="696"/>
      <c r="AK419" s="696"/>
      <c r="AL419" s="696"/>
      <c r="AM419" s="696"/>
      <c r="AN419" s="696"/>
      <c r="AO419" s="847"/>
      <c r="AP419" s="696"/>
      <c r="AQ419" s="696"/>
      <c r="AR419" s="696"/>
      <c r="AS419" s="696"/>
      <c r="AT419" s="696"/>
      <c r="AU419" s="696"/>
      <c r="AV419" s="696"/>
      <c r="AW419" s="696"/>
      <c r="AX419" s="696"/>
      <c r="AY419" s="696"/>
      <c r="AZ419" s="696"/>
      <c r="BA419" s="696"/>
      <c r="BB419" s="696"/>
      <c r="BC419" s="696"/>
      <c r="BD419" s="696"/>
      <c r="BE419" s="696"/>
      <c r="BF419" s="696"/>
      <c r="BG419" s="696"/>
      <c r="BH419" s="696"/>
    </row>
    <row r="420" spans="1:60" s="44" customFormat="1">
      <c r="A420" s="700"/>
      <c r="B420" s="700"/>
      <c r="C420" s="696"/>
      <c r="D420" s="696"/>
      <c r="E420" s="696"/>
      <c r="F420" s="696"/>
      <c r="G420" s="696"/>
      <c r="H420" s="696"/>
      <c r="I420" s="847"/>
      <c r="J420" s="696"/>
      <c r="K420" s="696"/>
      <c r="L420" s="696"/>
      <c r="M420" s="696"/>
      <c r="N420" s="696"/>
      <c r="O420" s="696"/>
      <c r="P420" s="696"/>
      <c r="Q420" s="847"/>
      <c r="R420" s="696"/>
      <c r="S420" s="696"/>
      <c r="T420" s="696"/>
      <c r="U420" s="696"/>
      <c r="V420" s="696"/>
      <c r="W420" s="696"/>
      <c r="X420" s="696"/>
      <c r="Y420" s="847"/>
      <c r="Z420" s="696"/>
      <c r="AA420" s="696"/>
      <c r="AB420" s="696"/>
      <c r="AC420" s="696"/>
      <c r="AD420" s="696"/>
      <c r="AE420" s="696"/>
      <c r="AF420" s="696"/>
      <c r="AG420" s="847"/>
      <c r="AH420" s="696"/>
      <c r="AI420" s="696"/>
      <c r="AJ420" s="696"/>
      <c r="AK420" s="696"/>
      <c r="AL420" s="696"/>
      <c r="AM420" s="696"/>
      <c r="AN420" s="696"/>
      <c r="AO420" s="847"/>
      <c r="AP420" s="696"/>
      <c r="AQ420" s="696"/>
      <c r="AR420" s="696"/>
      <c r="AS420" s="696"/>
      <c r="AT420" s="696"/>
      <c r="AU420" s="696"/>
      <c r="AV420" s="696"/>
      <c r="AW420" s="696"/>
      <c r="AX420" s="696"/>
      <c r="AY420" s="696"/>
      <c r="AZ420" s="696"/>
      <c r="BA420" s="696"/>
      <c r="BB420" s="696"/>
      <c r="BC420" s="696"/>
      <c r="BD420" s="696"/>
      <c r="BE420" s="696"/>
      <c r="BF420" s="696"/>
      <c r="BG420" s="696"/>
      <c r="BH420" s="696"/>
    </row>
    <row r="421" spans="1:60" s="44" customFormat="1">
      <c r="A421" s="700"/>
      <c r="B421" s="700"/>
      <c r="C421" s="696"/>
      <c r="D421" s="696"/>
      <c r="E421" s="696"/>
      <c r="F421" s="696"/>
      <c r="G421" s="696"/>
      <c r="H421" s="696"/>
      <c r="I421" s="847"/>
      <c r="J421" s="696"/>
      <c r="K421" s="696"/>
      <c r="L421" s="696"/>
      <c r="M421" s="696"/>
      <c r="N421" s="696"/>
      <c r="O421" s="696"/>
      <c r="P421" s="696"/>
      <c r="Q421" s="847"/>
      <c r="R421" s="696"/>
      <c r="S421" s="696"/>
      <c r="T421" s="696"/>
      <c r="U421" s="696"/>
      <c r="V421" s="696"/>
      <c r="W421" s="696"/>
      <c r="X421" s="696"/>
      <c r="Y421" s="847"/>
      <c r="Z421" s="696"/>
      <c r="AA421" s="696"/>
      <c r="AB421" s="696"/>
      <c r="AC421" s="696"/>
      <c r="AD421" s="696"/>
      <c r="AE421" s="696"/>
      <c r="AF421" s="696"/>
      <c r="AG421" s="847"/>
      <c r="AH421" s="696"/>
      <c r="AI421" s="696"/>
      <c r="AJ421" s="696"/>
      <c r="AK421" s="696"/>
      <c r="AL421" s="696"/>
      <c r="AM421" s="696"/>
      <c r="AN421" s="696"/>
      <c r="AO421" s="847"/>
      <c r="AP421" s="696"/>
      <c r="AQ421" s="696"/>
      <c r="AR421" s="696"/>
      <c r="AS421" s="696"/>
      <c r="AT421" s="696"/>
      <c r="AU421" s="696"/>
      <c r="AV421" s="696"/>
      <c r="AW421" s="696"/>
      <c r="AX421" s="696"/>
      <c r="AY421" s="696"/>
      <c r="AZ421" s="696"/>
      <c r="BA421" s="696"/>
      <c r="BB421" s="696"/>
      <c r="BC421" s="696"/>
      <c r="BD421" s="696"/>
      <c r="BE421" s="696"/>
      <c r="BF421" s="696"/>
      <c r="BG421" s="696"/>
      <c r="BH421" s="696"/>
    </row>
    <row r="422" spans="1:60" s="44" customFormat="1">
      <c r="A422" s="700"/>
      <c r="B422" s="700"/>
      <c r="C422" s="696"/>
      <c r="D422" s="696"/>
      <c r="E422" s="696"/>
      <c r="F422" s="696"/>
      <c r="G422" s="696"/>
      <c r="H422" s="696"/>
      <c r="I422" s="847"/>
      <c r="J422" s="696"/>
      <c r="K422" s="696"/>
      <c r="L422" s="696"/>
      <c r="M422" s="696"/>
      <c r="N422" s="696"/>
      <c r="O422" s="696"/>
      <c r="P422" s="696"/>
      <c r="Q422" s="847"/>
      <c r="R422" s="696"/>
      <c r="S422" s="696"/>
      <c r="T422" s="696"/>
      <c r="U422" s="696"/>
      <c r="V422" s="696"/>
      <c r="W422" s="696"/>
      <c r="X422" s="696"/>
      <c r="Y422" s="847"/>
      <c r="Z422" s="696"/>
      <c r="AA422" s="696"/>
      <c r="AB422" s="696"/>
      <c r="AC422" s="696"/>
      <c r="AD422" s="696"/>
      <c r="AE422" s="696"/>
      <c r="AF422" s="696"/>
      <c r="AG422" s="847"/>
      <c r="AH422" s="696"/>
      <c r="AI422" s="696"/>
      <c r="AJ422" s="696"/>
      <c r="AK422" s="696"/>
      <c r="AL422" s="696"/>
      <c r="AM422" s="696"/>
      <c r="AN422" s="696"/>
      <c r="AO422" s="847"/>
      <c r="AP422" s="696"/>
      <c r="AQ422" s="696"/>
      <c r="AR422" s="696"/>
      <c r="AS422" s="696"/>
      <c r="AT422" s="696"/>
      <c r="AU422" s="696"/>
      <c r="AV422" s="696"/>
      <c r="AW422" s="696"/>
      <c r="AX422" s="696"/>
      <c r="AY422" s="696"/>
      <c r="AZ422" s="696"/>
      <c r="BA422" s="696"/>
      <c r="BB422" s="696"/>
      <c r="BC422" s="696"/>
      <c r="BD422" s="696"/>
      <c r="BE422" s="696"/>
      <c r="BF422" s="696"/>
      <c r="BG422" s="696"/>
      <c r="BH422" s="696"/>
    </row>
    <row r="423" spans="1:60" s="44" customFormat="1">
      <c r="A423" s="700"/>
      <c r="B423" s="700"/>
      <c r="C423" s="696"/>
      <c r="D423" s="696"/>
      <c r="E423" s="696"/>
      <c r="F423" s="696"/>
      <c r="G423" s="696"/>
      <c r="H423" s="696"/>
      <c r="I423" s="847"/>
      <c r="J423" s="696"/>
      <c r="K423" s="696"/>
      <c r="L423" s="696"/>
      <c r="M423" s="696"/>
      <c r="N423" s="696"/>
      <c r="O423" s="696"/>
      <c r="P423" s="696"/>
      <c r="Q423" s="847"/>
      <c r="R423" s="696"/>
      <c r="S423" s="696"/>
      <c r="T423" s="696"/>
      <c r="U423" s="696"/>
      <c r="V423" s="696"/>
      <c r="W423" s="696"/>
      <c r="X423" s="696"/>
      <c r="Y423" s="847"/>
      <c r="Z423" s="696"/>
      <c r="AA423" s="696"/>
      <c r="AB423" s="696"/>
      <c r="AC423" s="696"/>
      <c r="AD423" s="696"/>
      <c r="AE423" s="696"/>
      <c r="AF423" s="696"/>
      <c r="AG423" s="847"/>
      <c r="AH423" s="696"/>
      <c r="AI423" s="696"/>
      <c r="AJ423" s="696"/>
      <c r="AK423" s="696"/>
      <c r="AL423" s="696"/>
      <c r="AM423" s="696"/>
      <c r="AN423" s="696"/>
      <c r="AO423" s="847"/>
      <c r="AP423" s="696"/>
      <c r="AQ423" s="696"/>
      <c r="AR423" s="696"/>
      <c r="AS423" s="696"/>
      <c r="AT423" s="696"/>
      <c r="AU423" s="696"/>
      <c r="AV423" s="696"/>
      <c r="AW423" s="696"/>
      <c r="AX423" s="696"/>
      <c r="AY423" s="696"/>
      <c r="AZ423" s="696"/>
      <c r="BA423" s="696"/>
      <c r="BB423" s="696"/>
      <c r="BC423" s="696"/>
      <c r="BD423" s="696"/>
      <c r="BE423" s="696"/>
      <c r="BF423" s="696"/>
      <c r="BG423" s="696"/>
      <c r="BH423" s="696"/>
    </row>
    <row r="424" spans="1:60" s="44" customFormat="1">
      <c r="A424" s="700"/>
      <c r="B424" s="700"/>
      <c r="C424" s="696"/>
      <c r="D424" s="696"/>
      <c r="E424" s="696"/>
      <c r="F424" s="696"/>
      <c r="G424" s="696"/>
      <c r="H424" s="696"/>
      <c r="I424" s="847"/>
      <c r="J424" s="696"/>
      <c r="K424" s="696"/>
      <c r="L424" s="696"/>
      <c r="M424" s="696"/>
      <c r="N424" s="696"/>
      <c r="O424" s="696"/>
      <c r="P424" s="696"/>
      <c r="Q424" s="847"/>
      <c r="R424" s="696"/>
      <c r="S424" s="696"/>
      <c r="T424" s="696"/>
      <c r="U424" s="696"/>
      <c r="V424" s="696"/>
      <c r="W424" s="696"/>
      <c r="X424" s="696"/>
      <c r="Y424" s="847"/>
      <c r="Z424" s="696"/>
      <c r="AA424" s="696"/>
      <c r="AB424" s="696"/>
      <c r="AC424" s="696"/>
      <c r="AD424" s="696"/>
      <c r="AE424" s="696"/>
      <c r="AF424" s="696"/>
      <c r="AG424" s="847"/>
      <c r="AH424" s="696"/>
      <c r="AI424" s="696"/>
      <c r="AJ424" s="696"/>
      <c r="AK424" s="696"/>
      <c r="AL424" s="696"/>
      <c r="AM424" s="696"/>
      <c r="AN424" s="696"/>
      <c r="AO424" s="847"/>
      <c r="AP424" s="696"/>
      <c r="AQ424" s="696"/>
      <c r="AR424" s="696"/>
      <c r="AS424" s="696"/>
      <c r="AT424" s="696"/>
      <c r="AU424" s="696"/>
      <c r="AV424" s="696"/>
      <c r="AW424" s="696"/>
      <c r="AX424" s="696"/>
      <c r="AY424" s="696"/>
      <c r="AZ424" s="696"/>
      <c r="BA424" s="696"/>
      <c r="BB424" s="696"/>
      <c r="BC424" s="696"/>
      <c r="BD424" s="696"/>
      <c r="BE424" s="696"/>
      <c r="BF424" s="696"/>
      <c r="BG424" s="696"/>
      <c r="BH424" s="696"/>
    </row>
    <row r="425" spans="1:60" s="44" customFormat="1">
      <c r="A425" s="700"/>
      <c r="B425" s="700"/>
      <c r="C425" s="696"/>
      <c r="D425" s="696"/>
      <c r="E425" s="696"/>
      <c r="F425" s="696"/>
      <c r="G425" s="696"/>
      <c r="H425" s="696"/>
      <c r="I425" s="847"/>
      <c r="J425" s="696"/>
      <c r="K425" s="696"/>
      <c r="L425" s="696"/>
      <c r="M425" s="696"/>
      <c r="N425" s="696"/>
      <c r="O425" s="696"/>
      <c r="P425" s="696"/>
      <c r="Q425" s="847"/>
      <c r="R425" s="696"/>
      <c r="S425" s="696"/>
      <c r="T425" s="696"/>
      <c r="U425" s="696"/>
      <c r="V425" s="696"/>
      <c r="W425" s="696"/>
      <c r="X425" s="696"/>
      <c r="Y425" s="847"/>
      <c r="Z425" s="696"/>
      <c r="AA425" s="696"/>
      <c r="AB425" s="696"/>
      <c r="AC425" s="696"/>
      <c r="AD425" s="696"/>
      <c r="AE425" s="696"/>
      <c r="AF425" s="696"/>
      <c r="AG425" s="847"/>
      <c r="AH425" s="696"/>
      <c r="AI425" s="696"/>
      <c r="AJ425" s="696"/>
      <c r="AK425" s="696"/>
      <c r="AL425" s="696"/>
      <c r="AM425" s="696"/>
      <c r="AN425" s="696"/>
      <c r="AO425" s="847"/>
      <c r="AP425" s="696"/>
      <c r="AQ425" s="696"/>
      <c r="AR425" s="696"/>
      <c r="AS425" s="696"/>
      <c r="AT425" s="696"/>
      <c r="AU425" s="696"/>
      <c r="AV425" s="696"/>
      <c r="AW425" s="696"/>
      <c r="AX425" s="696"/>
      <c r="AY425" s="696"/>
      <c r="AZ425" s="696"/>
      <c r="BA425" s="696"/>
      <c r="BB425" s="696"/>
      <c r="BC425" s="696"/>
      <c r="BD425" s="696"/>
      <c r="BE425" s="696"/>
      <c r="BF425" s="696"/>
      <c r="BG425" s="696"/>
      <c r="BH425" s="696"/>
    </row>
    <row r="426" spans="1:60" s="44" customFormat="1">
      <c r="A426" s="700"/>
      <c r="B426" s="700"/>
      <c r="C426" s="696"/>
      <c r="D426" s="696"/>
      <c r="E426" s="696"/>
      <c r="F426" s="696"/>
      <c r="G426" s="696"/>
      <c r="H426" s="696"/>
      <c r="I426" s="847"/>
      <c r="J426" s="696"/>
      <c r="K426" s="696"/>
      <c r="L426" s="696"/>
      <c r="M426" s="696"/>
      <c r="N426" s="696"/>
      <c r="O426" s="696"/>
      <c r="P426" s="696"/>
      <c r="Q426" s="847"/>
      <c r="R426" s="696"/>
      <c r="S426" s="696"/>
      <c r="T426" s="696"/>
      <c r="U426" s="696"/>
      <c r="V426" s="696"/>
      <c r="W426" s="696"/>
      <c r="X426" s="696"/>
      <c r="Y426" s="847"/>
      <c r="Z426" s="696"/>
      <c r="AA426" s="696"/>
      <c r="AB426" s="696"/>
      <c r="AC426" s="696"/>
      <c r="AD426" s="696"/>
      <c r="AE426" s="696"/>
      <c r="AF426" s="696"/>
      <c r="AG426" s="847"/>
      <c r="AH426" s="696"/>
      <c r="AI426" s="696"/>
      <c r="AJ426" s="696"/>
      <c r="AK426" s="696"/>
      <c r="AL426" s="696"/>
      <c r="AM426" s="696"/>
      <c r="AN426" s="696"/>
      <c r="AO426" s="847"/>
      <c r="AP426" s="696"/>
      <c r="AQ426" s="696"/>
      <c r="AR426" s="696"/>
      <c r="AS426" s="696"/>
      <c r="AT426" s="696"/>
      <c r="AU426" s="696"/>
      <c r="AV426" s="696"/>
      <c r="AW426" s="696"/>
      <c r="AX426" s="696"/>
      <c r="AY426" s="696"/>
      <c r="AZ426" s="696"/>
      <c r="BA426" s="696"/>
      <c r="BB426" s="696"/>
      <c r="BC426" s="696"/>
      <c r="BD426" s="696"/>
      <c r="BE426" s="696"/>
      <c r="BF426" s="696"/>
      <c r="BG426" s="696"/>
      <c r="BH426" s="696"/>
    </row>
    <row r="427" spans="1:60" s="44" customFormat="1">
      <c r="A427" s="700"/>
      <c r="B427" s="700"/>
      <c r="C427" s="696"/>
      <c r="D427" s="696"/>
      <c r="E427" s="696"/>
      <c r="F427" s="696"/>
      <c r="G427" s="696"/>
      <c r="H427" s="696"/>
      <c r="I427" s="847"/>
      <c r="J427" s="696"/>
      <c r="K427" s="696"/>
      <c r="L427" s="696"/>
      <c r="M427" s="696"/>
      <c r="N427" s="696"/>
      <c r="O427" s="696"/>
      <c r="P427" s="696"/>
      <c r="Q427" s="847"/>
      <c r="R427" s="696"/>
      <c r="S427" s="696"/>
      <c r="T427" s="696"/>
      <c r="U427" s="696"/>
      <c r="V427" s="696"/>
      <c r="W427" s="696"/>
      <c r="X427" s="696"/>
      <c r="Y427" s="847"/>
      <c r="Z427" s="696"/>
      <c r="AA427" s="696"/>
      <c r="AB427" s="696"/>
      <c r="AC427" s="696"/>
      <c r="AD427" s="696"/>
      <c r="AE427" s="696"/>
      <c r="AF427" s="696"/>
      <c r="AG427" s="847"/>
      <c r="AH427" s="696"/>
      <c r="AI427" s="696"/>
      <c r="AJ427" s="696"/>
      <c r="AK427" s="696"/>
      <c r="AL427" s="696"/>
      <c r="AM427" s="696"/>
      <c r="AN427" s="696"/>
      <c r="AO427" s="847"/>
      <c r="AP427" s="696"/>
      <c r="AQ427" s="696"/>
      <c r="AR427" s="696"/>
      <c r="AS427" s="696"/>
      <c r="AT427" s="696"/>
      <c r="AU427" s="696"/>
      <c r="AV427" s="696"/>
      <c r="AW427" s="696"/>
      <c r="AX427" s="696"/>
      <c r="AY427" s="696"/>
      <c r="AZ427" s="696"/>
      <c r="BA427" s="696"/>
      <c r="BB427" s="696"/>
      <c r="BC427" s="696"/>
      <c r="BD427" s="696"/>
      <c r="BE427" s="696"/>
      <c r="BF427" s="696"/>
      <c r="BG427" s="696"/>
      <c r="BH427" s="696"/>
    </row>
    <row r="428" spans="1:60" s="44" customFormat="1">
      <c r="A428" s="700"/>
      <c r="B428" s="700"/>
      <c r="C428" s="696"/>
      <c r="D428" s="696"/>
      <c r="E428" s="696"/>
      <c r="F428" s="696"/>
      <c r="G428" s="696"/>
      <c r="H428" s="696"/>
      <c r="I428" s="847"/>
      <c r="J428" s="696"/>
      <c r="K428" s="696"/>
      <c r="L428" s="696"/>
      <c r="M428" s="696"/>
      <c r="N428" s="696"/>
      <c r="O428" s="696"/>
      <c r="P428" s="696"/>
      <c r="Q428" s="847"/>
      <c r="R428" s="696"/>
      <c r="S428" s="696"/>
      <c r="T428" s="696"/>
      <c r="U428" s="696"/>
      <c r="V428" s="696"/>
      <c r="W428" s="696"/>
      <c r="X428" s="696"/>
      <c r="Y428" s="847"/>
      <c r="Z428" s="696"/>
      <c r="AA428" s="696"/>
      <c r="AB428" s="696"/>
      <c r="AC428" s="696"/>
      <c r="AD428" s="696"/>
      <c r="AE428" s="696"/>
      <c r="AF428" s="696"/>
      <c r="AG428" s="847"/>
      <c r="AH428" s="696"/>
      <c r="AI428" s="696"/>
      <c r="AJ428" s="696"/>
      <c r="AK428" s="696"/>
      <c r="AL428" s="696"/>
      <c r="AM428" s="696"/>
      <c r="AN428" s="696"/>
      <c r="AO428" s="847"/>
      <c r="AP428" s="696"/>
      <c r="AQ428" s="696"/>
      <c r="AR428" s="696"/>
      <c r="AS428" s="696"/>
      <c r="AT428" s="696"/>
      <c r="AU428" s="696"/>
      <c r="AV428" s="696"/>
      <c r="AW428" s="696"/>
      <c r="AX428" s="696"/>
      <c r="AY428" s="696"/>
      <c r="AZ428" s="696"/>
      <c r="BA428" s="696"/>
      <c r="BB428" s="696"/>
      <c r="BC428" s="696"/>
      <c r="BD428" s="696"/>
      <c r="BE428" s="696"/>
      <c r="BF428" s="696"/>
      <c r="BG428" s="696"/>
      <c r="BH428" s="696"/>
    </row>
    <row r="429" spans="1:60" s="44" customFormat="1">
      <c r="A429" s="700"/>
      <c r="B429" s="700"/>
      <c r="C429" s="696"/>
      <c r="D429" s="696"/>
      <c r="E429" s="696"/>
      <c r="F429" s="696"/>
      <c r="G429" s="696"/>
      <c r="H429" s="696"/>
      <c r="I429" s="847"/>
      <c r="J429" s="696"/>
      <c r="K429" s="696"/>
      <c r="L429" s="696"/>
      <c r="M429" s="696"/>
      <c r="N429" s="696"/>
      <c r="O429" s="696"/>
      <c r="P429" s="696"/>
      <c r="Q429" s="847"/>
      <c r="R429" s="696"/>
      <c r="S429" s="696"/>
      <c r="T429" s="696"/>
      <c r="U429" s="696"/>
      <c r="V429" s="696"/>
      <c r="W429" s="696"/>
      <c r="X429" s="696"/>
      <c r="Y429" s="847"/>
      <c r="Z429" s="696"/>
      <c r="AA429" s="696"/>
      <c r="AB429" s="696"/>
      <c r="AC429" s="696"/>
      <c r="AD429" s="696"/>
      <c r="AE429" s="696"/>
      <c r="AF429" s="696"/>
      <c r="AG429" s="847"/>
      <c r="AH429" s="696"/>
      <c r="AI429" s="696"/>
      <c r="AJ429" s="696"/>
      <c r="AK429" s="696"/>
      <c r="AL429" s="696"/>
      <c r="AM429" s="696"/>
      <c r="AN429" s="696"/>
      <c r="AO429" s="847"/>
      <c r="AP429" s="696"/>
      <c r="AQ429" s="696"/>
      <c r="AR429" s="696"/>
      <c r="AS429" s="696"/>
      <c r="AT429" s="696"/>
      <c r="AU429" s="696"/>
      <c r="AV429" s="696"/>
      <c r="AW429" s="696"/>
      <c r="AX429" s="696"/>
      <c r="AY429" s="696"/>
      <c r="AZ429" s="696"/>
      <c r="BA429" s="696"/>
      <c r="BB429" s="696"/>
      <c r="BC429" s="696"/>
      <c r="BD429" s="696"/>
      <c r="BE429" s="696"/>
      <c r="BF429" s="696"/>
      <c r="BG429" s="696"/>
      <c r="BH429" s="696"/>
    </row>
    <row r="430" spans="1:60" s="44" customFormat="1">
      <c r="A430" s="700"/>
      <c r="B430" s="700"/>
      <c r="C430" s="696"/>
      <c r="D430" s="696"/>
      <c r="E430" s="696"/>
      <c r="F430" s="696"/>
      <c r="G430" s="696"/>
      <c r="H430" s="696"/>
      <c r="I430" s="847"/>
      <c r="J430" s="696"/>
      <c r="K430" s="696"/>
      <c r="L430" s="696"/>
      <c r="M430" s="696"/>
      <c r="N430" s="696"/>
      <c r="O430" s="696"/>
      <c r="P430" s="696"/>
      <c r="Q430" s="847"/>
      <c r="R430" s="696"/>
      <c r="S430" s="696"/>
      <c r="T430" s="696"/>
      <c r="U430" s="696"/>
      <c r="V430" s="696"/>
      <c r="W430" s="696"/>
      <c r="X430" s="696"/>
      <c r="Y430" s="847"/>
      <c r="Z430" s="696"/>
      <c r="AA430" s="696"/>
      <c r="AB430" s="696"/>
      <c r="AC430" s="696"/>
      <c r="AD430" s="696"/>
      <c r="AE430" s="696"/>
      <c r="AF430" s="696"/>
      <c r="AG430" s="847"/>
      <c r="AH430" s="696"/>
      <c r="AI430" s="696"/>
      <c r="AJ430" s="696"/>
      <c r="AK430" s="696"/>
      <c r="AL430" s="696"/>
      <c r="AM430" s="696"/>
      <c r="AN430" s="696"/>
      <c r="AO430" s="847"/>
      <c r="AP430" s="696"/>
      <c r="AQ430" s="696"/>
      <c r="AR430" s="696"/>
      <c r="AS430" s="696"/>
      <c r="AT430" s="696"/>
      <c r="AU430" s="696"/>
      <c r="AV430" s="696"/>
      <c r="AW430" s="696"/>
      <c r="AX430" s="696"/>
      <c r="AY430" s="696"/>
      <c r="AZ430" s="696"/>
      <c r="BA430" s="696"/>
      <c r="BB430" s="696"/>
      <c r="BC430" s="696"/>
      <c r="BD430" s="696"/>
      <c r="BE430" s="696"/>
      <c r="BF430" s="696"/>
      <c r="BG430" s="696"/>
      <c r="BH430" s="696"/>
    </row>
    <row r="431" spans="1:60" s="44" customFormat="1">
      <c r="A431" s="700"/>
      <c r="B431" s="700"/>
      <c r="C431" s="696"/>
      <c r="D431" s="696"/>
      <c r="E431" s="696"/>
      <c r="F431" s="696"/>
      <c r="G431" s="696"/>
      <c r="H431" s="696"/>
      <c r="I431" s="847"/>
      <c r="J431" s="696"/>
      <c r="K431" s="696"/>
      <c r="L431" s="696"/>
      <c r="M431" s="696"/>
      <c r="N431" s="696"/>
      <c r="O431" s="696"/>
      <c r="P431" s="696"/>
      <c r="Q431" s="847"/>
      <c r="R431" s="696"/>
      <c r="S431" s="696"/>
      <c r="T431" s="696"/>
      <c r="U431" s="696"/>
      <c r="V431" s="696"/>
      <c r="W431" s="696"/>
      <c r="X431" s="696"/>
      <c r="Y431" s="847"/>
      <c r="Z431" s="696"/>
      <c r="AA431" s="696"/>
      <c r="AB431" s="696"/>
      <c r="AC431" s="696"/>
      <c r="AD431" s="696"/>
      <c r="AE431" s="696"/>
      <c r="AF431" s="696"/>
      <c r="AG431" s="847"/>
      <c r="AH431" s="696"/>
      <c r="AI431" s="696"/>
      <c r="AJ431" s="696"/>
      <c r="AK431" s="696"/>
      <c r="AL431" s="696"/>
      <c r="AM431" s="696"/>
      <c r="AN431" s="696"/>
      <c r="AO431" s="847"/>
      <c r="AP431" s="696"/>
      <c r="AQ431" s="696"/>
      <c r="AR431" s="696"/>
      <c r="AS431" s="696"/>
      <c r="AT431" s="696"/>
      <c r="AU431" s="696"/>
      <c r="AV431" s="696"/>
      <c r="AW431" s="696"/>
      <c r="AX431" s="696"/>
      <c r="AY431" s="696"/>
      <c r="AZ431" s="696"/>
      <c r="BA431" s="696"/>
      <c r="BB431" s="696"/>
      <c r="BC431" s="696"/>
      <c r="BD431" s="696"/>
      <c r="BE431" s="696"/>
      <c r="BF431" s="696"/>
      <c r="BG431" s="696"/>
      <c r="BH431" s="696"/>
    </row>
    <row r="432" spans="1:60" s="44" customFormat="1">
      <c r="A432" s="700"/>
      <c r="B432" s="700"/>
      <c r="C432" s="696"/>
      <c r="D432" s="696"/>
      <c r="E432" s="696"/>
      <c r="F432" s="696"/>
      <c r="G432" s="696"/>
      <c r="H432" s="696"/>
      <c r="I432" s="847"/>
      <c r="J432" s="696"/>
      <c r="K432" s="696"/>
      <c r="L432" s="696"/>
      <c r="M432" s="696"/>
      <c r="N432" s="696"/>
      <c r="O432" s="696"/>
      <c r="P432" s="696"/>
      <c r="Q432" s="847"/>
      <c r="R432" s="696"/>
      <c r="S432" s="696"/>
      <c r="T432" s="696"/>
      <c r="U432" s="696"/>
      <c r="V432" s="696"/>
      <c r="W432" s="696"/>
      <c r="X432" s="696"/>
      <c r="Y432" s="847"/>
      <c r="Z432" s="696"/>
      <c r="AA432" s="696"/>
      <c r="AB432" s="696"/>
      <c r="AC432" s="696"/>
      <c r="AD432" s="696"/>
      <c r="AE432" s="696"/>
      <c r="AF432" s="696"/>
      <c r="AG432" s="847"/>
      <c r="AH432" s="696"/>
      <c r="AI432" s="696"/>
      <c r="AJ432" s="696"/>
      <c r="AK432" s="696"/>
      <c r="AL432" s="696"/>
      <c r="AM432" s="696"/>
      <c r="AN432" s="696"/>
      <c r="AO432" s="847"/>
      <c r="AP432" s="696"/>
      <c r="AQ432" s="696"/>
      <c r="AR432" s="696"/>
      <c r="AS432" s="696"/>
      <c r="AT432" s="696"/>
      <c r="AU432" s="696"/>
      <c r="AV432" s="696"/>
      <c r="AW432" s="696"/>
      <c r="AX432" s="696"/>
      <c r="AY432" s="696"/>
      <c r="AZ432" s="696"/>
      <c r="BA432" s="696"/>
      <c r="BB432" s="696"/>
      <c r="BC432" s="696"/>
      <c r="BD432" s="696"/>
      <c r="BE432" s="696"/>
      <c r="BF432" s="696"/>
      <c r="BG432" s="696"/>
      <c r="BH432" s="696"/>
    </row>
    <row r="433" spans="1:60" s="44" customFormat="1">
      <c r="A433" s="700"/>
      <c r="B433" s="700"/>
      <c r="C433" s="696"/>
      <c r="D433" s="696"/>
      <c r="E433" s="696"/>
      <c r="F433" s="696"/>
      <c r="G433" s="696"/>
      <c r="H433" s="696"/>
      <c r="I433" s="847"/>
      <c r="J433" s="696"/>
      <c r="K433" s="696"/>
      <c r="L433" s="696"/>
      <c r="M433" s="696"/>
      <c r="N433" s="696"/>
      <c r="O433" s="696"/>
      <c r="P433" s="696"/>
      <c r="Q433" s="847"/>
      <c r="R433" s="696"/>
      <c r="S433" s="696"/>
      <c r="T433" s="696"/>
      <c r="U433" s="696"/>
      <c r="V433" s="696"/>
      <c r="W433" s="696"/>
      <c r="X433" s="696"/>
      <c r="Y433" s="847"/>
      <c r="Z433" s="696"/>
      <c r="AA433" s="696"/>
      <c r="AB433" s="696"/>
      <c r="AC433" s="696"/>
      <c r="AD433" s="696"/>
      <c r="AE433" s="696"/>
      <c r="AF433" s="696"/>
      <c r="AG433" s="847"/>
      <c r="AH433" s="696"/>
      <c r="AI433" s="696"/>
      <c r="AJ433" s="696"/>
      <c r="AK433" s="696"/>
      <c r="AL433" s="696"/>
      <c r="AM433" s="696"/>
      <c r="AN433" s="696"/>
      <c r="AO433" s="847"/>
      <c r="AP433" s="696"/>
      <c r="AQ433" s="696"/>
      <c r="AR433" s="696"/>
      <c r="AS433" s="696"/>
      <c r="AT433" s="696"/>
      <c r="AU433" s="696"/>
      <c r="AV433" s="696"/>
      <c r="AW433" s="696"/>
      <c r="AX433" s="696"/>
      <c r="AY433" s="696"/>
      <c r="AZ433" s="696"/>
      <c r="BA433" s="696"/>
      <c r="BB433" s="696"/>
      <c r="BC433" s="696"/>
      <c r="BD433" s="696"/>
      <c r="BE433" s="696"/>
      <c r="BF433" s="696"/>
      <c r="BG433" s="696"/>
      <c r="BH433" s="696"/>
    </row>
    <row r="434" spans="1:60" s="44" customFormat="1">
      <c r="A434" s="700"/>
      <c r="B434" s="700"/>
      <c r="C434" s="696"/>
      <c r="D434" s="696"/>
      <c r="E434" s="696"/>
      <c r="F434" s="696"/>
      <c r="G434" s="696"/>
      <c r="H434" s="696"/>
      <c r="I434" s="847"/>
      <c r="J434" s="696"/>
      <c r="K434" s="696"/>
      <c r="L434" s="696"/>
      <c r="M434" s="696"/>
      <c r="N434" s="696"/>
      <c r="O434" s="696"/>
      <c r="P434" s="696"/>
      <c r="Q434" s="847"/>
      <c r="R434" s="696"/>
      <c r="S434" s="696"/>
      <c r="T434" s="696"/>
      <c r="U434" s="696"/>
      <c r="V434" s="696"/>
      <c r="W434" s="696"/>
      <c r="X434" s="696"/>
      <c r="Y434" s="847"/>
      <c r="Z434" s="696"/>
      <c r="AA434" s="696"/>
      <c r="AB434" s="696"/>
      <c r="AC434" s="696"/>
      <c r="AD434" s="696"/>
      <c r="AE434" s="696"/>
      <c r="AF434" s="696"/>
      <c r="AG434" s="847"/>
      <c r="AH434" s="696"/>
      <c r="AI434" s="696"/>
      <c r="AJ434" s="696"/>
      <c r="AK434" s="696"/>
      <c r="AL434" s="696"/>
      <c r="AM434" s="696"/>
      <c r="AN434" s="696"/>
      <c r="AO434" s="847"/>
      <c r="AP434" s="696"/>
      <c r="AQ434" s="696"/>
      <c r="AR434" s="696"/>
      <c r="AS434" s="696"/>
      <c r="AT434" s="696"/>
      <c r="AU434" s="696"/>
      <c r="AV434" s="696"/>
      <c r="AW434" s="696"/>
      <c r="AX434" s="696"/>
      <c r="AY434" s="696"/>
      <c r="AZ434" s="696"/>
      <c r="BA434" s="696"/>
      <c r="BB434" s="696"/>
      <c r="BC434" s="696"/>
      <c r="BD434" s="696"/>
      <c r="BE434" s="696"/>
      <c r="BF434" s="696"/>
      <c r="BG434" s="696"/>
      <c r="BH434" s="696"/>
    </row>
    <row r="435" spans="1:60" s="44" customFormat="1">
      <c r="A435" s="700"/>
      <c r="B435" s="700"/>
      <c r="C435" s="696"/>
      <c r="D435" s="696"/>
      <c r="E435" s="696"/>
      <c r="F435" s="696"/>
      <c r="G435" s="696"/>
      <c r="H435" s="696"/>
      <c r="I435" s="847"/>
      <c r="J435" s="696"/>
      <c r="K435" s="696"/>
      <c r="L435" s="696"/>
      <c r="M435" s="696"/>
      <c r="N435" s="696"/>
      <c r="O435" s="696"/>
      <c r="P435" s="696"/>
      <c r="Q435" s="847"/>
      <c r="R435" s="696"/>
      <c r="S435" s="696"/>
      <c r="T435" s="696"/>
      <c r="U435" s="696"/>
      <c r="V435" s="696"/>
      <c r="W435" s="696"/>
      <c r="X435" s="696"/>
      <c r="Y435" s="847"/>
      <c r="Z435" s="696"/>
      <c r="AA435" s="696"/>
      <c r="AB435" s="696"/>
      <c r="AC435" s="696"/>
      <c r="AD435" s="696"/>
      <c r="AE435" s="696"/>
      <c r="AF435" s="696"/>
      <c r="AG435" s="847"/>
      <c r="AH435" s="696"/>
      <c r="AI435" s="696"/>
      <c r="AJ435" s="696"/>
      <c r="AK435" s="696"/>
      <c r="AL435" s="696"/>
      <c r="AM435" s="696"/>
      <c r="AN435" s="696"/>
      <c r="AO435" s="847"/>
      <c r="AP435" s="696"/>
      <c r="AQ435" s="696"/>
      <c r="AR435" s="696"/>
      <c r="AS435" s="696"/>
      <c r="AT435" s="696"/>
      <c r="AU435" s="696"/>
      <c r="AV435" s="696"/>
      <c r="AW435" s="696"/>
      <c r="AX435" s="696"/>
      <c r="AY435" s="696"/>
      <c r="AZ435" s="696"/>
      <c r="BA435" s="696"/>
      <c r="BB435" s="696"/>
      <c r="BC435" s="696"/>
      <c r="BD435" s="696"/>
      <c r="BE435" s="696"/>
      <c r="BF435" s="696"/>
      <c r="BG435" s="696"/>
      <c r="BH435" s="696"/>
    </row>
    <row r="436" spans="1:60" s="44" customFormat="1">
      <c r="A436" s="700"/>
      <c r="B436" s="700"/>
      <c r="C436" s="696"/>
      <c r="D436" s="696"/>
      <c r="E436" s="696"/>
      <c r="F436" s="696"/>
      <c r="G436" s="696"/>
      <c r="H436" s="696"/>
      <c r="I436" s="847"/>
      <c r="J436" s="696"/>
      <c r="K436" s="696"/>
      <c r="L436" s="696"/>
      <c r="M436" s="696"/>
      <c r="N436" s="696"/>
      <c r="O436" s="696"/>
      <c r="P436" s="696"/>
      <c r="Q436" s="847"/>
      <c r="R436" s="696"/>
      <c r="S436" s="696"/>
      <c r="T436" s="696"/>
      <c r="U436" s="696"/>
      <c r="V436" s="696"/>
      <c r="W436" s="696"/>
      <c r="X436" s="696"/>
      <c r="Y436" s="847"/>
      <c r="Z436" s="696"/>
      <c r="AA436" s="696"/>
      <c r="AB436" s="696"/>
      <c r="AC436" s="696"/>
      <c r="AD436" s="696"/>
      <c r="AE436" s="696"/>
      <c r="AF436" s="696"/>
      <c r="AG436" s="847"/>
      <c r="AH436" s="696"/>
      <c r="AI436" s="696"/>
      <c r="AJ436" s="696"/>
      <c r="AK436" s="696"/>
      <c r="AL436" s="696"/>
      <c r="AM436" s="696"/>
      <c r="AN436" s="696"/>
      <c r="AO436" s="847"/>
      <c r="AP436" s="696"/>
      <c r="AQ436" s="696"/>
      <c r="AR436" s="696"/>
      <c r="AS436" s="696"/>
      <c r="AT436" s="696"/>
      <c r="AU436" s="696"/>
      <c r="AV436" s="696"/>
      <c r="AW436" s="696"/>
      <c r="AX436" s="696"/>
      <c r="AY436" s="696"/>
      <c r="AZ436" s="696"/>
      <c r="BA436" s="696"/>
      <c r="BB436" s="696"/>
      <c r="BC436" s="696"/>
      <c r="BD436" s="696"/>
      <c r="BE436" s="696"/>
      <c r="BF436" s="696"/>
      <c r="BG436" s="696"/>
      <c r="BH436" s="696"/>
    </row>
    <row r="437" spans="1:60" s="44" customFormat="1">
      <c r="A437" s="700"/>
      <c r="B437" s="700"/>
      <c r="C437" s="696"/>
      <c r="D437" s="696"/>
      <c r="E437" s="696"/>
      <c r="F437" s="696"/>
      <c r="G437" s="696"/>
      <c r="H437" s="696"/>
      <c r="I437" s="847"/>
      <c r="J437" s="696"/>
      <c r="K437" s="696"/>
      <c r="L437" s="696"/>
      <c r="M437" s="696"/>
      <c r="N437" s="696"/>
      <c r="O437" s="696"/>
      <c r="P437" s="696"/>
      <c r="Q437" s="847"/>
      <c r="R437" s="696"/>
      <c r="S437" s="696"/>
      <c r="T437" s="696"/>
      <c r="U437" s="696"/>
      <c r="V437" s="696"/>
      <c r="W437" s="696"/>
      <c r="X437" s="696"/>
      <c r="Y437" s="847"/>
      <c r="Z437" s="696"/>
      <c r="AA437" s="696"/>
      <c r="AB437" s="696"/>
      <c r="AC437" s="696"/>
      <c r="AD437" s="696"/>
      <c r="AE437" s="696"/>
      <c r="AF437" s="696"/>
      <c r="AG437" s="847"/>
      <c r="AH437" s="696"/>
      <c r="AI437" s="696"/>
      <c r="AJ437" s="696"/>
      <c r="AK437" s="696"/>
      <c r="AL437" s="696"/>
      <c r="AM437" s="696"/>
      <c r="AN437" s="696"/>
      <c r="AO437" s="847"/>
      <c r="AP437" s="696"/>
      <c r="AQ437" s="696"/>
      <c r="AR437" s="696"/>
      <c r="AS437" s="696"/>
      <c r="AT437" s="696"/>
      <c r="AU437" s="696"/>
      <c r="AV437" s="696"/>
      <c r="AW437" s="696"/>
      <c r="AX437" s="696"/>
      <c r="AY437" s="696"/>
      <c r="AZ437" s="696"/>
      <c r="BA437" s="696"/>
      <c r="BB437" s="696"/>
      <c r="BC437" s="696"/>
      <c r="BD437" s="696"/>
      <c r="BE437" s="696"/>
      <c r="BF437" s="696"/>
      <c r="BG437" s="696"/>
      <c r="BH437" s="696"/>
    </row>
    <row r="438" spans="1:60" s="44" customFormat="1">
      <c r="A438" s="700"/>
      <c r="B438" s="700"/>
      <c r="C438" s="696"/>
      <c r="D438" s="696"/>
      <c r="E438" s="696"/>
      <c r="F438" s="696"/>
      <c r="G438" s="696"/>
      <c r="H438" s="696"/>
      <c r="I438" s="847"/>
      <c r="J438" s="696"/>
      <c r="K438" s="696"/>
      <c r="L438" s="696"/>
      <c r="M438" s="696"/>
      <c r="N438" s="696"/>
      <c r="O438" s="696"/>
      <c r="P438" s="696"/>
      <c r="Q438" s="847"/>
      <c r="R438" s="696"/>
      <c r="S438" s="696"/>
      <c r="T438" s="696"/>
      <c r="U438" s="696"/>
      <c r="V438" s="696"/>
      <c r="W438" s="696"/>
      <c r="X438" s="696"/>
      <c r="Y438" s="847"/>
      <c r="Z438" s="696"/>
      <c r="AA438" s="696"/>
      <c r="AB438" s="696"/>
      <c r="AC438" s="696"/>
      <c r="AD438" s="696"/>
      <c r="AE438" s="696"/>
      <c r="AF438" s="696"/>
      <c r="AG438" s="847"/>
      <c r="AH438" s="696"/>
      <c r="AI438" s="696"/>
      <c r="AJ438" s="696"/>
      <c r="AK438" s="696"/>
      <c r="AL438" s="696"/>
      <c r="AM438" s="696"/>
      <c r="AN438" s="696"/>
      <c r="AO438" s="847"/>
      <c r="AP438" s="696"/>
      <c r="AQ438" s="696"/>
      <c r="AR438" s="696"/>
      <c r="AS438" s="696"/>
      <c r="AT438" s="696"/>
      <c r="AU438" s="696"/>
      <c r="AV438" s="696"/>
      <c r="AW438" s="696"/>
      <c r="AX438" s="696"/>
      <c r="AY438" s="696"/>
      <c r="AZ438" s="696"/>
      <c r="BA438" s="696"/>
      <c r="BB438" s="696"/>
      <c r="BC438" s="696"/>
      <c r="BD438" s="696"/>
      <c r="BE438" s="696"/>
      <c r="BF438" s="696"/>
      <c r="BG438" s="696"/>
      <c r="BH438" s="696"/>
    </row>
    <row r="439" spans="1:60" s="44" customFormat="1">
      <c r="A439" s="700"/>
      <c r="B439" s="700"/>
      <c r="C439" s="696"/>
      <c r="D439" s="696"/>
      <c r="E439" s="696"/>
      <c r="F439" s="696"/>
      <c r="G439" s="696"/>
      <c r="H439" s="696"/>
      <c r="I439" s="847"/>
      <c r="J439" s="696"/>
      <c r="K439" s="696"/>
      <c r="L439" s="696"/>
      <c r="M439" s="696"/>
      <c r="N439" s="696"/>
      <c r="O439" s="696"/>
      <c r="P439" s="696"/>
      <c r="Q439" s="847"/>
      <c r="R439" s="696"/>
      <c r="S439" s="696"/>
      <c r="T439" s="696"/>
      <c r="U439" s="696"/>
      <c r="V439" s="696"/>
      <c r="W439" s="696"/>
      <c r="X439" s="696"/>
      <c r="Y439" s="847"/>
      <c r="Z439" s="696"/>
      <c r="AA439" s="696"/>
      <c r="AB439" s="696"/>
      <c r="AC439" s="696"/>
      <c r="AD439" s="696"/>
      <c r="AE439" s="696"/>
      <c r="AF439" s="696"/>
      <c r="AG439" s="847"/>
      <c r="AH439" s="696"/>
      <c r="AI439" s="696"/>
      <c r="AJ439" s="696"/>
      <c r="AK439" s="696"/>
      <c r="AL439" s="696"/>
      <c r="AM439" s="696"/>
      <c r="AN439" s="696"/>
      <c r="AO439" s="847"/>
      <c r="AP439" s="696"/>
      <c r="AQ439" s="696"/>
      <c r="AR439" s="696"/>
      <c r="AS439" s="696"/>
      <c r="AT439" s="696"/>
      <c r="AU439" s="696"/>
      <c r="AV439" s="696"/>
      <c r="AW439" s="696"/>
      <c r="AX439" s="696"/>
      <c r="AY439" s="696"/>
      <c r="AZ439" s="696"/>
      <c r="BA439" s="696"/>
      <c r="BB439" s="696"/>
      <c r="BC439" s="696"/>
      <c r="BD439" s="696"/>
      <c r="BE439" s="696"/>
      <c r="BF439" s="696"/>
      <c r="BG439" s="696"/>
      <c r="BH439" s="696"/>
    </row>
    <row r="440" spans="1:60" s="44" customFormat="1">
      <c r="A440" s="700"/>
      <c r="B440" s="700"/>
      <c r="C440" s="696"/>
      <c r="D440" s="696"/>
      <c r="E440" s="696"/>
      <c r="F440" s="696"/>
      <c r="G440" s="696"/>
      <c r="H440" s="696"/>
      <c r="I440" s="847"/>
      <c r="J440" s="696"/>
      <c r="K440" s="696"/>
      <c r="L440" s="696"/>
      <c r="M440" s="696"/>
      <c r="N440" s="696"/>
      <c r="O440" s="696"/>
      <c r="P440" s="696"/>
      <c r="Q440" s="847"/>
      <c r="R440" s="696"/>
      <c r="S440" s="696"/>
      <c r="T440" s="696"/>
      <c r="U440" s="696"/>
      <c r="V440" s="696"/>
      <c r="W440" s="696"/>
      <c r="X440" s="696"/>
      <c r="Y440" s="847"/>
      <c r="Z440" s="696"/>
      <c r="AA440" s="696"/>
      <c r="AB440" s="696"/>
      <c r="AC440" s="696"/>
      <c r="AD440" s="696"/>
      <c r="AE440" s="696"/>
      <c r="AF440" s="696"/>
      <c r="AG440" s="847"/>
      <c r="AH440" s="696"/>
      <c r="AI440" s="696"/>
      <c r="AJ440" s="696"/>
      <c r="AK440" s="696"/>
      <c r="AL440" s="696"/>
      <c r="AM440" s="696"/>
      <c r="AN440" s="696"/>
      <c r="AO440" s="847"/>
      <c r="AP440" s="696"/>
      <c r="AQ440" s="696"/>
      <c r="AR440" s="696"/>
      <c r="AS440" s="696"/>
      <c r="AT440" s="696"/>
      <c r="AU440" s="696"/>
      <c r="AV440" s="696"/>
      <c r="AW440" s="696"/>
      <c r="AX440" s="696"/>
      <c r="AY440" s="696"/>
      <c r="AZ440" s="696"/>
      <c r="BA440" s="696"/>
      <c r="BB440" s="696"/>
      <c r="BC440" s="696"/>
      <c r="BD440" s="696"/>
      <c r="BE440" s="696"/>
      <c r="BF440" s="696"/>
      <c r="BG440" s="696"/>
      <c r="BH440" s="696"/>
    </row>
    <row r="441" spans="1:60" s="44" customFormat="1">
      <c r="A441" s="700"/>
      <c r="B441" s="700"/>
      <c r="C441" s="696"/>
      <c r="D441" s="696"/>
      <c r="E441" s="696"/>
      <c r="F441" s="696"/>
      <c r="G441" s="696"/>
      <c r="H441" s="696"/>
      <c r="I441" s="847"/>
      <c r="J441" s="696"/>
      <c r="K441" s="696"/>
      <c r="L441" s="696"/>
      <c r="M441" s="696"/>
      <c r="N441" s="696"/>
      <c r="O441" s="696"/>
      <c r="P441" s="696"/>
      <c r="Q441" s="847"/>
      <c r="R441" s="696"/>
      <c r="S441" s="696"/>
      <c r="T441" s="696"/>
      <c r="U441" s="696"/>
      <c r="V441" s="696"/>
      <c r="W441" s="696"/>
      <c r="X441" s="696"/>
      <c r="Y441" s="847"/>
      <c r="Z441" s="696"/>
      <c r="AA441" s="696"/>
      <c r="AB441" s="696"/>
      <c r="AC441" s="696"/>
      <c r="AD441" s="696"/>
      <c r="AE441" s="696"/>
      <c r="AF441" s="696"/>
      <c r="AG441" s="847"/>
      <c r="AH441" s="696"/>
      <c r="AI441" s="696"/>
      <c r="AJ441" s="696"/>
      <c r="AK441" s="696"/>
      <c r="AL441" s="696"/>
      <c r="AM441" s="696"/>
      <c r="AN441" s="696"/>
      <c r="AO441" s="847"/>
      <c r="AP441" s="696"/>
      <c r="AQ441" s="696"/>
      <c r="AR441" s="696"/>
      <c r="AS441" s="696"/>
      <c r="AT441" s="696"/>
      <c r="AU441" s="696"/>
      <c r="AV441" s="696"/>
      <c r="AW441" s="696"/>
      <c r="AX441" s="696"/>
      <c r="AY441" s="696"/>
      <c r="AZ441" s="696"/>
      <c r="BA441" s="696"/>
      <c r="BB441" s="696"/>
      <c r="BC441" s="696"/>
      <c r="BD441" s="696"/>
      <c r="BE441" s="696"/>
      <c r="BF441" s="696"/>
      <c r="BG441" s="696"/>
      <c r="BH441" s="696"/>
    </row>
    <row r="442" spans="1:60" s="44" customFormat="1">
      <c r="A442" s="700"/>
      <c r="B442" s="700"/>
      <c r="C442" s="696"/>
      <c r="D442" s="696"/>
      <c r="E442" s="696"/>
      <c r="F442" s="696"/>
      <c r="G442" s="696"/>
      <c r="H442" s="696"/>
      <c r="I442" s="847"/>
      <c r="J442" s="696"/>
      <c r="K442" s="696"/>
      <c r="L442" s="696"/>
      <c r="M442" s="696"/>
      <c r="N442" s="696"/>
      <c r="O442" s="696"/>
      <c r="P442" s="696"/>
      <c r="Q442" s="847"/>
      <c r="R442" s="696"/>
      <c r="S442" s="696"/>
      <c r="T442" s="696"/>
      <c r="U442" s="696"/>
      <c r="V442" s="696"/>
      <c r="W442" s="696"/>
      <c r="X442" s="696"/>
      <c r="Y442" s="847"/>
      <c r="Z442" s="696"/>
      <c r="AA442" s="696"/>
      <c r="AB442" s="696"/>
      <c r="AC442" s="696"/>
      <c r="AD442" s="696"/>
      <c r="AE442" s="696"/>
      <c r="AF442" s="696"/>
      <c r="AG442" s="847"/>
      <c r="AH442" s="696"/>
      <c r="AI442" s="696"/>
      <c r="AJ442" s="696"/>
      <c r="AK442" s="696"/>
      <c r="AL442" s="696"/>
      <c r="AM442" s="696"/>
      <c r="AN442" s="696"/>
      <c r="AO442" s="847"/>
      <c r="AP442" s="696"/>
      <c r="AQ442" s="696"/>
      <c r="AR442" s="696"/>
      <c r="AS442" s="696"/>
      <c r="AT442" s="696"/>
      <c r="AU442" s="696"/>
      <c r="AV442" s="696"/>
      <c r="AW442" s="696"/>
      <c r="AX442" s="696"/>
      <c r="AY442" s="696"/>
      <c r="AZ442" s="696"/>
      <c r="BA442" s="696"/>
      <c r="BB442" s="696"/>
      <c r="BC442" s="696"/>
      <c r="BD442" s="696"/>
      <c r="BE442" s="696"/>
      <c r="BF442" s="696"/>
      <c r="BG442" s="696"/>
      <c r="BH442" s="696"/>
    </row>
    <row r="443" spans="1:60" s="44" customFormat="1">
      <c r="A443" s="700"/>
      <c r="B443" s="700"/>
      <c r="C443" s="696"/>
      <c r="D443" s="696"/>
      <c r="E443" s="696"/>
      <c r="F443" s="696"/>
      <c r="G443" s="696"/>
      <c r="H443" s="696"/>
      <c r="I443" s="847"/>
      <c r="J443" s="696"/>
      <c r="K443" s="696"/>
      <c r="L443" s="696"/>
      <c r="M443" s="696"/>
      <c r="N443" s="696"/>
      <c r="O443" s="696"/>
      <c r="P443" s="696"/>
      <c r="Q443" s="847"/>
      <c r="R443" s="696"/>
      <c r="S443" s="696"/>
      <c r="T443" s="696"/>
      <c r="U443" s="696"/>
      <c r="V443" s="696"/>
      <c r="W443" s="696"/>
      <c r="X443" s="696"/>
      <c r="Y443" s="847"/>
      <c r="Z443" s="696"/>
      <c r="AA443" s="696"/>
      <c r="AB443" s="696"/>
      <c r="AC443" s="696"/>
      <c r="AD443" s="696"/>
      <c r="AE443" s="696"/>
      <c r="AF443" s="696"/>
      <c r="AG443" s="847"/>
      <c r="AH443" s="696"/>
      <c r="AI443" s="696"/>
      <c r="AJ443" s="696"/>
      <c r="AK443" s="696"/>
      <c r="AL443" s="696"/>
      <c r="AM443" s="696"/>
      <c r="AN443" s="696"/>
      <c r="AO443" s="847"/>
      <c r="AP443" s="696"/>
      <c r="AQ443" s="696"/>
      <c r="AR443" s="696"/>
      <c r="AS443" s="696"/>
      <c r="AT443" s="696"/>
      <c r="AU443" s="696"/>
      <c r="AV443" s="696"/>
      <c r="AW443" s="696"/>
      <c r="AX443" s="696"/>
      <c r="AY443" s="696"/>
      <c r="AZ443" s="696"/>
      <c r="BA443" s="696"/>
      <c r="BB443" s="696"/>
      <c r="BC443" s="696"/>
      <c r="BD443" s="696"/>
      <c r="BE443" s="696"/>
      <c r="BF443" s="696"/>
      <c r="BG443" s="696"/>
      <c r="BH443" s="696"/>
    </row>
    <row r="444" spans="1:60" s="44" customFormat="1">
      <c r="C444" s="696"/>
      <c r="D444" s="696"/>
      <c r="E444" s="696"/>
      <c r="F444" s="696"/>
      <c r="G444" s="696"/>
      <c r="H444" s="696"/>
      <c r="I444" s="847"/>
      <c r="J444" s="696"/>
      <c r="K444" s="696"/>
      <c r="L444" s="696"/>
      <c r="M444" s="696"/>
      <c r="N444" s="696"/>
      <c r="O444" s="696"/>
      <c r="P444" s="696"/>
      <c r="Q444" s="847"/>
      <c r="R444" s="696"/>
      <c r="S444" s="696"/>
      <c r="T444" s="696"/>
      <c r="U444" s="696"/>
      <c r="V444" s="696"/>
      <c r="W444" s="696"/>
      <c r="X444" s="696"/>
      <c r="Y444" s="847"/>
      <c r="Z444" s="696"/>
      <c r="AA444" s="696"/>
      <c r="AB444" s="696"/>
      <c r="AC444" s="696"/>
      <c r="AD444" s="696"/>
      <c r="AE444" s="696"/>
      <c r="AF444" s="696"/>
      <c r="AG444" s="847"/>
      <c r="AH444" s="696"/>
      <c r="AI444" s="696"/>
      <c r="AJ444" s="696"/>
      <c r="AK444" s="696"/>
      <c r="AL444" s="696"/>
      <c r="AM444" s="696"/>
      <c r="AN444" s="696"/>
      <c r="AO444" s="847"/>
      <c r="AP444" s="696"/>
      <c r="AQ444" s="696"/>
      <c r="AR444" s="696"/>
      <c r="AS444" s="696"/>
      <c r="AT444" s="696"/>
      <c r="AU444" s="696"/>
      <c r="AV444" s="696"/>
      <c r="AW444" s="696"/>
      <c r="AX444" s="696"/>
      <c r="AY444" s="696"/>
      <c r="AZ444" s="696"/>
      <c r="BA444" s="696"/>
      <c r="BB444" s="696"/>
      <c r="BC444" s="696"/>
      <c r="BD444" s="696"/>
      <c r="BE444" s="696"/>
      <c r="BF444" s="696"/>
      <c r="BG444" s="696"/>
      <c r="BH444" s="696"/>
    </row>
    <row r="445" spans="1:60" s="44" customFormat="1">
      <c r="C445" s="696"/>
      <c r="D445" s="696"/>
      <c r="E445" s="696"/>
      <c r="F445" s="696"/>
      <c r="G445" s="696"/>
      <c r="H445" s="696"/>
      <c r="I445" s="847"/>
      <c r="J445" s="696"/>
      <c r="K445" s="696"/>
      <c r="L445" s="696"/>
      <c r="M445" s="696"/>
      <c r="N445" s="696"/>
      <c r="O445" s="696"/>
      <c r="P445" s="696"/>
      <c r="Q445" s="847"/>
      <c r="R445" s="696"/>
      <c r="S445" s="696"/>
      <c r="T445" s="696"/>
      <c r="U445" s="696"/>
      <c r="V445" s="696"/>
      <c r="W445" s="696"/>
      <c r="X445" s="696"/>
      <c r="Y445" s="847"/>
      <c r="Z445" s="696"/>
      <c r="AA445" s="696"/>
      <c r="AB445" s="696"/>
      <c r="AC445" s="696"/>
      <c r="AD445" s="696"/>
      <c r="AE445" s="696"/>
      <c r="AF445" s="696"/>
      <c r="AG445" s="847"/>
      <c r="AH445" s="696"/>
      <c r="AI445" s="696"/>
      <c r="AJ445" s="696"/>
      <c r="AK445" s="696"/>
      <c r="AL445" s="696"/>
      <c r="AM445" s="696"/>
      <c r="AN445" s="696"/>
      <c r="AO445" s="847"/>
      <c r="AP445" s="696"/>
      <c r="AQ445" s="696"/>
      <c r="AR445" s="696"/>
      <c r="AS445" s="696"/>
      <c r="AT445" s="696"/>
      <c r="AU445" s="696"/>
      <c r="AV445" s="696"/>
      <c r="AW445" s="696"/>
      <c r="AX445" s="696"/>
      <c r="AY445" s="696"/>
      <c r="AZ445" s="696"/>
      <c r="BA445" s="696"/>
      <c r="BB445" s="696"/>
      <c r="BC445" s="696"/>
      <c r="BD445" s="696"/>
      <c r="BE445" s="696"/>
      <c r="BF445" s="696"/>
      <c r="BG445" s="696"/>
      <c r="BH445" s="696"/>
    </row>
    <row r="446" spans="1:60" s="44" customFormat="1">
      <c r="C446" s="696"/>
      <c r="D446" s="696"/>
      <c r="E446" s="696"/>
      <c r="F446" s="696"/>
      <c r="G446" s="696"/>
      <c r="H446" s="696"/>
      <c r="I446" s="847"/>
      <c r="J446" s="696"/>
      <c r="K446" s="696"/>
      <c r="L446" s="696"/>
      <c r="M446" s="696"/>
      <c r="N446" s="696"/>
      <c r="O446" s="696"/>
      <c r="P446" s="696"/>
      <c r="Q446" s="847"/>
      <c r="R446" s="696"/>
      <c r="S446" s="696"/>
      <c r="T446" s="696"/>
      <c r="U446" s="696"/>
      <c r="V446" s="696"/>
      <c r="W446" s="696"/>
      <c r="X446" s="696"/>
      <c r="Y446" s="847"/>
      <c r="Z446" s="696"/>
      <c r="AA446" s="696"/>
      <c r="AB446" s="696"/>
      <c r="AC446" s="696"/>
      <c r="AD446" s="696"/>
      <c r="AE446" s="696"/>
      <c r="AF446" s="696"/>
      <c r="AG446" s="847"/>
      <c r="AH446" s="696"/>
      <c r="AI446" s="696"/>
      <c r="AJ446" s="696"/>
      <c r="AK446" s="696"/>
      <c r="AL446" s="696"/>
      <c r="AM446" s="696"/>
      <c r="AN446" s="696"/>
      <c r="AO446" s="847"/>
      <c r="AP446" s="696"/>
      <c r="AQ446" s="696"/>
      <c r="AR446" s="696"/>
      <c r="AS446" s="696"/>
      <c r="AT446" s="696"/>
      <c r="AU446" s="696"/>
      <c r="AV446" s="696"/>
      <c r="AW446" s="696"/>
      <c r="AX446" s="696"/>
      <c r="AY446" s="696"/>
      <c r="AZ446" s="696"/>
      <c r="BA446" s="696"/>
      <c r="BB446" s="696"/>
      <c r="BC446" s="696"/>
      <c r="BD446" s="696"/>
      <c r="BE446" s="696"/>
      <c r="BF446" s="696"/>
      <c r="BG446" s="696"/>
      <c r="BH446" s="696"/>
    </row>
    <row r="447" spans="1:60" s="44" customFormat="1">
      <c r="C447" s="696"/>
      <c r="D447" s="696"/>
      <c r="E447" s="696"/>
      <c r="F447" s="696"/>
      <c r="G447" s="696"/>
      <c r="H447" s="696"/>
      <c r="I447" s="847"/>
      <c r="J447" s="696"/>
      <c r="K447" s="696"/>
      <c r="L447" s="696"/>
      <c r="M447" s="696"/>
      <c r="N447" s="696"/>
      <c r="O447" s="696"/>
      <c r="P447" s="696"/>
      <c r="Q447" s="847"/>
      <c r="R447" s="696"/>
      <c r="S447" s="696"/>
      <c r="T447" s="696"/>
      <c r="U447" s="696"/>
      <c r="V447" s="696"/>
      <c r="W447" s="696"/>
      <c r="X447" s="696"/>
      <c r="Y447" s="847"/>
      <c r="Z447" s="696"/>
      <c r="AA447" s="696"/>
      <c r="AB447" s="696"/>
      <c r="AC447" s="696"/>
      <c r="AD447" s="696"/>
      <c r="AE447" s="696"/>
      <c r="AF447" s="696"/>
      <c r="AG447" s="847"/>
      <c r="AH447" s="696"/>
      <c r="AI447" s="696"/>
      <c r="AJ447" s="696"/>
      <c r="AK447" s="696"/>
      <c r="AL447" s="696"/>
      <c r="AM447" s="696"/>
      <c r="AN447" s="696"/>
      <c r="AO447" s="847"/>
      <c r="AP447" s="696"/>
      <c r="AQ447" s="696"/>
      <c r="AR447" s="696"/>
      <c r="AS447" s="696"/>
      <c r="AT447" s="696"/>
      <c r="AU447" s="696"/>
      <c r="AV447" s="696"/>
      <c r="AW447" s="696"/>
      <c r="AX447" s="696"/>
      <c r="AY447" s="696"/>
      <c r="AZ447" s="696"/>
      <c r="BA447" s="696"/>
      <c r="BB447" s="696"/>
      <c r="BC447" s="696"/>
      <c r="BD447" s="696"/>
      <c r="BE447" s="696"/>
      <c r="BF447" s="696"/>
      <c r="BG447" s="696"/>
      <c r="BH447" s="696"/>
    </row>
    <row r="448" spans="1:60" s="44" customFormat="1">
      <c r="C448" s="696"/>
      <c r="D448" s="696"/>
      <c r="E448" s="696"/>
      <c r="F448" s="696"/>
      <c r="G448" s="696"/>
      <c r="H448" s="696"/>
      <c r="I448" s="847"/>
      <c r="J448" s="696"/>
      <c r="K448" s="696"/>
      <c r="L448" s="696"/>
      <c r="M448" s="696"/>
      <c r="N448" s="696"/>
      <c r="O448" s="696"/>
      <c r="P448" s="696"/>
      <c r="Q448" s="847"/>
      <c r="R448" s="696"/>
      <c r="S448" s="696"/>
      <c r="T448" s="696"/>
      <c r="U448" s="696"/>
      <c r="V448" s="696"/>
      <c r="W448" s="696"/>
      <c r="X448" s="696"/>
      <c r="Y448" s="847"/>
      <c r="Z448" s="696"/>
      <c r="AA448" s="696"/>
      <c r="AB448" s="696"/>
      <c r="AC448" s="696"/>
      <c r="AD448" s="696"/>
      <c r="AE448" s="696"/>
      <c r="AF448" s="696"/>
      <c r="AG448" s="847"/>
      <c r="AH448" s="696"/>
      <c r="AI448" s="696"/>
      <c r="AJ448" s="696"/>
      <c r="AK448" s="696"/>
      <c r="AL448" s="696"/>
      <c r="AM448" s="696"/>
      <c r="AN448" s="696"/>
      <c r="AO448" s="847"/>
      <c r="AP448" s="696"/>
      <c r="AQ448" s="696"/>
      <c r="AR448" s="696"/>
      <c r="AS448" s="696"/>
      <c r="AT448" s="696"/>
      <c r="AU448" s="696"/>
      <c r="AV448" s="696"/>
      <c r="AW448" s="696"/>
      <c r="AX448" s="696"/>
      <c r="AY448" s="696"/>
      <c r="AZ448" s="696"/>
      <c r="BA448" s="696"/>
      <c r="BB448" s="696"/>
      <c r="BC448" s="696"/>
      <c r="BD448" s="696"/>
      <c r="BE448" s="696"/>
      <c r="BF448" s="696"/>
      <c r="BG448" s="696"/>
      <c r="BH448" s="696"/>
    </row>
    <row r="449" spans="3:60" s="44" customFormat="1">
      <c r="C449" s="696"/>
      <c r="D449" s="696"/>
      <c r="E449" s="696"/>
      <c r="F449" s="696"/>
      <c r="G449" s="696"/>
      <c r="H449" s="696"/>
      <c r="I449" s="847"/>
      <c r="J449" s="696"/>
      <c r="K449" s="696"/>
      <c r="L449" s="696"/>
      <c r="M449" s="696"/>
      <c r="N449" s="696"/>
      <c r="O449" s="696"/>
      <c r="P449" s="696"/>
      <c r="Q449" s="847"/>
      <c r="R449" s="696"/>
      <c r="S449" s="696"/>
      <c r="T449" s="696"/>
      <c r="U449" s="696"/>
      <c r="V449" s="696"/>
      <c r="W449" s="696"/>
      <c r="X449" s="696"/>
      <c r="Y449" s="847"/>
      <c r="Z449" s="696"/>
      <c r="AA449" s="696"/>
      <c r="AB449" s="696"/>
      <c r="AC449" s="696"/>
      <c r="AD449" s="696"/>
      <c r="AE449" s="696"/>
      <c r="AF449" s="696"/>
      <c r="AG449" s="847"/>
      <c r="AH449" s="696"/>
      <c r="AI449" s="696"/>
      <c r="AJ449" s="696"/>
      <c r="AK449" s="696"/>
      <c r="AL449" s="696"/>
      <c r="AM449" s="696"/>
      <c r="AN449" s="696"/>
      <c r="AO449" s="847"/>
      <c r="AP449" s="696"/>
      <c r="AQ449" s="696"/>
      <c r="AR449" s="696"/>
      <c r="AS449" s="696"/>
      <c r="AT449" s="696"/>
      <c r="AU449" s="696"/>
      <c r="AV449" s="696"/>
      <c r="AW449" s="696"/>
      <c r="AX449" s="696"/>
      <c r="AY449" s="696"/>
      <c r="AZ449" s="696"/>
      <c r="BA449" s="696"/>
      <c r="BB449" s="696"/>
      <c r="BC449" s="696"/>
      <c r="BD449" s="696"/>
      <c r="BE449" s="696"/>
      <c r="BF449" s="696"/>
      <c r="BG449" s="696"/>
      <c r="BH449" s="696"/>
    </row>
    <row r="450" spans="3:60" s="44" customFormat="1">
      <c r="C450" s="696"/>
      <c r="D450" s="696"/>
      <c r="E450" s="696"/>
      <c r="F450" s="696"/>
      <c r="G450" s="696"/>
      <c r="H450" s="696"/>
      <c r="I450" s="847"/>
      <c r="J450" s="696"/>
      <c r="K450" s="696"/>
      <c r="L450" s="696"/>
      <c r="M450" s="696"/>
      <c r="N450" s="696"/>
      <c r="O450" s="696"/>
      <c r="P450" s="696"/>
      <c r="Q450" s="847"/>
      <c r="R450" s="696"/>
      <c r="S450" s="696"/>
      <c r="T450" s="696"/>
      <c r="U450" s="696"/>
      <c r="V450" s="696"/>
      <c r="W450" s="696"/>
      <c r="X450" s="696"/>
      <c r="Y450" s="847"/>
      <c r="Z450" s="696"/>
      <c r="AA450" s="696"/>
      <c r="AB450" s="696"/>
      <c r="AC450" s="696"/>
      <c r="AD450" s="696"/>
      <c r="AE450" s="696"/>
      <c r="AF450" s="696"/>
      <c r="AG450" s="847"/>
      <c r="AH450" s="696"/>
      <c r="AI450" s="696"/>
      <c r="AJ450" s="696"/>
      <c r="AK450" s="696"/>
      <c r="AL450" s="696"/>
      <c r="AM450" s="696"/>
      <c r="AN450" s="696"/>
      <c r="AO450" s="847"/>
      <c r="AP450" s="696"/>
      <c r="AQ450" s="696"/>
      <c r="AR450" s="696"/>
      <c r="AS450" s="696"/>
      <c r="AT450" s="696"/>
      <c r="AU450" s="696"/>
      <c r="AV450" s="696"/>
      <c r="AW450" s="696"/>
      <c r="AX450" s="696"/>
      <c r="AY450" s="696"/>
      <c r="AZ450" s="696"/>
      <c r="BA450" s="696"/>
      <c r="BB450" s="696"/>
      <c r="BC450" s="696"/>
      <c r="BD450" s="696"/>
      <c r="BE450" s="696"/>
      <c r="BF450" s="696"/>
      <c r="BG450" s="696"/>
      <c r="BH450" s="696"/>
    </row>
    <row r="451" spans="3:60" s="44" customFormat="1">
      <c r="C451" s="696"/>
      <c r="D451" s="696"/>
      <c r="E451" s="696"/>
      <c r="F451" s="696"/>
      <c r="G451" s="696"/>
      <c r="H451" s="696"/>
      <c r="I451" s="847"/>
      <c r="J451" s="696"/>
      <c r="K451" s="696"/>
      <c r="L451" s="696"/>
      <c r="M451" s="696"/>
      <c r="N451" s="696"/>
      <c r="O451" s="696"/>
      <c r="P451" s="696"/>
      <c r="Q451" s="847"/>
      <c r="R451" s="696"/>
      <c r="S451" s="696"/>
      <c r="T451" s="696"/>
      <c r="U451" s="696"/>
      <c r="V451" s="696"/>
      <c r="W451" s="696"/>
      <c r="X451" s="696"/>
      <c r="Y451" s="847"/>
      <c r="Z451" s="696"/>
      <c r="AA451" s="696"/>
      <c r="AB451" s="696"/>
      <c r="AC451" s="696"/>
      <c r="AD451" s="696"/>
      <c r="AE451" s="696"/>
      <c r="AF451" s="696"/>
      <c r="AG451" s="847"/>
      <c r="AH451" s="696"/>
      <c r="AI451" s="696"/>
      <c r="AJ451" s="696"/>
      <c r="AK451" s="696"/>
      <c r="AL451" s="696"/>
      <c r="AM451" s="696"/>
      <c r="AN451" s="696"/>
      <c r="AO451" s="847"/>
      <c r="AP451" s="696"/>
      <c r="AQ451" s="696"/>
      <c r="AR451" s="696"/>
      <c r="AS451" s="696"/>
      <c r="AT451" s="696"/>
      <c r="AU451" s="696"/>
      <c r="AV451" s="696"/>
      <c r="AW451" s="696"/>
      <c r="AX451" s="696"/>
      <c r="AY451" s="696"/>
      <c r="AZ451" s="696"/>
      <c r="BA451" s="696"/>
      <c r="BB451" s="696"/>
      <c r="BC451" s="696"/>
      <c r="BD451" s="696"/>
      <c r="BE451" s="696"/>
      <c r="BF451" s="696"/>
      <c r="BG451" s="696"/>
      <c r="BH451" s="696"/>
    </row>
    <row r="452" spans="3:60" s="44" customFormat="1">
      <c r="C452" s="696"/>
      <c r="D452" s="696"/>
      <c r="E452" s="696"/>
      <c r="F452" s="696"/>
      <c r="G452" s="696"/>
      <c r="H452" s="696"/>
      <c r="I452" s="847"/>
      <c r="J452" s="696"/>
      <c r="K452" s="696"/>
      <c r="L452" s="696"/>
      <c r="M452" s="696"/>
      <c r="N452" s="696"/>
      <c r="O452" s="696"/>
      <c r="P452" s="696"/>
      <c r="Q452" s="847"/>
      <c r="R452" s="696"/>
      <c r="S452" s="696"/>
      <c r="T452" s="696"/>
      <c r="U452" s="696"/>
      <c r="V452" s="696"/>
      <c r="W452" s="696"/>
      <c r="X452" s="696"/>
      <c r="Y452" s="847"/>
      <c r="Z452" s="696"/>
      <c r="AA452" s="696"/>
      <c r="AB452" s="696"/>
      <c r="AC452" s="696"/>
      <c r="AD452" s="696"/>
      <c r="AE452" s="696"/>
      <c r="AF452" s="696"/>
      <c r="AG452" s="847"/>
      <c r="AH452" s="696"/>
      <c r="AI452" s="696"/>
      <c r="AJ452" s="696"/>
      <c r="AK452" s="696"/>
      <c r="AL452" s="696"/>
      <c r="AM452" s="696"/>
      <c r="AN452" s="696"/>
      <c r="AO452" s="847"/>
      <c r="AP452" s="696"/>
      <c r="AQ452" s="696"/>
      <c r="AR452" s="696"/>
      <c r="AS452" s="696"/>
      <c r="AT452" s="696"/>
      <c r="AU452" s="696"/>
      <c r="AV452" s="696"/>
      <c r="AW452" s="696"/>
      <c r="AX452" s="696"/>
      <c r="AY452" s="696"/>
      <c r="AZ452" s="696"/>
      <c r="BA452" s="696"/>
      <c r="BB452" s="696"/>
      <c r="BC452" s="696"/>
      <c r="BD452" s="696"/>
      <c r="BE452" s="696"/>
      <c r="BF452" s="696"/>
      <c r="BG452" s="696"/>
      <c r="BH452" s="696"/>
    </row>
    <row r="453" spans="3:60" s="44" customFormat="1">
      <c r="C453" s="696"/>
      <c r="D453" s="696"/>
      <c r="E453" s="696"/>
      <c r="F453" s="696"/>
      <c r="G453" s="696"/>
      <c r="H453" s="696"/>
      <c r="I453" s="847"/>
      <c r="J453" s="696"/>
      <c r="K453" s="696"/>
      <c r="L453" s="696"/>
      <c r="M453" s="696"/>
      <c r="N453" s="696"/>
      <c r="O453" s="696"/>
      <c r="P453" s="696"/>
      <c r="Q453" s="847"/>
      <c r="R453" s="696"/>
      <c r="S453" s="696"/>
      <c r="T453" s="696"/>
      <c r="U453" s="696"/>
      <c r="V453" s="696"/>
      <c r="W453" s="696"/>
      <c r="X453" s="696"/>
      <c r="Y453" s="847"/>
      <c r="Z453" s="696"/>
      <c r="AA453" s="696"/>
      <c r="AB453" s="696"/>
      <c r="AC453" s="696"/>
      <c r="AD453" s="696"/>
      <c r="AE453" s="696"/>
      <c r="AF453" s="696"/>
      <c r="AG453" s="847"/>
      <c r="AH453" s="696"/>
      <c r="AI453" s="696"/>
      <c r="AJ453" s="696"/>
      <c r="AK453" s="696"/>
      <c r="AL453" s="696"/>
      <c r="AM453" s="696"/>
      <c r="AN453" s="696"/>
      <c r="AO453" s="847"/>
      <c r="AP453" s="696"/>
      <c r="AQ453" s="696"/>
      <c r="AR453" s="696"/>
      <c r="AS453" s="696"/>
      <c r="AT453" s="696"/>
      <c r="AU453" s="696"/>
      <c r="AV453" s="696"/>
      <c r="AW453" s="696"/>
      <c r="AX453" s="696"/>
      <c r="AY453" s="696"/>
      <c r="AZ453" s="696"/>
      <c r="BA453" s="696"/>
      <c r="BB453" s="696"/>
      <c r="BC453" s="696"/>
      <c r="BD453" s="696"/>
      <c r="BE453" s="696"/>
      <c r="BF453" s="696"/>
      <c r="BG453" s="696"/>
      <c r="BH453" s="696"/>
    </row>
    <row r="454" spans="3:60" s="44" customFormat="1">
      <c r="C454" s="696"/>
      <c r="D454" s="696"/>
      <c r="E454" s="696"/>
      <c r="F454" s="696"/>
      <c r="G454" s="696"/>
      <c r="H454" s="696"/>
      <c r="I454" s="847"/>
      <c r="J454" s="696"/>
      <c r="K454" s="696"/>
      <c r="L454" s="696"/>
      <c r="M454" s="696"/>
      <c r="N454" s="696"/>
      <c r="O454" s="696"/>
      <c r="P454" s="696"/>
      <c r="Q454" s="847"/>
      <c r="R454" s="696"/>
      <c r="S454" s="696"/>
      <c r="T454" s="696"/>
      <c r="U454" s="696"/>
      <c r="V454" s="696"/>
      <c r="W454" s="696"/>
      <c r="X454" s="696"/>
      <c r="Y454" s="847"/>
      <c r="Z454" s="696"/>
      <c r="AA454" s="696"/>
      <c r="AB454" s="696"/>
      <c r="AC454" s="696"/>
      <c r="AD454" s="696"/>
      <c r="AE454" s="696"/>
      <c r="AF454" s="696"/>
      <c r="AG454" s="847"/>
      <c r="AH454" s="696"/>
      <c r="AI454" s="696"/>
      <c r="AJ454" s="696"/>
      <c r="AK454" s="696"/>
      <c r="AL454" s="696"/>
      <c r="AM454" s="696"/>
      <c r="AN454" s="696"/>
      <c r="AO454" s="847"/>
      <c r="AP454" s="696"/>
      <c r="AQ454" s="696"/>
      <c r="AR454" s="696"/>
      <c r="AS454" s="696"/>
      <c r="AT454" s="696"/>
      <c r="AU454" s="696"/>
      <c r="AV454" s="696"/>
      <c r="AW454" s="696"/>
      <c r="AX454" s="696"/>
      <c r="AY454" s="696"/>
      <c r="AZ454" s="696"/>
      <c r="BA454" s="696"/>
      <c r="BB454" s="696"/>
      <c r="BC454" s="696"/>
      <c r="BD454" s="696"/>
      <c r="BE454" s="696"/>
      <c r="BF454" s="696"/>
      <c r="BG454" s="696"/>
      <c r="BH454" s="696"/>
    </row>
    <row r="455" spans="3:60" s="44" customFormat="1">
      <c r="C455" s="696"/>
      <c r="D455" s="696"/>
      <c r="E455" s="696"/>
      <c r="F455" s="696"/>
      <c r="G455" s="696"/>
      <c r="H455" s="696"/>
      <c r="I455" s="847"/>
      <c r="J455" s="696"/>
      <c r="K455" s="696"/>
      <c r="L455" s="696"/>
      <c r="M455" s="696"/>
      <c r="N455" s="696"/>
      <c r="O455" s="696"/>
      <c r="P455" s="696"/>
      <c r="Q455" s="847"/>
      <c r="R455" s="696"/>
      <c r="S455" s="696"/>
      <c r="T455" s="696"/>
      <c r="U455" s="696"/>
      <c r="V455" s="696"/>
      <c r="W455" s="696"/>
      <c r="X455" s="696"/>
      <c r="Y455" s="847"/>
      <c r="Z455" s="696"/>
      <c r="AA455" s="696"/>
      <c r="AB455" s="696"/>
      <c r="AC455" s="696"/>
      <c r="AD455" s="696"/>
      <c r="AE455" s="696"/>
      <c r="AF455" s="696"/>
      <c r="AG455" s="847"/>
      <c r="AH455" s="696"/>
      <c r="AI455" s="696"/>
      <c r="AJ455" s="696"/>
      <c r="AK455" s="696"/>
      <c r="AL455" s="696"/>
      <c r="AM455" s="696"/>
      <c r="AN455" s="696"/>
      <c r="AO455" s="847"/>
      <c r="AP455" s="696"/>
      <c r="AQ455" s="696"/>
      <c r="AR455" s="696"/>
      <c r="AS455" s="696"/>
      <c r="AT455" s="696"/>
      <c r="AU455" s="696"/>
      <c r="AV455" s="696"/>
      <c r="AW455" s="696"/>
      <c r="AX455" s="696"/>
      <c r="AY455" s="696"/>
      <c r="AZ455" s="696"/>
      <c r="BA455" s="696"/>
      <c r="BB455" s="696"/>
      <c r="BC455" s="696"/>
      <c r="BD455" s="696"/>
      <c r="BE455" s="696"/>
      <c r="BF455" s="696"/>
      <c r="BG455" s="696"/>
      <c r="BH455" s="696"/>
    </row>
    <row r="456" spans="3:60" s="44" customFormat="1">
      <c r="C456" s="696"/>
      <c r="D456" s="696"/>
      <c r="E456" s="696"/>
      <c r="F456" s="696"/>
      <c r="G456" s="696"/>
      <c r="H456" s="696"/>
      <c r="I456" s="847"/>
      <c r="J456" s="696"/>
      <c r="K456" s="696"/>
      <c r="L456" s="696"/>
      <c r="M456" s="696"/>
      <c r="N456" s="696"/>
      <c r="O456" s="696"/>
      <c r="P456" s="696"/>
      <c r="Q456" s="847"/>
      <c r="R456" s="696"/>
      <c r="S456" s="696"/>
      <c r="T456" s="696"/>
      <c r="U456" s="696"/>
      <c r="V456" s="696"/>
      <c r="W456" s="696"/>
      <c r="X456" s="696"/>
      <c r="Y456" s="847"/>
      <c r="Z456" s="696"/>
      <c r="AA456" s="696"/>
      <c r="AB456" s="696"/>
      <c r="AC456" s="696"/>
      <c r="AD456" s="696"/>
      <c r="AE456" s="696"/>
      <c r="AF456" s="696"/>
      <c r="AG456" s="847"/>
      <c r="AH456" s="696"/>
      <c r="AI456" s="696"/>
      <c r="AJ456" s="696"/>
      <c r="AK456" s="696"/>
      <c r="AL456" s="696"/>
      <c r="AM456" s="696"/>
      <c r="AN456" s="696"/>
      <c r="AO456" s="847"/>
      <c r="AP456" s="696"/>
      <c r="AQ456" s="696"/>
      <c r="AR456" s="696"/>
      <c r="AS456" s="696"/>
      <c r="AT456" s="696"/>
      <c r="AU456" s="696"/>
      <c r="AV456" s="696"/>
      <c r="AW456" s="696"/>
      <c r="AX456" s="696"/>
      <c r="AY456" s="696"/>
      <c r="AZ456" s="696"/>
      <c r="BA456" s="696"/>
      <c r="BB456" s="696"/>
      <c r="BC456" s="696"/>
      <c r="BD456" s="696"/>
      <c r="BE456" s="696"/>
      <c r="BF456" s="696"/>
      <c r="BG456" s="696"/>
      <c r="BH456" s="696"/>
    </row>
    <row r="457" spans="3:60" s="44" customFormat="1">
      <c r="C457" s="696"/>
      <c r="D457" s="696"/>
      <c r="E457" s="696"/>
      <c r="F457" s="696"/>
      <c r="G457" s="696"/>
      <c r="H457" s="696"/>
      <c r="I457" s="847"/>
      <c r="J457" s="696"/>
      <c r="K457" s="696"/>
      <c r="L457" s="696"/>
      <c r="M457" s="696"/>
      <c r="N457" s="696"/>
      <c r="O457" s="696"/>
      <c r="P457" s="696"/>
      <c r="Q457" s="847"/>
      <c r="R457" s="696"/>
      <c r="S457" s="696"/>
      <c r="T457" s="696"/>
      <c r="U457" s="696"/>
      <c r="V457" s="696"/>
      <c r="W457" s="696"/>
      <c r="X457" s="696"/>
      <c r="Y457" s="847"/>
      <c r="Z457" s="696"/>
      <c r="AA457" s="696"/>
      <c r="AB457" s="696"/>
      <c r="AC457" s="696"/>
      <c r="AD457" s="696"/>
      <c r="AE457" s="696"/>
      <c r="AF457" s="696"/>
      <c r="AG457" s="847"/>
      <c r="AH457" s="696"/>
      <c r="AI457" s="696"/>
      <c r="AJ457" s="696"/>
      <c r="AK457" s="696"/>
      <c r="AL457" s="696"/>
      <c r="AM457" s="696"/>
      <c r="AN457" s="696"/>
      <c r="AO457" s="847"/>
      <c r="AP457" s="696"/>
      <c r="AQ457" s="696"/>
      <c r="AR457" s="696"/>
      <c r="AS457" s="696"/>
      <c r="AT457" s="696"/>
      <c r="AU457" s="696"/>
      <c r="AV457" s="696"/>
      <c r="AW457" s="696"/>
      <c r="AX457" s="696"/>
      <c r="AY457" s="696"/>
      <c r="AZ457" s="696"/>
      <c r="BA457" s="696"/>
      <c r="BB457" s="696"/>
      <c r="BC457" s="696"/>
      <c r="BD457" s="696"/>
      <c r="BE457" s="696"/>
      <c r="BF457" s="696"/>
      <c r="BG457" s="696"/>
      <c r="BH457" s="696"/>
    </row>
    <row r="458" spans="3:60" s="44" customFormat="1">
      <c r="C458" s="696"/>
      <c r="D458" s="696"/>
      <c r="E458" s="696"/>
      <c r="F458" s="696"/>
      <c r="G458" s="696"/>
      <c r="H458" s="696"/>
      <c r="I458" s="847"/>
      <c r="J458" s="696"/>
      <c r="K458" s="696"/>
      <c r="L458" s="696"/>
      <c r="M458" s="696"/>
      <c r="N458" s="696"/>
      <c r="O458" s="696"/>
      <c r="P458" s="696"/>
      <c r="Q458" s="847"/>
      <c r="R458" s="696"/>
      <c r="S458" s="696"/>
      <c r="T458" s="696"/>
      <c r="U458" s="696"/>
      <c r="V458" s="696"/>
      <c r="W458" s="696"/>
      <c r="X458" s="696"/>
      <c r="Y458" s="847"/>
      <c r="Z458" s="696"/>
      <c r="AA458" s="696"/>
      <c r="AB458" s="696"/>
      <c r="AC458" s="696"/>
      <c r="AD458" s="696"/>
      <c r="AE458" s="696"/>
      <c r="AF458" s="696"/>
      <c r="AG458" s="847"/>
      <c r="AH458" s="696"/>
      <c r="AI458" s="696"/>
      <c r="AJ458" s="696"/>
      <c r="AK458" s="696"/>
      <c r="AL458" s="696"/>
      <c r="AM458" s="696"/>
      <c r="AN458" s="696"/>
      <c r="AO458" s="847"/>
      <c r="AP458" s="696"/>
      <c r="AQ458" s="696"/>
      <c r="AR458" s="696"/>
      <c r="AS458" s="696"/>
      <c r="AT458" s="696"/>
      <c r="AU458" s="696"/>
      <c r="AV458" s="696"/>
      <c r="AW458" s="696"/>
      <c r="AX458" s="696"/>
      <c r="AY458" s="696"/>
      <c r="AZ458" s="696"/>
      <c r="BA458" s="696"/>
      <c r="BB458" s="696"/>
      <c r="BC458" s="696"/>
      <c r="BD458" s="696"/>
      <c r="BE458" s="696"/>
      <c r="BF458" s="696"/>
      <c r="BG458" s="696"/>
      <c r="BH458" s="696"/>
    </row>
    <row r="459" spans="3:60" s="44" customFormat="1">
      <c r="C459" s="696"/>
      <c r="D459" s="696"/>
      <c r="E459" s="696"/>
      <c r="F459" s="696"/>
      <c r="G459" s="696"/>
      <c r="H459" s="696"/>
      <c r="I459" s="847"/>
      <c r="J459" s="696"/>
      <c r="K459" s="696"/>
      <c r="L459" s="696"/>
      <c r="M459" s="696"/>
      <c r="N459" s="696"/>
      <c r="O459" s="696"/>
      <c r="P459" s="696"/>
      <c r="Q459" s="847"/>
      <c r="R459" s="696"/>
      <c r="S459" s="696"/>
      <c r="T459" s="696"/>
      <c r="U459" s="696"/>
      <c r="V459" s="696"/>
      <c r="W459" s="696"/>
      <c r="X459" s="696"/>
      <c r="Y459" s="847"/>
      <c r="Z459" s="696"/>
      <c r="AA459" s="696"/>
      <c r="AB459" s="696"/>
      <c r="AC459" s="696"/>
      <c r="AD459" s="696"/>
      <c r="AE459" s="696"/>
      <c r="AF459" s="696"/>
      <c r="AG459" s="847"/>
      <c r="AH459" s="696"/>
      <c r="AI459" s="696"/>
      <c r="AJ459" s="696"/>
      <c r="AK459" s="696"/>
      <c r="AL459" s="696"/>
      <c r="AM459" s="696"/>
      <c r="AN459" s="696"/>
      <c r="AO459" s="847"/>
      <c r="AP459" s="696"/>
      <c r="AQ459" s="696"/>
      <c r="AR459" s="696"/>
      <c r="AS459" s="696"/>
      <c r="AT459" s="696"/>
      <c r="AU459" s="696"/>
      <c r="AV459" s="696"/>
      <c r="AW459" s="696"/>
      <c r="AX459" s="696"/>
      <c r="AY459" s="696"/>
      <c r="AZ459" s="696"/>
      <c r="BA459" s="696"/>
      <c r="BB459" s="696"/>
      <c r="BC459" s="696"/>
      <c r="BD459" s="696"/>
      <c r="BE459" s="696"/>
      <c r="BF459" s="696"/>
      <c r="BG459" s="696"/>
      <c r="BH459" s="696"/>
    </row>
    <row r="460" spans="3:60" s="44" customFormat="1">
      <c r="C460" s="696"/>
      <c r="D460" s="696"/>
      <c r="E460" s="696"/>
      <c r="F460" s="696"/>
      <c r="G460" s="696"/>
      <c r="H460" s="696"/>
      <c r="I460" s="847"/>
      <c r="J460" s="696"/>
      <c r="K460" s="696"/>
      <c r="L460" s="696"/>
      <c r="M460" s="696"/>
      <c r="N460" s="696"/>
      <c r="O460" s="696"/>
      <c r="P460" s="696"/>
      <c r="Q460" s="847"/>
      <c r="R460" s="696"/>
      <c r="S460" s="696"/>
      <c r="T460" s="696"/>
      <c r="U460" s="696"/>
      <c r="V460" s="696"/>
      <c r="W460" s="696"/>
      <c r="X460" s="696"/>
      <c r="Y460" s="847"/>
      <c r="Z460" s="696"/>
      <c r="AA460" s="696"/>
      <c r="AB460" s="696"/>
      <c r="AC460" s="696"/>
      <c r="AD460" s="696"/>
      <c r="AE460" s="696"/>
      <c r="AF460" s="696"/>
      <c r="AG460" s="847"/>
      <c r="AH460" s="696"/>
      <c r="AI460" s="696"/>
      <c r="AJ460" s="696"/>
      <c r="AK460" s="696"/>
      <c r="AL460" s="696"/>
      <c r="AM460" s="696"/>
      <c r="AN460" s="696"/>
      <c r="AO460" s="847"/>
      <c r="AP460" s="696"/>
      <c r="AQ460" s="696"/>
      <c r="AR460" s="696"/>
      <c r="AS460" s="696"/>
      <c r="AT460" s="696"/>
      <c r="AU460" s="696"/>
      <c r="AV460" s="696"/>
      <c r="AW460" s="696"/>
      <c r="AX460" s="696"/>
      <c r="AY460" s="696"/>
      <c r="AZ460" s="696"/>
      <c r="BA460" s="696"/>
      <c r="BB460" s="696"/>
      <c r="BC460" s="696"/>
      <c r="BD460" s="696"/>
      <c r="BE460" s="696"/>
      <c r="BF460" s="696"/>
      <c r="BG460" s="696"/>
      <c r="BH460" s="696"/>
    </row>
    <row r="461" spans="3:60" s="44" customFormat="1">
      <c r="C461" s="696"/>
      <c r="D461" s="696"/>
      <c r="E461" s="696"/>
      <c r="F461" s="696"/>
      <c r="G461" s="696"/>
      <c r="H461" s="696"/>
      <c r="I461" s="847"/>
      <c r="J461" s="696"/>
      <c r="K461" s="696"/>
      <c r="L461" s="696"/>
      <c r="M461" s="696"/>
      <c r="N461" s="696"/>
      <c r="O461" s="696"/>
      <c r="P461" s="696"/>
      <c r="Q461" s="847"/>
      <c r="R461" s="696"/>
      <c r="S461" s="696"/>
      <c r="T461" s="696"/>
      <c r="U461" s="696"/>
      <c r="V461" s="696"/>
      <c r="W461" s="696"/>
      <c r="X461" s="696"/>
      <c r="Y461" s="847"/>
      <c r="Z461" s="696"/>
      <c r="AA461" s="696"/>
      <c r="AB461" s="696"/>
      <c r="AC461" s="696"/>
      <c r="AD461" s="696"/>
      <c r="AE461" s="696"/>
      <c r="AF461" s="696"/>
      <c r="AG461" s="847"/>
      <c r="AH461" s="696"/>
      <c r="AI461" s="696"/>
      <c r="AJ461" s="696"/>
      <c r="AK461" s="696"/>
      <c r="AL461" s="696"/>
      <c r="AM461" s="696"/>
      <c r="AN461" s="696"/>
      <c r="AO461" s="847"/>
      <c r="AP461" s="696"/>
      <c r="AQ461" s="696"/>
      <c r="AR461" s="696"/>
      <c r="AS461" s="696"/>
      <c r="AT461" s="696"/>
      <c r="AU461" s="696"/>
      <c r="AV461" s="696"/>
      <c r="AW461" s="696"/>
      <c r="AX461" s="696"/>
      <c r="AY461" s="696"/>
      <c r="AZ461" s="696"/>
      <c r="BA461" s="696"/>
      <c r="BB461" s="696"/>
      <c r="BC461" s="696"/>
      <c r="BD461" s="696"/>
      <c r="BE461" s="696"/>
      <c r="BF461" s="696"/>
      <c r="BG461" s="696"/>
      <c r="BH461" s="696"/>
    </row>
    <row r="462" spans="3:60" s="44" customFormat="1">
      <c r="C462" s="696"/>
      <c r="D462" s="696"/>
      <c r="E462" s="696"/>
      <c r="F462" s="696"/>
      <c r="G462" s="696"/>
      <c r="H462" s="696"/>
      <c r="I462" s="847"/>
      <c r="J462" s="696"/>
      <c r="K462" s="696"/>
      <c r="L462" s="696"/>
      <c r="M462" s="696"/>
      <c r="N462" s="696"/>
      <c r="O462" s="696"/>
      <c r="P462" s="696"/>
      <c r="Q462" s="847"/>
      <c r="R462" s="696"/>
      <c r="S462" s="696"/>
      <c r="T462" s="696"/>
      <c r="U462" s="696"/>
      <c r="V462" s="696"/>
      <c r="W462" s="696"/>
      <c r="X462" s="696"/>
      <c r="Y462" s="847"/>
      <c r="Z462" s="696"/>
      <c r="AA462" s="696"/>
      <c r="AB462" s="696"/>
      <c r="AC462" s="696"/>
      <c r="AD462" s="696"/>
      <c r="AE462" s="696"/>
      <c r="AF462" s="696"/>
      <c r="AG462" s="847"/>
      <c r="AH462" s="696"/>
      <c r="AI462" s="696"/>
      <c r="AJ462" s="696"/>
      <c r="AK462" s="696"/>
      <c r="AL462" s="696"/>
      <c r="AM462" s="696"/>
      <c r="AN462" s="696"/>
      <c r="AO462" s="847"/>
      <c r="AP462" s="696"/>
      <c r="AQ462" s="696"/>
      <c r="AR462" s="696"/>
      <c r="AS462" s="696"/>
      <c r="AT462" s="696"/>
      <c r="AU462" s="696"/>
      <c r="AV462" s="696"/>
      <c r="AW462" s="696"/>
      <c r="AX462" s="696"/>
      <c r="AY462" s="696"/>
      <c r="AZ462" s="696"/>
      <c r="BA462" s="696"/>
      <c r="BB462" s="696"/>
      <c r="BC462" s="696"/>
      <c r="BD462" s="696"/>
      <c r="BE462" s="696"/>
      <c r="BF462" s="696"/>
      <c r="BG462" s="696"/>
      <c r="BH462" s="696"/>
    </row>
    <row r="463" spans="3:60" s="44" customFormat="1">
      <c r="C463" s="696"/>
      <c r="D463" s="696"/>
      <c r="E463" s="696"/>
      <c r="F463" s="696"/>
      <c r="G463" s="696"/>
      <c r="H463" s="696"/>
      <c r="I463" s="847"/>
      <c r="J463" s="696"/>
      <c r="K463" s="696"/>
      <c r="L463" s="696"/>
      <c r="M463" s="696"/>
      <c r="N463" s="696"/>
      <c r="O463" s="696"/>
      <c r="P463" s="696"/>
      <c r="Q463" s="847"/>
      <c r="R463" s="696"/>
      <c r="S463" s="696"/>
      <c r="T463" s="696"/>
      <c r="U463" s="696"/>
      <c r="V463" s="696"/>
      <c r="W463" s="696"/>
      <c r="X463" s="696"/>
      <c r="Y463" s="847"/>
      <c r="Z463" s="696"/>
      <c r="AA463" s="696"/>
      <c r="AB463" s="696"/>
      <c r="AC463" s="696"/>
      <c r="AD463" s="696"/>
      <c r="AE463" s="696"/>
      <c r="AF463" s="696"/>
      <c r="AG463" s="847"/>
      <c r="AH463" s="696"/>
      <c r="AI463" s="696"/>
      <c r="AJ463" s="696"/>
      <c r="AK463" s="696"/>
      <c r="AL463" s="696"/>
      <c r="AM463" s="696"/>
      <c r="AN463" s="696"/>
      <c r="AO463" s="847"/>
      <c r="AP463" s="696"/>
      <c r="AQ463" s="696"/>
      <c r="AR463" s="696"/>
      <c r="AS463" s="696"/>
      <c r="AT463" s="696"/>
      <c r="AU463" s="696"/>
      <c r="AV463" s="696"/>
      <c r="AW463" s="696"/>
      <c r="AX463" s="696"/>
      <c r="AY463" s="696"/>
      <c r="AZ463" s="696"/>
      <c r="BA463" s="696"/>
      <c r="BB463" s="696"/>
      <c r="BC463" s="696"/>
      <c r="BD463" s="696"/>
      <c r="BE463" s="696"/>
      <c r="BF463" s="696"/>
      <c r="BG463" s="696"/>
      <c r="BH463" s="696"/>
    </row>
    <row r="464" spans="3:60" s="44" customFormat="1">
      <c r="C464" s="696"/>
      <c r="D464" s="696"/>
      <c r="E464" s="696"/>
      <c r="F464" s="696"/>
      <c r="G464" s="696"/>
      <c r="H464" s="696"/>
      <c r="I464" s="847"/>
      <c r="J464" s="696"/>
      <c r="K464" s="696"/>
      <c r="L464" s="696"/>
      <c r="M464" s="696"/>
      <c r="N464" s="696"/>
      <c r="O464" s="696"/>
      <c r="P464" s="696"/>
      <c r="Q464" s="847"/>
      <c r="R464" s="696"/>
      <c r="S464" s="696"/>
      <c r="T464" s="696"/>
      <c r="U464" s="696"/>
      <c r="V464" s="696"/>
      <c r="W464" s="696"/>
      <c r="X464" s="696"/>
      <c r="Y464" s="847"/>
      <c r="Z464" s="696"/>
      <c r="AA464" s="696"/>
      <c r="AB464" s="696"/>
      <c r="AC464" s="696"/>
      <c r="AD464" s="696"/>
      <c r="AE464" s="696"/>
      <c r="AF464" s="696"/>
      <c r="AG464" s="847"/>
      <c r="AH464" s="696"/>
      <c r="AI464" s="696"/>
      <c r="AJ464" s="696"/>
      <c r="AK464" s="696"/>
      <c r="AL464" s="696"/>
      <c r="AM464" s="696"/>
      <c r="AN464" s="696"/>
      <c r="AO464" s="847"/>
      <c r="AP464" s="696"/>
      <c r="AQ464" s="696"/>
      <c r="AR464" s="696"/>
      <c r="AS464" s="696"/>
      <c r="AT464" s="696"/>
      <c r="AU464" s="696"/>
      <c r="AV464" s="696"/>
      <c r="AW464" s="696"/>
      <c r="AX464" s="696"/>
      <c r="AY464" s="696"/>
      <c r="AZ464" s="696"/>
      <c r="BA464" s="696"/>
      <c r="BB464" s="696"/>
      <c r="BC464" s="696"/>
      <c r="BD464" s="696"/>
      <c r="BE464" s="696"/>
      <c r="BF464" s="696"/>
      <c r="BG464" s="696"/>
      <c r="BH464" s="696"/>
    </row>
    <row r="465" spans="3:60" s="44" customFormat="1">
      <c r="C465" s="696"/>
      <c r="D465" s="696"/>
      <c r="E465" s="696"/>
      <c r="F465" s="696"/>
      <c r="G465" s="696"/>
      <c r="H465" s="696"/>
      <c r="I465" s="847"/>
      <c r="J465" s="696"/>
      <c r="K465" s="696"/>
      <c r="L465" s="696"/>
      <c r="M465" s="696"/>
      <c r="N465" s="696"/>
      <c r="O465" s="696"/>
      <c r="P465" s="696"/>
      <c r="Q465" s="847"/>
      <c r="R465" s="696"/>
      <c r="S465" s="696"/>
      <c r="T465" s="696"/>
      <c r="U465" s="696"/>
      <c r="V465" s="696"/>
      <c r="W465" s="696"/>
      <c r="X465" s="696"/>
      <c r="Y465" s="847"/>
      <c r="Z465" s="696"/>
      <c r="AA465" s="696"/>
      <c r="AB465" s="696"/>
      <c r="AC465" s="696"/>
      <c r="AD465" s="696"/>
      <c r="AE465" s="696"/>
      <c r="AF465" s="696"/>
      <c r="AG465" s="847"/>
      <c r="AH465" s="696"/>
      <c r="AI465" s="696"/>
      <c r="AJ465" s="696"/>
      <c r="AK465" s="696"/>
      <c r="AL465" s="696"/>
      <c r="AM465" s="696"/>
      <c r="AN465" s="696"/>
      <c r="AO465" s="847"/>
      <c r="AP465" s="696"/>
      <c r="AQ465" s="696"/>
      <c r="AR465" s="696"/>
      <c r="AS465" s="696"/>
      <c r="AT465" s="696"/>
      <c r="AU465" s="696"/>
      <c r="AV465" s="696"/>
      <c r="AW465" s="696"/>
      <c r="AX465" s="696"/>
      <c r="AY465" s="696"/>
      <c r="AZ465" s="696"/>
      <c r="BA465" s="696"/>
      <c r="BB465" s="696"/>
      <c r="BC465" s="696"/>
      <c r="BD465" s="696"/>
      <c r="BE465" s="696"/>
      <c r="BF465" s="696"/>
      <c r="BG465" s="696"/>
      <c r="BH465" s="696"/>
    </row>
    <row r="466" spans="3:60" s="44" customFormat="1">
      <c r="C466" s="696"/>
      <c r="D466" s="696"/>
      <c r="E466" s="696"/>
      <c r="F466" s="696"/>
      <c r="G466" s="696"/>
      <c r="H466" s="696"/>
      <c r="I466" s="847"/>
      <c r="J466" s="696"/>
      <c r="K466" s="696"/>
      <c r="L466" s="696"/>
      <c r="M466" s="696"/>
      <c r="N466" s="696"/>
      <c r="O466" s="696"/>
      <c r="P466" s="696"/>
      <c r="Q466" s="847"/>
      <c r="R466" s="696"/>
      <c r="S466" s="696"/>
      <c r="T466" s="696"/>
      <c r="U466" s="696"/>
      <c r="V466" s="696"/>
      <c r="W466" s="696"/>
      <c r="X466" s="696"/>
      <c r="Y466" s="847"/>
      <c r="Z466" s="696"/>
      <c r="AA466" s="696"/>
      <c r="AB466" s="696"/>
      <c r="AC466" s="696"/>
      <c r="AD466" s="696"/>
      <c r="AE466" s="696"/>
      <c r="AF466" s="696"/>
      <c r="AG466" s="847"/>
      <c r="AH466" s="696"/>
      <c r="AI466" s="696"/>
      <c r="AJ466" s="696"/>
      <c r="AK466" s="696"/>
      <c r="AL466" s="696"/>
      <c r="AM466" s="696"/>
      <c r="AN466" s="696"/>
      <c r="AO466" s="847"/>
      <c r="AP466" s="696"/>
      <c r="AQ466" s="696"/>
      <c r="AR466" s="696"/>
      <c r="AS466" s="696"/>
      <c r="AT466" s="696"/>
      <c r="AU466" s="696"/>
      <c r="AV466" s="696"/>
      <c r="AW466" s="696"/>
      <c r="AX466" s="696"/>
      <c r="AY466" s="696"/>
      <c r="AZ466" s="696"/>
      <c r="BA466" s="696"/>
      <c r="BB466" s="696"/>
      <c r="BC466" s="696"/>
      <c r="BD466" s="696"/>
      <c r="BE466" s="696"/>
      <c r="BF466" s="696"/>
      <c r="BG466" s="696"/>
      <c r="BH466" s="696"/>
    </row>
    <row r="467" spans="3:60" s="44" customFormat="1">
      <c r="C467" s="696"/>
      <c r="D467" s="696"/>
      <c r="E467" s="696"/>
      <c r="F467" s="696"/>
      <c r="G467" s="696"/>
      <c r="H467" s="696"/>
      <c r="I467" s="847"/>
      <c r="J467" s="696"/>
      <c r="K467" s="696"/>
      <c r="L467" s="696"/>
      <c r="M467" s="696"/>
      <c r="N467" s="696"/>
      <c r="O467" s="696"/>
      <c r="P467" s="696"/>
      <c r="Q467" s="847"/>
      <c r="R467" s="696"/>
      <c r="S467" s="696"/>
      <c r="T467" s="696"/>
      <c r="U467" s="696"/>
      <c r="V467" s="696"/>
      <c r="W467" s="696"/>
      <c r="X467" s="696"/>
      <c r="Y467" s="847"/>
      <c r="Z467" s="696"/>
      <c r="AA467" s="696"/>
      <c r="AB467" s="696"/>
      <c r="AC467" s="696"/>
      <c r="AD467" s="696"/>
      <c r="AE467" s="696"/>
      <c r="AF467" s="696"/>
      <c r="AG467" s="847"/>
      <c r="AH467" s="696"/>
      <c r="AI467" s="696"/>
      <c r="AJ467" s="696"/>
      <c r="AK467" s="696"/>
      <c r="AL467" s="696"/>
      <c r="AM467" s="696"/>
      <c r="AN467" s="696"/>
      <c r="AO467" s="847"/>
      <c r="AP467" s="696"/>
      <c r="AQ467" s="696"/>
      <c r="AR467" s="696"/>
      <c r="AS467" s="696"/>
      <c r="AT467" s="696"/>
      <c r="AU467" s="696"/>
      <c r="AV467" s="696"/>
      <c r="AW467" s="696"/>
      <c r="AX467" s="696"/>
      <c r="AY467" s="696"/>
      <c r="AZ467" s="696"/>
      <c r="BA467" s="696"/>
      <c r="BB467" s="696"/>
      <c r="BC467" s="696"/>
      <c r="BD467" s="696"/>
      <c r="BE467" s="696"/>
      <c r="BF467" s="696"/>
      <c r="BG467" s="696"/>
      <c r="BH467" s="696"/>
    </row>
    <row r="468" spans="3:60" s="44" customFormat="1">
      <c r="C468" s="696"/>
      <c r="D468" s="696"/>
      <c r="E468" s="696"/>
      <c r="F468" s="696"/>
      <c r="G468" s="696"/>
      <c r="H468" s="696"/>
      <c r="I468" s="847"/>
      <c r="J468" s="696"/>
      <c r="K468" s="696"/>
      <c r="L468" s="696"/>
      <c r="M468" s="696"/>
      <c r="N468" s="696"/>
      <c r="O468" s="696"/>
      <c r="P468" s="696"/>
      <c r="Q468" s="847"/>
      <c r="R468" s="696"/>
      <c r="S468" s="696"/>
      <c r="T468" s="696"/>
      <c r="U468" s="696"/>
      <c r="V468" s="696"/>
      <c r="W468" s="696"/>
      <c r="X468" s="696"/>
      <c r="Y468" s="847"/>
      <c r="Z468" s="696"/>
      <c r="AA468" s="696"/>
      <c r="AB468" s="696"/>
      <c r="AC468" s="696"/>
      <c r="AD468" s="696"/>
      <c r="AE468" s="696"/>
      <c r="AF468" s="696"/>
      <c r="AG468" s="847"/>
      <c r="AH468" s="696"/>
      <c r="AI468" s="696"/>
      <c r="AJ468" s="696"/>
      <c r="AK468" s="696"/>
      <c r="AL468" s="696"/>
      <c r="AM468" s="696"/>
      <c r="AN468" s="696"/>
      <c r="AO468" s="847"/>
      <c r="AP468" s="696"/>
      <c r="AQ468" s="696"/>
      <c r="AR468" s="696"/>
      <c r="AS468" s="696"/>
      <c r="AT468" s="696"/>
      <c r="AU468" s="696"/>
      <c r="AV468" s="696"/>
      <c r="AW468" s="696"/>
      <c r="AX468" s="696"/>
      <c r="AY468" s="696"/>
      <c r="AZ468" s="696"/>
      <c r="BA468" s="696"/>
      <c r="BB468" s="696"/>
      <c r="BC468" s="696"/>
      <c r="BD468" s="696"/>
      <c r="BE468" s="696"/>
      <c r="BF468" s="696"/>
      <c r="BG468" s="696"/>
      <c r="BH468" s="696"/>
    </row>
    <row r="469" spans="3:60" s="44" customFormat="1">
      <c r="C469" s="696"/>
      <c r="D469" s="696"/>
      <c r="E469" s="696"/>
      <c r="F469" s="696"/>
      <c r="G469" s="696"/>
      <c r="H469" s="696"/>
      <c r="I469" s="847"/>
      <c r="J469" s="696"/>
      <c r="K469" s="696"/>
      <c r="L469" s="696"/>
      <c r="M469" s="696"/>
      <c r="N469" s="696"/>
      <c r="O469" s="696"/>
      <c r="P469" s="696"/>
      <c r="Q469" s="847"/>
      <c r="R469" s="696"/>
      <c r="S469" s="696"/>
      <c r="T469" s="696"/>
      <c r="U469" s="696"/>
      <c r="V469" s="696"/>
      <c r="W469" s="696"/>
      <c r="X469" s="696"/>
      <c r="Y469" s="847"/>
      <c r="Z469" s="696"/>
      <c r="AA469" s="696"/>
      <c r="AB469" s="696"/>
      <c r="AC469" s="696"/>
      <c r="AD469" s="696"/>
      <c r="AE469" s="696"/>
      <c r="AF469" s="696"/>
      <c r="AG469" s="847"/>
      <c r="AH469" s="696"/>
      <c r="AI469" s="696"/>
      <c r="AJ469" s="696"/>
      <c r="AK469" s="696"/>
      <c r="AL469" s="696"/>
      <c r="AM469" s="696"/>
      <c r="AN469" s="696"/>
      <c r="AO469" s="847"/>
      <c r="AP469" s="696"/>
      <c r="AQ469" s="696"/>
      <c r="AR469" s="696"/>
      <c r="AS469" s="696"/>
      <c r="AT469" s="696"/>
      <c r="AU469" s="696"/>
      <c r="AV469" s="696"/>
      <c r="AW469" s="696"/>
      <c r="AX469" s="696"/>
      <c r="AY469" s="696"/>
      <c r="AZ469" s="696"/>
      <c r="BA469" s="696"/>
      <c r="BB469" s="696"/>
      <c r="BC469" s="696"/>
      <c r="BD469" s="696"/>
      <c r="BE469" s="696"/>
      <c r="BF469" s="696"/>
      <c r="BG469" s="696"/>
      <c r="BH469" s="696"/>
    </row>
    <row r="470" spans="3:60" s="44" customFormat="1">
      <c r="C470" s="696"/>
      <c r="D470" s="696"/>
      <c r="E470" s="696"/>
      <c r="F470" s="696"/>
      <c r="G470" s="696"/>
      <c r="H470" s="696"/>
      <c r="I470" s="847"/>
      <c r="J470" s="696"/>
      <c r="K470" s="696"/>
      <c r="L470" s="696"/>
      <c r="M470" s="696"/>
      <c r="N470" s="696"/>
      <c r="O470" s="696"/>
      <c r="P470" s="696"/>
      <c r="Q470" s="847"/>
      <c r="R470" s="696"/>
      <c r="S470" s="696"/>
      <c r="T470" s="696"/>
      <c r="U470" s="696"/>
      <c r="V470" s="696"/>
      <c r="W470" s="696"/>
      <c r="X470" s="696"/>
      <c r="Y470" s="847"/>
      <c r="Z470" s="696"/>
      <c r="AA470" s="696"/>
      <c r="AB470" s="696"/>
      <c r="AC470" s="696"/>
      <c r="AD470" s="696"/>
      <c r="AE470" s="696"/>
      <c r="AF470" s="696"/>
      <c r="AG470" s="847"/>
      <c r="AH470" s="696"/>
      <c r="AI470" s="696"/>
      <c r="AJ470" s="696"/>
      <c r="AK470" s="696"/>
      <c r="AL470" s="696"/>
      <c r="AM470" s="696"/>
      <c r="AN470" s="696"/>
      <c r="AO470" s="847"/>
      <c r="AP470" s="696"/>
      <c r="AQ470" s="696"/>
      <c r="AR470" s="696"/>
      <c r="AS470" s="696"/>
      <c r="AT470" s="696"/>
      <c r="AU470" s="696"/>
      <c r="AV470" s="696"/>
      <c r="AW470" s="696"/>
      <c r="AX470" s="696"/>
      <c r="AY470" s="696"/>
      <c r="AZ470" s="696"/>
      <c r="BA470" s="696"/>
      <c r="BB470" s="696"/>
      <c r="BC470" s="696"/>
      <c r="BD470" s="696"/>
      <c r="BE470" s="696"/>
      <c r="BF470" s="696"/>
      <c r="BG470" s="696"/>
      <c r="BH470" s="696"/>
    </row>
    <row r="471" spans="3:60" s="44" customFormat="1">
      <c r="C471" s="696"/>
      <c r="D471" s="696"/>
      <c r="E471" s="696"/>
      <c r="F471" s="696"/>
      <c r="G471" s="696"/>
      <c r="H471" s="696"/>
      <c r="I471" s="847"/>
      <c r="J471" s="696"/>
      <c r="K471" s="696"/>
      <c r="L471" s="696"/>
      <c r="M471" s="696"/>
      <c r="N471" s="696"/>
      <c r="O471" s="696"/>
      <c r="P471" s="696"/>
      <c r="Q471" s="847"/>
      <c r="R471" s="696"/>
      <c r="S471" s="696"/>
      <c r="T471" s="696"/>
      <c r="U471" s="696"/>
      <c r="V471" s="696"/>
      <c r="W471" s="696"/>
      <c r="X471" s="696"/>
      <c r="Y471" s="847"/>
      <c r="Z471" s="696"/>
      <c r="AA471" s="696"/>
      <c r="AB471" s="696"/>
      <c r="AC471" s="696"/>
      <c r="AD471" s="696"/>
      <c r="AE471" s="696"/>
      <c r="AF471" s="696"/>
      <c r="AG471" s="847"/>
      <c r="AH471" s="696"/>
      <c r="AI471" s="696"/>
      <c r="AJ471" s="696"/>
      <c r="AK471" s="696"/>
      <c r="AL471" s="696"/>
      <c r="AM471" s="696"/>
      <c r="AN471" s="696"/>
      <c r="AO471" s="847"/>
      <c r="AP471" s="696"/>
      <c r="AQ471" s="696"/>
      <c r="AR471" s="696"/>
      <c r="AS471" s="696"/>
      <c r="AT471" s="696"/>
      <c r="AU471" s="696"/>
      <c r="AV471" s="696"/>
      <c r="AW471" s="696"/>
      <c r="AX471" s="696"/>
      <c r="AY471" s="696"/>
      <c r="AZ471" s="696"/>
      <c r="BA471" s="696"/>
      <c r="BB471" s="696"/>
      <c r="BC471" s="696"/>
      <c r="BD471" s="696"/>
      <c r="BE471" s="696"/>
      <c r="BF471" s="696"/>
      <c r="BG471" s="696"/>
      <c r="BH471" s="696"/>
    </row>
    <row r="472" spans="3:60" s="44" customFormat="1">
      <c r="C472" s="696"/>
      <c r="D472" s="696"/>
      <c r="E472" s="696"/>
      <c r="F472" s="696"/>
      <c r="G472" s="696"/>
      <c r="H472" s="696"/>
      <c r="I472" s="847"/>
      <c r="J472" s="696"/>
      <c r="K472" s="696"/>
      <c r="L472" s="696"/>
      <c r="M472" s="696"/>
      <c r="N472" s="696"/>
      <c r="O472" s="696"/>
      <c r="P472" s="696"/>
      <c r="Q472" s="847"/>
      <c r="R472" s="696"/>
      <c r="S472" s="696"/>
      <c r="T472" s="696"/>
      <c r="U472" s="696"/>
      <c r="V472" s="696"/>
      <c r="W472" s="696"/>
      <c r="X472" s="696"/>
      <c r="Y472" s="847"/>
      <c r="Z472" s="696"/>
      <c r="AA472" s="696"/>
      <c r="AB472" s="696"/>
      <c r="AC472" s="696"/>
      <c r="AD472" s="696"/>
      <c r="AE472" s="696"/>
      <c r="AF472" s="696"/>
      <c r="AG472" s="847"/>
      <c r="AH472" s="696"/>
      <c r="AI472" s="696"/>
      <c r="AJ472" s="696"/>
      <c r="AK472" s="696"/>
      <c r="AL472" s="696"/>
      <c r="AM472" s="696"/>
      <c r="AN472" s="696"/>
      <c r="AO472" s="847"/>
      <c r="AP472" s="696"/>
      <c r="AQ472" s="696"/>
      <c r="AR472" s="696"/>
      <c r="AS472" s="696"/>
      <c r="AT472" s="696"/>
      <c r="AU472" s="696"/>
      <c r="AV472" s="696"/>
      <c r="AW472" s="696"/>
      <c r="AX472" s="696"/>
      <c r="AY472" s="696"/>
      <c r="AZ472" s="696"/>
      <c r="BA472" s="696"/>
      <c r="BB472" s="696"/>
      <c r="BC472" s="696"/>
      <c r="BD472" s="696"/>
      <c r="BE472" s="696"/>
      <c r="BF472" s="696"/>
      <c r="BG472" s="696"/>
      <c r="BH472" s="696"/>
    </row>
    <row r="473" spans="3:60" s="44" customFormat="1">
      <c r="C473" s="696"/>
      <c r="D473" s="696"/>
      <c r="E473" s="696"/>
      <c r="F473" s="696"/>
      <c r="G473" s="696"/>
      <c r="H473" s="696"/>
      <c r="I473" s="847"/>
      <c r="J473" s="696"/>
      <c r="K473" s="696"/>
      <c r="L473" s="696"/>
      <c r="M473" s="696"/>
      <c r="N473" s="696"/>
      <c r="O473" s="696"/>
      <c r="P473" s="696"/>
      <c r="Q473" s="847"/>
      <c r="R473" s="696"/>
      <c r="S473" s="696"/>
      <c r="T473" s="696"/>
      <c r="U473" s="696"/>
      <c r="V473" s="696"/>
      <c r="W473" s="696"/>
      <c r="X473" s="696"/>
      <c r="Y473" s="847"/>
      <c r="Z473" s="696"/>
      <c r="AA473" s="696"/>
      <c r="AB473" s="696"/>
      <c r="AC473" s="696"/>
      <c r="AD473" s="696"/>
      <c r="AE473" s="696"/>
      <c r="AF473" s="696"/>
      <c r="AG473" s="847"/>
      <c r="AH473" s="696"/>
      <c r="AI473" s="696"/>
      <c r="AJ473" s="696"/>
      <c r="AK473" s="696"/>
      <c r="AL473" s="696"/>
      <c r="AM473" s="696"/>
      <c r="AN473" s="696"/>
      <c r="AO473" s="847"/>
      <c r="AP473" s="696"/>
      <c r="AQ473" s="696"/>
      <c r="AR473" s="696"/>
      <c r="AS473" s="696"/>
      <c r="AT473" s="696"/>
      <c r="AU473" s="696"/>
      <c r="AV473" s="696"/>
      <c r="AW473" s="696"/>
      <c r="AX473" s="696"/>
      <c r="AY473" s="696"/>
      <c r="AZ473" s="696"/>
      <c r="BA473" s="696"/>
      <c r="BB473" s="696"/>
      <c r="BC473" s="696"/>
      <c r="BD473" s="696"/>
      <c r="BE473" s="696"/>
      <c r="BF473" s="696"/>
      <c r="BG473" s="696"/>
      <c r="BH473" s="696"/>
    </row>
    <row r="474" spans="3:60" s="44" customFormat="1">
      <c r="C474" s="696"/>
      <c r="D474" s="696"/>
      <c r="E474" s="696"/>
      <c r="F474" s="696"/>
      <c r="G474" s="696"/>
      <c r="H474" s="696"/>
      <c r="I474" s="847"/>
      <c r="J474" s="696"/>
      <c r="K474" s="696"/>
      <c r="L474" s="696"/>
      <c r="M474" s="696"/>
      <c r="N474" s="696"/>
      <c r="O474" s="696"/>
      <c r="P474" s="696"/>
      <c r="Q474" s="847"/>
      <c r="R474" s="696"/>
      <c r="S474" s="696"/>
      <c r="T474" s="696"/>
      <c r="U474" s="696"/>
      <c r="V474" s="696"/>
      <c r="W474" s="696"/>
      <c r="X474" s="696"/>
      <c r="Y474" s="847"/>
      <c r="Z474" s="696"/>
      <c r="AA474" s="696"/>
      <c r="AB474" s="696"/>
      <c r="AC474" s="696"/>
      <c r="AD474" s="696"/>
      <c r="AE474" s="696"/>
      <c r="AF474" s="696"/>
      <c r="AG474" s="847"/>
      <c r="AH474" s="696"/>
      <c r="AI474" s="696"/>
      <c r="AJ474" s="696"/>
      <c r="AK474" s="696"/>
      <c r="AL474" s="696"/>
      <c r="AM474" s="696"/>
      <c r="AN474" s="696"/>
      <c r="AO474" s="847"/>
      <c r="AP474" s="696"/>
      <c r="AQ474" s="696"/>
      <c r="AR474" s="696"/>
      <c r="AS474" s="696"/>
      <c r="AT474" s="696"/>
      <c r="AU474" s="696"/>
      <c r="AV474" s="696"/>
      <c r="AW474" s="696"/>
      <c r="AX474" s="696"/>
      <c r="AY474" s="696"/>
      <c r="AZ474" s="696"/>
      <c r="BA474" s="696"/>
      <c r="BB474" s="696"/>
      <c r="BC474" s="696"/>
      <c r="BD474" s="696"/>
      <c r="BE474" s="696"/>
      <c r="BF474" s="696"/>
      <c r="BG474" s="696"/>
      <c r="BH474" s="696"/>
    </row>
    <row r="475" spans="3:60" s="44" customFormat="1">
      <c r="C475" s="696"/>
      <c r="D475" s="696"/>
      <c r="E475" s="696"/>
      <c r="F475" s="696"/>
      <c r="G475" s="696"/>
      <c r="H475" s="696"/>
      <c r="I475" s="847"/>
      <c r="J475" s="696"/>
      <c r="K475" s="696"/>
      <c r="L475" s="696"/>
      <c r="M475" s="696"/>
      <c r="N475" s="696"/>
      <c r="O475" s="696"/>
      <c r="P475" s="696"/>
      <c r="Q475" s="847"/>
      <c r="R475" s="696"/>
      <c r="S475" s="696"/>
      <c r="T475" s="696"/>
      <c r="U475" s="696"/>
      <c r="V475" s="696"/>
      <c r="W475" s="696"/>
      <c r="X475" s="696"/>
      <c r="Y475" s="847"/>
      <c r="Z475" s="696"/>
      <c r="AA475" s="696"/>
      <c r="AB475" s="696"/>
      <c r="AC475" s="696"/>
      <c r="AD475" s="696"/>
      <c r="AE475" s="696"/>
      <c r="AF475" s="696"/>
      <c r="AG475" s="847"/>
      <c r="AH475" s="696"/>
      <c r="AI475" s="696"/>
      <c r="AJ475" s="696"/>
      <c r="AK475" s="696"/>
      <c r="AL475" s="696"/>
      <c r="AM475" s="696"/>
      <c r="AN475" s="696"/>
      <c r="AO475" s="847"/>
      <c r="AP475" s="696"/>
      <c r="AQ475" s="696"/>
      <c r="AR475" s="696"/>
      <c r="AS475" s="696"/>
      <c r="AT475" s="696"/>
      <c r="AU475" s="696"/>
      <c r="AV475" s="696"/>
      <c r="AW475" s="696"/>
      <c r="AX475" s="696"/>
      <c r="AY475" s="696"/>
      <c r="AZ475" s="696"/>
      <c r="BA475" s="696"/>
      <c r="BB475" s="696"/>
      <c r="BC475" s="696"/>
      <c r="BD475" s="696"/>
      <c r="BE475" s="696"/>
      <c r="BF475" s="696"/>
      <c r="BG475" s="696"/>
      <c r="BH475" s="696"/>
    </row>
    <row r="476" spans="3:60" s="44" customFormat="1">
      <c r="C476" s="696"/>
      <c r="D476" s="696"/>
      <c r="E476" s="696"/>
      <c r="F476" s="696"/>
      <c r="G476" s="696"/>
      <c r="H476" s="696"/>
      <c r="I476" s="847"/>
      <c r="J476" s="696"/>
      <c r="K476" s="696"/>
      <c r="L476" s="696"/>
      <c r="M476" s="696"/>
      <c r="N476" s="696"/>
      <c r="O476" s="696"/>
      <c r="P476" s="696"/>
      <c r="Q476" s="847"/>
      <c r="R476" s="696"/>
      <c r="S476" s="696"/>
      <c r="T476" s="696"/>
      <c r="U476" s="696"/>
      <c r="V476" s="696"/>
      <c r="W476" s="696"/>
      <c r="X476" s="696"/>
      <c r="Y476" s="847"/>
      <c r="Z476" s="696"/>
      <c r="AA476" s="696"/>
      <c r="AB476" s="696"/>
      <c r="AC476" s="696"/>
      <c r="AD476" s="696"/>
      <c r="AE476" s="696"/>
      <c r="AF476" s="696"/>
      <c r="AG476" s="847"/>
      <c r="AH476" s="696"/>
      <c r="AI476" s="696"/>
      <c r="AJ476" s="696"/>
      <c r="AK476" s="696"/>
      <c r="AL476" s="696"/>
      <c r="AM476" s="696"/>
      <c r="AN476" s="696"/>
      <c r="AO476" s="847"/>
      <c r="AP476" s="696"/>
      <c r="AQ476" s="696"/>
      <c r="AR476" s="696"/>
      <c r="AS476" s="696"/>
      <c r="AT476" s="696"/>
      <c r="AU476" s="696"/>
      <c r="AV476" s="696"/>
      <c r="AW476" s="696"/>
      <c r="AX476" s="696"/>
      <c r="AY476" s="696"/>
      <c r="AZ476" s="696"/>
      <c r="BA476" s="696"/>
      <c r="BB476" s="696"/>
      <c r="BC476" s="696"/>
      <c r="BD476" s="696"/>
      <c r="BE476" s="696"/>
      <c r="BF476" s="696"/>
      <c r="BG476" s="696"/>
      <c r="BH476" s="696"/>
    </row>
    <row r="477" spans="3:60" s="44" customFormat="1">
      <c r="C477" s="696"/>
      <c r="D477" s="696"/>
      <c r="E477" s="696"/>
      <c r="F477" s="696"/>
      <c r="G477" s="696"/>
      <c r="H477" s="696"/>
      <c r="I477" s="847"/>
      <c r="J477" s="696"/>
      <c r="K477" s="696"/>
      <c r="L477" s="696"/>
      <c r="M477" s="696"/>
      <c r="N477" s="696"/>
      <c r="O477" s="696"/>
      <c r="P477" s="696"/>
      <c r="Q477" s="847"/>
      <c r="R477" s="696"/>
      <c r="S477" s="696"/>
      <c r="T477" s="696"/>
      <c r="U477" s="696"/>
      <c r="V477" s="696"/>
      <c r="W477" s="696"/>
      <c r="X477" s="696"/>
      <c r="Y477" s="847"/>
      <c r="Z477" s="696"/>
      <c r="AA477" s="696"/>
      <c r="AB477" s="696"/>
      <c r="AC477" s="696"/>
      <c r="AD477" s="696"/>
      <c r="AE477" s="696"/>
      <c r="AF477" s="696"/>
      <c r="AG477" s="847"/>
      <c r="AH477" s="696"/>
      <c r="AI477" s="696"/>
      <c r="AJ477" s="696"/>
      <c r="AK477" s="696"/>
      <c r="AL477" s="696"/>
      <c r="AM477" s="696"/>
      <c r="AN477" s="696"/>
      <c r="AO477" s="847"/>
      <c r="AP477" s="696"/>
      <c r="AQ477" s="696"/>
      <c r="AR477" s="696"/>
      <c r="AS477" s="696"/>
      <c r="AT477" s="696"/>
      <c r="AU477" s="696"/>
      <c r="AV477" s="696"/>
      <c r="AW477" s="696"/>
      <c r="AX477" s="696"/>
      <c r="AY477" s="696"/>
      <c r="AZ477" s="696"/>
      <c r="BA477" s="696"/>
      <c r="BB477" s="696"/>
      <c r="BC477" s="696"/>
      <c r="BD477" s="696"/>
      <c r="BE477" s="696"/>
      <c r="BF477" s="696"/>
      <c r="BG477" s="696"/>
      <c r="BH477" s="696"/>
    </row>
    <row r="478" spans="3:60" s="44" customFormat="1">
      <c r="C478" s="696"/>
      <c r="D478" s="696"/>
      <c r="E478" s="696"/>
      <c r="F478" s="696"/>
      <c r="G478" s="696"/>
      <c r="H478" s="696"/>
      <c r="I478" s="847"/>
      <c r="J478" s="696"/>
      <c r="K478" s="696"/>
      <c r="L478" s="696"/>
      <c r="M478" s="696"/>
      <c r="N478" s="696"/>
      <c r="O478" s="696"/>
      <c r="P478" s="696"/>
      <c r="Q478" s="847"/>
      <c r="R478" s="696"/>
      <c r="S478" s="696"/>
      <c r="T478" s="696"/>
      <c r="U478" s="696"/>
      <c r="V478" s="696"/>
      <c r="W478" s="696"/>
      <c r="X478" s="696"/>
      <c r="Y478" s="847"/>
      <c r="Z478" s="696"/>
      <c r="AA478" s="696"/>
      <c r="AB478" s="696"/>
      <c r="AC478" s="696"/>
      <c r="AD478" s="696"/>
      <c r="AE478" s="696"/>
      <c r="AF478" s="696"/>
      <c r="AG478" s="847"/>
      <c r="AH478" s="696"/>
      <c r="AI478" s="696"/>
      <c r="AJ478" s="696"/>
      <c r="AK478" s="696"/>
      <c r="AL478" s="696"/>
      <c r="AM478" s="696"/>
      <c r="AN478" s="696"/>
      <c r="AO478" s="847"/>
      <c r="AP478" s="696"/>
      <c r="AQ478" s="696"/>
      <c r="AR478" s="696"/>
      <c r="AS478" s="696"/>
      <c r="AT478" s="696"/>
      <c r="AU478" s="696"/>
      <c r="AV478" s="696"/>
      <c r="AW478" s="696"/>
      <c r="AX478" s="696"/>
      <c r="AY478" s="696"/>
      <c r="AZ478" s="696"/>
      <c r="BA478" s="696"/>
      <c r="BB478" s="696"/>
      <c r="BC478" s="696"/>
      <c r="BD478" s="696"/>
      <c r="BE478" s="696"/>
      <c r="BF478" s="696"/>
      <c r="BG478" s="696"/>
      <c r="BH478" s="696"/>
    </row>
    <row r="479" spans="3:60" s="44" customFormat="1">
      <c r="C479" s="696"/>
      <c r="D479" s="696"/>
      <c r="E479" s="696"/>
      <c r="F479" s="696"/>
      <c r="G479" s="696"/>
      <c r="H479" s="696"/>
      <c r="I479" s="847"/>
      <c r="J479" s="696"/>
      <c r="K479" s="696"/>
      <c r="L479" s="696"/>
      <c r="M479" s="696"/>
      <c r="N479" s="696"/>
      <c r="O479" s="696"/>
      <c r="P479" s="696"/>
      <c r="Q479" s="847"/>
      <c r="R479" s="696"/>
      <c r="S479" s="696"/>
      <c r="T479" s="696"/>
      <c r="U479" s="696"/>
      <c r="V479" s="696"/>
      <c r="W479" s="696"/>
      <c r="X479" s="696"/>
      <c r="Y479" s="847"/>
      <c r="Z479" s="696"/>
      <c r="AA479" s="696"/>
      <c r="AB479" s="696"/>
      <c r="AC479" s="696"/>
      <c r="AD479" s="696"/>
      <c r="AE479" s="696"/>
      <c r="AF479" s="696"/>
      <c r="AG479" s="847"/>
      <c r="AH479" s="696"/>
      <c r="AI479" s="696"/>
      <c r="AJ479" s="696"/>
      <c r="AK479" s="696"/>
      <c r="AL479" s="696"/>
      <c r="AM479" s="696"/>
      <c r="AN479" s="696"/>
      <c r="AO479" s="847"/>
      <c r="AP479" s="696"/>
      <c r="AQ479" s="696"/>
      <c r="AR479" s="696"/>
      <c r="AS479" s="696"/>
      <c r="AT479" s="696"/>
      <c r="AU479" s="696"/>
      <c r="AV479" s="696"/>
      <c r="AW479" s="696"/>
      <c r="AX479" s="696"/>
      <c r="AY479" s="696"/>
      <c r="AZ479" s="696"/>
      <c r="BA479" s="696"/>
      <c r="BB479" s="696"/>
      <c r="BC479" s="696"/>
      <c r="BD479" s="696"/>
      <c r="BE479" s="696"/>
      <c r="BF479" s="696"/>
      <c r="BG479" s="696"/>
      <c r="BH479" s="696"/>
    </row>
    <row r="480" spans="3:60" s="44" customFormat="1">
      <c r="C480" s="696"/>
      <c r="D480" s="696"/>
      <c r="E480" s="696"/>
      <c r="F480" s="696"/>
      <c r="G480" s="696"/>
      <c r="H480" s="696"/>
      <c r="I480" s="847"/>
      <c r="J480" s="696"/>
      <c r="K480" s="696"/>
      <c r="L480" s="696"/>
      <c r="M480" s="696"/>
      <c r="N480" s="696"/>
      <c r="O480" s="696"/>
      <c r="P480" s="696"/>
      <c r="Q480" s="847"/>
      <c r="R480" s="696"/>
      <c r="S480" s="696"/>
      <c r="T480" s="696"/>
      <c r="U480" s="696"/>
      <c r="V480" s="696"/>
      <c r="W480" s="696"/>
      <c r="X480" s="696"/>
      <c r="Y480" s="847"/>
      <c r="Z480" s="696"/>
      <c r="AA480" s="696"/>
      <c r="AB480" s="696"/>
      <c r="AC480" s="696"/>
      <c r="AD480" s="696"/>
      <c r="AE480" s="696"/>
      <c r="AF480" s="696"/>
      <c r="AG480" s="847"/>
      <c r="AH480" s="696"/>
      <c r="AI480" s="696"/>
      <c r="AJ480" s="696"/>
      <c r="AK480" s="696"/>
      <c r="AL480" s="696"/>
      <c r="AM480" s="696"/>
      <c r="AN480" s="696"/>
      <c r="AO480" s="847"/>
      <c r="AP480" s="696"/>
      <c r="AQ480" s="696"/>
      <c r="AR480" s="696"/>
      <c r="AS480" s="696"/>
      <c r="AT480" s="696"/>
      <c r="AU480" s="696"/>
      <c r="AV480" s="696"/>
      <c r="AW480" s="45"/>
      <c r="AX480" s="45"/>
      <c r="AY480" s="45"/>
      <c r="AZ480" s="45"/>
      <c r="BA480" s="45"/>
      <c r="BB480" s="45"/>
      <c r="BC480" s="45"/>
      <c r="BD480" s="45"/>
      <c r="BE480" s="45"/>
      <c r="BF480" s="45"/>
      <c r="BG480" s="45"/>
      <c r="BH480" s="45"/>
    </row>
    <row r="481" spans="3:60" s="44" customFormat="1">
      <c r="C481" s="696"/>
      <c r="D481" s="696"/>
      <c r="E481" s="696"/>
      <c r="F481" s="696"/>
      <c r="G481" s="696"/>
      <c r="H481" s="696"/>
      <c r="I481" s="847"/>
      <c r="J481" s="696"/>
      <c r="K481" s="696"/>
      <c r="L481" s="696"/>
      <c r="M481" s="696"/>
      <c r="N481" s="696"/>
      <c r="O481" s="696"/>
      <c r="P481" s="696"/>
      <c r="Q481" s="847"/>
      <c r="R481" s="696"/>
      <c r="S481" s="696"/>
      <c r="T481" s="696"/>
      <c r="U481" s="696"/>
      <c r="V481" s="696"/>
      <c r="W481" s="696"/>
      <c r="X481" s="696"/>
      <c r="Y481" s="847"/>
      <c r="Z481" s="696"/>
      <c r="AA481" s="696"/>
      <c r="AB481" s="696"/>
      <c r="AC481" s="696"/>
      <c r="AD481" s="696"/>
      <c r="AE481" s="696"/>
      <c r="AF481" s="696"/>
      <c r="AG481" s="847"/>
      <c r="AH481" s="696"/>
      <c r="AI481" s="696"/>
      <c r="AJ481" s="696"/>
      <c r="AK481" s="696"/>
      <c r="AL481" s="696"/>
      <c r="AM481" s="696"/>
      <c r="AN481" s="696"/>
      <c r="AO481" s="847"/>
      <c r="AP481" s="696"/>
      <c r="AQ481" s="696"/>
      <c r="AR481" s="696"/>
      <c r="AS481" s="696"/>
      <c r="AT481" s="696"/>
      <c r="AU481" s="696"/>
      <c r="AV481" s="696"/>
      <c r="AW481" s="45"/>
      <c r="AX481" s="45"/>
      <c r="AY481" s="45"/>
      <c r="AZ481" s="45"/>
      <c r="BA481" s="45"/>
      <c r="BB481" s="45"/>
      <c r="BC481" s="45"/>
      <c r="BD481" s="45"/>
      <c r="BE481" s="45"/>
      <c r="BF481" s="45"/>
      <c r="BG481" s="45"/>
      <c r="BH481" s="45"/>
    </row>
    <row r="482" spans="3:60" s="44" customFormat="1">
      <c r="C482" s="696"/>
      <c r="D482" s="696"/>
      <c r="E482" s="696"/>
      <c r="F482" s="696"/>
      <c r="G482" s="696"/>
      <c r="H482" s="696"/>
      <c r="I482" s="847"/>
      <c r="J482" s="696"/>
      <c r="K482" s="696"/>
      <c r="L482" s="696"/>
      <c r="M482" s="696"/>
      <c r="N482" s="696"/>
      <c r="O482" s="696"/>
      <c r="P482" s="696"/>
      <c r="Q482" s="847"/>
      <c r="R482" s="696"/>
      <c r="S482" s="696"/>
      <c r="T482" s="696"/>
      <c r="U482" s="696"/>
      <c r="V482" s="696"/>
      <c r="W482" s="696"/>
      <c r="X482" s="696"/>
      <c r="Y482" s="847"/>
      <c r="Z482" s="696"/>
      <c r="AA482" s="696"/>
      <c r="AB482" s="696"/>
      <c r="AC482" s="696"/>
      <c r="AD482" s="696"/>
      <c r="AE482" s="696"/>
      <c r="AF482" s="696"/>
      <c r="AG482" s="847"/>
      <c r="AH482" s="696"/>
      <c r="AI482" s="696"/>
      <c r="AJ482" s="696"/>
      <c r="AK482" s="696"/>
      <c r="AL482" s="696"/>
      <c r="AM482" s="696"/>
      <c r="AN482" s="696"/>
      <c r="AO482" s="847"/>
      <c r="AP482" s="696"/>
      <c r="AQ482" s="696"/>
      <c r="AR482" s="696"/>
      <c r="AS482" s="696"/>
      <c r="AT482" s="696"/>
      <c r="AU482" s="696"/>
      <c r="AV482" s="696"/>
      <c r="AW482" s="45"/>
      <c r="AX482" s="45"/>
      <c r="AY482" s="45"/>
      <c r="AZ482" s="45"/>
      <c r="BA482" s="45"/>
      <c r="BB482" s="45"/>
      <c r="BC482" s="45"/>
      <c r="BD482" s="45"/>
      <c r="BE482" s="45"/>
      <c r="BF482" s="45"/>
      <c r="BG482" s="45"/>
      <c r="BH482" s="45"/>
    </row>
    <row r="483" spans="3:60" s="44" customFormat="1">
      <c r="C483" s="696"/>
      <c r="D483" s="696"/>
      <c r="E483" s="696"/>
      <c r="F483" s="696"/>
      <c r="G483" s="696"/>
      <c r="H483" s="696"/>
      <c r="I483" s="847"/>
      <c r="J483" s="696"/>
      <c r="K483" s="696"/>
      <c r="L483" s="696"/>
      <c r="M483" s="696"/>
      <c r="N483" s="696"/>
      <c r="O483" s="696"/>
      <c r="P483" s="696"/>
      <c r="Q483" s="847"/>
      <c r="R483" s="696"/>
      <c r="S483" s="696"/>
      <c r="T483" s="696"/>
      <c r="U483" s="696"/>
      <c r="V483" s="696"/>
      <c r="W483" s="696"/>
      <c r="X483" s="696"/>
      <c r="Y483" s="847"/>
      <c r="Z483" s="696"/>
      <c r="AA483" s="696"/>
      <c r="AB483" s="696"/>
      <c r="AC483" s="696"/>
      <c r="AD483" s="696"/>
      <c r="AE483" s="696"/>
      <c r="AF483" s="696"/>
      <c r="AG483" s="847"/>
      <c r="AH483" s="696"/>
      <c r="AI483" s="696"/>
      <c r="AJ483" s="696"/>
      <c r="AK483" s="696"/>
      <c r="AL483" s="696"/>
      <c r="AM483" s="696"/>
      <c r="AN483" s="696"/>
      <c r="AO483" s="847"/>
      <c r="AP483" s="696"/>
      <c r="AQ483" s="696"/>
      <c r="AR483" s="696"/>
      <c r="AS483" s="696"/>
      <c r="AT483" s="696"/>
      <c r="AU483" s="696"/>
      <c r="AV483" s="696"/>
      <c r="AW483" s="45"/>
      <c r="AX483" s="45"/>
      <c r="AY483" s="45"/>
      <c r="AZ483" s="45"/>
      <c r="BA483" s="45"/>
      <c r="BB483" s="45"/>
      <c r="BC483" s="45"/>
      <c r="BD483" s="45"/>
      <c r="BE483" s="45"/>
      <c r="BF483" s="45"/>
      <c r="BG483" s="45"/>
      <c r="BH483" s="45"/>
    </row>
    <row r="484" spans="3:60" s="44" customFormat="1">
      <c r="C484" s="696"/>
      <c r="D484" s="696"/>
      <c r="E484" s="696"/>
      <c r="F484" s="696"/>
      <c r="G484" s="696"/>
      <c r="H484" s="696"/>
      <c r="I484" s="847"/>
      <c r="J484" s="696"/>
      <c r="K484" s="696"/>
      <c r="L484" s="696"/>
      <c r="M484" s="696"/>
      <c r="N484" s="696"/>
      <c r="O484" s="696"/>
      <c r="P484" s="696"/>
      <c r="Q484" s="847"/>
      <c r="R484" s="696"/>
      <c r="S484" s="696"/>
      <c r="T484" s="696"/>
      <c r="U484" s="696"/>
      <c r="V484" s="696"/>
      <c r="W484" s="696"/>
      <c r="X484" s="696"/>
      <c r="Y484" s="847"/>
      <c r="Z484" s="696"/>
      <c r="AA484" s="696"/>
      <c r="AB484" s="696"/>
      <c r="AC484" s="696"/>
      <c r="AD484" s="696"/>
      <c r="AE484" s="696"/>
      <c r="AF484" s="696"/>
      <c r="AG484" s="847"/>
      <c r="AH484" s="696"/>
      <c r="AI484" s="696"/>
      <c r="AJ484" s="696"/>
      <c r="AK484" s="696"/>
      <c r="AL484" s="696"/>
      <c r="AM484" s="696"/>
      <c r="AN484" s="696"/>
      <c r="AO484" s="847"/>
      <c r="AP484" s="696"/>
      <c r="AQ484" s="696"/>
      <c r="AR484" s="696"/>
      <c r="AS484" s="696"/>
      <c r="AT484" s="696"/>
      <c r="AU484" s="696"/>
      <c r="AV484" s="696"/>
      <c r="AW484" s="45"/>
      <c r="AX484" s="45"/>
      <c r="AY484" s="45"/>
      <c r="AZ484" s="45"/>
      <c r="BA484" s="45"/>
      <c r="BB484" s="45"/>
      <c r="BC484" s="45"/>
      <c r="BD484" s="45"/>
      <c r="BE484" s="45"/>
      <c r="BF484" s="45"/>
      <c r="BG484" s="45"/>
      <c r="BH484" s="45"/>
    </row>
    <row r="485" spans="3:60" s="44" customFormat="1">
      <c r="C485" s="696"/>
      <c r="D485" s="696"/>
      <c r="E485" s="696"/>
      <c r="F485" s="696"/>
      <c r="G485" s="696"/>
      <c r="H485" s="696"/>
      <c r="I485" s="847"/>
      <c r="J485" s="696"/>
      <c r="K485" s="696"/>
      <c r="L485" s="696"/>
      <c r="M485" s="696"/>
      <c r="N485" s="696"/>
      <c r="O485" s="696"/>
      <c r="P485" s="696"/>
      <c r="Q485" s="847"/>
      <c r="R485" s="696"/>
      <c r="S485" s="696"/>
      <c r="T485" s="696"/>
      <c r="U485" s="696"/>
      <c r="V485" s="696"/>
      <c r="W485" s="696"/>
      <c r="X485" s="696"/>
      <c r="Y485" s="847"/>
      <c r="Z485" s="696"/>
      <c r="AA485" s="696"/>
      <c r="AB485" s="696"/>
      <c r="AC485" s="696"/>
      <c r="AD485" s="696"/>
      <c r="AE485" s="696"/>
      <c r="AF485" s="696"/>
      <c r="AG485" s="847"/>
      <c r="AH485" s="696"/>
      <c r="AI485" s="696"/>
      <c r="AJ485" s="696"/>
      <c r="AK485" s="696"/>
      <c r="AL485" s="696"/>
      <c r="AM485" s="696"/>
      <c r="AN485" s="696"/>
      <c r="AO485" s="847"/>
      <c r="AP485" s="696"/>
      <c r="AQ485" s="696"/>
      <c r="AR485" s="696"/>
      <c r="AS485" s="696"/>
      <c r="AT485" s="696"/>
      <c r="AU485" s="696"/>
      <c r="AV485" s="696"/>
      <c r="AW485" s="45"/>
      <c r="AX485" s="45"/>
      <c r="AY485" s="45"/>
      <c r="AZ485" s="45"/>
      <c r="BA485" s="45"/>
      <c r="BB485" s="45"/>
      <c r="BC485" s="45"/>
      <c r="BD485" s="45"/>
      <c r="BE485" s="45"/>
      <c r="BF485" s="45"/>
      <c r="BG485" s="45"/>
      <c r="BH485" s="45"/>
    </row>
    <row r="486" spans="3:60" s="44" customFormat="1">
      <c r="C486" s="696"/>
      <c r="D486" s="696"/>
      <c r="E486" s="696"/>
      <c r="F486" s="696"/>
      <c r="G486" s="696"/>
      <c r="H486" s="696"/>
      <c r="I486" s="847"/>
      <c r="J486" s="696"/>
      <c r="K486" s="696"/>
      <c r="L486" s="696"/>
      <c r="M486" s="696"/>
      <c r="N486" s="696"/>
      <c r="O486" s="696"/>
      <c r="P486" s="696"/>
      <c r="Q486" s="847"/>
      <c r="R486" s="696"/>
      <c r="S486" s="696"/>
      <c r="T486" s="696"/>
      <c r="U486" s="696"/>
      <c r="V486" s="696"/>
      <c r="W486" s="696"/>
      <c r="X486" s="696"/>
      <c r="Y486" s="847"/>
      <c r="Z486" s="696"/>
      <c r="AA486" s="696"/>
      <c r="AB486" s="696"/>
      <c r="AC486" s="696"/>
      <c r="AD486" s="696"/>
      <c r="AE486" s="696"/>
      <c r="AF486" s="696"/>
      <c r="AG486" s="847"/>
      <c r="AH486" s="696"/>
      <c r="AI486" s="696"/>
      <c r="AJ486" s="696"/>
      <c r="AK486" s="696"/>
      <c r="AL486" s="696"/>
      <c r="AM486" s="696"/>
      <c r="AN486" s="696"/>
      <c r="AO486" s="847"/>
      <c r="AP486" s="696"/>
      <c r="AQ486" s="696"/>
      <c r="AR486" s="696"/>
      <c r="AS486" s="696"/>
      <c r="AT486" s="696"/>
      <c r="AU486" s="696"/>
      <c r="AV486" s="696"/>
      <c r="AW486" s="45"/>
      <c r="AX486" s="45"/>
      <c r="AY486" s="45"/>
      <c r="AZ486" s="45"/>
      <c r="BA486" s="45"/>
      <c r="BB486" s="45"/>
      <c r="BC486" s="45"/>
      <c r="BD486" s="45"/>
      <c r="BE486" s="45"/>
      <c r="BF486" s="45"/>
      <c r="BG486" s="45"/>
      <c r="BH486" s="45"/>
    </row>
    <row r="487" spans="3:60" s="44" customFormat="1">
      <c r="C487" s="696"/>
      <c r="D487" s="696"/>
      <c r="E487" s="696"/>
      <c r="F487" s="696"/>
      <c r="G487" s="696"/>
      <c r="H487" s="696"/>
      <c r="I487" s="847"/>
      <c r="J487" s="696"/>
      <c r="K487" s="696"/>
      <c r="L487" s="696"/>
      <c r="M487" s="696"/>
      <c r="N487" s="696"/>
      <c r="O487" s="696"/>
      <c r="P487" s="696"/>
      <c r="Q487" s="847"/>
      <c r="R487" s="696"/>
      <c r="S487" s="696"/>
      <c r="T487" s="696"/>
      <c r="U487" s="696"/>
      <c r="V487" s="696"/>
      <c r="W487" s="696"/>
      <c r="X487" s="696"/>
      <c r="Y487" s="847"/>
      <c r="Z487" s="696"/>
      <c r="AA487" s="696"/>
      <c r="AB487" s="696"/>
      <c r="AC487" s="696"/>
      <c r="AD487" s="696"/>
      <c r="AE487" s="696"/>
      <c r="AF487" s="696"/>
      <c r="AG487" s="847"/>
      <c r="AH487" s="696"/>
      <c r="AI487" s="696"/>
      <c r="AJ487" s="696"/>
      <c r="AK487" s="696"/>
      <c r="AL487" s="696"/>
      <c r="AM487" s="696"/>
      <c r="AN487" s="696"/>
      <c r="AO487" s="847"/>
      <c r="AP487" s="696"/>
      <c r="AQ487" s="696"/>
      <c r="AR487" s="696"/>
      <c r="AS487" s="696"/>
      <c r="AT487" s="696"/>
      <c r="AU487" s="696"/>
      <c r="AV487" s="696"/>
      <c r="AW487" s="45"/>
      <c r="AX487" s="45"/>
      <c r="AY487" s="45"/>
      <c r="AZ487" s="45"/>
      <c r="BA487" s="45"/>
      <c r="BB487" s="45"/>
      <c r="BC487" s="45"/>
      <c r="BD487" s="45"/>
      <c r="BE487" s="45"/>
      <c r="BF487" s="45"/>
      <c r="BG487" s="45"/>
      <c r="BH487" s="45"/>
    </row>
    <row r="488" spans="3:60" s="44" customFormat="1">
      <c r="C488" s="696"/>
      <c r="D488" s="696"/>
      <c r="E488" s="696"/>
      <c r="F488" s="696"/>
      <c r="G488" s="696"/>
      <c r="H488" s="696"/>
      <c r="I488" s="847"/>
      <c r="J488" s="696"/>
      <c r="K488" s="696"/>
      <c r="L488" s="696"/>
      <c r="M488" s="696"/>
      <c r="N488" s="696"/>
      <c r="O488" s="696"/>
      <c r="P488" s="696"/>
      <c r="Q488" s="847"/>
      <c r="R488" s="696"/>
      <c r="S488" s="696"/>
      <c r="T488" s="696"/>
      <c r="U488" s="696"/>
      <c r="V488" s="696"/>
      <c r="W488" s="696"/>
      <c r="X488" s="696"/>
      <c r="Y488" s="847"/>
      <c r="Z488" s="696"/>
      <c r="AA488" s="696"/>
      <c r="AB488" s="696"/>
      <c r="AC488" s="696"/>
      <c r="AD488" s="696"/>
      <c r="AE488" s="696"/>
      <c r="AF488" s="696"/>
      <c r="AG488" s="847"/>
      <c r="AH488" s="696"/>
      <c r="AI488" s="696"/>
      <c r="AJ488" s="696"/>
      <c r="AK488" s="696"/>
      <c r="AL488" s="696"/>
      <c r="AM488" s="696"/>
      <c r="AN488" s="696"/>
      <c r="AO488" s="847"/>
      <c r="AP488" s="696"/>
      <c r="AQ488" s="696"/>
      <c r="AR488" s="696"/>
      <c r="AS488" s="696"/>
      <c r="AT488" s="696"/>
      <c r="AU488" s="696"/>
      <c r="AV488" s="696"/>
      <c r="AW488" s="45"/>
      <c r="AX488" s="45"/>
      <c r="AY488" s="45"/>
      <c r="AZ488" s="45"/>
      <c r="BA488" s="45"/>
      <c r="BB488" s="45"/>
      <c r="BC488" s="45"/>
      <c r="BD488" s="45"/>
      <c r="BE488" s="45"/>
      <c r="BF488" s="45"/>
      <c r="BG488" s="45"/>
      <c r="BH488" s="45"/>
    </row>
    <row r="489" spans="3:60" s="44" customFormat="1">
      <c r="C489" s="696"/>
      <c r="D489" s="696"/>
      <c r="E489" s="696"/>
      <c r="F489" s="696"/>
      <c r="G489" s="696"/>
      <c r="H489" s="696"/>
      <c r="I489" s="847"/>
      <c r="J489" s="696"/>
      <c r="K489" s="696"/>
      <c r="L489" s="696"/>
      <c r="M489" s="696"/>
      <c r="N489" s="696"/>
      <c r="O489" s="696"/>
      <c r="P489" s="696"/>
      <c r="Q489" s="847"/>
      <c r="R489" s="696"/>
      <c r="S489" s="696"/>
      <c r="T489" s="696"/>
      <c r="U489" s="696"/>
      <c r="V489" s="696"/>
      <c r="W489" s="696"/>
      <c r="X489" s="696"/>
      <c r="Y489" s="847"/>
      <c r="Z489" s="696"/>
      <c r="AA489" s="696"/>
      <c r="AB489" s="696"/>
      <c r="AC489" s="696"/>
      <c r="AD489" s="696"/>
      <c r="AE489" s="696"/>
      <c r="AF489" s="696"/>
      <c r="AG489" s="847"/>
      <c r="AH489" s="696"/>
      <c r="AI489" s="696"/>
      <c r="AJ489" s="696"/>
      <c r="AK489" s="696"/>
      <c r="AL489" s="696"/>
      <c r="AM489" s="696"/>
      <c r="AN489" s="696"/>
      <c r="AO489" s="847"/>
      <c r="AP489" s="696"/>
      <c r="AQ489" s="696"/>
      <c r="AR489" s="696"/>
      <c r="AS489" s="696"/>
      <c r="AT489" s="696"/>
      <c r="AU489" s="696"/>
      <c r="AV489" s="696"/>
      <c r="AW489" s="45"/>
      <c r="AX489" s="45"/>
      <c r="AY489" s="45"/>
      <c r="AZ489" s="45"/>
      <c r="BA489" s="45"/>
      <c r="BB489" s="45"/>
      <c r="BC489" s="45"/>
      <c r="BD489" s="45"/>
      <c r="BE489" s="45"/>
      <c r="BF489" s="45"/>
      <c r="BG489" s="45"/>
      <c r="BH489" s="45"/>
    </row>
    <row r="490" spans="3:60" s="44" customFormat="1">
      <c r="C490" s="696"/>
      <c r="D490" s="696"/>
      <c r="E490" s="696"/>
      <c r="F490" s="696"/>
      <c r="G490" s="696"/>
      <c r="H490" s="696"/>
      <c r="I490" s="847"/>
      <c r="J490" s="696"/>
      <c r="K490" s="696"/>
      <c r="L490" s="696"/>
      <c r="M490" s="696"/>
      <c r="N490" s="696"/>
      <c r="O490" s="696"/>
      <c r="P490" s="696"/>
      <c r="Q490" s="847"/>
      <c r="R490" s="696"/>
      <c r="S490" s="696"/>
      <c r="T490" s="696"/>
      <c r="U490" s="696"/>
      <c r="V490" s="696"/>
      <c r="W490" s="696"/>
      <c r="X490" s="696"/>
      <c r="Y490" s="847"/>
      <c r="Z490" s="696"/>
      <c r="AA490" s="696"/>
      <c r="AB490" s="696"/>
      <c r="AC490" s="696"/>
      <c r="AD490" s="696"/>
      <c r="AE490" s="696"/>
      <c r="AF490" s="696"/>
      <c r="AG490" s="847"/>
      <c r="AH490" s="696"/>
      <c r="AI490" s="696"/>
      <c r="AJ490" s="696"/>
      <c r="AK490" s="696"/>
      <c r="AL490" s="696"/>
      <c r="AM490" s="696"/>
      <c r="AN490" s="696"/>
      <c r="AO490" s="847"/>
      <c r="AP490" s="696"/>
      <c r="AQ490" s="696"/>
      <c r="AR490" s="696"/>
      <c r="AS490" s="696"/>
      <c r="AT490" s="696"/>
      <c r="AU490" s="696"/>
      <c r="AV490" s="696"/>
      <c r="AW490" s="45"/>
      <c r="AX490" s="45"/>
      <c r="AY490" s="45"/>
      <c r="AZ490" s="45"/>
      <c r="BA490" s="45"/>
      <c r="BB490" s="45"/>
      <c r="BC490" s="45"/>
      <c r="BD490" s="45"/>
      <c r="BE490" s="45"/>
      <c r="BF490" s="45"/>
      <c r="BG490" s="45"/>
      <c r="BH490" s="45"/>
    </row>
    <row r="491" spans="3:60" s="44" customFormat="1">
      <c r="C491" s="696"/>
      <c r="D491" s="696"/>
      <c r="E491" s="696"/>
      <c r="F491" s="696"/>
      <c r="G491" s="696"/>
      <c r="H491" s="696"/>
      <c r="I491" s="847"/>
      <c r="J491" s="696"/>
      <c r="K491" s="696"/>
      <c r="L491" s="696"/>
      <c r="M491" s="696"/>
      <c r="N491" s="696"/>
      <c r="O491" s="696"/>
      <c r="P491" s="696"/>
      <c r="Q491" s="847"/>
      <c r="R491" s="696"/>
      <c r="S491" s="696"/>
      <c r="T491" s="696"/>
      <c r="U491" s="696"/>
      <c r="V491" s="696"/>
      <c r="W491" s="696"/>
      <c r="X491" s="696"/>
      <c r="Y491" s="847"/>
      <c r="Z491" s="696"/>
      <c r="AA491" s="696"/>
      <c r="AB491" s="696"/>
      <c r="AC491" s="696"/>
      <c r="AD491" s="696"/>
      <c r="AE491" s="696"/>
      <c r="AF491" s="696"/>
      <c r="AG491" s="847"/>
      <c r="AH491" s="696"/>
      <c r="AI491" s="696"/>
      <c r="AJ491" s="696"/>
      <c r="AK491" s="696"/>
      <c r="AL491" s="696"/>
      <c r="AM491" s="696"/>
      <c r="AN491" s="696"/>
      <c r="AO491" s="847"/>
      <c r="AP491" s="696"/>
      <c r="AQ491" s="696"/>
      <c r="AR491" s="696"/>
      <c r="AS491" s="696"/>
      <c r="AT491" s="696"/>
      <c r="AU491" s="696"/>
      <c r="AV491" s="696"/>
      <c r="AW491" s="45"/>
      <c r="AX491" s="45"/>
      <c r="AY491" s="45"/>
      <c r="AZ491" s="45"/>
      <c r="BA491" s="45"/>
      <c r="BB491" s="45"/>
      <c r="BC491" s="45"/>
      <c r="BD491" s="45"/>
      <c r="BE491" s="45"/>
      <c r="BF491" s="45"/>
      <c r="BG491" s="45"/>
      <c r="BH491" s="45"/>
    </row>
    <row r="492" spans="3:60" s="44" customFormat="1">
      <c r="C492" s="696"/>
      <c r="D492" s="696"/>
      <c r="E492" s="696"/>
      <c r="F492" s="696"/>
      <c r="G492" s="696"/>
      <c r="H492" s="696"/>
      <c r="I492" s="847"/>
      <c r="J492" s="696"/>
      <c r="K492" s="696"/>
      <c r="L492" s="696"/>
      <c r="M492" s="696"/>
      <c r="N492" s="696"/>
      <c r="O492" s="696"/>
      <c r="P492" s="696"/>
      <c r="Q492" s="847"/>
      <c r="R492" s="696"/>
      <c r="S492" s="696"/>
      <c r="T492" s="696"/>
      <c r="U492" s="696"/>
      <c r="V492" s="696"/>
      <c r="W492" s="696"/>
      <c r="X492" s="696"/>
      <c r="Y492" s="847"/>
      <c r="Z492" s="696"/>
      <c r="AA492" s="696"/>
      <c r="AB492" s="696"/>
      <c r="AC492" s="696"/>
      <c r="AD492" s="696"/>
      <c r="AE492" s="696"/>
      <c r="AF492" s="696"/>
      <c r="AG492" s="847"/>
      <c r="AH492" s="696"/>
      <c r="AI492" s="696"/>
      <c r="AJ492" s="696"/>
      <c r="AK492" s="696"/>
      <c r="AL492" s="696"/>
      <c r="AM492" s="696"/>
      <c r="AN492" s="696"/>
      <c r="AO492" s="847"/>
      <c r="AP492" s="696"/>
      <c r="AQ492" s="696"/>
      <c r="AR492" s="696"/>
      <c r="AS492" s="696"/>
      <c r="AT492" s="696"/>
      <c r="AU492" s="696"/>
      <c r="AV492" s="696"/>
      <c r="AW492" s="45"/>
      <c r="AX492" s="45"/>
      <c r="AY492" s="45"/>
      <c r="AZ492" s="45"/>
      <c r="BA492" s="45"/>
      <c r="BB492" s="45"/>
      <c r="BC492" s="45"/>
      <c r="BD492" s="45"/>
      <c r="BE492" s="45"/>
      <c r="BF492" s="45"/>
      <c r="BG492" s="45"/>
      <c r="BH492" s="45"/>
    </row>
    <row r="493" spans="3:60" s="44" customFormat="1">
      <c r="C493" s="696"/>
      <c r="D493" s="696"/>
      <c r="E493" s="696"/>
      <c r="F493" s="696"/>
      <c r="G493" s="696"/>
      <c r="H493" s="696"/>
      <c r="I493" s="847"/>
      <c r="J493" s="696"/>
      <c r="K493" s="696"/>
      <c r="L493" s="696"/>
      <c r="M493" s="696"/>
      <c r="N493" s="696"/>
      <c r="O493" s="696"/>
      <c r="P493" s="696"/>
      <c r="Q493" s="847"/>
      <c r="R493" s="696"/>
      <c r="S493" s="696"/>
      <c r="T493" s="696"/>
      <c r="U493" s="696"/>
      <c r="V493" s="696"/>
      <c r="W493" s="696"/>
      <c r="X493" s="696"/>
      <c r="Y493" s="847"/>
      <c r="Z493" s="696"/>
      <c r="AA493" s="696"/>
      <c r="AB493" s="696"/>
      <c r="AC493" s="696"/>
      <c r="AD493" s="696"/>
      <c r="AE493" s="696"/>
      <c r="AF493" s="696"/>
      <c r="AG493" s="847"/>
      <c r="AH493" s="696"/>
      <c r="AI493" s="696"/>
      <c r="AJ493" s="696"/>
      <c r="AK493" s="696"/>
      <c r="AL493" s="696"/>
      <c r="AM493" s="696"/>
      <c r="AN493" s="696"/>
      <c r="AO493" s="847"/>
      <c r="AP493" s="696"/>
      <c r="AQ493" s="696"/>
      <c r="AR493" s="696"/>
      <c r="AS493" s="696"/>
      <c r="AT493" s="696"/>
      <c r="AU493" s="696"/>
      <c r="AV493" s="696"/>
      <c r="AW493" s="45"/>
      <c r="AX493" s="45"/>
      <c r="AY493" s="45"/>
      <c r="AZ493" s="45"/>
      <c r="BA493" s="45"/>
      <c r="BB493" s="45"/>
      <c r="BC493" s="45"/>
      <c r="BD493" s="45"/>
      <c r="BE493" s="45"/>
      <c r="BF493" s="45"/>
      <c r="BG493" s="45"/>
      <c r="BH493" s="45"/>
    </row>
    <row r="494" spans="3:60" s="44" customFormat="1">
      <c r="C494" s="696"/>
      <c r="D494" s="696"/>
      <c r="E494" s="696"/>
      <c r="F494" s="696"/>
      <c r="G494" s="696"/>
      <c r="H494" s="696"/>
      <c r="I494" s="847"/>
      <c r="J494" s="696"/>
      <c r="K494" s="696"/>
      <c r="L494" s="696"/>
      <c r="M494" s="696"/>
      <c r="N494" s="696"/>
      <c r="O494" s="696"/>
      <c r="P494" s="696"/>
      <c r="Q494" s="847"/>
      <c r="R494" s="696"/>
      <c r="S494" s="696"/>
      <c r="T494" s="696"/>
      <c r="U494" s="696"/>
      <c r="V494" s="696"/>
      <c r="W494" s="696"/>
      <c r="X494" s="696"/>
      <c r="Y494" s="847"/>
      <c r="Z494" s="696"/>
      <c r="AA494" s="696"/>
      <c r="AB494" s="696"/>
      <c r="AC494" s="696"/>
      <c r="AD494" s="696"/>
      <c r="AE494" s="696"/>
      <c r="AF494" s="696"/>
      <c r="AG494" s="847"/>
      <c r="AH494" s="696"/>
      <c r="AI494" s="696"/>
      <c r="AJ494" s="696"/>
      <c r="AK494" s="696"/>
      <c r="AL494" s="696"/>
      <c r="AM494" s="696"/>
      <c r="AN494" s="696"/>
      <c r="AO494" s="847"/>
      <c r="AP494" s="696"/>
      <c r="AQ494" s="696"/>
      <c r="AR494" s="696"/>
      <c r="AS494" s="696"/>
      <c r="AT494" s="696"/>
      <c r="AU494" s="696"/>
      <c r="AV494" s="696"/>
      <c r="AW494" s="45"/>
      <c r="AX494" s="45"/>
      <c r="AY494" s="45"/>
      <c r="AZ494" s="45"/>
      <c r="BA494" s="45"/>
      <c r="BB494" s="45"/>
      <c r="BC494" s="45"/>
      <c r="BD494" s="45"/>
      <c r="BE494" s="45"/>
      <c r="BF494" s="45"/>
      <c r="BG494" s="45"/>
      <c r="BH494" s="45"/>
    </row>
    <row r="495" spans="3:60" s="44" customFormat="1">
      <c r="C495" s="696"/>
      <c r="D495" s="696"/>
      <c r="E495" s="696"/>
      <c r="F495" s="696"/>
      <c r="G495" s="696"/>
      <c r="H495" s="696"/>
      <c r="I495" s="847"/>
      <c r="J495" s="696"/>
      <c r="K495" s="696"/>
      <c r="L495" s="696"/>
      <c r="M495" s="696"/>
      <c r="N495" s="696"/>
      <c r="O495" s="696"/>
      <c r="P495" s="696"/>
      <c r="Q495" s="847"/>
      <c r="R495" s="696"/>
      <c r="S495" s="696"/>
      <c r="T495" s="696"/>
      <c r="U495" s="696"/>
      <c r="V495" s="696"/>
      <c r="W495" s="696"/>
      <c r="X495" s="696"/>
      <c r="Y495" s="847"/>
      <c r="Z495" s="696"/>
      <c r="AA495" s="696"/>
      <c r="AB495" s="696"/>
      <c r="AC495" s="696"/>
      <c r="AD495" s="696"/>
      <c r="AE495" s="696"/>
      <c r="AF495" s="696"/>
      <c r="AG495" s="847"/>
      <c r="AH495" s="696"/>
      <c r="AI495" s="696"/>
      <c r="AJ495" s="696"/>
      <c r="AK495" s="696"/>
      <c r="AL495" s="696"/>
      <c r="AM495" s="696"/>
      <c r="AN495" s="696"/>
      <c r="AO495" s="847"/>
      <c r="AP495" s="696"/>
      <c r="AQ495" s="696"/>
      <c r="AR495" s="696"/>
      <c r="AS495" s="696"/>
      <c r="AT495" s="696"/>
      <c r="AU495" s="696"/>
      <c r="AV495" s="696"/>
      <c r="AW495" s="45"/>
      <c r="AX495" s="45"/>
      <c r="AY495" s="45"/>
      <c r="AZ495" s="45"/>
      <c r="BA495" s="45"/>
      <c r="BB495" s="45"/>
      <c r="BC495" s="45"/>
      <c r="BD495" s="45"/>
      <c r="BE495" s="45"/>
      <c r="BF495" s="45"/>
      <c r="BG495" s="45"/>
      <c r="BH495" s="45"/>
    </row>
    <row r="496" spans="3:60" s="44" customFormat="1">
      <c r="C496" s="696"/>
      <c r="D496" s="696"/>
      <c r="E496" s="696"/>
      <c r="F496" s="696"/>
      <c r="G496" s="696"/>
      <c r="H496" s="696"/>
      <c r="I496" s="847"/>
      <c r="J496" s="696"/>
      <c r="K496" s="696"/>
      <c r="L496" s="696"/>
      <c r="M496" s="696"/>
      <c r="N496" s="696"/>
      <c r="O496" s="696"/>
      <c r="P496" s="696"/>
      <c r="Q496" s="847"/>
      <c r="R496" s="696"/>
      <c r="S496" s="696"/>
      <c r="T496" s="696"/>
      <c r="U496" s="696"/>
      <c r="V496" s="696"/>
      <c r="W496" s="696"/>
      <c r="X496" s="696"/>
      <c r="Y496" s="847"/>
      <c r="Z496" s="696"/>
      <c r="AA496" s="696"/>
      <c r="AB496" s="696"/>
      <c r="AC496" s="696"/>
      <c r="AD496" s="696"/>
      <c r="AE496" s="696"/>
      <c r="AF496" s="696"/>
      <c r="AG496" s="847"/>
      <c r="AH496" s="696"/>
      <c r="AI496" s="696"/>
      <c r="AJ496" s="696"/>
      <c r="AK496" s="696"/>
      <c r="AL496" s="696"/>
      <c r="AM496" s="696"/>
      <c r="AN496" s="696"/>
      <c r="AO496" s="847"/>
      <c r="AP496" s="696"/>
      <c r="AQ496" s="696"/>
      <c r="AR496" s="696"/>
      <c r="AS496" s="696"/>
      <c r="AT496" s="696"/>
      <c r="AU496" s="696"/>
      <c r="AV496" s="696"/>
      <c r="AW496" s="45"/>
      <c r="AX496" s="45"/>
      <c r="AY496" s="45"/>
      <c r="AZ496" s="45"/>
      <c r="BA496" s="45"/>
      <c r="BB496" s="45"/>
      <c r="BC496" s="45"/>
      <c r="BD496" s="45"/>
      <c r="BE496" s="45"/>
      <c r="BF496" s="45"/>
      <c r="BG496" s="45"/>
      <c r="BH496" s="45"/>
    </row>
    <row r="497" spans="3:60" s="44" customFormat="1">
      <c r="C497" s="696"/>
      <c r="D497" s="696"/>
      <c r="E497" s="696"/>
      <c r="F497" s="696"/>
      <c r="G497" s="696"/>
      <c r="H497" s="696"/>
      <c r="I497" s="847"/>
      <c r="J497" s="696"/>
      <c r="K497" s="696"/>
      <c r="L497" s="696"/>
      <c r="M497" s="696"/>
      <c r="N497" s="696"/>
      <c r="O497" s="696"/>
      <c r="P497" s="696"/>
      <c r="Q497" s="847"/>
      <c r="R497" s="696"/>
      <c r="S497" s="696"/>
      <c r="T497" s="696"/>
      <c r="U497" s="696"/>
      <c r="V497" s="696"/>
      <c r="W497" s="696"/>
      <c r="X497" s="696"/>
      <c r="Y497" s="847"/>
      <c r="Z497" s="696"/>
      <c r="AA497" s="696"/>
      <c r="AB497" s="696"/>
      <c r="AC497" s="696"/>
      <c r="AD497" s="696"/>
      <c r="AE497" s="696"/>
      <c r="AF497" s="696"/>
      <c r="AG497" s="847"/>
      <c r="AH497" s="696"/>
      <c r="AI497" s="696"/>
      <c r="AJ497" s="696"/>
      <c r="AK497" s="696"/>
      <c r="AL497" s="696"/>
      <c r="AM497" s="696"/>
      <c r="AN497" s="696"/>
      <c r="AO497" s="847"/>
      <c r="AP497" s="696"/>
      <c r="AQ497" s="696"/>
      <c r="AR497" s="696"/>
      <c r="AS497" s="696"/>
      <c r="AT497" s="696"/>
      <c r="AU497" s="696"/>
      <c r="AV497" s="696"/>
      <c r="AW497" s="45"/>
      <c r="AX497" s="45"/>
      <c r="AY497" s="45"/>
      <c r="AZ497" s="45"/>
      <c r="BA497" s="45"/>
      <c r="BB497" s="45"/>
      <c r="BC497" s="45"/>
      <c r="BD497" s="45"/>
      <c r="BE497" s="45"/>
      <c r="BF497" s="45"/>
      <c r="BG497" s="45"/>
      <c r="BH497" s="45"/>
    </row>
    <row r="498" spans="3:60" s="44" customFormat="1">
      <c r="C498" s="696"/>
      <c r="D498" s="696"/>
      <c r="E498" s="696"/>
      <c r="F498" s="696"/>
      <c r="G498" s="696"/>
      <c r="H498" s="696"/>
      <c r="I498" s="847"/>
      <c r="J498" s="696"/>
      <c r="K498" s="696"/>
      <c r="L498" s="696"/>
      <c r="M498" s="696"/>
      <c r="N498" s="696"/>
      <c r="O498" s="696"/>
      <c r="P498" s="696"/>
      <c r="Q498" s="847"/>
      <c r="R498" s="696"/>
      <c r="S498" s="696"/>
      <c r="T498" s="696"/>
      <c r="U498" s="696"/>
      <c r="V498" s="696"/>
      <c r="W498" s="696"/>
      <c r="X498" s="696"/>
      <c r="Y498" s="847"/>
      <c r="Z498" s="696"/>
      <c r="AA498" s="696"/>
      <c r="AB498" s="696"/>
      <c r="AC498" s="696"/>
      <c r="AD498" s="696"/>
      <c r="AE498" s="696"/>
      <c r="AF498" s="696"/>
      <c r="AG498" s="847"/>
      <c r="AH498" s="696"/>
      <c r="AI498" s="696"/>
      <c r="AJ498" s="696"/>
      <c r="AK498" s="696"/>
      <c r="AL498" s="696"/>
      <c r="AM498" s="696"/>
      <c r="AN498" s="696"/>
      <c r="AO498" s="847"/>
      <c r="AP498" s="696"/>
      <c r="AQ498" s="696"/>
      <c r="AR498" s="696"/>
      <c r="AS498" s="696"/>
      <c r="AT498" s="696"/>
      <c r="AU498" s="696"/>
      <c r="AV498" s="696"/>
      <c r="AW498" s="45"/>
      <c r="AX498" s="45"/>
      <c r="AY498" s="45"/>
      <c r="AZ498" s="45"/>
      <c r="BA498" s="45"/>
      <c r="BB498" s="45"/>
      <c r="BC498" s="45"/>
      <c r="BD498" s="45"/>
      <c r="BE498" s="45"/>
      <c r="BF498" s="45"/>
      <c r="BG498" s="45"/>
      <c r="BH498" s="45"/>
    </row>
    <row r="499" spans="3:60" s="44" customFormat="1">
      <c r="C499" s="696"/>
      <c r="D499" s="696"/>
      <c r="E499" s="696"/>
      <c r="F499" s="696"/>
      <c r="G499" s="696"/>
      <c r="H499" s="696"/>
      <c r="I499" s="847"/>
      <c r="J499" s="696"/>
      <c r="K499" s="696"/>
      <c r="L499" s="696"/>
      <c r="M499" s="696"/>
      <c r="N499" s="696"/>
      <c r="O499" s="696"/>
      <c r="P499" s="696"/>
      <c r="Q499" s="847"/>
      <c r="R499" s="696"/>
      <c r="S499" s="696"/>
      <c r="T499" s="696"/>
      <c r="U499" s="696"/>
      <c r="V499" s="696"/>
      <c r="W499" s="696"/>
      <c r="X499" s="696"/>
      <c r="Y499" s="847"/>
      <c r="Z499" s="696"/>
      <c r="AA499" s="696"/>
      <c r="AB499" s="696"/>
      <c r="AC499" s="696"/>
      <c r="AD499" s="696"/>
      <c r="AE499" s="696"/>
      <c r="AF499" s="696"/>
      <c r="AG499" s="847"/>
      <c r="AH499" s="696"/>
      <c r="AI499" s="696"/>
      <c r="AJ499" s="696"/>
      <c r="AK499" s="696"/>
      <c r="AL499" s="696"/>
      <c r="AM499" s="696"/>
      <c r="AN499" s="696"/>
      <c r="AO499" s="847"/>
      <c r="AP499" s="696"/>
      <c r="AQ499" s="696"/>
      <c r="AR499" s="696"/>
      <c r="AS499" s="696"/>
      <c r="AT499" s="696"/>
      <c r="AU499" s="696"/>
      <c r="AV499" s="696"/>
      <c r="AW499" s="45"/>
      <c r="AX499" s="45"/>
      <c r="AY499" s="45"/>
      <c r="AZ499" s="45"/>
      <c r="BA499" s="45"/>
      <c r="BB499" s="45"/>
      <c r="BC499" s="45"/>
      <c r="BD499" s="45"/>
      <c r="BE499" s="45"/>
      <c r="BF499" s="45"/>
      <c r="BG499" s="45"/>
      <c r="BH499" s="45"/>
    </row>
    <row r="500" spans="3:60" s="44" customFormat="1">
      <c r="C500" s="696"/>
      <c r="D500" s="696"/>
      <c r="E500" s="696"/>
      <c r="F500" s="696"/>
      <c r="G500" s="696"/>
      <c r="H500" s="696"/>
      <c r="I500" s="847"/>
      <c r="J500" s="696"/>
      <c r="K500" s="696"/>
      <c r="L500" s="696"/>
      <c r="M500" s="696"/>
      <c r="N500" s="696"/>
      <c r="O500" s="696"/>
      <c r="P500" s="696"/>
      <c r="Q500" s="847"/>
      <c r="R500" s="696"/>
      <c r="S500" s="696"/>
      <c r="T500" s="696"/>
      <c r="U500" s="696"/>
      <c r="V500" s="696"/>
      <c r="W500" s="696"/>
      <c r="X500" s="696"/>
      <c r="Y500" s="847"/>
      <c r="Z500" s="696"/>
      <c r="AA500" s="696"/>
      <c r="AB500" s="696"/>
      <c r="AC500" s="696"/>
      <c r="AD500" s="696"/>
      <c r="AE500" s="696"/>
      <c r="AF500" s="696"/>
      <c r="AG500" s="847"/>
      <c r="AH500" s="696"/>
      <c r="AI500" s="696"/>
      <c r="AJ500" s="696"/>
      <c r="AK500" s="696"/>
      <c r="AL500" s="696"/>
      <c r="AM500" s="696"/>
      <c r="AN500" s="696"/>
      <c r="AO500" s="847"/>
      <c r="AP500" s="696"/>
      <c r="AQ500" s="696"/>
      <c r="AR500" s="696"/>
      <c r="AS500" s="696"/>
      <c r="AT500" s="696"/>
      <c r="AU500" s="696"/>
      <c r="AV500" s="696"/>
      <c r="AW500" s="45"/>
      <c r="AX500" s="45"/>
      <c r="AY500" s="45"/>
      <c r="AZ500" s="45"/>
      <c r="BA500" s="45"/>
      <c r="BB500" s="45"/>
      <c r="BC500" s="45"/>
      <c r="BD500" s="45"/>
      <c r="BE500" s="45"/>
      <c r="BF500" s="45"/>
      <c r="BG500" s="45"/>
      <c r="BH500" s="45"/>
    </row>
    <row r="501" spans="3:60" s="44" customFormat="1">
      <c r="C501" s="696"/>
      <c r="D501" s="696"/>
      <c r="E501" s="696"/>
      <c r="F501" s="696"/>
      <c r="G501" s="696"/>
      <c r="H501" s="696"/>
      <c r="I501" s="847"/>
      <c r="J501" s="696"/>
      <c r="K501" s="696"/>
      <c r="L501" s="696"/>
      <c r="M501" s="696"/>
      <c r="N501" s="696"/>
      <c r="O501" s="696"/>
      <c r="P501" s="696"/>
      <c r="Q501" s="847"/>
      <c r="R501" s="696"/>
      <c r="S501" s="696"/>
      <c r="T501" s="696"/>
      <c r="U501" s="696"/>
      <c r="V501" s="696"/>
      <c r="W501" s="696"/>
      <c r="X501" s="696"/>
      <c r="Y501" s="847"/>
      <c r="Z501" s="696"/>
      <c r="AA501" s="696"/>
      <c r="AB501" s="696"/>
      <c r="AC501" s="696"/>
      <c r="AD501" s="696"/>
      <c r="AE501" s="696"/>
      <c r="AF501" s="696"/>
      <c r="AG501" s="847"/>
      <c r="AH501" s="696"/>
      <c r="AI501" s="696"/>
      <c r="AJ501" s="696"/>
      <c r="AK501" s="696"/>
      <c r="AL501" s="696"/>
      <c r="AM501" s="696"/>
      <c r="AN501" s="696"/>
      <c r="AO501" s="847"/>
      <c r="AP501" s="696"/>
      <c r="AQ501" s="696"/>
      <c r="AR501" s="696"/>
      <c r="AS501" s="696"/>
      <c r="AT501" s="696"/>
      <c r="AU501" s="696"/>
      <c r="AV501" s="696"/>
      <c r="AW501" s="45"/>
      <c r="AX501" s="45"/>
      <c r="AY501" s="45"/>
      <c r="AZ501" s="45"/>
      <c r="BA501" s="45"/>
      <c r="BB501" s="45"/>
      <c r="BC501" s="45"/>
      <c r="BD501" s="45"/>
      <c r="BE501" s="45"/>
      <c r="BF501" s="45"/>
      <c r="BG501" s="45"/>
      <c r="BH501" s="45"/>
    </row>
  </sheetData>
  <sheetProtection algorithmName="SHA-512" hashValue="cf/rjg4HhGhA3ztirWKri6j8FrVScJaHWYIMpAhriFPtqnpaKa93Ahi8SeK0wpdtiZIvnh4gj8Vrxi+Kp38+HA==" saltValue="w8IZlNSadEdgdGyslI+T7A==" spinCount="100000" sheet="1" formatCells="0" formatColumns="0" formatRows="0"/>
  <mergeCells count="32">
    <mergeCell ref="AW8:BB9"/>
    <mergeCell ref="BC8:BH9"/>
    <mergeCell ref="B127:B128"/>
    <mergeCell ref="A88:B88"/>
    <mergeCell ref="C97:H97"/>
    <mergeCell ref="K97:P97"/>
    <mergeCell ref="S97:X97"/>
    <mergeCell ref="B97:B98"/>
    <mergeCell ref="AQ8:AV9"/>
    <mergeCell ref="C8:AP8"/>
    <mergeCell ref="C9:J9"/>
    <mergeCell ref="K9:R9"/>
    <mergeCell ref="S9:Z9"/>
    <mergeCell ref="AA9:AH9"/>
    <mergeCell ref="AI9:AP9"/>
    <mergeCell ref="A8:A10"/>
    <mergeCell ref="A1:C1"/>
    <mergeCell ref="D1:E1"/>
    <mergeCell ref="B8:B10"/>
    <mergeCell ref="A3:Z3"/>
    <mergeCell ref="A2:Z2"/>
    <mergeCell ref="A4:Z4"/>
    <mergeCell ref="A5:Z5"/>
    <mergeCell ref="BJ8:CR8"/>
    <mergeCell ref="CS8:CX9"/>
    <mergeCell ref="CY8:DD9"/>
    <mergeCell ref="DE8:DJ9"/>
    <mergeCell ref="BJ9:BP9"/>
    <mergeCell ref="BQ9:BW9"/>
    <mergeCell ref="BX9:CD9"/>
    <mergeCell ref="CE9:CK9"/>
    <mergeCell ref="CL9:CR9"/>
  </mergeCells>
  <conditionalFormatting sqref="J11:J95">
    <cfRule type="cellIs" dxfId="69" priority="43" operator="lessThan">
      <formula>0</formula>
    </cfRule>
    <cfRule type="cellIs" dxfId="68" priority="44" operator="greaterThan">
      <formula>0.1</formula>
    </cfRule>
  </conditionalFormatting>
  <conditionalFormatting sqref="Q49:Q50">
    <cfRule type="cellIs" dxfId="67" priority="25" operator="lessThan">
      <formula>0</formula>
    </cfRule>
    <cfRule type="cellIs" dxfId="66" priority="26" operator="greaterThan">
      <formula>0.1</formula>
    </cfRule>
  </conditionalFormatting>
  <conditionalFormatting sqref="R11:R30 R32:R95">
    <cfRule type="cellIs" dxfId="65" priority="41" operator="lessThan">
      <formula>0</formula>
    </cfRule>
    <cfRule type="cellIs" dxfId="64" priority="42" operator="greaterThan">
      <formula>0.1</formula>
    </cfRule>
  </conditionalFormatting>
  <conditionalFormatting sqref="Z11:Z30 Z32:Z95">
    <cfRule type="cellIs" dxfId="63" priority="39" operator="lessThan">
      <formula>0</formula>
    </cfRule>
    <cfRule type="cellIs" dxfId="62" priority="40" operator="greaterThan">
      <formula>0.1</formula>
    </cfRule>
  </conditionalFormatting>
  <conditionalFormatting sqref="AG49:AG50">
    <cfRule type="cellIs" dxfId="61" priority="29" operator="lessThan">
      <formula>0</formula>
    </cfRule>
    <cfRule type="cellIs" dxfId="60" priority="30" operator="greaterThan">
      <formula>0.1</formula>
    </cfRule>
  </conditionalFormatting>
  <conditionalFormatting sqref="AH11:AH71">
    <cfRule type="cellIs" dxfId="59" priority="3" operator="lessThan">
      <formula>0</formula>
    </cfRule>
    <cfRule type="cellIs" dxfId="58" priority="4" operator="greaterThan">
      <formula>0.1</formula>
    </cfRule>
  </conditionalFormatting>
  <conditionalFormatting sqref="AH73:AH95">
    <cfRule type="cellIs" dxfId="57" priority="33" operator="lessThan">
      <formula>0</formula>
    </cfRule>
    <cfRule type="cellIs" dxfId="56" priority="34" operator="greaterThan">
      <formula>0.1</formula>
    </cfRule>
  </conditionalFormatting>
  <conditionalFormatting sqref="AO49:AO50">
    <cfRule type="cellIs" dxfId="55" priority="27" operator="lessThan">
      <formula>0</formula>
    </cfRule>
    <cfRule type="cellIs" dxfId="54" priority="28" operator="greaterThan">
      <formula>0.1</formula>
    </cfRule>
  </conditionalFormatting>
  <conditionalFormatting sqref="AP11:AP71">
    <cfRule type="cellIs" dxfId="53" priority="1" operator="lessThan">
      <formula>0</formula>
    </cfRule>
    <cfRule type="cellIs" dxfId="52" priority="2" operator="greaterThan">
      <formula>0.1</formula>
    </cfRule>
  </conditionalFormatting>
  <conditionalFormatting sqref="AP73:AP95">
    <cfRule type="cellIs" dxfId="51" priority="31" operator="lessThan">
      <formula>0</formula>
    </cfRule>
    <cfRule type="cellIs" dxfId="50" priority="32" operator="greaterThan">
      <formula>0.1</formula>
    </cfRule>
  </conditionalFormatting>
  <dataValidations disablePrompts="1" count="1">
    <dataValidation type="custom" allowBlank="1" showInputMessage="1" showErrorMessage="1" sqref="C127" xr:uid="{00000000-0002-0000-1100-000000000000}">
      <formula1>"80%, 20%"</formula1>
    </dataValidation>
  </dataValidations>
  <printOptions horizontalCentered="1"/>
  <pageMargins left="0" right="0" top="0.55118110236220474" bottom="0.19685039370078741" header="0.31496062992125984" footer="0.11811023622047245"/>
  <pageSetup paperSize="9" scale="66" orientation="landscape" r:id="rId1"/>
  <headerFooter alignWithMargins="0">
    <oddFooter>&amp;C&amp;A&amp;RСтр. &amp;P от &amp;N</oddFooter>
  </headerFooter>
  <rowBreaks count="1" manualBreakCount="1">
    <brk id="54" max="16383" man="1"/>
  </rowBreaks>
  <colBreaks count="2" manualBreakCount="2">
    <brk id="26" max="92" man="1"/>
    <brk id="48" max="1048575" man="1"/>
  </colBreaks>
  <ignoredErrors>
    <ignoredError sqref="AQ88 AQ83 AQ76 AQ70 AQ55 AQ59 AQ51 AR25:AV25 AQ38 D56:H57 L56:P57 T56:X57 S38 S25 S51 S59 S55 S70 S76 S83 S88 K88 K83 K76 K70 K55 K59 K51 K25 K38 D38:H38 D25:H25 D51:H51 D59:H59 C55 D70:H70 D76:H76 D83:H83 D88:H88 D55:H55 L88:P88 L83:P83 L76:P76 L70:P70 L55:P55 L59:P59 L51:P51 L25:P25 L38:P38 T38:X38 T25:X25 T51:X51 T59:X59 T55:X55 T70:X70 T76:X76 T83:X83 T88:X88 AR88:AV88 AR83:AV83 AR76:AV76 AR70:AV70 AR55:AV55 AR59:AV59 AR51:AV51 AR38:AV38" unlockedFormula="1"/>
    <ignoredError sqref="C38 C12 K12 S12 AR12:AV12" formulaRange="1"/>
    <ignoredError sqref="A11 A77:B83 A29 A70:A76 A55:A56 A59:A65" numberStoredAsText="1"/>
    <ignoredError sqref="A84:A87" twoDigitTextYear="1"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BCF6C6"/>
  </sheetPr>
  <dimension ref="A1:CJ479"/>
  <sheetViews>
    <sheetView showGridLines="0" topLeftCell="AD1" zoomScale="80" zoomScaleNormal="80" zoomScaleSheetLayoutView="100" workbookViewId="0">
      <selection activeCell="L59" sqref="L59"/>
    </sheetView>
  </sheetViews>
  <sheetFormatPr defaultColWidth="9.109375" defaultRowHeight="13.8"/>
  <cols>
    <col min="1" max="1" width="7.44140625" style="44" customWidth="1"/>
    <col min="2" max="2" width="40.88671875" style="44" customWidth="1"/>
    <col min="3" max="3" width="7.6640625" style="44" customWidth="1"/>
    <col min="4" max="4" width="7.6640625" style="844" customWidth="1"/>
    <col min="5" max="5" width="7.6640625" style="45" customWidth="1"/>
    <col min="6" max="6" width="7.6640625" style="844" customWidth="1"/>
    <col min="7" max="7" width="7.6640625" style="45" customWidth="1"/>
    <col min="8" max="8" width="7.6640625" style="844" customWidth="1"/>
    <col min="9" max="9" width="7.6640625" style="45" customWidth="1"/>
    <col min="10" max="10" width="7.6640625" style="844" customWidth="1"/>
    <col min="11" max="11" width="7.6640625" style="45" customWidth="1"/>
    <col min="12" max="12" width="7.6640625" style="844" customWidth="1"/>
    <col min="13" max="14" width="7.6640625" style="45" customWidth="1"/>
    <col min="15" max="15" width="7.6640625" style="844" customWidth="1"/>
    <col min="16" max="16" width="7.6640625" style="45" customWidth="1"/>
    <col min="17" max="17" width="7.6640625" style="844" customWidth="1"/>
    <col min="18" max="18" width="7.6640625" style="45" customWidth="1"/>
    <col min="19" max="19" width="7.6640625" style="844" customWidth="1"/>
    <col min="20" max="20" width="7.6640625" style="45" customWidth="1"/>
    <col min="21" max="21" width="7.6640625" style="844" customWidth="1"/>
    <col min="22" max="22" width="7.6640625" style="45" customWidth="1"/>
    <col min="23" max="23" width="7.6640625" style="844" customWidth="1"/>
    <col min="24" max="25" width="7.6640625" style="45" customWidth="1"/>
    <col min="26" max="26" width="7.6640625" style="712" customWidth="1"/>
    <col min="27" max="27" width="7.6640625" style="45" customWidth="1"/>
    <col min="28" max="28" width="7.6640625" style="712" customWidth="1"/>
    <col min="29" max="29" width="7.6640625" style="45" customWidth="1"/>
    <col min="30" max="30" width="7.6640625" style="712" customWidth="1"/>
    <col min="31" max="31" width="7.6640625" style="45" customWidth="1"/>
    <col min="32" max="32" width="7.6640625" style="712" customWidth="1"/>
    <col min="33" max="33" width="7.6640625" style="45" customWidth="1"/>
    <col min="34" max="34" width="7.6640625" style="712" customWidth="1"/>
    <col min="35" max="36" width="7.6640625" style="45" customWidth="1"/>
    <col min="37" max="37" width="7.6640625" style="712" customWidth="1"/>
    <col min="38" max="38" width="7.6640625" style="45" customWidth="1"/>
    <col min="39" max="39" width="7.6640625" style="712" customWidth="1"/>
    <col min="40" max="40" width="7.6640625" style="45" customWidth="1"/>
    <col min="41" max="41" width="7.6640625" style="712" customWidth="1"/>
    <col min="42" max="42" width="7.6640625" style="45" customWidth="1"/>
    <col min="43" max="43" width="7.6640625" style="712" customWidth="1"/>
    <col min="44" max="44" width="7.6640625" style="45" customWidth="1"/>
    <col min="45" max="45" width="7.6640625" style="712" customWidth="1"/>
    <col min="46" max="47" width="7.6640625" style="45" customWidth="1"/>
    <col min="48" max="48" width="7.6640625" style="712" customWidth="1"/>
    <col min="49" max="49" width="7.6640625" style="45" customWidth="1"/>
    <col min="50" max="50" width="7.6640625" style="712" customWidth="1"/>
    <col min="51" max="51" width="7.6640625" style="45" customWidth="1"/>
    <col min="52" max="52" width="7.6640625" style="712" customWidth="1"/>
    <col min="53" max="53" width="7.6640625" style="45" customWidth="1"/>
    <col min="54" max="54" width="7.6640625" style="712" customWidth="1"/>
    <col min="55" max="55" width="7.6640625" style="45" customWidth="1"/>
    <col min="56" max="56" width="7.6640625" style="712" customWidth="1"/>
    <col min="57" max="57" width="7.6640625" style="45" customWidth="1"/>
    <col min="58" max="58" width="2.6640625" style="44" customWidth="1"/>
    <col min="59" max="63" width="9.109375" style="44"/>
    <col min="64" max="16384" width="9.109375" style="669"/>
  </cols>
  <sheetData>
    <row r="1" spans="1:88" ht="16.8" thickBot="1">
      <c r="A1" s="5285" t="str">
        <f>+'1. Обща информация'!B40</f>
        <v>Фиксиран курс на лева към 1 евро</v>
      </c>
      <c r="B1" s="5286"/>
      <c r="C1" s="5287"/>
      <c r="D1" s="5406">
        <f>+'1. Обща информация'!$C$40</f>
        <v>1.95583</v>
      </c>
      <c r="E1" s="5407"/>
      <c r="V1" s="3134"/>
      <c r="W1" s="3134"/>
      <c r="X1" s="3135" t="s">
        <v>189</v>
      </c>
      <c r="Y1" s="3134"/>
      <c r="Z1" s="3134"/>
      <c r="AA1" s="3134"/>
      <c r="AB1" s="3134"/>
      <c r="AC1" s="3134"/>
      <c r="AD1" s="3134"/>
      <c r="AE1" s="3134"/>
      <c r="AF1" s="3134"/>
      <c r="BG1" s="668"/>
      <c r="BH1" s="668"/>
    </row>
    <row r="2" spans="1:88" ht="18.75" customHeight="1">
      <c r="A2" s="5339" t="s">
        <v>1472</v>
      </c>
      <c r="B2" s="5339"/>
      <c r="C2" s="5339"/>
      <c r="D2" s="5339"/>
      <c r="E2" s="5339"/>
      <c r="F2" s="5339"/>
      <c r="G2" s="5339"/>
      <c r="H2" s="5339"/>
      <c r="I2" s="5339"/>
      <c r="J2" s="5339"/>
      <c r="K2" s="5339"/>
      <c r="L2" s="5339"/>
      <c r="M2" s="5339"/>
      <c r="N2" s="5339"/>
      <c r="O2" s="5339"/>
      <c r="P2" s="5339"/>
      <c r="Q2" s="5339"/>
      <c r="R2" s="5339"/>
      <c r="S2" s="5339"/>
      <c r="T2" s="5339"/>
      <c r="U2" s="5339"/>
      <c r="V2" s="5339"/>
      <c r="W2" s="5339"/>
      <c r="X2" s="5339"/>
      <c r="Y2" s="670"/>
      <c r="Z2" s="670"/>
      <c r="AA2" s="670"/>
      <c r="AB2" s="670"/>
      <c r="AC2" s="670"/>
      <c r="AD2" s="670"/>
      <c r="AE2" s="670"/>
      <c r="AF2" s="670"/>
      <c r="AG2" s="670"/>
      <c r="AH2" s="670"/>
      <c r="AI2" s="670"/>
      <c r="AJ2" s="670"/>
      <c r="AK2" s="715"/>
      <c r="AL2" s="670"/>
      <c r="AM2" s="715"/>
      <c r="AN2" s="670"/>
      <c r="AO2" s="715"/>
      <c r="AP2" s="670"/>
      <c r="AQ2" s="715"/>
      <c r="AR2" s="670"/>
      <c r="AS2" s="715"/>
      <c r="AT2" s="670"/>
      <c r="AU2" s="670"/>
      <c r="AV2" s="715"/>
      <c r="AW2" s="670"/>
      <c r="AX2" s="715"/>
      <c r="AY2" s="670"/>
      <c r="AZ2" s="715"/>
      <c r="BA2" s="670"/>
      <c r="BB2" s="715"/>
      <c r="BC2" s="670"/>
      <c r="BD2" s="715"/>
      <c r="BE2" s="670"/>
      <c r="BF2" s="671"/>
      <c r="BG2" s="672"/>
      <c r="BH2" s="668"/>
      <c r="BI2" s="671"/>
      <c r="BJ2" s="671"/>
      <c r="BK2" s="671"/>
    </row>
    <row r="3" spans="1:88" ht="18.75" customHeight="1">
      <c r="A3" s="5339" t="s">
        <v>1738</v>
      </c>
      <c r="B3" s="5339"/>
      <c r="C3" s="5339"/>
      <c r="D3" s="5339"/>
      <c r="E3" s="5339"/>
      <c r="F3" s="5339"/>
      <c r="G3" s="5339"/>
      <c r="H3" s="5339"/>
      <c r="I3" s="5339"/>
      <c r="J3" s="5339"/>
      <c r="K3" s="5339"/>
      <c r="L3" s="5339"/>
      <c r="M3" s="5339"/>
      <c r="N3" s="5339"/>
      <c r="O3" s="5339"/>
      <c r="P3" s="5339"/>
      <c r="Q3" s="5339"/>
      <c r="R3" s="5339"/>
      <c r="S3" s="5339"/>
      <c r="T3" s="5339"/>
      <c r="U3" s="5339"/>
      <c r="V3" s="5339"/>
      <c r="W3" s="5339"/>
      <c r="X3" s="5339"/>
      <c r="Y3" s="670"/>
      <c r="Z3" s="670"/>
      <c r="AA3" s="670"/>
      <c r="AB3" s="670"/>
      <c r="AC3" s="670"/>
      <c r="AD3" s="670"/>
      <c r="AE3" s="670"/>
      <c r="AF3" s="670"/>
      <c r="AG3" s="670"/>
      <c r="AH3" s="670"/>
      <c r="AI3" s="670"/>
      <c r="AJ3" s="3049"/>
      <c r="AK3" s="3136"/>
      <c r="AL3" s="3049"/>
      <c r="AM3" s="3136"/>
      <c r="AN3" s="3049"/>
      <c r="AO3" s="3136"/>
      <c r="AP3" s="3049"/>
      <c r="AQ3" s="3136"/>
      <c r="AR3" s="3049"/>
      <c r="AS3" s="3136"/>
      <c r="AT3" s="3049"/>
      <c r="AU3" s="3049"/>
      <c r="AV3" s="3136"/>
      <c r="AW3" s="3049"/>
      <c r="AX3" s="3136"/>
      <c r="AY3" s="3049"/>
      <c r="AZ3" s="3136"/>
      <c r="BA3" s="3049"/>
      <c r="BB3" s="3136"/>
      <c r="BC3" s="3049"/>
      <c r="BD3" s="3136"/>
      <c r="BE3" s="3049"/>
      <c r="BG3" s="672"/>
      <c r="BH3" s="668"/>
    </row>
    <row r="4" spans="1:88" ht="15.6">
      <c r="A4" s="5370" t="str">
        <f>'1. Обща информация'!A4:D4</f>
        <v>на "В И К" АД, гр. Ловеч</v>
      </c>
      <c r="B4" s="5370"/>
      <c r="C4" s="5370"/>
      <c r="D4" s="5370"/>
      <c r="E4" s="5370"/>
      <c r="F4" s="5370"/>
      <c r="G4" s="5370"/>
      <c r="H4" s="5370"/>
      <c r="I4" s="5370"/>
      <c r="J4" s="5370"/>
      <c r="K4" s="5370"/>
      <c r="L4" s="5370"/>
      <c r="M4" s="5370"/>
      <c r="N4" s="5370"/>
      <c r="O4" s="5370"/>
      <c r="P4" s="5370"/>
      <c r="Q4" s="5370"/>
      <c r="R4" s="5370"/>
      <c r="S4" s="5370"/>
      <c r="T4" s="5370"/>
      <c r="U4" s="5370"/>
      <c r="V4" s="5370"/>
      <c r="W4" s="5370"/>
      <c r="X4" s="5370"/>
      <c r="Y4" s="3049"/>
      <c r="Z4" s="3049"/>
      <c r="AA4" s="3049"/>
      <c r="AB4" s="3049"/>
      <c r="AC4" s="3049"/>
      <c r="AD4" s="3049"/>
      <c r="AE4" s="3049"/>
      <c r="AF4" s="3049"/>
      <c r="AG4" s="3049"/>
      <c r="AH4" s="3049"/>
      <c r="AI4" s="3049"/>
      <c r="AJ4" s="3049"/>
      <c r="AK4" s="3136"/>
      <c r="AL4" s="3049"/>
      <c r="AM4" s="3136"/>
      <c r="AN4" s="3049"/>
      <c r="AO4" s="3136"/>
      <c r="AP4" s="3049"/>
      <c r="AQ4" s="3136"/>
      <c r="AR4" s="3049"/>
      <c r="AS4" s="3136"/>
      <c r="AT4" s="3049"/>
      <c r="AU4" s="3049"/>
      <c r="AV4" s="3137"/>
      <c r="AW4" s="3051"/>
      <c r="AX4" s="3137"/>
      <c r="AY4" s="3051"/>
      <c r="AZ4" s="3137"/>
      <c r="BA4" s="3051"/>
      <c r="BB4" s="3137"/>
      <c r="BC4" s="3051"/>
      <c r="BD4" s="3137"/>
      <c r="BE4" s="3051"/>
      <c r="BG4" s="672"/>
      <c r="BH4" s="668"/>
    </row>
    <row r="5" spans="1:88" ht="15.6">
      <c r="A5" s="5370" t="str">
        <f>'1. Обща информация'!A5:D5</f>
        <v>ЕИК по БУЛСТАТ: 110549443</v>
      </c>
      <c r="B5" s="5370"/>
      <c r="C5" s="5370"/>
      <c r="D5" s="5370"/>
      <c r="E5" s="5370"/>
      <c r="F5" s="5370"/>
      <c r="G5" s="5370"/>
      <c r="H5" s="5370"/>
      <c r="I5" s="5370"/>
      <c r="J5" s="5370"/>
      <c r="K5" s="5370"/>
      <c r="L5" s="5370"/>
      <c r="M5" s="5370"/>
      <c r="N5" s="5370"/>
      <c r="O5" s="5370"/>
      <c r="P5" s="5370"/>
      <c r="Q5" s="5370"/>
      <c r="R5" s="5370"/>
      <c r="S5" s="5370"/>
      <c r="T5" s="5370"/>
      <c r="U5" s="5370"/>
      <c r="V5" s="5370"/>
      <c r="W5" s="5370"/>
      <c r="X5" s="5370"/>
      <c r="Y5" s="3049"/>
      <c r="Z5" s="3049"/>
      <c r="AA5" s="3049"/>
      <c r="AB5" s="3049"/>
      <c r="AC5" s="3049"/>
      <c r="AD5" s="3049"/>
      <c r="AE5" s="3049"/>
      <c r="AF5" s="3049"/>
      <c r="AG5" s="3049"/>
      <c r="AH5" s="3049"/>
      <c r="AI5" s="3049"/>
      <c r="AJ5" s="652"/>
      <c r="AK5" s="3138"/>
      <c r="AL5" s="652"/>
      <c r="AM5" s="3138"/>
      <c r="AN5" s="652"/>
      <c r="AO5" s="3138"/>
      <c r="AP5" s="652"/>
      <c r="AQ5" s="3138"/>
      <c r="AR5" s="652"/>
      <c r="AS5" s="3138"/>
      <c r="AT5" s="652"/>
      <c r="AU5" s="652"/>
      <c r="AV5" s="3139"/>
      <c r="AW5" s="3053"/>
      <c r="AX5" s="3139"/>
      <c r="AY5" s="3053"/>
      <c r="AZ5" s="3139"/>
      <c r="BA5" s="3053"/>
      <c r="BB5" s="3139"/>
      <c r="BC5" s="3053"/>
      <c r="BD5" s="3139"/>
      <c r="BE5" s="3053"/>
      <c r="BF5" s="652"/>
      <c r="BG5" s="652"/>
      <c r="BI5" s="668"/>
      <c r="BL5" s="44"/>
    </row>
    <row r="6" spans="1:88" ht="14.4" thickBot="1">
      <c r="A6" s="179"/>
      <c r="B6" s="179"/>
      <c r="C6" s="179"/>
      <c r="D6" s="846"/>
      <c r="E6" s="675"/>
      <c r="F6" s="848"/>
      <c r="G6" s="675"/>
      <c r="H6" s="845"/>
      <c r="I6" s="676"/>
      <c r="J6" s="845"/>
      <c r="K6" s="673"/>
      <c r="L6" s="845"/>
      <c r="M6" s="673"/>
      <c r="N6" s="673"/>
      <c r="O6" s="845"/>
      <c r="P6" s="675"/>
      <c r="Q6" s="848"/>
      <c r="R6" s="675"/>
      <c r="S6" s="848"/>
      <c r="T6" s="675"/>
      <c r="U6" s="848"/>
      <c r="V6" s="675"/>
      <c r="AG6" s="675"/>
      <c r="AH6" s="3055"/>
      <c r="AI6" s="675"/>
      <c r="AJ6" s="675"/>
      <c r="AS6" s="714"/>
      <c r="AT6" s="675"/>
      <c r="AU6" s="675"/>
      <c r="AV6" s="1174"/>
      <c r="AW6" s="3056"/>
      <c r="AX6" s="1174"/>
      <c r="AY6" s="3056"/>
      <c r="AZ6" s="1174"/>
      <c r="BA6" s="3056"/>
      <c r="BB6" s="1174"/>
      <c r="BC6" s="3056"/>
      <c r="BD6" s="716"/>
      <c r="BE6" s="3055" t="s">
        <v>190</v>
      </c>
      <c r="BG6" s="672"/>
      <c r="BH6" s="668"/>
      <c r="CJ6" s="660" t="s">
        <v>1889</v>
      </c>
    </row>
    <row r="7" spans="1:88" ht="15.75" customHeight="1" thickBot="1">
      <c r="A7" s="5453" t="s">
        <v>1</v>
      </c>
      <c r="B7" s="5456" t="s">
        <v>223</v>
      </c>
      <c r="C7" s="5340"/>
      <c r="D7" s="5342"/>
      <c r="E7" s="5342"/>
      <c r="F7" s="5342"/>
      <c r="G7" s="5342"/>
      <c r="H7" s="5342"/>
      <c r="I7" s="5342"/>
      <c r="J7" s="5342"/>
      <c r="K7" s="5342"/>
      <c r="L7" s="5342"/>
      <c r="M7" s="5342"/>
      <c r="N7" s="5342"/>
      <c r="O7" s="5342"/>
      <c r="P7" s="5342"/>
      <c r="Q7" s="5342"/>
      <c r="R7" s="5342"/>
      <c r="S7" s="5342"/>
      <c r="T7" s="5342"/>
      <c r="U7" s="5342"/>
      <c r="V7" s="5342"/>
      <c r="W7" s="5342"/>
      <c r="X7" s="5342"/>
      <c r="Y7" s="5342"/>
      <c r="Z7" s="5342"/>
      <c r="AA7" s="5342"/>
      <c r="AB7" s="5342"/>
      <c r="AC7" s="5342"/>
      <c r="AD7" s="5342"/>
      <c r="AE7" s="5342"/>
      <c r="AF7" s="5342"/>
      <c r="AG7" s="5342"/>
      <c r="AH7" s="5342"/>
      <c r="AI7" s="5342"/>
      <c r="AJ7" s="5342"/>
      <c r="AK7" s="5342"/>
      <c r="AL7" s="5342"/>
      <c r="AM7" s="5342"/>
      <c r="AN7" s="5342"/>
      <c r="AO7" s="5342"/>
      <c r="AP7" s="5342"/>
      <c r="AQ7" s="5342"/>
      <c r="AR7" s="5342"/>
      <c r="AS7" s="5342"/>
      <c r="AT7" s="5342"/>
      <c r="AU7" s="5342"/>
      <c r="AV7" s="5342"/>
      <c r="AW7" s="5342"/>
      <c r="AX7" s="5342"/>
      <c r="AY7" s="5342"/>
      <c r="AZ7" s="5342"/>
      <c r="BA7" s="5342"/>
      <c r="BB7" s="5342"/>
      <c r="BC7" s="5342"/>
      <c r="BD7" s="5342"/>
      <c r="BE7" s="1593"/>
      <c r="BF7" s="4488"/>
      <c r="BG7" s="5433"/>
      <c r="BH7" s="5434"/>
      <c r="BI7" s="5434"/>
      <c r="BJ7" s="5434"/>
      <c r="BK7" s="5434"/>
      <c r="BL7" s="5434"/>
      <c r="BM7" s="5434"/>
      <c r="BN7" s="5434"/>
      <c r="BO7" s="5434"/>
      <c r="BP7" s="5434"/>
      <c r="BQ7" s="5434"/>
      <c r="BR7" s="5434"/>
      <c r="BS7" s="5434"/>
      <c r="BT7" s="5434"/>
      <c r="BU7" s="5434"/>
      <c r="BV7" s="5434"/>
      <c r="BW7" s="5434"/>
      <c r="BX7" s="5434"/>
      <c r="BY7" s="5434"/>
      <c r="BZ7" s="5434"/>
      <c r="CA7" s="5434"/>
      <c r="CB7" s="5434"/>
      <c r="CC7" s="5434"/>
      <c r="CD7" s="5434"/>
      <c r="CE7" s="5434"/>
      <c r="CF7" s="5434"/>
      <c r="CG7" s="5434"/>
      <c r="CH7" s="5434"/>
      <c r="CI7" s="5434"/>
      <c r="CJ7" s="5434"/>
    </row>
    <row r="8" spans="1:88" ht="15.75" customHeight="1" thickBot="1">
      <c r="A8" s="5454"/>
      <c r="B8" s="5457"/>
      <c r="C8" s="5427" t="s">
        <v>207</v>
      </c>
      <c r="D8" s="5428"/>
      <c r="E8" s="5428"/>
      <c r="F8" s="5428"/>
      <c r="G8" s="5428"/>
      <c r="H8" s="5428"/>
      <c r="I8" s="5428"/>
      <c r="J8" s="5428"/>
      <c r="K8" s="5428"/>
      <c r="L8" s="5428"/>
      <c r="M8" s="5428"/>
      <c r="N8" s="5435" t="s">
        <v>208</v>
      </c>
      <c r="O8" s="5436"/>
      <c r="P8" s="5436"/>
      <c r="Q8" s="5436"/>
      <c r="R8" s="5436"/>
      <c r="S8" s="5436"/>
      <c r="T8" s="5436"/>
      <c r="U8" s="5436"/>
      <c r="V8" s="5436"/>
      <c r="W8" s="5436"/>
      <c r="X8" s="5437"/>
      <c r="Y8" s="5427" t="s">
        <v>209</v>
      </c>
      <c r="Z8" s="5428"/>
      <c r="AA8" s="5428"/>
      <c r="AB8" s="5428"/>
      <c r="AC8" s="5428"/>
      <c r="AD8" s="5428"/>
      <c r="AE8" s="5428"/>
      <c r="AF8" s="5428"/>
      <c r="AG8" s="5428"/>
      <c r="AH8" s="5428"/>
      <c r="AI8" s="5429"/>
      <c r="AJ8" s="5427" t="s">
        <v>1215</v>
      </c>
      <c r="AK8" s="5428"/>
      <c r="AL8" s="5428"/>
      <c r="AM8" s="5428"/>
      <c r="AN8" s="5428"/>
      <c r="AO8" s="5428"/>
      <c r="AP8" s="5428"/>
      <c r="AQ8" s="5428"/>
      <c r="AR8" s="5428"/>
      <c r="AS8" s="5428"/>
      <c r="AT8" s="5429"/>
      <c r="AU8" s="5427" t="s">
        <v>1216</v>
      </c>
      <c r="AV8" s="5428"/>
      <c r="AW8" s="5428"/>
      <c r="AX8" s="5428"/>
      <c r="AY8" s="5428"/>
      <c r="AZ8" s="5428"/>
      <c r="BA8" s="5428"/>
      <c r="BB8" s="5428"/>
      <c r="BC8" s="5428"/>
      <c r="BD8" s="5428"/>
      <c r="BE8" s="5429"/>
      <c r="BF8" s="4488"/>
      <c r="BG8" s="5405" t="s">
        <v>207</v>
      </c>
      <c r="BH8" s="5405"/>
      <c r="BI8" s="5405"/>
      <c r="BJ8" s="5405"/>
      <c r="BK8" s="5405"/>
      <c r="BL8" s="5405"/>
      <c r="BM8" s="5432" t="s">
        <v>208</v>
      </c>
      <c r="BN8" s="5432"/>
      <c r="BO8" s="5432"/>
      <c r="BP8" s="5432"/>
      <c r="BQ8" s="5432"/>
      <c r="BR8" s="5432"/>
      <c r="BS8" s="5405" t="s">
        <v>209</v>
      </c>
      <c r="BT8" s="5405"/>
      <c r="BU8" s="5405"/>
      <c r="BV8" s="5405"/>
      <c r="BW8" s="5405"/>
      <c r="BX8" s="5405"/>
      <c r="BY8" s="5405" t="s">
        <v>1215</v>
      </c>
      <c r="BZ8" s="5405"/>
      <c r="CA8" s="5405"/>
      <c r="CB8" s="5405"/>
      <c r="CC8" s="5405"/>
      <c r="CD8" s="5405"/>
      <c r="CE8" s="5405" t="s">
        <v>1216</v>
      </c>
      <c r="CF8" s="5405"/>
      <c r="CG8" s="5405"/>
      <c r="CH8" s="5405"/>
      <c r="CI8" s="5405"/>
      <c r="CJ8" s="5405"/>
    </row>
    <row r="9" spans="1:88" ht="24.75" customHeight="1" thickBot="1">
      <c r="A9" s="5454"/>
      <c r="B9" s="5457"/>
      <c r="C9" s="904" t="str">
        <f>'Приложение '!$C12:$D12</f>
        <v>2024 г.</v>
      </c>
      <c r="D9" s="5460" t="str">
        <f>'Приложение '!C14</f>
        <v>2027 г.</v>
      </c>
      <c r="E9" s="5443"/>
      <c r="F9" s="5444" t="str">
        <f>'Приложение '!C15</f>
        <v>2028 г.</v>
      </c>
      <c r="G9" s="5443"/>
      <c r="H9" s="5444" t="str">
        <f>'Приложение '!C16</f>
        <v>2029 г.</v>
      </c>
      <c r="I9" s="5443"/>
      <c r="J9" s="5459" t="str">
        <f>'Приложение '!C17</f>
        <v>2030 г.</v>
      </c>
      <c r="K9" s="5443"/>
      <c r="L9" s="5459" t="str">
        <f>'Приложение '!C18</f>
        <v>2031 г.</v>
      </c>
      <c r="M9" s="5445"/>
      <c r="N9" s="904" t="str">
        <f>'Приложение '!$C12</f>
        <v>2024 г.</v>
      </c>
      <c r="O9" s="5435" t="str">
        <f>'Приложение '!$C14</f>
        <v>2027 г.</v>
      </c>
      <c r="P9" s="5443"/>
      <c r="Q9" s="5459" t="str">
        <f>'Приложение '!$C15</f>
        <v>2028 г.</v>
      </c>
      <c r="R9" s="5443"/>
      <c r="S9" s="5459" t="str">
        <f>'Приложение '!$C16</f>
        <v>2029 г.</v>
      </c>
      <c r="T9" s="5443"/>
      <c r="U9" s="5459" t="str">
        <f>'Приложение '!$C17</f>
        <v>2030 г.</v>
      </c>
      <c r="V9" s="5443"/>
      <c r="W9" s="5459" t="str">
        <f>'Приложение '!$C18</f>
        <v>2031 г.</v>
      </c>
      <c r="X9" s="5445"/>
      <c r="Y9" s="904" t="str">
        <f>'Приложение '!$C12</f>
        <v>2024 г.</v>
      </c>
      <c r="Z9" s="5442" t="str">
        <f>'Приложение '!$C14</f>
        <v>2027 г.</v>
      </c>
      <c r="AA9" s="5443"/>
      <c r="AB9" s="5444" t="str">
        <f>'Приложение '!$C15</f>
        <v>2028 г.</v>
      </c>
      <c r="AC9" s="5443"/>
      <c r="AD9" s="5444" t="str">
        <f>'Приложение '!$C16</f>
        <v>2029 г.</v>
      </c>
      <c r="AE9" s="5443"/>
      <c r="AF9" s="5444" t="str">
        <f>'Приложение '!$C17</f>
        <v>2030 г.</v>
      </c>
      <c r="AG9" s="5443" t="str">
        <f>'Приложение '!$C18</f>
        <v>2031 г.</v>
      </c>
      <c r="AH9" s="5444" t="str">
        <f>'Приложение '!$C18</f>
        <v>2031 г.</v>
      </c>
      <c r="AI9" s="5445"/>
      <c r="AJ9" s="904" t="str">
        <f>'Приложение '!$C12</f>
        <v>2024 г.</v>
      </c>
      <c r="AK9" s="5460" t="str">
        <f>'Приложение '!$C14</f>
        <v>2027 г.</v>
      </c>
      <c r="AL9" s="5443"/>
      <c r="AM9" s="5444" t="str">
        <f>'Приложение '!$C15</f>
        <v>2028 г.</v>
      </c>
      <c r="AN9" s="5443"/>
      <c r="AO9" s="5444" t="str">
        <f>'Приложение '!$C16</f>
        <v>2029 г.</v>
      </c>
      <c r="AP9" s="5443"/>
      <c r="AQ9" s="5444" t="str">
        <f>'Приложение '!$C17</f>
        <v>2030 г.</v>
      </c>
      <c r="AR9" s="5443"/>
      <c r="AS9" s="5444" t="str">
        <f>'Приложение '!$C18</f>
        <v>2031 г.</v>
      </c>
      <c r="AT9" s="5445"/>
      <c r="AU9" s="904" t="str">
        <f>'Приложение '!$C12</f>
        <v>2024 г.</v>
      </c>
      <c r="AV9" s="5442" t="str">
        <f>'Приложение '!$C14</f>
        <v>2027 г.</v>
      </c>
      <c r="AW9" s="5443"/>
      <c r="AX9" s="5444" t="str">
        <f>'Приложение '!$C15</f>
        <v>2028 г.</v>
      </c>
      <c r="AY9" s="5443"/>
      <c r="AZ9" s="5444" t="str">
        <f>'Приложение '!$C16</f>
        <v>2029 г.</v>
      </c>
      <c r="BA9" s="5443"/>
      <c r="BB9" s="5444" t="str">
        <f>'Приложение '!$C17</f>
        <v>2030 г.</v>
      </c>
      <c r="BC9" s="5443"/>
      <c r="BD9" s="5444" t="str">
        <f>'Приложение '!$C18</f>
        <v>2031 г.</v>
      </c>
      <c r="BE9" s="5445"/>
      <c r="BF9" s="4488"/>
      <c r="BG9" s="4528" t="str">
        <f>+C9</f>
        <v>2024 г.</v>
      </c>
      <c r="BH9" s="4522" t="str">
        <f>+D9</f>
        <v>2027 г.</v>
      </c>
      <c r="BI9" s="4522" t="str">
        <f>+F9</f>
        <v>2028 г.</v>
      </c>
      <c r="BJ9" s="4522" t="str">
        <f>+H9</f>
        <v>2029 г.</v>
      </c>
      <c r="BK9" s="4522" t="str">
        <f>+J9</f>
        <v>2030 г.</v>
      </c>
      <c r="BL9" s="4522" t="str">
        <f>+L9</f>
        <v>2031 г.</v>
      </c>
      <c r="BM9" s="4528" t="str">
        <f>'Приложение '!$C12</f>
        <v>2024 г.</v>
      </c>
      <c r="BN9" s="4532" t="str">
        <f>'Приложение '!$C14</f>
        <v>2027 г.</v>
      </c>
      <c r="BO9" s="4532" t="str">
        <f>'Приложение '!$C15</f>
        <v>2028 г.</v>
      </c>
      <c r="BP9" s="4532" t="str">
        <f>'Приложение '!$C16</f>
        <v>2029 г.</v>
      </c>
      <c r="BQ9" s="4532" t="str">
        <f>'Приложение '!$C17</f>
        <v>2030 г.</v>
      </c>
      <c r="BR9" s="4532" t="str">
        <f>'Приложение '!$C18</f>
        <v>2031 г.</v>
      </c>
      <c r="BS9" s="4528" t="str">
        <f>'Приложение '!$C12</f>
        <v>2024 г.</v>
      </c>
      <c r="BT9" s="4522" t="str">
        <f>'Приложение '!$C14</f>
        <v>2027 г.</v>
      </c>
      <c r="BU9" s="4522" t="str">
        <f>'Приложение '!$C15</f>
        <v>2028 г.</v>
      </c>
      <c r="BV9" s="4522" t="str">
        <f>'Приложение '!$C16</f>
        <v>2029 г.</v>
      </c>
      <c r="BW9" s="4522" t="str">
        <f>'Приложение '!$C17</f>
        <v>2030 г.</v>
      </c>
      <c r="BX9" s="4522" t="str">
        <f>'Приложение '!$C18</f>
        <v>2031 г.</v>
      </c>
      <c r="BY9" s="4528" t="str">
        <f>'Приложение '!$C12</f>
        <v>2024 г.</v>
      </c>
      <c r="BZ9" s="4522" t="str">
        <f>'Приложение '!$C14</f>
        <v>2027 г.</v>
      </c>
      <c r="CA9" s="4522" t="str">
        <f>'Приложение '!$C15</f>
        <v>2028 г.</v>
      </c>
      <c r="CB9" s="4522" t="str">
        <f>'Приложение '!$C16</f>
        <v>2029 г.</v>
      </c>
      <c r="CC9" s="4522" t="str">
        <f>'Приложение '!$C17</f>
        <v>2030 г.</v>
      </c>
      <c r="CD9" s="4522" t="str">
        <f>'Приложение '!$C18</f>
        <v>2031 г.</v>
      </c>
      <c r="CE9" s="4528" t="str">
        <f>'Приложение '!$C12</f>
        <v>2024 г.</v>
      </c>
      <c r="CF9" s="4522" t="str">
        <f>'Приложение '!$C14</f>
        <v>2027 г.</v>
      </c>
      <c r="CG9" s="4522" t="str">
        <f>'Приложение '!$C15</f>
        <v>2028 г.</v>
      </c>
      <c r="CH9" s="4522" t="str">
        <f>'Приложение '!$C16</f>
        <v>2029 г.</v>
      </c>
      <c r="CI9" s="4522" t="str">
        <f>'Приложение '!$C17</f>
        <v>2030 г.</v>
      </c>
      <c r="CJ9" s="4522" t="str">
        <f>'Приложение '!$C18</f>
        <v>2031 г.</v>
      </c>
    </row>
    <row r="10" spans="1:88" ht="51.75" customHeight="1" thickBot="1">
      <c r="A10" s="5455"/>
      <c r="B10" s="5458"/>
      <c r="C10" s="1109" t="s">
        <v>1742</v>
      </c>
      <c r="D10" s="4269" t="str">
        <f>CONCATENATE("разлика "," спрямо ",$C$9)</f>
        <v>разлика  спрямо 2024 г.</v>
      </c>
      <c r="E10" s="4270" t="str">
        <f>CONCATENATE("изменение в %"," спрямо ",$C$9)</f>
        <v>изменение в % спрямо 2024 г.</v>
      </c>
      <c r="F10" s="4270" t="str">
        <f>CONCATENATE("разлика "," спрямо ",$C$9)</f>
        <v>разлика  спрямо 2024 г.</v>
      </c>
      <c r="G10" s="4270" t="str">
        <f>CONCATENATE("изменение в %"," спрямо ",$C$9)</f>
        <v>изменение в % спрямо 2024 г.</v>
      </c>
      <c r="H10" s="4270" t="str">
        <f>CONCATENATE("разлика "," спрямо ",$C$9)</f>
        <v>разлика  спрямо 2024 г.</v>
      </c>
      <c r="I10" s="4270" t="str">
        <f>CONCATENATE("изменение в %"," спрямо ",$C$9)</f>
        <v>изменение в % спрямо 2024 г.</v>
      </c>
      <c r="J10" s="4270" t="str">
        <f>CONCATENATE("разлика "," спрямо ",$C$9)</f>
        <v>разлика  спрямо 2024 г.</v>
      </c>
      <c r="K10" s="4269" t="str">
        <f>CONCATENATE("изменение в %"," спрямо ",$C$9)</f>
        <v>изменение в % спрямо 2024 г.</v>
      </c>
      <c r="L10" s="4270" t="str">
        <f>CONCATENATE("разлика "," спрямо ",$C$9)</f>
        <v>разлика  спрямо 2024 г.</v>
      </c>
      <c r="M10" s="4269" t="str">
        <f>CONCATENATE("изменение в %"," спрямо ",$C$9)</f>
        <v>изменение в % спрямо 2024 г.</v>
      </c>
      <c r="N10" s="1109" t="str">
        <f>C10</f>
        <v>Базова година</v>
      </c>
      <c r="O10" s="4269" t="str">
        <f>CONCATENATE("разлика "," спрямо ",$C$9)</f>
        <v>разлика  спрямо 2024 г.</v>
      </c>
      <c r="P10" s="4270" t="str">
        <f>CONCATENATE("изменение в %"," спрямо ",$C$9)</f>
        <v>изменение в % спрямо 2024 г.</v>
      </c>
      <c r="Q10" s="4270" t="str">
        <f>CONCATENATE("разлика "," спрямо ",$C$9)</f>
        <v>разлика  спрямо 2024 г.</v>
      </c>
      <c r="R10" s="4270" t="str">
        <f>CONCATENATE("изменение в %"," спрямо ",$C$9)</f>
        <v>изменение в % спрямо 2024 г.</v>
      </c>
      <c r="S10" s="4270" t="str">
        <f>CONCATENATE("разлика "," спрямо ",$C$9)</f>
        <v>разлика  спрямо 2024 г.</v>
      </c>
      <c r="T10" s="4270" t="str">
        <f>CONCATENATE("изменение в %"," спрямо ",$C$9)</f>
        <v>изменение в % спрямо 2024 г.</v>
      </c>
      <c r="U10" s="4270" t="str">
        <f>CONCATENATE("разлика "," спрямо ",$C$9)</f>
        <v>разлика  спрямо 2024 г.</v>
      </c>
      <c r="V10" s="4269" t="str">
        <f>CONCATENATE("изменение в %"," спрямо ",$C$9)</f>
        <v>изменение в % спрямо 2024 г.</v>
      </c>
      <c r="W10" s="4270" t="str">
        <f>CONCATENATE("разлика "," спрямо ",$C$9)</f>
        <v>разлика  спрямо 2024 г.</v>
      </c>
      <c r="X10" s="4271" t="str">
        <f>CONCATENATE("изменение в %"," спрямо ",$C$9)</f>
        <v>изменение в % спрямо 2024 г.</v>
      </c>
      <c r="Y10" s="1109" t="str">
        <f>C10</f>
        <v>Базова година</v>
      </c>
      <c r="Z10" s="4272" t="str">
        <f>CONCATENATE("разлика "," спрямо ",$C$9)</f>
        <v>разлика  спрямо 2024 г.</v>
      </c>
      <c r="AA10" s="4270" t="str">
        <f>CONCATENATE("изменение в %"," спрямо ",$C$9)</f>
        <v>изменение в % спрямо 2024 г.</v>
      </c>
      <c r="AB10" s="4273" t="str">
        <f>CONCATENATE("разлика "," спрямо ",$C$9)</f>
        <v>разлика  спрямо 2024 г.</v>
      </c>
      <c r="AC10" s="4270" t="str">
        <f>CONCATENATE("изменение в %"," спрямо ",$C$9)</f>
        <v>изменение в % спрямо 2024 г.</v>
      </c>
      <c r="AD10" s="4273" t="str">
        <f>CONCATENATE("разлика "," спрямо ",$C$9)</f>
        <v>разлика  спрямо 2024 г.</v>
      </c>
      <c r="AE10" s="4270" t="str">
        <f>CONCATENATE("изменение в %"," спрямо ",$C$9)</f>
        <v>изменение в % спрямо 2024 г.</v>
      </c>
      <c r="AF10" s="4273" t="str">
        <f>CONCATENATE("разлика "," спрямо ",$C$9)</f>
        <v>разлика  спрямо 2024 г.</v>
      </c>
      <c r="AG10" s="4269" t="str">
        <f>CONCATENATE("изменение в %"," спрямо ",$C$9)</f>
        <v>изменение в % спрямо 2024 г.</v>
      </c>
      <c r="AH10" s="4273" t="str">
        <f>CONCATENATE("разлика "," спрямо ",$C$9)</f>
        <v>разлика  спрямо 2024 г.</v>
      </c>
      <c r="AI10" s="4271" t="str">
        <f>CONCATENATE("изменение в %"," спрямо ",$C$9)</f>
        <v>изменение в % спрямо 2024 г.</v>
      </c>
      <c r="AJ10" s="1109" t="str">
        <f>C10</f>
        <v>Базова година</v>
      </c>
      <c r="AK10" s="4272" t="str">
        <f>CONCATENATE("разлика "," спрямо ",$C$9)</f>
        <v>разлика  спрямо 2024 г.</v>
      </c>
      <c r="AL10" s="4270" t="str">
        <f>CONCATENATE("изменение в %"," спрямо ",$C$9)</f>
        <v>изменение в % спрямо 2024 г.</v>
      </c>
      <c r="AM10" s="4273" t="str">
        <f>CONCATENATE("разлика "," спрямо ",$C$9)</f>
        <v>разлика  спрямо 2024 г.</v>
      </c>
      <c r="AN10" s="4270" t="str">
        <f>CONCATENATE("изменение в %"," спрямо ",$C$9)</f>
        <v>изменение в % спрямо 2024 г.</v>
      </c>
      <c r="AO10" s="4273" t="str">
        <f>CONCATENATE("разлика "," спрямо ",$C$9)</f>
        <v>разлика  спрямо 2024 г.</v>
      </c>
      <c r="AP10" s="4270" t="str">
        <f>CONCATENATE("изменение в %"," спрямо ",$C$9)</f>
        <v>изменение в % спрямо 2024 г.</v>
      </c>
      <c r="AQ10" s="4273" t="str">
        <f>CONCATENATE("разлика "," спрямо ",$C$9)</f>
        <v>разлика  спрямо 2024 г.</v>
      </c>
      <c r="AR10" s="4269" t="str">
        <f>CONCATENATE("изменение в %"," спрямо ",$C$9)</f>
        <v>изменение в % спрямо 2024 г.</v>
      </c>
      <c r="AS10" s="4273" t="str">
        <f>CONCATENATE("разлика "," спрямо ",$C$9)</f>
        <v>разлика  спрямо 2024 г.</v>
      </c>
      <c r="AT10" s="4271" t="str">
        <f>CONCATENATE("изменение в %"," спрямо ",$C$9)</f>
        <v>изменение в % спрямо 2024 г.</v>
      </c>
      <c r="AU10" s="1109" t="str">
        <f>AJ10</f>
        <v>Базова година</v>
      </c>
      <c r="AV10" s="4272" t="str">
        <f>CONCATENATE("разлика "," спрямо ",$C$9)</f>
        <v>разлика  спрямо 2024 г.</v>
      </c>
      <c r="AW10" s="4270" t="str">
        <f>CONCATENATE("изменение в %"," спрямо ",$C$9)</f>
        <v>изменение в % спрямо 2024 г.</v>
      </c>
      <c r="AX10" s="4273" t="str">
        <f>CONCATENATE("разлика "," спрямо ",$C$9)</f>
        <v>разлика  спрямо 2024 г.</v>
      </c>
      <c r="AY10" s="4270" t="str">
        <f>CONCATENATE("изменение в %"," спрямо ",$C$9)</f>
        <v>изменение в % спрямо 2024 г.</v>
      </c>
      <c r="AZ10" s="4273" t="str">
        <f>CONCATENATE("разлика "," спрямо ",$C$9)</f>
        <v>разлика  спрямо 2024 г.</v>
      </c>
      <c r="BA10" s="4270" t="str">
        <f>CONCATENATE("изменение в %"," спрямо ",$C$9)</f>
        <v>изменение в % спрямо 2024 г.</v>
      </c>
      <c r="BB10" s="4273" t="str">
        <f>CONCATENATE("разлика "," спрямо ",$C$9)</f>
        <v>разлика  спрямо 2024 г.</v>
      </c>
      <c r="BC10" s="4269" t="str">
        <f>CONCATENATE("изменение в %"," спрямо ",$C$9)</f>
        <v>изменение в % спрямо 2024 г.</v>
      </c>
      <c r="BD10" s="4273" t="str">
        <f>CONCATENATE("разлика "," спрямо ",$C$9)</f>
        <v>разлика  спрямо 2024 г.</v>
      </c>
      <c r="BE10" s="4271" t="str">
        <f>CONCATENATE("изменение в %"," спрямо ",$C$9)</f>
        <v>изменение в % спрямо 2024 г.</v>
      </c>
      <c r="BF10" s="4488"/>
      <c r="BG10" s="4529" t="s">
        <v>1742</v>
      </c>
      <c r="BH10" s="4530" t="str">
        <f>CONCATENATE("разлика "," спрямо ",$C$9)</f>
        <v>разлика  спрямо 2024 г.</v>
      </c>
      <c r="BI10" s="4530" t="str">
        <f>CONCATENATE("разлика "," спрямо ",$C$9)</f>
        <v>разлика  спрямо 2024 г.</v>
      </c>
      <c r="BJ10" s="4530" t="str">
        <f>CONCATENATE("разлика "," спрямо ",$C$9)</f>
        <v>разлика  спрямо 2024 г.</v>
      </c>
      <c r="BK10" s="4530" t="str">
        <f>CONCATENATE("разлика "," спрямо ",$C$9)</f>
        <v>разлика  спрямо 2024 г.</v>
      </c>
      <c r="BL10" s="4530" t="str">
        <f>CONCATENATE("разлика "," спрямо ",$C$9)</f>
        <v>разлика  спрямо 2024 г.</v>
      </c>
      <c r="BM10" s="4529" t="str">
        <f>BG10</f>
        <v>Базова година</v>
      </c>
      <c r="BN10" s="4530" t="str">
        <f>CONCATENATE("разлика "," спрямо ",$C$9)</f>
        <v>разлика  спрямо 2024 г.</v>
      </c>
      <c r="BO10" s="4530" t="str">
        <f>CONCATENATE("разлика "," спрямо ",$C$9)</f>
        <v>разлика  спрямо 2024 г.</v>
      </c>
      <c r="BP10" s="4530" t="str">
        <f>CONCATENATE("разлика "," спрямо ",$C$9)</f>
        <v>разлика  спрямо 2024 г.</v>
      </c>
      <c r="BQ10" s="4530" t="str">
        <f>CONCATENATE("разлика "," спрямо ",$C$9)</f>
        <v>разлика  спрямо 2024 г.</v>
      </c>
      <c r="BR10" s="4530" t="str">
        <f>CONCATENATE("разлика "," спрямо ",$C$9)</f>
        <v>разлика  спрямо 2024 г.</v>
      </c>
      <c r="BS10" s="4529" t="str">
        <f>BG10</f>
        <v>Базова година</v>
      </c>
      <c r="BT10" s="4531" t="str">
        <f>CONCATENATE("разлика "," спрямо ",$C$9)</f>
        <v>разлика  спрямо 2024 г.</v>
      </c>
      <c r="BU10" s="4531" t="str">
        <f>CONCATENATE("разлика "," спрямо ",$C$9)</f>
        <v>разлика  спрямо 2024 г.</v>
      </c>
      <c r="BV10" s="4531" t="str">
        <f>CONCATENATE("разлика "," спрямо ",$C$9)</f>
        <v>разлика  спрямо 2024 г.</v>
      </c>
      <c r="BW10" s="4531" t="str">
        <f>CONCATENATE("разлика "," спрямо ",$C$9)</f>
        <v>разлика  спрямо 2024 г.</v>
      </c>
      <c r="BX10" s="4531" t="str">
        <f>CONCATENATE("разлика "," спрямо ",$C$9)</f>
        <v>разлика  спрямо 2024 г.</v>
      </c>
      <c r="BY10" s="4529" t="str">
        <f>BG10</f>
        <v>Базова година</v>
      </c>
      <c r="BZ10" s="4531" t="str">
        <f>CONCATENATE("разлика "," спрямо ",$C$9)</f>
        <v>разлика  спрямо 2024 г.</v>
      </c>
      <c r="CA10" s="4531" t="str">
        <f>CONCATENATE("разлика "," спрямо ",$C$9)</f>
        <v>разлика  спрямо 2024 г.</v>
      </c>
      <c r="CB10" s="4531" t="str">
        <f>CONCATENATE("разлика "," спрямо ",$C$9)</f>
        <v>разлика  спрямо 2024 г.</v>
      </c>
      <c r="CC10" s="4531" t="str">
        <f>CONCATENATE("разлика "," спрямо ",$C$9)</f>
        <v>разлика  спрямо 2024 г.</v>
      </c>
      <c r="CD10" s="4531" t="str">
        <f>CONCATENATE("разлика "," спрямо ",$C$9)</f>
        <v>разлика  спрямо 2024 г.</v>
      </c>
      <c r="CE10" s="4529" t="str">
        <f>BY10</f>
        <v>Базова година</v>
      </c>
      <c r="CF10" s="4531" t="str">
        <f>CONCATENATE("разлика "," спрямо ",$C$9)</f>
        <v>разлика  спрямо 2024 г.</v>
      </c>
      <c r="CG10" s="4531" t="str">
        <f>CONCATENATE("разлика "," спрямо ",$C$9)</f>
        <v>разлика  спрямо 2024 г.</v>
      </c>
      <c r="CH10" s="4531" t="str">
        <f>CONCATENATE("разлика "," спрямо ",$C$9)</f>
        <v>разлика  спрямо 2024 г.</v>
      </c>
      <c r="CI10" s="4531" t="str">
        <f>CONCATENATE("разлика "," спрямо ",$C$9)</f>
        <v>разлика  спрямо 2024 г.</v>
      </c>
      <c r="CJ10" s="4531" t="str">
        <f>CONCATENATE("разлика "," спрямо ",$C$9)</f>
        <v>разлика  спрямо 2024 г.</v>
      </c>
    </row>
    <row r="11" spans="1:88" s="1160" customFormat="1" ht="15.9" customHeight="1" thickBot="1">
      <c r="A11" s="109" t="s">
        <v>141</v>
      </c>
      <c r="B11" s="894" t="s">
        <v>226</v>
      </c>
      <c r="C11" s="1110">
        <f>'12. Разходи'!C11</f>
        <v>2514.1377450844034</v>
      </c>
      <c r="D11" s="905">
        <f>'12. Разходи'!D11-'12. Разходи'!$C11</f>
        <v>435.58913991610598</v>
      </c>
      <c r="E11" s="875">
        <f>IFERROR(('12. Разходи'!D11-'12. Разходи'!$C11)/'12. Разходи'!$C11,0)</f>
        <v>0.17325587699709849</v>
      </c>
      <c r="F11" s="1147">
        <f>'12. Разходи'!E11-'12. Разходи'!$C11</f>
        <v>390.86473621956975</v>
      </c>
      <c r="G11" s="875">
        <f>IFERROR(('12. Разходи'!E11-'12. Разходи'!$C11)/'12. Разходи'!$C11,0)</f>
        <v>0.15546671497366499</v>
      </c>
      <c r="H11" s="1147">
        <f>'12. Разходи'!F11-'12. Разходи'!$C11</f>
        <v>341.23737420069301</v>
      </c>
      <c r="I11" s="875">
        <f>IFERROR(('12. Разходи'!F11-'12. Разходи'!$C11)/'12. Разходи'!$C11,0)</f>
        <v>0.13572739793906446</v>
      </c>
      <c r="J11" s="1147">
        <f>'12. Разходи'!G11-'12. Разходи'!$C11</f>
        <v>271.80031781883781</v>
      </c>
      <c r="K11" s="875">
        <f>IFERROR(('12. Разходи'!G11-'12. Разходи'!$C11)/'12. Разходи'!$C11,0)</f>
        <v>0.10810876148304001</v>
      </c>
      <c r="L11" s="1147">
        <f>'12. Разходи'!H11-'12. Разходи'!$C11</f>
        <v>176.93901119081147</v>
      </c>
      <c r="M11" s="884">
        <f>IFERROR(('12. Разходи'!H11-'12. Разходи'!$C11)/'12. Разходи'!$C11,0)</f>
        <v>7.0377612180064289E-2</v>
      </c>
      <c r="N11" s="1161">
        <f>'12. Разходи'!K11</f>
        <v>28.895134562316255</v>
      </c>
      <c r="O11" s="905">
        <f>'12. Разходи'!L11-'12. Разходи'!$K11</f>
        <v>3.7235010016364463</v>
      </c>
      <c r="P11" s="875">
        <f>IFERROR(('12. Разходи'!L11-'12. Разходи'!$K11)/'12. Разходи'!$K11,0)</f>
        <v>0.12886255966748361</v>
      </c>
      <c r="Q11" s="1147">
        <f>'12. Разходи'!M11-'12. Разходи'!$K11</f>
        <v>3.2461935275728386</v>
      </c>
      <c r="R11" s="875">
        <f>IFERROR(('12. Разходи'!M11-'12. Разходи'!$K11)/'12. Разходи'!$K11,0)</f>
        <v>0.11234394913690346</v>
      </c>
      <c r="S11" s="1147">
        <f>'12. Разходи'!N11-'12. Разходи'!$K11</f>
        <v>2.3896639758730629</v>
      </c>
      <c r="T11" s="875">
        <f>IFERROR(('12. Разходи'!N11-'12. Разходи'!$K11)/'12. Разходи'!$K11,0)</f>
        <v>8.2701257913142104E-2</v>
      </c>
      <c r="U11" s="1147">
        <f>'12. Разходи'!O11-'12. Разходи'!$K11</f>
        <v>3.3491641619203314</v>
      </c>
      <c r="V11" s="875">
        <f>IFERROR(('12. Разходи'!O11-'12. Разходи'!$K11)/'12. Разходи'!$K11,0)</f>
        <v>0.11590754681198688</v>
      </c>
      <c r="W11" s="1147">
        <f>'12. Разходи'!P11-'12. Разходи'!$K11</f>
        <v>2.0257503606646772</v>
      </c>
      <c r="X11" s="820">
        <f>IFERROR(('12. Разходи'!P11-'12. Разходи'!$K11)/'12. Разходи'!$K11,0)</f>
        <v>7.0106970995268192E-2</v>
      </c>
      <c r="Y11" s="1161">
        <f>'12. Разходи'!S11</f>
        <v>488.01550500956137</v>
      </c>
      <c r="Z11" s="905">
        <f>'12. Разходи'!T11-'12. Разходи'!$S11</f>
        <v>114.28621861367844</v>
      </c>
      <c r="AA11" s="875">
        <f>IFERROR(('12. Разходи'!T11-'12. Разходи'!$S11)/'12. Разходи'!$S11,0)</f>
        <v>0.23418563025254557</v>
      </c>
      <c r="AB11" s="1147">
        <f>'12. Разходи'!U11-'12. Разходи'!$S11</f>
        <v>109.0926366338922</v>
      </c>
      <c r="AC11" s="875">
        <f>IFERROR(('12. Разходи'!U11-'12. Разходи'!$S11)/'12. Разходи'!$S11,0)</f>
        <v>0.22354338235985927</v>
      </c>
      <c r="AD11" s="1147">
        <f>'12. Разходи'!V11-'12. Разходи'!$S11</f>
        <v>105.67857806145662</v>
      </c>
      <c r="AE11" s="875">
        <f>IFERROR(('12. Разходи'!V11-'12. Разходи'!$S11)/'12. Разходи'!$S11,0)</f>
        <v>0.2165475829694922</v>
      </c>
      <c r="AF11" s="1147">
        <f>'12. Разходи'!W11-'12. Разходи'!$S11</f>
        <v>102.48385220314458</v>
      </c>
      <c r="AG11" s="875">
        <f>IFERROR(('12. Разходи'!W11-'12. Разходи'!$S11)/'12. Разходи'!$S11,0)</f>
        <v>0.21000122158236895</v>
      </c>
      <c r="AH11" s="1147">
        <f>'12. Разходи'!X11-'12. Разходи'!$S11</f>
        <v>100.64961220248279</v>
      </c>
      <c r="AI11" s="820">
        <f>IFERROR(('12. Разходи'!X11-'12. Разходи'!$S11)/'12. Разходи'!$S11,0)</f>
        <v>0.20624265247578727</v>
      </c>
      <c r="AJ11" s="1161">
        <f>'12. Разходи'!AA11</f>
        <v>0</v>
      </c>
      <c r="AK11" s="1148">
        <f>'12. Разходи'!AB11-'12. Разходи'!$AA11</f>
        <v>0</v>
      </c>
      <c r="AL11" s="875">
        <f>IFERROR(('12. Разходи'!AB11-'12. Разходи'!$AA11)/'12. Разходи'!$AA11,0)</f>
        <v>0</v>
      </c>
      <c r="AM11" s="1147">
        <f>'12. Разходи'!AC11-'12. Разходи'!$AA11</f>
        <v>0</v>
      </c>
      <c r="AN11" s="875">
        <f>IFERROR(('12. Разходи'!AC11-'12. Разходи'!$AA11)/'12. Разходи'!$AA11,0)</f>
        <v>0</v>
      </c>
      <c r="AO11" s="1147">
        <f>'12. Разходи'!AD11-'12. Разходи'!$AA11</f>
        <v>0</v>
      </c>
      <c r="AP11" s="875">
        <f>IFERROR(('12. Разходи'!AD11-'12. Разходи'!$AA11)/'12. Разходи'!$AA11,0)</f>
        <v>0</v>
      </c>
      <c r="AQ11" s="1147">
        <f>'12. Разходи'!AE11-'12. Разходи'!$AA11</f>
        <v>0</v>
      </c>
      <c r="AR11" s="884">
        <f>IFERROR(('12. Разходи'!AE11-'12. Разходи'!$AA11)/'12. Разходи'!$AA11,0)</f>
        <v>0</v>
      </c>
      <c r="AS11" s="1147">
        <f>'12. Разходи'!AF11-'12. Разходи'!$AA11</f>
        <v>0</v>
      </c>
      <c r="AT11" s="820">
        <f>IFERROR(('12. Разходи'!AF11-'12. Разходи'!$AA11)/'12. Разходи'!$AA11,0)</f>
        <v>0</v>
      </c>
      <c r="AU11" s="1161">
        <f>'12. Разходи'!AI11</f>
        <v>390.65483100591996</v>
      </c>
      <c r="AV11" s="1148">
        <f>'12. Разходи'!AJ11-'12. Разходи'!$AI11</f>
        <v>142.31964258761195</v>
      </c>
      <c r="AW11" s="875">
        <f>IFERROR(('12. Разходи'!AJ11-'12. Разходи'!$AI11)/'12. Разходи'!$AI11,0)</f>
        <v>0.36431046359044067</v>
      </c>
      <c r="AX11" s="1147">
        <f>'12. Разходи'!AK11-'12. Разходи'!$AI11</f>
        <v>144.74284392232084</v>
      </c>
      <c r="AY11" s="875">
        <f>IFERROR(('12. Разходи'!AK11-'12. Разходи'!$AI11)/'12. Разходи'!$AI11,0)</f>
        <v>0.37051338530644568</v>
      </c>
      <c r="AZ11" s="1147">
        <f>'12. Разходи'!AL11-'12. Разходи'!$AI11</f>
        <v>147.74248351780329</v>
      </c>
      <c r="BA11" s="875">
        <f>IFERROR(('12. Разходи'!AL11-'12. Разходи'!$AI11)/'12. Разходи'!$AI11,0)</f>
        <v>0.3781918762846796</v>
      </c>
      <c r="BB11" s="1147">
        <f>'12. Разходи'!AM11-'12. Разходи'!$AI11</f>
        <v>150.22125791980682</v>
      </c>
      <c r="BC11" s="884">
        <f>IFERROR(('12. Разходи'!AM11-'12. Разходи'!$AI11)/'12. Разходи'!$AI11,0)</f>
        <v>0.38453705418922712</v>
      </c>
      <c r="BD11" s="1147">
        <f>'12. Разходи'!AN11-'12. Разходи'!$AI11</f>
        <v>153.38358849937447</v>
      </c>
      <c r="BE11" s="820">
        <f>IFERROR(('12. Разходи'!AN11-'12. Разходи'!$AI11)/'12. Разходи'!$AI11,0)</f>
        <v>0.3926320022829824</v>
      </c>
      <c r="BF11" s="4488"/>
      <c r="BG11" s="4504">
        <f>IFERROR(C11/$D$1,0)</f>
        <v>1285.4582172706234</v>
      </c>
      <c r="BH11" s="4504">
        <f t="shared" ref="BH11" si="0">IFERROR(D11/$D$1,0)</f>
        <v>222.71319077634865</v>
      </c>
      <c r="BI11" s="4504">
        <f>IFERROR(F11/$D$1,0)</f>
        <v>199.84596627496754</v>
      </c>
      <c r="BJ11" s="4504">
        <f>IFERROR(H11/$D$1,0)</f>
        <v>174.47189898953027</v>
      </c>
      <c r="BK11" s="4504">
        <f>IFERROR(J11/$D$1,0)</f>
        <v>138.96929580732365</v>
      </c>
      <c r="BL11" s="4504">
        <f>IFERROR(L11/$D$1,0)</f>
        <v>90.467479888748755</v>
      </c>
      <c r="BM11" s="4504">
        <f>IFERROR(N11/$D$1,0)</f>
        <v>14.773847707784549</v>
      </c>
      <c r="BN11" s="4504">
        <f>IFERROR(O11/$D$1,0)</f>
        <v>1.9037958317627024</v>
      </c>
      <c r="BO11" s="4504">
        <f>IFERROR(Q11/$D$1,0)</f>
        <v>1.6597523954397053</v>
      </c>
      <c r="BP11" s="4504">
        <f>IFERROR(S11/$D$1,0)</f>
        <v>1.2218157896509731</v>
      </c>
      <c r="BQ11" s="4504">
        <f>IFERROR(U11/$D$1,0)</f>
        <v>1.7124004447832029</v>
      </c>
      <c r="BR11" s="4504">
        <f>IFERROR(W11/$D$1,0)</f>
        <v>1.035749712738161</v>
      </c>
      <c r="BS11" s="4504">
        <f>IFERROR(Y11/$D$1,0)</f>
        <v>249.51836560926122</v>
      </c>
      <c r="BT11" s="4504">
        <f>IFERROR(Z11/$D$1,0)</f>
        <v>58.433615709789933</v>
      </c>
      <c r="BU11" s="4504">
        <f>IFERROR(AB11/$D$1,0)</f>
        <v>55.778179409198245</v>
      </c>
      <c r="BV11" s="4504">
        <f>IFERROR(AD11/$D$1,0)</f>
        <v>54.032598979183582</v>
      </c>
      <c r="BW11" s="4504">
        <f>IFERROR(AF11/$D$1,0)</f>
        <v>52.399161585181012</v>
      </c>
      <c r="BX11" s="4504">
        <f>IFERROR(AH11/$D$1,0)</f>
        <v>51.461329564677293</v>
      </c>
      <c r="BY11" s="4504">
        <f>IFERROR(AJ11/$D$1,0)</f>
        <v>0</v>
      </c>
      <c r="BZ11" s="4504">
        <f>IFERROR(AK11/$D$1,0)</f>
        <v>0</v>
      </c>
      <c r="CA11" s="4504">
        <f>IFERROR(AM11/$D$1,0)</f>
        <v>0</v>
      </c>
      <c r="CB11" s="4504">
        <f>IFERROR(AO11/$D$1,0)</f>
        <v>0</v>
      </c>
      <c r="CC11" s="4504">
        <f>IFERROR(AQ11/$D$1,0)</f>
        <v>0</v>
      </c>
      <c r="CD11" s="4504">
        <f>IFERROR(AS11/$D$1,0)</f>
        <v>0</v>
      </c>
      <c r="CE11" s="4504">
        <f>IFERROR(AU11/$D$1,0)</f>
        <v>199.73864344340765</v>
      </c>
      <c r="CF11" s="4504">
        <f>IFERROR(AV11/$D$1,0)</f>
        <v>72.766877789793568</v>
      </c>
      <c r="CG11" s="4504">
        <f>IFERROR(AX11/$D$1,0)</f>
        <v>74.005840958734069</v>
      </c>
      <c r="CH11" s="4504">
        <f>IFERROR(AZ11/$D$1,0)</f>
        <v>75.53953233041895</v>
      </c>
      <c r="CI11" s="4504">
        <f>IFERROR(BB11/$D$1,0)</f>
        <v>76.806909557480367</v>
      </c>
      <c r="CJ11" s="4504">
        <f>IFERROR(BD11/$D$1,0)</f>
        <v>78.423783508471843</v>
      </c>
    </row>
    <row r="12" spans="1:88" ht="15.9" customHeight="1">
      <c r="A12" s="108" t="s">
        <v>90</v>
      </c>
      <c r="B12" s="895" t="s">
        <v>227</v>
      </c>
      <c r="C12" s="1186">
        <f>'12. Разходи'!C12</f>
        <v>23.482430089295654</v>
      </c>
      <c r="D12" s="1130">
        <f>'12. Разходи'!D12-'12. Разходи'!$C12</f>
        <v>1.4930522537939162</v>
      </c>
      <c r="E12" s="876">
        <f>IFERROR(('12. Разходи'!D12-'12. Разходи'!$C12)/'12. Разходи'!$C12,0)</f>
        <v>6.3581675666289597E-2</v>
      </c>
      <c r="F12" s="1131">
        <f>'12. Разходи'!E12-'12. Разходи'!$C12</f>
        <v>1.1611786178965851</v>
      </c>
      <c r="G12" s="876">
        <f>IFERROR(('12. Разходи'!E12-'12. Разходи'!$C12)/'12. Разходи'!$C12,0)</f>
        <v>4.9448826781598829E-2</v>
      </c>
      <c r="H12" s="1131">
        <f>'12. Разходи'!F12-'12. Разходи'!$C12</f>
        <v>0.76558524390696547</v>
      </c>
      <c r="I12" s="876">
        <f>IFERROR(('12. Разходи'!F12-'12. Разходи'!$C12)/'12. Разходи'!$C12,0)</f>
        <v>3.2602470911047385E-2</v>
      </c>
      <c r="J12" s="1131">
        <f>'12. Разходи'!G12-'12. Разходи'!$C12</f>
        <v>0.23458742647123643</v>
      </c>
      <c r="K12" s="876">
        <f>IFERROR(('12. Разходи'!G12-'12. Разходи'!$C12)/'12. Разходи'!$C12,0)</f>
        <v>9.989912695542183E-3</v>
      </c>
      <c r="L12" s="1131">
        <f>'12. Разходи'!H12-'12. Разходи'!$C12</f>
        <v>-0.52341195791827033</v>
      </c>
      <c r="M12" s="887">
        <f>IFERROR(('12. Разходи'!H12-'12. Разходи'!$C12)/'12. Разходи'!$C12,0)</f>
        <v>-2.2289514157091645E-2</v>
      </c>
      <c r="N12" s="1162">
        <f>'12. Разходи'!K12</f>
        <v>2.8648442270393825E-4</v>
      </c>
      <c r="O12" s="1130">
        <f>'12. Разходи'!L12-'12. Разходи'!$K12</f>
        <v>-2.8648442270393825E-4</v>
      </c>
      <c r="P12" s="876">
        <f>IFERROR(('12. Разходи'!L12-'12. Разходи'!$K12)/'12. Разходи'!$K12,0)</f>
        <v>-1</v>
      </c>
      <c r="Q12" s="1131">
        <f>'12. Разходи'!M12-'12. Разходи'!$K12</f>
        <v>-2.8648442270393825E-4</v>
      </c>
      <c r="R12" s="876">
        <f>IFERROR(('12. Разходи'!M12-'12. Разходи'!$K12)/'12. Разходи'!$K12,0)</f>
        <v>-1</v>
      </c>
      <c r="S12" s="1131">
        <f>'12. Разходи'!N12-'12. Разходи'!$K12</f>
        <v>-2.8648442270393825E-4</v>
      </c>
      <c r="T12" s="876">
        <f>IFERROR(('12. Разходи'!N12-'12. Разходи'!$K12)/'12. Разходи'!$K12,0)</f>
        <v>-1</v>
      </c>
      <c r="U12" s="1131">
        <f>'12. Разходи'!O12-'12. Разходи'!$K12</f>
        <v>-2.8648442270393825E-4</v>
      </c>
      <c r="V12" s="876">
        <f>IFERROR(('12. Разходи'!O12-'12. Разходи'!$K12)/'12. Разходи'!$K12,0)</f>
        <v>-1</v>
      </c>
      <c r="W12" s="1131">
        <f>'12. Разходи'!P12-'12. Разходи'!$K12</f>
        <v>-2.8648442270393825E-4</v>
      </c>
      <c r="X12" s="821">
        <f>IFERROR(('12. Разходи'!P12-'12. Разходи'!$K12)/'12. Разходи'!$K12,0)</f>
        <v>-1</v>
      </c>
      <c r="Y12" s="1162">
        <f>'12. Разходи'!S12</f>
        <v>76.62812931972104</v>
      </c>
      <c r="Z12" s="1130">
        <f>'12. Разходи'!T12-'12. Разходи'!$S12</f>
        <v>18.484919082796836</v>
      </c>
      <c r="AA12" s="876">
        <f>IFERROR(('12. Разходи'!T12-'12. Разходи'!$S12)/'12. Разходи'!$S12,0)</f>
        <v>0.24122889658014332</v>
      </c>
      <c r="AB12" s="1131">
        <f>'12. Разходи'!U12-'12. Разходи'!$S12</f>
        <v>18.561344169620341</v>
      </c>
      <c r="AC12" s="876">
        <f>IFERROR(('12. Разходи'!U12-'12. Разходи'!$S12)/'12. Разходи'!$S12,0)</f>
        <v>0.24222624686785074</v>
      </c>
      <c r="AD12" s="1131">
        <f>'12. Разходи'!V12-'12. Разходи'!$S12</f>
        <v>18.640493733277637</v>
      </c>
      <c r="AE12" s="876">
        <f>IFERROR(('12. Разходи'!V12-'12. Разходи'!$S12)/'12. Разходи'!$S12,0)</f>
        <v>0.24325915168178736</v>
      </c>
      <c r="AF12" s="1131">
        <f>'12. Разходи'!W12-'12. Разходи'!$S12</f>
        <v>18.722379508518472</v>
      </c>
      <c r="AG12" s="876">
        <f>IFERROR(('12. Разходи'!W12-'12. Разходи'!$S12)/'12. Разходи'!$S12,0)</f>
        <v>0.24432776416088334</v>
      </c>
      <c r="AH12" s="1131">
        <f>'12. Разходи'!X12-'12. Разходи'!$S12</f>
        <v>18.807018857924618</v>
      </c>
      <c r="AI12" s="821">
        <f>IFERROR(('12. Разходи'!X12-'12. Разходи'!$S12)/'12. Разходи'!$S12,0)</f>
        <v>0.24543231088749073</v>
      </c>
      <c r="AJ12" s="1162">
        <f>'12. Разходи'!AA12</f>
        <v>0</v>
      </c>
      <c r="AK12" s="1144">
        <f>'12. Разходи'!AB12-'12. Разходи'!$AA12</f>
        <v>0</v>
      </c>
      <c r="AL12" s="876">
        <f>IFERROR(('12. Разходи'!AB12-'12. Разходи'!$AA12)/'12. Разходи'!$AA12,0)</f>
        <v>0</v>
      </c>
      <c r="AM12" s="1131">
        <f>'12. Разходи'!AC12-'12. Разходи'!$AA12</f>
        <v>0</v>
      </c>
      <c r="AN12" s="876">
        <f>IFERROR(('12. Разходи'!AC12-'12. Разходи'!$AA12)/'12. Разходи'!$AA12,0)</f>
        <v>0</v>
      </c>
      <c r="AO12" s="1131">
        <f>'12. Разходи'!AD12-'12. Разходи'!$AA12</f>
        <v>0</v>
      </c>
      <c r="AP12" s="876">
        <f>IFERROR(('12. Разходи'!AD12-'12. Разходи'!$AA12)/'12. Разходи'!$AA12,0)</f>
        <v>0</v>
      </c>
      <c r="AQ12" s="1131">
        <f>'12. Разходи'!AE12-'12. Разходи'!$AA12</f>
        <v>0</v>
      </c>
      <c r="AR12" s="892">
        <f>IFERROR(('12. Разходи'!AE12-'12. Разходи'!$AA12)/'12. Разходи'!$AA12,0)</f>
        <v>0</v>
      </c>
      <c r="AS12" s="1131">
        <f>'12. Разходи'!AF12-'12. Разходи'!$AA12</f>
        <v>0</v>
      </c>
      <c r="AT12" s="893">
        <f>IFERROR(('12. Разходи'!AF12-'12. Разходи'!$AA12)/'12. Разходи'!$AA12,0)</f>
        <v>0</v>
      </c>
      <c r="AU12" s="1162">
        <f>'12. Разходи'!AI12</f>
        <v>27.77862410656061</v>
      </c>
      <c r="AV12" s="1144">
        <f>'12. Разходи'!AJ12-'12. Разходи'!$AI12</f>
        <v>2.300824214792879</v>
      </c>
      <c r="AW12" s="876">
        <f>IFERROR(('12. Разходи'!AJ12-'12. Разходи'!$AI12)/'12. Разходи'!$AI12,0)</f>
        <v>8.282714816856182E-2</v>
      </c>
      <c r="AX12" s="1131">
        <f>'12. Разходи'!AK12-'12. Разходи'!$AI12</f>
        <v>2.3105435224535</v>
      </c>
      <c r="AY12" s="876">
        <f>IFERROR(('12. Разходи'!AK12-'12. Разходи'!$AI12)/'12. Разходи'!$AI12,0)</f>
        <v>8.3177032584123123E-2</v>
      </c>
      <c r="AZ12" s="1131">
        <f>'12. Разходи'!AL12-'12. Разходи'!$AI12</f>
        <v>2.3202859419744435</v>
      </c>
      <c r="BA12" s="876">
        <f>IFERROR(('12. Разходи'!AL12-'12. Разходи'!$AI12)/'12. Разходи'!$AI12,0)</f>
        <v>8.3527749001306745E-2</v>
      </c>
      <c r="BB12" s="1131">
        <f>'12. Разходи'!AM12-'12. Разходи'!$AI12</f>
        <v>2.3300468509836421</v>
      </c>
      <c r="BC12" s="892">
        <f>IFERROR(('12. Разходи'!AM12-'12. Разходи'!$AI12)/'12. Разходи'!$AI12,0)</f>
        <v>8.3879131019788125E-2</v>
      </c>
      <c r="BD12" s="1131">
        <f>'12. Разходи'!AN12-'12. Разходи'!$AI12</f>
        <v>2.3398354942252269</v>
      </c>
      <c r="BE12" s="893">
        <f>IFERROR(('12. Разходи'!AN12-'12. Разходи'!$AI12)/'12. Разходи'!$AI12,0)</f>
        <v>8.4231511440216247E-2</v>
      </c>
      <c r="BF12" s="4488"/>
      <c r="BG12" s="4504">
        <f t="shared" ref="BG12:BG75" si="1">IFERROR(C12/$D$1,0)</f>
        <v>12.00637585541466</v>
      </c>
      <c r="BH12" s="4504">
        <f t="shared" ref="BH12:BH75" si="2">IFERROR(D12/$D$1,0)</f>
        <v>0.76338549556654522</v>
      </c>
      <c r="BI12" s="4504">
        <f t="shared" ref="BI12:BI75" si="3">IFERROR(F12/$D$1,0)</f>
        <v>0.59370119994916992</v>
      </c>
      <c r="BJ12" s="4504">
        <f t="shared" ref="BJ12:BJ75" si="4">IFERROR(H12/$D$1,0)</f>
        <v>0.39143751957325817</v>
      </c>
      <c r="BK12" s="4504">
        <f t="shared" ref="BK12:BK75" si="5">IFERROR(J12/$D$1,0)</f>
        <v>0.11994264658545806</v>
      </c>
      <c r="BL12" s="4504">
        <f t="shared" ref="BL12:BL75" si="6">IFERROR(L12/$D$1,0)</f>
        <v>-0.26761628460462838</v>
      </c>
      <c r="BM12" s="4504">
        <f t="shared" ref="BM12:BM75" si="7">IFERROR(N12/$D$1,0)</f>
        <v>1.4647715941770923E-4</v>
      </c>
      <c r="BN12" s="4504">
        <f t="shared" ref="BN12:BN75" si="8">IFERROR(O12/$D$1,0)</f>
        <v>-1.4647715941770923E-4</v>
      </c>
      <c r="BO12" s="4504">
        <f t="shared" ref="BO12:BO75" si="9">IFERROR(Q12/$D$1,0)</f>
        <v>-1.4647715941770923E-4</v>
      </c>
      <c r="BP12" s="4504">
        <f t="shared" ref="BP12:BP75" si="10">IFERROR(S12/$D$1,0)</f>
        <v>-1.4647715941770923E-4</v>
      </c>
      <c r="BQ12" s="4504">
        <f t="shared" ref="BQ12:BQ75" si="11">IFERROR(U12/$D$1,0)</f>
        <v>-1.4647715941770923E-4</v>
      </c>
      <c r="BR12" s="4504">
        <f t="shared" ref="BR12:BR75" si="12">IFERROR(W12/$D$1,0)</f>
        <v>-1.4647715941770923E-4</v>
      </c>
      <c r="BS12" s="4504">
        <f t="shared" ref="BS12:BS75" si="13">IFERROR(Y12/$D$1,0)</f>
        <v>39.179340392427278</v>
      </c>
      <c r="BT12" s="4504">
        <f t="shared" ref="BT12:BT75" si="14">IFERROR(Z12/$D$1,0)</f>
        <v>9.4511890516030714</v>
      </c>
      <c r="BU12" s="4504">
        <f t="shared" ref="BU12:BU75" si="15">IFERROR(AB12/$D$1,0)</f>
        <v>9.4902645780156458</v>
      </c>
      <c r="BV12" s="4504">
        <f t="shared" ref="BV12:BV75" si="16">IFERROR(AD12/$D$1,0)</f>
        <v>9.5307331073138446</v>
      </c>
      <c r="BW12" s="4504">
        <f t="shared" ref="BW12:BW75" si="17">IFERROR(AF12/$D$1,0)</f>
        <v>9.5726006393799423</v>
      </c>
      <c r="BX12" s="4504">
        <f t="shared" ref="BX12:BX75" si="18">IFERROR(AH12/$D$1,0)</f>
        <v>9.6158760515610346</v>
      </c>
      <c r="BY12" s="4504">
        <f t="shared" ref="BY12:BY75" si="19">IFERROR(AJ12/$D$1,0)</f>
        <v>0</v>
      </c>
      <c r="BZ12" s="4504">
        <f t="shared" ref="BZ12:BZ75" si="20">IFERROR(AK12/$D$1,0)</f>
        <v>0</v>
      </c>
      <c r="CA12" s="4504">
        <f t="shared" ref="CA12:CA75" si="21">IFERROR(AM12/$D$1,0)</f>
        <v>0</v>
      </c>
      <c r="CB12" s="4504">
        <f t="shared" ref="CB12:CB75" si="22">IFERROR(AO12/$D$1,0)</f>
        <v>0</v>
      </c>
      <c r="CC12" s="4504">
        <f t="shared" ref="CC12:CC75" si="23">IFERROR(AQ12/$D$1,0)</f>
        <v>0</v>
      </c>
      <c r="CD12" s="4504">
        <f t="shared" ref="CD12:CD75" si="24">IFERROR(AS12/$D$1,0)</f>
        <v>0</v>
      </c>
      <c r="CE12" s="4504">
        <f t="shared" ref="CE12:CE75" si="25">IFERROR(AU12/$D$1,0)</f>
        <v>14.202984976485999</v>
      </c>
      <c r="CF12" s="4504">
        <f t="shared" ref="CF12:CF75" si="26">IFERROR(AV12/$D$1,0)</f>
        <v>1.1763927410832633</v>
      </c>
      <c r="CG12" s="4504">
        <f t="shared" ref="CG12:CG75" si="27">IFERROR(AX12/$D$1,0)</f>
        <v>1.1813621441809872</v>
      </c>
      <c r="CH12" s="4504">
        <f t="shared" ref="CH12:CH75" si="28">IFERROR(AZ12/$D$1,0)</f>
        <v>1.186343364185253</v>
      </c>
      <c r="CI12" s="4504">
        <f t="shared" ref="CI12:CI75" si="29">IFERROR(BB12/$D$1,0)</f>
        <v>1.1913340377147514</v>
      </c>
      <c r="CJ12" s="4504">
        <f t="shared" ref="CJ12:CJ75" si="30">IFERROR(BD12/$D$1,0)</f>
        <v>1.1963388915320998</v>
      </c>
    </row>
    <row r="13" spans="1:88" s="1198" customFormat="1" ht="15.9" customHeight="1">
      <c r="A13" s="1188" t="s">
        <v>335</v>
      </c>
      <c r="B13" s="1189" t="s">
        <v>228</v>
      </c>
      <c r="C13" s="1190">
        <f>'12. Разходи'!C13</f>
        <v>23.482430089295654</v>
      </c>
      <c r="D13" s="1191">
        <f>'12. Разходи'!D13-'12. Разходи'!$C13</f>
        <v>1.4930522537939162</v>
      </c>
      <c r="E13" s="1192">
        <f>IFERROR(('12. Разходи'!D13-'12. Разходи'!$C13)/'12. Разходи'!$C13,0)</f>
        <v>6.3581675666289597E-2</v>
      </c>
      <c r="F13" s="1193">
        <f>'12. Разходи'!E13-'12. Разходи'!$C13</f>
        <v>1.1611786178965851</v>
      </c>
      <c r="G13" s="1192">
        <f>IFERROR(('12. Разходи'!E13-'12. Разходи'!$C13)/'12. Разходи'!$C13,0)</f>
        <v>4.9448826781598829E-2</v>
      </c>
      <c r="H13" s="1193">
        <f>'12. Разходи'!F13-'12. Разходи'!$C13</f>
        <v>0.76558524390696547</v>
      </c>
      <c r="I13" s="1192">
        <f>IFERROR(('12. Разходи'!F13-'12. Разходи'!$C13)/'12. Разходи'!$C13,0)</f>
        <v>3.2602470911047385E-2</v>
      </c>
      <c r="J13" s="1193">
        <f>'12. Разходи'!G13-'12. Разходи'!$C13</f>
        <v>0.23458742647123643</v>
      </c>
      <c r="K13" s="1192">
        <f>IFERROR(('12. Разходи'!G13-'12. Разходи'!$C13)/'12. Разходи'!$C13,0)</f>
        <v>9.989912695542183E-3</v>
      </c>
      <c r="L13" s="1193">
        <f>'12. Разходи'!H13-'12. Разходи'!$C13</f>
        <v>-0.52341195791827033</v>
      </c>
      <c r="M13" s="1194">
        <f>IFERROR(('12. Разходи'!H13-'12. Разходи'!$C13)/'12. Разходи'!$C13,0)</f>
        <v>-2.2289514157091645E-2</v>
      </c>
      <c r="N13" s="1195">
        <f>'12. Разходи'!K13</f>
        <v>2.8648442270393825E-4</v>
      </c>
      <c r="O13" s="1191">
        <f>'12. Разходи'!L13-'12. Разходи'!$K13</f>
        <v>-2.8648442270393825E-4</v>
      </c>
      <c r="P13" s="1192">
        <f>IFERROR(('12. Разходи'!L13-'12. Разходи'!$K13)/'12. Разходи'!$K13,0)</f>
        <v>-1</v>
      </c>
      <c r="Q13" s="1193">
        <f>'12. Разходи'!M13-'12. Разходи'!$K13</f>
        <v>-2.8648442270393825E-4</v>
      </c>
      <c r="R13" s="1192">
        <f>IFERROR(('12. Разходи'!M13-'12. Разходи'!$K13)/'12. Разходи'!$K13,0)</f>
        <v>-1</v>
      </c>
      <c r="S13" s="1193">
        <f>'12. Разходи'!N13-'12. Разходи'!$K13</f>
        <v>-2.8648442270393825E-4</v>
      </c>
      <c r="T13" s="1192">
        <f>IFERROR(('12. Разходи'!N13-'12. Разходи'!$K13)/'12. Разходи'!$K13,0)</f>
        <v>-1</v>
      </c>
      <c r="U13" s="1193">
        <f>'12. Разходи'!O13-'12. Разходи'!$K13</f>
        <v>-2.8648442270393825E-4</v>
      </c>
      <c r="V13" s="1192">
        <f>IFERROR(('12. Разходи'!O13-'12. Разходи'!$K13)/'12. Разходи'!$K13,0)</f>
        <v>-1</v>
      </c>
      <c r="W13" s="1193">
        <f>'12. Разходи'!P13-'12. Разходи'!$K13</f>
        <v>-2.8648442270393825E-4</v>
      </c>
      <c r="X13" s="1196">
        <f>IFERROR(('12. Разходи'!P13-'12. Разходи'!$K13)/'12. Разходи'!$K13,0)</f>
        <v>-1</v>
      </c>
      <c r="Y13" s="1195">
        <f>'12. Разходи'!S13</f>
        <v>2.4693197210352929E-3</v>
      </c>
      <c r="Z13" s="1191">
        <f>'12. Разходи'!T13-'12. Разходи'!$S13</f>
        <v>1.4675306802789647</v>
      </c>
      <c r="AA13" s="1192">
        <f>IFERROR(('12. Разходи'!T13-'12. Разходи'!$S13)/'12. Разходи'!$S13,0)</f>
        <v>594.30565745600745</v>
      </c>
      <c r="AB13" s="1193">
        <f>'12. Разходи'!U13-'12. Разходи'!$S13</f>
        <v>1.4675306802789647</v>
      </c>
      <c r="AC13" s="1192">
        <f>IFERROR(('12. Разходи'!U13-'12. Разходи'!$S13)/'12. Разходи'!$S13,0)</f>
        <v>594.30565745600745</v>
      </c>
      <c r="AD13" s="1193">
        <f>'12. Разходи'!V13-'12. Разходи'!$S13</f>
        <v>1.4675306802789647</v>
      </c>
      <c r="AE13" s="1192">
        <f>IFERROR(('12. Разходи'!V13-'12. Разходи'!$S13)/'12. Разходи'!$S13,0)</f>
        <v>594.30565745600745</v>
      </c>
      <c r="AF13" s="1193">
        <f>'12. Разходи'!W13-'12. Разходи'!$S13</f>
        <v>1.4675306802789647</v>
      </c>
      <c r="AG13" s="1192">
        <f>IFERROR(('12. Разходи'!W13-'12. Разходи'!$S13)/'12. Разходи'!$S13,0)</f>
        <v>594.30565745600745</v>
      </c>
      <c r="AH13" s="1193">
        <f>'12. Разходи'!X13-'12. Разходи'!$S13</f>
        <v>1.4675306802789647</v>
      </c>
      <c r="AI13" s="1196">
        <f>IFERROR(('12. Разходи'!X13-'12. Разходи'!$S13)/'12. Разходи'!$S13,0)</f>
        <v>594.30565745600745</v>
      </c>
      <c r="AJ13" s="1195">
        <f>'12. Разходи'!AA13</f>
        <v>0</v>
      </c>
      <c r="AK13" s="1197">
        <f>'12. Разходи'!AB13-'12. Разходи'!$AA13</f>
        <v>0</v>
      </c>
      <c r="AL13" s="1192">
        <f>IFERROR(('12. Разходи'!AB13-'12. Разходи'!$AA13)/'12. Разходи'!$AA13,0)</f>
        <v>0</v>
      </c>
      <c r="AM13" s="1193">
        <f>'12. Разходи'!AC13-'12. Разходи'!$AA13</f>
        <v>0</v>
      </c>
      <c r="AN13" s="1192">
        <f>IFERROR(('12. Разходи'!AC13-'12. Разходи'!$AA13)/'12. Разходи'!$AA13,0)</f>
        <v>0</v>
      </c>
      <c r="AO13" s="1193">
        <f>'12. Разходи'!AD13-'12. Разходи'!$AA13</f>
        <v>0</v>
      </c>
      <c r="AP13" s="1192">
        <f>IFERROR(('12. Разходи'!AD13-'12. Разходи'!$AA13)/'12. Разходи'!$AA13,0)</f>
        <v>0</v>
      </c>
      <c r="AQ13" s="1193">
        <f>'12. Разходи'!AE13-'12. Разходи'!$AA13</f>
        <v>0</v>
      </c>
      <c r="AR13" s="1194">
        <f>IFERROR(('12. Разходи'!AE13-'12. Разходи'!$AA13)/'12. Разходи'!$AA13,0)</f>
        <v>0</v>
      </c>
      <c r="AS13" s="1193">
        <f>'12. Разходи'!AF13-'12. Разходи'!$AA13</f>
        <v>0</v>
      </c>
      <c r="AT13" s="1196">
        <f>IFERROR(('12. Разходи'!AF13-'12. Разходи'!$AA13)/'12. Разходи'!$AA13,0)</f>
        <v>0</v>
      </c>
      <c r="AU13" s="1195">
        <f>'12. Разходи'!AI13</f>
        <v>27.77862410656061</v>
      </c>
      <c r="AV13" s="1197">
        <f>'12. Разходи'!AJ13-'12. Разходи'!$AI13</f>
        <v>2.300824214792879</v>
      </c>
      <c r="AW13" s="1192">
        <f>IFERROR(('12. Разходи'!AJ13-'12. Разходи'!$AI13)/'12. Разходи'!$AI13,0)</f>
        <v>8.282714816856182E-2</v>
      </c>
      <c r="AX13" s="1193">
        <f>'12. Разходи'!AK13-'12. Разходи'!$AI13</f>
        <v>2.3105435224535</v>
      </c>
      <c r="AY13" s="1192">
        <f>IFERROR(('12. Разходи'!AK13-'12. Разходи'!$AI13)/'12. Разходи'!$AI13,0)</f>
        <v>8.3177032584123123E-2</v>
      </c>
      <c r="AZ13" s="1193">
        <f>'12. Разходи'!AL13-'12. Разходи'!$AI13</f>
        <v>2.3202859419744435</v>
      </c>
      <c r="BA13" s="1192">
        <f>IFERROR(('12. Разходи'!AL13-'12. Разходи'!$AI13)/'12. Разходи'!$AI13,0)</f>
        <v>8.3527749001306745E-2</v>
      </c>
      <c r="BB13" s="1193">
        <f>'12. Разходи'!AM13-'12. Разходи'!$AI13</f>
        <v>2.3300468509836421</v>
      </c>
      <c r="BC13" s="1194">
        <f>IFERROR(('12. Разходи'!AM13-'12. Разходи'!$AI13)/'12. Разходи'!$AI13,0)</f>
        <v>8.3879131019788125E-2</v>
      </c>
      <c r="BD13" s="1193">
        <f>'12. Разходи'!AN13-'12. Разходи'!$AI13</f>
        <v>2.3398354942252269</v>
      </c>
      <c r="BE13" s="1196">
        <f>IFERROR(('12. Разходи'!AN13-'12. Разходи'!$AI13)/'12. Разходи'!$AI13,0)</f>
        <v>8.4231511440216247E-2</v>
      </c>
      <c r="BF13" s="4488"/>
      <c r="BG13" s="4504">
        <f t="shared" si="1"/>
        <v>12.00637585541466</v>
      </c>
      <c r="BH13" s="4504">
        <f t="shared" si="2"/>
        <v>0.76338549556654522</v>
      </c>
      <c r="BI13" s="4504">
        <f t="shared" si="3"/>
        <v>0.59370119994916992</v>
      </c>
      <c r="BJ13" s="4504">
        <f t="shared" si="4"/>
        <v>0.39143751957325817</v>
      </c>
      <c r="BK13" s="4504">
        <f t="shared" si="5"/>
        <v>0.11994264658545806</v>
      </c>
      <c r="BL13" s="4504">
        <f t="shared" si="6"/>
        <v>-0.26761628460462838</v>
      </c>
      <c r="BM13" s="4504">
        <f t="shared" si="7"/>
        <v>1.4647715941770923E-4</v>
      </c>
      <c r="BN13" s="4504">
        <f t="shared" si="8"/>
        <v>-1.4647715941770923E-4</v>
      </c>
      <c r="BO13" s="4504">
        <f t="shared" si="9"/>
        <v>-1.4647715941770923E-4</v>
      </c>
      <c r="BP13" s="4504">
        <f t="shared" si="10"/>
        <v>-1.4647715941770923E-4</v>
      </c>
      <c r="BQ13" s="4504">
        <f t="shared" si="11"/>
        <v>-1.4647715941770923E-4</v>
      </c>
      <c r="BR13" s="4504">
        <f t="shared" si="12"/>
        <v>-1.4647715941770923E-4</v>
      </c>
      <c r="BS13" s="4504">
        <f t="shared" si="13"/>
        <v>1.2625431254430564E-3</v>
      </c>
      <c r="BT13" s="4504">
        <f t="shared" si="14"/>
        <v>0.75033652223299818</v>
      </c>
      <c r="BU13" s="4504">
        <f t="shared" si="15"/>
        <v>0.75033652223299818</v>
      </c>
      <c r="BV13" s="4504">
        <f t="shared" si="16"/>
        <v>0.75033652223299818</v>
      </c>
      <c r="BW13" s="4504">
        <f t="shared" si="17"/>
        <v>0.75033652223299818</v>
      </c>
      <c r="BX13" s="4504">
        <f t="shared" si="18"/>
        <v>0.75033652223299818</v>
      </c>
      <c r="BY13" s="4504">
        <f t="shared" si="19"/>
        <v>0</v>
      </c>
      <c r="BZ13" s="4504">
        <f t="shared" si="20"/>
        <v>0</v>
      </c>
      <c r="CA13" s="4504">
        <f t="shared" si="21"/>
        <v>0</v>
      </c>
      <c r="CB13" s="4504">
        <f t="shared" si="22"/>
        <v>0</v>
      </c>
      <c r="CC13" s="4504">
        <f t="shared" si="23"/>
        <v>0</v>
      </c>
      <c r="CD13" s="4504">
        <f t="shared" si="24"/>
        <v>0</v>
      </c>
      <c r="CE13" s="4504">
        <f t="shared" si="25"/>
        <v>14.202984976485999</v>
      </c>
      <c r="CF13" s="4504">
        <f t="shared" si="26"/>
        <v>1.1763927410832633</v>
      </c>
      <c r="CG13" s="4504">
        <f t="shared" si="27"/>
        <v>1.1813621441809872</v>
      </c>
      <c r="CH13" s="4504">
        <f t="shared" si="28"/>
        <v>1.186343364185253</v>
      </c>
      <c r="CI13" s="4504">
        <f t="shared" si="29"/>
        <v>1.1913340377147514</v>
      </c>
      <c r="CJ13" s="4504">
        <f t="shared" si="30"/>
        <v>1.1963388915320998</v>
      </c>
    </row>
    <row r="14" spans="1:88" s="1198" customFormat="1" ht="15.9" customHeight="1">
      <c r="A14" s="1188" t="s">
        <v>336</v>
      </c>
      <c r="B14" s="1189" t="s">
        <v>229</v>
      </c>
      <c r="C14" s="1190">
        <f>'12. Разходи'!C14</f>
        <v>0</v>
      </c>
      <c r="D14" s="1191">
        <f>'12. Разходи'!D14-'12. Разходи'!$C14</f>
        <v>0</v>
      </c>
      <c r="E14" s="1192">
        <f>IFERROR(('12. Разходи'!D14-'12. Разходи'!$C14)/'12. Разходи'!$C14,0)</f>
        <v>0</v>
      </c>
      <c r="F14" s="1193">
        <f>'12. Разходи'!E14-'12. Разходи'!$C14</f>
        <v>0</v>
      </c>
      <c r="G14" s="1192">
        <f>IFERROR(('12. Разходи'!E14-'12. Разходи'!$C14)/'12. Разходи'!$C14,0)</f>
        <v>0</v>
      </c>
      <c r="H14" s="1193">
        <f>'12. Разходи'!F14-'12. Разходи'!$C14</f>
        <v>0</v>
      </c>
      <c r="I14" s="1192">
        <f>IFERROR(('12. Разходи'!F14-'12. Разходи'!$C14)/'12. Разходи'!$C14,0)</f>
        <v>0</v>
      </c>
      <c r="J14" s="1193">
        <f>'12. Разходи'!G14-'12. Разходи'!$C14</f>
        <v>0</v>
      </c>
      <c r="K14" s="1192">
        <f>IFERROR(('12. Разходи'!G14-'12. Разходи'!$C14)/'12. Разходи'!$C14,0)</f>
        <v>0</v>
      </c>
      <c r="L14" s="1193">
        <f>'12. Разходи'!H14-'12. Разходи'!$C14</f>
        <v>0</v>
      </c>
      <c r="M14" s="1194">
        <f>IFERROR(('12. Разходи'!H14-'12. Разходи'!$C14)/'12. Разходи'!$C14,0)</f>
        <v>0</v>
      </c>
      <c r="N14" s="1195">
        <f>'12. Разходи'!K14</f>
        <v>0</v>
      </c>
      <c r="O14" s="1191">
        <f>'12. Разходи'!L14-'12. Разходи'!$K14</f>
        <v>0</v>
      </c>
      <c r="P14" s="1192">
        <f>IFERROR(('12. Разходи'!L14-'12. Разходи'!$K14)/'12. Разходи'!$K14,0)</f>
        <v>0</v>
      </c>
      <c r="Q14" s="1193">
        <f>'12. Разходи'!M14-'12. Разходи'!$K14</f>
        <v>0</v>
      </c>
      <c r="R14" s="1192">
        <f>IFERROR(('12. Разходи'!M14-'12. Разходи'!$K14)/'12. Разходи'!$K14,0)</f>
        <v>0</v>
      </c>
      <c r="S14" s="1193">
        <f>'12. Разходи'!N14-'12. Разходи'!$K14</f>
        <v>0</v>
      </c>
      <c r="T14" s="1192">
        <f>IFERROR(('12. Разходи'!N14-'12. Разходи'!$K14)/'12. Разходи'!$K14,0)</f>
        <v>0</v>
      </c>
      <c r="U14" s="1193">
        <f>'12. Разходи'!O14-'12. Разходи'!$K14</f>
        <v>0</v>
      </c>
      <c r="V14" s="1192">
        <f>IFERROR(('12. Разходи'!O14-'12. Разходи'!$K14)/'12. Разходи'!$K14,0)</f>
        <v>0</v>
      </c>
      <c r="W14" s="1193">
        <f>'12. Разходи'!P14-'12. Разходи'!$K14</f>
        <v>0</v>
      </c>
      <c r="X14" s="1196">
        <f>IFERROR(('12. Разходи'!P14-'12. Разходи'!$K14)/'12. Разходи'!$K14,0)</f>
        <v>0</v>
      </c>
      <c r="Y14" s="1195">
        <f>'12. Разходи'!S14</f>
        <v>0</v>
      </c>
      <c r="Z14" s="1191">
        <f>'12. Разходи'!T14-'12. Разходи'!$S14</f>
        <v>14.112578774712928</v>
      </c>
      <c r="AA14" s="1192">
        <f>IFERROR(('12. Разходи'!T14-'12. Разходи'!$S14)/'12. Разходи'!$S14,0)</f>
        <v>0</v>
      </c>
      <c r="AB14" s="1193">
        <f>'12. Разходи'!U14-'12. Разходи'!$S14</f>
        <v>14.068666771728553</v>
      </c>
      <c r="AC14" s="1192">
        <f>IFERROR(('12. Разходи'!U14-'12. Разходи'!$S14)/'12. Разходи'!$S14,0)</f>
        <v>0</v>
      </c>
      <c r="AD14" s="1193">
        <f>'12. Разходи'!V14-'12. Разходи'!$S14</f>
        <v>14.025503483801836</v>
      </c>
      <c r="AE14" s="1192">
        <f>IFERROR(('12. Разходи'!V14-'12. Разходи'!$S14)/'12. Разходи'!$S14,0)</f>
        <v>0</v>
      </c>
      <c r="AF14" s="1193">
        <f>'12. Разходи'!W14-'12. Разходи'!$S14</f>
        <v>13.98308350504788</v>
      </c>
      <c r="AG14" s="1192">
        <f>IFERROR(('12. Разходи'!W14-'12. Разходи'!$S14)/'12. Разходи'!$S14,0)</f>
        <v>0</v>
      </c>
      <c r="AH14" s="1193">
        <f>'12. Разходи'!X14-'12. Разходи'!$S14</f>
        <v>13.941401429581793</v>
      </c>
      <c r="AI14" s="1196">
        <f>IFERROR(('12. Разходи'!X14-'12. Разходи'!$S14)/'12. Разходи'!$S14,0)</f>
        <v>0</v>
      </c>
      <c r="AJ14" s="1195">
        <f>'12. Разходи'!AA14</f>
        <v>0</v>
      </c>
      <c r="AK14" s="1197">
        <f>'12. Разходи'!AB14-'12. Разходи'!$AA14</f>
        <v>0</v>
      </c>
      <c r="AL14" s="1192">
        <f>IFERROR(('12. Разходи'!AB14-'12. Разходи'!$AA14)/'12. Разходи'!$AA14,0)</f>
        <v>0</v>
      </c>
      <c r="AM14" s="1193">
        <f>'12. Разходи'!AC14-'12. Разходи'!$AA14</f>
        <v>0</v>
      </c>
      <c r="AN14" s="1192">
        <f>IFERROR(('12. Разходи'!AC14-'12. Разходи'!$AA14)/'12. Разходи'!$AA14,0)</f>
        <v>0</v>
      </c>
      <c r="AO14" s="1193">
        <f>'12. Разходи'!AD14-'12. Разходи'!$AA14</f>
        <v>0</v>
      </c>
      <c r="AP14" s="1192">
        <f>IFERROR(('12. Разходи'!AD14-'12. Разходи'!$AA14)/'12. Разходи'!$AA14,0)</f>
        <v>0</v>
      </c>
      <c r="AQ14" s="1193">
        <f>'12. Разходи'!AE14-'12. Разходи'!$AA14</f>
        <v>0</v>
      </c>
      <c r="AR14" s="1194">
        <f>IFERROR(('12. Разходи'!AE14-'12. Разходи'!$AA14)/'12. Разходи'!$AA14,0)</f>
        <v>0</v>
      </c>
      <c r="AS14" s="1193">
        <f>'12. Разходи'!AF14-'12. Разходи'!$AA14</f>
        <v>0</v>
      </c>
      <c r="AT14" s="1196">
        <f>IFERROR(('12. Разходи'!AF14-'12. Разходи'!$AA14)/'12. Разходи'!$AA14,0)</f>
        <v>0</v>
      </c>
      <c r="AU14" s="1195">
        <f>'12. Разходи'!AI14</f>
        <v>0</v>
      </c>
      <c r="AV14" s="1197">
        <f>'12. Разходи'!AJ14-'12. Разходи'!$AI14</f>
        <v>0</v>
      </c>
      <c r="AW14" s="1192">
        <f>IFERROR(('12. Разходи'!AJ14-'12. Разходи'!$AI14)/'12. Разходи'!$AI14,0)</f>
        <v>0</v>
      </c>
      <c r="AX14" s="1193">
        <f>'12. Разходи'!AK14-'12. Разходи'!$AI14</f>
        <v>0</v>
      </c>
      <c r="AY14" s="1192">
        <f>IFERROR(('12. Разходи'!AK14-'12. Разходи'!$AI14)/'12. Разходи'!$AI14,0)</f>
        <v>0</v>
      </c>
      <c r="AZ14" s="1193">
        <f>'12. Разходи'!AL14-'12. Разходи'!$AI14</f>
        <v>0</v>
      </c>
      <c r="BA14" s="1192">
        <f>IFERROR(('12. Разходи'!AL14-'12. Разходи'!$AI14)/'12. Разходи'!$AI14,0)</f>
        <v>0</v>
      </c>
      <c r="BB14" s="1193">
        <f>'12. Разходи'!AM14-'12. Разходи'!$AI14</f>
        <v>0</v>
      </c>
      <c r="BC14" s="1194">
        <f>IFERROR(('12. Разходи'!AM14-'12. Разходи'!$AI14)/'12. Разходи'!$AI14,0)</f>
        <v>0</v>
      </c>
      <c r="BD14" s="1193">
        <f>'12. Разходи'!AN14-'12. Разходи'!$AI14</f>
        <v>0</v>
      </c>
      <c r="BE14" s="1196">
        <f>IFERROR(('12. Разходи'!AN14-'12. Разходи'!$AI14)/'12. Разходи'!$AI14,0)</f>
        <v>0</v>
      </c>
      <c r="BF14" s="4488"/>
      <c r="BG14" s="4504">
        <f t="shared" si="1"/>
        <v>0</v>
      </c>
      <c r="BH14" s="4504">
        <f t="shared" si="2"/>
        <v>0</v>
      </c>
      <c r="BI14" s="4504">
        <f t="shared" si="3"/>
        <v>0</v>
      </c>
      <c r="BJ14" s="4504">
        <f t="shared" si="4"/>
        <v>0</v>
      </c>
      <c r="BK14" s="4504">
        <f t="shared" si="5"/>
        <v>0</v>
      </c>
      <c r="BL14" s="4504">
        <f t="shared" si="6"/>
        <v>0</v>
      </c>
      <c r="BM14" s="4504">
        <f t="shared" si="7"/>
        <v>0</v>
      </c>
      <c r="BN14" s="4504">
        <f t="shared" si="8"/>
        <v>0</v>
      </c>
      <c r="BO14" s="4504">
        <f t="shared" si="9"/>
        <v>0</v>
      </c>
      <c r="BP14" s="4504">
        <f t="shared" si="10"/>
        <v>0</v>
      </c>
      <c r="BQ14" s="4504">
        <f t="shared" si="11"/>
        <v>0</v>
      </c>
      <c r="BR14" s="4504">
        <f t="shared" si="12"/>
        <v>0</v>
      </c>
      <c r="BS14" s="4504">
        <f t="shared" si="13"/>
        <v>0</v>
      </c>
      <c r="BT14" s="4504">
        <f t="shared" si="14"/>
        <v>7.2156469502527969</v>
      </c>
      <c r="BU14" s="4504">
        <f t="shared" si="15"/>
        <v>7.193195099639822</v>
      </c>
      <c r="BV14" s="4504">
        <f t="shared" si="16"/>
        <v>7.1711260609571568</v>
      </c>
      <c r="BW14" s="4504">
        <f t="shared" si="17"/>
        <v>7.1494370702197427</v>
      </c>
      <c r="BX14" s="4504">
        <f t="shared" si="18"/>
        <v>7.1281253634425248</v>
      </c>
      <c r="BY14" s="4504">
        <f t="shared" si="19"/>
        <v>0</v>
      </c>
      <c r="BZ14" s="4504">
        <f t="shared" si="20"/>
        <v>0</v>
      </c>
      <c r="CA14" s="4504">
        <f t="shared" si="21"/>
        <v>0</v>
      </c>
      <c r="CB14" s="4504">
        <f t="shared" si="22"/>
        <v>0</v>
      </c>
      <c r="CC14" s="4504">
        <f t="shared" si="23"/>
        <v>0</v>
      </c>
      <c r="CD14" s="4504">
        <f t="shared" si="24"/>
        <v>0</v>
      </c>
      <c r="CE14" s="4504">
        <f t="shared" si="25"/>
        <v>0</v>
      </c>
      <c r="CF14" s="4504">
        <f t="shared" si="26"/>
        <v>0</v>
      </c>
      <c r="CG14" s="4504">
        <f t="shared" si="27"/>
        <v>0</v>
      </c>
      <c r="CH14" s="4504">
        <f t="shared" si="28"/>
        <v>0</v>
      </c>
      <c r="CI14" s="4504">
        <f t="shared" si="29"/>
        <v>0</v>
      </c>
      <c r="CJ14" s="4504">
        <f t="shared" si="30"/>
        <v>0</v>
      </c>
    </row>
    <row r="15" spans="1:88" s="1198" customFormat="1" ht="15.9" customHeight="1">
      <c r="A15" s="1188" t="s">
        <v>337</v>
      </c>
      <c r="B15" s="1199" t="s">
        <v>230</v>
      </c>
      <c r="C15" s="1200">
        <f>'12. Разходи'!C15</f>
        <v>0</v>
      </c>
      <c r="D15" s="1191">
        <f>'12. Разходи'!D15-'12. Разходи'!$C15</f>
        <v>0</v>
      </c>
      <c r="E15" s="1192">
        <f>IFERROR(('12. Разходи'!D15-'12. Разходи'!$C15)/'12. Разходи'!$C15,0)</f>
        <v>0</v>
      </c>
      <c r="F15" s="1193">
        <f>'12. Разходи'!E15-'12. Разходи'!$C15</f>
        <v>0</v>
      </c>
      <c r="G15" s="1192">
        <f>IFERROR(('12. Разходи'!E15-'12. Разходи'!$C15)/'12. Разходи'!$C15,0)</f>
        <v>0</v>
      </c>
      <c r="H15" s="1193">
        <f>'12. Разходи'!F15-'12. Разходи'!$C15</f>
        <v>0</v>
      </c>
      <c r="I15" s="1192">
        <f>IFERROR(('12. Разходи'!F15-'12. Разходи'!$C15)/'12. Разходи'!$C15,0)</f>
        <v>0</v>
      </c>
      <c r="J15" s="1193">
        <f>'12. Разходи'!G15-'12. Разходи'!$C15</f>
        <v>0</v>
      </c>
      <c r="K15" s="1192">
        <f>IFERROR(('12. Разходи'!G15-'12. Разходи'!$C15)/'12. Разходи'!$C15,0)</f>
        <v>0</v>
      </c>
      <c r="L15" s="1193">
        <f>'12. Разходи'!H15-'12. Разходи'!$C15</f>
        <v>0</v>
      </c>
      <c r="M15" s="1194">
        <f>IFERROR(('12. Разходи'!H15-'12. Разходи'!$C15)/'12. Разходи'!$C15,0)</f>
        <v>0</v>
      </c>
      <c r="N15" s="1195">
        <f>'12. Разходи'!K15</f>
        <v>0</v>
      </c>
      <c r="O15" s="1191">
        <f>'12. Разходи'!L15-'12. Разходи'!$K15</f>
        <v>0</v>
      </c>
      <c r="P15" s="1192">
        <f>IFERROR(('12. Разходи'!L15-'12. Разходи'!$K15)/'12. Разходи'!$K15,0)</f>
        <v>0</v>
      </c>
      <c r="Q15" s="1193">
        <f>'12. Разходи'!M15-'12. Разходи'!$K15</f>
        <v>0</v>
      </c>
      <c r="R15" s="1192">
        <f>IFERROR(('12. Разходи'!M15-'12. Разходи'!$K15)/'12. Разходи'!$K15,0)</f>
        <v>0</v>
      </c>
      <c r="S15" s="1193">
        <f>'12. Разходи'!N15-'12. Разходи'!$K15</f>
        <v>0</v>
      </c>
      <c r="T15" s="1192">
        <f>IFERROR(('12. Разходи'!N15-'12. Разходи'!$K15)/'12. Разходи'!$K15,0)</f>
        <v>0</v>
      </c>
      <c r="U15" s="1193">
        <f>'12. Разходи'!O15-'12. Разходи'!$K15</f>
        <v>0</v>
      </c>
      <c r="V15" s="1192">
        <f>IFERROR(('12. Разходи'!O15-'12. Разходи'!$K15)/'12. Разходи'!$K15,0)</f>
        <v>0</v>
      </c>
      <c r="W15" s="1193">
        <f>'12. Разходи'!P15-'12. Разходи'!$K15</f>
        <v>0</v>
      </c>
      <c r="X15" s="1196">
        <f>IFERROR(('12. Разходи'!P15-'12. Разходи'!$K15)/'12. Разходи'!$K15,0)</f>
        <v>0</v>
      </c>
      <c r="Y15" s="1195">
        <f>'12. Разходи'!S15</f>
        <v>42.629940000000005</v>
      </c>
      <c r="Z15" s="1191">
        <f>'12. Разходи'!T15-'12. Разходи'!$S15</f>
        <v>1.1256035650436473</v>
      </c>
      <c r="AA15" s="1192">
        <f>IFERROR(('12. Разходи'!T15-'12. Разходи'!$S15)/'12. Разходи'!$S15,0)</f>
        <v>2.6404061676925824E-2</v>
      </c>
      <c r="AB15" s="1193">
        <f>'12. Разходи'!U15-'12. Разходи'!$S15</f>
        <v>1.0008859352615289</v>
      </c>
      <c r="AC15" s="1192">
        <f>IFERROR(('12. Разходи'!U15-'12. Разходи'!$S15)/'12. Разходи'!$S15,0)</f>
        <v>2.3478473937836385E-2</v>
      </c>
      <c r="AD15" s="1193">
        <f>'12. Разходи'!V15-'12. Разходи'!$S15</f>
        <v>0.87826490348246722</v>
      </c>
      <c r="AE15" s="1192">
        <f>IFERROR(('12. Разходи'!V15-'12. Разходи'!$S15)/'12. Разходи'!$S15,0)</f>
        <v>2.0602067548827586E-2</v>
      </c>
      <c r="AF15" s="1193">
        <f>'12. Разходи'!W15-'12. Разходи'!$S15</f>
        <v>0.75772549400645062</v>
      </c>
      <c r="AG15" s="1192">
        <f>IFERROR(('12. Разходи'!W15-'12. Разходи'!$S15)/'12. Разходи'!$S15,0)</f>
        <v>1.777449121454195E-2</v>
      </c>
      <c r="AH15" s="1193">
        <f>'12. Разходи'!X15-'12. Разходи'!$S15</f>
        <v>0.63925273113346037</v>
      </c>
      <c r="AI15" s="1196">
        <f>IFERROR(('12. Разходи'!X15-'12. Разходи'!$S15)/'12. Разходи'!$S15,0)</f>
        <v>1.4995393639621832E-2</v>
      </c>
      <c r="AJ15" s="1195">
        <f>'12. Разходи'!AA15</f>
        <v>0</v>
      </c>
      <c r="AK15" s="1197">
        <f>'12. Разходи'!AB15-'12. Разходи'!$AA15</f>
        <v>0</v>
      </c>
      <c r="AL15" s="1192">
        <f>IFERROR(('12. Разходи'!AB15-'12. Разходи'!$AA15)/'12. Разходи'!$AA15,0)</f>
        <v>0</v>
      </c>
      <c r="AM15" s="1193">
        <f>'12. Разходи'!AC15-'12. Разходи'!$AA15</f>
        <v>0</v>
      </c>
      <c r="AN15" s="1192">
        <f>IFERROR(('12. Разходи'!AC15-'12. Разходи'!$AA15)/'12. Разходи'!$AA15,0)</f>
        <v>0</v>
      </c>
      <c r="AO15" s="1193">
        <f>'12. Разходи'!AD15-'12. Разходи'!$AA15</f>
        <v>0</v>
      </c>
      <c r="AP15" s="1192">
        <f>IFERROR(('12. Разходи'!AD15-'12. Разходи'!$AA15)/'12. Разходи'!$AA15,0)</f>
        <v>0</v>
      </c>
      <c r="AQ15" s="1193">
        <f>'12. Разходи'!AE15-'12. Разходи'!$AA15</f>
        <v>0</v>
      </c>
      <c r="AR15" s="1194">
        <f>IFERROR(('12. Разходи'!AE15-'12. Разходи'!$AA15)/'12. Разходи'!$AA15,0)</f>
        <v>0</v>
      </c>
      <c r="AS15" s="1193">
        <f>'12. Разходи'!AF15-'12. Разходи'!$AA15</f>
        <v>0</v>
      </c>
      <c r="AT15" s="1196">
        <f>IFERROR(('12. Разходи'!AF15-'12. Разходи'!$AA15)/'12. Разходи'!$AA15,0)</f>
        <v>0</v>
      </c>
      <c r="AU15" s="1195">
        <f>'12. Разходи'!AI15</f>
        <v>0</v>
      </c>
      <c r="AV15" s="1197">
        <f>'12. Разходи'!AJ15-'12. Разходи'!$AI15</f>
        <v>0</v>
      </c>
      <c r="AW15" s="1192">
        <f>IFERROR(('12. Разходи'!AJ15-'12. Разходи'!$AI15)/'12. Разходи'!$AI15,0)</f>
        <v>0</v>
      </c>
      <c r="AX15" s="1193">
        <f>'12. Разходи'!AK15-'12. Разходи'!$AI15</f>
        <v>0</v>
      </c>
      <c r="AY15" s="1192">
        <f>IFERROR(('12. Разходи'!AK15-'12. Разходи'!$AI15)/'12. Разходи'!$AI15,0)</f>
        <v>0</v>
      </c>
      <c r="AZ15" s="1193">
        <f>'12. Разходи'!AL15-'12. Разходи'!$AI15</f>
        <v>0</v>
      </c>
      <c r="BA15" s="1192">
        <f>IFERROR(('12. Разходи'!AL15-'12. Разходи'!$AI15)/'12. Разходи'!$AI15,0)</f>
        <v>0</v>
      </c>
      <c r="BB15" s="1193">
        <f>'12. Разходи'!AM15-'12. Разходи'!$AI15</f>
        <v>0</v>
      </c>
      <c r="BC15" s="1194">
        <f>IFERROR(('12. Разходи'!AM15-'12. Разходи'!$AI15)/'12. Разходи'!$AI15,0)</f>
        <v>0</v>
      </c>
      <c r="BD15" s="1193">
        <f>'12. Разходи'!AN15-'12. Разходи'!$AI15</f>
        <v>0</v>
      </c>
      <c r="BE15" s="1196">
        <f>IFERROR(('12. Разходи'!AN15-'12. Разходи'!$AI15)/'12. Разходи'!$AI15,0)</f>
        <v>0</v>
      </c>
      <c r="BF15" s="4488"/>
      <c r="BG15" s="4504">
        <f t="shared" si="1"/>
        <v>0</v>
      </c>
      <c r="BH15" s="4504">
        <f t="shared" si="2"/>
        <v>0</v>
      </c>
      <c r="BI15" s="4504">
        <f t="shared" si="3"/>
        <v>0</v>
      </c>
      <c r="BJ15" s="4504">
        <f t="shared" si="4"/>
        <v>0</v>
      </c>
      <c r="BK15" s="4504">
        <f t="shared" si="5"/>
        <v>0</v>
      </c>
      <c r="BL15" s="4504">
        <f t="shared" si="6"/>
        <v>0</v>
      </c>
      <c r="BM15" s="4504">
        <f t="shared" si="7"/>
        <v>0</v>
      </c>
      <c r="BN15" s="4504">
        <f t="shared" si="8"/>
        <v>0</v>
      </c>
      <c r="BO15" s="4504">
        <f t="shared" si="9"/>
        <v>0</v>
      </c>
      <c r="BP15" s="4504">
        <f t="shared" si="10"/>
        <v>0</v>
      </c>
      <c r="BQ15" s="4504">
        <f t="shared" si="11"/>
        <v>0</v>
      </c>
      <c r="BR15" s="4504">
        <f t="shared" si="12"/>
        <v>0</v>
      </c>
      <c r="BS15" s="4504">
        <f t="shared" si="13"/>
        <v>21.796342217881925</v>
      </c>
      <c r="BT15" s="4504">
        <f t="shared" si="14"/>
        <v>0.57551196425233653</v>
      </c>
      <c r="BU15" s="4504">
        <f t="shared" si="15"/>
        <v>0.51174485270270365</v>
      </c>
      <c r="BV15" s="4504">
        <f t="shared" si="16"/>
        <v>0.44904971469016591</v>
      </c>
      <c r="BW15" s="4504">
        <f t="shared" si="17"/>
        <v>0.38741889326089213</v>
      </c>
      <c r="BX15" s="4504">
        <f t="shared" si="18"/>
        <v>0.32684473146104742</v>
      </c>
      <c r="BY15" s="4504">
        <f t="shared" si="19"/>
        <v>0</v>
      </c>
      <c r="BZ15" s="4504">
        <f t="shared" si="20"/>
        <v>0</v>
      </c>
      <c r="CA15" s="4504">
        <f t="shared" si="21"/>
        <v>0</v>
      </c>
      <c r="CB15" s="4504">
        <f t="shared" si="22"/>
        <v>0</v>
      </c>
      <c r="CC15" s="4504">
        <f t="shared" si="23"/>
        <v>0</v>
      </c>
      <c r="CD15" s="4504">
        <f t="shared" si="24"/>
        <v>0</v>
      </c>
      <c r="CE15" s="4504">
        <f t="shared" si="25"/>
        <v>0</v>
      </c>
      <c r="CF15" s="4504">
        <f t="shared" si="26"/>
        <v>0</v>
      </c>
      <c r="CG15" s="4504">
        <f t="shared" si="27"/>
        <v>0</v>
      </c>
      <c r="CH15" s="4504">
        <f t="shared" si="28"/>
        <v>0</v>
      </c>
      <c r="CI15" s="4504">
        <f t="shared" si="29"/>
        <v>0</v>
      </c>
      <c r="CJ15" s="4504">
        <f t="shared" si="30"/>
        <v>0</v>
      </c>
    </row>
    <row r="16" spans="1:88" s="1198" customFormat="1" ht="15.9" customHeight="1">
      <c r="A16" s="1188" t="s">
        <v>338</v>
      </c>
      <c r="B16" s="1199" t="s">
        <v>231</v>
      </c>
      <c r="C16" s="1200">
        <f>'12. Разходи'!C16</f>
        <v>0</v>
      </c>
      <c r="D16" s="1191">
        <f>'12. Разходи'!D16-'12. Разходи'!$C16</f>
        <v>0</v>
      </c>
      <c r="E16" s="1192">
        <f>IFERROR(('12. Разходи'!D16-'12. Разходи'!$C16)/'12. Разходи'!$C16,0)</f>
        <v>0</v>
      </c>
      <c r="F16" s="1193">
        <f>'12. Разходи'!E16-'12. Разходи'!$C16</f>
        <v>0</v>
      </c>
      <c r="G16" s="1192">
        <f>IFERROR(('12. Разходи'!E16-'12. Разходи'!$C16)/'12. Разходи'!$C16,0)</f>
        <v>0</v>
      </c>
      <c r="H16" s="1193">
        <f>'12. Разходи'!F16-'12. Разходи'!$C16</f>
        <v>0</v>
      </c>
      <c r="I16" s="1192">
        <f>IFERROR(('12. Разходи'!F16-'12. Разходи'!$C16)/'12. Разходи'!$C16,0)</f>
        <v>0</v>
      </c>
      <c r="J16" s="1193">
        <f>'12. Разходи'!G16-'12. Разходи'!$C16</f>
        <v>0</v>
      </c>
      <c r="K16" s="1192">
        <f>IFERROR(('12. Разходи'!G16-'12. Разходи'!$C16)/'12. Разходи'!$C16,0)</f>
        <v>0</v>
      </c>
      <c r="L16" s="1193">
        <f>'12. Разходи'!H16-'12. Разходи'!$C16</f>
        <v>0</v>
      </c>
      <c r="M16" s="1194">
        <f>IFERROR(('12. Разходи'!H16-'12. Разходи'!$C16)/'12. Разходи'!$C16,0)</f>
        <v>0</v>
      </c>
      <c r="N16" s="1195">
        <f>'12. Разходи'!K16</f>
        <v>0</v>
      </c>
      <c r="O16" s="1191">
        <f>'12. Разходи'!L16-'12. Разходи'!$K16</f>
        <v>0</v>
      </c>
      <c r="P16" s="1192">
        <f>IFERROR(('12. Разходи'!L16-'12. Разходи'!$K16)/'12. Разходи'!$K16,0)</f>
        <v>0</v>
      </c>
      <c r="Q16" s="1193">
        <f>'12. Разходи'!M16-'12. Разходи'!$K16</f>
        <v>0</v>
      </c>
      <c r="R16" s="1192">
        <f>IFERROR(('12. Разходи'!M16-'12. Разходи'!$K16)/'12. Разходи'!$K16,0)</f>
        <v>0</v>
      </c>
      <c r="S16" s="1193">
        <f>'12. Разходи'!N16-'12. Разходи'!$K16</f>
        <v>0</v>
      </c>
      <c r="T16" s="1192">
        <f>IFERROR(('12. Разходи'!N16-'12. Разходи'!$K16)/'12. Разходи'!$K16,0)</f>
        <v>0</v>
      </c>
      <c r="U16" s="1193">
        <f>'12. Разходи'!O16-'12. Разходи'!$K16</f>
        <v>0</v>
      </c>
      <c r="V16" s="1192">
        <f>IFERROR(('12. Разходи'!O16-'12. Разходи'!$K16)/'12. Разходи'!$K16,0)</f>
        <v>0</v>
      </c>
      <c r="W16" s="1193">
        <f>'12. Разходи'!P16-'12. Разходи'!$K16</f>
        <v>0</v>
      </c>
      <c r="X16" s="1196">
        <f>IFERROR(('12. Разходи'!P16-'12. Разходи'!$K16)/'12. Разходи'!$K16,0)</f>
        <v>0</v>
      </c>
      <c r="Y16" s="1195">
        <f>'12. Разходи'!S16</f>
        <v>33.995719999999999</v>
      </c>
      <c r="Z16" s="1191">
        <f>'12. Разходи'!T16-'12. Разходи'!$S16</f>
        <v>1.779206062761304</v>
      </c>
      <c r="AA16" s="1192">
        <f>IFERROR(('12. Разходи'!T16-'12. Разходи'!$S16)/'12. Разходи'!$S16,0)</f>
        <v>5.2336178282480973E-2</v>
      </c>
      <c r="AB16" s="1193">
        <f>'12. Разходи'!U16-'12. Разходи'!$S16</f>
        <v>2.0242607823512984</v>
      </c>
      <c r="AC16" s="1192">
        <f>IFERROR(('12. Разходи'!U16-'12. Разходи'!$S16)/'12. Разходи'!$S16,0)</f>
        <v>5.9544577445375432E-2</v>
      </c>
      <c r="AD16" s="1193">
        <f>'12. Разходи'!V16-'12. Разходи'!$S16</f>
        <v>2.2691946657143731</v>
      </c>
      <c r="AE16" s="1192">
        <f>IFERROR(('12. Разходи'!V16-'12. Разходи'!$S16)/'12. Разходи'!$S16,0)</f>
        <v>6.6749422154152735E-2</v>
      </c>
      <c r="AF16" s="1193">
        <f>'12. Разходи'!W16-'12. Разходи'!$S16</f>
        <v>2.5140398291851795</v>
      </c>
      <c r="AG16" s="1192">
        <f>IFERROR(('12. Разходи'!W16-'12. Разходи'!$S16)/'12. Разходи'!$S16,0)</f>
        <v>7.3951657125814058E-2</v>
      </c>
      <c r="AH16" s="1193">
        <f>'12. Разходи'!X16-'12. Разходи'!$S16</f>
        <v>2.7588340169304075</v>
      </c>
      <c r="AI16" s="1196">
        <f>IFERROR(('12. Разходи'!X16-'12. Разходи'!$S16)/'12. Разходи'!$S16,0)</f>
        <v>8.1152392622671543E-2</v>
      </c>
      <c r="AJ16" s="1195">
        <f>'12. Разходи'!AA16</f>
        <v>0</v>
      </c>
      <c r="AK16" s="1197">
        <f>'12. Разходи'!AB16-'12. Разходи'!$AA16</f>
        <v>0</v>
      </c>
      <c r="AL16" s="1192">
        <f>IFERROR(('12. Разходи'!AB16-'12. Разходи'!$AA16)/'12. Разходи'!$AA16,0)</f>
        <v>0</v>
      </c>
      <c r="AM16" s="1193">
        <f>'12. Разходи'!AC16-'12. Разходи'!$AA16</f>
        <v>0</v>
      </c>
      <c r="AN16" s="1192">
        <f>IFERROR(('12. Разходи'!AC16-'12. Разходи'!$AA16)/'12. Разходи'!$AA16,0)</f>
        <v>0</v>
      </c>
      <c r="AO16" s="1193">
        <f>'12. Разходи'!AD16-'12. Разходи'!$AA16</f>
        <v>0</v>
      </c>
      <c r="AP16" s="1192">
        <f>IFERROR(('12. Разходи'!AD16-'12. Разходи'!$AA16)/'12. Разходи'!$AA16,0)</f>
        <v>0</v>
      </c>
      <c r="AQ16" s="1193">
        <f>'12. Разходи'!AE16-'12. Разходи'!$AA16</f>
        <v>0</v>
      </c>
      <c r="AR16" s="1194">
        <f>IFERROR(('12. Разходи'!AE16-'12. Разходи'!$AA16)/'12. Разходи'!$AA16,0)</f>
        <v>0</v>
      </c>
      <c r="AS16" s="1193">
        <f>'12. Разходи'!AF16-'12. Разходи'!$AA16</f>
        <v>0</v>
      </c>
      <c r="AT16" s="1196">
        <f>IFERROR(('12. Разходи'!AF16-'12. Разходи'!$AA16)/'12. Разходи'!$AA16,0)</f>
        <v>0</v>
      </c>
      <c r="AU16" s="1195">
        <f>'12. Разходи'!AI16</f>
        <v>0</v>
      </c>
      <c r="AV16" s="1197">
        <f>'12. Разходи'!AJ16-'12. Разходи'!$AI16</f>
        <v>0</v>
      </c>
      <c r="AW16" s="1192">
        <f>IFERROR(('12. Разходи'!AJ16-'12. Разходи'!$AI16)/'12. Разходи'!$AI16,0)</f>
        <v>0</v>
      </c>
      <c r="AX16" s="1193">
        <f>'12. Разходи'!AK16-'12. Разходи'!$AI16</f>
        <v>0</v>
      </c>
      <c r="AY16" s="1192">
        <f>IFERROR(('12. Разходи'!AK16-'12. Разходи'!$AI16)/'12. Разходи'!$AI16,0)</f>
        <v>0</v>
      </c>
      <c r="AZ16" s="1193">
        <f>'12. Разходи'!AL16-'12. Разходи'!$AI16</f>
        <v>0</v>
      </c>
      <c r="BA16" s="1192">
        <f>IFERROR(('12. Разходи'!AL16-'12. Разходи'!$AI16)/'12. Разходи'!$AI16,0)</f>
        <v>0</v>
      </c>
      <c r="BB16" s="1193">
        <f>'12. Разходи'!AM16-'12. Разходи'!$AI16</f>
        <v>0</v>
      </c>
      <c r="BC16" s="1194">
        <f>IFERROR(('12. Разходи'!AM16-'12. Разходи'!$AI16)/'12. Разходи'!$AI16,0)</f>
        <v>0</v>
      </c>
      <c r="BD16" s="1193">
        <f>'12. Разходи'!AN16-'12. Разходи'!$AI16</f>
        <v>0</v>
      </c>
      <c r="BE16" s="1196">
        <f>IFERROR(('12. Разходи'!AN16-'12. Разходи'!$AI16)/'12. Разходи'!$AI16,0)</f>
        <v>0</v>
      </c>
      <c r="BF16" s="4488"/>
      <c r="BG16" s="4504">
        <f t="shared" si="1"/>
        <v>0</v>
      </c>
      <c r="BH16" s="4504">
        <f t="shared" si="2"/>
        <v>0</v>
      </c>
      <c r="BI16" s="4504">
        <f t="shared" si="3"/>
        <v>0</v>
      </c>
      <c r="BJ16" s="4504">
        <f t="shared" si="4"/>
        <v>0</v>
      </c>
      <c r="BK16" s="4504">
        <f t="shared" si="5"/>
        <v>0</v>
      </c>
      <c r="BL16" s="4504">
        <f t="shared" si="6"/>
        <v>0</v>
      </c>
      <c r="BM16" s="4504">
        <f t="shared" si="7"/>
        <v>0</v>
      </c>
      <c r="BN16" s="4504">
        <f t="shared" si="8"/>
        <v>0</v>
      </c>
      <c r="BO16" s="4504">
        <f t="shared" si="9"/>
        <v>0</v>
      </c>
      <c r="BP16" s="4504">
        <f t="shared" si="10"/>
        <v>0</v>
      </c>
      <c r="BQ16" s="4504">
        <f t="shared" si="11"/>
        <v>0</v>
      </c>
      <c r="BR16" s="4504">
        <f t="shared" si="12"/>
        <v>0</v>
      </c>
      <c r="BS16" s="4504">
        <f t="shared" si="13"/>
        <v>17.381735631419907</v>
      </c>
      <c r="BT16" s="4504">
        <f t="shared" si="14"/>
        <v>0.90969361486494427</v>
      </c>
      <c r="BU16" s="4504">
        <f t="shared" si="15"/>
        <v>1.0349881034401243</v>
      </c>
      <c r="BV16" s="4504">
        <f t="shared" si="16"/>
        <v>1.160220809433526</v>
      </c>
      <c r="BW16" s="4504">
        <f t="shared" si="17"/>
        <v>1.2854081536663102</v>
      </c>
      <c r="BX16" s="4504">
        <f t="shared" si="18"/>
        <v>1.4105694344244681</v>
      </c>
      <c r="BY16" s="4504">
        <f t="shared" si="19"/>
        <v>0</v>
      </c>
      <c r="BZ16" s="4504">
        <f t="shared" si="20"/>
        <v>0</v>
      </c>
      <c r="CA16" s="4504">
        <f t="shared" si="21"/>
        <v>0</v>
      </c>
      <c r="CB16" s="4504">
        <f t="shared" si="22"/>
        <v>0</v>
      </c>
      <c r="CC16" s="4504">
        <f t="shared" si="23"/>
        <v>0</v>
      </c>
      <c r="CD16" s="4504">
        <f t="shared" si="24"/>
        <v>0</v>
      </c>
      <c r="CE16" s="4504">
        <f t="shared" si="25"/>
        <v>0</v>
      </c>
      <c r="CF16" s="4504">
        <f t="shared" si="26"/>
        <v>0</v>
      </c>
      <c r="CG16" s="4504">
        <f t="shared" si="27"/>
        <v>0</v>
      </c>
      <c r="CH16" s="4504">
        <f t="shared" si="28"/>
        <v>0</v>
      </c>
      <c r="CI16" s="4504">
        <f t="shared" si="29"/>
        <v>0</v>
      </c>
      <c r="CJ16" s="4504">
        <f t="shared" si="30"/>
        <v>0</v>
      </c>
    </row>
    <row r="17" spans="1:88" s="684" customFormat="1" ht="15.9" customHeight="1">
      <c r="A17" s="108" t="s">
        <v>91</v>
      </c>
      <c r="B17" s="896" t="s">
        <v>232</v>
      </c>
      <c r="C17" s="1112">
        <f>'12. Разходи'!C17</f>
        <v>1711.7496171907223</v>
      </c>
      <c r="D17" s="1132">
        <f>'12. Разходи'!D17-'12. Разходи'!$C17</f>
        <v>417.67006565919655</v>
      </c>
      <c r="E17" s="877">
        <f>IFERROR(('12. Разходи'!D17-'12. Разходи'!$C17)/'12. Разходи'!$C17,0)</f>
        <v>0.24400184551795928</v>
      </c>
      <c r="F17" s="1133">
        <f>'12. Разходи'!E17-'12. Разходи'!$C17</f>
        <v>384.49537251621769</v>
      </c>
      <c r="G17" s="877">
        <f>IFERROR(('12. Разходи'!E17-'12. Разходи'!$C17)/'12. Разходи'!$C17,0)</f>
        <v>0.22462126975511829</v>
      </c>
      <c r="H17" s="1133">
        <f>'12. Разходи'!F17-'12. Разходи'!$C17</f>
        <v>340.46994107676983</v>
      </c>
      <c r="I17" s="877">
        <f>IFERROR(('12. Разходи'!F17-'12. Разходи'!$C17)/'12. Разходи'!$C17,0)</f>
        <v>0.19890171883639149</v>
      </c>
      <c r="J17" s="1133">
        <f>'12. Разходи'!G17-'12. Разходи'!$C17</f>
        <v>276.13401930034252</v>
      </c>
      <c r="K17" s="877">
        <f>IFERROR(('12. Разходи'!G17-'12. Разходи'!$C17)/'12. Разходи'!$C17,0)</f>
        <v>0.16131682842349704</v>
      </c>
      <c r="L17" s="1133">
        <f>'12. Разходи'!H17-'12. Разходи'!$C17</f>
        <v>189.54004192859611</v>
      </c>
      <c r="M17" s="909">
        <f>IFERROR(('12. Разходи'!H17-'12. Разходи'!$C17)/'12. Разходи'!$C17,0)</f>
        <v>0.11072883558733558</v>
      </c>
      <c r="N17" s="1163">
        <f>'12. Разходи'!K17</f>
        <v>0.10119588130589609</v>
      </c>
      <c r="O17" s="1132">
        <f>'12. Разходи'!L17-'12. Разходи'!$K17</f>
        <v>5.9613080932403015E-2</v>
      </c>
      <c r="P17" s="877">
        <f>IFERROR(('12. Разходи'!L17-'12. Разходи'!$K17)/'12. Разходи'!$K17,0)</f>
        <v>0.58908603950198235</v>
      </c>
      <c r="Q17" s="1133">
        <f>'12. Разходи'!M17-'12. Разходи'!$K17</f>
        <v>5.9613080932403015E-2</v>
      </c>
      <c r="R17" s="877">
        <f>IFERROR(('12. Разходи'!M17-'12. Разходи'!$K17)/'12. Разходи'!$K17,0)</f>
        <v>0.58908603950198235</v>
      </c>
      <c r="S17" s="1133">
        <f>'12. Разходи'!N17-'12. Разходи'!$K17</f>
        <v>5.9613080932403015E-2</v>
      </c>
      <c r="T17" s="877">
        <f>IFERROR(('12. Разходи'!N17-'12. Разходи'!$K17)/'12. Разходи'!$K17,0)</f>
        <v>0.58908603950198235</v>
      </c>
      <c r="U17" s="1133">
        <f>'12. Разходи'!O17-'12. Разходи'!$K17</f>
        <v>5.9613080932403015E-2</v>
      </c>
      <c r="V17" s="877">
        <f>IFERROR(('12. Разходи'!O17-'12. Разходи'!$K17)/'12. Разходи'!$K17,0)</f>
        <v>0.58908603950198235</v>
      </c>
      <c r="W17" s="1133">
        <f>'12. Разходи'!P17-'12. Разходи'!$K17</f>
        <v>5.9613080932403015E-2</v>
      </c>
      <c r="X17" s="822">
        <f>IFERROR(('12. Разходи'!P17-'12. Разходи'!$K17)/'12. Разходи'!$K17,0)</f>
        <v>0.58908603950198235</v>
      </c>
      <c r="Y17" s="1163">
        <f>'12. Разходи'!S17</f>
        <v>364.53395739713028</v>
      </c>
      <c r="Z17" s="1132">
        <f>'12. Разходи'!T17-'12. Разходи'!$S17</f>
        <v>87.260180061175276</v>
      </c>
      <c r="AA17" s="877">
        <f>IFERROR(('12. Разходи'!T17-'12. Разходи'!$S17)/'12. Разходи'!$S17,0)</f>
        <v>0.23937462694624184</v>
      </c>
      <c r="AB17" s="1133">
        <f>'12. Разходи'!U17-'12. Разходи'!$S17</f>
        <v>82.950612151455573</v>
      </c>
      <c r="AC17" s="877">
        <f>IFERROR(('12. Разходи'!U17-'12. Разходи'!$S17)/'12. Разходи'!$S17,0)</f>
        <v>0.22755249673787614</v>
      </c>
      <c r="AD17" s="1133">
        <f>'12. Разходи'!V17-'12. Разходи'!$S17</f>
        <v>78.677679093391703</v>
      </c>
      <c r="AE17" s="877">
        <f>IFERROR(('12. Разходи'!V17-'12. Разходи'!$S17)/'12. Разходи'!$S17,0)</f>
        <v>0.21583086430458037</v>
      </c>
      <c r="AF17" s="1133">
        <f>'12. Разходи'!W17-'12. Разходи'!$S17</f>
        <v>74.440628302948767</v>
      </c>
      <c r="AG17" s="877">
        <f>IFERROR(('12. Разходи'!W17-'12. Разходи'!$S17)/'12. Разходи'!$S17,0)</f>
        <v>0.20420766513625976</v>
      </c>
      <c r="AH17" s="1133">
        <f>'12. Разходи'!X17-'12. Разходи'!$S17</f>
        <v>71.683007626240112</v>
      </c>
      <c r="AI17" s="822">
        <f>IFERROR(('12. Разходи'!X17-'12. Разходи'!$S17)/'12. Разходи'!$S17,0)</f>
        <v>0.1966428810585327</v>
      </c>
      <c r="AJ17" s="1163">
        <f>'12. Разходи'!AA17</f>
        <v>0</v>
      </c>
      <c r="AK17" s="1143">
        <f>'12. Разходи'!AB17-'12. Разходи'!$AA17</f>
        <v>0</v>
      </c>
      <c r="AL17" s="877">
        <f>IFERROR(('12. Разходи'!AB17-'12. Разходи'!$AA17)/'12. Разходи'!$AA17,0)</f>
        <v>0</v>
      </c>
      <c r="AM17" s="1133">
        <f>'12. Разходи'!AC17-'12. Разходи'!$AA17</f>
        <v>0</v>
      </c>
      <c r="AN17" s="877">
        <f>IFERROR(('12. Разходи'!AC17-'12. Разходи'!$AA17)/'12. Разходи'!$AA17,0)</f>
        <v>0</v>
      </c>
      <c r="AO17" s="1133">
        <f>'12. Разходи'!AD17-'12. Разходи'!$AA17</f>
        <v>0</v>
      </c>
      <c r="AP17" s="877">
        <f>IFERROR(('12. Разходи'!AD17-'12. Разходи'!$AA17)/'12. Разходи'!$AA17,0)</f>
        <v>0</v>
      </c>
      <c r="AQ17" s="1133">
        <f>'12. Разходи'!AE17-'12. Разходи'!$AA17</f>
        <v>0</v>
      </c>
      <c r="AR17" s="886">
        <f>IFERROR(('12. Разходи'!AE17-'12. Разходи'!$AA17)/'12. Разходи'!$AA17,0)</f>
        <v>0</v>
      </c>
      <c r="AS17" s="1133">
        <f>'12. Разходи'!AF17-'12. Разходи'!$AA17</f>
        <v>0</v>
      </c>
      <c r="AT17" s="891">
        <f>IFERROR(('12. Разходи'!AF17-'12. Разходи'!$AA17)/'12. Разходи'!$AA17,0)</f>
        <v>0</v>
      </c>
      <c r="AU17" s="1163">
        <f>'12. Разходи'!AI17</f>
        <v>273.41679996740476</v>
      </c>
      <c r="AV17" s="1143">
        <f>'12. Разходи'!AJ17-'12. Разходи'!$AI17</f>
        <v>113.77843688895723</v>
      </c>
      <c r="AW17" s="877">
        <f>IFERROR(('12. Разходи'!AJ17-'12. Разходи'!$AI17)/'12. Разходи'!$AI17,0)</f>
        <v>0.4161355004612784</v>
      </c>
      <c r="AX17" s="1133">
        <f>'12. Разходи'!AK17-'12. Разходи'!$AI17</f>
        <v>114.24860251721162</v>
      </c>
      <c r="AY17" s="877">
        <f>IFERROR(('12. Разходи'!AK17-'12. Разходи'!$AI17)/'12. Разходи'!$AI17,0)</f>
        <v>0.41785509350863487</v>
      </c>
      <c r="AZ17" s="1133">
        <f>'12. Разходи'!AL17-'12. Разходи'!$AI17</f>
        <v>114.71944907946937</v>
      </c>
      <c r="BA17" s="877">
        <f>IFERROR(('12. Разходи'!AL17-'12. Разходи'!$AI17)/'12. Разходи'!$AI17,0)</f>
        <v>0.41957717701745317</v>
      </c>
      <c r="BB17" s="1133">
        <f>'12. Разходи'!AM17-'12. Разходи'!$AI17</f>
        <v>115.19103807573089</v>
      </c>
      <c r="BC17" s="886">
        <f>IFERROR(('12. Разходи'!AM17-'12. Разходи'!$AI17)/'12. Разходи'!$AI17,0)</f>
        <v>0.42130197591904861</v>
      </c>
      <c r="BD17" s="1133">
        <f>'12. Разходи'!AN17-'12. Разходи'!$AI17</f>
        <v>115.66411193999943</v>
      </c>
      <c r="BE17" s="891">
        <f>IFERROR(('12. Разходи'!AN17-'12. Разходи'!$AI17)/'12. Разходи'!$AI17,0)</f>
        <v>0.42303220560619637</v>
      </c>
      <c r="BF17" s="4488"/>
      <c r="BG17" s="4504">
        <f t="shared" si="1"/>
        <v>875.20368191035129</v>
      </c>
      <c r="BH17" s="4504">
        <f t="shared" si="2"/>
        <v>213.55131359023869</v>
      </c>
      <c r="BI17" s="4504">
        <f t="shared" si="3"/>
        <v>196.58936232505775</v>
      </c>
      <c r="BJ17" s="4504">
        <f t="shared" si="4"/>
        <v>174.0795166639073</v>
      </c>
      <c r="BK17" s="4504">
        <f t="shared" si="5"/>
        <v>141.18508219034504</v>
      </c>
      <c r="BL17" s="4504">
        <f t="shared" si="6"/>
        <v>96.910284599682029</v>
      </c>
      <c r="BM17" s="4504">
        <f t="shared" si="7"/>
        <v>5.1740632522200854E-2</v>
      </c>
      <c r="BN17" s="4504">
        <f t="shared" si="8"/>
        <v>3.0479684293830762E-2</v>
      </c>
      <c r="BO17" s="4504">
        <f t="shared" si="9"/>
        <v>3.0479684293830762E-2</v>
      </c>
      <c r="BP17" s="4504">
        <f t="shared" si="10"/>
        <v>3.0479684293830762E-2</v>
      </c>
      <c r="BQ17" s="4504">
        <f t="shared" si="11"/>
        <v>3.0479684293830762E-2</v>
      </c>
      <c r="BR17" s="4504">
        <f t="shared" si="12"/>
        <v>3.0479684293830762E-2</v>
      </c>
      <c r="BS17" s="4504">
        <f t="shared" si="13"/>
        <v>186.38325283748091</v>
      </c>
      <c r="BT17" s="4504">
        <f t="shared" si="14"/>
        <v>44.615421616999065</v>
      </c>
      <c r="BU17" s="4504">
        <f t="shared" si="15"/>
        <v>42.41197453329562</v>
      </c>
      <c r="BV17" s="4504">
        <f t="shared" si="16"/>
        <v>40.227258551812632</v>
      </c>
      <c r="BW17" s="4504">
        <f t="shared" si="17"/>
        <v>38.060888882443138</v>
      </c>
      <c r="BX17" s="4504">
        <f t="shared" si="18"/>
        <v>36.650939819023186</v>
      </c>
      <c r="BY17" s="4504">
        <f t="shared" si="19"/>
        <v>0</v>
      </c>
      <c r="BZ17" s="4504">
        <f t="shared" si="20"/>
        <v>0</v>
      </c>
      <c r="CA17" s="4504">
        <f t="shared" si="21"/>
        <v>0</v>
      </c>
      <c r="CB17" s="4504">
        <f t="shared" si="22"/>
        <v>0</v>
      </c>
      <c r="CC17" s="4504">
        <f t="shared" si="23"/>
        <v>0</v>
      </c>
      <c r="CD17" s="4504">
        <f t="shared" si="24"/>
        <v>0</v>
      </c>
      <c r="CE17" s="4504">
        <f t="shared" si="25"/>
        <v>139.79579000598454</v>
      </c>
      <c r="CF17" s="4504">
        <f t="shared" si="26"/>
        <v>58.173991036520164</v>
      </c>
      <c r="CG17" s="4504">
        <f t="shared" si="27"/>
        <v>58.414382905064151</v>
      </c>
      <c r="CH17" s="4504">
        <f t="shared" si="28"/>
        <v>58.655122929635688</v>
      </c>
      <c r="CI17" s="4504">
        <f t="shared" si="29"/>
        <v>58.896242554685678</v>
      </c>
      <c r="CJ17" s="4504">
        <f t="shared" si="30"/>
        <v>59.138121380692304</v>
      </c>
    </row>
    <row r="18" spans="1:88" ht="15.9" customHeight="1">
      <c r="A18" s="838" t="s">
        <v>93</v>
      </c>
      <c r="B18" s="896" t="s">
        <v>233</v>
      </c>
      <c r="C18" s="1185">
        <f>'12. Разходи'!C18</f>
        <v>244.33163169437893</v>
      </c>
      <c r="D18" s="1134">
        <f>'12. Разходи'!D18-'12. Разходи'!$C18</f>
        <v>11.631473184473748</v>
      </c>
      <c r="E18" s="878">
        <f>IFERROR(('12. Разходи'!D18-'12. Разходи'!$C18)/'12. Разходи'!$C18,0)</f>
        <v>4.7605269542107108E-2</v>
      </c>
      <c r="F18" s="1135">
        <f>'12. Разходи'!E18-'12. Разходи'!$C18</f>
        <v>8.6313561962493281</v>
      </c>
      <c r="G18" s="878">
        <f>IFERROR(('12. Разходи'!E18-'12. Разходи'!$C18)/'12. Разходи'!$C18,0)</f>
        <v>3.532639689913674E-2</v>
      </c>
      <c r="H18" s="1135">
        <f>'12. Разходи'!F18-'12. Разходи'!$C18</f>
        <v>7.1616190796334536</v>
      </c>
      <c r="I18" s="878">
        <f>IFERROR(('12. Разходи'!F18-'12. Разходи'!$C18)/'12. Разходи'!$C18,0)</f>
        <v>2.9311059849146063E-2</v>
      </c>
      <c r="J18" s="1135">
        <f>'12. Разходи'!G18-'12. Разходи'!$C18</f>
        <v>5.9452042255164486</v>
      </c>
      <c r="K18" s="878">
        <f>IFERROR(('12. Разходи'!G18-'12. Разходи'!$C18)/'12. Разходи'!$C18,0)</f>
        <v>2.4332519634432677E-2</v>
      </c>
      <c r="L18" s="1135">
        <f>'12. Разходи'!H18-'12. Разходи'!$C18</f>
        <v>3.7972922287368078</v>
      </c>
      <c r="M18" s="885">
        <f>IFERROR(('12. Разходи'!H18-'12. Разходи'!$C18)/'12. Разходи'!$C18,0)</f>
        <v>1.5541549828827047E-2</v>
      </c>
      <c r="N18" s="1164">
        <f>'12. Разходи'!K18</f>
        <v>17.064241313553886</v>
      </c>
      <c r="O18" s="1134">
        <f>'12. Разходи'!L18-'12. Разходи'!$K18</f>
        <v>1.7448322931200906</v>
      </c>
      <c r="P18" s="878">
        <f>IFERROR(('12. Разходи'!L18-'12. Разходи'!$K18)/'12. Разходи'!$K18,0)</f>
        <v>0.10225079809051897</v>
      </c>
      <c r="Q18" s="1135">
        <f>'12. Разходи'!M18-'12. Разходи'!$K18</f>
        <v>1.5872482931200906</v>
      </c>
      <c r="R18" s="878">
        <f>IFERROR(('12. Разходи'!M18-'12. Разходи'!$K18)/'12. Разходи'!$K18,0)</f>
        <v>9.3016048235286128E-2</v>
      </c>
      <c r="S18" s="1135">
        <f>'12. Разходи'!N18-'12. Разходи'!$K18</f>
        <v>1.4266180137083246</v>
      </c>
      <c r="T18" s="878">
        <f>IFERROR(('12. Разходи'!N18-'12. Разходи'!$K18)/'12. Разходи'!$K18,0)</f>
        <v>8.3602780076438676E-2</v>
      </c>
      <c r="U18" s="1135">
        <f>'12. Разходи'!O18-'12. Разходи'!$K18</f>
        <v>1.544051347041659</v>
      </c>
      <c r="V18" s="878">
        <f>IFERROR(('12. Разходи'!O18-'12. Разходи'!$K18)/'12. Разходи'!$K18,0)</f>
        <v>9.0484617433020054E-2</v>
      </c>
      <c r="W18" s="1135">
        <f>'12. Разходи'!P18-'12. Разходи'!$K18</f>
        <v>1.2451577342965621</v>
      </c>
      <c r="X18" s="711">
        <f>IFERROR(('12. Разходи'!P18-'12. Разходи'!$K18)/'12. Разходи'!$K18,0)</f>
        <v>7.2968830633422355E-2</v>
      </c>
      <c r="Y18" s="1164">
        <f>'12. Разходи'!S18</f>
        <v>13.269015937379905</v>
      </c>
      <c r="Z18" s="1134">
        <f>'12. Разходи'!T18-'12. Разходи'!$S18</f>
        <v>2.0384433094242631</v>
      </c>
      <c r="AA18" s="878">
        <f>IFERROR(('12. Разходи'!T18-'12. Разходи'!$S18)/'12. Разходи'!$S18,0)</f>
        <v>0.15362430183551151</v>
      </c>
      <c r="AB18" s="1135">
        <f>'12. Разходи'!U18-'12. Разходи'!$S18</f>
        <v>2.3285067309928902</v>
      </c>
      <c r="AC18" s="878">
        <f>IFERROR(('12. Разходи'!U18-'12. Разходи'!$S18)/'12. Разходи'!$S18,0)</f>
        <v>0.17548450781744077</v>
      </c>
      <c r="AD18" s="1135">
        <f>'12. Разходи'!V18-'12. Разходи'!$S18</f>
        <v>2.3094922604046548</v>
      </c>
      <c r="AE18" s="878">
        <f>IFERROR(('12. Разходи'!V18-'12. Разходи'!$S18)/'12. Разходи'!$S18,0)</f>
        <v>0.17405151002182656</v>
      </c>
      <c r="AF18" s="1135">
        <f>'12. Разходи'!W18-'12. Разходи'!$S18</f>
        <v>2.0194288388360278</v>
      </c>
      <c r="AG18" s="878">
        <f>IFERROR(('12. Разходи'!W18-'12. Разходи'!$S18)/'12. Разходи'!$S18,0)</f>
        <v>0.15219130403989728</v>
      </c>
      <c r="AH18" s="1135">
        <f>'12. Разходи'!X18-'12. Разходи'!$S18</f>
        <v>2.5583576623654398</v>
      </c>
      <c r="AI18" s="711">
        <f>IFERROR(('12. Разходи'!X18-'12. Разходи'!$S18)/'12. Разходи'!$S18,0)</f>
        <v>0.19280688744659177</v>
      </c>
      <c r="AJ18" s="1164">
        <f>'12. Разходи'!AA18</f>
        <v>0</v>
      </c>
      <c r="AK18" s="1142">
        <f>'12. Разходи'!AB18-'12. Разходи'!$AA18</f>
        <v>0</v>
      </c>
      <c r="AL18" s="878">
        <f>IFERROR(('12. Разходи'!AB18-'12. Разходи'!$AA18)/'12. Разходи'!$AA18,0)</f>
        <v>0</v>
      </c>
      <c r="AM18" s="1135">
        <f>'12. Разходи'!AC18-'12. Разходи'!$AA18</f>
        <v>0</v>
      </c>
      <c r="AN18" s="878">
        <f>IFERROR(('12. Разходи'!AC18-'12. Разходи'!$AA18)/'12. Разходи'!$AA18,0)</f>
        <v>0</v>
      </c>
      <c r="AO18" s="1135">
        <f>'12. Разходи'!AD18-'12. Разходи'!$AA18</f>
        <v>0</v>
      </c>
      <c r="AP18" s="885">
        <f>IFERROR(('12. Разходи'!AD18-'12. Разходи'!$AA18)/'12. Разходи'!$AA18,0)</f>
        <v>0</v>
      </c>
      <c r="AQ18" s="1149">
        <f>'12. Разходи'!AE18-'12. Разходи'!$AA18</f>
        <v>0</v>
      </c>
      <c r="AR18" s="885">
        <f>IFERROR(('12. Разходи'!AE18-'12. Разходи'!$AA18)/'12. Разходи'!$AA18,0)</f>
        <v>0</v>
      </c>
      <c r="AS18" s="1135">
        <f>'12. Разходи'!AF18-'12. Разходи'!$AA18</f>
        <v>0</v>
      </c>
      <c r="AT18" s="711">
        <f>IFERROR(('12. Разходи'!AF18-'12. Разходи'!$AA18)/'12. Разходи'!$AA18,0)</f>
        <v>0</v>
      </c>
      <c r="AU18" s="1164">
        <f>'12. Разходи'!AI18</f>
        <v>44.20595267617972</v>
      </c>
      <c r="AV18" s="1142">
        <f>'12. Разходи'!AJ18-'12. Разходи'!$AI18</f>
        <v>9.4053206527143089</v>
      </c>
      <c r="AW18" s="878">
        <f>IFERROR(('12. Разходи'!AJ18-'12. Разходи'!$AI18)/'12. Разходи'!$AI18,0)</f>
        <v>0.21276140617556116</v>
      </c>
      <c r="AX18" s="1135">
        <f>'12. Разходи'!AK18-'12. Разходи'!$AI18</f>
        <v>9.9297493565920973</v>
      </c>
      <c r="AY18" s="878">
        <f>IFERROR(('12. Разходи'!AK18-'12. Разходи'!$AI18)/'12. Разходи'!$AI18,0)</f>
        <v>0.22462471127655895</v>
      </c>
      <c r="AZ18" s="1135">
        <f>'12. Разходи'!AL18-'12. Разходи'!$AI18</f>
        <v>10.547102354234895</v>
      </c>
      <c r="BA18" s="885">
        <f>IFERROR(('12. Разходи'!AL18-'12. Разходи'!$AI18)/'12. Разходи'!$AI18,0)</f>
        <v>0.23859009286589083</v>
      </c>
      <c r="BB18" s="1149">
        <f>'12. Разходи'!AM18-'12. Разходи'!$AI18</f>
        <v>11.078111700363806</v>
      </c>
      <c r="BC18" s="885">
        <f>IFERROR(('12. Разходи'!AM18-'12. Разходи'!$AI18)/'12. Разходи'!$AI18,0)</f>
        <v>0.25060226122743923</v>
      </c>
      <c r="BD18" s="1135">
        <f>'12. Разходи'!AN18-'12. Разходи'!$AI18</f>
        <v>11.707092296859557</v>
      </c>
      <c r="BE18" s="711">
        <f>IFERROR(('12. Разходи'!AN18-'12. Разходи'!$AI18)/'12. Разходи'!$AI18,0)</f>
        <v>0.26483067523998632</v>
      </c>
      <c r="BF18" s="4488"/>
      <c r="BG18" s="4504">
        <f t="shared" si="1"/>
        <v>124.9247796047606</v>
      </c>
      <c r="BH18" s="4504">
        <f t="shared" si="2"/>
        <v>5.9470778055729525</v>
      </c>
      <c r="BI18" s="4504">
        <f t="shared" si="3"/>
        <v>4.413142346854956</v>
      </c>
      <c r="BJ18" s="4504">
        <f t="shared" si="4"/>
        <v>3.6616776916365192</v>
      </c>
      <c r="BK18" s="4504">
        <f t="shared" si="5"/>
        <v>3.0397346525600124</v>
      </c>
      <c r="BL18" s="4504">
        <f t="shared" si="6"/>
        <v>1.9415246870826237</v>
      </c>
      <c r="BM18" s="4504">
        <f t="shared" si="7"/>
        <v>8.7248080423931977</v>
      </c>
      <c r="BN18" s="4504">
        <f t="shared" si="8"/>
        <v>0.89211858552128287</v>
      </c>
      <c r="BO18" s="4504">
        <f t="shared" si="9"/>
        <v>0.81154716571485797</v>
      </c>
      <c r="BP18" s="4504">
        <f t="shared" si="10"/>
        <v>0.72941820797734191</v>
      </c>
      <c r="BQ18" s="4504">
        <f t="shared" si="11"/>
        <v>0.78946091789248507</v>
      </c>
      <c r="BR18" s="4504">
        <f t="shared" si="12"/>
        <v>0.63663904035451035</v>
      </c>
      <c r="BS18" s="4504">
        <f t="shared" si="13"/>
        <v>6.7843401202455764</v>
      </c>
      <c r="BT18" s="4504">
        <f t="shared" si="14"/>
        <v>1.0422395143873768</v>
      </c>
      <c r="BU18" s="4504">
        <f t="shared" si="15"/>
        <v>1.1905465868674119</v>
      </c>
      <c r="BV18" s="4504">
        <f t="shared" si="16"/>
        <v>1.180824642430403</v>
      </c>
      <c r="BW18" s="4504">
        <f t="shared" si="17"/>
        <v>1.0325175699503677</v>
      </c>
      <c r="BX18" s="4504">
        <f t="shared" si="18"/>
        <v>1.3080675019635857</v>
      </c>
      <c r="BY18" s="4504">
        <f t="shared" si="19"/>
        <v>0</v>
      </c>
      <c r="BZ18" s="4504">
        <f t="shared" si="20"/>
        <v>0</v>
      </c>
      <c r="CA18" s="4504">
        <f t="shared" si="21"/>
        <v>0</v>
      </c>
      <c r="CB18" s="4504">
        <f t="shared" si="22"/>
        <v>0</v>
      </c>
      <c r="CC18" s="4504">
        <f t="shared" si="23"/>
        <v>0</v>
      </c>
      <c r="CD18" s="4504">
        <f t="shared" si="24"/>
        <v>0</v>
      </c>
      <c r="CE18" s="4504">
        <f t="shared" si="25"/>
        <v>22.602144703874938</v>
      </c>
      <c r="CF18" s="4504">
        <f t="shared" si="26"/>
        <v>4.8088640897799451</v>
      </c>
      <c r="CG18" s="4504">
        <f t="shared" si="27"/>
        <v>5.077000228338914</v>
      </c>
      <c r="CH18" s="4504">
        <f t="shared" si="28"/>
        <v>5.3926478038658239</v>
      </c>
      <c r="CI18" s="4504">
        <f t="shared" si="29"/>
        <v>5.6641485713808493</v>
      </c>
      <c r="CJ18" s="4504">
        <f t="shared" si="30"/>
        <v>5.9857412437990813</v>
      </c>
    </row>
    <row r="19" spans="1:88" s="1198" customFormat="1" ht="15.9" customHeight="1">
      <c r="A19" s="1201" t="s">
        <v>234</v>
      </c>
      <c r="B19" s="1202" t="s">
        <v>1336</v>
      </c>
      <c r="C19" s="1203">
        <f>'12. Разходи'!C19</f>
        <v>0</v>
      </c>
      <c r="D19" s="1204">
        <f>'12. Разходи'!D19-'12. Разходи'!$C19</f>
        <v>0</v>
      </c>
      <c r="E19" s="1205">
        <f>IFERROR(('12. Разходи'!D19-'12. Разходи'!$C19)/'12. Разходи'!$C19,0)</f>
        <v>0</v>
      </c>
      <c r="F19" s="1206">
        <f>'12. Разходи'!E19-'12. Разходи'!$C19</f>
        <v>0</v>
      </c>
      <c r="G19" s="1205">
        <f>IFERROR(('12. Разходи'!E19-'12. Разходи'!$C19)/'12. Разходи'!$C19,0)</f>
        <v>0</v>
      </c>
      <c r="H19" s="1206">
        <f>'12. Разходи'!F19-'12. Разходи'!$C19</f>
        <v>0</v>
      </c>
      <c r="I19" s="1205">
        <f>IFERROR(('12. Разходи'!F19-'12. Разходи'!$C19)/'12. Разходи'!$C19,0)</f>
        <v>0</v>
      </c>
      <c r="J19" s="1206">
        <f>'12. Разходи'!G19-'12. Разходи'!$C19</f>
        <v>0</v>
      </c>
      <c r="K19" s="1205">
        <f>IFERROR(('12. Разходи'!G19-'12. Разходи'!$C19)/'12. Разходи'!$C19,0)</f>
        <v>0</v>
      </c>
      <c r="L19" s="1206">
        <f>'12. Разходи'!H19-'12. Разходи'!$C19</f>
        <v>0</v>
      </c>
      <c r="M19" s="1207">
        <f>IFERROR(('12. Разходи'!H19-'12. Разходи'!$C19)/'12. Разходи'!$C19,0)</f>
        <v>0</v>
      </c>
      <c r="N19" s="1208">
        <f>'12. Разходи'!K19</f>
        <v>0</v>
      </c>
      <c r="O19" s="1204">
        <f>'12. Разходи'!L19-'12. Разходи'!$K19</f>
        <v>0</v>
      </c>
      <c r="P19" s="1205">
        <f>IFERROR(('12. Разходи'!L19-'12. Разходи'!$K19)/'12. Разходи'!$K19,0)</f>
        <v>0</v>
      </c>
      <c r="Q19" s="1206">
        <f>'12. Разходи'!M19-'12. Разходи'!$K19</f>
        <v>0</v>
      </c>
      <c r="R19" s="1205">
        <f>IFERROR(('12. Разходи'!M19-'12. Разходи'!$K19)/'12. Разходи'!$K19,0)</f>
        <v>0</v>
      </c>
      <c r="S19" s="1206">
        <f>'12. Разходи'!N19-'12. Разходи'!$K19</f>
        <v>0</v>
      </c>
      <c r="T19" s="1205">
        <f>IFERROR(('12. Разходи'!N19-'12. Разходи'!$K19)/'12. Разходи'!$K19,0)</f>
        <v>0</v>
      </c>
      <c r="U19" s="1206">
        <f>'12. Разходи'!O19-'12. Разходи'!$K19</f>
        <v>0</v>
      </c>
      <c r="V19" s="1205">
        <f>IFERROR(('12. Разходи'!O19-'12. Разходи'!$K19)/'12. Разходи'!$K19,0)</f>
        <v>0</v>
      </c>
      <c r="W19" s="1206">
        <f>'12. Разходи'!P19-'12. Разходи'!$K19</f>
        <v>0</v>
      </c>
      <c r="X19" s="1209">
        <f>IFERROR(('12. Разходи'!P19-'12. Разходи'!$K19)/'12. Разходи'!$K19,0)</f>
        <v>0</v>
      </c>
      <c r="Y19" s="1208">
        <f>'12. Разходи'!S19</f>
        <v>0</v>
      </c>
      <c r="Z19" s="1204">
        <f>'12. Разходи'!T19-'12. Разходи'!$S19</f>
        <v>0</v>
      </c>
      <c r="AA19" s="1205">
        <f>IFERROR(('12. Разходи'!T19-'12. Разходи'!$S19)/'12. Разходи'!$S19,0)</f>
        <v>0</v>
      </c>
      <c r="AB19" s="1206">
        <f>'12. Разходи'!U19-'12. Разходи'!$S19</f>
        <v>0</v>
      </c>
      <c r="AC19" s="1205">
        <f>IFERROR(('12. Разходи'!U19-'12. Разходи'!$S19)/'12. Разходи'!$S19,0)</f>
        <v>0</v>
      </c>
      <c r="AD19" s="1206">
        <f>'12. Разходи'!V19-'12. Разходи'!$S19</f>
        <v>0</v>
      </c>
      <c r="AE19" s="1205">
        <f>IFERROR(('12. Разходи'!V19-'12. Разходи'!$S19)/'12. Разходи'!$S19,0)</f>
        <v>0</v>
      </c>
      <c r="AF19" s="1206">
        <f>'12. Разходи'!W19-'12. Разходи'!$S19</f>
        <v>0</v>
      </c>
      <c r="AG19" s="1205">
        <f>IFERROR(('12. Разходи'!W19-'12. Разходи'!$S19)/'12. Разходи'!$S19,0)</f>
        <v>0</v>
      </c>
      <c r="AH19" s="1206">
        <f>'12. Разходи'!X19-'12. Разходи'!$S19</f>
        <v>0</v>
      </c>
      <c r="AI19" s="1209">
        <f>IFERROR(('12. Разходи'!X19-'12. Разходи'!$S19)/'12. Разходи'!$S19,0)</f>
        <v>0</v>
      </c>
      <c r="AJ19" s="1208">
        <f>'12. Разходи'!AA19</f>
        <v>0</v>
      </c>
      <c r="AK19" s="1210">
        <f>'12. Разходи'!AB19-'12. Разходи'!$AA19</f>
        <v>0</v>
      </c>
      <c r="AL19" s="1205">
        <f>IFERROR(('12. Разходи'!AB19-'12. Разходи'!$AA19)/'12. Разходи'!$AA19,0)</f>
        <v>0</v>
      </c>
      <c r="AM19" s="1204">
        <f>'12. Разходи'!AC19-'12. Разходи'!$AA19</f>
        <v>0</v>
      </c>
      <c r="AN19" s="1211">
        <f>IFERROR(('12. Разходи'!AC19-'12. Разходи'!$AA19)/'12. Разходи'!$AA19,0)</f>
        <v>0</v>
      </c>
      <c r="AO19" s="1204">
        <f>'12. Разходи'!AD19-'12. Разходи'!$AA19</f>
        <v>0</v>
      </c>
      <c r="AP19" s="1211">
        <f>IFERROR(('12. Разходи'!AD19-'12. Разходи'!$AA19)/'12. Разходи'!$AA19,0)</f>
        <v>0</v>
      </c>
      <c r="AQ19" s="1204">
        <f>'12. Разходи'!AE19-'12. Разходи'!$AA19</f>
        <v>0</v>
      </c>
      <c r="AR19" s="1212">
        <f>IFERROR(('12. Разходи'!AE19-'12. Разходи'!$AA19)/'12. Разходи'!$AA19,0)</f>
        <v>0</v>
      </c>
      <c r="AS19" s="1206">
        <f>'12. Разходи'!AF19-'12. Разходи'!$AA19</f>
        <v>0</v>
      </c>
      <c r="AT19" s="1213">
        <f>IFERROR(('12. Разходи'!AF19-'12. Разходи'!$AA19)/'12. Разходи'!$AA19,0)</f>
        <v>0</v>
      </c>
      <c r="AU19" s="1208">
        <f>'12. Разходи'!AI19</f>
        <v>0</v>
      </c>
      <c r="AV19" s="1210">
        <f>'12. Разходи'!AJ19-'12. Разходи'!$AI19</f>
        <v>0</v>
      </c>
      <c r="AW19" s="1205">
        <f>IFERROR(('12. Разходи'!AJ19-'12. Разходи'!$AI19)/'12. Разходи'!$AI19,0)</f>
        <v>0</v>
      </c>
      <c r="AX19" s="1204">
        <f>'12. Разходи'!AK19-'12. Разходи'!$AI19</f>
        <v>0</v>
      </c>
      <c r="AY19" s="1211">
        <f>IFERROR(('12. Разходи'!AK19-'12. Разходи'!$AI19)/'12. Разходи'!$AI19,0)</f>
        <v>0</v>
      </c>
      <c r="AZ19" s="1204">
        <f>'12. Разходи'!AL19-'12. Разходи'!$AI19</f>
        <v>0</v>
      </c>
      <c r="BA19" s="1211">
        <f>IFERROR(('12. Разходи'!AL19-'12. Разходи'!$AI19)/'12. Разходи'!$AI19,0)</f>
        <v>0</v>
      </c>
      <c r="BB19" s="1204">
        <f>'12. Разходи'!AM19-'12. Разходи'!$AI19</f>
        <v>0</v>
      </c>
      <c r="BC19" s="1212">
        <f>IFERROR(('12. Разходи'!AM19-'12. Разходи'!$AI19)/'12. Разходи'!$AI19,0)</f>
        <v>0</v>
      </c>
      <c r="BD19" s="1206">
        <f>'12. Разходи'!AN19-'12. Разходи'!$AI19</f>
        <v>0</v>
      </c>
      <c r="BE19" s="1213">
        <f>IFERROR(('12. Разходи'!AN19-'12. Разходи'!$AI19)/'12. Разходи'!$AI19,0)</f>
        <v>0</v>
      </c>
      <c r="BF19" s="4488"/>
      <c r="BG19" s="4504">
        <f t="shared" si="1"/>
        <v>0</v>
      </c>
      <c r="BH19" s="4504">
        <f t="shared" si="2"/>
        <v>0</v>
      </c>
      <c r="BI19" s="4504">
        <f t="shared" si="3"/>
        <v>0</v>
      </c>
      <c r="BJ19" s="4504">
        <f t="shared" si="4"/>
        <v>0</v>
      </c>
      <c r="BK19" s="4504">
        <f t="shared" si="5"/>
        <v>0</v>
      </c>
      <c r="BL19" s="4504">
        <f t="shared" si="6"/>
        <v>0</v>
      </c>
      <c r="BM19" s="4504">
        <f t="shared" si="7"/>
        <v>0</v>
      </c>
      <c r="BN19" s="4504">
        <f t="shared" si="8"/>
        <v>0</v>
      </c>
      <c r="BO19" s="4504">
        <f t="shared" si="9"/>
        <v>0</v>
      </c>
      <c r="BP19" s="4504">
        <f t="shared" si="10"/>
        <v>0</v>
      </c>
      <c r="BQ19" s="4504">
        <f t="shared" si="11"/>
        <v>0</v>
      </c>
      <c r="BR19" s="4504">
        <f t="shared" si="12"/>
        <v>0</v>
      </c>
      <c r="BS19" s="4504">
        <f t="shared" si="13"/>
        <v>0</v>
      </c>
      <c r="BT19" s="4504">
        <f t="shared" si="14"/>
        <v>0</v>
      </c>
      <c r="BU19" s="4504">
        <f t="shared" si="15"/>
        <v>0</v>
      </c>
      <c r="BV19" s="4504">
        <f t="shared" si="16"/>
        <v>0</v>
      </c>
      <c r="BW19" s="4504">
        <f t="shared" si="17"/>
        <v>0</v>
      </c>
      <c r="BX19" s="4504">
        <f t="shared" si="18"/>
        <v>0</v>
      </c>
      <c r="BY19" s="4504">
        <f t="shared" si="19"/>
        <v>0</v>
      </c>
      <c r="BZ19" s="4504">
        <f t="shared" si="20"/>
        <v>0</v>
      </c>
      <c r="CA19" s="4504">
        <f t="shared" si="21"/>
        <v>0</v>
      </c>
      <c r="CB19" s="4504">
        <f t="shared" si="22"/>
        <v>0</v>
      </c>
      <c r="CC19" s="4504">
        <f t="shared" si="23"/>
        <v>0</v>
      </c>
      <c r="CD19" s="4504">
        <f t="shared" si="24"/>
        <v>0</v>
      </c>
      <c r="CE19" s="4504">
        <f t="shared" si="25"/>
        <v>0</v>
      </c>
      <c r="CF19" s="4504">
        <f t="shared" si="26"/>
        <v>0</v>
      </c>
      <c r="CG19" s="4504">
        <f t="shared" si="27"/>
        <v>0</v>
      </c>
      <c r="CH19" s="4504">
        <f t="shared" si="28"/>
        <v>0</v>
      </c>
      <c r="CI19" s="4504">
        <f t="shared" si="29"/>
        <v>0</v>
      </c>
      <c r="CJ19" s="4504">
        <f t="shared" si="30"/>
        <v>0</v>
      </c>
    </row>
    <row r="20" spans="1:88" s="1198" customFormat="1" ht="15.9" customHeight="1">
      <c r="A20" s="1201" t="s">
        <v>436</v>
      </c>
      <c r="B20" s="1202" t="s">
        <v>1337</v>
      </c>
      <c r="C20" s="1203">
        <f>'12. Разходи'!C20</f>
        <v>89.716528239874478</v>
      </c>
      <c r="D20" s="1204">
        <f>'12. Разходи'!D20-'12. Разходи'!$C20</f>
        <v>8.9716528239874407</v>
      </c>
      <c r="E20" s="1205">
        <f>IFERROR(('12. Разходи'!D20-'12. Разходи'!$C20)/'12. Разходи'!$C20,0)</f>
        <v>9.9999999999999922E-2</v>
      </c>
      <c r="F20" s="1206">
        <f>'12. Разходи'!E20-'12. Разходи'!$C20</f>
        <v>8.9716528239874407</v>
      </c>
      <c r="G20" s="1205">
        <f>IFERROR(('12. Разходи'!E20-'12. Разходи'!$C20)/'12. Разходи'!$C20,0)</f>
        <v>9.9999999999999922E-2</v>
      </c>
      <c r="H20" s="1206">
        <f>'12. Разходи'!F20-'12. Разходи'!$C20</f>
        <v>8.9716528239874407</v>
      </c>
      <c r="I20" s="1205">
        <f>IFERROR(('12. Разходи'!F20-'12. Разходи'!$C20)/'12. Разходи'!$C20,0)</f>
        <v>9.9999999999999922E-2</v>
      </c>
      <c r="J20" s="1206">
        <f>'12. Разходи'!G20-'12. Разходи'!$C20</f>
        <v>8.9716528239874407</v>
      </c>
      <c r="K20" s="1205">
        <f>IFERROR(('12. Разходи'!G20-'12. Разходи'!$C20)/'12. Разходи'!$C20,0)</f>
        <v>9.9999999999999922E-2</v>
      </c>
      <c r="L20" s="1206">
        <f>'12. Разходи'!H20-'12. Разходи'!$C20</f>
        <v>8.9716528239874407</v>
      </c>
      <c r="M20" s="1207">
        <f>IFERROR(('12. Разходи'!H20-'12. Разходи'!$C20)/'12. Разходи'!$C20,0)</f>
        <v>9.9999999999999922E-2</v>
      </c>
      <c r="N20" s="1208">
        <f>'12. Разходи'!K20</f>
        <v>10.276901313553884</v>
      </c>
      <c r="O20" s="1204">
        <f>'12. Разходи'!L20-'12. Разходи'!$K20</f>
        <v>1.0276901313553868</v>
      </c>
      <c r="P20" s="1205">
        <f>IFERROR(('12. Разходи'!L20-'12. Разходи'!$K20)/'12. Разходи'!$K20,0)</f>
        <v>9.9999999999999839E-2</v>
      </c>
      <c r="Q20" s="1206">
        <f>'12. Разходи'!M20-'12. Разходи'!$K20</f>
        <v>1.0276901313553868</v>
      </c>
      <c r="R20" s="1205">
        <f>IFERROR(('12. Разходи'!M20-'12. Разходи'!$K20)/'12. Разходи'!$K20,0)</f>
        <v>9.9999999999999839E-2</v>
      </c>
      <c r="S20" s="1206">
        <f>'12. Разходи'!N20-'12. Разходи'!$K20</f>
        <v>1.0276901313553868</v>
      </c>
      <c r="T20" s="1205">
        <f>IFERROR(('12. Разходи'!N20-'12. Разходи'!$K20)/'12. Разходи'!$K20,0)</f>
        <v>9.9999999999999839E-2</v>
      </c>
      <c r="U20" s="1206">
        <f>'12. Разходи'!O20-'12. Разходи'!$K20</f>
        <v>1.0276901313553868</v>
      </c>
      <c r="V20" s="1205">
        <f>IFERROR(('12. Разходи'!O20-'12. Разходи'!$K20)/'12. Разходи'!$K20,0)</f>
        <v>9.9999999999999839E-2</v>
      </c>
      <c r="W20" s="1206">
        <f>'12. Разходи'!P20-'12. Разходи'!$K20</f>
        <v>1.0276901313553868</v>
      </c>
      <c r="X20" s="1209">
        <f>IFERROR(('12. Разходи'!P20-'12. Разходи'!$K20)/'12. Разходи'!$K20,0)</f>
        <v>9.9999999999999839E-2</v>
      </c>
      <c r="Y20" s="1208">
        <f>'12. Разходи'!S20</f>
        <v>11.649005937379904</v>
      </c>
      <c r="Z20" s="1204">
        <f>'12. Разходи'!T20-'12. Разходи'!$S20</f>
        <v>1.614900593737989</v>
      </c>
      <c r="AA20" s="1205">
        <f>IFERROR(('12. Разходи'!T20-'12. Разходи'!$S20)/'12. Разходи'!$S20,0)</f>
        <v>0.13862990562619737</v>
      </c>
      <c r="AB20" s="1206">
        <f>'12. Разходи'!U20-'12. Разходи'!$S20</f>
        <v>1.614900593737989</v>
      </c>
      <c r="AC20" s="1205">
        <f>IFERROR(('12. Разходи'!U20-'12. Разходи'!$S20)/'12. Разходи'!$S20,0)</f>
        <v>0.13862990562619737</v>
      </c>
      <c r="AD20" s="1206">
        <f>'12. Разходи'!V20-'12. Разходи'!$S20</f>
        <v>1.614900593737989</v>
      </c>
      <c r="AE20" s="1205">
        <f>IFERROR(('12. Разходи'!V20-'12. Разходи'!$S20)/'12. Разходи'!$S20,0)</f>
        <v>0.13862990562619737</v>
      </c>
      <c r="AF20" s="1206">
        <f>'12. Разходи'!W20-'12. Разходи'!$S20</f>
        <v>1.614900593737989</v>
      </c>
      <c r="AG20" s="1205">
        <f>IFERROR(('12. Разходи'!W20-'12. Разходи'!$S20)/'12. Разходи'!$S20,0)</f>
        <v>0.13862990562619737</v>
      </c>
      <c r="AH20" s="1206">
        <f>'12. Разходи'!X20-'12. Разходи'!$S20</f>
        <v>1.614900593737989</v>
      </c>
      <c r="AI20" s="1209">
        <f>IFERROR(('12. Разходи'!X20-'12. Разходи'!$S20)/'12. Разходи'!$S20,0)</f>
        <v>0.13862990562619737</v>
      </c>
      <c r="AJ20" s="1208">
        <f>'12. Разходи'!AA20</f>
        <v>0</v>
      </c>
      <c r="AK20" s="1210">
        <f>'12. Разходи'!AB20-'12. Разходи'!$AA20</f>
        <v>0</v>
      </c>
      <c r="AL20" s="1205">
        <f>IFERROR(('12. Разходи'!AB20-'12. Разходи'!$AA20)/'12. Разходи'!$AA20,0)</f>
        <v>0</v>
      </c>
      <c r="AM20" s="1204">
        <f>'12. Разходи'!AC20-'12. Разходи'!$AA20</f>
        <v>0</v>
      </c>
      <c r="AN20" s="1211">
        <f>IFERROR(('12. Разходи'!AC20-'12. Разходи'!$AA20)/'12. Разходи'!$AA20,0)</f>
        <v>0</v>
      </c>
      <c r="AO20" s="1204">
        <f>'12. Разходи'!AD20-'12. Разходи'!$AA20</f>
        <v>0</v>
      </c>
      <c r="AP20" s="1211">
        <f>IFERROR(('12. Разходи'!AD20-'12. Разходи'!$AA20)/'12. Разходи'!$AA20,0)</f>
        <v>0</v>
      </c>
      <c r="AQ20" s="1204">
        <f>'12. Разходи'!AE20-'12. Разходи'!$AA20</f>
        <v>0</v>
      </c>
      <c r="AR20" s="1212">
        <f>IFERROR(('12. Разходи'!AE20-'12. Разходи'!$AA20)/'12. Разходи'!$AA20,0)</f>
        <v>0</v>
      </c>
      <c r="AS20" s="1206">
        <f>'12. Разходи'!AF20-'12. Разходи'!$AA20</f>
        <v>0</v>
      </c>
      <c r="AT20" s="1213">
        <f>IFERROR(('12. Разходи'!AF20-'12. Разходи'!$AA20)/'12. Разходи'!$AA20,0)</f>
        <v>0</v>
      </c>
      <c r="AU20" s="1208">
        <f>'12. Разходи'!AI20</f>
        <v>33.984746130684158</v>
      </c>
      <c r="AV20" s="1210">
        <f>'12. Разходи'!AJ20-'12. Разходи'!$AI20</f>
        <v>3.3984746130684158</v>
      </c>
      <c r="AW20" s="1205">
        <f>IFERROR(('12. Разходи'!AJ20-'12. Разходи'!$AI20)/'12. Разходи'!$AI20,0)</f>
        <v>0.1</v>
      </c>
      <c r="AX20" s="1204">
        <f>'12. Разходи'!AK20-'12. Разходи'!$AI20</f>
        <v>3.3984746130684158</v>
      </c>
      <c r="AY20" s="1211">
        <f>IFERROR(('12. Разходи'!AK20-'12. Разходи'!$AI20)/'12. Разходи'!$AI20,0)</f>
        <v>0.1</v>
      </c>
      <c r="AZ20" s="1204">
        <f>'12. Разходи'!AL20-'12. Разходи'!$AI20</f>
        <v>3.3984746130684158</v>
      </c>
      <c r="BA20" s="1211">
        <f>IFERROR(('12. Разходи'!AL20-'12. Разходи'!$AI20)/'12. Разходи'!$AI20,0)</f>
        <v>0.1</v>
      </c>
      <c r="BB20" s="1204">
        <f>'12. Разходи'!AM20-'12. Разходи'!$AI20</f>
        <v>3.3984746130684158</v>
      </c>
      <c r="BC20" s="1212">
        <f>IFERROR(('12. Разходи'!AM20-'12. Разходи'!$AI20)/'12. Разходи'!$AI20,0)</f>
        <v>0.1</v>
      </c>
      <c r="BD20" s="1206">
        <f>'12. Разходи'!AN20-'12. Разходи'!$AI20</f>
        <v>3.3984746130684158</v>
      </c>
      <c r="BE20" s="1213">
        <f>IFERROR(('12. Разходи'!AN20-'12. Разходи'!$AI20)/'12. Разходи'!$AI20,0)</f>
        <v>0.1</v>
      </c>
      <c r="BF20" s="4488"/>
      <c r="BG20" s="4504">
        <f t="shared" si="1"/>
        <v>45.871332498159084</v>
      </c>
      <c r="BH20" s="4504">
        <f t="shared" si="2"/>
        <v>4.5871332498159045</v>
      </c>
      <c r="BI20" s="4504">
        <f t="shared" si="3"/>
        <v>4.5871332498159045</v>
      </c>
      <c r="BJ20" s="4504">
        <f t="shared" si="4"/>
        <v>4.5871332498159045</v>
      </c>
      <c r="BK20" s="4504">
        <f t="shared" si="5"/>
        <v>4.5871332498159045</v>
      </c>
      <c r="BL20" s="4504">
        <f t="shared" si="6"/>
        <v>4.5871332498159045</v>
      </c>
      <c r="BM20" s="4504">
        <f t="shared" si="7"/>
        <v>5.2544962054748545</v>
      </c>
      <c r="BN20" s="4504">
        <f t="shared" si="8"/>
        <v>0.52544962054748456</v>
      </c>
      <c r="BO20" s="4504">
        <f t="shared" si="9"/>
        <v>0.52544962054748456</v>
      </c>
      <c r="BP20" s="4504">
        <f t="shared" si="10"/>
        <v>0.52544962054748456</v>
      </c>
      <c r="BQ20" s="4504">
        <f t="shared" si="11"/>
        <v>0.52544962054748456</v>
      </c>
      <c r="BR20" s="4504">
        <f t="shared" si="12"/>
        <v>0.52544962054748456</v>
      </c>
      <c r="BS20" s="4504">
        <f t="shared" si="13"/>
        <v>5.9560421597888897</v>
      </c>
      <c r="BT20" s="4504">
        <f t="shared" si="14"/>
        <v>0.82568556251718661</v>
      </c>
      <c r="BU20" s="4504">
        <f t="shared" si="15"/>
        <v>0.82568556251718661</v>
      </c>
      <c r="BV20" s="4504">
        <f t="shared" si="16"/>
        <v>0.82568556251718661</v>
      </c>
      <c r="BW20" s="4504">
        <f t="shared" si="17"/>
        <v>0.82568556251718661</v>
      </c>
      <c r="BX20" s="4504">
        <f t="shared" si="18"/>
        <v>0.82568556251718661</v>
      </c>
      <c r="BY20" s="4504">
        <f t="shared" si="19"/>
        <v>0</v>
      </c>
      <c r="BZ20" s="4504">
        <f t="shared" si="20"/>
        <v>0</v>
      </c>
      <c r="CA20" s="4504">
        <f t="shared" si="21"/>
        <v>0</v>
      </c>
      <c r="CB20" s="4504">
        <f t="shared" si="22"/>
        <v>0</v>
      </c>
      <c r="CC20" s="4504">
        <f t="shared" si="23"/>
        <v>0</v>
      </c>
      <c r="CD20" s="4504">
        <f t="shared" si="24"/>
        <v>0</v>
      </c>
      <c r="CE20" s="4504">
        <f t="shared" si="25"/>
        <v>17.376124781133409</v>
      </c>
      <c r="CF20" s="4504">
        <f t="shared" si="26"/>
        <v>1.7376124781133411</v>
      </c>
      <c r="CG20" s="4504">
        <f t="shared" si="27"/>
        <v>1.7376124781133411</v>
      </c>
      <c r="CH20" s="4504">
        <f t="shared" si="28"/>
        <v>1.7376124781133411</v>
      </c>
      <c r="CI20" s="4504">
        <f t="shared" si="29"/>
        <v>1.7376124781133411</v>
      </c>
      <c r="CJ20" s="4504">
        <f t="shared" si="30"/>
        <v>1.7376124781133411</v>
      </c>
    </row>
    <row r="21" spans="1:88" s="1198" customFormat="1" ht="15.9" customHeight="1">
      <c r="A21" s="1201" t="s">
        <v>1220</v>
      </c>
      <c r="B21" s="3140" t="s">
        <v>1338</v>
      </c>
      <c r="C21" s="3141">
        <f>'12. Разходи'!C21</f>
        <v>154.61510345450446</v>
      </c>
      <c r="D21" s="1204">
        <f>'12. Разходи'!D21-'12. Разходи'!$C21</f>
        <v>2.6598203604862931</v>
      </c>
      <c r="E21" s="1205">
        <f>IFERROR(('12. Разходи'!D21-'12. Разходи'!$C21)/'12. Разходи'!$C21,0)</f>
        <v>1.7202849534482548E-2</v>
      </c>
      <c r="F21" s="1206">
        <f>'12. Разходи'!E21-'12. Разходи'!$C21</f>
        <v>-0.34029662773812674</v>
      </c>
      <c r="G21" s="1205">
        <f>IFERROR(('12. Разходи'!E21-'12. Разходи'!$C21)/'12. Разходи'!$C21,0)</f>
        <v>-2.2009274652670598E-3</v>
      </c>
      <c r="H21" s="1206">
        <f>'12. Разходи'!F21-'12. Разходи'!$C21</f>
        <v>-1.8100337443540013</v>
      </c>
      <c r="I21" s="1205">
        <f>IFERROR(('12. Разходи'!F21-'12. Разходи'!$C21)/'12. Разходи'!$C21,0)</f>
        <v>-1.1706707196859357E-2</v>
      </c>
      <c r="J21" s="1206">
        <f>'12. Разходи'!G21-'12. Разходи'!$C21</f>
        <v>-3.0264485984710063</v>
      </c>
      <c r="K21" s="1205">
        <f>IFERROR(('12. Разходи'!G21-'12. Разходи'!$C21)/'12. Разходи'!$C21,0)</f>
        <v>-1.957408125630844E-2</v>
      </c>
      <c r="L21" s="1206">
        <f>'12. Разходи'!H21-'12. Разходи'!$C21</f>
        <v>-5.1743605952506471</v>
      </c>
      <c r="M21" s="1207">
        <f>IFERROR(('12. Разходи'!H21-'12. Разходи'!$C21)/'12. Разходи'!$C21,0)</f>
        <v>-3.3466074656627605E-2</v>
      </c>
      <c r="N21" s="1208">
        <f>'12. Разходи'!K21</f>
        <v>6.7873400000000013</v>
      </c>
      <c r="O21" s="1204">
        <f>'12. Разходи'!L21-'12. Разходи'!$K21</f>
        <v>0.71714216176470469</v>
      </c>
      <c r="P21" s="1205">
        <f>IFERROR(('12. Разходи'!L21-'12. Разходи'!$K21)/'12. Разходи'!$K21,0)</f>
        <v>0.10565879442678643</v>
      </c>
      <c r="Q21" s="1206">
        <f>'12. Разходи'!M21-'12. Разходи'!$K21</f>
        <v>0.55955816176470297</v>
      </c>
      <c r="R21" s="1205">
        <f>IFERROR(('12. Разходи'!M21-'12. Разходи'!$K21)/'12. Разходи'!$K21,0)</f>
        <v>8.2441451550195347E-2</v>
      </c>
      <c r="S21" s="1206">
        <f>'12. Разходи'!N21-'12. Разходи'!$K21</f>
        <v>0.39892788235293875</v>
      </c>
      <c r="T21" s="1205">
        <f>IFERROR(('12. Разходи'!N21-'12. Разходи'!$K21)/'12. Разходи'!$K21,0)</f>
        <v>5.8775290813918073E-2</v>
      </c>
      <c r="U21" s="1206">
        <f>'12. Разходи'!O21-'12. Разходи'!$K21</f>
        <v>0.51636121568627225</v>
      </c>
      <c r="V21" s="1205">
        <f>IFERROR(('12. Разходи'!O21-'12. Разходи'!$K21)/'12. Разходи'!$K21,0)</f>
        <v>7.6077110574433005E-2</v>
      </c>
      <c r="W21" s="1206">
        <f>'12. Разходи'!P21-'12. Разходи'!$K21</f>
        <v>0.21746760294117617</v>
      </c>
      <c r="X21" s="1209">
        <f>IFERROR(('12. Разходи'!P21-'12. Разходи'!$K21)/'12. Разходи'!$K21,0)</f>
        <v>3.2040181122674885E-2</v>
      </c>
      <c r="Y21" s="1208">
        <f>'12. Разходи'!S21</f>
        <v>1.62001</v>
      </c>
      <c r="Z21" s="1204">
        <f>'12. Разходи'!T21-'12. Разходи'!$S21</f>
        <v>0.42354271568627433</v>
      </c>
      <c r="AA21" s="1205">
        <f>IFERROR(('12. Разходи'!T21-'12. Разходи'!$S21)/'12. Разходи'!$S21,0)</f>
        <v>0.26144450693901539</v>
      </c>
      <c r="AB21" s="1206">
        <f>'12. Разходи'!U21-'12. Разходи'!$S21</f>
        <v>0.7136061372549023</v>
      </c>
      <c r="AC21" s="1205">
        <f>IFERROR(('12. Разходи'!U21-'12. Разходи'!$S21)/'12. Разходи'!$S21,0)</f>
        <v>0.44049489648514656</v>
      </c>
      <c r="AD21" s="1206">
        <f>'12. Разходи'!V21-'12. Разходи'!$S21</f>
        <v>0.69459166666666694</v>
      </c>
      <c r="AE21" s="1205">
        <f>IFERROR(('12. Разходи'!V21-'12. Разходи'!$S21)/'12. Разходи'!$S21,0)</f>
        <v>0.42875764141373629</v>
      </c>
      <c r="AF21" s="1206">
        <f>'12. Разходи'!W21-'12. Разходи'!$S21</f>
        <v>0.40452824509803897</v>
      </c>
      <c r="AG21" s="1205">
        <f>IFERROR(('12. Разходи'!W21-'12. Разходи'!$S21)/'12. Разходи'!$S21,0)</f>
        <v>0.24970725186760512</v>
      </c>
      <c r="AH21" s="1206">
        <f>'12. Разходи'!X21-'12. Разходи'!$S21</f>
        <v>0.94345706862745149</v>
      </c>
      <c r="AI21" s="1209">
        <f>IFERROR(('12. Разходи'!X21-'12. Разходи'!$S21)/'12. Разходи'!$S21,0)</f>
        <v>0.5823773116384785</v>
      </c>
      <c r="AJ21" s="1208">
        <f>'12. Разходи'!AA21</f>
        <v>0</v>
      </c>
      <c r="AK21" s="1210">
        <f>'12. Разходи'!AB21-'12. Разходи'!$AA21</f>
        <v>0</v>
      </c>
      <c r="AL21" s="1205">
        <f>IFERROR(('12. Разходи'!AB21-'12. Разходи'!$AA21)/'12. Разходи'!$AA21,0)</f>
        <v>0</v>
      </c>
      <c r="AM21" s="1206">
        <f>'12. Разходи'!AC21-'12. Разходи'!$AA21</f>
        <v>0</v>
      </c>
      <c r="AN21" s="1205">
        <f>IFERROR(('12. Разходи'!AC21-'12. Разходи'!$AA21)/'12. Разходи'!$AA21,0)</f>
        <v>0</v>
      </c>
      <c r="AO21" s="1206">
        <f>'12. Разходи'!AD21-'12. Разходи'!$AA21</f>
        <v>0</v>
      </c>
      <c r="AP21" s="1205">
        <f>IFERROR(('12. Разходи'!AD21-'12. Разходи'!$AA21)/'12. Разходи'!$AA21,0)</f>
        <v>0</v>
      </c>
      <c r="AQ21" s="1206">
        <f>'12. Разходи'!AE21-'12. Разходи'!$AA21</f>
        <v>0</v>
      </c>
      <c r="AR21" s="1212">
        <f>IFERROR(('12. Разходи'!AE21-'12. Разходи'!$AA21)/'12. Разходи'!$AA21,0)</f>
        <v>0</v>
      </c>
      <c r="AS21" s="1206">
        <f>'12. Разходи'!AF21-'12. Разходи'!$AA21</f>
        <v>0</v>
      </c>
      <c r="AT21" s="1213">
        <f>IFERROR(('12. Разходи'!AF21-'12. Разходи'!$AA21)/'12. Разходи'!$AA21,0)</f>
        <v>0</v>
      </c>
      <c r="AU21" s="1208">
        <f>'12. Разходи'!AI21</f>
        <v>10.22120654549556</v>
      </c>
      <c r="AV21" s="1210">
        <f>'12. Разходи'!AJ21-'12. Разходи'!$AI21</f>
        <v>6.0068460396458949</v>
      </c>
      <c r="AW21" s="1205">
        <f>IFERROR(('12. Разходи'!AJ21-'12. Разходи'!$AI21)/'12. Разходи'!$AI21,0)</f>
        <v>0.58768463516600056</v>
      </c>
      <c r="AX21" s="1206">
        <f>'12. Разходи'!AK21-'12. Разходи'!$AI21</f>
        <v>6.5312747435236833</v>
      </c>
      <c r="AY21" s="1205">
        <f>IFERROR(('12. Разходи'!AK21-'12. Разходи'!$AI21)/'12. Разходи'!$AI21,0)</f>
        <v>0.63899254109114811</v>
      </c>
      <c r="AZ21" s="1206">
        <f>'12. Разходи'!AL21-'12. Разходи'!$AI21</f>
        <v>7.1486277411664805</v>
      </c>
      <c r="BA21" s="1205">
        <f>IFERROR(('12. Разходи'!AL21-'12. Разходи'!$AI21)/'12. Разходи'!$AI21,0)</f>
        <v>0.69939177036950184</v>
      </c>
      <c r="BB21" s="1206">
        <f>'12. Разходи'!AM21-'12. Разходи'!$AI21</f>
        <v>7.6796370872953919</v>
      </c>
      <c r="BC21" s="1212">
        <f>IFERROR(('12. Разходи'!AM21-'12. Разходи'!$AI21)/'12. Разходи'!$AI21,0)</f>
        <v>0.75134349874573014</v>
      </c>
      <c r="BD21" s="1206">
        <f>'12. Разходи'!AN21-'12. Разходи'!$AI21</f>
        <v>8.3086176837911427</v>
      </c>
      <c r="BE21" s="1213">
        <f>IFERROR(('12. Разходи'!AN21-'12. Разходи'!$AI21)/'12. Разходи'!$AI21,0)</f>
        <v>0.81288032355169593</v>
      </c>
      <c r="BF21" s="4488"/>
      <c r="BG21" s="4504">
        <f t="shared" si="1"/>
        <v>79.053447106601524</v>
      </c>
      <c r="BH21" s="4504">
        <f t="shared" si="2"/>
        <v>1.3599445557570409</v>
      </c>
      <c r="BI21" s="4504">
        <f t="shared" si="3"/>
        <v>-0.1739909029609561</v>
      </c>
      <c r="BJ21" s="4504">
        <f t="shared" si="4"/>
        <v>-0.92545555817939262</v>
      </c>
      <c r="BK21" s="4504">
        <f t="shared" si="5"/>
        <v>-1.5473985972558997</v>
      </c>
      <c r="BL21" s="4504">
        <f t="shared" si="6"/>
        <v>-2.6456085627332881</v>
      </c>
      <c r="BM21" s="4504">
        <f t="shared" si="7"/>
        <v>3.4703118369183423</v>
      </c>
      <c r="BN21" s="4504">
        <f t="shared" si="8"/>
        <v>0.36666896497379869</v>
      </c>
      <c r="BO21" s="4504">
        <f t="shared" si="9"/>
        <v>0.2860975451673729</v>
      </c>
      <c r="BP21" s="4504">
        <f t="shared" si="10"/>
        <v>0.2039685874298578</v>
      </c>
      <c r="BQ21" s="4504">
        <f t="shared" si="11"/>
        <v>0.26401129734500045</v>
      </c>
      <c r="BR21" s="4504">
        <f t="shared" si="12"/>
        <v>0.11118941980702626</v>
      </c>
      <c r="BS21" s="4504">
        <f t="shared" si="13"/>
        <v>0.82829796045668591</v>
      </c>
      <c r="BT21" s="4504">
        <f t="shared" si="14"/>
        <v>0.21655395187019033</v>
      </c>
      <c r="BU21" s="4504">
        <f t="shared" si="15"/>
        <v>0.36486102435022588</v>
      </c>
      <c r="BV21" s="4504">
        <f t="shared" si="16"/>
        <v>0.35513907991321686</v>
      </c>
      <c r="BW21" s="4504">
        <f t="shared" si="17"/>
        <v>0.20683200743318131</v>
      </c>
      <c r="BX21" s="4504">
        <f t="shared" si="18"/>
        <v>0.48238193944639951</v>
      </c>
      <c r="BY21" s="4504">
        <f t="shared" si="19"/>
        <v>0</v>
      </c>
      <c r="BZ21" s="4504">
        <f t="shared" si="20"/>
        <v>0</v>
      </c>
      <c r="CA21" s="4504">
        <f t="shared" si="21"/>
        <v>0</v>
      </c>
      <c r="CB21" s="4504">
        <f t="shared" si="22"/>
        <v>0</v>
      </c>
      <c r="CC21" s="4504">
        <f t="shared" si="23"/>
        <v>0</v>
      </c>
      <c r="CD21" s="4504">
        <f t="shared" si="24"/>
        <v>0</v>
      </c>
      <c r="CE21" s="4504">
        <f t="shared" si="25"/>
        <v>5.2260199227415267</v>
      </c>
      <c r="CF21" s="4504">
        <f t="shared" si="26"/>
        <v>3.0712516116666047</v>
      </c>
      <c r="CG21" s="4504">
        <f t="shared" si="27"/>
        <v>3.3393877502255735</v>
      </c>
      <c r="CH21" s="4504">
        <f t="shared" si="28"/>
        <v>3.6550353257524839</v>
      </c>
      <c r="CI21" s="4504">
        <f t="shared" si="29"/>
        <v>3.9265360932675089</v>
      </c>
      <c r="CJ21" s="4504">
        <f t="shared" si="30"/>
        <v>4.2481287656857409</v>
      </c>
    </row>
    <row r="22" spans="1:88" ht="15.9" customHeight="1">
      <c r="A22" s="838" t="s">
        <v>145</v>
      </c>
      <c r="B22" s="896" t="s">
        <v>236</v>
      </c>
      <c r="C22" s="1112">
        <f>'12. Разходи'!C22</f>
        <v>73.592928818965262</v>
      </c>
      <c r="D22" s="907">
        <f>'12. Разходи'!D22-'12. Разходи'!$C22</f>
        <v>5.5194696614223915</v>
      </c>
      <c r="E22" s="1121">
        <f>IFERROR(('12. Разходи'!D22-'12. Разходи'!$C22)/'12. Разходи'!$C22,0)</f>
        <v>7.4999999999999956E-2</v>
      </c>
      <c r="F22" s="1136">
        <f>'12. Разходи'!E22-'12. Разходи'!$C22</f>
        <v>5.5194696614223915</v>
      </c>
      <c r="G22" s="1121">
        <f>IFERROR(('12. Разходи'!E22-'12. Разходи'!$C22)/'12. Разходи'!$C22,0)</f>
        <v>7.4999999999999956E-2</v>
      </c>
      <c r="H22" s="1136">
        <f>'12. Разходи'!F22-'12. Разходи'!$C22</f>
        <v>5.5194696614223915</v>
      </c>
      <c r="I22" s="1121">
        <f>IFERROR(('12. Разходи'!F22-'12. Разходи'!$C22)/'12. Разходи'!$C22,0)</f>
        <v>7.4999999999999956E-2</v>
      </c>
      <c r="J22" s="1136">
        <f>'12. Разходи'!G22-'12. Разходи'!$C22</f>
        <v>5.5194696614223915</v>
      </c>
      <c r="K22" s="1121">
        <f>IFERROR(('12. Разходи'!G22-'12. Разходи'!$C22)/'12. Разходи'!$C22,0)</f>
        <v>7.4999999999999956E-2</v>
      </c>
      <c r="L22" s="1136">
        <f>'12. Разходи'!H22-'12. Разходи'!$C22</f>
        <v>5.5194696614223915</v>
      </c>
      <c r="M22" s="1122">
        <f>IFERROR(('12. Разходи'!H22-'12. Разходи'!$C22)/'12. Разходи'!$C22,0)</f>
        <v>7.4999999999999956E-2</v>
      </c>
      <c r="N22" s="1177">
        <f>'12. Разходи'!K22</f>
        <v>1.6675244878671369</v>
      </c>
      <c r="O22" s="907">
        <f>'12. Разходи'!L22-'12. Разходи'!$K22</f>
        <v>0.12506433659003546</v>
      </c>
      <c r="P22" s="1121">
        <f>IFERROR(('12. Разходи'!L22-'12. Разходи'!$K22)/'12. Разходи'!$K22,0)</f>
        <v>7.5000000000000122E-2</v>
      </c>
      <c r="Q22" s="1136">
        <f>'12. Разходи'!M22-'12. Разходи'!$K22</f>
        <v>0.12506433659003546</v>
      </c>
      <c r="R22" s="1121">
        <f>IFERROR(('12. Разходи'!M22-'12. Разходи'!$K22)/'12. Разходи'!$K22,0)</f>
        <v>7.5000000000000122E-2</v>
      </c>
      <c r="S22" s="1136">
        <f>'12. Разходи'!N22-'12. Разходи'!$K22</f>
        <v>0.12506433659003546</v>
      </c>
      <c r="T22" s="1121">
        <f>IFERROR(('12. Разходи'!N22-'12. Разходи'!$K22)/'12. Разходи'!$K22,0)</f>
        <v>7.5000000000000122E-2</v>
      </c>
      <c r="U22" s="1136">
        <f>'12. Разходи'!O22-'12. Разходи'!$K22</f>
        <v>0.12506433659003546</v>
      </c>
      <c r="V22" s="1121">
        <f>IFERROR(('12. Разходи'!O22-'12. Разходи'!$K22)/'12. Разходи'!$K22,0)</f>
        <v>7.5000000000000122E-2</v>
      </c>
      <c r="W22" s="1136">
        <f>'12. Разходи'!P22-'12. Разходи'!$K22</f>
        <v>0.12506433659003546</v>
      </c>
      <c r="X22" s="826">
        <f>IFERROR(('12. Разходи'!P22-'12. Разходи'!$K22)/'12. Разходи'!$K22,0)</f>
        <v>7.5000000000000122E-2</v>
      </c>
      <c r="Y22" s="1177">
        <f>'12. Разходи'!S22</f>
        <v>13.03147941162379</v>
      </c>
      <c r="Z22" s="907">
        <f>'12. Разходи'!T22-'12. Разходи'!$S22</f>
        <v>1.7273609558717862</v>
      </c>
      <c r="AA22" s="1121">
        <f>IFERROR(('12. Разходи'!T22-'12. Разходи'!$S22)/'12. Разходи'!$S22,0)</f>
        <v>0.13255294363056114</v>
      </c>
      <c r="AB22" s="1136">
        <f>'12. Разходи'!U22-'12. Разходи'!$S22</f>
        <v>1.7273609558717862</v>
      </c>
      <c r="AC22" s="1121">
        <f>IFERROR(('12. Разходи'!U22-'12. Разходи'!$S22)/'12. Разходи'!$S22,0)</f>
        <v>0.13255294363056114</v>
      </c>
      <c r="AD22" s="1136">
        <f>'12. Разходи'!V22-'12. Разходи'!$S22</f>
        <v>1.7273609558717862</v>
      </c>
      <c r="AE22" s="1121">
        <f>IFERROR(('12. Разходи'!V22-'12. Разходи'!$S22)/'12. Разходи'!$S22,0)</f>
        <v>0.13255294363056114</v>
      </c>
      <c r="AF22" s="1136">
        <f>'12. Разходи'!W22-'12. Разходи'!$S22</f>
        <v>1.7273609558717862</v>
      </c>
      <c r="AG22" s="1121">
        <f>IFERROR(('12. Разходи'!W22-'12. Разходи'!$S22)/'12. Разходи'!$S22,0)</f>
        <v>0.13255294363056114</v>
      </c>
      <c r="AH22" s="1136">
        <f>'12. Разходи'!X22-'12. Разходи'!$S22</f>
        <v>1.7273609558717862</v>
      </c>
      <c r="AI22" s="826">
        <f>IFERROR(('12. Разходи'!X22-'12. Разходи'!$S22)/'12. Разходи'!$S22,0)</f>
        <v>0.13255294363056114</v>
      </c>
      <c r="AJ22" s="1177">
        <f>'12. Разходи'!AA22</f>
        <v>0</v>
      </c>
      <c r="AK22" s="1141">
        <f>'12. Разходи'!AB22-'12. Разходи'!$AA22</f>
        <v>0</v>
      </c>
      <c r="AL22" s="1121">
        <f>IFERROR(('12. Разходи'!AB22-'12. Разходи'!$AA22)/'12. Разходи'!$AA22,0)</f>
        <v>0</v>
      </c>
      <c r="AM22" s="907">
        <f>'12. Разходи'!AC22-'12. Разходи'!$AA22</f>
        <v>0</v>
      </c>
      <c r="AN22" s="1129">
        <f>IFERROR(('12. Разходи'!AC22-'12. Разходи'!$AA22)/'12. Разходи'!$AA22,0)</f>
        <v>0</v>
      </c>
      <c r="AO22" s="907">
        <f>'12. Разходи'!AD22-'12. Разходи'!$AA22</f>
        <v>0</v>
      </c>
      <c r="AP22" s="1129">
        <f>IFERROR(('12. Разходи'!AD22-'12. Разходи'!$AA22)/'12. Разходи'!$AA22,0)</f>
        <v>0</v>
      </c>
      <c r="AQ22" s="907">
        <f>'12. Разходи'!AE22-'12. Разходи'!$AA22</f>
        <v>0</v>
      </c>
      <c r="AR22" s="1128">
        <f>IFERROR(('12. Разходи'!AE22-'12. Разходи'!$AA22)/'12. Разходи'!$AA22,0)</f>
        <v>0</v>
      </c>
      <c r="AS22" s="1136">
        <f>'12. Разходи'!AF22-'12. Разходи'!$AA22</f>
        <v>0</v>
      </c>
      <c r="AT22" s="1183">
        <f>IFERROR(('12. Разходи'!AF22-'12. Разходи'!$AA22)/'12. Разходи'!$AA22,0)</f>
        <v>0</v>
      </c>
      <c r="AU22" s="1177">
        <f>'12. Разходи'!AI22</f>
        <v>13.077370085644342</v>
      </c>
      <c r="AV22" s="1141">
        <f>'12. Разходи'!AJ22-'12. Разходи'!$AI22</f>
        <v>1.2808027564233271</v>
      </c>
      <c r="AW22" s="1121">
        <f>IFERROR(('12. Разходи'!AJ22-'12. Разходи'!$AI22)/'12. Разходи'!$AI22,0)</f>
        <v>9.7940392298702772E-2</v>
      </c>
      <c r="AX22" s="907">
        <f>'12. Разходи'!AK22-'12. Разходи'!$AI22</f>
        <v>0.98080275642332637</v>
      </c>
      <c r="AY22" s="1129">
        <f>IFERROR(('12. Разходи'!AK22-'12. Разходи'!$AI22)/'12. Разходи'!$AI22,0)</f>
        <v>7.5000000000000053E-2</v>
      </c>
      <c r="AZ22" s="907">
        <f>'12. Разходи'!AL22-'12. Разходи'!$AI22</f>
        <v>0.98080275642332637</v>
      </c>
      <c r="BA22" s="1129">
        <f>IFERROR(('12. Разходи'!AL22-'12. Разходи'!$AI22)/'12. Разходи'!$AI22,0)</f>
        <v>7.5000000000000053E-2</v>
      </c>
      <c r="BB22" s="907">
        <f>'12. Разходи'!AM22-'12. Разходи'!$AI22</f>
        <v>0.98080275642332637</v>
      </c>
      <c r="BC22" s="1128">
        <f>IFERROR(('12. Разходи'!AM22-'12. Разходи'!$AI22)/'12. Разходи'!$AI22,0)</f>
        <v>7.5000000000000053E-2</v>
      </c>
      <c r="BD22" s="1136">
        <f>'12. Разходи'!AN22-'12. Разходи'!$AI22</f>
        <v>0.98080275642332637</v>
      </c>
      <c r="BE22" s="1183">
        <f>IFERROR(('12. Разходи'!AN22-'12. Разходи'!$AI22)/'12. Разходи'!$AI22,0)</f>
        <v>7.5000000000000053E-2</v>
      </c>
      <c r="BF22" s="4488"/>
      <c r="BG22" s="4504">
        <f t="shared" si="1"/>
        <v>37.627467018588149</v>
      </c>
      <c r="BH22" s="4504">
        <f t="shared" si="2"/>
        <v>2.8220600263941096</v>
      </c>
      <c r="BI22" s="4504">
        <f t="shared" si="3"/>
        <v>2.8220600263941096</v>
      </c>
      <c r="BJ22" s="4504">
        <f t="shared" si="4"/>
        <v>2.8220600263941096</v>
      </c>
      <c r="BK22" s="4504">
        <f t="shared" si="5"/>
        <v>2.8220600263941096</v>
      </c>
      <c r="BL22" s="4504">
        <f t="shared" si="6"/>
        <v>2.8220600263941096</v>
      </c>
      <c r="BM22" s="4504">
        <f t="shared" si="7"/>
        <v>0.85259173234234931</v>
      </c>
      <c r="BN22" s="4504">
        <f t="shared" si="8"/>
        <v>6.3944379925676295E-2</v>
      </c>
      <c r="BO22" s="4504">
        <f t="shared" si="9"/>
        <v>6.3944379925676295E-2</v>
      </c>
      <c r="BP22" s="4504">
        <f t="shared" si="10"/>
        <v>6.3944379925676295E-2</v>
      </c>
      <c r="BQ22" s="4504">
        <f t="shared" si="11"/>
        <v>6.3944379925676295E-2</v>
      </c>
      <c r="BR22" s="4504">
        <f t="shared" si="12"/>
        <v>6.3944379925676295E-2</v>
      </c>
      <c r="BS22" s="4504">
        <f t="shared" si="13"/>
        <v>6.6628896231389181</v>
      </c>
      <c r="BT22" s="4504">
        <f t="shared" si="14"/>
        <v>0.88318563263258376</v>
      </c>
      <c r="BU22" s="4504">
        <f t="shared" si="15"/>
        <v>0.88318563263258376</v>
      </c>
      <c r="BV22" s="4504">
        <f t="shared" si="16"/>
        <v>0.88318563263258376</v>
      </c>
      <c r="BW22" s="4504">
        <f t="shared" si="17"/>
        <v>0.88318563263258376</v>
      </c>
      <c r="BX22" s="4504">
        <f t="shared" si="18"/>
        <v>0.88318563263258376</v>
      </c>
      <c r="BY22" s="4504">
        <f t="shared" si="19"/>
        <v>0</v>
      </c>
      <c r="BZ22" s="4504">
        <f t="shared" si="20"/>
        <v>0</v>
      </c>
      <c r="CA22" s="4504">
        <f t="shared" si="21"/>
        <v>0</v>
      </c>
      <c r="CB22" s="4504">
        <f t="shared" si="22"/>
        <v>0</v>
      </c>
      <c r="CC22" s="4504">
        <f t="shared" si="23"/>
        <v>0</v>
      </c>
      <c r="CD22" s="4504">
        <f t="shared" si="24"/>
        <v>0</v>
      </c>
      <c r="CE22" s="4504">
        <f t="shared" si="25"/>
        <v>6.6863531521882482</v>
      </c>
      <c r="CF22" s="4504">
        <f t="shared" si="26"/>
        <v>0.65486405077298493</v>
      </c>
      <c r="CG22" s="4504">
        <f t="shared" si="27"/>
        <v>0.50147648641411902</v>
      </c>
      <c r="CH22" s="4504">
        <f t="shared" si="28"/>
        <v>0.50147648641411902</v>
      </c>
      <c r="CI22" s="4504">
        <f t="shared" si="29"/>
        <v>0.50147648641411902</v>
      </c>
      <c r="CJ22" s="4504">
        <f t="shared" si="30"/>
        <v>0.50147648641411902</v>
      </c>
    </row>
    <row r="23" spans="1:88" ht="15.9" customHeight="1">
      <c r="A23" s="838" t="s">
        <v>147</v>
      </c>
      <c r="B23" s="896" t="s">
        <v>237</v>
      </c>
      <c r="C23" s="1112">
        <f>'12. Разходи'!C23</f>
        <v>10.138799553587996</v>
      </c>
      <c r="D23" s="907">
        <f>'12. Разходи'!D23-'12. Разходи'!$C23</f>
        <v>0.76040996651910042</v>
      </c>
      <c r="E23" s="1121">
        <f>IFERROR(('12. Разходи'!D23-'12. Разходи'!$C23)/'12. Разходи'!$C23,0)</f>
        <v>7.500000000000008E-2</v>
      </c>
      <c r="F23" s="1136">
        <f>'12. Разходи'!E23-'12. Разходи'!$C23</f>
        <v>0.76040996651910042</v>
      </c>
      <c r="G23" s="1121">
        <f>IFERROR(('12. Разходи'!E23-'12. Разходи'!$C23)/'12. Разходи'!$C23,0)</f>
        <v>7.500000000000008E-2</v>
      </c>
      <c r="H23" s="1136">
        <f>'12. Разходи'!F23-'12. Разходи'!$C23</f>
        <v>0.76040996651910042</v>
      </c>
      <c r="I23" s="1121">
        <f>IFERROR(('12. Разходи'!F23-'12. Разходи'!$C23)/'12. Разходи'!$C23,0)</f>
        <v>7.500000000000008E-2</v>
      </c>
      <c r="J23" s="1136">
        <f>'12. Разходи'!G23-'12. Разходи'!$C23</f>
        <v>0.76040996651910042</v>
      </c>
      <c r="K23" s="1121">
        <f>IFERROR(('12. Разходи'!G23-'12. Разходи'!$C23)/'12. Разходи'!$C23,0)</f>
        <v>7.500000000000008E-2</v>
      </c>
      <c r="L23" s="1136">
        <f>'12. Разходи'!H23-'12. Разходи'!$C23</f>
        <v>0.76040996651910042</v>
      </c>
      <c r="M23" s="1122">
        <f>IFERROR(('12. Разходи'!H23-'12. Разходи'!$C23)/'12. Разходи'!$C23,0)</f>
        <v>7.500000000000008E-2</v>
      </c>
      <c r="N23" s="1177">
        <f>'12. Разходи'!K23</f>
        <v>0.23652563608425636</v>
      </c>
      <c r="O23" s="907">
        <f>'12. Разходи'!L23-'12. Разходи'!$K23</f>
        <v>1.7739422706319286E-2</v>
      </c>
      <c r="P23" s="1121">
        <f>IFERROR(('12. Разходи'!L23-'12. Разходи'!$K23)/'12. Разходи'!$K23,0)</f>
        <v>7.5000000000000247E-2</v>
      </c>
      <c r="Q23" s="1136">
        <f>'12. Разходи'!M23-'12. Разходи'!$K23</f>
        <v>1.7739422706319286E-2</v>
      </c>
      <c r="R23" s="1121">
        <f>IFERROR(('12. Разходи'!M23-'12. Разходи'!$K23)/'12. Разходи'!$K23,0)</f>
        <v>7.5000000000000247E-2</v>
      </c>
      <c r="S23" s="1136">
        <f>'12. Разходи'!N23-'12. Разходи'!$K23</f>
        <v>1.7739422706319286E-2</v>
      </c>
      <c r="T23" s="1121">
        <f>IFERROR(('12. Разходи'!N23-'12. Разходи'!$K23)/'12. Разходи'!$K23,0)</f>
        <v>7.5000000000000247E-2</v>
      </c>
      <c r="U23" s="1136">
        <f>'12. Разходи'!O23-'12. Разходи'!$K23</f>
        <v>1.7739422706319286E-2</v>
      </c>
      <c r="V23" s="1121">
        <f>IFERROR(('12. Разходи'!O23-'12. Разходи'!$K23)/'12. Разходи'!$K23,0)</f>
        <v>7.5000000000000247E-2</v>
      </c>
      <c r="W23" s="1136">
        <f>'12. Разходи'!P23-'12. Разходи'!$K23</f>
        <v>1.7739422706319286E-2</v>
      </c>
      <c r="X23" s="826">
        <f>IFERROR(('12. Разходи'!P23-'12. Разходи'!$K23)/'12. Разходи'!$K23,0)</f>
        <v>7.5000000000000247E-2</v>
      </c>
      <c r="Y23" s="1177">
        <f>'12. Разходи'!S23</f>
        <v>1.768431061089397</v>
      </c>
      <c r="Z23" s="907">
        <f>'12. Разходи'!T23-'12. Разходи'!$S23</f>
        <v>0.28263232958170525</v>
      </c>
      <c r="AA23" s="1121">
        <f>IFERROR(('12. Разходи'!T23-'12. Разходи'!$S23)/'12. Разходи'!$S23,0)</f>
        <v>0.15982094852348772</v>
      </c>
      <c r="AB23" s="1136">
        <f>'12. Разходи'!U23-'12. Разходи'!$S23</f>
        <v>0.28263232958170525</v>
      </c>
      <c r="AC23" s="1121">
        <f>IFERROR(('12. Разходи'!U23-'12. Разходи'!$S23)/'12. Разходи'!$S23,0)</f>
        <v>0.15982094852348772</v>
      </c>
      <c r="AD23" s="1136">
        <f>'12. Разходи'!V23-'12. Разходи'!$S23</f>
        <v>0.28263232958170525</v>
      </c>
      <c r="AE23" s="1121">
        <f>IFERROR(('12. Разходи'!V23-'12. Разходи'!$S23)/'12. Разходи'!$S23,0)</f>
        <v>0.15982094852348772</v>
      </c>
      <c r="AF23" s="1136">
        <f>'12. Разходи'!W23-'12. Разходи'!$S23</f>
        <v>0.28263232958170525</v>
      </c>
      <c r="AG23" s="1121">
        <f>IFERROR(('12. Разходи'!W23-'12. Разходи'!$S23)/'12. Разходи'!$S23,0)</f>
        <v>0.15982094852348772</v>
      </c>
      <c r="AH23" s="1136">
        <f>'12. Разходи'!X23-'12. Разходи'!$S23</f>
        <v>0.28263232958170525</v>
      </c>
      <c r="AI23" s="826">
        <f>IFERROR(('12. Разходи'!X23-'12. Разходи'!$S23)/'12. Разходи'!$S23,0)</f>
        <v>0.15982094852348772</v>
      </c>
      <c r="AJ23" s="1177">
        <f>'12. Разходи'!AA23</f>
        <v>0</v>
      </c>
      <c r="AK23" s="1141">
        <f>'12. Разходи'!AB23-'12. Разходи'!$AA23</f>
        <v>0</v>
      </c>
      <c r="AL23" s="1121">
        <f>IFERROR(('12. Разходи'!AB23-'12. Разходи'!$AA23)/'12. Разходи'!$AA23,0)</f>
        <v>0</v>
      </c>
      <c r="AM23" s="907">
        <f>'12. Разходи'!AC23-'12. Разходи'!$AA23</f>
        <v>0</v>
      </c>
      <c r="AN23" s="1129">
        <f>IFERROR(('12. Разходи'!AC23-'12. Разходи'!$AA23)/'12. Разходи'!$AA23,0)</f>
        <v>0</v>
      </c>
      <c r="AO23" s="907">
        <f>'12. Разходи'!AD23-'12. Разходи'!$AA23</f>
        <v>0</v>
      </c>
      <c r="AP23" s="1129">
        <f>IFERROR(('12. Разходи'!AD23-'12. Разходи'!$AA23)/'12. Разходи'!$AA23,0)</f>
        <v>0</v>
      </c>
      <c r="AQ23" s="907">
        <f>'12. Разходи'!AE23-'12. Разходи'!$AA23</f>
        <v>0</v>
      </c>
      <c r="AR23" s="1128">
        <f>IFERROR(('12. Разходи'!AE23-'12. Разходи'!$AA23)/'12. Разходи'!$AA23,0)</f>
        <v>0</v>
      </c>
      <c r="AS23" s="1136">
        <f>'12. Разходи'!AF23-'12. Разходи'!$AA23</f>
        <v>0</v>
      </c>
      <c r="AT23" s="1183">
        <f>IFERROR(('12. Разходи'!AF23-'12. Разходи'!$AA23)/'12. Разходи'!$AA23,0)</f>
        <v>0</v>
      </c>
      <c r="AU23" s="1177">
        <f>'12. Разходи'!AI23</f>
        <v>1.3176088862129602</v>
      </c>
      <c r="AV23" s="1141">
        <f>'12. Разходи'!AJ23-'12. Разходи'!$AI23</f>
        <v>9.8820666465972096E-2</v>
      </c>
      <c r="AW23" s="1121">
        <f>IFERROR(('12. Разходи'!AJ23-'12. Разходи'!$AI23)/'12. Разходи'!$AI23,0)</f>
        <v>7.5000000000000053E-2</v>
      </c>
      <c r="AX23" s="907">
        <f>'12. Разходи'!AK23-'12. Разходи'!$AI23</f>
        <v>9.8820666465972096E-2</v>
      </c>
      <c r="AY23" s="1129">
        <f>IFERROR(('12. Разходи'!AK23-'12. Разходи'!$AI23)/'12. Разходи'!$AI23,0)</f>
        <v>7.5000000000000053E-2</v>
      </c>
      <c r="AZ23" s="907">
        <f>'12. Разходи'!AL23-'12. Разходи'!$AI23</f>
        <v>9.8820666465972096E-2</v>
      </c>
      <c r="BA23" s="1129">
        <f>IFERROR(('12. Разходи'!AL23-'12. Разходи'!$AI23)/'12. Разходи'!$AI23,0)</f>
        <v>7.5000000000000053E-2</v>
      </c>
      <c r="BB23" s="907">
        <f>'12. Разходи'!AM23-'12. Разходи'!$AI23</f>
        <v>9.8820666465972096E-2</v>
      </c>
      <c r="BC23" s="1128">
        <f>IFERROR(('12. Разходи'!AM23-'12. Разходи'!$AI23)/'12. Разходи'!$AI23,0)</f>
        <v>7.5000000000000053E-2</v>
      </c>
      <c r="BD23" s="1136">
        <f>'12. Разходи'!AN23-'12. Разходи'!$AI23</f>
        <v>9.8820666465972096E-2</v>
      </c>
      <c r="BE23" s="1183">
        <f>IFERROR(('12. Разходи'!AN23-'12. Разходи'!$AI23)/'12. Разходи'!$AI23,0)</f>
        <v>7.5000000000000053E-2</v>
      </c>
      <c r="BF23" s="4488"/>
      <c r="BG23" s="4504">
        <f t="shared" si="1"/>
        <v>5.1838858968253865</v>
      </c>
      <c r="BH23" s="4504">
        <f t="shared" si="2"/>
        <v>0.38879144226190437</v>
      </c>
      <c r="BI23" s="4504">
        <f t="shared" si="3"/>
        <v>0.38879144226190437</v>
      </c>
      <c r="BJ23" s="4504">
        <f t="shared" si="4"/>
        <v>0.38879144226190437</v>
      </c>
      <c r="BK23" s="4504">
        <f t="shared" si="5"/>
        <v>0.38879144226190437</v>
      </c>
      <c r="BL23" s="4504">
        <f t="shared" si="6"/>
        <v>0.38879144226190437</v>
      </c>
      <c r="BM23" s="4504">
        <f t="shared" si="7"/>
        <v>0.12093363742465162</v>
      </c>
      <c r="BN23" s="4504">
        <f t="shared" si="8"/>
        <v>9.0700228068489007E-3</v>
      </c>
      <c r="BO23" s="4504">
        <f t="shared" si="9"/>
        <v>9.0700228068489007E-3</v>
      </c>
      <c r="BP23" s="4504">
        <f t="shared" si="10"/>
        <v>9.0700228068489007E-3</v>
      </c>
      <c r="BQ23" s="4504">
        <f t="shared" si="11"/>
        <v>9.0700228068489007E-3</v>
      </c>
      <c r="BR23" s="4504">
        <f t="shared" si="12"/>
        <v>9.0700228068489007E-3</v>
      </c>
      <c r="BS23" s="4504">
        <f t="shared" si="13"/>
        <v>0.90418444399022257</v>
      </c>
      <c r="BT23" s="4504">
        <f t="shared" si="14"/>
        <v>0.14450761547869972</v>
      </c>
      <c r="BU23" s="4504">
        <f t="shared" si="15"/>
        <v>0.14450761547869972</v>
      </c>
      <c r="BV23" s="4504">
        <f t="shared" si="16"/>
        <v>0.14450761547869972</v>
      </c>
      <c r="BW23" s="4504">
        <f t="shared" si="17"/>
        <v>0.14450761547869972</v>
      </c>
      <c r="BX23" s="4504">
        <f t="shared" si="18"/>
        <v>0.14450761547869972</v>
      </c>
      <c r="BY23" s="4504">
        <f t="shared" si="19"/>
        <v>0</v>
      </c>
      <c r="BZ23" s="4504">
        <f t="shared" si="20"/>
        <v>0</v>
      </c>
      <c r="CA23" s="4504">
        <f t="shared" si="21"/>
        <v>0</v>
      </c>
      <c r="CB23" s="4504">
        <f t="shared" si="22"/>
        <v>0</v>
      </c>
      <c r="CC23" s="4504">
        <f t="shared" si="23"/>
        <v>0</v>
      </c>
      <c r="CD23" s="4504">
        <f t="shared" si="24"/>
        <v>0</v>
      </c>
      <c r="CE23" s="4504">
        <f t="shared" si="25"/>
        <v>0.67368272611267865</v>
      </c>
      <c r="CF23" s="4504">
        <f t="shared" si="26"/>
        <v>5.0526204458450935E-2</v>
      </c>
      <c r="CG23" s="4504">
        <f t="shared" si="27"/>
        <v>5.0526204458450935E-2</v>
      </c>
      <c r="CH23" s="4504">
        <f t="shared" si="28"/>
        <v>5.0526204458450935E-2</v>
      </c>
      <c r="CI23" s="4504">
        <f t="shared" si="29"/>
        <v>5.0526204458450935E-2</v>
      </c>
      <c r="CJ23" s="4504">
        <f t="shared" si="30"/>
        <v>5.0526204458450935E-2</v>
      </c>
    </row>
    <row r="24" spans="1:88" s="685" customFormat="1" ht="15.9" customHeight="1">
      <c r="A24" s="838" t="s">
        <v>149</v>
      </c>
      <c r="B24" s="896" t="s">
        <v>642</v>
      </c>
      <c r="C24" s="1112">
        <f>'12. Разходи'!C24</f>
        <v>426.39587756462765</v>
      </c>
      <c r="D24" s="1132">
        <f>'12. Разходи'!D24-'12. Разходи'!$C24</f>
        <v>-3.3188153222613437</v>
      </c>
      <c r="E24" s="877">
        <f>IFERROR(('12. Разходи'!D24-'12. Разходи'!$C24)/'12. Разходи'!$C24,0)</f>
        <v>-7.7834132478410744E-3</v>
      </c>
      <c r="F24" s="1133">
        <f>'12. Разходи'!E24-'12. Разходи'!$C24</f>
        <v>-11.536535251697217</v>
      </c>
      <c r="G24" s="877">
        <f>IFERROR(('12. Разходи'!E24-'12. Разходи'!$C24)/'12. Разходи'!$C24,0)</f>
        <v>-2.7055925863046497E-2</v>
      </c>
      <c r="H24" s="1133">
        <f>'12. Разходи'!F24-'12. Разходи'!$C24</f>
        <v>-15.273135340519502</v>
      </c>
      <c r="I24" s="877">
        <f>IFERROR(('12. Разходи'!F24-'12. Разходи'!$C24)/'12. Разходи'!$C24,0)</f>
        <v>-3.5819144002405594E-2</v>
      </c>
      <c r="J24" s="1133">
        <f>'12. Разходи'!G24-'12. Разходи'!$C24</f>
        <v>-18.626857274394354</v>
      </c>
      <c r="K24" s="877">
        <f>IFERROR(('12. Разходи'!G24-'12. Разходи'!$C24)/'12. Разходи'!$C24,0)</f>
        <v>-4.3684421577389977E-2</v>
      </c>
      <c r="L24" s="1133">
        <f>'12. Разходи'!H24-'12. Разходи'!$C24</f>
        <v>-23.988275149505228</v>
      </c>
      <c r="M24" s="909">
        <f>IFERROR(('12. Разходи'!H24-'12. Разходи'!$C24)/'12. Разходи'!$C24,0)</f>
        <v>-5.6258224836775984E-2</v>
      </c>
      <c r="N24" s="1163">
        <f>'12. Разходи'!K24</f>
        <v>9.5276337941480236</v>
      </c>
      <c r="O24" s="1132">
        <f>'12. Разходи'!L24-'12. Разходи'!$K24</f>
        <v>1.7542088303402217</v>
      </c>
      <c r="P24" s="877">
        <f>IFERROR(('12. Разходи'!L24-'12. Разходи'!$K24)/'12. Разходи'!$K24,0)</f>
        <v>0.18411799490212102</v>
      </c>
      <c r="Q24" s="1133">
        <f>'12. Разходи'!M24-'12. Разходи'!$K24</f>
        <v>1.4344853562766193</v>
      </c>
      <c r="R24" s="877">
        <f>IFERROR(('12. Разходи'!M24-'12. Разходи'!$K24)/'12. Разходи'!$K24,0)</f>
        <v>0.15056050508130317</v>
      </c>
      <c r="S24" s="1133">
        <f>'12. Разходи'!N24-'12. Разходи'!$K24</f>
        <v>0.73858608398860426</v>
      </c>
      <c r="T24" s="877">
        <f>IFERROR(('12. Разходи'!N24-'12. Разходи'!$K24)/'12. Разходи'!$K24,0)</f>
        <v>7.7520410623071162E-2</v>
      </c>
      <c r="U24" s="1133">
        <f>'12. Разходи'!O24-'12. Разходи'!$K24</f>
        <v>1.5806529367025384</v>
      </c>
      <c r="V24" s="877">
        <f>IFERROR(('12. Разходи'!O24-'12. Разходи'!$K24)/'12. Разходи'!$K24,0)</f>
        <v>0.16590194069732114</v>
      </c>
      <c r="W24" s="1133">
        <f>'12. Разходи'!P24-'12. Разходи'!$K24</f>
        <v>0.55613274819198644</v>
      </c>
      <c r="X24" s="822">
        <f>IFERROR(('12. Разходи'!P24-'12. Разходи'!$K24)/'12. Разходи'!$K24,0)</f>
        <v>5.8370499980128249E-2</v>
      </c>
      <c r="Y24" s="1163">
        <f>'12. Разходи'!S24</f>
        <v>14.229999220778385</v>
      </c>
      <c r="Z24" s="1132">
        <f>'12. Разходи'!T24-'12. Разходи'!$S24</f>
        <v>3.4010959251905142</v>
      </c>
      <c r="AA24" s="877">
        <f>IFERROR(('12. Разходи'!T24-'12. Разходи'!$S24)/'12. Разходи'!$S24,0)</f>
        <v>0.23900886236341432</v>
      </c>
      <c r="AB24" s="1133">
        <f>'12. Разходи'!U24-'12. Разходи'!$S24</f>
        <v>2.1505933467317213</v>
      </c>
      <c r="AC24" s="877">
        <f>IFERROR(('12. Разходи'!U24-'12. Разходи'!$S24)/'12. Разходи'!$S24,0)</f>
        <v>0.15113095323234202</v>
      </c>
      <c r="AD24" s="1133">
        <f>'12. Разходи'!V24-'12. Разходи'!$S24</f>
        <v>2.9493327392909308</v>
      </c>
      <c r="AE24" s="877">
        <f>IFERROR(('12. Разходи'!V24-'12. Разходи'!$S24)/'12. Разходи'!$S24,0)</f>
        <v>0.20726162338676513</v>
      </c>
      <c r="AF24" s="1133">
        <f>'12. Разходи'!W24-'12. Разходи'!$S24</f>
        <v>4.1998353177497165</v>
      </c>
      <c r="AG24" s="877">
        <f>IFERROR(('12. Разходи'!W24-'12. Разходи'!$S24)/'12. Разходи'!$S24,0)</f>
        <v>0.29513953251783692</v>
      </c>
      <c r="AH24" s="1133">
        <f>'12. Разходи'!X24-'12. Разходи'!$S24</f>
        <v>4.4996478208610426</v>
      </c>
      <c r="AI24" s="822">
        <f>IFERROR(('12. Разходи'!X24-'12. Разходи'!$S24)/'12. Разходи'!$S24,0)</f>
        <v>0.31620857816286729</v>
      </c>
      <c r="AJ24" s="1163">
        <f>'12. Разходи'!AA24</f>
        <v>0</v>
      </c>
      <c r="AK24" s="1143">
        <f>'12. Разходи'!AB24-'12. Разходи'!$AA24</f>
        <v>0</v>
      </c>
      <c r="AL24" s="877">
        <f>IFERROR(('12. Разходи'!AB24-'12. Разходи'!$AA24)/'12. Разходи'!$AA24,0)</f>
        <v>0</v>
      </c>
      <c r="AM24" s="1133">
        <f>'12. Разходи'!AC24-'12. Разходи'!$AA24</f>
        <v>0</v>
      </c>
      <c r="AN24" s="877">
        <f>IFERROR(('12. Разходи'!AC24-'12. Разходи'!$AA24)/'12. Разходи'!$AA24,0)</f>
        <v>0</v>
      </c>
      <c r="AO24" s="1133">
        <f>'12. Разходи'!AD24-'12. Разходи'!$AA24</f>
        <v>0</v>
      </c>
      <c r="AP24" s="877">
        <f>IFERROR(('12. Разходи'!AD24-'12. Разходи'!$AA24)/'12. Разходи'!$AA24,0)</f>
        <v>0</v>
      </c>
      <c r="AQ24" s="1133">
        <f>'12. Разходи'!AE24-'12. Разходи'!$AA24</f>
        <v>0</v>
      </c>
      <c r="AR24" s="886">
        <f>IFERROR(('12. Разходи'!AE24-'12. Разходи'!$AA24)/'12. Разходи'!$AA24,0)</f>
        <v>0</v>
      </c>
      <c r="AS24" s="1133">
        <f>'12. Разходи'!AF24-'12. Разходи'!$AA24</f>
        <v>0</v>
      </c>
      <c r="AT24" s="891">
        <f>IFERROR(('12. Разходи'!AF24-'12. Разходи'!$AA24)/'12. Разходи'!$AA24,0)</f>
        <v>0</v>
      </c>
      <c r="AU24" s="1163">
        <f>'12. Разходи'!AI24</f>
        <v>27.90869178882723</v>
      </c>
      <c r="AV24" s="1143">
        <f>'12. Разходи'!AJ24-'12. Разходи'!$AI24</f>
        <v>15.23420364612674</v>
      </c>
      <c r="AW24" s="877">
        <f>IFERROR(('12. Разходи'!AJ24-'12. Разходи'!$AI24)/'12. Разходи'!$AI24,0)</f>
        <v>0.54585875115169302</v>
      </c>
      <c r="AX24" s="1133">
        <f>'12. Разходи'!AK24-'12. Разходи'!$AI24</f>
        <v>16.953091341042818</v>
      </c>
      <c r="AY24" s="877">
        <f>IFERROR(('12. Разходи'!AK24-'12. Разходи'!$AI24)/'12. Разходи'!$AI24,0)</f>
        <v>0.60744844184454749</v>
      </c>
      <c r="AZ24" s="1133">
        <f>'12. Разходи'!AL24-'12. Разходи'!$AI24</f>
        <v>18.854788957103732</v>
      </c>
      <c r="BA24" s="877">
        <f>IFERROR(('12. Разходи'!AL24-'12. Разходи'!$AI24)/'12. Разходи'!$AI24,0)</f>
        <v>0.67558841882556198</v>
      </c>
      <c r="BB24" s="1133">
        <f>'12. Разходи'!AM24-'12. Разходи'!$AI24</f>
        <v>20.321204107707569</v>
      </c>
      <c r="BC24" s="886">
        <f>IFERROR(('12. Разходи'!AM24-'12. Разходи'!$AI24)/'12. Разходи'!$AI24,0)</f>
        <v>0.72813173263258502</v>
      </c>
      <c r="BD24" s="1133">
        <f>'12. Разходи'!AN24-'12. Разходи'!$AI24</f>
        <v>22.371691583269477</v>
      </c>
      <c r="BE24" s="891">
        <f>IFERROR(('12. Разходи'!AN24-'12. Разходи'!$AI24)/'12. Разходи'!$AI24,0)</f>
        <v>0.80160301860603878</v>
      </c>
      <c r="BF24" s="4488"/>
      <c r="BG24" s="4504">
        <f t="shared" si="1"/>
        <v>218.01275037433092</v>
      </c>
      <c r="BH24" s="4504">
        <f t="shared" si="2"/>
        <v>-1.6968833294618366</v>
      </c>
      <c r="BI24" s="4504">
        <f t="shared" si="3"/>
        <v>-5.8985368113267596</v>
      </c>
      <c r="BJ24" s="4504">
        <f t="shared" si="4"/>
        <v>-7.8090301000186635</v>
      </c>
      <c r="BK24" s="4504">
        <f t="shared" si="5"/>
        <v>-9.5237608965985565</v>
      </c>
      <c r="BL24" s="4504">
        <f t="shared" si="6"/>
        <v>-12.265010327843028</v>
      </c>
      <c r="BM24" s="4504">
        <f t="shared" si="7"/>
        <v>4.8714018059586079</v>
      </c>
      <c r="BN24" s="4504">
        <f t="shared" si="8"/>
        <v>0.89691273287567008</v>
      </c>
      <c r="BO24" s="4504">
        <f t="shared" si="9"/>
        <v>0.73344071635910046</v>
      </c>
      <c r="BP24" s="4504">
        <f t="shared" si="10"/>
        <v>0.37763306830788168</v>
      </c>
      <c r="BQ24" s="4504">
        <f t="shared" si="11"/>
        <v>0.80817501352496812</v>
      </c>
      <c r="BR24" s="4504">
        <f t="shared" si="12"/>
        <v>0.28434615901790361</v>
      </c>
      <c r="BS24" s="4504">
        <f t="shared" si="13"/>
        <v>7.2756830710125042</v>
      </c>
      <c r="BT24" s="4504">
        <f t="shared" si="14"/>
        <v>1.7389527337194512</v>
      </c>
      <c r="BU24" s="4504">
        <f t="shared" si="15"/>
        <v>1.0995809179385332</v>
      </c>
      <c r="BV24" s="4504">
        <f t="shared" si="16"/>
        <v>1.5079698845456562</v>
      </c>
      <c r="BW24" s="4504">
        <f t="shared" si="17"/>
        <v>2.1473417003265705</v>
      </c>
      <c r="BX24" s="4504">
        <f t="shared" si="18"/>
        <v>2.3006333990485075</v>
      </c>
      <c r="BY24" s="4504">
        <f t="shared" si="19"/>
        <v>0</v>
      </c>
      <c r="BZ24" s="4504">
        <f t="shared" si="20"/>
        <v>0</v>
      </c>
      <c r="CA24" s="4504">
        <f t="shared" si="21"/>
        <v>0</v>
      </c>
      <c r="CB24" s="4504">
        <f t="shared" si="22"/>
        <v>0</v>
      </c>
      <c r="CC24" s="4504">
        <f t="shared" si="23"/>
        <v>0</v>
      </c>
      <c r="CD24" s="4504">
        <f t="shared" si="24"/>
        <v>0</v>
      </c>
      <c r="CE24" s="4504">
        <f t="shared" si="25"/>
        <v>14.269487526434931</v>
      </c>
      <c r="CF24" s="4504">
        <f t="shared" si="26"/>
        <v>7.7891246407544319</v>
      </c>
      <c r="CG24" s="4504">
        <f t="shared" si="27"/>
        <v>8.6679779638531045</v>
      </c>
      <c r="CH24" s="4504">
        <f t="shared" si="28"/>
        <v>9.6403005154352535</v>
      </c>
      <c r="CI24" s="4504">
        <f t="shared" si="29"/>
        <v>10.390066676402126</v>
      </c>
      <c r="CJ24" s="4504">
        <f t="shared" si="30"/>
        <v>11.438464275151459</v>
      </c>
    </row>
    <row r="25" spans="1:88" ht="15.9" customHeight="1">
      <c r="A25" s="838" t="s">
        <v>151</v>
      </c>
      <c r="B25" s="896" t="s">
        <v>437</v>
      </c>
      <c r="C25" s="1185">
        <f>'12. Разходи'!C25</f>
        <v>24.446460172824786</v>
      </c>
      <c r="D25" s="1134">
        <f>'12. Разходи'!D25-'12. Разходи'!$C25</f>
        <v>1.8334845129618564</v>
      </c>
      <c r="E25" s="878">
        <f>IFERROR(('12. Разходи'!D25-'12. Разходи'!$C25)/'12. Разходи'!$C25,0)</f>
        <v>7.49999999999999E-2</v>
      </c>
      <c r="F25" s="1135">
        <f>'12. Разходи'!E25-'12. Разходи'!$C25</f>
        <v>1.8334845129618564</v>
      </c>
      <c r="G25" s="878">
        <f>IFERROR(('12. Разходи'!E25-'12. Разходи'!$C25)/'12. Разходи'!$C25,0)</f>
        <v>7.49999999999999E-2</v>
      </c>
      <c r="H25" s="1135">
        <f>'12. Разходи'!F25-'12. Разходи'!$C25</f>
        <v>1.8334845129618564</v>
      </c>
      <c r="I25" s="878">
        <f>IFERROR(('12. Разходи'!F25-'12. Разходи'!$C25)/'12. Разходи'!$C25,0)</f>
        <v>7.49999999999999E-2</v>
      </c>
      <c r="J25" s="1135">
        <f>'12. Разходи'!G25-'12. Разходи'!$C25</f>
        <v>1.8334845129618564</v>
      </c>
      <c r="K25" s="878">
        <f>IFERROR(('12. Разходи'!G25-'12. Разходи'!$C25)/'12. Разходи'!$C25,0)</f>
        <v>7.49999999999999E-2</v>
      </c>
      <c r="L25" s="1135">
        <f>'12. Разходи'!H25-'12. Разходи'!$C25</f>
        <v>1.8334845129618564</v>
      </c>
      <c r="M25" s="885">
        <f>IFERROR(('12. Разходи'!H25-'12. Разходи'!$C25)/'12. Разходи'!$C25,0)</f>
        <v>7.49999999999999E-2</v>
      </c>
      <c r="N25" s="1164">
        <f>'12. Разходи'!K25</f>
        <v>0.29772696493435824</v>
      </c>
      <c r="O25" s="1134">
        <f>'12. Разходи'!L25-'12. Разходи'!$K25</f>
        <v>2.2329522370076793E-2</v>
      </c>
      <c r="P25" s="878">
        <f>IFERROR(('12. Разходи'!L25-'12. Разходи'!$K25)/'12. Разходи'!$K25,0)</f>
        <v>7.4999999999999747E-2</v>
      </c>
      <c r="Q25" s="1135">
        <f>'12. Разходи'!M25-'12. Разходи'!$K25</f>
        <v>2.2329522370076793E-2</v>
      </c>
      <c r="R25" s="878">
        <f>IFERROR(('12. Разходи'!M25-'12. Разходи'!$K25)/'12. Разходи'!$K25,0)</f>
        <v>7.4999999999999747E-2</v>
      </c>
      <c r="S25" s="1135">
        <f>'12. Разходи'!N25-'12. Разходи'!$K25</f>
        <v>2.2329522370076793E-2</v>
      </c>
      <c r="T25" s="878">
        <f>IFERROR(('12. Разходи'!N25-'12. Разходи'!$K25)/'12. Разходи'!$K25,0)</f>
        <v>7.4999999999999747E-2</v>
      </c>
      <c r="U25" s="1135">
        <f>'12. Разходи'!O25-'12. Разходи'!$K25</f>
        <v>2.2329522370076793E-2</v>
      </c>
      <c r="V25" s="878">
        <f>IFERROR(('12. Разходи'!O25-'12. Разходи'!$K25)/'12. Разходи'!$K25,0)</f>
        <v>7.4999999999999747E-2</v>
      </c>
      <c r="W25" s="1135">
        <f>'12. Разходи'!P25-'12. Разходи'!$K25</f>
        <v>2.2329522370076793E-2</v>
      </c>
      <c r="X25" s="711">
        <f>IFERROR(('12. Разходи'!P25-'12. Разходи'!$K25)/'12. Разходи'!$K25,0)</f>
        <v>7.4999999999999747E-2</v>
      </c>
      <c r="Y25" s="1164">
        <f>'12. Разходи'!S25</f>
        <v>4.5544926618387525</v>
      </c>
      <c r="Z25" s="1134">
        <f>'12. Разходи'!T25-'12. Разходи'!$S25</f>
        <v>1.0915869496379065</v>
      </c>
      <c r="AA25" s="878">
        <f>IFERROR(('12. Разходи'!T25-'12. Разходи'!$S25)/'12. Разходи'!$S25,0)</f>
        <v>0.23967256743744714</v>
      </c>
      <c r="AB25" s="1135">
        <f>'12. Разходи'!U25-'12. Разходи'!$S25</f>
        <v>1.0915869496379065</v>
      </c>
      <c r="AC25" s="878">
        <f>IFERROR(('12. Разходи'!U25-'12. Разходи'!$S25)/'12. Разходи'!$S25,0)</f>
        <v>0.23967256743744714</v>
      </c>
      <c r="AD25" s="1135">
        <f>'12. Разходи'!V25-'12. Разходи'!$S25</f>
        <v>1.0915869496379065</v>
      </c>
      <c r="AE25" s="878">
        <f>IFERROR(('12. Разходи'!V25-'12. Разходи'!$S25)/'12. Разходи'!$S25,0)</f>
        <v>0.23967256743744714</v>
      </c>
      <c r="AF25" s="1135">
        <f>'12. Разходи'!W25-'12. Разходи'!$S25</f>
        <v>1.0915869496379065</v>
      </c>
      <c r="AG25" s="878">
        <f>IFERROR(('12. Разходи'!W25-'12. Разходи'!$S25)/'12. Разходи'!$S25,0)</f>
        <v>0.23967256743744714</v>
      </c>
      <c r="AH25" s="1135">
        <f>'12. Разходи'!X25-'12. Разходи'!$S25</f>
        <v>1.0915869496379065</v>
      </c>
      <c r="AI25" s="711">
        <f>IFERROR(('12. Разходи'!X25-'12. Разходи'!$S25)/'12. Разходи'!$S25,0)</f>
        <v>0.23967256743744714</v>
      </c>
      <c r="AJ25" s="1164">
        <f>'12. Разходи'!AA25</f>
        <v>0</v>
      </c>
      <c r="AK25" s="1142">
        <f>'12. Разходи'!AB25-'12. Разходи'!$AA25</f>
        <v>0</v>
      </c>
      <c r="AL25" s="878">
        <f>IFERROR(('12. Разходи'!AB25-'12. Разходи'!$AA25)/'12. Разходи'!$AA25,0)</f>
        <v>0</v>
      </c>
      <c r="AM25" s="1135">
        <f>'12. Разходи'!AC25-'12. Разходи'!$AA25</f>
        <v>0</v>
      </c>
      <c r="AN25" s="878">
        <f>IFERROR(('12. Разходи'!AC25-'12. Разходи'!$AA25)/'12. Разходи'!$AA25,0)</f>
        <v>0</v>
      </c>
      <c r="AO25" s="1135">
        <f>'12. Разходи'!AD25-'12. Разходи'!$AA25</f>
        <v>0</v>
      </c>
      <c r="AP25" s="878">
        <f>IFERROR(('12. Разходи'!AD25-'12. Разходи'!$AA25)/'12. Разходи'!$AA25,0)</f>
        <v>0</v>
      </c>
      <c r="AQ25" s="1135">
        <f>'12. Разходи'!AE25-'12. Разходи'!$AA25</f>
        <v>0</v>
      </c>
      <c r="AR25" s="885">
        <f>IFERROR(('12. Разходи'!AE25-'12. Разходи'!$AA25)/'12. Разходи'!$AA25,0)</f>
        <v>0</v>
      </c>
      <c r="AS25" s="1135">
        <f>'12. Разходи'!AF25-'12. Разходи'!$AA25</f>
        <v>0</v>
      </c>
      <c r="AT25" s="711">
        <f>IFERROR(('12. Разходи'!AF25-'12. Разходи'!$AA25)/'12. Разходи'!$AA25,0)</f>
        <v>0</v>
      </c>
      <c r="AU25" s="1164">
        <f>'12. Разходи'!AI25</f>
        <v>2.9497834950902999</v>
      </c>
      <c r="AV25" s="1142">
        <f>'12. Разходи'!AJ25-'12. Разходи'!$AI25</f>
        <v>0.22123376213177215</v>
      </c>
      <c r="AW25" s="878">
        <f>IFERROR(('12. Разходи'!AJ25-'12. Разходи'!$AI25)/'12. Разходи'!$AI25,0)</f>
        <v>7.4999999999999886E-2</v>
      </c>
      <c r="AX25" s="1135">
        <f>'12. Разходи'!AK25-'12. Разходи'!$AI25</f>
        <v>0.22123376213177215</v>
      </c>
      <c r="AY25" s="878">
        <f>IFERROR(('12. Разходи'!AK25-'12. Разходи'!$AI25)/'12. Разходи'!$AI25,0)</f>
        <v>7.4999999999999886E-2</v>
      </c>
      <c r="AZ25" s="1135">
        <f>'12. Разходи'!AL25-'12. Разходи'!$AI25</f>
        <v>0.22123376213177215</v>
      </c>
      <c r="BA25" s="878">
        <f>IFERROR(('12. Разходи'!AL25-'12. Разходи'!$AI25)/'12. Разходи'!$AI25,0)</f>
        <v>7.4999999999999886E-2</v>
      </c>
      <c r="BB25" s="1135">
        <f>'12. Разходи'!AM25-'12. Разходи'!$AI25</f>
        <v>0.22123376213177215</v>
      </c>
      <c r="BC25" s="885">
        <f>IFERROR(('12. Разходи'!AM25-'12. Разходи'!$AI25)/'12. Разходи'!$AI25,0)</f>
        <v>7.4999999999999886E-2</v>
      </c>
      <c r="BD25" s="1135">
        <f>'12. Разходи'!AN25-'12. Разходи'!$AI25</f>
        <v>0.22123376213177215</v>
      </c>
      <c r="BE25" s="711">
        <f>IFERROR(('12. Разходи'!AN25-'12. Разходи'!$AI25)/'12. Разходи'!$AI25,0)</f>
        <v>7.4999999999999886E-2</v>
      </c>
      <c r="BF25" s="4488"/>
      <c r="BG25" s="4504">
        <f t="shared" si="1"/>
        <v>12.499276610352018</v>
      </c>
      <c r="BH25" s="4504">
        <f t="shared" si="2"/>
        <v>0.93744574577640005</v>
      </c>
      <c r="BI25" s="4504">
        <f t="shared" si="3"/>
        <v>0.93744574577640005</v>
      </c>
      <c r="BJ25" s="4504">
        <f t="shared" si="4"/>
        <v>0.93744574577640005</v>
      </c>
      <c r="BK25" s="4504">
        <f t="shared" si="5"/>
        <v>0.93744574577640005</v>
      </c>
      <c r="BL25" s="4504">
        <f t="shared" si="6"/>
        <v>0.93744574577640005</v>
      </c>
      <c r="BM25" s="4504">
        <f t="shared" si="7"/>
        <v>0.15222537998412861</v>
      </c>
      <c r="BN25" s="4504">
        <f t="shared" si="8"/>
        <v>1.1416903498809607E-2</v>
      </c>
      <c r="BO25" s="4504">
        <f t="shared" si="9"/>
        <v>1.1416903498809607E-2</v>
      </c>
      <c r="BP25" s="4504">
        <f t="shared" si="10"/>
        <v>1.1416903498809607E-2</v>
      </c>
      <c r="BQ25" s="4504">
        <f t="shared" si="11"/>
        <v>1.1416903498809607E-2</v>
      </c>
      <c r="BR25" s="4504">
        <f t="shared" si="12"/>
        <v>1.1416903498809607E-2</v>
      </c>
      <c r="BS25" s="4504">
        <f t="shared" si="13"/>
        <v>2.3286751209659085</v>
      </c>
      <c r="BT25" s="4504">
        <f t="shared" si="14"/>
        <v>0.55811954496960703</v>
      </c>
      <c r="BU25" s="4504">
        <f t="shared" si="15"/>
        <v>0.55811954496960703</v>
      </c>
      <c r="BV25" s="4504">
        <f t="shared" si="16"/>
        <v>0.55811954496960703</v>
      </c>
      <c r="BW25" s="4504">
        <f t="shared" si="17"/>
        <v>0.55811954496960703</v>
      </c>
      <c r="BX25" s="4504">
        <f t="shared" si="18"/>
        <v>0.55811954496960703</v>
      </c>
      <c r="BY25" s="4504">
        <f t="shared" si="19"/>
        <v>0</v>
      </c>
      <c r="BZ25" s="4504">
        <f t="shared" si="20"/>
        <v>0</v>
      </c>
      <c r="CA25" s="4504">
        <f t="shared" si="21"/>
        <v>0</v>
      </c>
      <c r="CB25" s="4504">
        <f t="shared" si="22"/>
        <v>0</v>
      </c>
      <c r="CC25" s="4504">
        <f t="shared" si="23"/>
        <v>0</v>
      </c>
      <c r="CD25" s="4504">
        <f t="shared" si="24"/>
        <v>0</v>
      </c>
      <c r="CE25" s="4504">
        <f t="shared" si="25"/>
        <v>1.5082003523262757</v>
      </c>
      <c r="CF25" s="4504">
        <f t="shared" si="26"/>
        <v>0.11311502642447051</v>
      </c>
      <c r="CG25" s="4504">
        <f t="shared" si="27"/>
        <v>0.11311502642447051</v>
      </c>
      <c r="CH25" s="4504">
        <f t="shared" si="28"/>
        <v>0.11311502642447051</v>
      </c>
      <c r="CI25" s="4504">
        <f t="shared" si="29"/>
        <v>0.11311502642447051</v>
      </c>
      <c r="CJ25" s="4504">
        <f t="shared" si="30"/>
        <v>0.11311502642447051</v>
      </c>
    </row>
    <row r="26" spans="1:88" ht="15.9" customHeight="1">
      <c r="A26" s="839" t="s">
        <v>438</v>
      </c>
      <c r="B26" s="3142" t="str">
        <f>'12. Разходи'!B26</f>
        <v>други разходи за материали</v>
      </c>
      <c r="C26" s="3143">
        <f>'12. Разходи'!C26</f>
        <v>24.446460172824786</v>
      </c>
      <c r="D26" s="907">
        <f>'12. Разходи'!D26-'12. Разходи'!$C26</f>
        <v>1.8334845129618564</v>
      </c>
      <c r="E26" s="1121">
        <f>IFERROR(('12. Разходи'!D26-'12. Разходи'!$C26)/'12. Разходи'!$C26,0)</f>
        <v>7.49999999999999E-2</v>
      </c>
      <c r="F26" s="1136">
        <f>'12. Разходи'!E26-'12. Разходи'!$C26</f>
        <v>1.8334845129618564</v>
      </c>
      <c r="G26" s="1121">
        <f>IFERROR(('12. Разходи'!E26-'12. Разходи'!$C26)/'12. Разходи'!$C26,0)</f>
        <v>7.49999999999999E-2</v>
      </c>
      <c r="H26" s="1136">
        <f>'12. Разходи'!F26-'12. Разходи'!$C26</f>
        <v>1.8334845129618564</v>
      </c>
      <c r="I26" s="1121">
        <f>IFERROR(('12. Разходи'!F26-'12. Разходи'!$C26)/'12. Разходи'!$C26,0)</f>
        <v>7.49999999999999E-2</v>
      </c>
      <c r="J26" s="1136">
        <f>'12. Разходи'!G26-'12. Разходи'!$C26</f>
        <v>1.8334845129618564</v>
      </c>
      <c r="K26" s="1121">
        <f>IFERROR(('12. Разходи'!G26-'12. Разходи'!$C26)/'12. Разходи'!$C26,0)</f>
        <v>7.49999999999999E-2</v>
      </c>
      <c r="L26" s="1136">
        <f>'12. Разходи'!H26-'12. Разходи'!$C26</f>
        <v>1.8334845129618564</v>
      </c>
      <c r="M26" s="1122">
        <f>IFERROR(('12. Разходи'!H26-'12. Разходи'!$C26)/'12. Разходи'!$C26,0)</f>
        <v>7.49999999999999E-2</v>
      </c>
      <c r="N26" s="1177">
        <f>'12. Разходи'!K26</f>
        <v>0.29772696493435824</v>
      </c>
      <c r="O26" s="907">
        <f>'12. Разходи'!L26-'12. Разходи'!$K26</f>
        <v>2.2329522370076793E-2</v>
      </c>
      <c r="P26" s="1121">
        <f>IFERROR(('12. Разходи'!L26-'12. Разходи'!$K26)/'12. Разходи'!$K26,0)</f>
        <v>7.4999999999999747E-2</v>
      </c>
      <c r="Q26" s="1136">
        <f>'12. Разходи'!M26-'12. Разходи'!$K26</f>
        <v>2.2329522370076793E-2</v>
      </c>
      <c r="R26" s="1121">
        <f>IFERROR(('12. Разходи'!M26-'12. Разходи'!$K26)/'12. Разходи'!$K26,0)</f>
        <v>7.4999999999999747E-2</v>
      </c>
      <c r="S26" s="1136">
        <f>'12. Разходи'!N26-'12. Разходи'!$K26</f>
        <v>2.2329522370076793E-2</v>
      </c>
      <c r="T26" s="1121">
        <f>IFERROR(('12. Разходи'!N26-'12. Разходи'!$K26)/'12. Разходи'!$K26,0)</f>
        <v>7.4999999999999747E-2</v>
      </c>
      <c r="U26" s="1136">
        <f>'12. Разходи'!O26-'12. Разходи'!$K26</f>
        <v>2.2329522370076793E-2</v>
      </c>
      <c r="V26" s="1121">
        <f>IFERROR(('12. Разходи'!O26-'12. Разходи'!$K26)/'12. Разходи'!$K26,0)</f>
        <v>7.4999999999999747E-2</v>
      </c>
      <c r="W26" s="1136">
        <f>'12. Разходи'!P26-'12. Разходи'!$K26</f>
        <v>2.2329522370076793E-2</v>
      </c>
      <c r="X26" s="826">
        <f>IFERROR(('12. Разходи'!P26-'12. Разходи'!$K26)/'12. Разходи'!$K26,0)</f>
        <v>7.4999999999999747E-2</v>
      </c>
      <c r="Y26" s="1177">
        <f>'12. Разходи'!S26</f>
        <v>4.5544926618387525</v>
      </c>
      <c r="Z26" s="907">
        <f>'12. Разходи'!T26-'12. Разходи'!$S26</f>
        <v>1.0915869496379065</v>
      </c>
      <c r="AA26" s="1121">
        <f>IFERROR(('12. Разходи'!T26-'12. Разходи'!$S26)/'12. Разходи'!$S26,0)</f>
        <v>0.23967256743744714</v>
      </c>
      <c r="AB26" s="1136">
        <f>'12. Разходи'!U26-'12. Разходи'!$S26</f>
        <v>1.0915869496379065</v>
      </c>
      <c r="AC26" s="1121">
        <f>IFERROR(('12. Разходи'!U26-'12. Разходи'!$S26)/'12. Разходи'!$S26,0)</f>
        <v>0.23967256743744714</v>
      </c>
      <c r="AD26" s="1136">
        <f>'12. Разходи'!V26-'12. Разходи'!$S26</f>
        <v>1.0915869496379065</v>
      </c>
      <c r="AE26" s="1121">
        <f>IFERROR(('12. Разходи'!V26-'12. Разходи'!$S26)/'12. Разходи'!$S26,0)</f>
        <v>0.23967256743744714</v>
      </c>
      <c r="AF26" s="1136">
        <f>'12. Разходи'!W26-'12. Разходи'!$S26</f>
        <v>1.0915869496379065</v>
      </c>
      <c r="AG26" s="1121">
        <f>IFERROR(('12. Разходи'!W26-'12. Разходи'!$S26)/'12. Разходи'!$S26,0)</f>
        <v>0.23967256743744714</v>
      </c>
      <c r="AH26" s="1136">
        <f>'12. Разходи'!X26-'12. Разходи'!$S26</f>
        <v>1.0915869496379065</v>
      </c>
      <c r="AI26" s="826">
        <f>IFERROR(('12. Разходи'!X26-'12. Разходи'!$S26)/'12. Разходи'!$S26,0)</f>
        <v>0.23967256743744714</v>
      </c>
      <c r="AJ26" s="1177">
        <f>'12. Разходи'!AA26</f>
        <v>0</v>
      </c>
      <c r="AK26" s="1141">
        <f>'12. Разходи'!AB26-'12. Разходи'!$AA26</f>
        <v>0</v>
      </c>
      <c r="AL26" s="1121">
        <f>IFERROR(('12. Разходи'!AB26-'12. Разходи'!$AA26)/'12. Разходи'!$AA26,0)</f>
        <v>0</v>
      </c>
      <c r="AM26" s="907">
        <f>'12. Разходи'!AC26-'12. Разходи'!$AA26</f>
        <v>0</v>
      </c>
      <c r="AN26" s="1129">
        <f>IFERROR(('12. Разходи'!AC26-'12. Разходи'!$AA26)/'12. Разходи'!$AA26,0)</f>
        <v>0</v>
      </c>
      <c r="AO26" s="907">
        <f>'12. Разходи'!AD26-'12. Разходи'!$AA26</f>
        <v>0</v>
      </c>
      <c r="AP26" s="1129">
        <f>IFERROR(('12. Разходи'!AD26-'12. Разходи'!$AA26)/'12. Разходи'!$AA26,0)</f>
        <v>0</v>
      </c>
      <c r="AQ26" s="907">
        <f>'12. Разходи'!AE26-'12. Разходи'!$AA26</f>
        <v>0</v>
      </c>
      <c r="AR26" s="1128">
        <f>IFERROR(('12. Разходи'!AE26-'12. Разходи'!$AA26)/'12. Разходи'!$AA26,0)</f>
        <v>0</v>
      </c>
      <c r="AS26" s="1136">
        <f>'12. Разходи'!AF26-'12. Разходи'!$AA26</f>
        <v>0</v>
      </c>
      <c r="AT26" s="1183">
        <f>IFERROR(('12. Разходи'!AF26-'12. Разходи'!$AA26)/'12. Разходи'!$AA26,0)</f>
        <v>0</v>
      </c>
      <c r="AU26" s="1177">
        <f>'12. Разходи'!AI26</f>
        <v>2.9497834950902999</v>
      </c>
      <c r="AV26" s="1141">
        <f>'12. Разходи'!AJ26-'12. Разходи'!$AI26</f>
        <v>0.22123376213177215</v>
      </c>
      <c r="AW26" s="1121">
        <f>IFERROR(('12. Разходи'!AJ26-'12. Разходи'!$AI26)/'12. Разходи'!$AI26,0)</f>
        <v>7.4999999999999886E-2</v>
      </c>
      <c r="AX26" s="907">
        <f>'12. Разходи'!AK26-'12. Разходи'!$AI26</f>
        <v>0.22123376213177215</v>
      </c>
      <c r="AY26" s="1129">
        <f>IFERROR(('12. Разходи'!AK26-'12. Разходи'!$AI26)/'12. Разходи'!$AI26,0)</f>
        <v>7.4999999999999886E-2</v>
      </c>
      <c r="AZ26" s="907">
        <f>'12. Разходи'!AL26-'12. Разходи'!$AI26</f>
        <v>0.22123376213177215</v>
      </c>
      <c r="BA26" s="1129">
        <f>IFERROR(('12. Разходи'!AL26-'12. Разходи'!$AI26)/'12. Разходи'!$AI26,0)</f>
        <v>7.4999999999999886E-2</v>
      </c>
      <c r="BB26" s="907">
        <f>'12. Разходи'!AM26-'12. Разходи'!$AI26</f>
        <v>0.22123376213177215</v>
      </c>
      <c r="BC26" s="1128">
        <f>IFERROR(('12. Разходи'!AM26-'12. Разходи'!$AI26)/'12. Разходи'!$AI26,0)</f>
        <v>7.4999999999999886E-2</v>
      </c>
      <c r="BD26" s="1136">
        <f>'12. Разходи'!AN26-'12. Разходи'!$AI26</f>
        <v>0.22123376213177215</v>
      </c>
      <c r="BE26" s="1183">
        <f>IFERROR(('12. Разходи'!AN26-'12. Разходи'!$AI26)/'12. Разходи'!$AI26,0)</f>
        <v>7.4999999999999886E-2</v>
      </c>
      <c r="BF26" s="4488"/>
      <c r="BG26" s="4504">
        <f t="shared" si="1"/>
        <v>12.499276610352018</v>
      </c>
      <c r="BH26" s="4504">
        <f t="shared" si="2"/>
        <v>0.93744574577640005</v>
      </c>
      <c r="BI26" s="4504">
        <f t="shared" si="3"/>
        <v>0.93744574577640005</v>
      </c>
      <c r="BJ26" s="4504">
        <f t="shared" si="4"/>
        <v>0.93744574577640005</v>
      </c>
      <c r="BK26" s="4504">
        <f t="shared" si="5"/>
        <v>0.93744574577640005</v>
      </c>
      <c r="BL26" s="4504">
        <f t="shared" si="6"/>
        <v>0.93744574577640005</v>
      </c>
      <c r="BM26" s="4504">
        <f t="shared" si="7"/>
        <v>0.15222537998412861</v>
      </c>
      <c r="BN26" s="4504">
        <f t="shared" si="8"/>
        <v>1.1416903498809607E-2</v>
      </c>
      <c r="BO26" s="4504">
        <f t="shared" si="9"/>
        <v>1.1416903498809607E-2</v>
      </c>
      <c r="BP26" s="4504">
        <f t="shared" si="10"/>
        <v>1.1416903498809607E-2</v>
      </c>
      <c r="BQ26" s="4504">
        <f t="shared" si="11"/>
        <v>1.1416903498809607E-2</v>
      </c>
      <c r="BR26" s="4504">
        <f t="shared" si="12"/>
        <v>1.1416903498809607E-2</v>
      </c>
      <c r="BS26" s="4504">
        <f t="shared" si="13"/>
        <v>2.3286751209659085</v>
      </c>
      <c r="BT26" s="4504">
        <f t="shared" si="14"/>
        <v>0.55811954496960703</v>
      </c>
      <c r="BU26" s="4504">
        <f t="shared" si="15"/>
        <v>0.55811954496960703</v>
      </c>
      <c r="BV26" s="4504">
        <f t="shared" si="16"/>
        <v>0.55811954496960703</v>
      </c>
      <c r="BW26" s="4504">
        <f t="shared" si="17"/>
        <v>0.55811954496960703</v>
      </c>
      <c r="BX26" s="4504">
        <f t="shared" si="18"/>
        <v>0.55811954496960703</v>
      </c>
      <c r="BY26" s="4504">
        <f t="shared" si="19"/>
        <v>0</v>
      </c>
      <c r="BZ26" s="4504">
        <f t="shared" si="20"/>
        <v>0</v>
      </c>
      <c r="CA26" s="4504">
        <f t="shared" si="21"/>
        <v>0</v>
      </c>
      <c r="CB26" s="4504">
        <f t="shared" si="22"/>
        <v>0</v>
      </c>
      <c r="CC26" s="4504">
        <f t="shared" si="23"/>
        <v>0</v>
      </c>
      <c r="CD26" s="4504">
        <f t="shared" si="24"/>
        <v>0</v>
      </c>
      <c r="CE26" s="4504">
        <f t="shared" si="25"/>
        <v>1.5082003523262757</v>
      </c>
      <c r="CF26" s="4504">
        <f t="shared" si="26"/>
        <v>0.11311502642447051</v>
      </c>
      <c r="CG26" s="4504">
        <f t="shared" si="27"/>
        <v>0.11311502642447051</v>
      </c>
      <c r="CH26" s="4504">
        <f t="shared" si="28"/>
        <v>0.11311502642447051</v>
      </c>
      <c r="CI26" s="4504">
        <f t="shared" si="29"/>
        <v>0.11311502642447051</v>
      </c>
      <c r="CJ26" s="4504">
        <f t="shared" si="30"/>
        <v>0.11311502642447051</v>
      </c>
    </row>
    <row r="27" spans="1:88" ht="15.9" customHeight="1">
      <c r="A27" s="841" t="s">
        <v>439</v>
      </c>
      <c r="B27" s="3142">
        <f>'12. Разходи'!B27</f>
        <v>0</v>
      </c>
      <c r="C27" s="3143">
        <f>'12. Разходи'!C27</f>
        <v>0</v>
      </c>
      <c r="D27" s="907">
        <f>'12. Разходи'!D27-'12. Разходи'!$C27</f>
        <v>0</v>
      </c>
      <c r="E27" s="1121">
        <f>IFERROR(('12. Разходи'!D27-'12. Разходи'!$C27)/'12. Разходи'!$C27,0)</f>
        <v>0</v>
      </c>
      <c r="F27" s="1136">
        <f>'12. Разходи'!E27-'12. Разходи'!$C27</f>
        <v>0</v>
      </c>
      <c r="G27" s="1121">
        <f>IFERROR(('12. Разходи'!E27-'12. Разходи'!$C27)/'12. Разходи'!$C27,0)</f>
        <v>0</v>
      </c>
      <c r="H27" s="1136">
        <f>'12. Разходи'!F27-'12. Разходи'!$C27</f>
        <v>0</v>
      </c>
      <c r="I27" s="1121">
        <f>IFERROR(('12. Разходи'!F27-'12. Разходи'!$C27)/'12. Разходи'!$C27,0)</f>
        <v>0</v>
      </c>
      <c r="J27" s="1136">
        <f>'12. Разходи'!G27-'12. Разходи'!$C27</f>
        <v>0</v>
      </c>
      <c r="K27" s="1121">
        <f>IFERROR(('12. Разходи'!G27-'12. Разходи'!$C27)/'12. Разходи'!$C27,0)</f>
        <v>0</v>
      </c>
      <c r="L27" s="1136">
        <f>'12. Разходи'!H27-'12. Разходи'!$C27</f>
        <v>0</v>
      </c>
      <c r="M27" s="1122">
        <f>IFERROR(('12. Разходи'!H27-'12. Разходи'!$C27)/'12. Разходи'!$C27,0)</f>
        <v>0</v>
      </c>
      <c r="N27" s="1177">
        <f>'12. Разходи'!K27</f>
        <v>0</v>
      </c>
      <c r="O27" s="907">
        <f>'12. Разходи'!L27-'12. Разходи'!$K27</f>
        <v>0</v>
      </c>
      <c r="P27" s="1121">
        <f>IFERROR(('12. Разходи'!L27-'12. Разходи'!$K27)/'12. Разходи'!$K27,0)</f>
        <v>0</v>
      </c>
      <c r="Q27" s="1136">
        <f>'12. Разходи'!M27-'12. Разходи'!$K27</f>
        <v>0</v>
      </c>
      <c r="R27" s="1121">
        <f>IFERROR(('12. Разходи'!M27-'12. Разходи'!$K27)/'12. Разходи'!$K27,0)</f>
        <v>0</v>
      </c>
      <c r="S27" s="1136">
        <f>'12. Разходи'!N27-'12. Разходи'!$K27</f>
        <v>0</v>
      </c>
      <c r="T27" s="1121">
        <f>IFERROR(('12. Разходи'!N27-'12. Разходи'!$K27)/'12. Разходи'!$K27,0)</f>
        <v>0</v>
      </c>
      <c r="U27" s="1136">
        <f>'12. Разходи'!O27-'12. Разходи'!$K27</f>
        <v>0</v>
      </c>
      <c r="V27" s="1121">
        <f>IFERROR(('12. Разходи'!O27-'12. Разходи'!$K27)/'12. Разходи'!$K27,0)</f>
        <v>0</v>
      </c>
      <c r="W27" s="1136">
        <f>'12. Разходи'!P27-'12. Разходи'!$K27</f>
        <v>0</v>
      </c>
      <c r="X27" s="826">
        <f>IFERROR(('12. Разходи'!P27-'12. Разходи'!$K27)/'12. Разходи'!$K27,0)</f>
        <v>0</v>
      </c>
      <c r="Y27" s="1177">
        <f>'12. Разходи'!S27</f>
        <v>0</v>
      </c>
      <c r="Z27" s="907">
        <f>'12. Разходи'!T27-'12. Разходи'!$S27</f>
        <v>0</v>
      </c>
      <c r="AA27" s="1121">
        <f>IFERROR(('12. Разходи'!T27-'12. Разходи'!$S27)/'12. Разходи'!$S27,0)</f>
        <v>0</v>
      </c>
      <c r="AB27" s="1136">
        <f>'12. Разходи'!U27-'12. Разходи'!$S27</f>
        <v>0</v>
      </c>
      <c r="AC27" s="1121">
        <f>IFERROR(('12. Разходи'!U27-'12. Разходи'!$S27)/'12. Разходи'!$S27,0)</f>
        <v>0</v>
      </c>
      <c r="AD27" s="1136">
        <f>'12. Разходи'!V27-'12. Разходи'!$S27</f>
        <v>0</v>
      </c>
      <c r="AE27" s="1121">
        <f>IFERROR(('12. Разходи'!V27-'12. Разходи'!$S27)/'12. Разходи'!$S27,0)</f>
        <v>0</v>
      </c>
      <c r="AF27" s="1136">
        <f>'12. Разходи'!W27-'12. Разходи'!$S27</f>
        <v>0</v>
      </c>
      <c r="AG27" s="1121">
        <f>IFERROR(('12. Разходи'!W27-'12. Разходи'!$S27)/'12. Разходи'!$S27,0)</f>
        <v>0</v>
      </c>
      <c r="AH27" s="1136">
        <f>'12. Разходи'!X27-'12. Разходи'!$S27</f>
        <v>0</v>
      </c>
      <c r="AI27" s="826">
        <f>IFERROR(('12. Разходи'!X27-'12. Разходи'!$S27)/'12. Разходи'!$S27,0)</f>
        <v>0</v>
      </c>
      <c r="AJ27" s="1177">
        <f>'12. Разходи'!AA27</f>
        <v>0</v>
      </c>
      <c r="AK27" s="1141">
        <f>'12. Разходи'!AB27-'12. Разходи'!$AA27</f>
        <v>0</v>
      </c>
      <c r="AL27" s="1121">
        <f>IFERROR(('12. Разходи'!AB27-'12. Разходи'!$AA27)/'12. Разходи'!$AA27,0)</f>
        <v>0</v>
      </c>
      <c r="AM27" s="907">
        <f>'12. Разходи'!AC27-'12. Разходи'!$AA27</f>
        <v>0</v>
      </c>
      <c r="AN27" s="1129">
        <f>IFERROR(('12. Разходи'!AC27-'12. Разходи'!$AA27)/'12. Разходи'!$AA27,0)</f>
        <v>0</v>
      </c>
      <c r="AO27" s="907">
        <f>'12. Разходи'!AD27-'12. Разходи'!$AA27</f>
        <v>0</v>
      </c>
      <c r="AP27" s="1129">
        <f>IFERROR(('12. Разходи'!AD27-'12. Разходи'!$AA27)/'12. Разходи'!$AA27,0)</f>
        <v>0</v>
      </c>
      <c r="AQ27" s="907">
        <f>'12. Разходи'!AE27-'12. Разходи'!$AA27</f>
        <v>0</v>
      </c>
      <c r="AR27" s="1128">
        <f>IFERROR(('12. Разходи'!AE27-'12. Разходи'!$AA27)/'12. Разходи'!$AA27,0)</f>
        <v>0</v>
      </c>
      <c r="AS27" s="1136">
        <f>'12. Разходи'!AF27-'12. Разходи'!$AA27</f>
        <v>0</v>
      </c>
      <c r="AT27" s="1183">
        <f>IFERROR(('12. Разходи'!AF27-'12. Разходи'!$AA27)/'12. Разходи'!$AA27,0)</f>
        <v>0</v>
      </c>
      <c r="AU27" s="1177">
        <f>'12. Разходи'!AI27</f>
        <v>0</v>
      </c>
      <c r="AV27" s="1141">
        <f>'12. Разходи'!AJ27-'12. Разходи'!$AI27</f>
        <v>0</v>
      </c>
      <c r="AW27" s="1121">
        <f>IFERROR(('12. Разходи'!AJ27-'12. Разходи'!$AI27)/'12. Разходи'!$AI27,0)</f>
        <v>0</v>
      </c>
      <c r="AX27" s="907">
        <f>'12. Разходи'!AK27-'12. Разходи'!$AI27</f>
        <v>0</v>
      </c>
      <c r="AY27" s="1129">
        <f>IFERROR(('12. Разходи'!AK27-'12. Разходи'!$AI27)/'12. Разходи'!$AI27,0)</f>
        <v>0</v>
      </c>
      <c r="AZ27" s="907">
        <f>'12. Разходи'!AL27-'12. Разходи'!$AI27</f>
        <v>0</v>
      </c>
      <c r="BA27" s="1129">
        <f>IFERROR(('12. Разходи'!AL27-'12. Разходи'!$AI27)/'12. Разходи'!$AI27,0)</f>
        <v>0</v>
      </c>
      <c r="BB27" s="907">
        <f>'12. Разходи'!AM27-'12. Разходи'!$AI27</f>
        <v>0</v>
      </c>
      <c r="BC27" s="1128">
        <f>IFERROR(('12. Разходи'!AM27-'12. Разходи'!$AI27)/'12. Разходи'!$AI27,0)</f>
        <v>0</v>
      </c>
      <c r="BD27" s="1136">
        <f>'12. Разходи'!AN27-'12. Разходи'!$AI27</f>
        <v>0</v>
      </c>
      <c r="BE27" s="1183">
        <f>IFERROR(('12. Разходи'!AN27-'12. Разходи'!$AI27)/'12. Разходи'!$AI27,0)</f>
        <v>0</v>
      </c>
      <c r="BF27" s="4488"/>
      <c r="BG27" s="4504">
        <f t="shared" si="1"/>
        <v>0</v>
      </c>
      <c r="BH27" s="4504">
        <f t="shared" si="2"/>
        <v>0</v>
      </c>
      <c r="BI27" s="4504">
        <f t="shared" si="3"/>
        <v>0</v>
      </c>
      <c r="BJ27" s="4504">
        <f t="shared" si="4"/>
        <v>0</v>
      </c>
      <c r="BK27" s="4504">
        <f t="shared" si="5"/>
        <v>0</v>
      </c>
      <c r="BL27" s="4504">
        <f t="shared" si="6"/>
        <v>0</v>
      </c>
      <c r="BM27" s="4504">
        <f t="shared" si="7"/>
        <v>0</v>
      </c>
      <c r="BN27" s="4504">
        <f t="shared" si="8"/>
        <v>0</v>
      </c>
      <c r="BO27" s="4504">
        <f t="shared" si="9"/>
        <v>0</v>
      </c>
      <c r="BP27" s="4504">
        <f t="shared" si="10"/>
        <v>0</v>
      </c>
      <c r="BQ27" s="4504">
        <f t="shared" si="11"/>
        <v>0</v>
      </c>
      <c r="BR27" s="4504">
        <f t="shared" si="12"/>
        <v>0</v>
      </c>
      <c r="BS27" s="4504">
        <f t="shared" si="13"/>
        <v>0</v>
      </c>
      <c r="BT27" s="4504">
        <f t="shared" si="14"/>
        <v>0</v>
      </c>
      <c r="BU27" s="4504">
        <f t="shared" si="15"/>
        <v>0</v>
      </c>
      <c r="BV27" s="4504">
        <f t="shared" si="16"/>
        <v>0</v>
      </c>
      <c r="BW27" s="4504">
        <f t="shared" si="17"/>
        <v>0</v>
      </c>
      <c r="BX27" s="4504">
        <f t="shared" si="18"/>
        <v>0</v>
      </c>
      <c r="BY27" s="4504">
        <f t="shared" si="19"/>
        <v>0</v>
      </c>
      <c r="BZ27" s="4504">
        <f t="shared" si="20"/>
        <v>0</v>
      </c>
      <c r="CA27" s="4504">
        <f t="shared" si="21"/>
        <v>0</v>
      </c>
      <c r="CB27" s="4504">
        <f t="shared" si="22"/>
        <v>0</v>
      </c>
      <c r="CC27" s="4504">
        <f t="shared" si="23"/>
        <v>0</v>
      </c>
      <c r="CD27" s="4504">
        <f t="shared" si="24"/>
        <v>0</v>
      </c>
      <c r="CE27" s="4504">
        <f t="shared" si="25"/>
        <v>0</v>
      </c>
      <c r="CF27" s="4504">
        <f t="shared" si="26"/>
        <v>0</v>
      </c>
      <c r="CG27" s="4504">
        <f t="shared" si="27"/>
        <v>0</v>
      </c>
      <c r="CH27" s="4504">
        <f t="shared" si="28"/>
        <v>0</v>
      </c>
      <c r="CI27" s="4504">
        <f t="shared" si="29"/>
        <v>0</v>
      </c>
      <c r="CJ27" s="4504">
        <f t="shared" si="30"/>
        <v>0</v>
      </c>
    </row>
    <row r="28" spans="1:88" ht="15.9" customHeight="1" thickBot="1">
      <c r="A28" s="841" t="s">
        <v>440</v>
      </c>
      <c r="B28" s="3142">
        <f>'12. Разходи'!B28</f>
        <v>0</v>
      </c>
      <c r="C28" s="3144">
        <f>'12. Разходи'!C28</f>
        <v>0</v>
      </c>
      <c r="D28" s="1137">
        <f>'12. Разходи'!D28-'12. Разходи'!$C28</f>
        <v>0</v>
      </c>
      <c r="E28" s="1123">
        <f>IFERROR(('12. Разходи'!D28-'12. Разходи'!$C28)/'12. Разходи'!$C28,0)</f>
        <v>0</v>
      </c>
      <c r="F28" s="1138">
        <f>'12. Разходи'!E28-'12. Разходи'!$C28</f>
        <v>0</v>
      </c>
      <c r="G28" s="1123">
        <f>IFERROR(('12. Разходи'!E28-'12. Разходи'!$C28)/'12. Разходи'!$C28,0)</f>
        <v>0</v>
      </c>
      <c r="H28" s="1138">
        <f>'12. Разходи'!F28-'12. Разходи'!$C28</f>
        <v>0</v>
      </c>
      <c r="I28" s="1123">
        <f>IFERROR(('12. Разходи'!F28-'12. Разходи'!$C28)/'12. Разходи'!$C28,0)</f>
        <v>0</v>
      </c>
      <c r="J28" s="1138">
        <f>'12. Разходи'!G28-'12. Разходи'!$C28</f>
        <v>0</v>
      </c>
      <c r="K28" s="1123">
        <f>IFERROR(('12. Разходи'!G28-'12. Разходи'!$C28)/'12. Разходи'!$C28,0)</f>
        <v>0</v>
      </c>
      <c r="L28" s="1138">
        <f>'12. Разходи'!H28-'12. Разходи'!$C28</f>
        <v>0</v>
      </c>
      <c r="M28" s="1124">
        <f>IFERROR(('12. Разходи'!H28-'12. Разходи'!$C28)/'12. Разходи'!$C28,0)</f>
        <v>0</v>
      </c>
      <c r="N28" s="1178">
        <f>'12. Разходи'!K28</f>
        <v>0</v>
      </c>
      <c r="O28" s="1137">
        <f>'12. Разходи'!L28-'12. Разходи'!$K28</f>
        <v>0</v>
      </c>
      <c r="P28" s="1123">
        <f>IFERROR(('12. Разходи'!L28-'12. Разходи'!$K28)/'12. Разходи'!$K28,0)</f>
        <v>0</v>
      </c>
      <c r="Q28" s="1138">
        <f>'12. Разходи'!M28-'12. Разходи'!$K28</f>
        <v>0</v>
      </c>
      <c r="R28" s="1123">
        <f>IFERROR(('12. Разходи'!M28-'12. Разходи'!$K28)/'12. Разходи'!$K28,0)</f>
        <v>0</v>
      </c>
      <c r="S28" s="1138">
        <f>'12. Разходи'!N28-'12. Разходи'!$K28</f>
        <v>0</v>
      </c>
      <c r="T28" s="1123">
        <f>IFERROR(('12. Разходи'!N28-'12. Разходи'!$K28)/'12. Разходи'!$K28,0)</f>
        <v>0</v>
      </c>
      <c r="U28" s="1138">
        <f>'12. Разходи'!O28-'12. Разходи'!$K28</f>
        <v>0</v>
      </c>
      <c r="V28" s="1123">
        <f>IFERROR(('12. Разходи'!O28-'12. Разходи'!$K28)/'12. Разходи'!$K28,0)</f>
        <v>0</v>
      </c>
      <c r="W28" s="1138">
        <f>'12. Разходи'!P28-'12. Разходи'!$K28</f>
        <v>0</v>
      </c>
      <c r="X28" s="1182">
        <f>IFERROR(('12. Разходи'!P28-'12. Разходи'!$K28)/'12. Разходи'!$K28,0)</f>
        <v>0</v>
      </c>
      <c r="Y28" s="1178">
        <f>'12. Разходи'!S28</f>
        <v>0</v>
      </c>
      <c r="Z28" s="1137">
        <f>'12. Разходи'!T28-'12. Разходи'!$S28</f>
        <v>0</v>
      </c>
      <c r="AA28" s="1123">
        <f>IFERROR(('12. Разходи'!T28-'12. Разходи'!$S28)/'12. Разходи'!$S28,0)</f>
        <v>0</v>
      </c>
      <c r="AB28" s="1138">
        <f>'12. Разходи'!U28-'12. Разходи'!$S28</f>
        <v>0</v>
      </c>
      <c r="AC28" s="1123">
        <f>IFERROR(('12. Разходи'!U28-'12. Разходи'!$S28)/'12. Разходи'!$S28,0)</f>
        <v>0</v>
      </c>
      <c r="AD28" s="1138">
        <f>'12. Разходи'!V28-'12. Разходи'!$S28</f>
        <v>0</v>
      </c>
      <c r="AE28" s="1123">
        <f>IFERROR(('12. Разходи'!V28-'12. Разходи'!$S28)/'12. Разходи'!$S28,0)</f>
        <v>0</v>
      </c>
      <c r="AF28" s="1138">
        <f>'12. Разходи'!W28-'12. Разходи'!$S28</f>
        <v>0</v>
      </c>
      <c r="AG28" s="1123">
        <f>IFERROR(('12. Разходи'!W28-'12. Разходи'!$S28)/'12. Разходи'!$S28,0)</f>
        <v>0</v>
      </c>
      <c r="AH28" s="1138">
        <f>'12. Разходи'!X28-'12. Разходи'!$S28</f>
        <v>0</v>
      </c>
      <c r="AI28" s="1182">
        <f>IFERROR(('12. Разходи'!X28-'12. Разходи'!$S28)/'12. Разходи'!$S28,0)</f>
        <v>0</v>
      </c>
      <c r="AJ28" s="1179">
        <f>'12. Разходи'!AA28</f>
        <v>0</v>
      </c>
      <c r="AK28" s="1141">
        <f>'12. Разходи'!AB28-'12. Разходи'!$AA28</f>
        <v>0</v>
      </c>
      <c r="AL28" s="1121">
        <f>IFERROR(('12. Разходи'!AB28-'12. Разходи'!$AA28)/'12. Разходи'!$AA28,0)</f>
        <v>0</v>
      </c>
      <c r="AM28" s="907">
        <f>'12. Разходи'!AC28-'12. Разходи'!$AA28</f>
        <v>0</v>
      </c>
      <c r="AN28" s="1129">
        <f>IFERROR(('12. Разходи'!AC28-'12. Разходи'!$AA28)/'12. Разходи'!$AA28,0)</f>
        <v>0</v>
      </c>
      <c r="AO28" s="907">
        <f>'12. Разходи'!AD28-'12. Разходи'!$AA28</f>
        <v>0</v>
      </c>
      <c r="AP28" s="1129">
        <f>IFERROR(('12. Разходи'!AD28-'12. Разходи'!$AA28)/'12. Разходи'!$AA28,0)</f>
        <v>0</v>
      </c>
      <c r="AQ28" s="907">
        <f>'12. Разходи'!AE28-'12. Разходи'!$AA28</f>
        <v>0</v>
      </c>
      <c r="AR28" s="1128">
        <f>IFERROR(('12. Разходи'!AE28-'12. Разходи'!$AA28)/'12. Разходи'!$AA28,0)</f>
        <v>0</v>
      </c>
      <c r="AS28" s="1136">
        <f>'12. Разходи'!AF28-'12. Разходи'!$AA28</f>
        <v>0</v>
      </c>
      <c r="AT28" s="1183">
        <f>IFERROR(('12. Разходи'!AF28-'12. Разходи'!$AA28)/'12. Разходи'!$AA28,0)</f>
        <v>0</v>
      </c>
      <c r="AU28" s="1177">
        <f>'12. Разходи'!AI28</f>
        <v>0</v>
      </c>
      <c r="AV28" s="1141">
        <f>'12. Разходи'!AJ28-'12. Разходи'!$AI28</f>
        <v>0</v>
      </c>
      <c r="AW28" s="1121">
        <f>IFERROR(('12. Разходи'!AJ28-'12. Разходи'!$AI28)/'12. Разходи'!$AI28,0)</f>
        <v>0</v>
      </c>
      <c r="AX28" s="907">
        <f>'12. Разходи'!AK28-'12. Разходи'!$AI28</f>
        <v>0</v>
      </c>
      <c r="AY28" s="1129">
        <f>IFERROR(('12. Разходи'!AK28-'12. Разходи'!$AI28)/'12. Разходи'!$AI28,0)</f>
        <v>0</v>
      </c>
      <c r="AZ28" s="907">
        <f>'12. Разходи'!AL28-'12. Разходи'!$AI28</f>
        <v>0</v>
      </c>
      <c r="BA28" s="1129">
        <f>IFERROR(('12. Разходи'!AL28-'12. Разходи'!$AI28)/'12. Разходи'!$AI28,0)</f>
        <v>0</v>
      </c>
      <c r="BB28" s="907">
        <f>'12. Разходи'!AM28-'12. Разходи'!$AI28</f>
        <v>0</v>
      </c>
      <c r="BC28" s="1128">
        <f>IFERROR(('12. Разходи'!AM28-'12. Разходи'!$AI28)/'12. Разходи'!$AI28,0)</f>
        <v>0</v>
      </c>
      <c r="BD28" s="1136">
        <f>'12. Разходи'!AN28-'12. Разходи'!$AI28</f>
        <v>0</v>
      </c>
      <c r="BE28" s="1183">
        <f>IFERROR(('12. Разходи'!AN28-'12. Разходи'!$AI28)/'12. Разходи'!$AI28,0)</f>
        <v>0</v>
      </c>
      <c r="BF28" s="4488"/>
      <c r="BG28" s="4504">
        <f t="shared" si="1"/>
        <v>0</v>
      </c>
      <c r="BH28" s="4504">
        <f t="shared" si="2"/>
        <v>0</v>
      </c>
      <c r="BI28" s="4504">
        <f t="shared" si="3"/>
        <v>0</v>
      </c>
      <c r="BJ28" s="4504">
        <f t="shared" si="4"/>
        <v>0</v>
      </c>
      <c r="BK28" s="4504">
        <f t="shared" si="5"/>
        <v>0</v>
      </c>
      <c r="BL28" s="4504">
        <f t="shared" si="6"/>
        <v>0</v>
      </c>
      <c r="BM28" s="4504">
        <f t="shared" si="7"/>
        <v>0</v>
      </c>
      <c r="BN28" s="4504">
        <f t="shared" si="8"/>
        <v>0</v>
      </c>
      <c r="BO28" s="4504">
        <f t="shared" si="9"/>
        <v>0</v>
      </c>
      <c r="BP28" s="4504">
        <f t="shared" si="10"/>
        <v>0</v>
      </c>
      <c r="BQ28" s="4504">
        <f t="shared" si="11"/>
        <v>0</v>
      </c>
      <c r="BR28" s="4504">
        <f t="shared" si="12"/>
        <v>0</v>
      </c>
      <c r="BS28" s="4504">
        <f t="shared" si="13"/>
        <v>0</v>
      </c>
      <c r="BT28" s="4504">
        <f t="shared" si="14"/>
        <v>0</v>
      </c>
      <c r="BU28" s="4504">
        <f t="shared" si="15"/>
        <v>0</v>
      </c>
      <c r="BV28" s="4504">
        <f t="shared" si="16"/>
        <v>0</v>
      </c>
      <c r="BW28" s="4504">
        <f t="shared" si="17"/>
        <v>0</v>
      </c>
      <c r="BX28" s="4504">
        <f t="shared" si="18"/>
        <v>0</v>
      </c>
      <c r="BY28" s="4504">
        <f t="shared" si="19"/>
        <v>0</v>
      </c>
      <c r="BZ28" s="4504">
        <f t="shared" si="20"/>
        <v>0</v>
      </c>
      <c r="CA28" s="4504">
        <f t="shared" si="21"/>
        <v>0</v>
      </c>
      <c r="CB28" s="4504">
        <f t="shared" si="22"/>
        <v>0</v>
      </c>
      <c r="CC28" s="4504">
        <f t="shared" si="23"/>
        <v>0</v>
      </c>
      <c r="CD28" s="4504">
        <f t="shared" si="24"/>
        <v>0</v>
      </c>
      <c r="CE28" s="4504">
        <f t="shared" si="25"/>
        <v>0</v>
      </c>
      <c r="CF28" s="4504">
        <f t="shared" si="26"/>
        <v>0</v>
      </c>
      <c r="CG28" s="4504">
        <f t="shared" si="27"/>
        <v>0</v>
      </c>
      <c r="CH28" s="4504">
        <f t="shared" si="28"/>
        <v>0</v>
      </c>
      <c r="CI28" s="4504">
        <f t="shared" si="29"/>
        <v>0</v>
      </c>
      <c r="CJ28" s="4504">
        <f t="shared" si="30"/>
        <v>0</v>
      </c>
    </row>
    <row r="29" spans="1:88" s="1160" customFormat="1" ht="15.9" customHeight="1" thickBot="1">
      <c r="A29" s="109" t="s">
        <v>95</v>
      </c>
      <c r="B29" s="897" t="s">
        <v>239</v>
      </c>
      <c r="C29" s="1110">
        <f>'12. Разходи'!C29</f>
        <v>773.75609888426754</v>
      </c>
      <c r="D29" s="1148">
        <f>'12. Разходи'!D29-'12. Разходи'!$C29</f>
        <v>92.914150089935447</v>
      </c>
      <c r="E29" s="875">
        <f>IFERROR(('12. Разходи'!D29-'12. Разходи'!$C29)/'12. Разходи'!$C29,0)</f>
        <v>0.12008196151722073</v>
      </c>
      <c r="F29" s="1147">
        <f>'12. Разходи'!E29-'12. Разходи'!$C29</f>
        <v>94.392417886301246</v>
      </c>
      <c r="G29" s="875">
        <f>IFERROR(('12. Разходи'!E29-'12. Разходи'!$C29)/'12. Разходи'!$C29,0)</f>
        <v>0.12199247026603371</v>
      </c>
      <c r="H29" s="1147">
        <f>'12. Разходи'!F29-'12. Разходи'!$C29</f>
        <v>88.075790622679278</v>
      </c>
      <c r="I29" s="875">
        <f>IFERROR(('12. Разходи'!F29-'12. Разходи'!$C29)/'12. Разходи'!$C29,0)</f>
        <v>0.11382888063781578</v>
      </c>
      <c r="J29" s="1147">
        <f>'12. Разходи'!G29-'12. Разходи'!$C29</f>
        <v>91.309377764706255</v>
      </c>
      <c r="K29" s="884">
        <f>IFERROR(('12. Разходи'!G29-'12. Разходи'!$C29)/'12. Разходи'!$C29,0)</f>
        <v>0.11800795870477992</v>
      </c>
      <c r="L29" s="1147">
        <f>'12. Разходи'!H29-'12. Разходи'!$C29</f>
        <v>84.442618768122543</v>
      </c>
      <c r="M29" s="884">
        <f>IFERROR(('12. Разходи'!H29-'12. Разходи'!$C29)/'12. Разходи'!$C29,0)</f>
        <v>0.10913338051859778</v>
      </c>
      <c r="N29" s="1161">
        <f>'12. Разходи'!K29</f>
        <v>31.803552062251342</v>
      </c>
      <c r="O29" s="1148">
        <f>'12. Разходи'!L29-'12. Разходи'!$K29</f>
        <v>-7.221281659565193E-2</v>
      </c>
      <c r="P29" s="875">
        <f>IFERROR(('12. Разходи'!L29-'12. Разходи'!$K29)/'12. Разходи'!$K29,0)</f>
        <v>-2.2705896641452084E-3</v>
      </c>
      <c r="Q29" s="1147">
        <f>'12. Разходи'!M29-'12. Разходи'!$K29</f>
        <v>-0.25041644177901645</v>
      </c>
      <c r="R29" s="875">
        <f>IFERROR(('12. Разходи'!M29-'12. Разходи'!$K29)/'12. Разходи'!$K29,0)</f>
        <v>-7.873851363799195E-3</v>
      </c>
      <c r="S29" s="1147">
        <f>'12. Разходи'!N29-'12. Разходи'!$K29</f>
        <v>-0.98725856904096787</v>
      </c>
      <c r="T29" s="875">
        <f>IFERROR(('12. Разходи'!N29-'12. Разходи'!$K29)/'12. Разходи'!$K29,0)</f>
        <v>-3.1042399512750552E-2</v>
      </c>
      <c r="U29" s="1147">
        <f>'12. Разходи'!O29-'12. Разходи'!$K29</f>
        <v>-0.1230196911259327</v>
      </c>
      <c r="V29" s="884">
        <f>IFERROR(('12. Разходи'!O29-'12. Разходи'!$K29)/'12. Разходи'!$K29,0)</f>
        <v>-3.8681116777502574E-3</v>
      </c>
      <c r="W29" s="1147">
        <f>'12. Разходи'!P29-'12. Разходи'!$K29</f>
        <v>-0.84419401978571074</v>
      </c>
      <c r="X29" s="820">
        <f>IFERROR(('12. Разходи'!P29-'12. Разходи'!$K29)/'12. Разходи'!$K29,0)</f>
        <v>-2.6544016785713435E-2</v>
      </c>
      <c r="Y29" s="1161">
        <f>'12. Разходи'!S29</f>
        <v>244.59925512739284</v>
      </c>
      <c r="Z29" s="1148">
        <f>'12. Разходи'!T29-'12. Разходи'!$S29</f>
        <v>16.892869537784179</v>
      </c>
      <c r="AA29" s="875">
        <f>IFERROR(('12. Разходи'!T29-'12. Разходи'!$S29)/'12. Разходи'!$S29,0)</f>
        <v>6.9063454543170991E-2</v>
      </c>
      <c r="AB29" s="1147">
        <f>'12. Разходи'!U29-'12. Разходи'!$S29</f>
        <v>17.54640121059964</v>
      </c>
      <c r="AC29" s="875">
        <f>IFERROR(('12. Разходи'!U29-'12. Разходи'!$S29)/'12. Разходи'!$S29,0)</f>
        <v>7.1735301080377678E-2</v>
      </c>
      <c r="AD29" s="1147">
        <f>'12. Разходи'!V29-'12. Разходи'!$S29</f>
        <v>18.317064432094924</v>
      </c>
      <c r="AE29" s="875">
        <f>IFERROR(('12. Разходи'!V29-'12. Разходи'!$S29)/'12. Разходи'!$S29,0)</f>
        <v>7.4886018857886469E-2</v>
      </c>
      <c r="AF29" s="1147">
        <f>'12. Разходи'!W29-'12. Разходи'!$S29</f>
        <v>19.619388595329042</v>
      </c>
      <c r="AG29" s="884">
        <f>IFERROR(('12. Разходи'!W29-'12. Разходи'!$S29)/'12. Разходи'!$S29,0)</f>
        <v>8.0210336638641105E-2</v>
      </c>
      <c r="AH29" s="1147">
        <f>'12. Разходи'!X29-'12. Разходи'!$S29</f>
        <v>21.32682086769546</v>
      </c>
      <c r="AI29" s="820">
        <f>IFERROR(('12. Разходи'!X29-'12. Разходи'!$S29)/'12. Разходи'!$S29,0)</f>
        <v>8.7190865959865527E-2</v>
      </c>
      <c r="AJ29" s="1161">
        <f>'12. Разходи'!AA29</f>
        <v>0</v>
      </c>
      <c r="AK29" s="1148">
        <f>'12. Разходи'!AB29-'12. Разходи'!$AA29</f>
        <v>0</v>
      </c>
      <c r="AL29" s="875">
        <f>IFERROR(('12. Разходи'!AB29-'12. Разходи'!$AA29)/'12. Разходи'!$AA29,0)</f>
        <v>0</v>
      </c>
      <c r="AM29" s="1147">
        <f>'12. Разходи'!AC29-'12. Разходи'!$AA29</f>
        <v>0</v>
      </c>
      <c r="AN29" s="875">
        <f>IFERROR(('12. Разходи'!AC29-'12. Разходи'!$AA29)/'12. Разходи'!$AA29,0)</f>
        <v>0</v>
      </c>
      <c r="AO29" s="1147">
        <f>'12. Разходи'!AD29-'12. Разходи'!$AA29</f>
        <v>0</v>
      </c>
      <c r="AP29" s="875">
        <f>IFERROR(('12. Разходи'!AD29-'12. Разходи'!$AA29)/'12. Разходи'!$AA29,0)</f>
        <v>0</v>
      </c>
      <c r="AQ29" s="1147">
        <f>'12. Разходи'!AE29-'12. Разходи'!$AA29</f>
        <v>0</v>
      </c>
      <c r="AR29" s="884">
        <f>IFERROR(('12. Разходи'!AE29-'12. Разходи'!$AA29)/'12. Разходи'!$AA29,0)</f>
        <v>0</v>
      </c>
      <c r="AS29" s="1147">
        <f>'12. Разходи'!AF29-'12. Разходи'!$AA29</f>
        <v>0</v>
      </c>
      <c r="AT29" s="820">
        <f>IFERROR(('12. Разходи'!AF29-'12. Разходи'!$AA29)/'12. Разходи'!$AA29,0)</f>
        <v>0</v>
      </c>
      <c r="AU29" s="1161">
        <f>'12. Разходи'!AI29</f>
        <v>96.249440048971195</v>
      </c>
      <c r="AV29" s="1148">
        <f>'12. Разходи'!AJ29-'12. Разходи'!$AI29</f>
        <v>34.419814090859177</v>
      </c>
      <c r="AW29" s="875">
        <f>IFERROR(('12. Разходи'!AJ29-'12. Разходи'!$AI29)/'12. Разходи'!$AI29,0)</f>
        <v>0.35761053854803271</v>
      </c>
      <c r="AX29" s="1147">
        <f>'12. Разходи'!AK29-'12. Разходи'!$AI29</f>
        <v>35.26603835305238</v>
      </c>
      <c r="AY29" s="875">
        <f>IFERROR(('12. Разходи'!AK29-'12. Разходи'!$AI29)/'12. Разходи'!$AI29,0)</f>
        <v>0.36640253008338763</v>
      </c>
      <c r="AZ29" s="1147">
        <f>'12. Разходи'!AL29-'12. Разходи'!$AI29</f>
        <v>35.995694545498509</v>
      </c>
      <c r="BA29" s="875">
        <f>IFERROR(('12. Разходи'!AL29-'12. Разходи'!$AI29)/'12. Разходи'!$AI29,0)</f>
        <v>0.37398341774439514</v>
      </c>
      <c r="BB29" s="1147">
        <f>'12. Разходи'!AM29-'12. Разходи'!$AI29</f>
        <v>37.05564405949977</v>
      </c>
      <c r="BC29" s="884">
        <f>IFERROR(('12. Разходи'!AM29-'12. Разходи'!$AI29)/'12. Разходи'!$AI29,0)</f>
        <v>0.38499594429480377</v>
      </c>
      <c r="BD29" s="1147">
        <f>'12. Разходи'!AN29-'12. Разходи'!$AI29</f>
        <v>37.807138740693716</v>
      </c>
      <c r="BE29" s="820">
        <f>IFERROR(('12. Разходи'!AN29-'12. Разходи'!$AI29)/'12. Разходи'!$AI29,0)</f>
        <v>0.39280372666539826</v>
      </c>
      <c r="BF29" s="4488"/>
      <c r="BG29" s="4504">
        <f t="shared" si="1"/>
        <v>395.61521138558442</v>
      </c>
      <c r="BH29" s="4504">
        <f t="shared" si="2"/>
        <v>47.506250589230888</v>
      </c>
      <c r="BI29" s="4504">
        <f t="shared" si="3"/>
        <v>48.262076911746547</v>
      </c>
      <c r="BJ29" s="4504">
        <f t="shared" si="4"/>
        <v>45.032436675313946</v>
      </c>
      <c r="BK29" s="4504">
        <f t="shared" si="5"/>
        <v>46.685743528172829</v>
      </c>
      <c r="BL29" s="4504">
        <f t="shared" si="6"/>
        <v>43.174825403088484</v>
      </c>
      <c r="BM29" s="4504">
        <f t="shared" si="7"/>
        <v>16.260897962630363</v>
      </c>
      <c r="BN29" s="4504">
        <f t="shared" si="8"/>
        <v>-3.6921826843668383E-2</v>
      </c>
      <c r="BO29" s="4504">
        <f t="shared" si="9"/>
        <v>-0.12803589359965664</v>
      </c>
      <c r="BP29" s="4504">
        <f t="shared" si="10"/>
        <v>-0.50477729099204327</v>
      </c>
      <c r="BQ29" s="4504">
        <f t="shared" si="11"/>
        <v>-6.2898969299955879E-2</v>
      </c>
      <c r="BR29" s="4504">
        <f t="shared" si="12"/>
        <v>-0.43162954847083373</v>
      </c>
      <c r="BS29" s="4504">
        <f t="shared" si="13"/>
        <v>125.06161329327847</v>
      </c>
      <c r="BT29" s="4504">
        <f t="shared" si="14"/>
        <v>8.6371870447759669</v>
      </c>
      <c r="BU29" s="4504">
        <f t="shared" si="15"/>
        <v>8.9713324831910963</v>
      </c>
      <c r="BV29" s="4504">
        <f t="shared" si="16"/>
        <v>9.3653663314781568</v>
      </c>
      <c r="BW29" s="4504">
        <f t="shared" si="17"/>
        <v>10.031234102825421</v>
      </c>
      <c r="BX29" s="4504">
        <f t="shared" si="18"/>
        <v>10.904230361378781</v>
      </c>
      <c r="BY29" s="4504">
        <f t="shared" si="19"/>
        <v>0</v>
      </c>
      <c r="BZ29" s="4504">
        <f t="shared" si="20"/>
        <v>0</v>
      </c>
      <c r="CA29" s="4504">
        <f t="shared" si="21"/>
        <v>0</v>
      </c>
      <c r="CB29" s="4504">
        <f t="shared" si="22"/>
        <v>0</v>
      </c>
      <c r="CC29" s="4504">
        <f t="shared" si="23"/>
        <v>0</v>
      </c>
      <c r="CD29" s="4504">
        <f t="shared" si="24"/>
        <v>0</v>
      </c>
      <c r="CE29" s="4504">
        <f t="shared" si="25"/>
        <v>49.211557266721137</v>
      </c>
      <c r="CF29" s="4504">
        <f t="shared" si="26"/>
        <v>17.598571496939499</v>
      </c>
      <c r="CG29" s="4504">
        <f t="shared" si="27"/>
        <v>18.031239091870141</v>
      </c>
      <c r="CH29" s="4504">
        <f t="shared" si="28"/>
        <v>18.404306379132393</v>
      </c>
      <c r="CI29" s="4504">
        <f t="shared" si="29"/>
        <v>18.946249960119115</v>
      </c>
      <c r="CJ29" s="4504">
        <f t="shared" si="30"/>
        <v>19.330483089375722</v>
      </c>
    </row>
    <row r="30" spans="1:88" ht="15.9" customHeight="1">
      <c r="A30" s="108" t="s">
        <v>96</v>
      </c>
      <c r="B30" s="898" t="s">
        <v>240</v>
      </c>
      <c r="C30" s="1113">
        <f>'12. Разходи'!C30</f>
        <v>27.564038381790539</v>
      </c>
      <c r="D30" s="1139">
        <f>'12. Разходи'!D30-'12. Разходи'!$C30</f>
        <v>2.3429432624521951</v>
      </c>
      <c r="E30" s="1125">
        <f>IFERROR(('12. Разходи'!D30-'12. Разходи'!$C30)/'12. Разходи'!$C30,0)</f>
        <v>8.4999999999999978E-2</v>
      </c>
      <c r="F30" s="1140">
        <f>'12. Разходи'!E30-'12. Разходи'!$C30</f>
        <v>2.3429432624521951</v>
      </c>
      <c r="G30" s="1126">
        <f>IFERROR(('12. Разходи'!E30-'12. Разходи'!$C30)/'12. Разходи'!$C30,0)</f>
        <v>8.4999999999999978E-2</v>
      </c>
      <c r="H30" s="1140">
        <f>'12. Разходи'!F30-'12. Разходи'!$C30</f>
        <v>2.3429432624521951</v>
      </c>
      <c r="I30" s="1126">
        <f>IFERROR(('12. Разходи'!F30-'12. Разходи'!$C30)/'12. Разходи'!$C30,0)</f>
        <v>8.4999999999999978E-2</v>
      </c>
      <c r="J30" s="1140">
        <f>'12. Разходи'!G30-'12. Разходи'!$C30</f>
        <v>2.3429432624521951</v>
      </c>
      <c r="K30" s="1127">
        <f>IFERROR(('12. Разходи'!G30-'12. Разходи'!$C30)/'12. Разходи'!$C30,0)</f>
        <v>8.4999999999999978E-2</v>
      </c>
      <c r="L30" s="1136">
        <f>'12. Разходи'!H30-'12. Разходи'!$C30</f>
        <v>2.3429432624521951</v>
      </c>
      <c r="M30" s="1128">
        <f>IFERROR(('12. Разходи'!H30-'12. Разходи'!$C30)/'12. Разходи'!$C30,0)</f>
        <v>8.4999999999999978E-2</v>
      </c>
      <c r="N30" s="1180">
        <f>'12. Разходи'!K30</f>
        <v>2.389802386281715</v>
      </c>
      <c r="O30" s="1139">
        <f>'12. Разходи'!L30-'12. Разходи'!$K30</f>
        <v>0.20313320283394587</v>
      </c>
      <c r="P30" s="1125">
        <f>IFERROR(('12. Разходи'!L30-'12. Разходи'!$K30)/'12. Разходи'!$K30,0)</f>
        <v>8.5000000000000034E-2</v>
      </c>
      <c r="Q30" s="1140">
        <f>'12. Разходи'!M30-'12. Разходи'!$K30</f>
        <v>0.20313320283394587</v>
      </c>
      <c r="R30" s="1126">
        <f>IFERROR(('12. Разходи'!M30-'12. Разходи'!$K30)/'12. Разходи'!$K30,0)</f>
        <v>8.5000000000000034E-2</v>
      </c>
      <c r="S30" s="1140">
        <f>'12. Разходи'!N30-'12. Разходи'!$K30</f>
        <v>0.20313320283394587</v>
      </c>
      <c r="T30" s="1126">
        <f>IFERROR(('12. Разходи'!N30-'12. Разходи'!$K30)/'12. Разходи'!$K30,0)</f>
        <v>8.5000000000000034E-2</v>
      </c>
      <c r="U30" s="1140">
        <f>'12. Разходи'!O30-'12. Разходи'!$K30</f>
        <v>0.20313320283394587</v>
      </c>
      <c r="V30" s="1127">
        <f>IFERROR(('12. Разходи'!O30-'12. Разходи'!$K30)/'12. Разходи'!$K30,0)</f>
        <v>8.5000000000000034E-2</v>
      </c>
      <c r="W30" s="1136">
        <f>'12. Разходи'!P30-'12. Разходи'!$K30</f>
        <v>0.20313320283394587</v>
      </c>
      <c r="X30" s="1183">
        <f>IFERROR(('12. Разходи'!P30-'12. Разходи'!$K30)/'12. Разходи'!$K30,0)</f>
        <v>8.5000000000000034E-2</v>
      </c>
      <c r="Y30" s="1180">
        <f>'12. Разходи'!S30</f>
        <v>6.3920102611748586</v>
      </c>
      <c r="Z30" s="1139">
        <f>'12. Разходи'!T30-'12. Разходи'!$S30</f>
        <v>1.3433208721998628</v>
      </c>
      <c r="AA30" s="1125">
        <f>IFERROR(('12. Разходи'!T30-'12. Разходи'!$S30)/'12. Разходи'!$S30,0)</f>
        <v>0.21015624464172231</v>
      </c>
      <c r="AB30" s="1140">
        <f>'12. Разходи'!U30-'12. Разходи'!$S30</f>
        <v>1.3433208721998628</v>
      </c>
      <c r="AC30" s="1126">
        <f>IFERROR(('12. Разходи'!U30-'12. Разходи'!$S30)/'12. Разходи'!$S30,0)</f>
        <v>0.21015624464172231</v>
      </c>
      <c r="AD30" s="1140">
        <f>'12. Разходи'!V30-'12. Разходи'!$S30</f>
        <v>1.3433208721998628</v>
      </c>
      <c r="AE30" s="1126">
        <f>IFERROR(('12. Разходи'!V30-'12. Разходи'!$S30)/'12. Разходи'!$S30,0)</f>
        <v>0.21015624464172231</v>
      </c>
      <c r="AF30" s="1140">
        <f>'12. Разходи'!W30-'12. Разходи'!$S30</f>
        <v>1.3433208721998628</v>
      </c>
      <c r="AG30" s="1127">
        <f>IFERROR(('12. Разходи'!W30-'12. Разходи'!$S30)/'12. Разходи'!$S30,0)</f>
        <v>0.21015624464172231</v>
      </c>
      <c r="AH30" s="1136">
        <f>'12. Разходи'!X30-'12. Разходи'!$S30</f>
        <v>1.3433208721998628</v>
      </c>
      <c r="AI30" s="1183">
        <f>IFERROR(('12. Разходи'!X30-'12. Разходи'!$S30)/'12. Разходи'!$S30,0)</f>
        <v>0.21015624464172231</v>
      </c>
      <c r="AJ30" s="1180">
        <f>'12. Разходи'!AA30</f>
        <v>0</v>
      </c>
      <c r="AK30" s="1139">
        <f>'12. Разходи'!AB30-'12. Разходи'!$AA30</f>
        <v>0</v>
      </c>
      <c r="AL30" s="1125">
        <f>IFERROR(('12. Разходи'!AB30-'12. Разходи'!$AA30)/'12. Разходи'!$AA30,0)</f>
        <v>0</v>
      </c>
      <c r="AM30" s="1140">
        <f>'12. Разходи'!AC30-'12. Разходи'!$AA30</f>
        <v>0</v>
      </c>
      <c r="AN30" s="1126">
        <f>IFERROR(('12. Разходи'!AC30-'12. Разходи'!$AA30)/'12. Разходи'!$AA30,0)</f>
        <v>0</v>
      </c>
      <c r="AO30" s="1140">
        <f>'12. Разходи'!AD30-'12. Разходи'!$AA30</f>
        <v>0</v>
      </c>
      <c r="AP30" s="1126">
        <f>IFERROR(('12. Разходи'!AD30-'12. Разходи'!$AA30)/'12. Разходи'!$AA30,0)</f>
        <v>0</v>
      </c>
      <c r="AQ30" s="1140">
        <f>'12. Разходи'!AE30-'12. Разходи'!$AA30</f>
        <v>0</v>
      </c>
      <c r="AR30" s="1127">
        <f>IFERROR(('12. Разходи'!AE30-'12. Разходи'!$AA30)/'12. Разходи'!$AA30,0)</f>
        <v>0</v>
      </c>
      <c r="AS30" s="1136">
        <f>'12. Разходи'!AF30-'12. Разходи'!$AA30</f>
        <v>0</v>
      </c>
      <c r="AT30" s="1183">
        <f>IFERROR(('12. Разходи'!AF30-'12. Разходи'!$AA30)/'12. Разходи'!$AA30,0)</f>
        <v>0</v>
      </c>
      <c r="AU30" s="1180">
        <f>'12. Разходи'!AI30</f>
        <v>4.242563478643107</v>
      </c>
      <c r="AV30" s="1139">
        <f>'12. Разходи'!AJ30-'12. Разходи'!$AI30</f>
        <v>0.36061789568466374</v>
      </c>
      <c r="AW30" s="1125">
        <f>IFERROR(('12. Разходи'!AJ30-'12. Разходи'!$AI30)/'12. Разходи'!$AI30,0)</f>
        <v>8.4999999999999909E-2</v>
      </c>
      <c r="AX30" s="1140">
        <f>'12. Разходи'!AK30-'12. Разходи'!$AI30</f>
        <v>0.36061789568466374</v>
      </c>
      <c r="AY30" s="1126">
        <f>IFERROR(('12. Разходи'!AK30-'12. Разходи'!$AI30)/'12. Разходи'!$AI30,0)</f>
        <v>8.4999999999999909E-2</v>
      </c>
      <c r="AZ30" s="1140">
        <f>'12. Разходи'!AL30-'12. Разходи'!$AI30</f>
        <v>0.36061789568466374</v>
      </c>
      <c r="BA30" s="1126">
        <f>IFERROR(('12. Разходи'!AL30-'12. Разходи'!$AI30)/'12. Разходи'!$AI30,0)</f>
        <v>8.4999999999999909E-2</v>
      </c>
      <c r="BB30" s="1140">
        <f>'12. Разходи'!AM30-'12. Разходи'!$AI30</f>
        <v>0.36061789568466374</v>
      </c>
      <c r="BC30" s="1127">
        <f>IFERROR(('12. Разходи'!AM30-'12. Разходи'!$AI30)/'12. Разходи'!$AI30,0)</f>
        <v>8.4999999999999909E-2</v>
      </c>
      <c r="BD30" s="1136">
        <f>'12. Разходи'!AN30-'12. Разходи'!$AI30</f>
        <v>0.36061789568466374</v>
      </c>
      <c r="BE30" s="1183">
        <f>IFERROR(('12. Разходи'!AN30-'12. Разходи'!$AI30)/'12. Разходи'!$AI30,0)</f>
        <v>8.4999999999999909E-2</v>
      </c>
      <c r="BF30" s="4488"/>
      <c r="BG30" s="4504">
        <f t="shared" si="1"/>
        <v>14.093269037590455</v>
      </c>
      <c r="BH30" s="4504">
        <f t="shared" si="2"/>
        <v>1.1979278681951884</v>
      </c>
      <c r="BI30" s="4504">
        <f t="shared" si="3"/>
        <v>1.1979278681951884</v>
      </c>
      <c r="BJ30" s="4504">
        <f t="shared" si="4"/>
        <v>1.1979278681951884</v>
      </c>
      <c r="BK30" s="4504">
        <f t="shared" si="5"/>
        <v>1.1979278681951884</v>
      </c>
      <c r="BL30" s="4504">
        <f t="shared" si="6"/>
        <v>1.1979278681951884</v>
      </c>
      <c r="BM30" s="4504">
        <f t="shared" si="7"/>
        <v>1.2218865577691902</v>
      </c>
      <c r="BN30" s="4504">
        <f t="shared" si="8"/>
        <v>0.1038603574103812</v>
      </c>
      <c r="BO30" s="4504">
        <f t="shared" si="9"/>
        <v>0.1038603574103812</v>
      </c>
      <c r="BP30" s="4504">
        <f t="shared" si="10"/>
        <v>0.1038603574103812</v>
      </c>
      <c r="BQ30" s="4504">
        <f t="shared" si="11"/>
        <v>0.1038603574103812</v>
      </c>
      <c r="BR30" s="4504">
        <f t="shared" si="12"/>
        <v>0.1038603574103812</v>
      </c>
      <c r="BS30" s="4504">
        <f t="shared" si="13"/>
        <v>3.2681829510616254</v>
      </c>
      <c r="BT30" s="4504">
        <f t="shared" si="14"/>
        <v>0.68682905579721287</v>
      </c>
      <c r="BU30" s="4504">
        <f t="shared" si="15"/>
        <v>0.68682905579721287</v>
      </c>
      <c r="BV30" s="4504">
        <f t="shared" si="16"/>
        <v>0.68682905579721287</v>
      </c>
      <c r="BW30" s="4504">
        <f t="shared" si="17"/>
        <v>0.68682905579721287</v>
      </c>
      <c r="BX30" s="4504">
        <f t="shared" si="18"/>
        <v>0.68682905579721287</v>
      </c>
      <c r="BY30" s="4504">
        <f t="shared" si="19"/>
        <v>0</v>
      </c>
      <c r="BZ30" s="4504">
        <f t="shared" si="20"/>
        <v>0</v>
      </c>
      <c r="CA30" s="4504">
        <f t="shared" si="21"/>
        <v>0</v>
      </c>
      <c r="CB30" s="4504">
        <f t="shared" si="22"/>
        <v>0</v>
      </c>
      <c r="CC30" s="4504">
        <f t="shared" si="23"/>
        <v>0</v>
      </c>
      <c r="CD30" s="4504">
        <f t="shared" si="24"/>
        <v>0</v>
      </c>
      <c r="CE30" s="4504">
        <f t="shared" si="25"/>
        <v>2.1691882620898069</v>
      </c>
      <c r="CF30" s="4504">
        <f t="shared" si="26"/>
        <v>0.1843810022776334</v>
      </c>
      <c r="CG30" s="4504">
        <f t="shared" si="27"/>
        <v>0.1843810022776334</v>
      </c>
      <c r="CH30" s="4504">
        <f t="shared" si="28"/>
        <v>0.1843810022776334</v>
      </c>
      <c r="CI30" s="4504">
        <f t="shared" si="29"/>
        <v>0.1843810022776334</v>
      </c>
      <c r="CJ30" s="4504">
        <f t="shared" si="30"/>
        <v>0.1843810022776334</v>
      </c>
    </row>
    <row r="31" spans="1:88" ht="24">
      <c r="A31" s="838" t="s">
        <v>97</v>
      </c>
      <c r="B31" s="896" t="s">
        <v>241</v>
      </c>
      <c r="C31" s="1112">
        <f>'12. Разходи'!C31</f>
        <v>55.423260585311525</v>
      </c>
      <c r="D31" s="1141">
        <f>'12. Разходи'!D31-'12. Разходи'!$C31</f>
        <v>49.459339414688486</v>
      </c>
      <c r="E31" s="1121">
        <f>IFERROR(('12. Разходи'!D31-'12. Разходи'!$C31)/'12. Разходи'!$C31,0)</f>
        <v>0.89239317377506266</v>
      </c>
      <c r="F31" s="907">
        <f>'12. Разходи'!E31-'12. Разходи'!$C31</f>
        <v>49.465949414688481</v>
      </c>
      <c r="G31" s="1129">
        <f>IFERROR(('12. Разходи'!E31-'12. Разходи'!$C31)/'12. Разходи'!$C31,0)</f>
        <v>0.89251243777956524</v>
      </c>
      <c r="H31" s="907">
        <f>'12. Разходи'!F31-'12. Разходи'!$C31</f>
        <v>49.488859414688477</v>
      </c>
      <c r="I31" s="1129">
        <f>IFERROR(('12. Разходи'!F31-'12. Разходи'!$C31)/'12. Разходи'!$C31,0)</f>
        <v>0.89292580212800032</v>
      </c>
      <c r="J31" s="907">
        <f>'12. Разходи'!G31-'12. Разходи'!$C31</f>
        <v>49.501069414688473</v>
      </c>
      <c r="K31" s="1128">
        <f>IFERROR(('12. Разходи'!G31-'12. Разходи'!$C31)/'12. Разходи'!$C31,0)</f>
        <v>0.89314610674146133</v>
      </c>
      <c r="L31" s="1136">
        <f>'12. Разходи'!H31-'12. Разходи'!$C31</f>
        <v>49.516339414688488</v>
      </c>
      <c r="M31" s="1128">
        <f>IFERROR(('12. Разходи'!H31-'12. Разходи'!$C31)/'12. Разходи'!$C31,0)</f>
        <v>0.89342162283053206</v>
      </c>
      <c r="N31" s="1177">
        <f>'12. Разходи'!K31</f>
        <v>0</v>
      </c>
      <c r="O31" s="1141">
        <f>'12. Разходи'!L31-'12. Разходи'!$K31</f>
        <v>0</v>
      </c>
      <c r="P31" s="1121">
        <f>IFERROR(('12. Разходи'!L31-'12. Разходи'!$K31)/'12. Разходи'!$K31,0)</f>
        <v>0</v>
      </c>
      <c r="Q31" s="907">
        <f>'12. Разходи'!M31-'12. Разходи'!$K31</f>
        <v>0</v>
      </c>
      <c r="R31" s="1129">
        <f>IFERROR(('12. Разходи'!M31-'12. Разходи'!$K31)/'12. Разходи'!$K31,0)</f>
        <v>0</v>
      </c>
      <c r="S31" s="907">
        <f>'12. Разходи'!N31-'12. Разходи'!$K31</f>
        <v>0</v>
      </c>
      <c r="T31" s="1129">
        <f>IFERROR(('12. Разходи'!N31-'12. Разходи'!$K31)/'12. Разходи'!$K31,0)</f>
        <v>0</v>
      </c>
      <c r="U31" s="907">
        <f>'12. Разходи'!O31-'12. Разходи'!$K31</f>
        <v>0</v>
      </c>
      <c r="V31" s="1128">
        <f>IFERROR(('12. Разходи'!O31-'12. Разходи'!$K31)/'12. Разходи'!$K31,0)</f>
        <v>0</v>
      </c>
      <c r="W31" s="1136">
        <f>'12. Разходи'!P31-'12. Разходи'!$K31</f>
        <v>0</v>
      </c>
      <c r="X31" s="1183">
        <f>IFERROR(('12. Разходи'!P31-'12. Разходи'!$K31)/'12. Разходи'!$K31,0)</f>
        <v>0</v>
      </c>
      <c r="Y31" s="1177">
        <f>'12. Разходи'!S31</f>
        <v>0</v>
      </c>
      <c r="Z31" s="1141">
        <f>'12. Разходи'!T31-'12. Разходи'!$S31</f>
        <v>0</v>
      </c>
      <c r="AA31" s="1121">
        <f>IFERROR(('12. Разходи'!T31-'12. Разходи'!$S31)/'12. Разходи'!$S31,0)</f>
        <v>0</v>
      </c>
      <c r="AB31" s="907">
        <f>'12. Разходи'!U31-'12. Разходи'!$S31</f>
        <v>0</v>
      </c>
      <c r="AC31" s="1129">
        <f>IFERROR(('12. Разходи'!U31-'12. Разходи'!$S31)/'12. Разходи'!$S31,0)</f>
        <v>0</v>
      </c>
      <c r="AD31" s="907">
        <f>'12. Разходи'!V31-'12. Разходи'!$S31</f>
        <v>0</v>
      </c>
      <c r="AE31" s="1129">
        <f>IFERROR(('12. Разходи'!V31-'12. Разходи'!$S31)/'12. Разходи'!$S31,0)</f>
        <v>0</v>
      </c>
      <c r="AF31" s="907">
        <f>'12. Разходи'!W31-'12. Разходи'!$S31</f>
        <v>0</v>
      </c>
      <c r="AG31" s="1128">
        <f>IFERROR(('12. Разходи'!W31-'12. Разходи'!$S31)/'12. Разходи'!$S31,0)</f>
        <v>0</v>
      </c>
      <c r="AH31" s="1136">
        <f>'12. Разходи'!X31-'12. Разходи'!$S31</f>
        <v>0</v>
      </c>
      <c r="AI31" s="1183">
        <f>IFERROR(('12. Разходи'!X31-'12. Разходи'!$S31)/'12. Разходи'!$S31,0)</f>
        <v>0</v>
      </c>
      <c r="AJ31" s="1177">
        <f>'12. Разходи'!AA31</f>
        <v>0</v>
      </c>
      <c r="AK31" s="1141">
        <f>'12. Разходи'!AB31-'12. Разходи'!$AA31</f>
        <v>0</v>
      </c>
      <c r="AL31" s="1121">
        <f>IFERROR(('12. Разходи'!AB31-'12. Разходи'!$AA31)/'12. Разходи'!$AA31,0)</f>
        <v>0</v>
      </c>
      <c r="AM31" s="907">
        <f>'12. Разходи'!AC31-'12. Разходи'!$AA31</f>
        <v>0</v>
      </c>
      <c r="AN31" s="1129">
        <f>IFERROR(('12. Разходи'!AC31-'12. Разходи'!$AA31)/'12. Разходи'!$AA31,0)</f>
        <v>0</v>
      </c>
      <c r="AO31" s="907">
        <f>'12. Разходи'!AD31-'12. Разходи'!$AA31</f>
        <v>0</v>
      </c>
      <c r="AP31" s="1129">
        <f>IFERROR(('12. Разходи'!AD31-'12. Разходи'!$AA31)/'12. Разходи'!$AA31,0)</f>
        <v>0</v>
      </c>
      <c r="AQ31" s="907">
        <f>'12. Разходи'!AE31-'12. Разходи'!$AA31</f>
        <v>0</v>
      </c>
      <c r="AR31" s="1128">
        <f>IFERROR(('12. Разходи'!AE31-'12. Разходи'!$AA31)/'12. Разходи'!$AA31,0)</f>
        <v>0</v>
      </c>
      <c r="AS31" s="1136">
        <f>'12. Разходи'!AF31-'12. Разходи'!$AA31</f>
        <v>0</v>
      </c>
      <c r="AT31" s="1183">
        <f>IFERROR(('12. Разходи'!AF31-'12. Разходи'!$AA31)/'12. Разходи'!$AA31,0)</f>
        <v>0</v>
      </c>
      <c r="AU31" s="1177">
        <f>'12. Разходи'!AI31</f>
        <v>2.9362994146884711</v>
      </c>
      <c r="AV31" s="1141">
        <f>'12. Разходи'!AJ31-'12. Разходи'!$AI31</f>
        <v>2.4311105853115285</v>
      </c>
      <c r="AW31" s="1121">
        <f>IFERROR(('12. Разходи'!AJ31-'12. Разходи'!$AI31)/'12. Разходи'!$AI31,0)</f>
        <v>0.82795050571144124</v>
      </c>
      <c r="AX31" s="907">
        <f>'12. Разходи'!AK31-'12. Разходи'!$AI31</f>
        <v>2.4244905853115286</v>
      </c>
      <c r="AY31" s="1129">
        <f>IFERROR(('12. Разходи'!AK31-'12. Разходи'!$AI31)/'12. Разходи'!$AI31,0)</f>
        <v>0.82569596723798577</v>
      </c>
      <c r="AZ31" s="907">
        <f>'12. Разходи'!AL31-'12. Разходи'!$AI31</f>
        <v>2.4015805853115291</v>
      </c>
      <c r="BA31" s="1129">
        <f>IFERROR(('12. Разходи'!AL31-'12. Разходи'!$AI31)/'12. Разходи'!$AI31,0)</f>
        <v>0.81789362940915433</v>
      </c>
      <c r="BB31" s="907">
        <f>'12. Разходи'!AM31-'12. Разходи'!$AI31</f>
        <v>2.3893705853115286</v>
      </c>
      <c r="BC31" s="1128">
        <f>IFERROR(('12. Разходи'!AM31-'12. Разходи'!$AI31)/'12. Разходи'!$AI31,0)</f>
        <v>0.81373533412805266</v>
      </c>
      <c r="BD31" s="1136">
        <f>'12. Разходи'!AN31-'12. Разходи'!$AI31</f>
        <v>2.3741005853115285</v>
      </c>
      <c r="BE31" s="1183">
        <f>IFERROR(('12. Разходи'!AN31-'12. Разходи'!$AI31)/'12. Разходи'!$AI31,0)</f>
        <v>0.80853491079124518</v>
      </c>
      <c r="BF31" s="4488"/>
      <c r="BG31" s="4504">
        <f t="shared" si="1"/>
        <v>28.33746316669216</v>
      </c>
      <c r="BH31" s="4504">
        <f t="shared" si="2"/>
        <v>25.288158692058353</v>
      </c>
      <c r="BI31" s="4504">
        <f t="shared" si="3"/>
        <v>25.291538331393056</v>
      </c>
      <c r="BJ31" s="4504">
        <f t="shared" si="4"/>
        <v>25.30325202839126</v>
      </c>
      <c r="BK31" s="4504">
        <f t="shared" si="5"/>
        <v>25.309494902260663</v>
      </c>
      <c r="BL31" s="4504">
        <f t="shared" si="6"/>
        <v>25.317302329286537</v>
      </c>
      <c r="BM31" s="4504">
        <f t="shared" si="7"/>
        <v>0</v>
      </c>
      <c r="BN31" s="4504">
        <f t="shared" si="8"/>
        <v>0</v>
      </c>
      <c r="BO31" s="4504">
        <f t="shared" si="9"/>
        <v>0</v>
      </c>
      <c r="BP31" s="4504">
        <f t="shared" si="10"/>
        <v>0</v>
      </c>
      <c r="BQ31" s="4504">
        <f t="shared" si="11"/>
        <v>0</v>
      </c>
      <c r="BR31" s="4504">
        <f t="shared" si="12"/>
        <v>0</v>
      </c>
      <c r="BS31" s="4504">
        <f t="shared" si="13"/>
        <v>0</v>
      </c>
      <c r="BT31" s="4504">
        <f t="shared" si="14"/>
        <v>0</v>
      </c>
      <c r="BU31" s="4504">
        <f t="shared" si="15"/>
        <v>0</v>
      </c>
      <c r="BV31" s="4504">
        <f t="shared" si="16"/>
        <v>0</v>
      </c>
      <c r="BW31" s="4504">
        <f t="shared" si="17"/>
        <v>0</v>
      </c>
      <c r="BX31" s="4504">
        <f t="shared" si="18"/>
        <v>0</v>
      </c>
      <c r="BY31" s="4504">
        <f t="shared" si="19"/>
        <v>0</v>
      </c>
      <c r="BZ31" s="4504">
        <f t="shared" si="20"/>
        <v>0</v>
      </c>
      <c r="CA31" s="4504">
        <f t="shared" si="21"/>
        <v>0</v>
      </c>
      <c r="CB31" s="4504">
        <f t="shared" si="22"/>
        <v>0</v>
      </c>
      <c r="CC31" s="4504">
        <f t="shared" si="23"/>
        <v>0</v>
      </c>
      <c r="CD31" s="4504">
        <f t="shared" si="24"/>
        <v>0</v>
      </c>
      <c r="CE31" s="4504">
        <f t="shared" si="25"/>
        <v>1.5013060514914236</v>
      </c>
      <c r="CF31" s="4504">
        <f t="shared" si="26"/>
        <v>1.2430071045599713</v>
      </c>
      <c r="CG31" s="4504">
        <f t="shared" si="27"/>
        <v>1.2396223523064522</v>
      </c>
      <c r="CH31" s="4504">
        <f t="shared" si="28"/>
        <v>1.2279086553082472</v>
      </c>
      <c r="CI31" s="4504">
        <f t="shared" si="29"/>
        <v>1.2216657814388412</v>
      </c>
      <c r="CJ31" s="4504">
        <f t="shared" si="30"/>
        <v>1.2138583544129748</v>
      </c>
    </row>
    <row r="32" spans="1:88" ht="15.9" customHeight="1">
      <c r="A32" s="838" t="s">
        <v>169</v>
      </c>
      <c r="B32" s="896" t="s">
        <v>1218</v>
      </c>
      <c r="C32" s="3143">
        <f>'12. Разходи'!C32</f>
        <v>48.55429917524414</v>
      </c>
      <c r="D32" s="1141">
        <f>'12. Разходи'!D32-'12. Разходи'!$C32</f>
        <v>4.1271154298957455</v>
      </c>
      <c r="E32" s="1121">
        <f>IFERROR(('12. Разходи'!D32-'12. Разходи'!$C32)/'12. Разходи'!$C32,0)</f>
        <v>8.4999999999999867E-2</v>
      </c>
      <c r="F32" s="907">
        <f>'12. Разходи'!E32-'12. Разходи'!$C32</f>
        <v>4.1271154298957455</v>
      </c>
      <c r="G32" s="1129">
        <f>IFERROR(('12. Разходи'!E32-'12. Разходи'!$C32)/'12. Разходи'!$C32,0)</f>
        <v>8.4999999999999867E-2</v>
      </c>
      <c r="H32" s="907">
        <f>'12. Разходи'!F32-'12. Разходи'!$C32</f>
        <v>4.1271154298957455</v>
      </c>
      <c r="I32" s="1129">
        <f>IFERROR(('12. Разходи'!F32-'12. Разходи'!$C32)/'12. Разходи'!$C32,0)</f>
        <v>8.4999999999999867E-2</v>
      </c>
      <c r="J32" s="907">
        <f>'12. Разходи'!G32-'12. Разходи'!$C32</f>
        <v>4.1271154298957455</v>
      </c>
      <c r="K32" s="1128">
        <f>IFERROR(('12. Разходи'!G32-'12. Разходи'!$C32)/'12. Разходи'!$C32,0)</f>
        <v>8.4999999999999867E-2</v>
      </c>
      <c r="L32" s="1136">
        <f>'12. Разходи'!H32-'12. Разходи'!$C32</f>
        <v>4.1271154298957455</v>
      </c>
      <c r="M32" s="1128">
        <f>IFERROR(('12. Разходи'!H32-'12. Разходи'!$C32)/'12. Разходи'!$C32,0)</f>
        <v>8.4999999999999867E-2</v>
      </c>
      <c r="N32" s="1177">
        <f>'12. Разходи'!K32</f>
        <v>1.3601990783153497</v>
      </c>
      <c r="O32" s="1141">
        <f>'12. Разходи'!L32-'12. Разходи'!$K32</f>
        <v>0.11561692165680459</v>
      </c>
      <c r="P32" s="1121">
        <f>IFERROR(('12. Разходи'!L32-'12. Разходи'!$K32)/'12. Разходи'!$K32,0)</f>
        <v>8.4999999999999909E-2</v>
      </c>
      <c r="Q32" s="907">
        <f>'12. Разходи'!M32-'12. Разходи'!$K32</f>
        <v>0.11561692165680459</v>
      </c>
      <c r="R32" s="1129">
        <f>IFERROR(('12. Разходи'!M32-'12. Разходи'!$K32)/'12. Разходи'!$K32,0)</f>
        <v>8.4999999999999909E-2</v>
      </c>
      <c r="S32" s="907">
        <f>'12. Разходи'!N32-'12. Разходи'!$K32</f>
        <v>0.11561692165680459</v>
      </c>
      <c r="T32" s="1129">
        <f>IFERROR(('12. Разходи'!N32-'12. Разходи'!$K32)/'12. Разходи'!$K32,0)</f>
        <v>8.4999999999999909E-2</v>
      </c>
      <c r="U32" s="907">
        <f>'12. Разходи'!O32-'12. Разходи'!$K32</f>
        <v>0.11561692165680459</v>
      </c>
      <c r="V32" s="1128">
        <f>IFERROR(('12. Разходи'!O32-'12. Разходи'!$K32)/'12. Разходи'!$K32,0)</f>
        <v>8.4999999999999909E-2</v>
      </c>
      <c r="W32" s="1136">
        <f>'12. Разходи'!P32-'12. Разходи'!$K32</f>
        <v>0.11561692165680459</v>
      </c>
      <c r="X32" s="1183">
        <f>IFERROR(('12. Разходи'!P32-'12. Разходи'!$K32)/'12. Разходи'!$K32,0)</f>
        <v>8.4999999999999909E-2</v>
      </c>
      <c r="Y32" s="1177">
        <f>'12. Разходи'!S32</f>
        <v>28.804085867031297</v>
      </c>
      <c r="Z32" s="1141">
        <f>'12. Разходи'!T32-'12. Разходи'!$S32</f>
        <v>4.4483472986976622</v>
      </c>
      <c r="AA32" s="1121">
        <f>IFERROR(('12. Разходи'!T32-'12. Разходи'!$S32)/'12. Разходи'!$S32,0)</f>
        <v>0.15443459373203614</v>
      </c>
      <c r="AB32" s="907">
        <f>'12. Разходи'!U32-'12. Разходи'!$S32</f>
        <v>4.4483472986976622</v>
      </c>
      <c r="AC32" s="1129">
        <f>IFERROR(('12. Разходи'!U32-'12. Разходи'!$S32)/'12. Разходи'!$S32,0)</f>
        <v>0.15443459373203614</v>
      </c>
      <c r="AD32" s="907">
        <f>'12. Разходи'!V32-'12. Разходи'!$S32</f>
        <v>4.4483472986976622</v>
      </c>
      <c r="AE32" s="1129">
        <f>IFERROR(('12. Разходи'!V32-'12. Разходи'!$S32)/'12. Разходи'!$S32,0)</f>
        <v>0.15443459373203614</v>
      </c>
      <c r="AF32" s="907">
        <f>'12. Разходи'!W32-'12. Разходи'!$S32</f>
        <v>4.4483472986976622</v>
      </c>
      <c r="AG32" s="1128">
        <f>IFERROR(('12. Разходи'!W32-'12. Разходи'!$S32)/'12. Разходи'!$S32,0)</f>
        <v>0.15443459373203614</v>
      </c>
      <c r="AH32" s="1136">
        <f>'12. Разходи'!X32-'12. Разходи'!$S32</f>
        <v>4.4483472986976622</v>
      </c>
      <c r="AI32" s="1183">
        <f>IFERROR(('12. Разходи'!X32-'12. Разходи'!$S32)/'12. Разходи'!$S32,0)</f>
        <v>0.15443459373203614</v>
      </c>
      <c r="AJ32" s="1177">
        <f>'12. Разходи'!AA32</f>
        <v>0</v>
      </c>
      <c r="AK32" s="1141">
        <f>'12. Разходи'!AB32-'12. Разходи'!$AA32</f>
        <v>0</v>
      </c>
      <c r="AL32" s="1121">
        <f>IFERROR(('12. Разходи'!AB32-'12. Разходи'!$AA32)/'12. Разходи'!$AA32,0)</f>
        <v>0</v>
      </c>
      <c r="AM32" s="907">
        <f>'12. Разходи'!AC32-'12. Разходи'!$AA32</f>
        <v>0</v>
      </c>
      <c r="AN32" s="1129">
        <f>IFERROR(('12. Разходи'!AC32-'12. Разходи'!$AA32)/'12. Разходи'!$AA32,0)</f>
        <v>0</v>
      </c>
      <c r="AO32" s="907">
        <f>'12. Разходи'!AD32-'12. Разходи'!$AA32</f>
        <v>0</v>
      </c>
      <c r="AP32" s="1129">
        <f>IFERROR(('12. Разходи'!AD32-'12. Разходи'!$AA32)/'12. Разходи'!$AA32,0)</f>
        <v>0</v>
      </c>
      <c r="AQ32" s="907">
        <f>'12. Разходи'!AE32-'12. Разходи'!$AA32</f>
        <v>0</v>
      </c>
      <c r="AR32" s="1128">
        <f>IFERROR(('12. Разходи'!AE32-'12. Разходи'!$AA32)/'12. Разходи'!$AA32,0)</f>
        <v>0</v>
      </c>
      <c r="AS32" s="1136">
        <f>'12. Разходи'!AF32-'12. Разходи'!$AA32</f>
        <v>0</v>
      </c>
      <c r="AT32" s="1183">
        <f>IFERROR(('12. Разходи'!AF32-'12. Разходи'!$AA32)/'12. Разходи'!$AA32,0)</f>
        <v>0</v>
      </c>
      <c r="AU32" s="1177">
        <f>'12. Разходи'!AI32</f>
        <v>13.032340468487114</v>
      </c>
      <c r="AV32" s="1141">
        <f>'12. Разходи'!AJ32-'12. Разходи'!$AI32</f>
        <v>1.2977489398214033</v>
      </c>
      <c r="AW32" s="1121">
        <f>IFERROR(('12. Разходи'!AJ32-'12. Разходи'!$AI32)/'12. Разходи'!$AI32,0)</f>
        <v>9.9579115735920848E-2</v>
      </c>
      <c r="AX32" s="907">
        <f>'12. Разходи'!AK32-'12. Разходи'!$AI32</f>
        <v>1.1077489398214038</v>
      </c>
      <c r="AY32" s="1129">
        <f>IFERROR(('12. Разходи'!AK32-'12. Разходи'!$AI32)/'12. Разходи'!$AI32,0)</f>
        <v>8.4999999999999937E-2</v>
      </c>
      <c r="AZ32" s="907">
        <f>'12. Разходи'!AL32-'12. Разходи'!$AI32</f>
        <v>1.1077489398214038</v>
      </c>
      <c r="BA32" s="1129">
        <f>IFERROR(('12. Разходи'!AL32-'12. Разходи'!$AI32)/'12. Разходи'!$AI32,0)</f>
        <v>8.4999999999999937E-2</v>
      </c>
      <c r="BB32" s="907">
        <f>'12. Разходи'!AM32-'12. Разходи'!$AI32</f>
        <v>1.1077489398214038</v>
      </c>
      <c r="BC32" s="1128">
        <f>IFERROR(('12. Разходи'!AM32-'12. Разходи'!$AI32)/'12. Разходи'!$AI32,0)</f>
        <v>8.4999999999999937E-2</v>
      </c>
      <c r="BD32" s="1136">
        <f>'12. Разходи'!AN32-'12. Разходи'!$AI32</f>
        <v>1.1077489398214038</v>
      </c>
      <c r="BE32" s="1183">
        <f>IFERROR(('12. Разходи'!AN32-'12. Разходи'!$AI32)/'12. Разходи'!$AI32,0)</f>
        <v>8.4999999999999937E-2</v>
      </c>
      <c r="BF32" s="4488"/>
      <c r="BG32" s="4504">
        <f t="shared" si="1"/>
        <v>24.825418965474576</v>
      </c>
      <c r="BH32" s="4504">
        <f t="shared" si="2"/>
        <v>2.1101606120653358</v>
      </c>
      <c r="BI32" s="4504">
        <f t="shared" si="3"/>
        <v>2.1101606120653358</v>
      </c>
      <c r="BJ32" s="4504">
        <f t="shared" si="4"/>
        <v>2.1101606120653358</v>
      </c>
      <c r="BK32" s="4504">
        <f t="shared" si="5"/>
        <v>2.1101606120653358</v>
      </c>
      <c r="BL32" s="4504">
        <f t="shared" si="6"/>
        <v>2.1101606120653358</v>
      </c>
      <c r="BM32" s="4504">
        <f t="shared" si="7"/>
        <v>0.69545874555321763</v>
      </c>
      <c r="BN32" s="4504">
        <f t="shared" si="8"/>
        <v>5.9113993372023436E-2</v>
      </c>
      <c r="BO32" s="4504">
        <f t="shared" si="9"/>
        <v>5.9113993372023436E-2</v>
      </c>
      <c r="BP32" s="4504">
        <f t="shared" si="10"/>
        <v>5.9113993372023436E-2</v>
      </c>
      <c r="BQ32" s="4504">
        <f t="shared" si="11"/>
        <v>5.9113993372023436E-2</v>
      </c>
      <c r="BR32" s="4504">
        <f t="shared" si="12"/>
        <v>5.9113993372023436E-2</v>
      </c>
      <c r="BS32" s="4504">
        <f t="shared" si="13"/>
        <v>14.727295249091842</v>
      </c>
      <c r="BT32" s="4504">
        <f t="shared" si="14"/>
        <v>2.2744038585652446</v>
      </c>
      <c r="BU32" s="4504">
        <f t="shared" si="15"/>
        <v>2.2744038585652446</v>
      </c>
      <c r="BV32" s="4504">
        <f t="shared" si="16"/>
        <v>2.2744038585652446</v>
      </c>
      <c r="BW32" s="4504">
        <f t="shared" si="17"/>
        <v>2.2744038585652446</v>
      </c>
      <c r="BX32" s="4504">
        <f t="shared" si="18"/>
        <v>2.2744038585652446</v>
      </c>
      <c r="BY32" s="4504">
        <f t="shared" si="19"/>
        <v>0</v>
      </c>
      <c r="BZ32" s="4504">
        <f t="shared" si="20"/>
        <v>0</v>
      </c>
      <c r="CA32" s="4504">
        <f t="shared" si="21"/>
        <v>0</v>
      </c>
      <c r="CB32" s="4504">
        <f t="shared" si="22"/>
        <v>0</v>
      </c>
      <c r="CC32" s="4504">
        <f t="shared" si="23"/>
        <v>0</v>
      </c>
      <c r="CD32" s="4504">
        <f t="shared" si="24"/>
        <v>0</v>
      </c>
      <c r="CE32" s="4504">
        <f t="shared" si="25"/>
        <v>6.6633298745223835</v>
      </c>
      <c r="CF32" s="4504">
        <f t="shared" si="26"/>
        <v>0.66352849676168346</v>
      </c>
      <c r="CG32" s="4504">
        <f t="shared" si="27"/>
        <v>0.56638303933440215</v>
      </c>
      <c r="CH32" s="4504">
        <f t="shared" si="28"/>
        <v>0.56638303933440215</v>
      </c>
      <c r="CI32" s="4504">
        <f t="shared" si="29"/>
        <v>0.56638303933440215</v>
      </c>
      <c r="CJ32" s="4504">
        <f t="shared" si="30"/>
        <v>0.56638303933440215</v>
      </c>
    </row>
    <row r="33" spans="1:88" ht="15.9" customHeight="1">
      <c r="A33" s="108" t="s">
        <v>242</v>
      </c>
      <c r="B33" s="896" t="s">
        <v>243</v>
      </c>
      <c r="C33" s="1112">
        <f>'12. Разходи'!C33</f>
        <v>0.39066992354669172</v>
      </c>
      <c r="D33" s="1141">
        <f>'12. Разходи'!D33-'12. Разходи'!$C33</f>
        <v>3.32069435014688E-2</v>
      </c>
      <c r="E33" s="1121">
        <f>IFERROR(('12. Разходи'!D33-'12. Разходи'!$C33)/'12. Разходи'!$C33,0)</f>
        <v>8.5000000000000006E-2</v>
      </c>
      <c r="F33" s="907">
        <f>'12. Разходи'!E33-'12. Разходи'!$C33</f>
        <v>3.32069435014688E-2</v>
      </c>
      <c r="G33" s="1129">
        <f>IFERROR(('12. Разходи'!E33-'12. Разходи'!$C33)/'12. Разходи'!$C33,0)</f>
        <v>8.5000000000000006E-2</v>
      </c>
      <c r="H33" s="907">
        <f>'12. Разходи'!F33-'12. Разходи'!$C33</f>
        <v>3.32069435014688E-2</v>
      </c>
      <c r="I33" s="1129">
        <f>IFERROR(('12. Разходи'!F33-'12. Разходи'!$C33)/'12. Разходи'!$C33,0)</f>
        <v>8.5000000000000006E-2</v>
      </c>
      <c r="J33" s="907">
        <f>'12. Разходи'!G33-'12. Разходи'!$C33</f>
        <v>3.32069435014688E-2</v>
      </c>
      <c r="K33" s="1128">
        <f>IFERROR(('12. Разходи'!G33-'12. Разходи'!$C33)/'12. Разходи'!$C33,0)</f>
        <v>8.5000000000000006E-2</v>
      </c>
      <c r="L33" s="1136">
        <f>'12. Разходи'!H33-'12. Разходи'!$C33</f>
        <v>3.32069435014688E-2</v>
      </c>
      <c r="M33" s="1128">
        <f>IFERROR(('12. Разходи'!H33-'12. Разходи'!$C33)/'12. Разходи'!$C33,0)</f>
        <v>8.5000000000000006E-2</v>
      </c>
      <c r="N33" s="1177">
        <f>'12. Разходи'!K33</f>
        <v>3.3513272089894669E-4</v>
      </c>
      <c r="O33" s="1141">
        <f>'12. Разходи'!L33-'12. Разходи'!$K33</f>
        <v>2.8486281276410459E-5</v>
      </c>
      <c r="P33" s="1121">
        <f>IFERROR(('12. Разходи'!L33-'12. Разходи'!$K33)/'12. Разходи'!$K33,0)</f>
        <v>8.4999999999999978E-2</v>
      </c>
      <c r="Q33" s="907">
        <f>'12. Разходи'!M33-'12. Разходи'!$K33</f>
        <v>2.8486281276410459E-5</v>
      </c>
      <c r="R33" s="1129">
        <f>IFERROR(('12. Разходи'!M33-'12. Разходи'!$K33)/'12. Разходи'!$K33,0)</f>
        <v>8.4999999999999978E-2</v>
      </c>
      <c r="S33" s="907">
        <f>'12. Разходи'!N33-'12. Разходи'!$K33</f>
        <v>2.8486281276410459E-5</v>
      </c>
      <c r="T33" s="1129">
        <f>IFERROR(('12. Разходи'!N33-'12. Разходи'!$K33)/'12. Разходи'!$K33,0)</f>
        <v>8.4999999999999978E-2</v>
      </c>
      <c r="U33" s="907">
        <f>'12. Разходи'!O33-'12. Разходи'!$K33</f>
        <v>2.8486281276410459E-5</v>
      </c>
      <c r="V33" s="1128">
        <f>IFERROR(('12. Разходи'!O33-'12. Разходи'!$K33)/'12. Разходи'!$K33,0)</f>
        <v>8.4999999999999978E-2</v>
      </c>
      <c r="W33" s="1136">
        <f>'12. Разходи'!P33-'12. Разходи'!$K33</f>
        <v>2.8486281276410459E-5</v>
      </c>
      <c r="X33" s="1183">
        <f>IFERROR(('12. Разходи'!P33-'12. Разходи'!$K33)/'12. Разходи'!$K33,0)</f>
        <v>8.4999999999999978E-2</v>
      </c>
      <c r="Y33" s="1177">
        <f>'12. Разходи'!S33</f>
        <v>2.8886381642299654E-3</v>
      </c>
      <c r="Z33" s="1141">
        <f>'12. Разходи'!T33-'12. Разходи'!$S33</f>
        <v>2.4553424395954739E-4</v>
      </c>
      <c r="AA33" s="1121">
        <f>IFERROR(('12. Разходи'!T33-'12. Разходи'!$S33)/'12. Разходи'!$S33,0)</f>
        <v>8.5000000000000117E-2</v>
      </c>
      <c r="AB33" s="907">
        <f>'12. Разходи'!U33-'12. Разходи'!$S33</f>
        <v>2.4553424395954739E-4</v>
      </c>
      <c r="AC33" s="1129">
        <f>IFERROR(('12. Разходи'!U33-'12. Разходи'!$S33)/'12. Разходи'!$S33,0)</f>
        <v>8.5000000000000117E-2</v>
      </c>
      <c r="AD33" s="907">
        <f>'12. Разходи'!V33-'12. Разходи'!$S33</f>
        <v>2.4553424395954739E-4</v>
      </c>
      <c r="AE33" s="1129">
        <f>IFERROR(('12. Разходи'!V33-'12. Разходи'!$S33)/'12. Разходи'!$S33,0)</f>
        <v>8.5000000000000117E-2</v>
      </c>
      <c r="AF33" s="907">
        <f>'12. Разходи'!W33-'12. Разходи'!$S33</f>
        <v>2.4553424395954739E-4</v>
      </c>
      <c r="AG33" s="1128">
        <f>IFERROR(('12. Разходи'!W33-'12. Разходи'!$S33)/'12. Разходи'!$S33,0)</f>
        <v>8.5000000000000117E-2</v>
      </c>
      <c r="AH33" s="1136">
        <f>'12. Разходи'!X33-'12. Разходи'!$S33</f>
        <v>2.4553424395954739E-4</v>
      </c>
      <c r="AI33" s="1183">
        <f>IFERROR(('12. Разходи'!X33-'12. Разходи'!$S33)/'12. Разходи'!$S33,0)</f>
        <v>8.5000000000000117E-2</v>
      </c>
      <c r="AJ33" s="1177">
        <f>'12. Разходи'!AA33</f>
        <v>0</v>
      </c>
      <c r="AK33" s="1141">
        <f>'12. Разходи'!AB33-'12. Разходи'!$AA33</f>
        <v>0</v>
      </c>
      <c r="AL33" s="1121">
        <f>IFERROR(('12. Разходи'!AB33-'12. Разходи'!$AA33)/'12. Разходи'!$AA33,0)</f>
        <v>0</v>
      </c>
      <c r="AM33" s="907">
        <f>'12. Разходи'!AC33-'12. Разходи'!$AA33</f>
        <v>0</v>
      </c>
      <c r="AN33" s="1129">
        <f>IFERROR(('12. Разходи'!AC33-'12. Разходи'!$AA33)/'12. Разходи'!$AA33,0)</f>
        <v>0</v>
      </c>
      <c r="AO33" s="907">
        <f>'12. Разходи'!AD33-'12. Разходи'!$AA33</f>
        <v>0</v>
      </c>
      <c r="AP33" s="1129">
        <f>IFERROR(('12. Разходи'!AD33-'12. Разходи'!$AA33)/'12. Разходи'!$AA33,0)</f>
        <v>0</v>
      </c>
      <c r="AQ33" s="907">
        <f>'12. Разходи'!AE33-'12. Разходи'!$AA33</f>
        <v>0</v>
      </c>
      <c r="AR33" s="1128">
        <f>IFERROR(('12. Разходи'!AE33-'12. Разходи'!$AA33)/'12. Разходи'!$AA33,0)</f>
        <v>0</v>
      </c>
      <c r="AS33" s="1136">
        <f>'12. Разходи'!AF33-'12. Разходи'!$AA33</f>
        <v>0</v>
      </c>
      <c r="AT33" s="1183">
        <f>IFERROR(('12. Разходи'!AF33-'12. Разходи'!$AA33)/'12. Разходи'!$AA33,0)</f>
        <v>0</v>
      </c>
      <c r="AU33" s="1177">
        <f>'12. Разходи'!AI33</f>
        <v>3.0606305568179344E-2</v>
      </c>
      <c r="AV33" s="1141">
        <f>'12. Разходи'!AJ33-'12. Разходи'!$AI33</f>
        <v>2.6015359732952451E-3</v>
      </c>
      <c r="AW33" s="1121">
        <f>IFERROR(('12. Разходи'!AJ33-'12. Разходи'!$AI33)/'12. Разходи'!$AI33,0)</f>
        <v>8.500000000000002E-2</v>
      </c>
      <c r="AX33" s="907">
        <f>'12. Разходи'!AK33-'12. Разходи'!$AI33</f>
        <v>2.6015359732952451E-3</v>
      </c>
      <c r="AY33" s="1129">
        <f>IFERROR(('12. Разходи'!AK33-'12. Разходи'!$AI33)/'12. Разходи'!$AI33,0)</f>
        <v>8.500000000000002E-2</v>
      </c>
      <c r="AZ33" s="907">
        <f>'12. Разходи'!AL33-'12. Разходи'!$AI33</f>
        <v>2.6015359732952451E-3</v>
      </c>
      <c r="BA33" s="1129">
        <f>IFERROR(('12. Разходи'!AL33-'12. Разходи'!$AI33)/'12. Разходи'!$AI33,0)</f>
        <v>8.500000000000002E-2</v>
      </c>
      <c r="BB33" s="907">
        <f>'12. Разходи'!AM33-'12. Разходи'!$AI33</f>
        <v>2.6015359732952451E-3</v>
      </c>
      <c r="BC33" s="1128">
        <f>IFERROR(('12. Разходи'!AM33-'12. Разходи'!$AI33)/'12. Разходи'!$AI33,0)</f>
        <v>8.500000000000002E-2</v>
      </c>
      <c r="BD33" s="1136">
        <f>'12. Разходи'!AN33-'12. Разходи'!$AI33</f>
        <v>2.6015359732952451E-3</v>
      </c>
      <c r="BE33" s="1183">
        <f>IFERROR(('12. Разходи'!AN33-'12. Разходи'!$AI33)/'12. Разходи'!$AI33,0)</f>
        <v>8.500000000000002E-2</v>
      </c>
      <c r="BF33" s="4488"/>
      <c r="BG33" s="4504">
        <f t="shared" si="1"/>
        <v>0.19974636013697086</v>
      </c>
      <c r="BH33" s="4504">
        <f t="shared" si="2"/>
        <v>1.6978440611642526E-2</v>
      </c>
      <c r="BI33" s="4504">
        <f t="shared" si="3"/>
        <v>1.6978440611642526E-2</v>
      </c>
      <c r="BJ33" s="4504">
        <f t="shared" si="4"/>
        <v>1.6978440611642526E-2</v>
      </c>
      <c r="BK33" s="4504">
        <f t="shared" si="5"/>
        <v>1.6978440611642526E-2</v>
      </c>
      <c r="BL33" s="4504">
        <f t="shared" si="6"/>
        <v>1.6978440611642526E-2</v>
      </c>
      <c r="BM33" s="4504">
        <f t="shared" si="7"/>
        <v>1.7135063931882969E-4</v>
      </c>
      <c r="BN33" s="4504">
        <f t="shared" si="8"/>
        <v>1.456480434210052E-5</v>
      </c>
      <c r="BO33" s="4504">
        <f t="shared" si="9"/>
        <v>1.456480434210052E-5</v>
      </c>
      <c r="BP33" s="4504">
        <f t="shared" si="10"/>
        <v>1.456480434210052E-5</v>
      </c>
      <c r="BQ33" s="4504">
        <f t="shared" si="11"/>
        <v>1.456480434210052E-5</v>
      </c>
      <c r="BR33" s="4504">
        <f t="shared" si="12"/>
        <v>1.456480434210052E-5</v>
      </c>
      <c r="BS33" s="4504">
        <f t="shared" si="13"/>
        <v>1.4769372410843302E-3</v>
      </c>
      <c r="BT33" s="4504">
        <f t="shared" si="14"/>
        <v>1.2553966549216824E-4</v>
      </c>
      <c r="BU33" s="4504">
        <f t="shared" si="15"/>
        <v>1.2553966549216824E-4</v>
      </c>
      <c r="BV33" s="4504">
        <f t="shared" si="16"/>
        <v>1.2553966549216824E-4</v>
      </c>
      <c r="BW33" s="4504">
        <f t="shared" si="17"/>
        <v>1.2553966549216824E-4</v>
      </c>
      <c r="BX33" s="4504">
        <f t="shared" si="18"/>
        <v>1.2553966549216824E-4</v>
      </c>
      <c r="BY33" s="4504">
        <f t="shared" si="19"/>
        <v>0</v>
      </c>
      <c r="BZ33" s="4504">
        <f t="shared" si="20"/>
        <v>0</v>
      </c>
      <c r="CA33" s="4504">
        <f t="shared" si="21"/>
        <v>0</v>
      </c>
      <c r="CB33" s="4504">
        <f t="shared" si="22"/>
        <v>0</v>
      </c>
      <c r="CC33" s="4504">
        <f t="shared" si="23"/>
        <v>0</v>
      </c>
      <c r="CD33" s="4504">
        <f t="shared" si="24"/>
        <v>0</v>
      </c>
      <c r="CE33" s="4504">
        <f t="shared" si="25"/>
        <v>1.5648755550420713E-2</v>
      </c>
      <c r="CF33" s="4504">
        <f t="shared" si="26"/>
        <v>1.3301442217857611E-3</v>
      </c>
      <c r="CG33" s="4504">
        <f t="shared" si="27"/>
        <v>1.3301442217857611E-3</v>
      </c>
      <c r="CH33" s="4504">
        <f t="shared" si="28"/>
        <v>1.3301442217857611E-3</v>
      </c>
      <c r="CI33" s="4504">
        <f t="shared" si="29"/>
        <v>1.3301442217857611E-3</v>
      </c>
      <c r="CJ33" s="4504">
        <f t="shared" si="30"/>
        <v>1.3301442217857611E-3</v>
      </c>
    </row>
    <row r="34" spans="1:88" ht="15.9" customHeight="1">
      <c r="A34" s="838" t="s">
        <v>244</v>
      </c>
      <c r="B34" s="896" t="s">
        <v>245</v>
      </c>
      <c r="C34" s="1112">
        <f>'12. Разходи'!C34</f>
        <v>37.941606701630832</v>
      </c>
      <c r="D34" s="1141">
        <f>'12. Разходи'!D34-'12. Разходи'!$C34</f>
        <v>3.2250365696386254</v>
      </c>
      <c r="E34" s="1121">
        <f>IFERROR(('12. Разходи'!D34-'12. Разходи'!$C34)/'12. Разходи'!$C34,0)</f>
        <v>8.5000000000000117E-2</v>
      </c>
      <c r="F34" s="907">
        <f>'12. Разходи'!E34-'12. Разходи'!$C34</f>
        <v>3.2250365696386254</v>
      </c>
      <c r="G34" s="1129">
        <f>IFERROR(('12. Разходи'!E34-'12. Разходи'!$C34)/'12. Разходи'!$C34,0)</f>
        <v>8.5000000000000117E-2</v>
      </c>
      <c r="H34" s="907">
        <f>'12. Разходи'!F34-'12. Разходи'!$C34</f>
        <v>3.2250365696386254</v>
      </c>
      <c r="I34" s="1129">
        <f>IFERROR(('12. Разходи'!F34-'12. Разходи'!$C34)/'12. Разходи'!$C34,0)</f>
        <v>8.5000000000000117E-2</v>
      </c>
      <c r="J34" s="907">
        <f>'12. Разходи'!G34-'12. Разходи'!$C34</f>
        <v>3.2250365696386254</v>
      </c>
      <c r="K34" s="1128">
        <f>IFERROR(('12. Разходи'!G34-'12. Разходи'!$C34)/'12. Разходи'!$C34,0)</f>
        <v>8.5000000000000117E-2</v>
      </c>
      <c r="L34" s="1136">
        <f>'12. Разходи'!H34-'12. Разходи'!$C34</f>
        <v>3.2250365696386254</v>
      </c>
      <c r="M34" s="1128">
        <f>IFERROR(('12. Разходи'!H34-'12. Разходи'!$C34)/'12. Разходи'!$C34,0)</f>
        <v>8.5000000000000117E-2</v>
      </c>
      <c r="N34" s="1177">
        <f>'12. Разходи'!K34</f>
        <v>1.3683307765312893</v>
      </c>
      <c r="O34" s="1141">
        <f>'12. Разходи'!L34-'12. Разходи'!$K34</f>
        <v>0.11630811600515956</v>
      </c>
      <c r="P34" s="1121">
        <f>IFERROR(('12. Разходи'!L34-'12. Разходи'!$K34)/'12. Разходи'!$K34,0)</f>
        <v>8.4999999999999978E-2</v>
      </c>
      <c r="Q34" s="907">
        <f>'12. Разходи'!M34-'12. Разходи'!$K34</f>
        <v>0.11630811600515956</v>
      </c>
      <c r="R34" s="1129">
        <f>IFERROR(('12. Разходи'!M34-'12. Разходи'!$K34)/'12. Разходи'!$K34,0)</f>
        <v>8.4999999999999978E-2</v>
      </c>
      <c r="S34" s="907">
        <f>'12. Разходи'!N34-'12. Разходи'!$K34</f>
        <v>0.11630811600515956</v>
      </c>
      <c r="T34" s="1129">
        <f>IFERROR(('12. Разходи'!N34-'12. Разходи'!$K34)/'12. Разходи'!$K34,0)</f>
        <v>8.4999999999999978E-2</v>
      </c>
      <c r="U34" s="907">
        <f>'12. Разходи'!O34-'12. Разходи'!$K34</f>
        <v>0.11630811600515956</v>
      </c>
      <c r="V34" s="1128">
        <f>IFERROR(('12. Разходи'!O34-'12. Разходи'!$K34)/'12. Разходи'!$K34,0)</f>
        <v>8.4999999999999978E-2</v>
      </c>
      <c r="W34" s="1136">
        <f>'12. Разходи'!P34-'12. Разходи'!$K34</f>
        <v>0.11630811600515956</v>
      </c>
      <c r="X34" s="1183">
        <f>IFERROR(('12. Разходи'!P34-'12. Разходи'!$K34)/'12. Разходи'!$K34,0)</f>
        <v>8.4999999999999978E-2</v>
      </c>
      <c r="Y34" s="1177">
        <f>'12. Разходи'!S34</f>
        <v>7.469776752190068</v>
      </c>
      <c r="Z34" s="1141">
        <f>'12. Разходи'!T34-'12. Разходи'!$S34</f>
        <v>0.93493102393615679</v>
      </c>
      <c r="AA34" s="1121">
        <f>IFERROR(('12. Разходи'!T34-'12. Разходи'!$S34)/'12. Разходи'!$S34,0)</f>
        <v>0.12516184284383652</v>
      </c>
      <c r="AB34" s="907">
        <f>'12. Разходи'!U34-'12. Разходи'!$S34</f>
        <v>0.93493102393615679</v>
      </c>
      <c r="AC34" s="1129">
        <f>IFERROR(('12. Разходи'!U34-'12. Разходи'!$S34)/'12. Разходи'!$S34,0)</f>
        <v>0.12516184284383652</v>
      </c>
      <c r="AD34" s="907">
        <f>'12. Разходи'!V34-'12. Разходи'!$S34</f>
        <v>0.93493102393615679</v>
      </c>
      <c r="AE34" s="1129">
        <f>IFERROR(('12. Разходи'!V34-'12. Разходи'!$S34)/'12. Разходи'!$S34,0)</f>
        <v>0.12516184284383652</v>
      </c>
      <c r="AF34" s="907">
        <f>'12. Разходи'!W34-'12. Разходи'!$S34</f>
        <v>0.93493102393615679</v>
      </c>
      <c r="AG34" s="1128">
        <f>IFERROR(('12. Разходи'!W34-'12. Разходи'!$S34)/'12. Разходи'!$S34,0)</f>
        <v>0.12516184284383652</v>
      </c>
      <c r="AH34" s="1136">
        <f>'12. Разходи'!X34-'12. Разходи'!$S34</f>
        <v>0.93493102393615679</v>
      </c>
      <c r="AI34" s="1183">
        <f>IFERROR(('12. Разходи'!X34-'12. Разходи'!$S34)/'12. Разходи'!$S34,0)</f>
        <v>0.12516184284383652</v>
      </c>
      <c r="AJ34" s="1177">
        <f>'12. Разходи'!AA34</f>
        <v>0</v>
      </c>
      <c r="AK34" s="1141">
        <f>'12. Разходи'!AB34-'12. Разходи'!$AA34</f>
        <v>0</v>
      </c>
      <c r="AL34" s="1121">
        <f>IFERROR(('12. Разходи'!AB34-'12. Разходи'!$AA34)/'12. Разходи'!$AA34,0)</f>
        <v>0</v>
      </c>
      <c r="AM34" s="907">
        <f>'12. Разходи'!AC34-'12. Разходи'!$AA34</f>
        <v>0</v>
      </c>
      <c r="AN34" s="1129">
        <f>IFERROR(('12. Разходи'!AC34-'12. Разходи'!$AA34)/'12. Разходи'!$AA34,0)</f>
        <v>0</v>
      </c>
      <c r="AO34" s="907">
        <f>'12. Разходи'!AD34-'12. Разходи'!$AA34</f>
        <v>0</v>
      </c>
      <c r="AP34" s="1129">
        <f>IFERROR(('12. Разходи'!AD34-'12. Разходи'!$AA34)/'12. Разходи'!$AA34,0)</f>
        <v>0</v>
      </c>
      <c r="AQ34" s="907">
        <f>'12. Разходи'!AE34-'12. Разходи'!$AA34</f>
        <v>0</v>
      </c>
      <c r="AR34" s="1128">
        <f>IFERROR(('12. Разходи'!AE34-'12. Разходи'!$AA34)/'12. Разходи'!$AA34,0)</f>
        <v>0</v>
      </c>
      <c r="AS34" s="1136">
        <f>'12. Разходи'!AF34-'12. Разходи'!$AA34</f>
        <v>0</v>
      </c>
      <c r="AT34" s="1183">
        <f>IFERROR(('12. Разходи'!AF34-'12. Разходи'!$AA34)/'12. Разходи'!$AA34,0)</f>
        <v>0</v>
      </c>
      <c r="AU34" s="1177">
        <f>'12. Разходи'!AI34</f>
        <v>6.4033139404160107</v>
      </c>
      <c r="AV34" s="1141">
        <f>'12. Разходи'!AJ34-'12. Разходи'!$AI34</f>
        <v>0.61428168493536095</v>
      </c>
      <c r="AW34" s="1121">
        <f>IFERROR(('12. Разходи'!AJ34-'12. Разходи'!$AI34)/'12. Разходи'!$AI34,0)</f>
        <v>9.5931839458655729E-2</v>
      </c>
      <c r="AX34" s="907">
        <f>'12. Разходи'!AK34-'12. Разходи'!$AI34</f>
        <v>0.54428168493536067</v>
      </c>
      <c r="AY34" s="1129">
        <f>IFERROR(('12. Разходи'!AK34-'12. Разходи'!$AI34)/'12. Разходи'!$AI34,0)</f>
        <v>8.4999999999999964E-2</v>
      </c>
      <c r="AZ34" s="907">
        <f>'12. Разходи'!AL34-'12. Разходи'!$AI34</f>
        <v>0.54428168493536067</v>
      </c>
      <c r="BA34" s="1129">
        <f>IFERROR(('12. Разходи'!AL34-'12. Разходи'!$AI34)/'12. Разходи'!$AI34,0)</f>
        <v>8.4999999999999964E-2</v>
      </c>
      <c r="BB34" s="907">
        <f>'12. Разходи'!AM34-'12. Разходи'!$AI34</f>
        <v>0.54428168493536067</v>
      </c>
      <c r="BC34" s="1128">
        <f>IFERROR(('12. Разходи'!AM34-'12. Разходи'!$AI34)/'12. Разходи'!$AI34,0)</f>
        <v>8.4999999999999964E-2</v>
      </c>
      <c r="BD34" s="1136">
        <f>'12. Разходи'!AN34-'12. Разходи'!$AI34</f>
        <v>0.54428168493536067</v>
      </c>
      <c r="BE34" s="1183">
        <f>IFERROR(('12. Разходи'!AN34-'12. Разходи'!$AI34)/'12. Разходи'!$AI34,0)</f>
        <v>8.4999999999999964E-2</v>
      </c>
      <c r="BF34" s="4488"/>
      <c r="BG34" s="4504">
        <f t="shared" si="1"/>
        <v>19.39923546608388</v>
      </c>
      <c r="BH34" s="4504">
        <f t="shared" si="2"/>
        <v>1.648935014617132</v>
      </c>
      <c r="BI34" s="4504">
        <f t="shared" si="3"/>
        <v>1.648935014617132</v>
      </c>
      <c r="BJ34" s="4504">
        <f t="shared" si="4"/>
        <v>1.648935014617132</v>
      </c>
      <c r="BK34" s="4504">
        <f t="shared" si="5"/>
        <v>1.648935014617132</v>
      </c>
      <c r="BL34" s="4504">
        <f t="shared" si="6"/>
        <v>1.648935014617132</v>
      </c>
      <c r="BM34" s="4504">
        <f t="shared" si="7"/>
        <v>0.69961641683136533</v>
      </c>
      <c r="BN34" s="4504">
        <f t="shared" si="8"/>
        <v>5.9467395430666037E-2</v>
      </c>
      <c r="BO34" s="4504">
        <f t="shared" si="9"/>
        <v>5.9467395430666037E-2</v>
      </c>
      <c r="BP34" s="4504">
        <f t="shared" si="10"/>
        <v>5.9467395430666037E-2</v>
      </c>
      <c r="BQ34" s="4504">
        <f t="shared" si="11"/>
        <v>5.9467395430666037E-2</v>
      </c>
      <c r="BR34" s="4504">
        <f t="shared" si="12"/>
        <v>5.9467395430666037E-2</v>
      </c>
      <c r="BS34" s="4504">
        <f t="shared" si="13"/>
        <v>3.8192362077430393</v>
      </c>
      <c r="BT34" s="4504">
        <f t="shared" si="14"/>
        <v>0.47802264201702438</v>
      </c>
      <c r="BU34" s="4504">
        <f t="shared" si="15"/>
        <v>0.47802264201702438</v>
      </c>
      <c r="BV34" s="4504">
        <f t="shared" si="16"/>
        <v>0.47802264201702438</v>
      </c>
      <c r="BW34" s="4504">
        <f t="shared" si="17"/>
        <v>0.47802264201702438</v>
      </c>
      <c r="BX34" s="4504">
        <f t="shared" si="18"/>
        <v>0.47802264201702438</v>
      </c>
      <c r="BY34" s="4504">
        <f t="shared" si="19"/>
        <v>0</v>
      </c>
      <c r="BZ34" s="4504">
        <f t="shared" si="20"/>
        <v>0</v>
      </c>
      <c r="CA34" s="4504">
        <f t="shared" si="21"/>
        <v>0</v>
      </c>
      <c r="CB34" s="4504">
        <f t="shared" si="22"/>
        <v>0</v>
      </c>
      <c r="CC34" s="4504">
        <f t="shared" si="23"/>
        <v>0</v>
      </c>
      <c r="CD34" s="4504">
        <f t="shared" si="24"/>
        <v>0</v>
      </c>
      <c r="CE34" s="4504">
        <f t="shared" si="25"/>
        <v>3.2739624304852728</v>
      </c>
      <c r="CF34" s="4504">
        <f t="shared" si="26"/>
        <v>0.31407723827498352</v>
      </c>
      <c r="CG34" s="4504">
        <f t="shared" si="27"/>
        <v>0.27828680659124805</v>
      </c>
      <c r="CH34" s="4504">
        <f t="shared" si="28"/>
        <v>0.27828680659124805</v>
      </c>
      <c r="CI34" s="4504">
        <f t="shared" si="29"/>
        <v>0.27828680659124805</v>
      </c>
      <c r="CJ34" s="4504">
        <f t="shared" si="30"/>
        <v>0.27828680659124805</v>
      </c>
    </row>
    <row r="35" spans="1:88" ht="15.9" customHeight="1">
      <c r="A35" s="838" t="s">
        <v>246</v>
      </c>
      <c r="B35" s="896" t="s">
        <v>247</v>
      </c>
      <c r="C35" s="1112">
        <f>'12. Разходи'!C35</f>
        <v>0.43</v>
      </c>
      <c r="D35" s="1141">
        <f>'12. Разходи'!D35-'12. Разходи'!$C35</f>
        <v>3.6549999999999971E-2</v>
      </c>
      <c r="E35" s="1121">
        <f>IFERROR(('12. Разходи'!D35-'12. Разходи'!$C35)/'12. Разходи'!$C35,0)</f>
        <v>8.4999999999999937E-2</v>
      </c>
      <c r="F35" s="907">
        <f>'12. Разходи'!E35-'12. Разходи'!$C35</f>
        <v>3.6549999999999971E-2</v>
      </c>
      <c r="G35" s="1129">
        <f>IFERROR(('12. Разходи'!E35-'12. Разходи'!$C35)/'12. Разходи'!$C35,0)</f>
        <v>8.4999999999999937E-2</v>
      </c>
      <c r="H35" s="907">
        <f>'12. Разходи'!F35-'12. Разходи'!$C35</f>
        <v>3.6549999999999971E-2</v>
      </c>
      <c r="I35" s="1129">
        <f>IFERROR(('12. Разходи'!F35-'12. Разходи'!$C35)/'12. Разходи'!$C35,0)</f>
        <v>8.4999999999999937E-2</v>
      </c>
      <c r="J35" s="907">
        <f>'12. Разходи'!G35-'12. Разходи'!$C35</f>
        <v>3.6549999999999971E-2</v>
      </c>
      <c r="K35" s="1128">
        <f>IFERROR(('12. Разходи'!G35-'12. Разходи'!$C35)/'12. Разходи'!$C35,0)</f>
        <v>8.4999999999999937E-2</v>
      </c>
      <c r="L35" s="1136">
        <f>'12. Разходи'!H35-'12. Разходи'!$C35</f>
        <v>3.6549999999999971E-2</v>
      </c>
      <c r="M35" s="1128">
        <f>IFERROR(('12. Разходи'!H35-'12. Разходи'!$C35)/'12. Разходи'!$C35,0)</f>
        <v>8.4999999999999937E-2</v>
      </c>
      <c r="N35" s="1177">
        <f>'12. Разходи'!K35</f>
        <v>0</v>
      </c>
      <c r="O35" s="1141">
        <f>'12. Разходи'!L35-'12. Разходи'!$K35</f>
        <v>0</v>
      </c>
      <c r="P35" s="1121">
        <f>IFERROR(('12. Разходи'!L35-'12. Разходи'!$K35)/'12. Разходи'!$K35,0)</f>
        <v>0</v>
      </c>
      <c r="Q35" s="907">
        <f>'12. Разходи'!M35-'12. Разходи'!$K35</f>
        <v>0</v>
      </c>
      <c r="R35" s="1129">
        <f>IFERROR(('12. Разходи'!M35-'12. Разходи'!$K35)/'12. Разходи'!$K35,0)</f>
        <v>0</v>
      </c>
      <c r="S35" s="907">
        <f>'12. Разходи'!N35-'12. Разходи'!$K35</f>
        <v>0</v>
      </c>
      <c r="T35" s="1129">
        <f>IFERROR(('12. Разходи'!N35-'12. Разходи'!$K35)/'12. Разходи'!$K35,0)</f>
        <v>0</v>
      </c>
      <c r="U35" s="907">
        <f>'12. Разходи'!O35-'12. Разходи'!$K35</f>
        <v>0</v>
      </c>
      <c r="V35" s="1128">
        <f>IFERROR(('12. Разходи'!O35-'12. Разходи'!$K35)/'12. Разходи'!$K35,0)</f>
        <v>0</v>
      </c>
      <c r="W35" s="1136">
        <f>'12. Разходи'!P35-'12. Разходи'!$K35</f>
        <v>0</v>
      </c>
      <c r="X35" s="1183">
        <f>IFERROR(('12. Разходи'!P35-'12. Разходи'!$K35)/'12. Разходи'!$K35,0)</f>
        <v>0</v>
      </c>
      <c r="Y35" s="1177">
        <f>'12. Разходи'!S35</f>
        <v>0.96</v>
      </c>
      <c r="Z35" s="1141">
        <f>'12. Разходи'!T35-'12. Разходи'!$S35</f>
        <v>8.1600000000000117E-2</v>
      </c>
      <c r="AA35" s="1121">
        <f>IFERROR(('12. Разходи'!T35-'12. Разходи'!$S35)/'12. Разходи'!$S35,0)</f>
        <v>8.5000000000000131E-2</v>
      </c>
      <c r="AB35" s="907">
        <f>'12. Разходи'!U35-'12. Разходи'!$S35</f>
        <v>8.1600000000000117E-2</v>
      </c>
      <c r="AC35" s="1129">
        <f>IFERROR(('12. Разходи'!U35-'12. Разходи'!$S35)/'12. Разходи'!$S35,0)</f>
        <v>8.5000000000000131E-2</v>
      </c>
      <c r="AD35" s="907">
        <f>'12. Разходи'!V35-'12. Разходи'!$S35</f>
        <v>8.1600000000000117E-2</v>
      </c>
      <c r="AE35" s="1129">
        <f>IFERROR(('12. Разходи'!V35-'12. Разходи'!$S35)/'12. Разходи'!$S35,0)</f>
        <v>8.5000000000000131E-2</v>
      </c>
      <c r="AF35" s="907">
        <f>'12. Разходи'!W35-'12. Разходи'!$S35</f>
        <v>8.1600000000000117E-2</v>
      </c>
      <c r="AG35" s="1128">
        <f>IFERROR(('12. Разходи'!W35-'12. Разходи'!$S35)/'12. Разходи'!$S35,0)</f>
        <v>8.5000000000000131E-2</v>
      </c>
      <c r="AH35" s="1136">
        <f>'12. Разходи'!X35-'12. Разходи'!$S35</f>
        <v>8.1600000000000117E-2</v>
      </c>
      <c r="AI35" s="1183">
        <f>IFERROR(('12. Разходи'!X35-'12. Разходи'!$S35)/'12. Разходи'!$S35,0)</f>
        <v>8.5000000000000131E-2</v>
      </c>
      <c r="AJ35" s="1177">
        <f>'12. Разходи'!AA35</f>
        <v>0</v>
      </c>
      <c r="AK35" s="1141">
        <f>'12. Разходи'!AB35-'12. Разходи'!$AA35</f>
        <v>0</v>
      </c>
      <c r="AL35" s="1121">
        <f>IFERROR(('12. Разходи'!AB35-'12. Разходи'!$AA35)/'12. Разходи'!$AA35,0)</f>
        <v>0</v>
      </c>
      <c r="AM35" s="907">
        <f>'12. Разходи'!AC35-'12. Разходи'!$AA35</f>
        <v>0</v>
      </c>
      <c r="AN35" s="1129">
        <f>IFERROR(('12. Разходи'!AC35-'12. Разходи'!$AA35)/'12. Разходи'!$AA35,0)</f>
        <v>0</v>
      </c>
      <c r="AO35" s="907">
        <f>'12. Разходи'!AD35-'12. Разходи'!$AA35</f>
        <v>0</v>
      </c>
      <c r="AP35" s="1129">
        <f>IFERROR(('12. Разходи'!AD35-'12. Разходи'!$AA35)/'12. Разходи'!$AA35,0)</f>
        <v>0</v>
      </c>
      <c r="AQ35" s="907">
        <f>'12. Разходи'!AE35-'12. Разходи'!$AA35</f>
        <v>0</v>
      </c>
      <c r="AR35" s="1128">
        <f>IFERROR(('12. Разходи'!AE35-'12. Разходи'!$AA35)/'12. Разходи'!$AA35,0)</f>
        <v>0</v>
      </c>
      <c r="AS35" s="1136">
        <f>'12. Разходи'!AF35-'12. Разходи'!$AA35</f>
        <v>0</v>
      </c>
      <c r="AT35" s="1183">
        <f>IFERROR(('12. Разходи'!AF35-'12. Разходи'!$AA35)/'12. Разходи'!$AA35,0)</f>
        <v>0</v>
      </c>
      <c r="AU35" s="1177">
        <f>'12. Разходи'!AI35</f>
        <v>0</v>
      </c>
      <c r="AV35" s="1141">
        <f>'12. Разходи'!AJ35-'12. Разходи'!$AI35</f>
        <v>0</v>
      </c>
      <c r="AW35" s="1121">
        <f>IFERROR(('12. Разходи'!AJ35-'12. Разходи'!$AI35)/'12. Разходи'!$AI35,0)</f>
        <v>0</v>
      </c>
      <c r="AX35" s="907">
        <f>'12. Разходи'!AK35-'12. Разходи'!$AI35</f>
        <v>0</v>
      </c>
      <c r="AY35" s="1129">
        <f>IFERROR(('12. Разходи'!AK35-'12. Разходи'!$AI35)/'12. Разходи'!$AI35,0)</f>
        <v>0</v>
      </c>
      <c r="AZ35" s="907">
        <f>'12. Разходи'!AL35-'12. Разходи'!$AI35</f>
        <v>0</v>
      </c>
      <c r="BA35" s="1129">
        <f>IFERROR(('12. Разходи'!AL35-'12. Разходи'!$AI35)/'12. Разходи'!$AI35,0)</f>
        <v>0</v>
      </c>
      <c r="BB35" s="907">
        <f>'12. Разходи'!AM35-'12. Разходи'!$AI35</f>
        <v>0</v>
      </c>
      <c r="BC35" s="1128">
        <f>IFERROR(('12. Разходи'!AM35-'12. Разходи'!$AI35)/'12. Разходи'!$AI35,0)</f>
        <v>0</v>
      </c>
      <c r="BD35" s="1136">
        <f>'12. Разходи'!AN35-'12. Разходи'!$AI35</f>
        <v>0</v>
      </c>
      <c r="BE35" s="1183">
        <f>IFERROR(('12. Разходи'!AN35-'12. Разходи'!$AI35)/'12. Разходи'!$AI35,0)</f>
        <v>0</v>
      </c>
      <c r="BF35" s="4488"/>
      <c r="BG35" s="4504">
        <f t="shared" si="1"/>
        <v>0.21985550891437394</v>
      </c>
      <c r="BH35" s="4504">
        <f t="shared" si="2"/>
        <v>1.868771825772177E-2</v>
      </c>
      <c r="BI35" s="4504">
        <f t="shared" si="3"/>
        <v>1.868771825772177E-2</v>
      </c>
      <c r="BJ35" s="4504">
        <f t="shared" si="4"/>
        <v>1.868771825772177E-2</v>
      </c>
      <c r="BK35" s="4504">
        <f t="shared" si="5"/>
        <v>1.868771825772177E-2</v>
      </c>
      <c r="BL35" s="4504">
        <f t="shared" si="6"/>
        <v>1.868771825772177E-2</v>
      </c>
      <c r="BM35" s="4504">
        <f t="shared" si="7"/>
        <v>0</v>
      </c>
      <c r="BN35" s="4504">
        <f t="shared" si="8"/>
        <v>0</v>
      </c>
      <c r="BO35" s="4504">
        <f t="shared" si="9"/>
        <v>0</v>
      </c>
      <c r="BP35" s="4504">
        <f t="shared" si="10"/>
        <v>0</v>
      </c>
      <c r="BQ35" s="4504">
        <f t="shared" si="11"/>
        <v>0</v>
      </c>
      <c r="BR35" s="4504">
        <f t="shared" si="12"/>
        <v>0</v>
      </c>
      <c r="BS35" s="4504">
        <f t="shared" si="13"/>
        <v>0.49084020594836975</v>
      </c>
      <c r="BT35" s="4504">
        <f t="shared" si="14"/>
        <v>4.1721417505611487E-2</v>
      </c>
      <c r="BU35" s="4504">
        <f t="shared" si="15"/>
        <v>4.1721417505611487E-2</v>
      </c>
      <c r="BV35" s="4504">
        <f t="shared" si="16"/>
        <v>4.1721417505611487E-2</v>
      </c>
      <c r="BW35" s="4504">
        <f t="shared" si="17"/>
        <v>4.1721417505611487E-2</v>
      </c>
      <c r="BX35" s="4504">
        <f t="shared" si="18"/>
        <v>4.1721417505611487E-2</v>
      </c>
      <c r="BY35" s="4504">
        <f t="shared" si="19"/>
        <v>0</v>
      </c>
      <c r="BZ35" s="4504">
        <f t="shared" si="20"/>
        <v>0</v>
      </c>
      <c r="CA35" s="4504">
        <f t="shared" si="21"/>
        <v>0</v>
      </c>
      <c r="CB35" s="4504">
        <f t="shared" si="22"/>
        <v>0</v>
      </c>
      <c r="CC35" s="4504">
        <f t="shared" si="23"/>
        <v>0</v>
      </c>
      <c r="CD35" s="4504">
        <f t="shared" si="24"/>
        <v>0</v>
      </c>
      <c r="CE35" s="4504">
        <f t="shared" si="25"/>
        <v>0</v>
      </c>
      <c r="CF35" s="4504">
        <f t="shared" si="26"/>
        <v>0</v>
      </c>
      <c r="CG35" s="4504">
        <f t="shared" si="27"/>
        <v>0</v>
      </c>
      <c r="CH35" s="4504">
        <f t="shared" si="28"/>
        <v>0</v>
      </c>
      <c r="CI35" s="4504">
        <f t="shared" si="29"/>
        <v>0</v>
      </c>
      <c r="CJ35" s="4504">
        <f t="shared" si="30"/>
        <v>0</v>
      </c>
    </row>
    <row r="36" spans="1:88" ht="15.9" customHeight="1">
      <c r="A36" s="108" t="s">
        <v>248</v>
      </c>
      <c r="B36" s="896" t="s">
        <v>249</v>
      </c>
      <c r="C36" s="1112">
        <f>'12. Разходи'!C36</f>
        <v>65.859355123614762</v>
      </c>
      <c r="D36" s="1141">
        <f>'12. Разходи'!D36-'12. Разходи'!$C36</f>
        <v>5.5321858303836393</v>
      </c>
      <c r="E36" s="1121">
        <f>IFERROR(('12. Разходи'!D36-'12. Разходи'!$C36)/'12. Разходи'!$C36,0)</f>
        <v>8.3999999999999991E-2</v>
      </c>
      <c r="F36" s="907">
        <f>'12. Разходи'!E36-'12. Разходи'!$C36</f>
        <v>5.5980451855072602</v>
      </c>
      <c r="G36" s="1129">
        <f>IFERROR(('12. Разходи'!E36-'12. Разходи'!$C36)/'12. Разходи'!$C36,0)</f>
        <v>8.5000000000000075E-2</v>
      </c>
      <c r="H36" s="907">
        <f>'12. Разходи'!F36-'12. Разходи'!$C36</f>
        <v>5.6639045406308668</v>
      </c>
      <c r="I36" s="1129">
        <f>IFERROR(('12. Разходи'!F36-'12. Разходи'!$C36)/'12. Разходи'!$C36,0)</f>
        <v>8.5999999999999965E-2</v>
      </c>
      <c r="J36" s="907">
        <f>'12. Разходи'!G36-'12. Разходи'!$C36</f>
        <v>5.7297638957544876</v>
      </c>
      <c r="K36" s="1128">
        <f>IFERROR(('12. Разходи'!G36-'12. Разходи'!$C36)/'12. Разходи'!$C36,0)</f>
        <v>8.700000000000005E-2</v>
      </c>
      <c r="L36" s="1136">
        <f>'12. Разходи'!H36-'12. Разходи'!$C36</f>
        <v>5.7956232508780943</v>
      </c>
      <c r="M36" s="1128">
        <f>IFERROR(('12. Разходи'!H36-'12. Разходи'!$C36)/'12. Разходи'!$C36,0)</f>
        <v>8.7999999999999926E-2</v>
      </c>
      <c r="N36" s="1177">
        <f>'12. Разходи'!K36</f>
        <v>1.5490622149382189</v>
      </c>
      <c r="O36" s="1141">
        <f>'12. Разходи'!L36-'12. Разходи'!$K36</f>
        <v>0.13012122605481036</v>
      </c>
      <c r="P36" s="1121">
        <f>IFERROR(('12. Разходи'!L36-'12. Разходи'!$K36)/'12. Разходи'!$K36,0)</f>
        <v>8.3999999999999977E-2</v>
      </c>
      <c r="Q36" s="907">
        <f>'12. Разходи'!M36-'12. Разходи'!$K36</f>
        <v>0.13167028826974869</v>
      </c>
      <c r="R36" s="1129">
        <f>IFERROR(('12. Разходи'!M36-'12. Разходи'!$K36)/'12. Разходи'!$K36,0)</f>
        <v>8.5000000000000048E-2</v>
      </c>
      <c r="S36" s="907">
        <f>'12. Разходи'!N36-'12. Разходи'!$K36</f>
        <v>0.1332193504846868</v>
      </c>
      <c r="T36" s="1129">
        <f>IFERROR(('12. Разходи'!N36-'12. Разходи'!$K36)/'12. Разходи'!$K36,0)</f>
        <v>8.5999999999999979E-2</v>
      </c>
      <c r="U36" s="907">
        <f>'12. Разходи'!O36-'12. Разходи'!$K36</f>
        <v>0.13476841269962492</v>
      </c>
      <c r="V36" s="1128">
        <f>IFERROR(('12. Разходи'!O36-'12. Разходи'!$K36)/'12. Разходи'!$K36,0)</f>
        <v>8.6999999999999911E-2</v>
      </c>
      <c r="W36" s="1136">
        <f>'12. Разходи'!P36-'12. Разходи'!$K36</f>
        <v>0.13631747491456325</v>
      </c>
      <c r="X36" s="1183">
        <f>IFERROR(('12. Разходи'!P36-'12. Разходи'!$K36)/'12. Разходи'!$K36,0)</f>
        <v>8.7999999999999995E-2</v>
      </c>
      <c r="Y36" s="1177">
        <f>'12. Разходи'!S36</f>
        <v>38.947918024773493</v>
      </c>
      <c r="Z36" s="1141">
        <f>'12. Разходи'!T36-'12. Разходи'!$S36</f>
        <v>3.771625114080976</v>
      </c>
      <c r="AA36" s="1121">
        <f>IFERROR(('12. Разходи'!T36-'12. Разходи'!$S36)/'12. Разходи'!$S36,0)</f>
        <v>9.6837656679927511E-2</v>
      </c>
      <c r="AB36" s="907">
        <f>'12. Разходи'!U36-'12. Разходи'!$S36</f>
        <v>3.8105730321057436</v>
      </c>
      <c r="AC36" s="1129">
        <f>IFERROR(('12. Разходи'!U36-'12. Разходи'!$S36)/'12. Разходи'!$S36,0)</f>
        <v>9.7837656679927359E-2</v>
      </c>
      <c r="AD36" s="907">
        <f>'12. Разходи'!V36-'12. Разходи'!$S36</f>
        <v>3.8495209501305183</v>
      </c>
      <c r="AE36" s="1129">
        <f>IFERROR(('12. Разходи'!V36-'12. Разходи'!$S36)/'12. Разходи'!$S36,0)</f>
        <v>9.8837656679927388E-2</v>
      </c>
      <c r="AF36" s="907">
        <f>'12. Разходи'!W36-'12. Разходи'!$S36</f>
        <v>3.888468868155293</v>
      </c>
      <c r="AG36" s="1128">
        <f>IFERROR(('12. Разходи'!W36-'12. Разходи'!$S36)/'12. Разходи'!$S36,0)</f>
        <v>9.9837656679927417E-2</v>
      </c>
      <c r="AH36" s="1136">
        <f>'12. Разходи'!X36-'12. Разходи'!$S36</f>
        <v>3.9274167861800677</v>
      </c>
      <c r="AI36" s="1183">
        <f>IFERROR(('12. Разходи'!X36-'12. Разходи'!$S36)/'12. Разходи'!$S36,0)</f>
        <v>0.10083765667992746</v>
      </c>
      <c r="AJ36" s="1177">
        <f>'12. Разходи'!AA36</f>
        <v>0</v>
      </c>
      <c r="AK36" s="1141">
        <f>'12. Разходи'!AB36-'12. Разходи'!$AA36</f>
        <v>0</v>
      </c>
      <c r="AL36" s="1121">
        <f>IFERROR(('12. Разходи'!AB36-'12. Разходи'!$AA36)/'12. Разходи'!$AA36,0)</f>
        <v>0</v>
      </c>
      <c r="AM36" s="907">
        <f>'12. Разходи'!AC36-'12. Разходи'!$AA36</f>
        <v>0</v>
      </c>
      <c r="AN36" s="1129">
        <f>IFERROR(('12. Разходи'!AC36-'12. Разходи'!$AA36)/'12. Разходи'!$AA36,0)</f>
        <v>0</v>
      </c>
      <c r="AO36" s="907">
        <f>'12. Разходи'!AD36-'12. Разходи'!$AA36</f>
        <v>0</v>
      </c>
      <c r="AP36" s="1129">
        <f>IFERROR(('12. Разходи'!AD36-'12. Разходи'!$AA36)/'12. Разходи'!$AA36,0)</f>
        <v>0</v>
      </c>
      <c r="AQ36" s="907">
        <f>'12. Разходи'!AE36-'12. Разходи'!$AA36</f>
        <v>0</v>
      </c>
      <c r="AR36" s="1128">
        <f>IFERROR(('12. Разходи'!AE36-'12. Разходи'!$AA36)/'12. Разходи'!$AA36,0)</f>
        <v>0</v>
      </c>
      <c r="AS36" s="1136">
        <f>'12. Разходи'!AF36-'12. Разходи'!$AA36</f>
        <v>0</v>
      </c>
      <c r="AT36" s="1183">
        <f>IFERROR(('12. Разходи'!AF36-'12. Разходи'!$AA36)/'12. Разходи'!$AA36,0)</f>
        <v>0</v>
      </c>
      <c r="AU36" s="1177">
        <f>'12. Разходи'!AI36</f>
        <v>10.37797300342465</v>
      </c>
      <c r="AV36" s="1141">
        <f>'12. Разходи'!AJ36-'12. Разходи'!$AI36</f>
        <v>0.87174973228766994</v>
      </c>
      <c r="AW36" s="1121">
        <f>IFERROR(('12. Разходи'!AJ36-'12. Разходи'!$AI36)/'12. Разходи'!$AI36,0)</f>
        <v>8.3999999999999936E-2</v>
      </c>
      <c r="AX36" s="907">
        <f>'12. Разходи'!AK36-'12. Разходи'!$AI36</f>
        <v>0.88212770529109541</v>
      </c>
      <c r="AY36" s="1129">
        <f>IFERROR(('12. Разходи'!AK36-'12. Разходи'!$AI36)/'12. Разходи'!$AI36,0)</f>
        <v>8.500000000000002E-2</v>
      </c>
      <c r="AZ36" s="907">
        <f>'12. Разходи'!AL36-'12. Разходи'!$AI36</f>
        <v>0.8925056782945191</v>
      </c>
      <c r="BA36" s="1129">
        <f>IFERROR(('12. Разходи'!AL36-'12. Разходи'!$AI36)/'12. Разходи'!$AI36,0)</f>
        <v>8.5999999999999924E-2</v>
      </c>
      <c r="BB36" s="907">
        <f>'12. Разходи'!AM36-'12. Разходи'!$AI36</f>
        <v>0.90288365129794457</v>
      </c>
      <c r="BC36" s="1128">
        <f>IFERROR(('12. Разходи'!AM36-'12. Разходи'!$AI36)/'12. Разходи'!$AI36,0)</f>
        <v>8.7000000000000008E-2</v>
      </c>
      <c r="BD36" s="1136">
        <f>'12. Разходи'!AN36-'12. Разходи'!$AI36</f>
        <v>0.91326162430137003</v>
      </c>
      <c r="BE36" s="1183">
        <f>IFERROR(('12. Разходи'!AN36-'12. Разходи'!$AI36)/'12. Разходи'!$AI36,0)</f>
        <v>8.8000000000000078E-2</v>
      </c>
      <c r="BF36" s="4488"/>
      <c r="BG36" s="4504">
        <f t="shared" si="1"/>
        <v>33.673353575522803</v>
      </c>
      <c r="BH36" s="4504">
        <f t="shared" si="2"/>
        <v>2.828561700343915</v>
      </c>
      <c r="BI36" s="4504">
        <f t="shared" si="3"/>
        <v>2.862235053919441</v>
      </c>
      <c r="BJ36" s="4504">
        <f t="shared" si="4"/>
        <v>2.8959084074949595</v>
      </c>
      <c r="BK36" s="4504">
        <f t="shared" si="5"/>
        <v>2.9295817610704855</v>
      </c>
      <c r="BL36" s="4504">
        <f t="shared" si="6"/>
        <v>2.963255114646004</v>
      </c>
      <c r="BM36" s="4504">
        <f t="shared" si="7"/>
        <v>0.79202293396574297</v>
      </c>
      <c r="BN36" s="4504">
        <f t="shared" si="8"/>
        <v>6.652992645312239E-2</v>
      </c>
      <c r="BO36" s="4504">
        <f t="shared" si="9"/>
        <v>6.7321949387088187E-2</v>
      </c>
      <c r="BP36" s="4504">
        <f t="shared" si="10"/>
        <v>6.8113972321053873E-2</v>
      </c>
      <c r="BQ36" s="4504">
        <f t="shared" si="11"/>
        <v>6.8905995255019573E-2</v>
      </c>
      <c r="BR36" s="4504">
        <f t="shared" si="12"/>
        <v>6.9698018188985369E-2</v>
      </c>
      <c r="BS36" s="4504">
        <f t="shared" si="13"/>
        <v>19.913754275562546</v>
      </c>
      <c r="BT36" s="4504">
        <f t="shared" si="14"/>
        <v>1.9284012997453643</v>
      </c>
      <c r="BU36" s="4504">
        <f t="shared" si="15"/>
        <v>1.948315054020924</v>
      </c>
      <c r="BV36" s="4504">
        <f t="shared" si="16"/>
        <v>1.9682288082964872</v>
      </c>
      <c r="BW36" s="4504">
        <f t="shared" si="17"/>
        <v>1.9881425625720504</v>
      </c>
      <c r="BX36" s="4504">
        <f t="shared" si="18"/>
        <v>2.0080563168476133</v>
      </c>
      <c r="BY36" s="4504">
        <f t="shared" si="19"/>
        <v>0</v>
      </c>
      <c r="BZ36" s="4504">
        <f t="shared" si="20"/>
        <v>0</v>
      </c>
      <c r="CA36" s="4504">
        <f t="shared" si="21"/>
        <v>0</v>
      </c>
      <c r="CB36" s="4504">
        <f t="shared" si="22"/>
        <v>0</v>
      </c>
      <c r="CC36" s="4504">
        <f t="shared" si="23"/>
        <v>0</v>
      </c>
      <c r="CD36" s="4504">
        <f t="shared" si="24"/>
        <v>0</v>
      </c>
      <c r="CE36" s="4504">
        <f t="shared" si="25"/>
        <v>5.306173339924559</v>
      </c>
      <c r="CF36" s="4504">
        <f t="shared" si="26"/>
        <v>0.4457185605536626</v>
      </c>
      <c r="CG36" s="4504">
        <f t="shared" si="27"/>
        <v>0.4510247338935876</v>
      </c>
      <c r="CH36" s="4504">
        <f t="shared" si="28"/>
        <v>0.45633090723351166</v>
      </c>
      <c r="CI36" s="4504">
        <f t="shared" si="29"/>
        <v>0.46163708057343666</v>
      </c>
      <c r="CJ36" s="4504">
        <f t="shared" si="30"/>
        <v>0.46694325391336161</v>
      </c>
    </row>
    <row r="37" spans="1:88" ht="15.9" customHeight="1">
      <c r="A37" s="838" t="s">
        <v>250</v>
      </c>
      <c r="B37" s="896" t="s">
        <v>251</v>
      </c>
      <c r="C37" s="1112">
        <f>'12. Разходи'!C37</f>
        <v>0.17765085966412575</v>
      </c>
      <c r="D37" s="1141">
        <f>'12. Разходи'!D37-'12. Разходи'!$C37</f>
        <v>1.5100323071450678E-2</v>
      </c>
      <c r="E37" s="1121">
        <f>IFERROR(('12. Разходи'!D37-'12. Разходи'!$C37)/'12. Разходи'!$C37,0)</f>
        <v>8.4999999999999937E-2</v>
      </c>
      <c r="F37" s="907">
        <f>'12. Разходи'!E37-'12. Разходи'!$C37</f>
        <v>1.5100323071450678E-2</v>
      </c>
      <c r="G37" s="1129">
        <f>IFERROR(('12. Разходи'!E37-'12. Разходи'!$C37)/'12. Разходи'!$C37,0)</f>
        <v>8.4999999999999937E-2</v>
      </c>
      <c r="H37" s="907">
        <f>'12. Разходи'!F37-'12. Разходи'!$C37</f>
        <v>1.5100323071450678E-2</v>
      </c>
      <c r="I37" s="1129">
        <f>IFERROR(('12. Разходи'!F37-'12. Разходи'!$C37)/'12. Разходи'!$C37,0)</f>
        <v>8.4999999999999937E-2</v>
      </c>
      <c r="J37" s="907">
        <f>'12. Разходи'!G37-'12. Разходи'!$C37</f>
        <v>1.5100323071450678E-2</v>
      </c>
      <c r="K37" s="1128">
        <f>IFERROR(('12. Разходи'!G37-'12. Разходи'!$C37)/'12. Разходи'!$C37,0)</f>
        <v>8.4999999999999937E-2</v>
      </c>
      <c r="L37" s="1136">
        <f>'12. Разходи'!H37-'12. Разходи'!$C37</f>
        <v>1.5100323071450678E-2</v>
      </c>
      <c r="M37" s="1128">
        <f>IFERROR(('12. Разходи'!H37-'12. Разходи'!$C37)/'12. Разходи'!$C37,0)</f>
        <v>8.4999999999999937E-2</v>
      </c>
      <c r="N37" s="1177">
        <f>'12. Разходи'!K37</f>
        <v>4.8444741380218341E-3</v>
      </c>
      <c r="O37" s="1141">
        <f>'12. Разходи'!L37-'12. Разходи'!$K37</f>
        <v>4.1178030173185526E-4</v>
      </c>
      <c r="P37" s="1121">
        <f>IFERROR(('12. Разходи'!L37-'12. Разходи'!$K37)/'12. Разходи'!$K37,0)</f>
        <v>8.4999999999999867E-2</v>
      </c>
      <c r="Q37" s="907">
        <f>'12. Разходи'!M37-'12. Разходи'!$K37</f>
        <v>4.1178030173185526E-4</v>
      </c>
      <c r="R37" s="1129">
        <f>IFERROR(('12. Разходи'!M37-'12. Разходи'!$K37)/'12. Разходи'!$K37,0)</f>
        <v>8.4999999999999867E-2</v>
      </c>
      <c r="S37" s="907">
        <f>'12. Разходи'!N37-'12. Разходи'!$K37</f>
        <v>4.1178030173185526E-4</v>
      </c>
      <c r="T37" s="1129">
        <f>IFERROR(('12. Разходи'!N37-'12. Разходи'!$K37)/'12. Разходи'!$K37,0)</f>
        <v>8.4999999999999867E-2</v>
      </c>
      <c r="U37" s="907">
        <f>'12. Разходи'!O37-'12. Разходи'!$K37</f>
        <v>4.1178030173185526E-4</v>
      </c>
      <c r="V37" s="1128">
        <f>IFERROR(('12. Разходи'!O37-'12. Разходи'!$K37)/'12. Разходи'!$K37,0)</f>
        <v>8.4999999999999867E-2</v>
      </c>
      <c r="W37" s="1136">
        <f>'12. Разходи'!P37-'12. Разходи'!$K37</f>
        <v>4.1178030173185526E-4</v>
      </c>
      <c r="X37" s="1183">
        <f>IFERROR(('12. Разходи'!P37-'12. Разходи'!$K37)/'12. Разходи'!$K37,0)</f>
        <v>8.4999999999999867E-2</v>
      </c>
      <c r="Y37" s="1177">
        <f>'12. Разходи'!S37</f>
        <v>4.175639085069989E-2</v>
      </c>
      <c r="Z37" s="1141">
        <f>'12. Разходи'!T37-'12. Разходи'!$S37</f>
        <v>3.5492932223094922E-3</v>
      </c>
      <c r="AA37" s="1121">
        <f>IFERROR(('12. Разходи'!T37-'12. Разходи'!$S37)/'12. Разходи'!$S37,0)</f>
        <v>8.5000000000000034E-2</v>
      </c>
      <c r="AB37" s="907">
        <f>'12. Разходи'!U37-'12. Разходи'!$S37</f>
        <v>3.5492932223094922E-3</v>
      </c>
      <c r="AC37" s="1129">
        <f>IFERROR(('12. Разходи'!U37-'12. Разходи'!$S37)/'12. Разходи'!$S37,0)</f>
        <v>8.5000000000000034E-2</v>
      </c>
      <c r="AD37" s="907">
        <f>'12. Разходи'!V37-'12. Разходи'!$S37</f>
        <v>3.5492932223094922E-3</v>
      </c>
      <c r="AE37" s="1129">
        <f>IFERROR(('12. Разходи'!V37-'12. Разходи'!$S37)/'12. Разходи'!$S37,0)</f>
        <v>8.5000000000000034E-2</v>
      </c>
      <c r="AF37" s="907">
        <f>'12. Разходи'!W37-'12. Разходи'!$S37</f>
        <v>3.5492932223094922E-3</v>
      </c>
      <c r="AG37" s="1128">
        <f>IFERROR(('12. Разходи'!W37-'12. Разходи'!$S37)/'12. Разходи'!$S37,0)</f>
        <v>8.5000000000000034E-2</v>
      </c>
      <c r="AH37" s="1136">
        <f>'12. Разходи'!X37-'12. Разходи'!$S37</f>
        <v>3.5492932223094922E-3</v>
      </c>
      <c r="AI37" s="1183">
        <f>IFERROR(('12. Разходи'!X37-'12. Разходи'!$S37)/'12. Разходи'!$S37,0)</f>
        <v>8.5000000000000034E-2</v>
      </c>
      <c r="AJ37" s="1177">
        <f>'12. Разходи'!AA37</f>
        <v>0</v>
      </c>
      <c r="AK37" s="1141">
        <f>'12. Разходи'!AB37-'12. Разходи'!$AA37</f>
        <v>0</v>
      </c>
      <c r="AL37" s="1121">
        <f>IFERROR(('12. Разходи'!AB37-'12. Разходи'!$AA37)/'12. Разходи'!$AA37,0)</f>
        <v>0</v>
      </c>
      <c r="AM37" s="907">
        <f>'12. Разходи'!AC37-'12. Разходи'!$AA37</f>
        <v>0</v>
      </c>
      <c r="AN37" s="1129">
        <f>IFERROR(('12. Разходи'!AC37-'12. Разходи'!$AA37)/'12. Разходи'!$AA37,0)</f>
        <v>0</v>
      </c>
      <c r="AO37" s="907">
        <f>'12. Разходи'!AD37-'12. Разходи'!$AA37</f>
        <v>0</v>
      </c>
      <c r="AP37" s="1129">
        <f>IFERROR(('12. Разходи'!AD37-'12. Разходи'!$AA37)/'12. Разходи'!$AA37,0)</f>
        <v>0</v>
      </c>
      <c r="AQ37" s="907">
        <f>'12. Разходи'!AE37-'12. Разходи'!$AA37</f>
        <v>0</v>
      </c>
      <c r="AR37" s="1128">
        <f>IFERROR(('12. Разходи'!AE37-'12. Разходи'!$AA37)/'12. Разходи'!$AA37,0)</f>
        <v>0</v>
      </c>
      <c r="AS37" s="1136">
        <f>'12. Разходи'!AF37-'12. Разходи'!$AA37</f>
        <v>0</v>
      </c>
      <c r="AT37" s="1183">
        <f>IFERROR(('12. Разходи'!AF37-'12. Разходи'!$AA37)/'12. Разходи'!$AA37,0)</f>
        <v>0</v>
      </c>
      <c r="AU37" s="1177">
        <f>'12. Разходи'!AI37</f>
        <v>4.461852688662054E-2</v>
      </c>
      <c r="AV37" s="1141">
        <f>'12. Разходи'!AJ37-'12. Разходи'!$AI37</f>
        <v>3.7925747853627401E-3</v>
      </c>
      <c r="AW37" s="1121">
        <f>IFERROR(('12. Разходи'!AJ37-'12. Разходи'!$AI37)/'12. Разходи'!$AI37,0)</f>
        <v>8.4999999999999867E-2</v>
      </c>
      <c r="AX37" s="907">
        <f>'12. Разходи'!AK37-'12. Разходи'!$AI37</f>
        <v>3.7925747853627401E-3</v>
      </c>
      <c r="AY37" s="1129">
        <f>IFERROR(('12. Разходи'!AK37-'12. Разходи'!$AI37)/'12. Разходи'!$AI37,0)</f>
        <v>8.4999999999999867E-2</v>
      </c>
      <c r="AZ37" s="907">
        <f>'12. Разходи'!AL37-'12. Разходи'!$AI37</f>
        <v>3.7925747853627401E-3</v>
      </c>
      <c r="BA37" s="1129">
        <f>IFERROR(('12. Разходи'!AL37-'12. Разходи'!$AI37)/'12. Разходи'!$AI37,0)</f>
        <v>8.4999999999999867E-2</v>
      </c>
      <c r="BB37" s="907">
        <f>'12. Разходи'!AM37-'12. Разходи'!$AI37</f>
        <v>3.7925747853627401E-3</v>
      </c>
      <c r="BC37" s="1128">
        <f>IFERROR(('12. Разходи'!AM37-'12. Разходи'!$AI37)/'12. Разходи'!$AI37,0)</f>
        <v>8.4999999999999867E-2</v>
      </c>
      <c r="BD37" s="1136">
        <f>'12. Разходи'!AN37-'12. Разходи'!$AI37</f>
        <v>3.7925747853627401E-3</v>
      </c>
      <c r="BE37" s="1183">
        <f>IFERROR(('12. Разходи'!AN37-'12. Разходи'!$AI37)/'12. Разходи'!$AI37,0)</f>
        <v>8.4999999999999867E-2</v>
      </c>
      <c r="BF37" s="4488"/>
      <c r="BG37" s="4504">
        <f t="shared" si="1"/>
        <v>9.0831442233796272E-2</v>
      </c>
      <c r="BH37" s="4504">
        <f t="shared" si="2"/>
        <v>7.7206725898726772E-3</v>
      </c>
      <c r="BI37" s="4504">
        <f t="shared" si="3"/>
        <v>7.7206725898726772E-3</v>
      </c>
      <c r="BJ37" s="4504">
        <f t="shared" si="4"/>
        <v>7.7206725898726772E-3</v>
      </c>
      <c r="BK37" s="4504">
        <f t="shared" si="5"/>
        <v>7.7206725898726772E-3</v>
      </c>
      <c r="BL37" s="4504">
        <f t="shared" si="6"/>
        <v>7.7206725898726772E-3</v>
      </c>
      <c r="BM37" s="4504">
        <f t="shared" si="7"/>
        <v>2.4769402954356126E-3</v>
      </c>
      <c r="BN37" s="4504">
        <f t="shared" si="8"/>
        <v>2.1053992511202674E-4</v>
      </c>
      <c r="BO37" s="4504">
        <f t="shared" si="9"/>
        <v>2.1053992511202674E-4</v>
      </c>
      <c r="BP37" s="4504">
        <f t="shared" si="10"/>
        <v>2.1053992511202674E-4</v>
      </c>
      <c r="BQ37" s="4504">
        <f t="shared" si="11"/>
        <v>2.1053992511202674E-4</v>
      </c>
      <c r="BR37" s="4504">
        <f t="shared" si="12"/>
        <v>2.1053992511202674E-4</v>
      </c>
      <c r="BS37" s="4504">
        <f t="shared" si="13"/>
        <v>2.1349703630018913E-2</v>
      </c>
      <c r="BT37" s="4504">
        <f t="shared" si="14"/>
        <v>1.8147248085516085E-3</v>
      </c>
      <c r="BU37" s="4504">
        <f t="shared" si="15"/>
        <v>1.8147248085516085E-3</v>
      </c>
      <c r="BV37" s="4504">
        <f t="shared" si="16"/>
        <v>1.8147248085516085E-3</v>
      </c>
      <c r="BW37" s="4504">
        <f t="shared" si="17"/>
        <v>1.8147248085516085E-3</v>
      </c>
      <c r="BX37" s="4504">
        <f t="shared" si="18"/>
        <v>1.8147248085516085E-3</v>
      </c>
      <c r="BY37" s="4504">
        <f t="shared" si="19"/>
        <v>0</v>
      </c>
      <c r="BZ37" s="4504">
        <f t="shared" si="20"/>
        <v>0</v>
      </c>
      <c r="CA37" s="4504">
        <f t="shared" si="21"/>
        <v>0</v>
      </c>
      <c r="CB37" s="4504">
        <f t="shared" si="22"/>
        <v>0</v>
      </c>
      <c r="CC37" s="4504">
        <f t="shared" si="23"/>
        <v>0</v>
      </c>
      <c r="CD37" s="4504">
        <f t="shared" si="24"/>
        <v>0</v>
      </c>
      <c r="CE37" s="4504">
        <f t="shared" si="25"/>
        <v>2.2813090548064269E-2</v>
      </c>
      <c r="CF37" s="4504">
        <f t="shared" si="26"/>
        <v>1.9391126965854599E-3</v>
      </c>
      <c r="CG37" s="4504">
        <f t="shared" si="27"/>
        <v>1.9391126965854599E-3</v>
      </c>
      <c r="CH37" s="4504">
        <f t="shared" si="28"/>
        <v>1.9391126965854599E-3</v>
      </c>
      <c r="CI37" s="4504">
        <f t="shared" si="29"/>
        <v>1.9391126965854599E-3</v>
      </c>
      <c r="CJ37" s="4504">
        <f t="shared" si="30"/>
        <v>1.9391126965854599E-3</v>
      </c>
    </row>
    <row r="38" spans="1:88" ht="15.9" customHeight="1">
      <c r="A38" s="838" t="s">
        <v>252</v>
      </c>
      <c r="B38" s="896" t="s">
        <v>441</v>
      </c>
      <c r="C38" s="1185">
        <f>'12. Разходи'!C38</f>
        <v>49.132153963958409</v>
      </c>
      <c r="D38" s="1142">
        <f>'12. Разходи'!D38-'12. Разходи'!$C38</f>
        <v>13.53283628682496</v>
      </c>
      <c r="E38" s="878">
        <f>IFERROR(('12. Разходи'!D38-'12. Разходи'!$C38)/'12. Разходи'!$C38,0)</f>
        <v>0.27543747210334324</v>
      </c>
      <c r="F38" s="1135">
        <f>'12. Разходи'!E38-'12. Разходи'!$C38</f>
        <v>13.53283628682496</v>
      </c>
      <c r="G38" s="878">
        <f>IFERROR(('12. Разходи'!E38-'12. Разходи'!$C38)/'12. Разходи'!$C38,0)</f>
        <v>0.27543747210334324</v>
      </c>
      <c r="H38" s="1135">
        <f>'12. Разходи'!F38-'12. Разходи'!$C38</f>
        <v>13.53283628682496</v>
      </c>
      <c r="I38" s="878">
        <f>IFERROR(('12. Разходи'!F38-'12. Разходи'!$C38)/'12. Разходи'!$C38,0)</f>
        <v>0.27543747210334324</v>
      </c>
      <c r="J38" s="1135">
        <f>'12. Разходи'!G38-'12. Разходи'!$C38</f>
        <v>13.53283628682496</v>
      </c>
      <c r="K38" s="885">
        <f>IFERROR(('12. Разходи'!G38-'12. Разходи'!$C38)/'12. Разходи'!$C38,0)</f>
        <v>0.27543747210334324</v>
      </c>
      <c r="L38" s="1135">
        <f>'12. Разходи'!H38-'12. Разходи'!$C38</f>
        <v>13.53283628682496</v>
      </c>
      <c r="M38" s="885">
        <f>IFERROR(('12. Разходи'!H38-'12. Разходи'!$C38)/'12. Разходи'!$C38,0)</f>
        <v>0.27543747210334324</v>
      </c>
      <c r="N38" s="1164">
        <f>'12. Разходи'!K38</f>
        <v>1.4985134335260735</v>
      </c>
      <c r="O38" s="1142">
        <f>'12. Разходи'!L38-'12. Разходи'!$K38</f>
        <v>0.11535830686205251</v>
      </c>
      <c r="P38" s="878">
        <f>IFERROR(('12. Разходи'!L38-'12. Разходи'!$K38)/'12. Разходи'!$K38,0)</f>
        <v>7.69818303133986E-2</v>
      </c>
      <c r="Q38" s="1135">
        <f>'12. Разходи'!M38-'12. Разходи'!$K38</f>
        <v>0.11535830686205251</v>
      </c>
      <c r="R38" s="878">
        <f>IFERROR(('12. Разходи'!M38-'12. Разходи'!$K38)/'12. Разходи'!$K38,0)</f>
        <v>7.69818303133986E-2</v>
      </c>
      <c r="S38" s="1135">
        <f>'12. Разходи'!N38-'12. Разходи'!$K38</f>
        <v>0.11535830686205251</v>
      </c>
      <c r="T38" s="878">
        <f>IFERROR(('12. Разходи'!N38-'12. Разходи'!$K38)/'12. Разходи'!$K38,0)</f>
        <v>7.69818303133986E-2</v>
      </c>
      <c r="U38" s="1135">
        <f>'12. Разходи'!O38-'12. Разходи'!$K38</f>
        <v>0.11535830686205251</v>
      </c>
      <c r="V38" s="885">
        <f>IFERROR(('12. Разходи'!O38-'12. Разходи'!$K38)/'12. Разходи'!$K38,0)</f>
        <v>7.69818303133986E-2</v>
      </c>
      <c r="W38" s="1135">
        <f>'12. Разходи'!P38-'12. Разходи'!$K38</f>
        <v>0.11535830686205251</v>
      </c>
      <c r="X38" s="711">
        <f>IFERROR(('12. Разходи'!P38-'12. Разходи'!$K38)/'12. Разходи'!$K38,0)</f>
        <v>7.69818303133986E-2</v>
      </c>
      <c r="Y38" s="1164">
        <f>'12. Разходи'!S38</f>
        <v>11.001570742278481</v>
      </c>
      <c r="Z38" s="1142">
        <f>'12. Разходи'!T38-'12. Разходи'!$S38</f>
        <v>0.83156870716164022</v>
      </c>
      <c r="AA38" s="878">
        <f>IFERROR(('12. Разходи'!T38-'12. Разходи'!$S38)/'12. Разходи'!$S38,0)</f>
        <v>7.5586361860671733E-2</v>
      </c>
      <c r="AB38" s="1135">
        <f>'12. Разходи'!U38-'12. Разходи'!$S38</f>
        <v>0.83156870716164022</v>
      </c>
      <c r="AC38" s="878">
        <f>IFERROR(('12. Разходи'!U38-'12. Разходи'!$S38)/'12. Разходи'!$S38,0)</f>
        <v>7.5586361860671733E-2</v>
      </c>
      <c r="AD38" s="1135">
        <f>'12. Разходи'!V38-'12. Разходи'!$S38</f>
        <v>0.83156870716164022</v>
      </c>
      <c r="AE38" s="878">
        <f>IFERROR(('12. Разходи'!V38-'12. Разходи'!$S38)/'12. Разходи'!$S38,0)</f>
        <v>7.5586361860671733E-2</v>
      </c>
      <c r="AF38" s="1135">
        <f>'12. Разходи'!W38-'12. Разходи'!$S38</f>
        <v>0.83156870716164022</v>
      </c>
      <c r="AG38" s="885">
        <f>IFERROR(('12. Разходи'!W38-'12. Разходи'!$S38)/'12. Разходи'!$S38,0)</f>
        <v>7.5586361860671733E-2</v>
      </c>
      <c r="AH38" s="1135">
        <f>'12. Разходи'!X38-'12. Разходи'!$S38</f>
        <v>0.83156870716164022</v>
      </c>
      <c r="AI38" s="711">
        <f>IFERROR(('12. Разходи'!X38-'12. Разходи'!$S38)/'12. Разходи'!$S38,0)</f>
        <v>7.5586361860671733E-2</v>
      </c>
      <c r="AJ38" s="1164">
        <f>'12. Разходи'!AA38</f>
        <v>0</v>
      </c>
      <c r="AK38" s="1142">
        <f>'12. Разходи'!AB38-'12. Разходи'!$AA38</f>
        <v>0</v>
      </c>
      <c r="AL38" s="878">
        <f>IFERROR(('12. Разходи'!AB38-'12. Разходи'!$AA38)/'12. Разходи'!$AA38,0)</f>
        <v>0</v>
      </c>
      <c r="AM38" s="1135">
        <f>'12. Разходи'!AC38-'12. Разходи'!$AA38</f>
        <v>0</v>
      </c>
      <c r="AN38" s="878">
        <f>IFERROR(('12. Разходи'!AC38-'12. Разходи'!$AA38)/'12. Разходи'!$AA38,0)</f>
        <v>0</v>
      </c>
      <c r="AO38" s="1135">
        <f>'12. Разходи'!AD38-'12. Разходи'!$AA38</f>
        <v>0</v>
      </c>
      <c r="AP38" s="878">
        <f>IFERROR(('12. Разходи'!AD38-'12. Разходи'!$AA38)/'12. Разходи'!$AA38,0)</f>
        <v>0</v>
      </c>
      <c r="AQ38" s="1135">
        <f>'12. Разходи'!AE38-'12. Разходи'!$AA38</f>
        <v>0</v>
      </c>
      <c r="AR38" s="885">
        <f>IFERROR(('12. Разходи'!AE38-'12. Разходи'!$AA38)/'12. Разходи'!$AA38,0)</f>
        <v>0</v>
      </c>
      <c r="AS38" s="1135">
        <f>'12. Разходи'!AF38-'12. Разходи'!$AA38</f>
        <v>0</v>
      </c>
      <c r="AT38" s="711">
        <f>IFERROR(('12. Разходи'!AF38-'12. Разходи'!$AA38)/'12. Разходи'!$AA38,0)</f>
        <v>0</v>
      </c>
      <c r="AU38" s="1164">
        <f>'12. Разходи'!AI38</f>
        <v>6.6855871866511443</v>
      </c>
      <c r="AV38" s="1142">
        <f>'12. Разходи'!AJ38-'12. Разходи'!$AI38</f>
        <v>15.32892139831684</v>
      </c>
      <c r="AW38" s="878">
        <f>IFERROR(('12. Разходи'!AJ38-'12. Разходи'!$AI38)/'12. Разходи'!$AI38,0)</f>
        <v>2.2928309766004564</v>
      </c>
      <c r="AX38" s="1135">
        <f>'12. Разходи'!AK38-'12. Разходи'!$AI38</f>
        <v>15.298921398316843</v>
      </c>
      <c r="AY38" s="878">
        <f>IFERROR(('12. Разходи'!AK38-'12. Разходи'!$AI38)/'12. Разходи'!$AI38,0)</f>
        <v>2.2883437118079342</v>
      </c>
      <c r="AZ38" s="1135">
        <f>'12. Разходи'!AL38-'12. Разходи'!$AI38</f>
        <v>15.298921398316843</v>
      </c>
      <c r="BA38" s="878">
        <f>IFERROR(('12. Разходи'!AL38-'12. Разходи'!$AI38)/'12. Разходи'!$AI38,0)</f>
        <v>2.2883437118079342</v>
      </c>
      <c r="BB38" s="1135">
        <f>'12. Разходи'!AM38-'12. Разходи'!$AI38</f>
        <v>15.298921398316843</v>
      </c>
      <c r="BC38" s="885">
        <f>IFERROR(('12. Разходи'!AM38-'12. Разходи'!$AI38)/'12. Разходи'!$AI38,0)</f>
        <v>2.2883437118079342</v>
      </c>
      <c r="BD38" s="1135">
        <f>'12. Разходи'!AN38-'12. Разходи'!$AI38</f>
        <v>15.298921398316843</v>
      </c>
      <c r="BE38" s="711">
        <f>IFERROR(('12. Разходи'!AN38-'12. Разходи'!$AI38)/'12. Разходи'!$AI38,0)</f>
        <v>2.2883437118079342</v>
      </c>
      <c r="BF38" s="4488"/>
      <c r="BG38" s="4504">
        <f t="shared" si="1"/>
        <v>25.120871427454539</v>
      </c>
      <c r="BH38" s="4504">
        <f t="shared" si="2"/>
        <v>6.9192293230111819</v>
      </c>
      <c r="BI38" s="4504">
        <f t="shared" si="3"/>
        <v>6.9192293230111819</v>
      </c>
      <c r="BJ38" s="4504">
        <f t="shared" si="4"/>
        <v>6.9192293230111819</v>
      </c>
      <c r="BK38" s="4504">
        <f t="shared" si="5"/>
        <v>6.9192293230111819</v>
      </c>
      <c r="BL38" s="4504">
        <f t="shared" si="6"/>
        <v>6.9192293230111819</v>
      </c>
      <c r="BM38" s="4504">
        <f t="shared" si="7"/>
        <v>0.76617775242535058</v>
      </c>
      <c r="BN38" s="4504">
        <f t="shared" si="8"/>
        <v>5.8981765727109468E-2</v>
      </c>
      <c r="BO38" s="4504">
        <f t="shared" si="9"/>
        <v>5.8981765727109468E-2</v>
      </c>
      <c r="BP38" s="4504">
        <f t="shared" si="10"/>
        <v>5.8981765727109468E-2</v>
      </c>
      <c r="BQ38" s="4504">
        <f t="shared" si="11"/>
        <v>5.8981765727109468E-2</v>
      </c>
      <c r="BR38" s="4504">
        <f t="shared" si="12"/>
        <v>5.8981765727109468E-2</v>
      </c>
      <c r="BS38" s="4504">
        <f t="shared" si="13"/>
        <v>5.6250138009328428</v>
      </c>
      <c r="BT38" s="4504">
        <f t="shared" si="14"/>
        <v>0.42517432862858234</v>
      </c>
      <c r="BU38" s="4504">
        <f t="shared" si="15"/>
        <v>0.42517432862858234</v>
      </c>
      <c r="BV38" s="4504">
        <f t="shared" si="16"/>
        <v>0.42517432862858234</v>
      </c>
      <c r="BW38" s="4504">
        <f t="shared" si="17"/>
        <v>0.42517432862858234</v>
      </c>
      <c r="BX38" s="4504">
        <f t="shared" si="18"/>
        <v>0.42517432862858234</v>
      </c>
      <c r="BY38" s="4504">
        <f t="shared" si="19"/>
        <v>0</v>
      </c>
      <c r="BZ38" s="4504">
        <f t="shared" si="20"/>
        <v>0</v>
      </c>
      <c r="CA38" s="4504">
        <f t="shared" si="21"/>
        <v>0</v>
      </c>
      <c r="CB38" s="4504">
        <f t="shared" si="22"/>
        <v>0</v>
      </c>
      <c r="CC38" s="4504">
        <f t="shared" si="23"/>
        <v>0</v>
      </c>
      <c r="CD38" s="4504">
        <f t="shared" si="24"/>
        <v>0</v>
      </c>
      <c r="CE38" s="4504">
        <f t="shared" si="25"/>
        <v>3.4182864495641976</v>
      </c>
      <c r="CF38" s="4504">
        <f t="shared" si="26"/>
        <v>7.8375530584543851</v>
      </c>
      <c r="CG38" s="4504">
        <f t="shared" si="27"/>
        <v>7.8222143020184998</v>
      </c>
      <c r="CH38" s="4504">
        <f t="shared" si="28"/>
        <v>7.8222143020184998</v>
      </c>
      <c r="CI38" s="4504">
        <f t="shared" si="29"/>
        <v>7.8222143020184998</v>
      </c>
      <c r="CJ38" s="4504">
        <f t="shared" si="30"/>
        <v>7.8222143020184998</v>
      </c>
    </row>
    <row r="39" spans="1:88" s="1198" customFormat="1" ht="15.9" customHeight="1">
      <c r="A39" s="1201" t="s">
        <v>1221</v>
      </c>
      <c r="B39" s="1202" t="s">
        <v>253</v>
      </c>
      <c r="C39" s="1203">
        <f>'12. Разходи'!C39</f>
        <v>34.554337666378657</v>
      </c>
      <c r="D39" s="1210">
        <f>'12. Разходи'!D39-'12. Разходи'!$C39</f>
        <v>2.9371187016421842</v>
      </c>
      <c r="E39" s="1205">
        <f>IFERROR(('12. Разходи'!D39-'12. Разходи'!$C39)/'12. Разходи'!$C39,0)</f>
        <v>8.4999999999999951E-2</v>
      </c>
      <c r="F39" s="1204">
        <f>'12. Разходи'!E39-'12. Разходи'!$C39</f>
        <v>2.9371187016421842</v>
      </c>
      <c r="G39" s="1211">
        <f>IFERROR(('12. Разходи'!E39-'12. Разходи'!$C39)/'12. Разходи'!$C39,0)</f>
        <v>8.4999999999999951E-2</v>
      </c>
      <c r="H39" s="1204">
        <f>'12. Разходи'!F39-'12. Разходи'!$C39</f>
        <v>2.9371187016421842</v>
      </c>
      <c r="I39" s="1211">
        <f>IFERROR(('12. Разходи'!F39-'12. Разходи'!$C39)/'12. Разходи'!$C39,0)</f>
        <v>8.4999999999999951E-2</v>
      </c>
      <c r="J39" s="1204">
        <f>'12. Разходи'!G39-'12. Разходи'!$C39</f>
        <v>2.9371187016421842</v>
      </c>
      <c r="K39" s="1212">
        <f>IFERROR(('12. Разходи'!G39-'12. Разходи'!$C39)/'12. Разходи'!$C39,0)</f>
        <v>8.4999999999999951E-2</v>
      </c>
      <c r="L39" s="1206">
        <f>'12. Разходи'!H39-'12. Разходи'!$C39</f>
        <v>2.9371187016421842</v>
      </c>
      <c r="M39" s="1212">
        <f>IFERROR(('12. Разходи'!H39-'12. Разходи'!$C39)/'12. Разходи'!$C39,0)</f>
        <v>8.4999999999999951E-2</v>
      </c>
      <c r="N39" s="1208">
        <f>'12. Разходи'!K39</f>
        <v>0.9422841831316443</v>
      </c>
      <c r="O39" s="1210">
        <f>'12. Разходи'!L39-'12. Разходи'!$K39</f>
        <v>8.0094155566189928E-2</v>
      </c>
      <c r="P39" s="1205">
        <f>IFERROR(('12. Разходи'!L39-'12. Разходи'!$K39)/'12. Разходи'!$K39,0)</f>
        <v>8.5000000000000173E-2</v>
      </c>
      <c r="Q39" s="1204">
        <f>'12. Разходи'!M39-'12. Разходи'!$K39</f>
        <v>8.0094155566189928E-2</v>
      </c>
      <c r="R39" s="1211">
        <f>IFERROR(('12. Разходи'!M39-'12. Разходи'!$K39)/'12. Разходи'!$K39,0)</f>
        <v>8.5000000000000173E-2</v>
      </c>
      <c r="S39" s="1204">
        <f>'12. Разходи'!N39-'12. Разходи'!$K39</f>
        <v>8.0094155566189928E-2</v>
      </c>
      <c r="T39" s="1211">
        <f>IFERROR(('12. Разходи'!N39-'12. Разходи'!$K39)/'12. Разходи'!$K39,0)</f>
        <v>8.5000000000000173E-2</v>
      </c>
      <c r="U39" s="1204">
        <f>'12. Разходи'!O39-'12. Разходи'!$K39</f>
        <v>8.0094155566189928E-2</v>
      </c>
      <c r="V39" s="1212">
        <f>IFERROR(('12. Разходи'!O39-'12. Разходи'!$K39)/'12. Разходи'!$K39,0)</f>
        <v>8.5000000000000173E-2</v>
      </c>
      <c r="W39" s="1206">
        <f>'12. Разходи'!P39-'12. Разходи'!$K39</f>
        <v>8.0094155566189928E-2</v>
      </c>
      <c r="X39" s="1213">
        <f>IFERROR(('12. Разходи'!P39-'12. Разходи'!$K39)/'12. Разходи'!$K39,0)</f>
        <v>8.5000000000000173E-2</v>
      </c>
      <c r="Y39" s="1208">
        <f>'12. Разходи'!S39</f>
        <v>8.121910763124415</v>
      </c>
      <c r="Z39" s="1210">
        <f>'12. Разходи'!T39-'12. Разходи'!$S39</f>
        <v>0.69036241486557692</v>
      </c>
      <c r="AA39" s="1205">
        <f>IFERROR(('12. Разходи'!T39-'12. Разходи'!$S39)/'12. Разходи'!$S39,0)</f>
        <v>8.50000000000002E-2</v>
      </c>
      <c r="AB39" s="1204">
        <f>'12. Разходи'!U39-'12. Разходи'!$S39</f>
        <v>0.69036241486557692</v>
      </c>
      <c r="AC39" s="1211">
        <f>IFERROR(('12. Разходи'!U39-'12. Разходи'!$S39)/'12. Разходи'!$S39,0)</f>
        <v>8.50000000000002E-2</v>
      </c>
      <c r="AD39" s="1204">
        <f>'12. Разходи'!V39-'12. Разходи'!$S39</f>
        <v>0.69036241486557692</v>
      </c>
      <c r="AE39" s="1211">
        <f>IFERROR(('12. Разходи'!V39-'12. Разходи'!$S39)/'12. Разходи'!$S39,0)</f>
        <v>8.50000000000002E-2</v>
      </c>
      <c r="AF39" s="1204">
        <f>'12. Разходи'!W39-'12. Разходи'!$S39</f>
        <v>0.69036241486557692</v>
      </c>
      <c r="AG39" s="1212">
        <f>IFERROR(('12. Разходи'!W39-'12. Разходи'!$S39)/'12. Разходи'!$S39,0)</f>
        <v>8.50000000000002E-2</v>
      </c>
      <c r="AH39" s="1206">
        <f>'12. Разходи'!X39-'12. Разходи'!$S39</f>
        <v>0.69036241486557692</v>
      </c>
      <c r="AI39" s="1213">
        <f>IFERROR(('12. Разходи'!X39-'12. Разходи'!$S39)/'12. Разходи'!$S39,0)</f>
        <v>8.50000000000002E-2</v>
      </c>
      <c r="AJ39" s="1208">
        <f>'12. Разходи'!AA39</f>
        <v>0</v>
      </c>
      <c r="AK39" s="1210">
        <f>'12. Разходи'!AB39-'12. Разходи'!$AA39</f>
        <v>0</v>
      </c>
      <c r="AL39" s="1205">
        <f>IFERROR(('12. Разходи'!AB39-'12. Разходи'!$AA39)/'12. Разходи'!$AA39,0)</f>
        <v>0</v>
      </c>
      <c r="AM39" s="1204">
        <f>'12. Разходи'!AC39-'12. Разходи'!$AA39</f>
        <v>0</v>
      </c>
      <c r="AN39" s="1211">
        <f>IFERROR(('12. Разходи'!AC39-'12. Разходи'!$AA39)/'12. Разходи'!$AA39,0)</f>
        <v>0</v>
      </c>
      <c r="AO39" s="1204">
        <f>'12. Разходи'!AD39-'12. Разходи'!$AA39</f>
        <v>0</v>
      </c>
      <c r="AP39" s="1211">
        <f>IFERROR(('12. Разходи'!AD39-'12. Разходи'!$AA39)/'12. Разходи'!$AA39,0)</f>
        <v>0</v>
      </c>
      <c r="AQ39" s="1204">
        <f>'12. Разходи'!AE39-'12. Разходи'!$AA39</f>
        <v>0</v>
      </c>
      <c r="AR39" s="1212">
        <f>IFERROR(('12. Разходи'!AE39-'12. Разходи'!$AA39)/'12. Разходи'!$AA39,0)</f>
        <v>0</v>
      </c>
      <c r="AS39" s="1206">
        <f>'12. Разходи'!AF39-'12. Разходи'!$AA39</f>
        <v>0</v>
      </c>
      <c r="AT39" s="1213">
        <f>IFERROR(('12. Разходи'!AF39-'12. Разходи'!$AA39)/'12. Разходи'!$AA39,0)</f>
        <v>0</v>
      </c>
      <c r="AU39" s="1208">
        <f>'12. Разходи'!AI39</f>
        <v>3.7044597951354699</v>
      </c>
      <c r="AV39" s="1210">
        <f>'12. Разходи'!AJ39-'12. Разходи'!$AI39</f>
        <v>0.34487908258651467</v>
      </c>
      <c r="AW39" s="1205">
        <f>IFERROR(('12. Разходи'!AJ39-'12. Разходи'!$AI39)/'12. Разходи'!$AI39,0)</f>
        <v>9.3098346765537687E-2</v>
      </c>
      <c r="AX39" s="1204">
        <f>'12. Разходи'!AK39-'12. Разходи'!$AI39</f>
        <v>0.31487908258651442</v>
      </c>
      <c r="AY39" s="1211">
        <f>IFERROR(('12. Разходи'!AK39-'12. Разходи'!$AI39)/'12. Разходи'!$AI39,0)</f>
        <v>8.4999999999999867E-2</v>
      </c>
      <c r="AZ39" s="1204">
        <f>'12. Разходи'!AL39-'12. Разходи'!$AI39</f>
        <v>0.31487908258651442</v>
      </c>
      <c r="BA39" s="1211">
        <f>IFERROR(('12. Разходи'!AL39-'12. Разходи'!$AI39)/'12. Разходи'!$AI39,0)</f>
        <v>8.4999999999999867E-2</v>
      </c>
      <c r="BB39" s="1204">
        <f>'12. Разходи'!AM39-'12. Разходи'!$AI39</f>
        <v>0.31487908258651442</v>
      </c>
      <c r="BC39" s="1212">
        <f>IFERROR(('12. Разходи'!AM39-'12. Разходи'!$AI39)/'12. Разходи'!$AI39,0)</f>
        <v>8.4999999999999867E-2</v>
      </c>
      <c r="BD39" s="1206">
        <f>'12. Разходи'!AN39-'12. Разходи'!$AI39</f>
        <v>0.31487908258651442</v>
      </c>
      <c r="BE39" s="1213">
        <f>IFERROR(('12. Разходи'!AN39-'12. Разходи'!$AI39)/'12. Разходи'!$AI39,0)</f>
        <v>8.4999999999999867E-2</v>
      </c>
      <c r="BF39" s="4488"/>
      <c r="BG39" s="4504">
        <f t="shared" si="1"/>
        <v>17.667352308932095</v>
      </c>
      <c r="BH39" s="4504">
        <f t="shared" si="2"/>
        <v>1.5017249462592273</v>
      </c>
      <c r="BI39" s="4504">
        <f t="shared" si="3"/>
        <v>1.5017249462592273</v>
      </c>
      <c r="BJ39" s="4504">
        <f t="shared" si="4"/>
        <v>1.5017249462592273</v>
      </c>
      <c r="BK39" s="4504">
        <f t="shared" si="5"/>
        <v>1.5017249462592273</v>
      </c>
      <c r="BL39" s="4504">
        <f t="shared" si="6"/>
        <v>1.5017249462592273</v>
      </c>
      <c r="BM39" s="4504">
        <f t="shared" si="7"/>
        <v>0.48178225261482049</v>
      </c>
      <c r="BN39" s="4504">
        <f t="shared" si="8"/>
        <v>4.0951491472259821E-2</v>
      </c>
      <c r="BO39" s="4504">
        <f t="shared" si="9"/>
        <v>4.0951491472259821E-2</v>
      </c>
      <c r="BP39" s="4504">
        <f t="shared" si="10"/>
        <v>4.0951491472259821E-2</v>
      </c>
      <c r="BQ39" s="4504">
        <f t="shared" si="11"/>
        <v>4.0951491472259821E-2</v>
      </c>
      <c r="BR39" s="4504">
        <f t="shared" si="12"/>
        <v>4.0951491472259821E-2</v>
      </c>
      <c r="BS39" s="4504">
        <f t="shared" si="13"/>
        <v>4.1526670329856969</v>
      </c>
      <c r="BT39" s="4504">
        <f t="shared" si="14"/>
        <v>0.35297669780378504</v>
      </c>
      <c r="BU39" s="4504">
        <f t="shared" si="15"/>
        <v>0.35297669780378504</v>
      </c>
      <c r="BV39" s="4504">
        <f t="shared" si="16"/>
        <v>0.35297669780378504</v>
      </c>
      <c r="BW39" s="4504">
        <f t="shared" si="17"/>
        <v>0.35297669780378504</v>
      </c>
      <c r="BX39" s="4504">
        <f t="shared" si="18"/>
        <v>0.35297669780378504</v>
      </c>
      <c r="BY39" s="4504">
        <f t="shared" si="19"/>
        <v>0</v>
      </c>
      <c r="BZ39" s="4504">
        <f t="shared" si="20"/>
        <v>0</v>
      </c>
      <c r="CA39" s="4504">
        <f t="shared" si="21"/>
        <v>0</v>
      </c>
      <c r="CB39" s="4504">
        <f t="shared" si="22"/>
        <v>0</v>
      </c>
      <c r="CC39" s="4504">
        <f t="shared" si="23"/>
        <v>0</v>
      </c>
      <c r="CD39" s="4504">
        <f t="shared" si="24"/>
        <v>0</v>
      </c>
      <c r="CE39" s="4504">
        <f t="shared" si="25"/>
        <v>1.8940602174705725</v>
      </c>
      <c r="CF39" s="4504">
        <f t="shared" si="26"/>
        <v>0.17633387492088509</v>
      </c>
      <c r="CG39" s="4504">
        <f t="shared" si="27"/>
        <v>0.1609951184849984</v>
      </c>
      <c r="CH39" s="4504">
        <f t="shared" si="28"/>
        <v>0.1609951184849984</v>
      </c>
      <c r="CI39" s="4504">
        <f t="shared" si="29"/>
        <v>0.1609951184849984</v>
      </c>
      <c r="CJ39" s="4504">
        <f t="shared" si="30"/>
        <v>0.1609951184849984</v>
      </c>
    </row>
    <row r="40" spans="1:88" s="1198" customFormat="1" ht="15.9" customHeight="1">
      <c r="A40" s="1201" t="s">
        <v>1222</v>
      </c>
      <c r="B40" s="1202" t="s">
        <v>254</v>
      </c>
      <c r="C40" s="1203">
        <f>'12. Разходи'!C40</f>
        <v>4.5989497694115409</v>
      </c>
      <c r="D40" s="1210">
        <f>'12. Разходи'!D40-'12. Разходи'!$C40</f>
        <v>0.39091073039998125</v>
      </c>
      <c r="E40" s="1205">
        <f>IFERROR(('12. Разходи'!D40-'12. Разходи'!$C40)/'12. Разходи'!$C40,0)</f>
        <v>8.5000000000000062E-2</v>
      </c>
      <c r="F40" s="1204">
        <f>'12. Разходи'!E40-'12. Разходи'!$C40</f>
        <v>0.39091073039998125</v>
      </c>
      <c r="G40" s="1211">
        <f>IFERROR(('12. Разходи'!E40-'12. Разходи'!$C40)/'12. Разходи'!$C40,0)</f>
        <v>8.5000000000000062E-2</v>
      </c>
      <c r="H40" s="1204">
        <f>'12. Разходи'!F40-'12. Разходи'!$C40</f>
        <v>0.39091073039998125</v>
      </c>
      <c r="I40" s="1211">
        <f>IFERROR(('12. Разходи'!F40-'12. Разходи'!$C40)/'12. Разходи'!$C40,0)</f>
        <v>8.5000000000000062E-2</v>
      </c>
      <c r="J40" s="1204">
        <f>'12. Разходи'!G40-'12. Разходи'!$C40</f>
        <v>0.39091073039998125</v>
      </c>
      <c r="K40" s="1212">
        <f>IFERROR(('12. Разходи'!G40-'12. Разходи'!$C40)/'12. Разходи'!$C40,0)</f>
        <v>8.5000000000000062E-2</v>
      </c>
      <c r="L40" s="1206">
        <f>'12. Разходи'!H40-'12. Разходи'!$C40</f>
        <v>0.39091073039998125</v>
      </c>
      <c r="M40" s="1212">
        <f>IFERROR(('12. Разходи'!H40-'12. Разходи'!$C40)/'12. Разходи'!$C40,0)</f>
        <v>8.5000000000000062E-2</v>
      </c>
      <c r="N40" s="1208">
        <f>'12. Разходи'!K40</f>
        <v>0.12541168256713328</v>
      </c>
      <c r="O40" s="1210">
        <f>'12. Разходи'!L40-'12. Разходи'!$K40</f>
        <v>1.0659993018206332E-2</v>
      </c>
      <c r="P40" s="1205">
        <f>IFERROR(('12. Разходи'!L40-'12. Разходи'!$K40)/'12. Разходи'!$K40,0)</f>
        <v>8.500000000000002E-2</v>
      </c>
      <c r="Q40" s="1204">
        <f>'12. Разходи'!M40-'12. Разходи'!$K40</f>
        <v>1.0659993018206332E-2</v>
      </c>
      <c r="R40" s="1211">
        <f>IFERROR(('12. Разходи'!M40-'12. Разходи'!$K40)/'12. Разходи'!$K40,0)</f>
        <v>8.500000000000002E-2</v>
      </c>
      <c r="S40" s="1204">
        <f>'12. Разходи'!N40-'12. Разходи'!$K40</f>
        <v>1.0659993018206332E-2</v>
      </c>
      <c r="T40" s="1211">
        <f>IFERROR(('12. Разходи'!N40-'12. Разходи'!$K40)/'12. Разходи'!$K40,0)</f>
        <v>8.500000000000002E-2</v>
      </c>
      <c r="U40" s="1204">
        <f>'12. Разходи'!O40-'12. Разходи'!$K40</f>
        <v>1.0659993018206332E-2</v>
      </c>
      <c r="V40" s="1212">
        <f>IFERROR(('12. Разходи'!O40-'12. Разходи'!$K40)/'12. Разходи'!$K40,0)</f>
        <v>8.500000000000002E-2</v>
      </c>
      <c r="W40" s="1206">
        <f>'12. Разходи'!P40-'12. Разходи'!$K40</f>
        <v>1.0659993018206332E-2</v>
      </c>
      <c r="X40" s="1213">
        <f>IFERROR(('12. Разходи'!P40-'12. Разходи'!$K40)/'12. Разходи'!$K40,0)</f>
        <v>8.500000000000002E-2</v>
      </c>
      <c r="Y40" s="1208">
        <f>'12. Разходи'!S40</f>
        <v>1.0809716566379408</v>
      </c>
      <c r="Z40" s="1210">
        <f>'12. Разходи'!T40-'12. Разходи'!$S40</f>
        <v>9.1882590814225118E-2</v>
      </c>
      <c r="AA40" s="1205">
        <f>IFERROR(('12. Разходи'!T40-'12. Разходи'!$S40)/'12. Разходи'!$S40,0)</f>
        <v>8.5000000000000131E-2</v>
      </c>
      <c r="AB40" s="1204">
        <f>'12. Разходи'!U40-'12. Разходи'!$S40</f>
        <v>9.1882590814225118E-2</v>
      </c>
      <c r="AC40" s="1211">
        <f>IFERROR(('12. Разходи'!U40-'12. Разходи'!$S40)/'12. Разходи'!$S40,0)</f>
        <v>8.5000000000000131E-2</v>
      </c>
      <c r="AD40" s="1204">
        <f>'12. Разходи'!V40-'12. Разходи'!$S40</f>
        <v>9.1882590814225118E-2</v>
      </c>
      <c r="AE40" s="1211">
        <f>IFERROR(('12. Разходи'!V40-'12. Разходи'!$S40)/'12. Разходи'!$S40,0)</f>
        <v>8.5000000000000131E-2</v>
      </c>
      <c r="AF40" s="1204">
        <f>'12. Разходи'!W40-'12. Разходи'!$S40</f>
        <v>9.1882590814225118E-2</v>
      </c>
      <c r="AG40" s="1212">
        <f>IFERROR(('12. Разходи'!W40-'12. Разходи'!$S40)/'12. Разходи'!$S40,0)</f>
        <v>8.5000000000000131E-2</v>
      </c>
      <c r="AH40" s="1206">
        <f>'12. Разходи'!X40-'12. Разходи'!$S40</f>
        <v>9.1882590814225118E-2</v>
      </c>
      <c r="AI40" s="1213">
        <f>IFERROR(('12. Разходи'!X40-'12. Разходи'!$S40)/'12. Разходи'!$S40,0)</f>
        <v>8.5000000000000131E-2</v>
      </c>
      <c r="AJ40" s="1208">
        <f>'12. Разходи'!AA40</f>
        <v>0</v>
      </c>
      <c r="AK40" s="1210">
        <f>'12. Разходи'!AB40-'12. Разходи'!$AA40</f>
        <v>0</v>
      </c>
      <c r="AL40" s="1205">
        <f>IFERROR(('12. Разходи'!AB40-'12. Разходи'!$AA40)/'12. Разходи'!$AA40,0)</f>
        <v>0</v>
      </c>
      <c r="AM40" s="1204">
        <f>'12. Разходи'!AC40-'12. Разходи'!$AA40</f>
        <v>0</v>
      </c>
      <c r="AN40" s="1211">
        <f>IFERROR(('12. Разходи'!AC40-'12. Разходи'!$AA40)/'12. Разходи'!$AA40,0)</f>
        <v>0</v>
      </c>
      <c r="AO40" s="1204">
        <f>'12. Разходи'!AD40-'12. Разходи'!$AA40</f>
        <v>0</v>
      </c>
      <c r="AP40" s="1211">
        <f>IFERROR(('12. Разходи'!AD40-'12. Разходи'!$AA40)/'12. Разходи'!$AA40,0)</f>
        <v>0</v>
      </c>
      <c r="AQ40" s="1204">
        <f>'12. Разходи'!AE40-'12. Разходи'!$AA40</f>
        <v>0</v>
      </c>
      <c r="AR40" s="1212">
        <f>IFERROR(('12. Разходи'!AE40-'12. Разходи'!$AA40)/'12. Разходи'!$AA40,0)</f>
        <v>0</v>
      </c>
      <c r="AS40" s="1206">
        <f>'12. Разходи'!AF40-'12. Разходи'!$AA40</f>
        <v>0</v>
      </c>
      <c r="AT40" s="1213">
        <f>IFERROR(('12. Разходи'!AF40-'12. Разходи'!$AA40)/'12. Разходи'!$AA40,0)</f>
        <v>0</v>
      </c>
      <c r="AU40" s="1208">
        <f>'12. Разходи'!AI40</f>
        <v>1.1550654149642892</v>
      </c>
      <c r="AV40" s="1210">
        <f>'12. Разходи'!AJ40-'12. Разходи'!$AI40</f>
        <v>9.8180560271964756E-2</v>
      </c>
      <c r="AW40" s="1205">
        <f>IFERROR(('12. Разходи'!AJ40-'12. Разходи'!$AI40)/'12. Разходи'!$AI40,0)</f>
        <v>8.5000000000000159E-2</v>
      </c>
      <c r="AX40" s="1204">
        <f>'12. Разходи'!AK40-'12. Разходи'!$AI40</f>
        <v>9.8180560271964756E-2</v>
      </c>
      <c r="AY40" s="1211">
        <f>IFERROR(('12. Разходи'!AK40-'12. Разходи'!$AI40)/'12. Разходи'!$AI40,0)</f>
        <v>8.5000000000000159E-2</v>
      </c>
      <c r="AZ40" s="1204">
        <f>'12. Разходи'!AL40-'12. Разходи'!$AI40</f>
        <v>9.8180560271964756E-2</v>
      </c>
      <c r="BA40" s="1211">
        <f>IFERROR(('12. Разходи'!AL40-'12. Разходи'!$AI40)/'12. Разходи'!$AI40,0)</f>
        <v>8.5000000000000159E-2</v>
      </c>
      <c r="BB40" s="1204">
        <f>'12. Разходи'!AM40-'12. Разходи'!$AI40</f>
        <v>9.8180560271964756E-2</v>
      </c>
      <c r="BC40" s="1212">
        <f>IFERROR(('12. Разходи'!AM40-'12. Разходи'!$AI40)/'12. Разходи'!$AI40,0)</f>
        <v>8.5000000000000159E-2</v>
      </c>
      <c r="BD40" s="1206">
        <f>'12. Разходи'!AN40-'12. Разходи'!$AI40</f>
        <v>9.8180560271964756E-2</v>
      </c>
      <c r="BE40" s="1213">
        <f>IFERROR(('12. Разходи'!AN40-'12. Разходи'!$AI40)/'12. Разходи'!$AI40,0)</f>
        <v>8.5000000000000159E-2</v>
      </c>
      <c r="BF40" s="4488"/>
      <c r="BG40" s="4504">
        <f t="shared" si="1"/>
        <v>2.3514056791293418</v>
      </c>
      <c r="BH40" s="4504">
        <f t="shared" si="2"/>
        <v>0.19986948272599422</v>
      </c>
      <c r="BI40" s="4504">
        <f t="shared" si="3"/>
        <v>0.19986948272599422</v>
      </c>
      <c r="BJ40" s="4504">
        <f t="shared" si="4"/>
        <v>0.19986948272599422</v>
      </c>
      <c r="BK40" s="4504">
        <f t="shared" si="5"/>
        <v>0.19986948272599422</v>
      </c>
      <c r="BL40" s="4504">
        <f t="shared" si="6"/>
        <v>0.19986948272599422</v>
      </c>
      <c r="BM40" s="4504">
        <f t="shared" si="7"/>
        <v>6.4121975103732576E-2</v>
      </c>
      <c r="BN40" s="4504">
        <f t="shared" si="8"/>
        <v>5.4503678838172705E-3</v>
      </c>
      <c r="BO40" s="4504">
        <f t="shared" si="9"/>
        <v>5.4503678838172705E-3</v>
      </c>
      <c r="BP40" s="4504">
        <f t="shared" si="10"/>
        <v>5.4503678838172705E-3</v>
      </c>
      <c r="BQ40" s="4504">
        <f t="shared" si="11"/>
        <v>5.4503678838172705E-3</v>
      </c>
      <c r="BR40" s="4504">
        <f t="shared" si="12"/>
        <v>5.4503678838172705E-3</v>
      </c>
      <c r="BS40" s="4504">
        <f t="shared" si="13"/>
        <v>0.5526920318422055</v>
      </c>
      <c r="BT40" s="4504">
        <f t="shared" si="14"/>
        <v>4.6978822706587549E-2</v>
      </c>
      <c r="BU40" s="4504">
        <f t="shared" si="15"/>
        <v>4.6978822706587549E-2</v>
      </c>
      <c r="BV40" s="4504">
        <f t="shared" si="16"/>
        <v>4.6978822706587549E-2</v>
      </c>
      <c r="BW40" s="4504">
        <f t="shared" si="17"/>
        <v>4.6978822706587549E-2</v>
      </c>
      <c r="BX40" s="4504">
        <f t="shared" si="18"/>
        <v>4.6978822706587549E-2</v>
      </c>
      <c r="BY40" s="4504">
        <f t="shared" si="19"/>
        <v>0</v>
      </c>
      <c r="BZ40" s="4504">
        <f t="shared" si="20"/>
        <v>0</v>
      </c>
      <c r="CA40" s="4504">
        <f t="shared" si="21"/>
        <v>0</v>
      </c>
      <c r="CB40" s="4504">
        <f t="shared" si="22"/>
        <v>0</v>
      </c>
      <c r="CC40" s="4504">
        <f t="shared" si="23"/>
        <v>0</v>
      </c>
      <c r="CD40" s="4504">
        <f t="shared" si="24"/>
        <v>0</v>
      </c>
      <c r="CE40" s="4504">
        <f t="shared" si="25"/>
        <v>0.5905755689217822</v>
      </c>
      <c r="CF40" s="4504">
        <f t="shared" si="26"/>
        <v>5.0198923358351577E-2</v>
      </c>
      <c r="CG40" s="4504">
        <f t="shared" si="27"/>
        <v>5.0198923358351577E-2</v>
      </c>
      <c r="CH40" s="4504">
        <f t="shared" si="28"/>
        <v>5.0198923358351577E-2</v>
      </c>
      <c r="CI40" s="4504">
        <f t="shared" si="29"/>
        <v>5.0198923358351577E-2</v>
      </c>
      <c r="CJ40" s="4504">
        <f t="shared" si="30"/>
        <v>5.0198923358351577E-2</v>
      </c>
    </row>
    <row r="41" spans="1:88" s="1198" customFormat="1" ht="15.9" customHeight="1">
      <c r="A41" s="1201" t="s">
        <v>1223</v>
      </c>
      <c r="B41" s="1202" t="s">
        <v>255</v>
      </c>
      <c r="C41" s="1203">
        <f>'12. Разходи'!C41</f>
        <v>4.7951931452172056</v>
      </c>
      <c r="D41" s="1210">
        <f>'12. Разходи'!D41-'12. Разходи'!$C41</f>
        <v>10.204806854782795</v>
      </c>
      <c r="E41" s="1205">
        <f>IFERROR(('12. Разходи'!D41-'12. Разходи'!$C41)/'12. Разходи'!$C41,0)</f>
        <v>2.1281325998226404</v>
      </c>
      <c r="F41" s="1204">
        <f>'12. Разходи'!E41-'12. Разходи'!$C41</f>
        <v>10.204806854782795</v>
      </c>
      <c r="G41" s="1211">
        <f>IFERROR(('12. Разходи'!E41-'12. Разходи'!$C41)/'12. Разходи'!$C41,0)</f>
        <v>2.1281325998226404</v>
      </c>
      <c r="H41" s="1204">
        <f>'12. Разходи'!F41-'12. Разходи'!$C41</f>
        <v>10.204806854782795</v>
      </c>
      <c r="I41" s="1211">
        <f>IFERROR(('12. Разходи'!F41-'12. Разходи'!$C41)/'12. Разходи'!$C41,0)</f>
        <v>2.1281325998226404</v>
      </c>
      <c r="J41" s="1204">
        <f>'12. Разходи'!G41-'12. Разходи'!$C41</f>
        <v>10.204806854782795</v>
      </c>
      <c r="K41" s="1212">
        <f>IFERROR(('12. Разходи'!G41-'12. Разходи'!$C41)/'12. Разходи'!$C41,0)</f>
        <v>2.1281325998226404</v>
      </c>
      <c r="L41" s="1206">
        <f>'12. Разходи'!H41-'12. Разходи'!$C41</f>
        <v>10.204806854782795</v>
      </c>
      <c r="M41" s="1212">
        <f>IFERROR(('12. Разходи'!H41-'12. Разходи'!$C41)/'12. Разходи'!$C41,0)</f>
        <v>2.1281325998226404</v>
      </c>
      <c r="N41" s="1208">
        <f>'12. Разходи'!K41</f>
        <v>0.28946068561948418</v>
      </c>
      <c r="O41" s="1210">
        <f>'12. Разходи'!L41-'12. Разходи'!$K41</f>
        <v>2.4604158277656163E-2</v>
      </c>
      <c r="P41" s="1205">
        <f>IFERROR(('12. Разходи'!L41-'12. Разходи'!$K41)/'12. Разходи'!$K41,0)</f>
        <v>8.500000000000002E-2</v>
      </c>
      <c r="Q41" s="1204">
        <f>'12. Разходи'!M41-'12. Разходи'!$K41</f>
        <v>2.4604158277656163E-2</v>
      </c>
      <c r="R41" s="1211">
        <f>IFERROR(('12. Разходи'!M41-'12. Разходи'!$K41)/'12. Разходи'!$K41,0)</f>
        <v>8.500000000000002E-2</v>
      </c>
      <c r="S41" s="1204">
        <f>'12. Разходи'!N41-'12. Разходи'!$K41</f>
        <v>2.4604158277656163E-2</v>
      </c>
      <c r="T41" s="1211">
        <f>IFERROR(('12. Разходи'!N41-'12. Разходи'!$K41)/'12. Разходи'!$K41,0)</f>
        <v>8.500000000000002E-2</v>
      </c>
      <c r="U41" s="1204">
        <f>'12. Разходи'!O41-'12. Разходи'!$K41</f>
        <v>2.4604158277656163E-2</v>
      </c>
      <c r="V41" s="1212">
        <f>IFERROR(('12. Разходи'!O41-'12. Разходи'!$K41)/'12. Разходи'!$K41,0)</f>
        <v>8.500000000000002E-2</v>
      </c>
      <c r="W41" s="1206">
        <f>'12. Разходи'!P41-'12. Разходи'!$K41</f>
        <v>2.4604158277656163E-2</v>
      </c>
      <c r="X41" s="1213">
        <f>IFERROR(('12. Разходи'!P41-'12. Разходи'!$K41)/'12. Разходи'!$K41,0)</f>
        <v>8.500000000000002E-2</v>
      </c>
      <c r="Y41" s="1208">
        <f>'12. Разходи'!S41</f>
        <v>0.5802788409627907</v>
      </c>
      <c r="Z41" s="1210">
        <f>'12. Разходи'!T41-'12. Разходи'!$S41</f>
        <v>4.932370148183729E-2</v>
      </c>
      <c r="AA41" s="1205">
        <f>IFERROR(('12. Разходи'!T41-'12. Разходи'!$S41)/'12. Разходи'!$S41,0)</f>
        <v>8.5000000000000145E-2</v>
      </c>
      <c r="AB41" s="1204">
        <f>'12. Разходи'!U41-'12. Разходи'!$S41</f>
        <v>4.932370148183729E-2</v>
      </c>
      <c r="AC41" s="1211">
        <f>IFERROR(('12. Разходи'!U41-'12. Разходи'!$S41)/'12. Разходи'!$S41,0)</f>
        <v>8.5000000000000145E-2</v>
      </c>
      <c r="AD41" s="1204">
        <f>'12. Разходи'!V41-'12. Разходи'!$S41</f>
        <v>4.932370148183729E-2</v>
      </c>
      <c r="AE41" s="1211">
        <f>IFERROR(('12. Разходи'!V41-'12. Разходи'!$S41)/'12. Разходи'!$S41,0)</f>
        <v>8.5000000000000145E-2</v>
      </c>
      <c r="AF41" s="1204">
        <f>'12. Разходи'!W41-'12. Разходи'!$S41</f>
        <v>4.932370148183729E-2</v>
      </c>
      <c r="AG41" s="1212">
        <f>IFERROR(('12. Разходи'!W41-'12. Разходи'!$S41)/'12. Разходи'!$S41,0)</f>
        <v>8.5000000000000145E-2</v>
      </c>
      <c r="AH41" s="1206">
        <f>'12. Разходи'!X41-'12. Разходи'!$S41</f>
        <v>4.932370148183729E-2</v>
      </c>
      <c r="AI41" s="1213">
        <f>IFERROR(('12. Разходи'!X41-'12. Разходи'!$S41)/'12. Разходи'!$S41,0)</f>
        <v>8.5000000000000145E-2</v>
      </c>
      <c r="AJ41" s="1208">
        <f>'12. Разходи'!AA41</f>
        <v>0</v>
      </c>
      <c r="AK41" s="1210">
        <f>'12. Разходи'!AB41-'12. Разходи'!$AA41</f>
        <v>0</v>
      </c>
      <c r="AL41" s="1205">
        <f>IFERROR(('12. Разходи'!AB41-'12. Разходи'!$AA41)/'12. Разходи'!$AA41,0)</f>
        <v>0</v>
      </c>
      <c r="AM41" s="1204">
        <f>'12. Разходи'!AC41-'12. Разходи'!$AA41</f>
        <v>0</v>
      </c>
      <c r="AN41" s="1211">
        <f>IFERROR(('12. Разходи'!AC41-'12. Разходи'!$AA41)/'12. Разходи'!$AA41,0)</f>
        <v>0</v>
      </c>
      <c r="AO41" s="1204">
        <f>'12. Разходи'!AD41-'12. Разходи'!$AA41</f>
        <v>0</v>
      </c>
      <c r="AP41" s="1211">
        <f>IFERROR(('12. Разходи'!AD41-'12. Разходи'!$AA41)/'12. Разходи'!$AA41,0)</f>
        <v>0</v>
      </c>
      <c r="AQ41" s="1204">
        <f>'12. Разходи'!AE41-'12. Разходи'!$AA41</f>
        <v>0</v>
      </c>
      <c r="AR41" s="1212">
        <f>IFERROR(('12. Разходи'!AE41-'12. Разходи'!$AA41)/'12. Разходи'!$AA41,0)</f>
        <v>0</v>
      </c>
      <c r="AS41" s="1206">
        <f>'12. Разходи'!AF41-'12. Разходи'!$AA41</f>
        <v>0</v>
      </c>
      <c r="AT41" s="1213">
        <f>IFERROR(('12. Разходи'!AF41-'12. Разходи'!$AA41)/'12. Разходи'!$AA41,0)</f>
        <v>0</v>
      </c>
      <c r="AU41" s="1208">
        <f>'12. Разходи'!AI41</f>
        <v>0.5241382445416366</v>
      </c>
      <c r="AV41" s="1210">
        <f>'12. Разходи'!AJ41-'12. Разходи'!$AI41</f>
        <v>14.885861755458363</v>
      </c>
      <c r="AW41" s="1205">
        <f>IFERROR(('12. Разходи'!AJ41-'12. Разходи'!$AI41)/'12. Разходи'!$AI41,0)</f>
        <v>28.400640309077573</v>
      </c>
      <c r="AX41" s="1204">
        <f>'12. Разходи'!AK41-'12. Разходи'!$AI41</f>
        <v>14.885861755458363</v>
      </c>
      <c r="AY41" s="1211">
        <f>IFERROR(('12. Разходи'!AK41-'12. Разходи'!$AI41)/'12. Разходи'!$AI41,0)</f>
        <v>28.400640309077573</v>
      </c>
      <c r="AZ41" s="1204">
        <f>'12. Разходи'!AL41-'12. Разходи'!$AI41</f>
        <v>14.885861755458363</v>
      </c>
      <c r="BA41" s="1211">
        <f>IFERROR(('12. Разходи'!AL41-'12. Разходи'!$AI41)/'12. Разходи'!$AI41,0)</f>
        <v>28.400640309077573</v>
      </c>
      <c r="BB41" s="1204">
        <f>'12. Разходи'!AM41-'12. Разходи'!$AI41</f>
        <v>14.885861755458363</v>
      </c>
      <c r="BC41" s="1212">
        <f>IFERROR(('12. Разходи'!AM41-'12. Разходи'!$AI41)/'12. Разходи'!$AI41,0)</f>
        <v>28.400640309077573</v>
      </c>
      <c r="BD41" s="1206">
        <f>'12. Разходи'!AN41-'12. Разходи'!$AI41</f>
        <v>14.885861755458363</v>
      </c>
      <c r="BE41" s="1213">
        <f>IFERROR(('12. Разходи'!AN41-'12. Разходи'!$AI41)/'12. Разходи'!$AI41,0)</f>
        <v>28.400640309077573</v>
      </c>
      <c r="BF41" s="4488"/>
      <c r="BG41" s="4504">
        <f t="shared" si="1"/>
        <v>2.451743323917317</v>
      </c>
      <c r="BH41" s="4504">
        <f t="shared" si="2"/>
        <v>5.2176348940259611</v>
      </c>
      <c r="BI41" s="4504">
        <f t="shared" si="3"/>
        <v>5.2176348940259611</v>
      </c>
      <c r="BJ41" s="4504">
        <f t="shared" si="4"/>
        <v>5.2176348940259611</v>
      </c>
      <c r="BK41" s="4504">
        <f t="shared" si="5"/>
        <v>5.2176348940259611</v>
      </c>
      <c r="BL41" s="4504">
        <f t="shared" si="6"/>
        <v>5.2176348940259611</v>
      </c>
      <c r="BM41" s="4504">
        <f t="shared" si="7"/>
        <v>0.14799889848273326</v>
      </c>
      <c r="BN41" s="4504">
        <f t="shared" si="8"/>
        <v>1.257990637103233E-2</v>
      </c>
      <c r="BO41" s="4504">
        <f t="shared" si="9"/>
        <v>1.257990637103233E-2</v>
      </c>
      <c r="BP41" s="4504">
        <f t="shared" si="10"/>
        <v>1.257990637103233E-2</v>
      </c>
      <c r="BQ41" s="4504">
        <f t="shared" si="11"/>
        <v>1.257990637103233E-2</v>
      </c>
      <c r="BR41" s="4504">
        <f t="shared" si="12"/>
        <v>1.257990637103233E-2</v>
      </c>
      <c r="BS41" s="4504">
        <f t="shared" si="13"/>
        <v>0.29669186021422655</v>
      </c>
      <c r="BT41" s="4504">
        <f t="shared" si="14"/>
        <v>2.5218808118209299E-2</v>
      </c>
      <c r="BU41" s="4504">
        <f t="shared" si="15"/>
        <v>2.5218808118209299E-2</v>
      </c>
      <c r="BV41" s="4504">
        <f t="shared" si="16"/>
        <v>2.5218808118209299E-2</v>
      </c>
      <c r="BW41" s="4504">
        <f t="shared" si="17"/>
        <v>2.5218808118209299E-2</v>
      </c>
      <c r="BX41" s="4504">
        <f t="shared" si="18"/>
        <v>2.5218808118209299E-2</v>
      </c>
      <c r="BY41" s="4504">
        <f t="shared" si="19"/>
        <v>0</v>
      </c>
      <c r="BZ41" s="4504">
        <f t="shared" si="20"/>
        <v>0</v>
      </c>
      <c r="CA41" s="4504">
        <f t="shared" si="21"/>
        <v>0</v>
      </c>
      <c r="CB41" s="4504">
        <f t="shared" si="22"/>
        <v>0</v>
      </c>
      <c r="CC41" s="4504">
        <f t="shared" si="23"/>
        <v>0</v>
      </c>
      <c r="CD41" s="4504">
        <f t="shared" si="24"/>
        <v>0</v>
      </c>
      <c r="CE41" s="4504">
        <f t="shared" si="25"/>
        <v>0.26798762905857698</v>
      </c>
      <c r="CF41" s="4504">
        <f t="shared" si="26"/>
        <v>7.6110202601751498</v>
      </c>
      <c r="CG41" s="4504">
        <f t="shared" si="27"/>
        <v>7.6110202601751498</v>
      </c>
      <c r="CH41" s="4504">
        <f t="shared" si="28"/>
        <v>7.6110202601751498</v>
      </c>
      <c r="CI41" s="4504">
        <f t="shared" si="29"/>
        <v>7.6110202601751498</v>
      </c>
      <c r="CJ41" s="4504">
        <f t="shared" si="30"/>
        <v>7.6110202601751498</v>
      </c>
    </row>
    <row r="42" spans="1:88" s="1198" customFormat="1" ht="15.9" customHeight="1">
      <c r="A42" s="1201" t="s">
        <v>1224</v>
      </c>
      <c r="B42" s="1202" t="s">
        <v>442</v>
      </c>
      <c r="C42" s="1203">
        <f>'12. Разходи'!C42</f>
        <v>5.1836733829510075</v>
      </c>
      <c r="D42" s="1210">
        <f>'12. Разходи'!D42-'12. Разходи'!$C42</f>
        <v>0</v>
      </c>
      <c r="E42" s="1205">
        <f>IFERROR(('12. Разходи'!D42-'12. Разходи'!$C42)/'12. Разходи'!$C42,0)</f>
        <v>0</v>
      </c>
      <c r="F42" s="1204">
        <f>'12. Разходи'!E42-'12. Разходи'!$C42</f>
        <v>0</v>
      </c>
      <c r="G42" s="1211">
        <f>IFERROR(('12. Разходи'!E42-'12. Разходи'!$C42)/'12. Разходи'!$C42,0)</f>
        <v>0</v>
      </c>
      <c r="H42" s="1204">
        <f>'12. Разходи'!F42-'12. Разходи'!$C42</f>
        <v>0</v>
      </c>
      <c r="I42" s="1211">
        <f>IFERROR(('12. Разходи'!F42-'12. Разходи'!$C42)/'12. Разходи'!$C42,0)</f>
        <v>0</v>
      </c>
      <c r="J42" s="1204">
        <f>'12. Разходи'!G42-'12. Разходи'!$C42</f>
        <v>0</v>
      </c>
      <c r="K42" s="1212">
        <f>IFERROR(('12. Разходи'!G42-'12. Разходи'!$C42)/'12. Разходи'!$C42,0)</f>
        <v>0</v>
      </c>
      <c r="L42" s="1206">
        <f>'12. Разходи'!H42-'12. Разходи'!$C42</f>
        <v>0</v>
      </c>
      <c r="M42" s="1212">
        <f>IFERROR(('12. Разходи'!H42-'12. Разходи'!$C42)/'12. Разходи'!$C42,0)</f>
        <v>0</v>
      </c>
      <c r="N42" s="1208">
        <f>'12. Разходи'!K42</f>
        <v>0.14135688220781165</v>
      </c>
      <c r="O42" s="1210">
        <f>'12. Разходи'!L42-'12. Разходи'!$K42</f>
        <v>0</v>
      </c>
      <c r="P42" s="1205">
        <f>IFERROR(('12. Разходи'!L42-'12. Разходи'!$K42)/'12. Разходи'!$K42,0)</f>
        <v>0</v>
      </c>
      <c r="Q42" s="1204">
        <f>'12. Разходи'!M42-'12. Разходи'!$K42</f>
        <v>0</v>
      </c>
      <c r="R42" s="1211">
        <f>IFERROR(('12. Разходи'!M42-'12. Разходи'!$K42)/'12. Разходи'!$K42,0)</f>
        <v>0</v>
      </c>
      <c r="S42" s="1204">
        <f>'12. Разходи'!N42-'12. Разходи'!$K42</f>
        <v>0</v>
      </c>
      <c r="T42" s="1211">
        <f>IFERROR(('12. Разходи'!N42-'12. Разходи'!$K42)/'12. Разходи'!$K42,0)</f>
        <v>0</v>
      </c>
      <c r="U42" s="1204">
        <f>'12. Разходи'!O42-'12. Разходи'!$K42</f>
        <v>0</v>
      </c>
      <c r="V42" s="1212">
        <f>IFERROR(('12. Разходи'!O42-'12. Разходи'!$K42)/'12. Разходи'!$K42,0)</f>
        <v>0</v>
      </c>
      <c r="W42" s="1206">
        <f>'12. Разходи'!P42-'12. Разходи'!$K42</f>
        <v>0</v>
      </c>
      <c r="X42" s="1213">
        <f>IFERROR(('12. Разходи'!P42-'12. Разходи'!$K42)/'12. Разходи'!$K42,0)</f>
        <v>0</v>
      </c>
      <c r="Y42" s="1208">
        <f>'12. Разходи'!S42</f>
        <v>1.2184094815533362</v>
      </c>
      <c r="Z42" s="1210">
        <f>'12. Разходи'!T42-'12. Разходи'!$S42</f>
        <v>0</v>
      </c>
      <c r="AA42" s="1205">
        <f>IFERROR(('12. Разходи'!T42-'12. Разходи'!$S42)/'12. Разходи'!$S42,0)</f>
        <v>0</v>
      </c>
      <c r="AB42" s="1204">
        <f>'12. Разходи'!U42-'12. Разходи'!$S42</f>
        <v>0</v>
      </c>
      <c r="AC42" s="1211">
        <f>IFERROR(('12. Разходи'!U42-'12. Разходи'!$S42)/'12. Разходи'!$S42,0)</f>
        <v>0</v>
      </c>
      <c r="AD42" s="1204">
        <f>'12. Разходи'!V42-'12. Разходи'!$S42</f>
        <v>0</v>
      </c>
      <c r="AE42" s="1211">
        <f>IFERROR(('12. Разходи'!V42-'12. Разходи'!$S42)/'12. Разходи'!$S42,0)</f>
        <v>0</v>
      </c>
      <c r="AF42" s="1204">
        <f>'12. Разходи'!W42-'12. Разходи'!$S42</f>
        <v>0</v>
      </c>
      <c r="AG42" s="1212">
        <f>IFERROR(('12. Разходи'!W42-'12. Разходи'!$S42)/'12. Разходи'!$S42,0)</f>
        <v>0</v>
      </c>
      <c r="AH42" s="1206">
        <f>'12. Разходи'!X42-'12. Разходи'!$S42</f>
        <v>0</v>
      </c>
      <c r="AI42" s="1213">
        <f>IFERROR(('12. Разходи'!X42-'12. Разходи'!$S42)/'12. Разходи'!$S42,0)</f>
        <v>0</v>
      </c>
      <c r="AJ42" s="1208">
        <f>'12. Разходи'!AA42</f>
        <v>0</v>
      </c>
      <c r="AK42" s="1210">
        <f>'12. Разходи'!AB42-'12. Разходи'!$AA42</f>
        <v>0</v>
      </c>
      <c r="AL42" s="1205">
        <f>IFERROR(('12. Разходи'!AB42-'12. Разходи'!$AA42)/'12. Разходи'!$AA42,0)</f>
        <v>0</v>
      </c>
      <c r="AM42" s="1204">
        <f>'12. Разходи'!AC42-'12. Разходи'!$AA42</f>
        <v>0</v>
      </c>
      <c r="AN42" s="1211">
        <f>IFERROR(('12. Разходи'!AC42-'12. Разходи'!$AA42)/'12. Разходи'!$AA42,0)</f>
        <v>0</v>
      </c>
      <c r="AO42" s="1204">
        <f>'12. Разходи'!AD42-'12. Разходи'!$AA42</f>
        <v>0</v>
      </c>
      <c r="AP42" s="1211">
        <f>IFERROR(('12. Разходи'!AD42-'12. Разходи'!$AA42)/'12. Разходи'!$AA42,0)</f>
        <v>0</v>
      </c>
      <c r="AQ42" s="1204">
        <f>'12. Разходи'!AE42-'12. Разходи'!$AA42</f>
        <v>0</v>
      </c>
      <c r="AR42" s="1212">
        <f>IFERROR(('12. Разходи'!AE42-'12. Разходи'!$AA42)/'12. Разходи'!$AA42,0)</f>
        <v>0</v>
      </c>
      <c r="AS42" s="1206">
        <f>'12. Разходи'!AF42-'12. Разходи'!$AA42</f>
        <v>0</v>
      </c>
      <c r="AT42" s="1213">
        <f>IFERROR(('12. Разходи'!AF42-'12. Разходи'!$AA42)/'12. Разходи'!$AA42,0)</f>
        <v>0</v>
      </c>
      <c r="AU42" s="1208">
        <f>'12. Разходи'!AI42</f>
        <v>1.3019237320097485</v>
      </c>
      <c r="AV42" s="1210">
        <f>'12. Разходи'!AJ42-'12. Разходи'!$AI42</f>
        <v>0</v>
      </c>
      <c r="AW42" s="1205">
        <f>IFERROR(('12. Разходи'!AJ42-'12. Разходи'!$AI42)/'12. Разходи'!$AI42,0)</f>
        <v>0</v>
      </c>
      <c r="AX42" s="1204">
        <f>'12. Разходи'!AK42-'12. Разходи'!$AI42</f>
        <v>0</v>
      </c>
      <c r="AY42" s="1211">
        <f>IFERROR(('12. Разходи'!AK42-'12. Разходи'!$AI42)/'12. Разходи'!$AI42,0)</f>
        <v>0</v>
      </c>
      <c r="AZ42" s="1204">
        <f>'12. Разходи'!AL42-'12. Разходи'!$AI42</f>
        <v>0</v>
      </c>
      <c r="BA42" s="1211">
        <f>IFERROR(('12. Разходи'!AL42-'12. Разходи'!$AI42)/'12. Разходи'!$AI42,0)</f>
        <v>0</v>
      </c>
      <c r="BB42" s="1204">
        <f>'12. Разходи'!AM42-'12. Разходи'!$AI42</f>
        <v>0</v>
      </c>
      <c r="BC42" s="1212">
        <f>IFERROR(('12. Разходи'!AM42-'12. Разходи'!$AI42)/'12. Разходи'!$AI42,0)</f>
        <v>0</v>
      </c>
      <c r="BD42" s="1206">
        <f>'12. Разходи'!AN42-'12. Разходи'!$AI42</f>
        <v>0</v>
      </c>
      <c r="BE42" s="1213">
        <f>IFERROR(('12. Разходи'!AN42-'12. Разходи'!$AI42)/'12. Разходи'!$AI42,0)</f>
        <v>0</v>
      </c>
      <c r="BF42" s="4488"/>
      <c r="BG42" s="4504">
        <f t="shared" si="1"/>
        <v>2.6503701154757864</v>
      </c>
      <c r="BH42" s="4504">
        <f t="shared" si="2"/>
        <v>0</v>
      </c>
      <c r="BI42" s="4504">
        <f t="shared" si="3"/>
        <v>0</v>
      </c>
      <c r="BJ42" s="4504">
        <f t="shared" si="4"/>
        <v>0</v>
      </c>
      <c r="BK42" s="4504">
        <f t="shared" si="5"/>
        <v>0</v>
      </c>
      <c r="BL42" s="4504">
        <f t="shared" si="6"/>
        <v>0</v>
      </c>
      <c r="BM42" s="4504">
        <f t="shared" si="7"/>
        <v>7.2274626224064289E-2</v>
      </c>
      <c r="BN42" s="4504">
        <f t="shared" si="8"/>
        <v>0</v>
      </c>
      <c r="BO42" s="4504">
        <f t="shared" si="9"/>
        <v>0</v>
      </c>
      <c r="BP42" s="4504">
        <f t="shared" si="10"/>
        <v>0</v>
      </c>
      <c r="BQ42" s="4504">
        <f t="shared" si="11"/>
        <v>0</v>
      </c>
      <c r="BR42" s="4504">
        <f t="shared" si="12"/>
        <v>0</v>
      </c>
      <c r="BS42" s="4504">
        <f t="shared" si="13"/>
        <v>0.62296287589071453</v>
      </c>
      <c r="BT42" s="4504">
        <f t="shared" si="14"/>
        <v>0</v>
      </c>
      <c r="BU42" s="4504">
        <f t="shared" si="15"/>
        <v>0</v>
      </c>
      <c r="BV42" s="4504">
        <f t="shared" si="16"/>
        <v>0</v>
      </c>
      <c r="BW42" s="4504">
        <f t="shared" si="17"/>
        <v>0</v>
      </c>
      <c r="BX42" s="4504">
        <f t="shared" si="18"/>
        <v>0</v>
      </c>
      <c r="BY42" s="4504">
        <f t="shared" si="19"/>
        <v>0</v>
      </c>
      <c r="BZ42" s="4504">
        <f t="shared" si="20"/>
        <v>0</v>
      </c>
      <c r="CA42" s="4504">
        <f t="shared" si="21"/>
        <v>0</v>
      </c>
      <c r="CB42" s="4504">
        <f t="shared" si="22"/>
        <v>0</v>
      </c>
      <c r="CC42" s="4504">
        <f t="shared" si="23"/>
        <v>0</v>
      </c>
      <c r="CD42" s="4504">
        <f t="shared" si="24"/>
        <v>0</v>
      </c>
      <c r="CE42" s="4504">
        <f t="shared" si="25"/>
        <v>0.66566303411326577</v>
      </c>
      <c r="CF42" s="4504">
        <f t="shared" si="26"/>
        <v>0</v>
      </c>
      <c r="CG42" s="4504">
        <f t="shared" si="27"/>
        <v>0</v>
      </c>
      <c r="CH42" s="4504">
        <f t="shared" si="28"/>
        <v>0</v>
      </c>
      <c r="CI42" s="4504">
        <f t="shared" si="29"/>
        <v>0</v>
      </c>
      <c r="CJ42" s="4504">
        <f t="shared" si="30"/>
        <v>0</v>
      </c>
    </row>
    <row r="43" spans="1:88" ht="15.9" customHeight="1">
      <c r="A43" s="838" t="s">
        <v>256</v>
      </c>
      <c r="B43" s="896" t="s">
        <v>257</v>
      </c>
      <c r="C43" s="1112">
        <f>'12. Разходи'!C43</f>
        <v>5.1561028900135737</v>
      </c>
      <c r="D43" s="1141">
        <f>'12. Разходи'!D43-'12. Разходи'!$C43</f>
        <v>0.43826874565115403</v>
      </c>
      <c r="E43" s="1121">
        <f>IFERROR(('12. Разходи'!D43-'12. Разходи'!$C43)/'12. Разходи'!$C43,0)</f>
        <v>8.5000000000000048E-2</v>
      </c>
      <c r="F43" s="907">
        <f>'12. Разходи'!E43-'12. Разходи'!$C43</f>
        <v>0.43826874565115403</v>
      </c>
      <c r="G43" s="1129">
        <f>IFERROR(('12. Разходи'!E43-'12. Разходи'!$C43)/'12. Разходи'!$C43,0)</f>
        <v>8.5000000000000048E-2</v>
      </c>
      <c r="H43" s="907">
        <f>'12. Разходи'!F43-'12. Разходи'!$C43</f>
        <v>0.43826874565115403</v>
      </c>
      <c r="I43" s="1129">
        <f>IFERROR(('12. Разходи'!F43-'12. Разходи'!$C43)/'12. Разходи'!$C43,0)</f>
        <v>8.5000000000000048E-2</v>
      </c>
      <c r="J43" s="907">
        <f>'12. Разходи'!G43-'12. Разходи'!$C43</f>
        <v>0.43826874565115403</v>
      </c>
      <c r="K43" s="1128">
        <f>IFERROR(('12. Разходи'!G43-'12. Разходи'!$C43)/'12. Разходи'!$C43,0)</f>
        <v>8.5000000000000048E-2</v>
      </c>
      <c r="L43" s="1136">
        <f>'12. Разходи'!H43-'12. Разходи'!$C43</f>
        <v>0.43826874565115403</v>
      </c>
      <c r="M43" s="1128">
        <f>IFERROR(('12. Разходи'!H43-'12. Разходи'!$C43)/'12. Разходи'!$C43,0)</f>
        <v>8.5000000000000048E-2</v>
      </c>
      <c r="N43" s="1177">
        <f>'12. Разходи'!K43</f>
        <v>1.9958628151112441E-2</v>
      </c>
      <c r="O43" s="1141">
        <f>'12. Разходи'!L43-'12. Разходи'!$K43</f>
        <v>1.6964833928445576E-3</v>
      </c>
      <c r="P43" s="1121">
        <f>IFERROR(('12. Разходи'!L43-'12. Разходи'!$K43)/'12. Разходи'!$K43,0)</f>
        <v>8.5000000000000006E-2</v>
      </c>
      <c r="Q43" s="907">
        <f>'12. Разходи'!M43-'12. Разходи'!$K43</f>
        <v>1.6964833928445576E-3</v>
      </c>
      <c r="R43" s="1129">
        <f>IFERROR(('12. Разходи'!M43-'12. Разходи'!$K43)/'12. Разходи'!$K43,0)</f>
        <v>8.5000000000000006E-2</v>
      </c>
      <c r="S43" s="907">
        <f>'12. Разходи'!N43-'12. Разходи'!$K43</f>
        <v>1.6964833928445576E-3</v>
      </c>
      <c r="T43" s="1129">
        <f>IFERROR(('12. Разходи'!N43-'12. Разходи'!$K43)/'12. Разходи'!$K43,0)</f>
        <v>8.5000000000000006E-2</v>
      </c>
      <c r="U43" s="907">
        <f>'12. Разходи'!O43-'12. Разходи'!$K43</f>
        <v>1.6964833928445576E-3</v>
      </c>
      <c r="V43" s="1128">
        <f>IFERROR(('12. Разходи'!O43-'12. Разходи'!$K43)/'12. Разходи'!$K43,0)</f>
        <v>8.5000000000000006E-2</v>
      </c>
      <c r="W43" s="1136">
        <f>'12. Разходи'!P43-'12. Разходи'!$K43</f>
        <v>1.6964833928445576E-3</v>
      </c>
      <c r="X43" s="1183">
        <f>IFERROR(('12. Разходи'!P43-'12. Разходи'!$K43)/'12. Разходи'!$K43,0)</f>
        <v>8.5000000000000006E-2</v>
      </c>
      <c r="Y43" s="1177">
        <f>'12. Разходи'!S43</f>
        <v>0.15354342726986137</v>
      </c>
      <c r="Z43" s="1141">
        <f>'12. Разходи'!T43-'12. Разходи'!$S43</f>
        <v>1.3051191317938221E-2</v>
      </c>
      <c r="AA43" s="1121">
        <f>IFERROR(('12. Разходи'!T43-'12. Разходи'!$S43)/'12. Разходи'!$S43,0)</f>
        <v>8.5000000000000034E-2</v>
      </c>
      <c r="AB43" s="907">
        <f>'12. Разходи'!U43-'12. Разходи'!$S43</f>
        <v>1.3051191317938221E-2</v>
      </c>
      <c r="AC43" s="1129">
        <f>IFERROR(('12. Разходи'!U43-'12. Разходи'!$S43)/'12. Разходи'!$S43,0)</f>
        <v>8.5000000000000034E-2</v>
      </c>
      <c r="AD43" s="907">
        <f>'12. Разходи'!V43-'12. Разходи'!$S43</f>
        <v>1.3051191317938221E-2</v>
      </c>
      <c r="AE43" s="1129">
        <f>IFERROR(('12. Разходи'!V43-'12. Разходи'!$S43)/'12. Разходи'!$S43,0)</f>
        <v>8.5000000000000034E-2</v>
      </c>
      <c r="AF43" s="907">
        <f>'12. Разходи'!W43-'12. Разходи'!$S43</f>
        <v>1.3051191317938221E-2</v>
      </c>
      <c r="AG43" s="1128">
        <f>IFERROR(('12. Разходи'!W43-'12. Разходи'!$S43)/'12. Разходи'!$S43,0)</f>
        <v>8.5000000000000034E-2</v>
      </c>
      <c r="AH43" s="1136">
        <f>'12. Разходи'!X43-'12. Разходи'!$S43</f>
        <v>1.3051191317938221E-2</v>
      </c>
      <c r="AI43" s="1183">
        <f>IFERROR(('12. Разходи'!X43-'12. Разходи'!$S43)/'12. Разходи'!$S43,0)</f>
        <v>8.5000000000000034E-2</v>
      </c>
      <c r="AJ43" s="1177">
        <f>'12. Разходи'!AA43</f>
        <v>0</v>
      </c>
      <c r="AK43" s="1141">
        <f>'12. Разходи'!AB43-'12. Разходи'!$AA43</f>
        <v>0</v>
      </c>
      <c r="AL43" s="1121">
        <f>IFERROR(('12. Разходи'!AB43-'12. Разходи'!$AA43)/'12. Разходи'!$AA43,0)</f>
        <v>0</v>
      </c>
      <c r="AM43" s="907">
        <f>'12. Разходи'!AC43-'12. Разходи'!$AA43</f>
        <v>0</v>
      </c>
      <c r="AN43" s="1129">
        <f>IFERROR(('12. Разходи'!AC43-'12. Разходи'!$AA43)/'12. Разходи'!$AA43,0)</f>
        <v>0</v>
      </c>
      <c r="AO43" s="907">
        <f>'12. Разходи'!AD43-'12. Разходи'!$AA43</f>
        <v>0</v>
      </c>
      <c r="AP43" s="1129">
        <f>IFERROR(('12. Разходи'!AD43-'12. Разходи'!$AA43)/'12. Разходи'!$AA43,0)</f>
        <v>0</v>
      </c>
      <c r="AQ43" s="907">
        <f>'12. Разходи'!AE43-'12. Разходи'!$AA43</f>
        <v>0</v>
      </c>
      <c r="AR43" s="1128">
        <f>IFERROR(('12. Разходи'!AE43-'12. Разходи'!$AA43)/'12. Разходи'!$AA43,0)</f>
        <v>0</v>
      </c>
      <c r="AS43" s="1136">
        <f>'12. Разходи'!AF43-'12. Разходи'!$AA43</f>
        <v>0</v>
      </c>
      <c r="AT43" s="1183">
        <f>IFERROR(('12. Разходи'!AF43-'12. Разходи'!$AA43)/'12. Разходи'!$AA43,0)</f>
        <v>0</v>
      </c>
      <c r="AU43" s="1177">
        <f>'12. Разходи'!AI43</f>
        <v>0.44353770533747833</v>
      </c>
      <c r="AV43" s="1141">
        <f>'12. Разходи'!AJ43-'12. Разходи'!$AI43</f>
        <v>3.7700704953685604E-2</v>
      </c>
      <c r="AW43" s="1121">
        <f>IFERROR(('12. Разходи'!AJ43-'12. Разходи'!$AI43)/'12. Разходи'!$AI43,0)</f>
        <v>8.4999999999999881E-2</v>
      </c>
      <c r="AX43" s="907">
        <f>'12. Разходи'!AK43-'12. Разходи'!$AI43</f>
        <v>3.7700704953685604E-2</v>
      </c>
      <c r="AY43" s="1129">
        <f>IFERROR(('12. Разходи'!AK43-'12. Разходи'!$AI43)/'12. Разходи'!$AI43,0)</f>
        <v>8.4999999999999881E-2</v>
      </c>
      <c r="AZ43" s="907">
        <f>'12. Разходи'!AL43-'12. Разходи'!$AI43</f>
        <v>3.7700704953685604E-2</v>
      </c>
      <c r="BA43" s="1129">
        <f>IFERROR(('12. Разходи'!AL43-'12. Разходи'!$AI43)/'12. Разходи'!$AI43,0)</f>
        <v>8.4999999999999881E-2</v>
      </c>
      <c r="BB43" s="907">
        <f>'12. Разходи'!AM43-'12. Разходи'!$AI43</f>
        <v>3.7700704953685604E-2</v>
      </c>
      <c r="BC43" s="1128">
        <f>IFERROR(('12. Разходи'!AM43-'12. Разходи'!$AI43)/'12. Разходи'!$AI43,0)</f>
        <v>8.4999999999999881E-2</v>
      </c>
      <c r="BD43" s="1136">
        <f>'12. Разходи'!AN43-'12. Разходи'!$AI43</f>
        <v>3.7700704953685604E-2</v>
      </c>
      <c r="BE43" s="1183">
        <f>IFERROR(('12. Разходи'!AN43-'12. Разходи'!$AI43)/'12. Разходи'!$AI43,0)</f>
        <v>8.4999999999999881E-2</v>
      </c>
      <c r="BF43" s="4488"/>
      <c r="BG43" s="4504">
        <f t="shared" si="1"/>
        <v>2.636273546276299</v>
      </c>
      <c r="BH43" s="4504">
        <f t="shared" si="2"/>
        <v>0.22408325143348556</v>
      </c>
      <c r="BI43" s="4504">
        <f t="shared" si="3"/>
        <v>0.22408325143348556</v>
      </c>
      <c r="BJ43" s="4504">
        <f t="shared" si="4"/>
        <v>0.22408325143348556</v>
      </c>
      <c r="BK43" s="4504">
        <f t="shared" si="5"/>
        <v>0.22408325143348556</v>
      </c>
      <c r="BL43" s="4504">
        <f t="shared" si="6"/>
        <v>0.22408325143348556</v>
      </c>
      <c r="BM43" s="4504">
        <f t="shared" si="7"/>
        <v>1.0204684533478085E-2</v>
      </c>
      <c r="BN43" s="4504">
        <f t="shared" si="8"/>
        <v>8.6739818534563719E-4</v>
      </c>
      <c r="BO43" s="4504">
        <f t="shared" si="9"/>
        <v>8.6739818534563719E-4</v>
      </c>
      <c r="BP43" s="4504">
        <f t="shared" si="10"/>
        <v>8.6739818534563719E-4</v>
      </c>
      <c r="BQ43" s="4504">
        <f t="shared" si="11"/>
        <v>8.6739818534563719E-4</v>
      </c>
      <c r="BR43" s="4504">
        <f t="shared" si="12"/>
        <v>8.6739818534563719E-4</v>
      </c>
      <c r="BS43" s="4504">
        <f t="shared" si="13"/>
        <v>7.8505507774122171E-2</v>
      </c>
      <c r="BT43" s="4504">
        <f t="shared" si="14"/>
        <v>6.6729681608003874E-3</v>
      </c>
      <c r="BU43" s="4504">
        <f t="shared" si="15"/>
        <v>6.6729681608003874E-3</v>
      </c>
      <c r="BV43" s="4504">
        <f t="shared" si="16"/>
        <v>6.6729681608003874E-3</v>
      </c>
      <c r="BW43" s="4504">
        <f t="shared" si="17"/>
        <v>6.6729681608003874E-3</v>
      </c>
      <c r="BX43" s="4504">
        <f t="shared" si="18"/>
        <v>6.6729681608003874E-3</v>
      </c>
      <c r="BY43" s="4504">
        <f t="shared" si="19"/>
        <v>0</v>
      </c>
      <c r="BZ43" s="4504">
        <f t="shared" si="20"/>
        <v>0</v>
      </c>
      <c r="CA43" s="4504">
        <f t="shared" si="21"/>
        <v>0</v>
      </c>
      <c r="CB43" s="4504">
        <f t="shared" si="22"/>
        <v>0</v>
      </c>
      <c r="CC43" s="4504">
        <f t="shared" si="23"/>
        <v>0</v>
      </c>
      <c r="CD43" s="4504">
        <f t="shared" si="24"/>
        <v>0</v>
      </c>
      <c r="CE43" s="4504">
        <f t="shared" si="25"/>
        <v>0.22677722774345332</v>
      </c>
      <c r="CF43" s="4504">
        <f t="shared" si="26"/>
        <v>1.9276064358193505E-2</v>
      </c>
      <c r="CG43" s="4504">
        <f t="shared" si="27"/>
        <v>1.9276064358193505E-2</v>
      </c>
      <c r="CH43" s="4504">
        <f t="shared" si="28"/>
        <v>1.9276064358193505E-2</v>
      </c>
      <c r="CI43" s="4504">
        <f t="shared" si="29"/>
        <v>1.9276064358193505E-2</v>
      </c>
      <c r="CJ43" s="4504">
        <f t="shared" si="30"/>
        <v>1.9276064358193505E-2</v>
      </c>
    </row>
    <row r="44" spans="1:88" ht="15.9" customHeight="1">
      <c r="A44" s="838" t="s">
        <v>258</v>
      </c>
      <c r="B44" s="896" t="s">
        <v>259</v>
      </c>
      <c r="C44" s="1112">
        <f>'12. Разходи'!C44</f>
        <v>68.510692451378617</v>
      </c>
      <c r="D44" s="1141">
        <f>'12. Разходи'!D44-'12. Разходи'!$C44</f>
        <v>5.8234088583671735</v>
      </c>
      <c r="E44" s="1121">
        <f>IFERROR(('12. Разходи'!D44-'12. Разходи'!$C44)/'12. Разходи'!$C44,0)</f>
        <v>8.4999999999999867E-2</v>
      </c>
      <c r="F44" s="907">
        <f>'12. Разходи'!E44-'12. Разходи'!$C44</f>
        <v>5.8234088583671735</v>
      </c>
      <c r="G44" s="1129">
        <f>IFERROR(('12. Разходи'!E44-'12. Разходи'!$C44)/'12. Разходи'!$C44,0)</f>
        <v>8.4999999999999867E-2</v>
      </c>
      <c r="H44" s="907">
        <f>'12. Разходи'!F44-'12. Разходи'!$C44</f>
        <v>5.8234088583671735</v>
      </c>
      <c r="I44" s="1129">
        <f>IFERROR(('12. Разходи'!F44-'12. Разходи'!$C44)/'12. Разходи'!$C44,0)</f>
        <v>8.4999999999999867E-2</v>
      </c>
      <c r="J44" s="907">
        <f>'12. Разходи'!G44-'12. Разходи'!$C44</f>
        <v>5.8234088583671735</v>
      </c>
      <c r="K44" s="1128">
        <f>IFERROR(('12. Разходи'!G44-'12. Разходи'!$C44)/'12. Разходи'!$C44,0)</f>
        <v>8.4999999999999867E-2</v>
      </c>
      <c r="L44" s="1136">
        <f>'12. Разходи'!H44-'12. Разходи'!$C44</f>
        <v>5.8234088583671735</v>
      </c>
      <c r="M44" s="1128">
        <f>IFERROR(('12. Разходи'!H44-'12. Разходи'!$C44)/'12. Разходи'!$C44,0)</f>
        <v>8.4999999999999867E-2</v>
      </c>
      <c r="N44" s="1177">
        <f>'12. Разходи'!K44</f>
        <v>1.7530089322719016</v>
      </c>
      <c r="O44" s="1141">
        <f>'12. Разходи'!L44-'12. Разходи'!$K44</f>
        <v>0.14900575924311155</v>
      </c>
      <c r="P44" s="1121">
        <f>IFERROR(('12. Разходи'!L44-'12. Разходи'!$K44)/'12. Разходи'!$K44,0)</f>
        <v>8.4999999999999951E-2</v>
      </c>
      <c r="Q44" s="907">
        <f>'12. Разходи'!M44-'12. Разходи'!$K44</f>
        <v>0.14900575924311155</v>
      </c>
      <c r="R44" s="1129">
        <f>IFERROR(('12. Разходи'!M44-'12. Разходи'!$K44)/'12. Разходи'!$K44,0)</f>
        <v>8.4999999999999951E-2</v>
      </c>
      <c r="S44" s="907">
        <f>'12. Разходи'!N44-'12. Разходи'!$K44</f>
        <v>0.14900575924311155</v>
      </c>
      <c r="T44" s="1129">
        <f>IFERROR(('12. Разходи'!N44-'12. Разходи'!$K44)/'12. Разходи'!$K44,0)</f>
        <v>8.4999999999999951E-2</v>
      </c>
      <c r="U44" s="907">
        <f>'12. Разходи'!O44-'12. Разходи'!$K44</f>
        <v>0.14900575924311155</v>
      </c>
      <c r="V44" s="1128">
        <f>IFERROR(('12. Разходи'!O44-'12. Разходи'!$K44)/'12. Разходи'!$K44,0)</f>
        <v>8.4999999999999951E-2</v>
      </c>
      <c r="W44" s="1136">
        <f>'12. Разходи'!P44-'12. Разходи'!$K44</f>
        <v>0.14900575924311155</v>
      </c>
      <c r="X44" s="1183">
        <f>IFERROR(('12. Разходи'!P44-'12. Разходи'!$K44)/'12. Разходи'!$K44,0)</f>
        <v>8.4999999999999951E-2</v>
      </c>
      <c r="Y44" s="1177">
        <f>'12. Разходи'!S44</f>
        <v>14.185768616349481</v>
      </c>
      <c r="Z44" s="1141">
        <f>'12. Разходи'!T44-'12. Разходи'!$S44</f>
        <v>1.2057903323897037</v>
      </c>
      <c r="AA44" s="1121">
        <f>IFERROR(('12. Разходи'!T44-'12. Разходи'!$S44)/'12. Разходи'!$S44,0)</f>
        <v>8.499999999999984E-2</v>
      </c>
      <c r="AB44" s="907">
        <f>'12. Разходи'!U44-'12. Разходи'!$S44</f>
        <v>1.2057903323897037</v>
      </c>
      <c r="AC44" s="1129">
        <f>IFERROR(('12. Разходи'!U44-'12. Разходи'!$S44)/'12. Разходи'!$S44,0)</f>
        <v>8.499999999999984E-2</v>
      </c>
      <c r="AD44" s="907">
        <f>'12. Разходи'!V44-'12. Разходи'!$S44</f>
        <v>1.2057903323897037</v>
      </c>
      <c r="AE44" s="1129">
        <f>IFERROR(('12. Разходи'!V44-'12. Разходи'!$S44)/'12. Разходи'!$S44,0)</f>
        <v>8.499999999999984E-2</v>
      </c>
      <c r="AF44" s="907">
        <f>'12. Разходи'!W44-'12. Разходи'!$S44</f>
        <v>1.2057903323897037</v>
      </c>
      <c r="AG44" s="1128">
        <f>IFERROR(('12. Разходи'!W44-'12. Разходи'!$S44)/'12. Разходи'!$S44,0)</f>
        <v>8.499999999999984E-2</v>
      </c>
      <c r="AH44" s="1136">
        <f>'12. Разходи'!X44-'12. Разходи'!$S44</f>
        <v>1.2057903323897037</v>
      </c>
      <c r="AI44" s="1183">
        <f>IFERROR(('12. Разходи'!X44-'12. Разходи'!$S44)/'12. Разходи'!$S44,0)</f>
        <v>8.499999999999984E-2</v>
      </c>
      <c r="AJ44" s="1177">
        <f>'12. Разходи'!AA44</f>
        <v>0</v>
      </c>
      <c r="AK44" s="1141">
        <f>'12. Разходи'!AB44-'12. Разходи'!$AA44</f>
        <v>0</v>
      </c>
      <c r="AL44" s="1121">
        <f>IFERROR(('12. Разходи'!AB44-'12. Разходи'!$AA44)/'12. Разходи'!$AA44,0)</f>
        <v>0</v>
      </c>
      <c r="AM44" s="907">
        <f>'12. Разходи'!AC44-'12. Разходи'!$AA44</f>
        <v>0</v>
      </c>
      <c r="AN44" s="1129">
        <f>IFERROR(('12. Разходи'!AC44-'12. Разходи'!$AA44)/'12. Разходи'!$AA44,0)</f>
        <v>0</v>
      </c>
      <c r="AO44" s="907">
        <f>'12. Разходи'!AD44-'12. Разходи'!$AA44</f>
        <v>0</v>
      </c>
      <c r="AP44" s="1129">
        <f>IFERROR(('12. Разходи'!AD44-'12. Разходи'!$AA44)/'12. Разходи'!$AA44,0)</f>
        <v>0</v>
      </c>
      <c r="AQ44" s="907">
        <f>'12. Разходи'!AE44-'12. Разходи'!$AA44</f>
        <v>0</v>
      </c>
      <c r="AR44" s="1128">
        <f>IFERROR(('12. Разходи'!AE44-'12. Разходи'!$AA44)/'12. Разходи'!$AA44,0)</f>
        <v>0</v>
      </c>
      <c r="AS44" s="1136">
        <f>'12. Разходи'!AF44-'12. Разходи'!$AA44</f>
        <v>0</v>
      </c>
      <c r="AT44" s="1183">
        <f>IFERROR(('12. Разходи'!AF44-'12. Разходи'!$AA44)/'12. Разходи'!$AA44,0)</f>
        <v>0</v>
      </c>
      <c r="AU44" s="1177">
        <f>'12. Разходи'!AI44</f>
        <v>0</v>
      </c>
      <c r="AV44" s="1141">
        <f>'12. Разходи'!AJ44-'12. Разходи'!$AI44</f>
        <v>0</v>
      </c>
      <c r="AW44" s="1121">
        <f>IFERROR(('12. Разходи'!AJ44-'12. Разходи'!$AI44)/'12. Разходи'!$AI44,0)</f>
        <v>0</v>
      </c>
      <c r="AX44" s="907">
        <f>'12. Разходи'!AK44-'12. Разходи'!$AI44</f>
        <v>0</v>
      </c>
      <c r="AY44" s="1129">
        <f>IFERROR(('12. Разходи'!AK44-'12. Разходи'!$AI44)/'12. Разходи'!$AI44,0)</f>
        <v>0</v>
      </c>
      <c r="AZ44" s="907">
        <f>'12. Разходи'!AL44-'12. Разходи'!$AI44</f>
        <v>0</v>
      </c>
      <c r="BA44" s="1129">
        <f>IFERROR(('12. Разходи'!AL44-'12. Разходи'!$AI44)/'12. Разходи'!$AI44,0)</f>
        <v>0</v>
      </c>
      <c r="BB44" s="907">
        <f>'12. Разходи'!AM44-'12. Разходи'!$AI44</f>
        <v>0</v>
      </c>
      <c r="BC44" s="1128">
        <f>IFERROR(('12. Разходи'!AM44-'12. Разходи'!$AI44)/'12. Разходи'!$AI44,0)</f>
        <v>0</v>
      </c>
      <c r="BD44" s="1136">
        <f>'12. Разходи'!AN44-'12. Разходи'!$AI44</f>
        <v>0</v>
      </c>
      <c r="BE44" s="1183">
        <f>IFERROR(('12. Разходи'!AN44-'12. Разходи'!$AI44)/'12. Разходи'!$AI44,0)</f>
        <v>0</v>
      </c>
      <c r="BF44" s="4488"/>
      <c r="BG44" s="4504">
        <f t="shared" si="1"/>
        <v>35.02896082552094</v>
      </c>
      <c r="BH44" s="4504">
        <f t="shared" si="2"/>
        <v>2.9774616701692751</v>
      </c>
      <c r="BI44" s="4504">
        <f t="shared" si="3"/>
        <v>2.9774616701692751</v>
      </c>
      <c r="BJ44" s="4504">
        <f t="shared" si="4"/>
        <v>2.9774616701692751</v>
      </c>
      <c r="BK44" s="4504">
        <f t="shared" si="5"/>
        <v>2.9774616701692751</v>
      </c>
      <c r="BL44" s="4504">
        <f t="shared" si="6"/>
        <v>2.9774616701692751</v>
      </c>
      <c r="BM44" s="4504">
        <f t="shared" si="7"/>
        <v>0.89629923473507489</v>
      </c>
      <c r="BN44" s="4504">
        <f t="shared" si="8"/>
        <v>7.6185434952481326E-2</v>
      </c>
      <c r="BO44" s="4504">
        <f t="shared" si="9"/>
        <v>7.6185434952481326E-2</v>
      </c>
      <c r="BP44" s="4504">
        <f t="shared" si="10"/>
        <v>7.6185434952481326E-2</v>
      </c>
      <c r="BQ44" s="4504">
        <f t="shared" si="11"/>
        <v>7.6185434952481326E-2</v>
      </c>
      <c r="BR44" s="4504">
        <f t="shared" si="12"/>
        <v>7.6185434952481326E-2</v>
      </c>
      <c r="BS44" s="4504">
        <f t="shared" si="13"/>
        <v>7.2530683220676035</v>
      </c>
      <c r="BT44" s="4504">
        <f t="shared" si="14"/>
        <v>0.61651080737574515</v>
      </c>
      <c r="BU44" s="4504">
        <f t="shared" si="15"/>
        <v>0.61651080737574515</v>
      </c>
      <c r="BV44" s="4504">
        <f t="shared" si="16"/>
        <v>0.61651080737574515</v>
      </c>
      <c r="BW44" s="4504">
        <f t="shared" si="17"/>
        <v>0.61651080737574515</v>
      </c>
      <c r="BX44" s="4504">
        <f t="shared" si="18"/>
        <v>0.61651080737574515</v>
      </c>
      <c r="BY44" s="4504">
        <f t="shared" si="19"/>
        <v>0</v>
      </c>
      <c r="BZ44" s="4504">
        <f t="shared" si="20"/>
        <v>0</v>
      </c>
      <c r="CA44" s="4504">
        <f t="shared" si="21"/>
        <v>0</v>
      </c>
      <c r="CB44" s="4504">
        <f t="shared" si="22"/>
        <v>0</v>
      </c>
      <c r="CC44" s="4504">
        <f t="shared" si="23"/>
        <v>0</v>
      </c>
      <c r="CD44" s="4504">
        <f t="shared" si="24"/>
        <v>0</v>
      </c>
      <c r="CE44" s="4504">
        <f t="shared" si="25"/>
        <v>0</v>
      </c>
      <c r="CF44" s="4504">
        <f t="shared" si="26"/>
        <v>0</v>
      </c>
      <c r="CG44" s="4504">
        <f t="shared" si="27"/>
        <v>0</v>
      </c>
      <c r="CH44" s="4504">
        <f t="shared" si="28"/>
        <v>0</v>
      </c>
      <c r="CI44" s="4504">
        <f t="shared" si="29"/>
        <v>0</v>
      </c>
      <c r="CJ44" s="4504">
        <f t="shared" si="30"/>
        <v>0</v>
      </c>
    </row>
    <row r="45" spans="1:88" ht="15.9" customHeight="1">
      <c r="A45" s="838" t="s">
        <v>260</v>
      </c>
      <c r="B45" s="896" t="s">
        <v>630</v>
      </c>
      <c r="C45" s="1112">
        <f>'12. Разходи'!C45</f>
        <v>10.870356936201658</v>
      </c>
      <c r="D45" s="1141">
        <f>'12. Разходи'!D45-'12. Разходи'!$C45</f>
        <v>0.92398033957713999</v>
      </c>
      <c r="E45" s="1121">
        <f>IFERROR(('12. Разходи'!D45-'12. Разходи'!$C45)/'12. Разходи'!$C45,0)</f>
        <v>8.4999999999999909E-2</v>
      </c>
      <c r="F45" s="907">
        <f>'12. Разходи'!E45-'12. Разходи'!$C45</f>
        <v>0.92398033957713999</v>
      </c>
      <c r="G45" s="1129">
        <f>IFERROR(('12. Разходи'!E45-'12. Разходи'!$C45)/'12. Разходи'!$C45,0)</f>
        <v>8.4999999999999909E-2</v>
      </c>
      <c r="H45" s="907">
        <f>'12. Разходи'!F45-'12. Разходи'!$C45</f>
        <v>0.92398033957713999</v>
      </c>
      <c r="I45" s="1129">
        <f>IFERROR(('12. Разходи'!F45-'12. Разходи'!$C45)/'12. Разходи'!$C45,0)</f>
        <v>8.4999999999999909E-2</v>
      </c>
      <c r="J45" s="907">
        <f>'12. Разходи'!G45-'12. Разходи'!$C45</f>
        <v>0.92398033957713999</v>
      </c>
      <c r="K45" s="1128">
        <f>IFERROR(('12. Разходи'!G45-'12. Разходи'!$C45)/'12. Разходи'!$C45,0)</f>
        <v>8.4999999999999909E-2</v>
      </c>
      <c r="L45" s="1136">
        <f>'12. Разходи'!H45-'12. Разходи'!$C45</f>
        <v>0.92398033957713999</v>
      </c>
      <c r="M45" s="1128">
        <f>IFERROR(('12. Разходи'!H45-'12. Разходи'!$C45)/'12. Разходи'!$C45,0)</f>
        <v>8.4999999999999909E-2</v>
      </c>
      <c r="N45" s="1177">
        <f>'12. Разходи'!K45</f>
        <v>0.16575153303725387</v>
      </c>
      <c r="O45" s="1141">
        <f>'12. Разходи'!L45-'12. Разходи'!$K45</f>
        <v>1.4088880308166574E-2</v>
      </c>
      <c r="P45" s="1121">
        <f>IFERROR(('12. Разходи'!L45-'12. Разходи'!$K45)/'12. Разходи'!$K45,0)</f>
        <v>8.4999999999999964E-2</v>
      </c>
      <c r="Q45" s="907">
        <f>'12. Разходи'!M45-'12. Разходи'!$K45</f>
        <v>1.4088880308166574E-2</v>
      </c>
      <c r="R45" s="1129">
        <f>IFERROR(('12. Разходи'!M45-'12. Разходи'!$K45)/'12. Разходи'!$K45,0)</f>
        <v>8.4999999999999964E-2</v>
      </c>
      <c r="S45" s="907">
        <f>'12. Разходи'!N45-'12. Разходи'!$K45</f>
        <v>1.4088880308166574E-2</v>
      </c>
      <c r="T45" s="1129">
        <f>IFERROR(('12. Разходи'!N45-'12. Разходи'!$K45)/'12. Разходи'!$K45,0)</f>
        <v>8.4999999999999964E-2</v>
      </c>
      <c r="U45" s="907">
        <f>'12. Разходи'!O45-'12. Разходи'!$K45</f>
        <v>1.4088880308166574E-2</v>
      </c>
      <c r="V45" s="1128">
        <f>IFERROR(('12. Разходи'!O45-'12. Разходи'!$K45)/'12. Разходи'!$K45,0)</f>
        <v>8.4999999999999964E-2</v>
      </c>
      <c r="W45" s="1136">
        <f>'12. Разходи'!P45-'12. Разходи'!$K45</f>
        <v>1.4088880308166574E-2</v>
      </c>
      <c r="X45" s="1183">
        <f>IFERROR(('12. Разходи'!P45-'12. Разходи'!$K45)/'12. Разходи'!$K45,0)</f>
        <v>8.4999999999999964E-2</v>
      </c>
      <c r="Y45" s="1177">
        <f>'12. Разходи'!S45</f>
        <v>1.2240986765511113</v>
      </c>
      <c r="Z45" s="1141">
        <f>'12. Разходи'!T45-'12. Разходи'!$S45</f>
        <v>0.10404838750684431</v>
      </c>
      <c r="AA45" s="1121">
        <f>IFERROR(('12. Разходи'!T45-'12. Разходи'!$S45)/'12. Разходи'!$S45,0)</f>
        <v>8.4999999999999881E-2</v>
      </c>
      <c r="AB45" s="907">
        <f>'12. Разходи'!U45-'12. Разходи'!$S45</f>
        <v>0.10404838750684431</v>
      </c>
      <c r="AC45" s="1129">
        <f>IFERROR(('12. Разходи'!U45-'12. Разходи'!$S45)/'12. Разходи'!$S45,0)</f>
        <v>8.4999999999999881E-2</v>
      </c>
      <c r="AD45" s="907">
        <f>'12. Разходи'!V45-'12. Разходи'!$S45</f>
        <v>0.10404838750684431</v>
      </c>
      <c r="AE45" s="1129">
        <f>IFERROR(('12. Разходи'!V45-'12. Разходи'!$S45)/'12. Разходи'!$S45,0)</f>
        <v>8.4999999999999881E-2</v>
      </c>
      <c r="AF45" s="907">
        <f>'12. Разходи'!W45-'12. Разходи'!$S45</f>
        <v>0.10404838750684431</v>
      </c>
      <c r="AG45" s="1128">
        <f>IFERROR(('12. Разходи'!W45-'12. Разходи'!$S45)/'12. Разходи'!$S45,0)</f>
        <v>8.4999999999999881E-2</v>
      </c>
      <c r="AH45" s="1136">
        <f>'12. Разходи'!X45-'12. Разходи'!$S45</f>
        <v>0.10404838750684431</v>
      </c>
      <c r="AI45" s="1183">
        <f>IFERROR(('12. Разходи'!X45-'12. Разходи'!$S45)/'12. Разходи'!$S45,0)</f>
        <v>8.4999999999999881E-2</v>
      </c>
      <c r="AJ45" s="1177">
        <f>'12. Разходи'!AA45</f>
        <v>0</v>
      </c>
      <c r="AK45" s="1141">
        <f>'12. Разходи'!AB45-'12. Разходи'!$AA45</f>
        <v>0</v>
      </c>
      <c r="AL45" s="1121">
        <f>IFERROR(('12. Разходи'!AB45-'12. Разходи'!$AA45)/'12. Разходи'!$AA45,0)</f>
        <v>0</v>
      </c>
      <c r="AM45" s="907">
        <f>'12. Разходи'!AC45-'12. Разходи'!$AA45</f>
        <v>0</v>
      </c>
      <c r="AN45" s="1129">
        <f>IFERROR(('12. Разходи'!AC45-'12. Разходи'!$AA45)/'12. Разходи'!$AA45,0)</f>
        <v>0</v>
      </c>
      <c r="AO45" s="907">
        <f>'12. Разходи'!AD45-'12. Разходи'!$AA45</f>
        <v>0</v>
      </c>
      <c r="AP45" s="1129">
        <f>IFERROR(('12. Разходи'!AD45-'12. Разходи'!$AA45)/'12. Разходи'!$AA45,0)</f>
        <v>0</v>
      </c>
      <c r="AQ45" s="907">
        <f>'12. Разходи'!AE45-'12. Разходи'!$AA45</f>
        <v>0</v>
      </c>
      <c r="AR45" s="1128">
        <f>IFERROR(('12. Разходи'!AE45-'12. Разходи'!$AA45)/'12. Разходи'!$AA45,0)</f>
        <v>0</v>
      </c>
      <c r="AS45" s="1136">
        <f>'12. Разходи'!AF45-'12. Разходи'!$AA45</f>
        <v>0</v>
      </c>
      <c r="AT45" s="1183">
        <f>IFERROR(('12. Разходи'!AF45-'12. Разходи'!$AA45)/'12. Разходи'!$AA45,0)</f>
        <v>0</v>
      </c>
      <c r="AU45" s="1177">
        <f>'12. Разходи'!AI45</f>
        <v>2.5085275117738859</v>
      </c>
      <c r="AV45" s="1141">
        <f>'12. Разходи'!AJ45-'12. Разходи'!$AI45</f>
        <v>0.21322483850078022</v>
      </c>
      <c r="AW45" s="1121">
        <f>IFERROR(('12. Разходи'!AJ45-'12. Разходи'!$AI45)/'12. Разходи'!$AI45,0)</f>
        <v>8.4999999999999964E-2</v>
      </c>
      <c r="AX45" s="907">
        <f>'12. Разходи'!AK45-'12. Разходи'!$AI45</f>
        <v>0.21322483850078022</v>
      </c>
      <c r="AY45" s="1129">
        <f>IFERROR(('12. Разходи'!AK45-'12. Разходи'!$AI45)/'12. Разходи'!$AI45,0)</f>
        <v>8.4999999999999964E-2</v>
      </c>
      <c r="AZ45" s="907">
        <f>'12. Разходи'!AL45-'12. Разходи'!$AI45</f>
        <v>0.21322483850078022</v>
      </c>
      <c r="BA45" s="1129">
        <f>IFERROR(('12. Разходи'!AL45-'12. Разходи'!$AI45)/'12. Разходи'!$AI45,0)</f>
        <v>8.4999999999999964E-2</v>
      </c>
      <c r="BB45" s="907">
        <f>'12. Разходи'!AM45-'12. Разходи'!$AI45</f>
        <v>0.21322483850078022</v>
      </c>
      <c r="BC45" s="1128">
        <f>IFERROR(('12. Разходи'!AM45-'12. Разходи'!$AI45)/'12. Разходи'!$AI45,0)</f>
        <v>8.4999999999999964E-2</v>
      </c>
      <c r="BD45" s="1136">
        <f>'12. Разходи'!AN45-'12. Разходи'!$AI45</f>
        <v>0.21322483850078022</v>
      </c>
      <c r="BE45" s="1183">
        <f>IFERROR(('12. Разходи'!AN45-'12. Разходи'!$AI45)/'12. Разходи'!$AI45,0)</f>
        <v>8.4999999999999964E-2</v>
      </c>
      <c r="BF45" s="4488"/>
      <c r="BG45" s="4504">
        <f t="shared" si="1"/>
        <v>5.5579252471849072</v>
      </c>
      <c r="BH45" s="4504">
        <f t="shared" si="2"/>
        <v>0.47242364601071668</v>
      </c>
      <c r="BI45" s="4504">
        <f t="shared" si="3"/>
        <v>0.47242364601071668</v>
      </c>
      <c r="BJ45" s="4504">
        <f t="shared" si="4"/>
        <v>0.47242364601071668</v>
      </c>
      <c r="BK45" s="4504">
        <f t="shared" si="5"/>
        <v>0.47242364601071668</v>
      </c>
      <c r="BL45" s="4504">
        <f t="shared" si="6"/>
        <v>0.47242364601071668</v>
      </c>
      <c r="BM45" s="4504">
        <f t="shared" si="7"/>
        <v>8.4747413137774688E-2</v>
      </c>
      <c r="BN45" s="4504">
        <f t="shared" si="8"/>
        <v>7.2035301167108464E-3</v>
      </c>
      <c r="BO45" s="4504">
        <f t="shared" si="9"/>
        <v>7.2035301167108464E-3</v>
      </c>
      <c r="BP45" s="4504">
        <f t="shared" si="10"/>
        <v>7.2035301167108464E-3</v>
      </c>
      <c r="BQ45" s="4504">
        <f t="shared" si="11"/>
        <v>7.2035301167108464E-3</v>
      </c>
      <c r="BR45" s="4504">
        <f t="shared" si="12"/>
        <v>7.2035301167108464E-3</v>
      </c>
      <c r="BS45" s="4504">
        <f t="shared" si="13"/>
        <v>0.62587171510361905</v>
      </c>
      <c r="BT45" s="4504">
        <f t="shared" si="14"/>
        <v>5.3199095783807548E-2</v>
      </c>
      <c r="BU45" s="4504">
        <f t="shared" si="15"/>
        <v>5.3199095783807548E-2</v>
      </c>
      <c r="BV45" s="4504">
        <f t="shared" si="16"/>
        <v>5.3199095783807548E-2</v>
      </c>
      <c r="BW45" s="4504">
        <f t="shared" si="17"/>
        <v>5.3199095783807548E-2</v>
      </c>
      <c r="BX45" s="4504">
        <f t="shared" si="18"/>
        <v>5.3199095783807548E-2</v>
      </c>
      <c r="BY45" s="4504">
        <f t="shared" si="19"/>
        <v>0</v>
      </c>
      <c r="BZ45" s="4504">
        <f t="shared" si="20"/>
        <v>0</v>
      </c>
      <c r="CA45" s="4504">
        <f t="shared" si="21"/>
        <v>0</v>
      </c>
      <c r="CB45" s="4504">
        <f t="shared" si="22"/>
        <v>0</v>
      </c>
      <c r="CC45" s="4504">
        <f t="shared" si="23"/>
        <v>0</v>
      </c>
      <c r="CD45" s="4504">
        <f t="shared" si="24"/>
        <v>0</v>
      </c>
      <c r="CE45" s="4504">
        <f t="shared" si="25"/>
        <v>1.2825897505273394</v>
      </c>
      <c r="CF45" s="4504">
        <f t="shared" si="26"/>
        <v>0.1090201287948238</v>
      </c>
      <c r="CG45" s="4504">
        <f t="shared" si="27"/>
        <v>0.1090201287948238</v>
      </c>
      <c r="CH45" s="4504">
        <f t="shared" si="28"/>
        <v>0.1090201287948238</v>
      </c>
      <c r="CI45" s="4504">
        <f t="shared" si="29"/>
        <v>0.1090201287948238</v>
      </c>
      <c r="CJ45" s="4504">
        <f t="shared" si="30"/>
        <v>0.1090201287948238</v>
      </c>
    </row>
    <row r="46" spans="1:88" ht="15.9" customHeight="1">
      <c r="A46" s="838" t="s">
        <v>262</v>
      </c>
      <c r="B46" s="896" t="s">
        <v>685</v>
      </c>
      <c r="C46" s="1112">
        <f>'12. Разходи'!C46</f>
        <v>111.39059695575084</v>
      </c>
      <c r="D46" s="1141">
        <f>'12. Разходи'!D46-'12. Разходи'!$C46</f>
        <v>6.7542201034402183</v>
      </c>
      <c r="E46" s="1121">
        <f>IFERROR(('12. Разходи'!D46-'12. Разходи'!$C46)/'12. Разходи'!$C46,0)</f>
        <v>6.0635460155791125E-2</v>
      </c>
      <c r="F46" s="907">
        <f>'12. Разходи'!E46-'12. Разходи'!$C46</f>
        <v>11.323266148480329</v>
      </c>
      <c r="G46" s="1129">
        <f>IFERROR(('12. Разходи'!E46-'12. Разходи'!$C46)/'12. Разходи'!$C46,0)</f>
        <v>0.10165369840847895</v>
      </c>
      <c r="H46" s="907">
        <f>'12. Разходи'!F46-'12. Разходи'!$C46</f>
        <v>6.7542201034402183</v>
      </c>
      <c r="I46" s="1129">
        <f>IFERROR(('12. Разходи'!F46-'12. Разходи'!$C46)/'12. Разходи'!$C46,0)</f>
        <v>6.0635460155791125E-2</v>
      </c>
      <c r="J46" s="907">
        <f>'12. Разходи'!G46-'12. Разходи'!$C46</f>
        <v>11.323266148480329</v>
      </c>
      <c r="K46" s="1128">
        <f>IFERROR(('12. Разходи'!G46-'12. Разходи'!$C46)/'12. Разходи'!$C46,0)</f>
        <v>0.10165369840847895</v>
      </c>
      <c r="L46" s="1136">
        <f>'12. Разходи'!H46-'12. Разходи'!$C46</f>
        <v>6.7542201034402183</v>
      </c>
      <c r="M46" s="1128">
        <f>IFERROR(('12. Разходи'!H46-'12. Разходи'!$C46)/'12. Разходи'!$C46,0)</f>
        <v>6.0635460155791125E-2</v>
      </c>
      <c r="N46" s="1177">
        <f>'12. Разходи'!K46</f>
        <v>2.7170000000000001</v>
      </c>
      <c r="O46" s="1141">
        <f>'12. Разходи'!L46-'12. Разходи'!$K46</f>
        <v>-2.488016</v>
      </c>
      <c r="P46" s="1121">
        <f>IFERROR(('12. Разходи'!L46-'12. Разходи'!$K46)/'12. Разходи'!$K46,0)</f>
        <v>-0.91572175193227823</v>
      </c>
      <c r="Q46" s="907">
        <f>'12. Разходи'!M46-'12. Разходи'!$K46</f>
        <v>-2.4788809999999999</v>
      </c>
      <c r="R46" s="1129">
        <f>IFERROR(('12. Разходи'!M46-'12. Разходи'!$K46)/'12. Разходи'!$K46,0)</f>
        <v>-0.9123595877806403</v>
      </c>
      <c r="S46" s="907">
        <f>'12. Разходи'!N46-'12. Разходи'!$K46</f>
        <v>-2.488016</v>
      </c>
      <c r="T46" s="1129">
        <f>IFERROR(('12. Разходи'!N46-'12. Разходи'!$K46)/'12. Разходи'!$K46,0)</f>
        <v>-0.91572175193227823</v>
      </c>
      <c r="U46" s="907">
        <f>'12. Разходи'!O46-'12. Разходи'!$K46</f>
        <v>-2.4788809999999999</v>
      </c>
      <c r="V46" s="1128">
        <f>IFERROR(('12. Разходи'!O46-'12. Разходи'!$K46)/'12. Разходи'!$K46,0)</f>
        <v>-0.9123595877806403</v>
      </c>
      <c r="W46" s="1136">
        <f>'12. Разходи'!P46-'12. Разходи'!$K46</f>
        <v>-2.488016</v>
      </c>
      <c r="X46" s="1183">
        <f>IFERROR(('12. Разходи'!P46-'12. Разходи'!$K46)/'12. Разходи'!$K46,0)</f>
        <v>-0.91572175193227823</v>
      </c>
      <c r="Y46" s="1177">
        <f>'12. Разходи'!S46</f>
        <v>13.138399999999999</v>
      </c>
      <c r="Z46" s="1141">
        <f>'12. Разходи'!T46-'12. Разходи'!$S46</f>
        <v>3.2916080000000019</v>
      </c>
      <c r="AA46" s="1121">
        <f>IFERROR(('12. Разходи'!T46-'12. Разходи'!$S46)/'12. Разходи'!$S46,0)</f>
        <v>0.25053339828289611</v>
      </c>
      <c r="AB46" s="907">
        <f>'12. Разходи'!U46-'12. Разходи'!$S46</f>
        <v>3.425588000000003</v>
      </c>
      <c r="AC46" s="1129">
        <f>IFERROR(('12. Разходи'!U46-'12. Разходи'!$S46)/'12. Разходи'!$S46,0)</f>
        <v>0.26073098703038444</v>
      </c>
      <c r="AD46" s="907">
        <f>'12. Разходи'!V46-'12. Разходи'!$S46</f>
        <v>3.3521020000000004</v>
      </c>
      <c r="AE46" s="1129">
        <f>IFERROR(('12. Разходи'!V46-'12. Разходи'!$S46)/'12. Разходи'!$S46,0)</f>
        <v>0.25513776411130734</v>
      </c>
      <c r="AF46" s="907">
        <f>'12. Разходи'!W46-'12. Разходи'!$S46</f>
        <v>3.4860820000000015</v>
      </c>
      <c r="AG46" s="1128">
        <f>IFERROR(('12. Разходи'!W46-'12. Разходи'!$S46)/'12. Разходи'!$S46,0)</f>
        <v>0.26533535285879573</v>
      </c>
      <c r="AH46" s="1136">
        <f>'12. Разходи'!X46-'12. Разходи'!$S46</f>
        <v>3.415681600000001</v>
      </c>
      <c r="AI46" s="1183">
        <f>IFERROR(('12. Разходи'!X46-'12. Разходи'!$S46)/'12. Разходи'!$S46,0)</f>
        <v>0.25997698349875187</v>
      </c>
      <c r="AJ46" s="1177">
        <f>'12. Разходи'!AA46</f>
        <v>0</v>
      </c>
      <c r="AK46" s="1141">
        <f>'12. Разходи'!AB46-'12. Разходи'!$AA46</f>
        <v>0</v>
      </c>
      <c r="AL46" s="1121">
        <f>IFERROR(('12. Разходи'!AB46-'12. Разходи'!$AA46)/'12. Разходи'!$AA46,0)</f>
        <v>0</v>
      </c>
      <c r="AM46" s="907">
        <f>'12. Разходи'!AC46-'12. Разходи'!$AA46</f>
        <v>0</v>
      </c>
      <c r="AN46" s="1129">
        <f>IFERROR(('12. Разходи'!AC46-'12. Разходи'!$AA46)/'12. Разходи'!$AA46,0)</f>
        <v>0</v>
      </c>
      <c r="AO46" s="907">
        <f>'12. Разходи'!AD46-'12. Разходи'!$AA46</f>
        <v>0</v>
      </c>
      <c r="AP46" s="1129">
        <f>IFERROR(('12. Разходи'!AD46-'12. Разходи'!$AA46)/'12. Разходи'!$AA46,0)</f>
        <v>0</v>
      </c>
      <c r="AQ46" s="907">
        <f>'12. Разходи'!AE46-'12. Разходи'!$AA46</f>
        <v>0</v>
      </c>
      <c r="AR46" s="1128">
        <f>IFERROR(('12. Разходи'!AE46-'12. Разходи'!$AA46)/'12. Разходи'!$AA46,0)</f>
        <v>0</v>
      </c>
      <c r="AS46" s="1136">
        <f>'12. Разходи'!AF46-'12. Разходи'!$AA46</f>
        <v>0</v>
      </c>
      <c r="AT46" s="1183">
        <f>IFERROR(('12. Разходи'!AF46-'12. Разходи'!$AA46)/'12. Разходи'!$AA46,0)</f>
        <v>0</v>
      </c>
      <c r="AU46" s="1177">
        <f>'12. Разходи'!AI46</f>
        <v>28.820203044249158</v>
      </c>
      <c r="AV46" s="1141">
        <f>'12. Разходи'!AJ46-'12. Разходи'!$AI46</f>
        <v>2.7475262733714025</v>
      </c>
      <c r="AW46" s="1121">
        <f>IFERROR(('12. Разходи'!AJ46-'12. Разходи'!$AI46)/'12. Разходи'!$AI46,0)</f>
        <v>9.5333342001546015E-2</v>
      </c>
      <c r="AX46" s="907">
        <f>'12. Разходи'!AK46-'12. Разходи'!$AI46</f>
        <v>2.9296802283312466</v>
      </c>
      <c r="AY46" s="1129">
        <f>IFERROR(('12. Разходи'!AK46-'12. Разходи'!$AI46)/'12. Разходи'!$AI46,0)</f>
        <v>0.1016536984084795</v>
      </c>
      <c r="AZ46" s="907">
        <f>'12. Разходи'!AL46-'12. Разходи'!$AI46</f>
        <v>2.7475262733714025</v>
      </c>
      <c r="BA46" s="1129">
        <f>IFERROR(('12. Разходи'!AL46-'12. Разходи'!$AI46)/'12. Разходи'!$AI46,0)</f>
        <v>9.5333342001546015E-2</v>
      </c>
      <c r="BB46" s="907">
        <f>'12. Разходи'!AM46-'12. Разходи'!$AI46</f>
        <v>2.9296802283312466</v>
      </c>
      <c r="BC46" s="1128">
        <f>IFERROR(('12. Разходи'!AM46-'12. Разходи'!$AI46)/'12. Разходи'!$AI46,0)</f>
        <v>0.1016536984084795</v>
      </c>
      <c r="BD46" s="1136">
        <f>'12. Разходи'!AN46-'12. Разходи'!$AI46</f>
        <v>2.7475262733714025</v>
      </c>
      <c r="BE46" s="1183">
        <f>IFERROR(('12. Разходи'!AN46-'12. Разходи'!$AI46)/'12. Разходи'!$AI46,0)</f>
        <v>9.5333342001546015E-2</v>
      </c>
      <c r="BF46" s="4488"/>
      <c r="BG46" s="4504">
        <f t="shared" si="1"/>
        <v>56.953107865075616</v>
      </c>
      <c r="BH46" s="4504">
        <f t="shared" si="2"/>
        <v>3.4533779027012668</v>
      </c>
      <c r="BI46" s="4504">
        <f t="shared" si="3"/>
        <v>5.7894940503419665</v>
      </c>
      <c r="BJ46" s="4504">
        <f t="shared" si="4"/>
        <v>3.4533779027012668</v>
      </c>
      <c r="BK46" s="4504">
        <f t="shared" si="5"/>
        <v>5.7894940503419665</v>
      </c>
      <c r="BL46" s="4504">
        <f t="shared" si="6"/>
        <v>3.4533779027012668</v>
      </c>
      <c r="BM46" s="4504">
        <f t="shared" si="7"/>
        <v>1.3891800412101256</v>
      </c>
      <c r="BN46" s="4504">
        <f t="shared" si="8"/>
        <v>-1.2721023810862908</v>
      </c>
      <c r="BO46" s="4504">
        <f t="shared" si="9"/>
        <v>-1.2674317297515632</v>
      </c>
      <c r="BP46" s="4504">
        <f t="shared" si="10"/>
        <v>-1.2721023810862908</v>
      </c>
      <c r="BQ46" s="4504">
        <f t="shared" si="11"/>
        <v>-1.2674317297515632</v>
      </c>
      <c r="BR46" s="4504">
        <f t="shared" si="12"/>
        <v>-1.2721023810862908</v>
      </c>
      <c r="BS46" s="4504">
        <f t="shared" si="13"/>
        <v>6.7175572519083966</v>
      </c>
      <c r="BT46" s="4504">
        <f t="shared" si="14"/>
        <v>1.6829724464805234</v>
      </c>
      <c r="BU46" s="4504">
        <f t="shared" si="15"/>
        <v>1.7514753327231933</v>
      </c>
      <c r="BV46" s="4504">
        <f t="shared" si="16"/>
        <v>1.7139025375416066</v>
      </c>
      <c r="BW46" s="4504">
        <f t="shared" si="17"/>
        <v>1.7824054237842766</v>
      </c>
      <c r="BX46" s="4504">
        <f t="shared" si="18"/>
        <v>1.7464102708313101</v>
      </c>
      <c r="BY46" s="4504">
        <f t="shared" si="19"/>
        <v>0</v>
      </c>
      <c r="BZ46" s="4504">
        <f t="shared" si="20"/>
        <v>0</v>
      </c>
      <c r="CA46" s="4504">
        <f t="shared" si="21"/>
        <v>0</v>
      </c>
      <c r="CB46" s="4504">
        <f t="shared" si="22"/>
        <v>0</v>
      </c>
      <c r="CC46" s="4504">
        <f t="shared" si="23"/>
        <v>0</v>
      </c>
      <c r="CD46" s="4504">
        <f t="shared" si="24"/>
        <v>0</v>
      </c>
      <c r="CE46" s="4504">
        <f t="shared" si="25"/>
        <v>14.735535830951136</v>
      </c>
      <c r="CF46" s="4504">
        <f t="shared" si="26"/>
        <v>1.4047878769481001</v>
      </c>
      <c r="CG46" s="4504">
        <f t="shared" si="27"/>
        <v>1.49792171524685</v>
      </c>
      <c r="CH46" s="4504">
        <f t="shared" si="28"/>
        <v>1.4047878769481001</v>
      </c>
      <c r="CI46" s="4504">
        <f t="shared" si="29"/>
        <v>1.49792171524685</v>
      </c>
      <c r="CJ46" s="4504">
        <f t="shared" si="30"/>
        <v>1.4047878769481001</v>
      </c>
    </row>
    <row r="47" spans="1:88" ht="15.9" customHeight="1">
      <c r="A47" s="838" t="s">
        <v>444</v>
      </c>
      <c r="B47" s="896" t="s">
        <v>443</v>
      </c>
      <c r="C47" s="1112">
        <f>'12. Разходи'!C47</f>
        <v>23.62601526714564</v>
      </c>
      <c r="D47" s="1141">
        <f>'12. Разходи'!D47-'12. Разходи'!$C47</f>
        <v>2.0082112977073798</v>
      </c>
      <c r="E47" s="1121">
        <f>IFERROR(('12. Разходи'!D47-'12. Разходи'!$C47)/'12. Разходи'!$C47,0)</f>
        <v>8.500000000000002E-2</v>
      </c>
      <c r="F47" s="907">
        <f>'12. Разходи'!E47-'12. Разходи'!$C47</f>
        <v>2.0082112977073798</v>
      </c>
      <c r="G47" s="1129">
        <f>IFERROR(('12. Разходи'!E47-'12. Разходи'!$C47)/'12. Разходи'!$C47,0)</f>
        <v>8.500000000000002E-2</v>
      </c>
      <c r="H47" s="907">
        <f>'12. Разходи'!F47-'12. Разходи'!$C47</f>
        <v>2.0082112977073798</v>
      </c>
      <c r="I47" s="1129">
        <f>IFERROR(('12. Разходи'!F47-'12. Разходи'!$C47)/'12. Разходи'!$C47,0)</f>
        <v>8.500000000000002E-2</v>
      </c>
      <c r="J47" s="907">
        <f>'12. Разходи'!G47-'12. Разходи'!$C47</f>
        <v>2.0082112977073798</v>
      </c>
      <c r="K47" s="1128">
        <f>IFERROR(('12. Разходи'!G47-'12. Разходи'!$C47)/'12. Разходи'!$C47,0)</f>
        <v>8.500000000000002E-2</v>
      </c>
      <c r="L47" s="1136">
        <f>'12. Разходи'!H47-'12. Разходи'!$C47</f>
        <v>2.0082112977073798</v>
      </c>
      <c r="M47" s="1128">
        <f>IFERROR(('12. Разходи'!H47-'12. Разходи'!$C47)/'12. Разходи'!$C47,0)</f>
        <v>8.500000000000002E-2</v>
      </c>
      <c r="N47" s="1177">
        <f>'12. Разходи'!K47</f>
        <v>0.33596679527007323</v>
      </c>
      <c r="O47" s="1141">
        <f>'12. Разходи'!L47-'12. Разходи'!$K47</f>
        <v>2.8557177597956229E-2</v>
      </c>
      <c r="P47" s="1121">
        <f>IFERROR(('12. Разходи'!L47-'12. Разходи'!$K47)/'12. Разходи'!$K47,0)</f>
        <v>8.500000000000002E-2</v>
      </c>
      <c r="Q47" s="907">
        <f>'12. Разходи'!M47-'12. Разходи'!$K47</f>
        <v>2.8557177597956229E-2</v>
      </c>
      <c r="R47" s="1129">
        <f>IFERROR(('12. Разходи'!M47-'12. Разходи'!$K47)/'12. Разходи'!$K47,0)</f>
        <v>8.500000000000002E-2</v>
      </c>
      <c r="S47" s="907">
        <f>'12. Разходи'!N47-'12. Разходи'!$K47</f>
        <v>2.8557177597956229E-2</v>
      </c>
      <c r="T47" s="1129">
        <f>IFERROR(('12. Разходи'!N47-'12. Разходи'!$K47)/'12. Разходи'!$K47,0)</f>
        <v>8.500000000000002E-2</v>
      </c>
      <c r="U47" s="907">
        <f>'12. Разходи'!O47-'12. Разходи'!$K47</f>
        <v>2.8557177597956229E-2</v>
      </c>
      <c r="V47" s="1128">
        <f>IFERROR(('12. Разходи'!O47-'12. Разходи'!$K47)/'12. Разходи'!$K47,0)</f>
        <v>8.500000000000002E-2</v>
      </c>
      <c r="W47" s="1136">
        <f>'12. Разходи'!P47-'12. Разходи'!$K47</f>
        <v>2.8557177597956229E-2</v>
      </c>
      <c r="X47" s="1183">
        <f>IFERROR(('12. Разходи'!P47-'12. Разходи'!$K47)/'12. Разходи'!$K47,0)</f>
        <v>8.500000000000002E-2</v>
      </c>
      <c r="Y47" s="1177">
        <f>'12. Разходи'!S47</f>
        <v>5.0717696599602169</v>
      </c>
      <c r="Z47" s="1141">
        <f>'12. Разходи'!T47-'12. Разходи'!$S47</f>
        <v>0.58110042109661819</v>
      </c>
      <c r="AA47" s="1121">
        <f>IFERROR(('12. Разходи'!T47-'12. Разходи'!$S47)/'12. Разходи'!$S47,0)</f>
        <v>0.11457547563411552</v>
      </c>
      <c r="AB47" s="907">
        <f>'12. Разходи'!U47-'12. Разходи'!$S47</f>
        <v>0.58110042109661819</v>
      </c>
      <c r="AC47" s="1129">
        <f>IFERROR(('12. Разходи'!U47-'12. Разходи'!$S47)/'12. Разходи'!$S47,0)</f>
        <v>0.11457547563411552</v>
      </c>
      <c r="AD47" s="907">
        <f>'12. Разходи'!V47-'12. Разходи'!$S47</f>
        <v>0.58110042109661819</v>
      </c>
      <c r="AE47" s="1129">
        <f>IFERROR(('12. Разходи'!V47-'12. Разходи'!$S47)/'12. Разходи'!$S47,0)</f>
        <v>0.11457547563411552</v>
      </c>
      <c r="AF47" s="907">
        <f>'12. Разходи'!W47-'12. Разходи'!$S47</f>
        <v>0.58110042109661819</v>
      </c>
      <c r="AG47" s="1128">
        <f>IFERROR(('12. Разходи'!W47-'12. Разходи'!$S47)/'12. Разходи'!$S47,0)</f>
        <v>0.11457547563411552</v>
      </c>
      <c r="AH47" s="1136">
        <f>'12. Разходи'!X47-'12. Разходи'!$S47</f>
        <v>0.58110042109661819</v>
      </c>
      <c r="AI47" s="1183">
        <f>IFERROR(('12. Разходи'!X47-'12. Разходи'!$S47)/'12. Разходи'!$S47,0)</f>
        <v>0.11457547563411552</v>
      </c>
      <c r="AJ47" s="1177">
        <f>'12. Разходи'!AA47</f>
        <v>0</v>
      </c>
      <c r="AK47" s="1141">
        <f>'12. Разходи'!AB47-'12. Разходи'!$AA47</f>
        <v>0</v>
      </c>
      <c r="AL47" s="1121">
        <f>IFERROR(('12. Разходи'!AB47-'12. Разходи'!$AA47)/'12. Разходи'!$AA47,0)</f>
        <v>0</v>
      </c>
      <c r="AM47" s="907">
        <f>'12. Разходи'!AC47-'12. Разходи'!$AA47</f>
        <v>0</v>
      </c>
      <c r="AN47" s="1129">
        <f>IFERROR(('12. Разходи'!AC47-'12. Разходи'!$AA47)/'12. Разходи'!$AA47,0)</f>
        <v>0</v>
      </c>
      <c r="AO47" s="907">
        <f>'12. Разходи'!AD47-'12. Разходи'!$AA47</f>
        <v>0</v>
      </c>
      <c r="AP47" s="1129">
        <f>IFERROR(('12. Разходи'!AD47-'12. Разходи'!$AA47)/'12. Разходи'!$AA47,0)</f>
        <v>0</v>
      </c>
      <c r="AQ47" s="907">
        <f>'12. Разходи'!AE47-'12. Разходи'!$AA47</f>
        <v>0</v>
      </c>
      <c r="AR47" s="1128">
        <f>IFERROR(('12. Разходи'!AE47-'12. Разходи'!$AA47)/'12. Разходи'!$AA47,0)</f>
        <v>0</v>
      </c>
      <c r="AS47" s="1136">
        <f>'12. Разходи'!AF47-'12. Разходи'!$AA47</f>
        <v>0</v>
      </c>
      <c r="AT47" s="1183">
        <f>IFERROR(('12. Разходи'!AF47-'12. Разходи'!$AA47)/'12. Разходи'!$AA47,0)</f>
        <v>0</v>
      </c>
      <c r="AU47" s="1177">
        <f>'12. Разходи'!AI47</f>
        <v>3.8437786174603175</v>
      </c>
      <c r="AV47" s="1141">
        <f>'12. Разходи'!AJ47-'12. Разходи'!$AI47</f>
        <v>0.32672118248412696</v>
      </c>
      <c r="AW47" s="1121">
        <f>IFERROR(('12. Разходи'!AJ47-'12. Разходи'!$AI47)/'12. Разходи'!$AI47,0)</f>
        <v>8.4999999999999992E-2</v>
      </c>
      <c r="AX47" s="907">
        <f>'12. Разходи'!AK47-'12. Разходи'!$AI47</f>
        <v>0.32672118248412696</v>
      </c>
      <c r="AY47" s="1129">
        <f>IFERROR(('12. Разходи'!AK47-'12. Разходи'!$AI47)/'12. Разходи'!$AI47,0)</f>
        <v>8.4999999999999992E-2</v>
      </c>
      <c r="AZ47" s="907">
        <f>'12. Разходи'!AL47-'12. Разходи'!$AI47</f>
        <v>0.32672118248412696</v>
      </c>
      <c r="BA47" s="1129">
        <f>IFERROR(('12. Разходи'!AL47-'12. Разходи'!$AI47)/'12. Разходи'!$AI47,0)</f>
        <v>8.4999999999999992E-2</v>
      </c>
      <c r="BB47" s="907">
        <f>'12. Разходи'!AM47-'12. Разходи'!$AI47</f>
        <v>0.32672118248412696</v>
      </c>
      <c r="BC47" s="1128">
        <f>IFERROR(('12. Разходи'!AM47-'12. Разходи'!$AI47)/'12. Разходи'!$AI47,0)</f>
        <v>8.4999999999999992E-2</v>
      </c>
      <c r="BD47" s="1136">
        <f>'12. Разходи'!AN47-'12. Разходи'!$AI47</f>
        <v>0.32672118248412696</v>
      </c>
      <c r="BE47" s="1183">
        <f>IFERROR(('12. Разходи'!AN47-'12. Разходи'!$AI47)/'12. Разходи'!$AI47,0)</f>
        <v>8.4999999999999992E-2</v>
      </c>
      <c r="BF47" s="4488"/>
      <c r="BG47" s="4504">
        <f t="shared" si="1"/>
        <v>12.079789791109473</v>
      </c>
      <c r="BH47" s="4504">
        <f t="shared" si="2"/>
        <v>1.0267821322443054</v>
      </c>
      <c r="BI47" s="4504">
        <f t="shared" si="3"/>
        <v>1.0267821322443054</v>
      </c>
      <c r="BJ47" s="4504">
        <f t="shared" si="4"/>
        <v>1.0267821322443054</v>
      </c>
      <c r="BK47" s="4504">
        <f t="shared" si="5"/>
        <v>1.0267821322443054</v>
      </c>
      <c r="BL47" s="4504">
        <f t="shared" si="6"/>
        <v>1.0267821322443054</v>
      </c>
      <c r="BM47" s="4504">
        <f t="shared" si="7"/>
        <v>0.17177709477310055</v>
      </c>
      <c r="BN47" s="4504">
        <f t="shared" si="8"/>
        <v>1.4601053055713549E-2</v>
      </c>
      <c r="BO47" s="4504">
        <f t="shared" si="9"/>
        <v>1.4601053055713549E-2</v>
      </c>
      <c r="BP47" s="4504">
        <f t="shared" si="10"/>
        <v>1.4601053055713549E-2</v>
      </c>
      <c r="BQ47" s="4504">
        <f t="shared" si="11"/>
        <v>1.4601053055713549E-2</v>
      </c>
      <c r="BR47" s="4504">
        <f t="shared" si="12"/>
        <v>1.4601053055713549E-2</v>
      </c>
      <c r="BS47" s="4504">
        <f t="shared" si="13"/>
        <v>2.5931546504349647</v>
      </c>
      <c r="BT47" s="4504">
        <f t="shared" si="14"/>
        <v>0.29711192746640464</v>
      </c>
      <c r="BU47" s="4504">
        <f t="shared" si="15"/>
        <v>0.29711192746640464</v>
      </c>
      <c r="BV47" s="4504">
        <f t="shared" si="16"/>
        <v>0.29711192746640464</v>
      </c>
      <c r="BW47" s="4504">
        <f t="shared" si="17"/>
        <v>0.29711192746640464</v>
      </c>
      <c r="BX47" s="4504">
        <f t="shared" si="18"/>
        <v>0.29711192746640464</v>
      </c>
      <c r="BY47" s="4504">
        <f t="shared" si="19"/>
        <v>0</v>
      </c>
      <c r="BZ47" s="4504">
        <f t="shared" si="20"/>
        <v>0</v>
      </c>
      <c r="CA47" s="4504">
        <f t="shared" si="21"/>
        <v>0</v>
      </c>
      <c r="CB47" s="4504">
        <f t="shared" si="22"/>
        <v>0</v>
      </c>
      <c r="CC47" s="4504">
        <f t="shared" si="23"/>
        <v>0</v>
      </c>
      <c r="CD47" s="4504">
        <f t="shared" si="24"/>
        <v>0</v>
      </c>
      <c r="CE47" s="4504">
        <f t="shared" si="25"/>
        <v>1.9652928002230856</v>
      </c>
      <c r="CF47" s="4504">
        <f t="shared" si="26"/>
        <v>0.16704988801896226</v>
      </c>
      <c r="CG47" s="4504">
        <f t="shared" si="27"/>
        <v>0.16704988801896226</v>
      </c>
      <c r="CH47" s="4504">
        <f t="shared" si="28"/>
        <v>0.16704988801896226</v>
      </c>
      <c r="CI47" s="4504">
        <f t="shared" si="29"/>
        <v>0.16704988801896226</v>
      </c>
      <c r="CJ47" s="4504">
        <f t="shared" si="30"/>
        <v>0.16704988801896226</v>
      </c>
    </row>
    <row r="48" spans="1:88" s="685" customFormat="1" ht="15.9" customHeight="1">
      <c r="A48" s="838" t="s">
        <v>601</v>
      </c>
      <c r="B48" s="896" t="s">
        <v>641</v>
      </c>
      <c r="C48" s="1112">
        <f>'12. Разходи'!C48</f>
        <v>266.41627011003345</v>
      </c>
      <c r="D48" s="1143">
        <f>'12. Разходи'!D48-'12. Разходи'!$C48</f>
        <v>-8.5348608277781182</v>
      </c>
      <c r="E48" s="877">
        <f>IFERROR(('12. Разходи'!D48-'12. Разходи'!$C48)/'12. Разходи'!$C48,0)</f>
        <v>-3.2035809315448742E-2</v>
      </c>
      <c r="F48" s="1133">
        <f>'12. Разходи'!E48-'12. Разходи'!$C48</f>
        <v>-11.698108431576031</v>
      </c>
      <c r="G48" s="877">
        <f>IFERROR(('12. Разходи'!E48-'12. Разходи'!$C48)/'12. Разходи'!$C48,0)</f>
        <v>-4.3909136730818123E-2</v>
      </c>
      <c r="H48" s="1133">
        <f>'12. Разходи'!F48-'12. Разходи'!$C48</f>
        <v>-13.534459005281377</v>
      </c>
      <c r="I48" s="877">
        <f>IFERROR(('12. Разходи'!F48-'12. Разходи'!$C48)/'12. Разходи'!$C48,0)</f>
        <v>-5.0801923620098222E-2</v>
      </c>
      <c r="J48" s="1133">
        <f>'12. Разходи'!G48-'12. Разходи'!$C48</f>
        <v>-14.947987263418185</v>
      </c>
      <c r="K48" s="886">
        <f>IFERROR(('12. Разходи'!G48-'12. Разходи'!$C48)/'12. Разходи'!$C48,0)</f>
        <v>-5.6107636584073743E-2</v>
      </c>
      <c r="L48" s="1133">
        <f>'12. Разходи'!H48-'12. Разходи'!$C48</f>
        <v>-17.326829570085323</v>
      </c>
      <c r="M48" s="886">
        <f>IFERROR(('12. Разходи'!H48-'12. Разходи'!$C48)/'12. Разходи'!$C48,0)</f>
        <v>-6.5036679490066848E-2</v>
      </c>
      <c r="N48" s="1163">
        <f>'12. Разходи'!K48</f>
        <v>10.875167093038815</v>
      </c>
      <c r="O48" s="1143">
        <f>'12. Разходи'!L48-'12. Разходи'!$K48</f>
        <v>0.88139985822388844</v>
      </c>
      <c r="P48" s="877">
        <f>IFERROR(('12. Разходи'!L48-'12. Разходи'!$K48)/'12. Разходи'!$K48,0)</f>
        <v>8.1047017547718578E-2</v>
      </c>
      <c r="Q48" s="1133">
        <f>'12. Разходи'!M48-'12. Разходи'!$K48</f>
        <v>0.6925121708255908</v>
      </c>
      <c r="R48" s="877">
        <f>IFERROR(('12. Разходи'!M48-'12. Разходи'!$K48)/'12. Разходи'!$K48,0)</f>
        <v>6.3678301666635281E-2</v>
      </c>
      <c r="S48" s="1133">
        <f>'12. Разходи'!N48-'12. Разходи'!$K48</f>
        <v>-3.6744018651301502E-2</v>
      </c>
      <c r="T48" s="877">
        <f>IFERROR(('12. Разходи'!N48-'12. Разходи'!$K48)/'12. Разходи'!$K48,0)</f>
        <v>-3.378708422312087E-3</v>
      </c>
      <c r="U48" s="1133">
        <f>'12. Разходи'!O48-'12. Разходи'!$K48</f>
        <v>0.81681079704879345</v>
      </c>
      <c r="V48" s="886">
        <f>IFERROR(('12. Разходи'!O48-'12. Разходи'!$K48)/'12. Разходи'!$K48,0)</f>
        <v>7.5107884785663048E-2</v>
      </c>
      <c r="W48" s="1133">
        <f>'12. Разходи'!P48-'12. Разходи'!$K48</f>
        <v>0.10322240617407807</v>
      </c>
      <c r="X48" s="891">
        <f>IFERROR(('12. Разходи'!P48-'12. Разходи'!$K48)/'12. Разходи'!$K48,0)</f>
        <v>9.4915696734582267E-3</v>
      </c>
      <c r="Y48" s="1163">
        <f>'12. Разходи'!S48</f>
        <v>16.482964738443311</v>
      </c>
      <c r="Z48" s="1143">
        <f>'12. Разходи'!T48-'12. Разходи'!$S48</f>
        <v>4.0396026286803028</v>
      </c>
      <c r="AA48" s="877">
        <f>IFERROR(('12. Разходи'!T48-'12. Разходи'!$S48)/'12. Разходи'!$S48,0)</f>
        <v>0.24507742950263767</v>
      </c>
      <c r="AB48" s="1133">
        <f>'12. Разходи'!U48-'12. Разходи'!$S48</f>
        <v>2.9102063834709817</v>
      </c>
      <c r="AC48" s="877">
        <f>IFERROR(('12. Разходи'!U48-'12. Разходи'!$S48)/'12. Разходи'!$S48,0)</f>
        <v>0.1765584304553835</v>
      </c>
      <c r="AD48" s="1133">
        <f>'12. Разходи'!V48-'12. Разходи'!$S48</f>
        <v>3.7154076869415071</v>
      </c>
      <c r="AE48" s="877">
        <f>IFERROR(('12. Разходи'!V48-'12. Разходи'!$S48)/'12. Разходи'!$S48,0)</f>
        <v>0.22540894468311523</v>
      </c>
      <c r="AF48" s="1133">
        <f>'12. Разходи'!W48-'12. Разходи'!$S48</f>
        <v>4.8448039321508354</v>
      </c>
      <c r="AG48" s="886">
        <f>IFERROR(('12. Разходи'!W48-'12. Разходи'!$S48)/'12. Разходи'!$S48,0)</f>
        <v>0.29392794373036985</v>
      </c>
      <c r="AH48" s="1133">
        <f>'12. Разходи'!X48-'12. Разходи'!$S48</f>
        <v>5.9336886864925162</v>
      </c>
      <c r="AI48" s="891">
        <f>IFERROR(('12. Разходи'!X48-'12. Разходи'!$S48)/'12. Разходи'!$S48,0)</f>
        <v>0.35998916339688219</v>
      </c>
      <c r="AJ48" s="1163">
        <f>'12. Разходи'!AA48</f>
        <v>0</v>
      </c>
      <c r="AK48" s="1143">
        <f>'12. Разходи'!AB48-'12. Разходи'!$AA48</f>
        <v>0</v>
      </c>
      <c r="AL48" s="877">
        <f>IFERROR(('12. Разходи'!AB48-'12. Разходи'!$AA48)/'12. Разходи'!$AA48,0)</f>
        <v>0</v>
      </c>
      <c r="AM48" s="1133">
        <f>'12. Разходи'!AC48-'12. Разходи'!$AA48</f>
        <v>0</v>
      </c>
      <c r="AN48" s="877">
        <f>IFERROR(('12. Разходи'!AC48-'12. Разходи'!$AA48)/'12. Разходи'!$AA48,0)</f>
        <v>0</v>
      </c>
      <c r="AO48" s="1133">
        <f>'12. Разходи'!AD48-'12. Разходи'!$AA48</f>
        <v>0</v>
      </c>
      <c r="AP48" s="877">
        <f>IFERROR(('12. Разходи'!AD48-'12. Разходи'!$AA48)/'12. Разходи'!$AA48,0)</f>
        <v>0</v>
      </c>
      <c r="AQ48" s="1133">
        <f>'12. Разходи'!AE48-'12. Разходи'!$AA48</f>
        <v>0</v>
      </c>
      <c r="AR48" s="886">
        <f>IFERROR(('12. Разходи'!AE48-'12. Разходи'!$AA48)/'12. Разходи'!$AA48,0)</f>
        <v>0</v>
      </c>
      <c r="AS48" s="1133">
        <f>'12. Разходи'!AF48-'12. Разходи'!$AA48</f>
        <v>0</v>
      </c>
      <c r="AT48" s="891">
        <f>IFERROR(('12. Разходи'!AF48-'12. Разходи'!$AA48)/'12. Разходи'!$AA48,0)</f>
        <v>0</v>
      </c>
      <c r="AU48" s="1163">
        <f>'12. Разходи'!AI48</f>
        <v>16.704404884033831</v>
      </c>
      <c r="AV48" s="1143">
        <f>'12. Разходи'!AJ48-'12. Разходи'!$AI48</f>
        <v>10.168883437718225</v>
      </c>
      <c r="AW48" s="877">
        <f>IFERROR(('12. Разходи'!AJ48-'12. Разходи'!$AI48)/'12. Разходи'!$AI48,0)</f>
        <v>0.60875460744116083</v>
      </c>
      <c r="AX48" s="1133">
        <f>'12. Разходи'!AK48-'12. Разходи'!$AI48</f>
        <v>11.119195771948146</v>
      </c>
      <c r="AY48" s="877">
        <f>IFERROR(('12. Разходи'!AK48-'12. Разходи'!$AI48)/'12. Разходи'!$AI48,0)</f>
        <v>0.66564453203453766</v>
      </c>
      <c r="AZ48" s="1133">
        <f>'12. Разходи'!AL48-'12. Разходи'!$AI48</f>
        <v>12.043537946350686</v>
      </c>
      <c r="BA48" s="877">
        <f>IFERROR(('12. Разходи'!AL48-'12. Разходи'!$AI48)/'12. Разходи'!$AI48,0)</f>
        <v>0.72097976731047575</v>
      </c>
      <c r="BB48" s="1133">
        <f>'12. Разходи'!AM48-'12. Разходи'!$AI48</f>
        <v>12.923165532388683</v>
      </c>
      <c r="BC48" s="886">
        <f>IFERROR(('12. Разходи'!AM48-'12. Разходи'!$AI48)/'12. Разходи'!$AI48,0)</f>
        <v>0.77363818837633191</v>
      </c>
      <c r="BD48" s="1133">
        <f>'12. Разходи'!AN48-'12. Разходи'!$AI48</f>
        <v>13.86170619553906</v>
      </c>
      <c r="BE48" s="891">
        <f>IFERROR(('12. Разходи'!AN48-'12. Разходи'!$AI48)/'12. Разходи'!$AI48,0)</f>
        <v>0.82982340836267454</v>
      </c>
      <c r="BF48" s="4488"/>
      <c r="BG48" s="4504">
        <f t="shared" si="1"/>
        <v>136.21647592583889</v>
      </c>
      <c r="BH48" s="4504">
        <f t="shared" si="2"/>
        <v>-4.3638050483825888</v>
      </c>
      <c r="BI48" s="4504">
        <f t="shared" si="3"/>
        <v>-5.9811478664178539</v>
      </c>
      <c r="BJ48" s="4504">
        <f t="shared" si="4"/>
        <v>-6.9200590057834157</v>
      </c>
      <c r="BK48" s="4504">
        <f t="shared" si="5"/>
        <v>-7.642784528010198</v>
      </c>
      <c r="BL48" s="4504">
        <f t="shared" si="6"/>
        <v>-8.8590672860551898</v>
      </c>
      <c r="BM48" s="4504">
        <f t="shared" si="7"/>
        <v>5.5603846413230267</v>
      </c>
      <c r="BN48" s="4504">
        <f t="shared" si="8"/>
        <v>0.4506525915973722</v>
      </c>
      <c r="BO48" s="4504">
        <f t="shared" si="9"/>
        <v>0.35407585057269336</v>
      </c>
      <c r="BP48" s="4504">
        <f t="shared" si="10"/>
        <v>-1.8786918418932885E-2</v>
      </c>
      <c r="BQ48" s="4504">
        <f t="shared" si="11"/>
        <v>0.41762872900446024</v>
      </c>
      <c r="BR48" s="4504">
        <f t="shared" si="12"/>
        <v>5.277677823434454E-2</v>
      </c>
      <c r="BS48" s="4504">
        <f t="shared" si="13"/>
        <v>8.4276060488096167</v>
      </c>
      <c r="BT48" s="4504">
        <f t="shared" si="14"/>
        <v>2.0654160273031414</v>
      </c>
      <c r="BU48" s="4504">
        <f t="shared" si="15"/>
        <v>1.4879648964741219</v>
      </c>
      <c r="BV48" s="4504">
        <f t="shared" si="16"/>
        <v>1.8996577856672141</v>
      </c>
      <c r="BW48" s="4504">
        <f t="shared" si="17"/>
        <v>2.477108916496237</v>
      </c>
      <c r="BX48" s="4504">
        <f t="shared" si="18"/>
        <v>3.0338468509494776</v>
      </c>
      <c r="BY48" s="4504">
        <f t="shared" si="19"/>
        <v>0</v>
      </c>
      <c r="BZ48" s="4504">
        <f t="shared" si="20"/>
        <v>0</v>
      </c>
      <c r="CA48" s="4504">
        <f t="shared" si="21"/>
        <v>0</v>
      </c>
      <c r="CB48" s="4504">
        <f t="shared" si="22"/>
        <v>0</v>
      </c>
      <c r="CC48" s="4504">
        <f t="shared" si="23"/>
        <v>0</v>
      </c>
      <c r="CD48" s="4504">
        <f t="shared" si="24"/>
        <v>0</v>
      </c>
      <c r="CE48" s="4504">
        <f t="shared" si="25"/>
        <v>8.5408265974209581</v>
      </c>
      <c r="CF48" s="4504">
        <f t="shared" si="26"/>
        <v>5.1992675425360204</v>
      </c>
      <c r="CG48" s="4504">
        <f t="shared" si="27"/>
        <v>5.6851545236284062</v>
      </c>
      <c r="CH48" s="4504">
        <f t="shared" si="28"/>
        <v>6.1577631728476838</v>
      </c>
      <c r="CI48" s="4504">
        <f t="shared" si="29"/>
        <v>6.6075096160651405</v>
      </c>
      <c r="CJ48" s="4504">
        <f t="shared" si="30"/>
        <v>7.0873778373064429</v>
      </c>
    </row>
    <row r="49" spans="1:88" ht="15.9" customHeight="1">
      <c r="A49" s="838" t="s">
        <v>684</v>
      </c>
      <c r="B49" s="896" t="s">
        <v>631</v>
      </c>
      <c r="C49" s="1146"/>
      <c r="D49" s="3059"/>
      <c r="E49" s="3061"/>
      <c r="F49" s="2007"/>
      <c r="G49" s="3061"/>
      <c r="H49" s="2007"/>
      <c r="I49" s="3061"/>
      <c r="J49" s="2007"/>
      <c r="K49" s="3145"/>
      <c r="L49" s="2007"/>
      <c r="M49" s="3145"/>
      <c r="N49" s="3146"/>
      <c r="O49" s="3059"/>
      <c r="P49" s="3061"/>
      <c r="Q49" s="2007"/>
      <c r="R49" s="3061"/>
      <c r="S49" s="2007"/>
      <c r="T49" s="3061"/>
      <c r="U49" s="2007"/>
      <c r="V49" s="3145"/>
      <c r="W49" s="2007"/>
      <c r="X49" s="3060"/>
      <c r="Y49" s="3147">
        <f>'12. Разходи'!S49</f>
        <v>92.827470000000005</v>
      </c>
      <c r="Z49" s="1143">
        <f>'12. Разходи'!T49-'12. Разходи'!$S49</f>
        <v>-3.1774699999999996</v>
      </c>
      <c r="AA49" s="877">
        <f>IFERROR(('12. Разходи'!T49-'12. Разходи'!$S49)/'12. Разходи'!$S49,0)</f>
        <v>-3.4229845971241048E-2</v>
      </c>
      <c r="AB49" s="1133">
        <f>'12. Разходи'!U49-'12. Разходи'!$S49</f>
        <v>-1.5674700000000001</v>
      </c>
      <c r="AC49" s="877">
        <f>IFERROR(('12. Разходи'!U49-'12. Разходи'!$S49)/'12. Разходи'!$S49,0)</f>
        <v>-1.6885842089631443E-2</v>
      </c>
      <c r="AD49" s="1133">
        <f>'12. Разходи'!V49-'12. Разходи'!$S49</f>
        <v>-1.5674700000000001</v>
      </c>
      <c r="AE49" s="877">
        <f>IFERROR(('12. Разходи'!V49-'12. Разходи'!$S49)/'12. Разходи'!$S49,0)</f>
        <v>-1.6885842089631443E-2</v>
      </c>
      <c r="AF49" s="1133">
        <f>'12. Разходи'!W49-'12. Разходи'!$S49</f>
        <v>-1.5674700000000001</v>
      </c>
      <c r="AG49" s="886">
        <f>IFERROR(('12. Разходи'!W49-'12. Разходи'!$S49)/'12. Разходи'!$S49,0)</f>
        <v>-1.6885842089631443E-2</v>
      </c>
      <c r="AH49" s="1133">
        <f>'12. Разходи'!X49-'12. Разходи'!$S49</f>
        <v>-0.91747000000000867</v>
      </c>
      <c r="AI49" s="891">
        <f>IFERROR(('12. Разходи'!X49-'12. Разходи'!$S49)/'12. Разходи'!$S49,0)</f>
        <v>-9.8836044976773427E-3</v>
      </c>
      <c r="AJ49" s="3146"/>
      <c r="AK49" s="3059"/>
      <c r="AL49" s="3061"/>
      <c r="AM49" s="2007"/>
      <c r="AN49" s="3061"/>
      <c r="AO49" s="2007"/>
      <c r="AP49" s="3061"/>
      <c r="AQ49" s="2007"/>
      <c r="AR49" s="3145"/>
      <c r="AS49" s="2007"/>
      <c r="AT49" s="3060"/>
      <c r="AU49" s="3146"/>
      <c r="AV49" s="3059"/>
      <c r="AW49" s="3061"/>
      <c r="AX49" s="2007"/>
      <c r="AY49" s="3061"/>
      <c r="AZ49" s="2007"/>
      <c r="BA49" s="3061"/>
      <c r="BB49" s="2007"/>
      <c r="BC49" s="3145"/>
      <c r="BD49" s="2007"/>
      <c r="BE49" s="3060"/>
      <c r="BF49" s="4488"/>
      <c r="BG49" s="4504">
        <f t="shared" si="1"/>
        <v>0</v>
      </c>
      <c r="BH49" s="4504">
        <f t="shared" si="2"/>
        <v>0</v>
      </c>
      <c r="BI49" s="4504">
        <f t="shared" si="3"/>
        <v>0</v>
      </c>
      <c r="BJ49" s="4504">
        <f t="shared" si="4"/>
        <v>0</v>
      </c>
      <c r="BK49" s="4504">
        <f t="shared" si="5"/>
        <v>0</v>
      </c>
      <c r="BL49" s="4504">
        <f t="shared" si="6"/>
        <v>0</v>
      </c>
      <c r="BM49" s="4504">
        <f t="shared" si="7"/>
        <v>0</v>
      </c>
      <c r="BN49" s="4504">
        <f t="shared" si="8"/>
        <v>0</v>
      </c>
      <c r="BO49" s="4504">
        <f t="shared" si="9"/>
        <v>0</v>
      </c>
      <c r="BP49" s="4504">
        <f t="shared" si="10"/>
        <v>0</v>
      </c>
      <c r="BQ49" s="4504">
        <f t="shared" si="11"/>
        <v>0</v>
      </c>
      <c r="BR49" s="4504">
        <f t="shared" si="12"/>
        <v>0</v>
      </c>
      <c r="BS49" s="4504">
        <f t="shared" si="13"/>
        <v>47.461931762985536</v>
      </c>
      <c r="BT49" s="4504">
        <f t="shared" si="14"/>
        <v>-1.6246146137445481</v>
      </c>
      <c r="BU49" s="4504">
        <f t="shared" si="15"/>
        <v>-0.80143468501863668</v>
      </c>
      <c r="BV49" s="4504">
        <f t="shared" si="16"/>
        <v>-0.80143468501863668</v>
      </c>
      <c r="BW49" s="4504">
        <f t="shared" si="17"/>
        <v>-0.80143468501863668</v>
      </c>
      <c r="BX49" s="4504">
        <f t="shared" si="18"/>
        <v>-0.46909496224109903</v>
      </c>
      <c r="BY49" s="4504">
        <f t="shared" si="19"/>
        <v>0</v>
      </c>
      <c r="BZ49" s="4504">
        <f t="shared" si="20"/>
        <v>0</v>
      </c>
      <c r="CA49" s="4504">
        <f t="shared" si="21"/>
        <v>0</v>
      </c>
      <c r="CB49" s="4504">
        <f t="shared" si="22"/>
        <v>0</v>
      </c>
      <c r="CC49" s="4504">
        <f t="shared" si="23"/>
        <v>0</v>
      </c>
      <c r="CD49" s="4504">
        <f t="shared" si="24"/>
        <v>0</v>
      </c>
      <c r="CE49" s="4504">
        <f t="shared" si="25"/>
        <v>0</v>
      </c>
      <c r="CF49" s="4504">
        <f t="shared" si="26"/>
        <v>0</v>
      </c>
      <c r="CG49" s="4504">
        <f t="shared" si="27"/>
        <v>0</v>
      </c>
      <c r="CH49" s="4504">
        <f t="shared" si="28"/>
        <v>0</v>
      </c>
      <c r="CI49" s="4504">
        <f t="shared" si="29"/>
        <v>0</v>
      </c>
      <c r="CJ49" s="4504">
        <f t="shared" si="30"/>
        <v>0</v>
      </c>
    </row>
    <row r="50" spans="1:88" ht="15.9" customHeight="1">
      <c r="A50" s="838" t="s">
        <v>735</v>
      </c>
      <c r="B50" s="896" t="s">
        <v>734</v>
      </c>
      <c r="C50" s="1146"/>
      <c r="D50" s="3059"/>
      <c r="E50" s="3061"/>
      <c r="F50" s="2007"/>
      <c r="G50" s="3061"/>
      <c r="H50" s="2007"/>
      <c r="I50" s="3061"/>
      <c r="J50" s="2007"/>
      <c r="K50" s="3148"/>
      <c r="L50" s="2007"/>
      <c r="M50" s="3148"/>
      <c r="N50" s="3146"/>
      <c r="O50" s="3059"/>
      <c r="P50" s="3061"/>
      <c r="Q50" s="2007"/>
      <c r="R50" s="3061"/>
      <c r="S50" s="2007"/>
      <c r="T50" s="3061"/>
      <c r="U50" s="2007"/>
      <c r="V50" s="3148"/>
      <c r="W50" s="2007"/>
      <c r="X50" s="3149"/>
      <c r="Y50" s="3147">
        <f>'12. Разходи'!S50</f>
        <v>2.1374599999999999</v>
      </c>
      <c r="Z50" s="1143">
        <f>'12. Разходи'!T50-'12. Разходи'!$S50</f>
        <v>-1.0694599999999999</v>
      </c>
      <c r="AA50" s="877">
        <f>IFERROR(('12. Разходи'!T50-'12. Разходи'!$S50)/'12. Разходи'!$S50,0)</f>
        <v>-0.50034152685898214</v>
      </c>
      <c r="AB50" s="1133">
        <f>'12. Разходи'!U50-'12. Разходи'!$S50</f>
        <v>-1.0694599999999999</v>
      </c>
      <c r="AC50" s="877">
        <f>IFERROR(('12. Разходи'!U50-'12. Разходи'!$S50)/'12. Разходи'!$S50,0)</f>
        <v>-0.50034152685898214</v>
      </c>
      <c r="AD50" s="1133">
        <f>'12. Разходи'!V50-'12. Разходи'!$S50</f>
        <v>-1.0694599999999999</v>
      </c>
      <c r="AE50" s="877">
        <f>IFERROR(('12. Разходи'!V50-'12. Разходи'!$S50)/'12. Разходи'!$S50,0)</f>
        <v>-0.50034152685898214</v>
      </c>
      <c r="AF50" s="1133">
        <f>'12. Разходи'!W50-'12. Разходи'!$S50</f>
        <v>-1.0694599999999999</v>
      </c>
      <c r="AG50" s="886">
        <f>IFERROR(('12. Разходи'!W50-'12. Разходи'!$S50)/'12. Разходи'!$S50,0)</f>
        <v>-0.50034152685898214</v>
      </c>
      <c r="AH50" s="1133">
        <f>'12. Разходи'!X50-'12. Разходи'!$S50</f>
        <v>-1.0694599999999999</v>
      </c>
      <c r="AI50" s="891">
        <f>IFERROR(('12. Разходи'!X50-'12. Разходи'!$S50)/'12. Разходи'!$S50,0)</f>
        <v>-0.50034152685898214</v>
      </c>
      <c r="AJ50" s="3146"/>
      <c r="AK50" s="3059"/>
      <c r="AL50" s="3061"/>
      <c r="AM50" s="2007"/>
      <c r="AN50" s="3061"/>
      <c r="AO50" s="2007"/>
      <c r="AP50" s="3061"/>
      <c r="AQ50" s="2007"/>
      <c r="AR50" s="3148"/>
      <c r="AS50" s="2007"/>
      <c r="AT50" s="3149"/>
      <c r="AU50" s="3146"/>
      <c r="AV50" s="3059"/>
      <c r="AW50" s="3061"/>
      <c r="AX50" s="2007"/>
      <c r="AY50" s="3061"/>
      <c r="AZ50" s="2007"/>
      <c r="BA50" s="3061"/>
      <c r="BB50" s="2007"/>
      <c r="BC50" s="3148"/>
      <c r="BD50" s="2007"/>
      <c r="BE50" s="3149"/>
      <c r="BF50" s="4488"/>
      <c r="BG50" s="4504">
        <f t="shared" si="1"/>
        <v>0</v>
      </c>
      <c r="BH50" s="4504">
        <f t="shared" si="2"/>
        <v>0</v>
      </c>
      <c r="BI50" s="4504">
        <f t="shared" si="3"/>
        <v>0</v>
      </c>
      <c r="BJ50" s="4504">
        <f t="shared" si="4"/>
        <v>0</v>
      </c>
      <c r="BK50" s="4504">
        <f t="shared" si="5"/>
        <v>0</v>
      </c>
      <c r="BL50" s="4504">
        <f t="shared" si="6"/>
        <v>0</v>
      </c>
      <c r="BM50" s="4504">
        <f t="shared" si="7"/>
        <v>0</v>
      </c>
      <c r="BN50" s="4504">
        <f t="shared" si="8"/>
        <v>0</v>
      </c>
      <c r="BO50" s="4504">
        <f t="shared" si="9"/>
        <v>0</v>
      </c>
      <c r="BP50" s="4504">
        <f t="shared" si="10"/>
        <v>0</v>
      </c>
      <c r="BQ50" s="4504">
        <f t="shared" si="11"/>
        <v>0</v>
      </c>
      <c r="BR50" s="4504">
        <f t="shared" si="12"/>
        <v>0</v>
      </c>
      <c r="BS50" s="4504">
        <f t="shared" si="13"/>
        <v>1.0928659443816691</v>
      </c>
      <c r="BT50" s="4504">
        <f t="shared" si="14"/>
        <v>-0.54680621526410778</v>
      </c>
      <c r="BU50" s="4504">
        <f t="shared" si="15"/>
        <v>-0.54680621526410778</v>
      </c>
      <c r="BV50" s="4504">
        <f t="shared" si="16"/>
        <v>-0.54680621526410778</v>
      </c>
      <c r="BW50" s="4504">
        <f t="shared" si="17"/>
        <v>-0.54680621526410778</v>
      </c>
      <c r="BX50" s="4504">
        <f t="shared" si="18"/>
        <v>-0.54680621526410778</v>
      </c>
      <c r="BY50" s="4504">
        <f t="shared" si="19"/>
        <v>0</v>
      </c>
      <c r="BZ50" s="4504">
        <f t="shared" si="20"/>
        <v>0</v>
      </c>
      <c r="CA50" s="4504">
        <f t="shared" si="21"/>
        <v>0</v>
      </c>
      <c r="CB50" s="4504">
        <f t="shared" si="22"/>
        <v>0</v>
      </c>
      <c r="CC50" s="4504">
        <f t="shared" si="23"/>
        <v>0</v>
      </c>
      <c r="CD50" s="4504">
        <f t="shared" si="24"/>
        <v>0</v>
      </c>
      <c r="CE50" s="4504">
        <f t="shared" si="25"/>
        <v>0</v>
      </c>
      <c r="CF50" s="4504">
        <f t="shared" si="26"/>
        <v>0</v>
      </c>
      <c r="CG50" s="4504">
        <f t="shared" si="27"/>
        <v>0</v>
      </c>
      <c r="CH50" s="4504">
        <f t="shared" si="28"/>
        <v>0</v>
      </c>
      <c r="CI50" s="4504">
        <f t="shared" si="29"/>
        <v>0</v>
      </c>
      <c r="CJ50" s="4504">
        <f t="shared" si="30"/>
        <v>0</v>
      </c>
    </row>
    <row r="51" spans="1:88" ht="15.9" customHeight="1">
      <c r="A51" s="838" t="s">
        <v>1225</v>
      </c>
      <c r="B51" s="896" t="s">
        <v>445</v>
      </c>
      <c r="C51" s="1186">
        <f>'12. Разходи'!C51</f>
        <v>2.3130295589829104</v>
      </c>
      <c r="D51" s="1144">
        <f>'12. Разходи'!D51-'12. Разходи'!$C51</f>
        <v>7.1966075125135482</v>
      </c>
      <c r="E51" s="876">
        <f>IFERROR(('12. Разходи'!D51-'12. Разходи'!$C51)/'12. Разходи'!$C51,0)</f>
        <v>3.1113340011435278</v>
      </c>
      <c r="F51" s="1131">
        <f>'12. Разходи'!E51-'12. Разходи'!$C51</f>
        <v>7.1966075125135482</v>
      </c>
      <c r="G51" s="876">
        <f>IFERROR(('12. Разходи'!E51-'12. Разходи'!$C51)/'12. Разходи'!$C51,0)</f>
        <v>3.1113340011435278</v>
      </c>
      <c r="H51" s="1131">
        <f>'12. Разходи'!F51-'12. Разходи'!$C51</f>
        <v>7.1966075125135482</v>
      </c>
      <c r="I51" s="876">
        <f>IFERROR(('12. Разходи'!F51-'12. Разходи'!$C51)/'12. Разходи'!$C51,0)</f>
        <v>3.1113340011435278</v>
      </c>
      <c r="J51" s="1131">
        <f>'12. Разходи'!G51-'12. Разходи'!$C51</f>
        <v>7.1966075125135482</v>
      </c>
      <c r="K51" s="887">
        <f>IFERROR(('12. Разходи'!G51-'12. Разходи'!$C51)/'12. Разходи'!$C51,0)</f>
        <v>3.1113340011435278</v>
      </c>
      <c r="L51" s="1131">
        <f>'12. Разходи'!H51-'12. Разходи'!$C51</f>
        <v>7.1966075125135482</v>
      </c>
      <c r="M51" s="887">
        <f>IFERROR(('12. Разходи'!H51-'12. Разходи'!$C51)/'12. Разходи'!$C51,0)</f>
        <v>3.1113340011435278</v>
      </c>
      <c r="N51" s="1162">
        <f>'12. Разходи'!K51</f>
        <v>7.7656115840306148</v>
      </c>
      <c r="O51" s="1144">
        <f>'12. Разходи'!L51-'12. Разходи'!$K51</f>
        <v>0.66007698464260312</v>
      </c>
      <c r="P51" s="876">
        <f>IFERROR(('12. Разходи'!L51-'12. Разходи'!$K51)/'12. Разходи'!$K51,0)</f>
        <v>8.5000000000000117E-2</v>
      </c>
      <c r="Q51" s="1131">
        <f>'12. Разходи'!M51-'12. Разходи'!$K51</f>
        <v>0.66007698464260312</v>
      </c>
      <c r="R51" s="876">
        <f>IFERROR(('12. Разходи'!M51-'12. Разходи'!$K51)/'12. Разходи'!$K51,0)</f>
        <v>8.5000000000000117E-2</v>
      </c>
      <c r="S51" s="1131">
        <f>'12. Разходи'!N51-'12. Разходи'!$K51</f>
        <v>0.66007698464260312</v>
      </c>
      <c r="T51" s="876">
        <f>IFERROR(('12. Разходи'!N51-'12. Разходи'!$K51)/'12. Разходи'!$K51,0)</f>
        <v>8.5000000000000117E-2</v>
      </c>
      <c r="U51" s="1131">
        <f>'12. Разходи'!O51-'12. Разходи'!$K51</f>
        <v>0.66007698464260312</v>
      </c>
      <c r="V51" s="887">
        <f>IFERROR(('12. Разходи'!O51-'12. Разходи'!$K51)/'12. Разходи'!$K51,0)</f>
        <v>8.5000000000000117E-2</v>
      </c>
      <c r="W51" s="1131">
        <f>'12. Разходи'!P51-'12. Разходи'!$K51</f>
        <v>0.66007698464260312</v>
      </c>
      <c r="X51" s="821">
        <f>IFERROR(('12. Разходи'!P51-'12. Разходи'!$K51)/'12. Разходи'!$K51,0)</f>
        <v>8.5000000000000117E-2</v>
      </c>
      <c r="Y51" s="1162">
        <f>'12. Разходи'!S51</f>
        <v>5.7577733323557121</v>
      </c>
      <c r="Z51" s="1144">
        <f>'12. Разходи'!T51-'12. Разходи'!$S51</f>
        <v>0.4894107332502351</v>
      </c>
      <c r="AA51" s="876">
        <f>IFERROR(('12. Разходи'!T51-'12. Разходи'!$S51)/'12. Разходи'!$S51,0)</f>
        <v>8.4999999999999923E-2</v>
      </c>
      <c r="AB51" s="1131">
        <f>'12. Разходи'!U51-'12. Разходи'!$S51</f>
        <v>0.4894107332502351</v>
      </c>
      <c r="AC51" s="876">
        <f>IFERROR(('12. Разходи'!U51-'12. Разходи'!$S51)/'12. Разходи'!$S51,0)</f>
        <v>8.4999999999999923E-2</v>
      </c>
      <c r="AD51" s="1131">
        <f>'12. Разходи'!V51-'12. Разходи'!$S51</f>
        <v>0.4894107332502351</v>
      </c>
      <c r="AE51" s="876">
        <f>IFERROR(('12. Разходи'!V51-'12. Разходи'!$S51)/'12. Разходи'!$S51,0)</f>
        <v>8.4999999999999923E-2</v>
      </c>
      <c r="AF51" s="1131">
        <f>'12. Разходи'!W51-'12. Разходи'!$S51</f>
        <v>0.4894107332502351</v>
      </c>
      <c r="AG51" s="887">
        <f>IFERROR(('12. Разходи'!W51-'12. Разходи'!$S51)/'12. Разходи'!$S51,0)</f>
        <v>8.4999999999999923E-2</v>
      </c>
      <c r="AH51" s="1131">
        <f>'12. Разходи'!X51-'12. Разходи'!$S51</f>
        <v>0.4894107332502351</v>
      </c>
      <c r="AI51" s="821">
        <f>IFERROR(('12. Разходи'!X51-'12. Разходи'!$S51)/'12. Разходи'!$S51,0)</f>
        <v>8.4999999999999923E-2</v>
      </c>
      <c r="AJ51" s="1162">
        <f>'12. Разходи'!AA51</f>
        <v>0</v>
      </c>
      <c r="AK51" s="1144">
        <f>'12. Разходи'!AB51-'12. Разходи'!$AA51</f>
        <v>0</v>
      </c>
      <c r="AL51" s="876">
        <f>IFERROR(('12. Разходи'!AB51-'12. Разходи'!$AA51)/'12. Разходи'!$AA51,0)</f>
        <v>0</v>
      </c>
      <c r="AM51" s="1131">
        <f>'12. Разходи'!AC51-'12. Разходи'!$AA51</f>
        <v>0</v>
      </c>
      <c r="AN51" s="876">
        <f>IFERROR(('12. Разходи'!AC51-'12. Разходи'!$AA51)/'12. Разходи'!$AA51,0)</f>
        <v>0</v>
      </c>
      <c r="AO51" s="1131">
        <f>'12. Разходи'!AD51-'12. Разходи'!$AA51</f>
        <v>0</v>
      </c>
      <c r="AP51" s="876">
        <f>IFERROR(('12. Разходи'!AD51-'12. Разходи'!$AA51)/'12. Разходи'!$AA51,0)</f>
        <v>0</v>
      </c>
      <c r="AQ51" s="1131">
        <f>'12. Разходи'!AE51-'12. Разходи'!$AA51</f>
        <v>0</v>
      </c>
      <c r="AR51" s="887">
        <f>IFERROR(('12. Разходи'!AE51-'12. Разходи'!$AA51)/'12. Разходи'!$AA51,0)</f>
        <v>0</v>
      </c>
      <c r="AS51" s="1131">
        <f>'12. Разходи'!AF51-'12. Разходи'!$AA51</f>
        <v>0</v>
      </c>
      <c r="AT51" s="821">
        <f>IFERROR(('12. Разходи'!AF51-'12. Разходи'!$AA51)/'12. Разходи'!$AA51,0)</f>
        <v>0</v>
      </c>
      <c r="AU51" s="1162">
        <f>'12. Разходи'!AI51</f>
        <v>0.17568596135121831</v>
      </c>
      <c r="AV51" s="1144">
        <f>'12. Разходи'!AJ51-'12. Разходи'!$AI51</f>
        <v>1.4933306714853545E-2</v>
      </c>
      <c r="AW51" s="876">
        <f>IFERROR(('12. Разходи'!AJ51-'12. Разходи'!$AI51)/'12. Разходи'!$AI51,0)</f>
        <v>8.4999999999999937E-2</v>
      </c>
      <c r="AX51" s="1131">
        <f>'12. Разходи'!AK51-'12. Разходи'!$AI51</f>
        <v>1.4933306714853545E-2</v>
      </c>
      <c r="AY51" s="876">
        <f>IFERROR(('12. Разходи'!AK51-'12. Разходи'!$AI51)/'12. Разходи'!$AI51,0)</f>
        <v>8.4999999999999937E-2</v>
      </c>
      <c r="AZ51" s="1131">
        <f>'12. Разходи'!AL51-'12. Разходи'!$AI51</f>
        <v>1.4933306714853545E-2</v>
      </c>
      <c r="BA51" s="876">
        <f>IFERROR(('12. Разходи'!AL51-'12. Разходи'!$AI51)/'12. Разходи'!$AI51,0)</f>
        <v>8.4999999999999937E-2</v>
      </c>
      <c r="BB51" s="1131">
        <f>'12. Разходи'!AM51-'12. Разходи'!$AI51</f>
        <v>1.4933306714853545E-2</v>
      </c>
      <c r="BC51" s="887">
        <f>IFERROR(('12. Разходи'!AM51-'12. Разходи'!$AI51)/'12. Разходи'!$AI51,0)</f>
        <v>8.4999999999999937E-2</v>
      </c>
      <c r="BD51" s="1131">
        <f>'12. Разходи'!AN51-'12. Разходи'!$AI51</f>
        <v>1.4933306714853545E-2</v>
      </c>
      <c r="BE51" s="821">
        <f>IFERROR(('12. Разходи'!AN51-'12. Разходи'!$AI51)/'12. Разходи'!$AI51,0)</f>
        <v>8.4999999999999937E-2</v>
      </c>
      <c r="BF51" s="4488"/>
      <c r="BG51" s="4504">
        <f t="shared" si="1"/>
        <v>1.1826332344748318</v>
      </c>
      <c r="BH51" s="4504">
        <f t="shared" si="2"/>
        <v>3.6795669933038906</v>
      </c>
      <c r="BI51" s="4504">
        <f t="shared" si="3"/>
        <v>3.6795669933038906</v>
      </c>
      <c r="BJ51" s="4504">
        <f t="shared" si="4"/>
        <v>3.6795669933038906</v>
      </c>
      <c r="BK51" s="4504">
        <f t="shared" si="5"/>
        <v>3.6795669933038906</v>
      </c>
      <c r="BL51" s="4504">
        <f t="shared" si="6"/>
        <v>3.6795669933038906</v>
      </c>
      <c r="BM51" s="4504">
        <f t="shared" si="7"/>
        <v>3.9704941554381592</v>
      </c>
      <c r="BN51" s="4504">
        <f t="shared" si="8"/>
        <v>0.33749200321224399</v>
      </c>
      <c r="BO51" s="4504">
        <f t="shared" si="9"/>
        <v>0.33749200321224399</v>
      </c>
      <c r="BP51" s="4504">
        <f t="shared" si="10"/>
        <v>0.33749200321224399</v>
      </c>
      <c r="BQ51" s="4504">
        <f t="shared" si="11"/>
        <v>0.33749200321224399</v>
      </c>
      <c r="BR51" s="4504">
        <f t="shared" si="12"/>
        <v>0.33749200321224399</v>
      </c>
      <c r="BS51" s="4504">
        <f t="shared" si="13"/>
        <v>2.9439027586015718</v>
      </c>
      <c r="BT51" s="4504">
        <f t="shared" si="14"/>
        <v>0.25023173448113339</v>
      </c>
      <c r="BU51" s="4504">
        <f t="shared" si="15"/>
        <v>0.25023173448113339</v>
      </c>
      <c r="BV51" s="4504">
        <f t="shared" si="16"/>
        <v>0.25023173448113339</v>
      </c>
      <c r="BW51" s="4504">
        <f t="shared" si="17"/>
        <v>0.25023173448113339</v>
      </c>
      <c r="BX51" s="4504">
        <f t="shared" si="18"/>
        <v>0.25023173448113339</v>
      </c>
      <c r="BY51" s="4504">
        <f t="shared" si="19"/>
        <v>0</v>
      </c>
      <c r="BZ51" s="4504">
        <f t="shared" si="20"/>
        <v>0</v>
      </c>
      <c r="CA51" s="4504">
        <f t="shared" si="21"/>
        <v>0</v>
      </c>
      <c r="CB51" s="4504">
        <f t="shared" si="22"/>
        <v>0</v>
      </c>
      <c r="CC51" s="4504">
        <f t="shared" si="23"/>
        <v>0</v>
      </c>
      <c r="CD51" s="4504">
        <f t="shared" si="24"/>
        <v>0</v>
      </c>
      <c r="CE51" s="4504">
        <f t="shared" si="25"/>
        <v>8.982680567903055E-2</v>
      </c>
      <c r="CF51" s="4504">
        <f t="shared" si="26"/>
        <v>7.6352784827175904E-3</v>
      </c>
      <c r="CG51" s="4504">
        <f t="shared" si="27"/>
        <v>7.6352784827175904E-3</v>
      </c>
      <c r="CH51" s="4504">
        <f t="shared" si="28"/>
        <v>7.6352784827175904E-3</v>
      </c>
      <c r="CI51" s="4504">
        <f t="shared" si="29"/>
        <v>7.6352784827175904E-3</v>
      </c>
      <c r="CJ51" s="4504">
        <f t="shared" si="30"/>
        <v>7.6352784827175904E-3</v>
      </c>
    </row>
    <row r="52" spans="1:88" s="683" customFormat="1" ht="15.9" customHeight="1">
      <c r="A52" s="839" t="s">
        <v>1226</v>
      </c>
      <c r="B52" s="3142" t="str">
        <f>'12. Разходи'!B52</f>
        <v>други разходи за външни услуги</v>
      </c>
      <c r="C52" s="3143">
        <f>'12. Разходи'!C52</f>
        <v>2.3130295589829104</v>
      </c>
      <c r="D52" s="1141">
        <f>'12. Разходи'!D52-'12. Разходи'!$C52</f>
        <v>7.1966075125135482</v>
      </c>
      <c r="E52" s="1121">
        <f>IFERROR(('12. Разходи'!D52-'12. Разходи'!$C52)/'12. Разходи'!$C52,0)</f>
        <v>3.1113340011435278</v>
      </c>
      <c r="F52" s="907">
        <f>'12. Разходи'!E52-'12. Разходи'!$C52</f>
        <v>7.1966075125135482</v>
      </c>
      <c r="G52" s="1129">
        <f>IFERROR(('12. Разходи'!E52-'12. Разходи'!$C52)/'12. Разходи'!$C52,0)</f>
        <v>3.1113340011435278</v>
      </c>
      <c r="H52" s="907">
        <f>'12. Разходи'!F52-'12. Разходи'!$C52</f>
        <v>7.1966075125135482</v>
      </c>
      <c r="I52" s="1129">
        <f>IFERROR(('12. Разходи'!F52-'12. Разходи'!$C52)/'12. Разходи'!$C52,0)</f>
        <v>3.1113340011435278</v>
      </c>
      <c r="J52" s="907">
        <f>'12. Разходи'!G52-'12. Разходи'!$C52</f>
        <v>7.1966075125135482</v>
      </c>
      <c r="K52" s="1128">
        <f>IFERROR(('12. Разходи'!G52-'12. Разходи'!$C52)/'12. Разходи'!$C52,0)</f>
        <v>3.1113340011435278</v>
      </c>
      <c r="L52" s="1136">
        <f>'12. Разходи'!H52-'12. Разходи'!$C52</f>
        <v>7.1966075125135482</v>
      </c>
      <c r="M52" s="1128">
        <f>IFERROR(('12. Разходи'!H52-'12. Разходи'!$C52)/'12. Разходи'!$C52,0)</f>
        <v>3.1113340011435278</v>
      </c>
      <c r="N52" s="1177">
        <f>'12. Разходи'!K52</f>
        <v>7.7656115840306148</v>
      </c>
      <c r="O52" s="1141">
        <f>'12. Разходи'!L52-'12. Разходи'!$K52</f>
        <v>0.66007698464260312</v>
      </c>
      <c r="P52" s="1121">
        <f>IFERROR(('12. Разходи'!L52-'12. Разходи'!$K52)/'12. Разходи'!$K52,0)</f>
        <v>8.5000000000000117E-2</v>
      </c>
      <c r="Q52" s="907">
        <f>'12. Разходи'!M52-'12. Разходи'!$K52</f>
        <v>0.66007698464260312</v>
      </c>
      <c r="R52" s="1129">
        <f>IFERROR(('12. Разходи'!M52-'12. Разходи'!$K52)/'12. Разходи'!$K52,0)</f>
        <v>8.5000000000000117E-2</v>
      </c>
      <c r="S52" s="907">
        <f>'12. Разходи'!N52-'12. Разходи'!$K52</f>
        <v>0.66007698464260312</v>
      </c>
      <c r="T52" s="1129">
        <f>IFERROR(('12. Разходи'!N52-'12. Разходи'!$K52)/'12. Разходи'!$K52,0)</f>
        <v>8.5000000000000117E-2</v>
      </c>
      <c r="U52" s="907">
        <f>'12. Разходи'!O52-'12. Разходи'!$K52</f>
        <v>0.66007698464260312</v>
      </c>
      <c r="V52" s="1128">
        <f>IFERROR(('12. Разходи'!O52-'12. Разходи'!$K52)/'12. Разходи'!$K52,0)</f>
        <v>8.5000000000000117E-2</v>
      </c>
      <c r="W52" s="1136">
        <f>'12. Разходи'!P52-'12. Разходи'!$K52</f>
        <v>0.66007698464260312</v>
      </c>
      <c r="X52" s="1183">
        <f>IFERROR(('12. Разходи'!P52-'12. Разходи'!$K52)/'12. Разходи'!$K52,0)</f>
        <v>8.5000000000000117E-2</v>
      </c>
      <c r="Y52" s="1177">
        <f>'12. Разходи'!S52</f>
        <v>5.7577733323557121</v>
      </c>
      <c r="Z52" s="1141">
        <f>'12. Разходи'!T52-'12. Разходи'!$S52</f>
        <v>0.4894107332502351</v>
      </c>
      <c r="AA52" s="1121">
        <f>IFERROR(('12. Разходи'!T52-'12. Разходи'!$S52)/'12. Разходи'!$S52,0)</f>
        <v>8.4999999999999923E-2</v>
      </c>
      <c r="AB52" s="907">
        <f>'12. Разходи'!U52-'12. Разходи'!$S52</f>
        <v>0.4894107332502351</v>
      </c>
      <c r="AC52" s="1129">
        <f>IFERROR(('12. Разходи'!U52-'12. Разходи'!$S52)/'12. Разходи'!$S52,0)</f>
        <v>8.4999999999999923E-2</v>
      </c>
      <c r="AD52" s="907">
        <f>'12. Разходи'!V52-'12. Разходи'!$S52</f>
        <v>0.4894107332502351</v>
      </c>
      <c r="AE52" s="1129">
        <f>IFERROR(('12. Разходи'!V52-'12. Разходи'!$S52)/'12. Разходи'!$S52,0)</f>
        <v>8.4999999999999923E-2</v>
      </c>
      <c r="AF52" s="907">
        <f>'12. Разходи'!W52-'12. Разходи'!$S52</f>
        <v>0.4894107332502351</v>
      </c>
      <c r="AG52" s="1128">
        <f>IFERROR(('12. Разходи'!W52-'12. Разходи'!$S52)/'12. Разходи'!$S52,0)</f>
        <v>8.4999999999999923E-2</v>
      </c>
      <c r="AH52" s="1136">
        <f>'12. Разходи'!X52-'12. Разходи'!$S52</f>
        <v>0.4894107332502351</v>
      </c>
      <c r="AI52" s="1183">
        <f>IFERROR(('12. Разходи'!X52-'12. Разходи'!$S52)/'12. Разходи'!$S52,0)</f>
        <v>8.4999999999999923E-2</v>
      </c>
      <c r="AJ52" s="1177">
        <f>'12. Разходи'!AA52</f>
        <v>0</v>
      </c>
      <c r="AK52" s="1141">
        <f>'12. Разходи'!AB52-'12. Разходи'!$AA52</f>
        <v>0</v>
      </c>
      <c r="AL52" s="1121">
        <f>IFERROR(('12. Разходи'!AB52-'12. Разходи'!$AA52)/'12. Разходи'!$AA52,0)</f>
        <v>0</v>
      </c>
      <c r="AM52" s="907">
        <f>'12. Разходи'!AC52-'12. Разходи'!$AA52</f>
        <v>0</v>
      </c>
      <c r="AN52" s="1129">
        <f>IFERROR(('12. Разходи'!AC52-'12. Разходи'!$AA52)/'12. Разходи'!$AA52,0)</f>
        <v>0</v>
      </c>
      <c r="AO52" s="907">
        <f>'12. Разходи'!AD52-'12. Разходи'!$AA52</f>
        <v>0</v>
      </c>
      <c r="AP52" s="1129">
        <f>IFERROR(('12. Разходи'!AD52-'12. Разходи'!$AA52)/'12. Разходи'!$AA52,0)</f>
        <v>0</v>
      </c>
      <c r="AQ52" s="907">
        <f>'12. Разходи'!AE52-'12. Разходи'!$AA52</f>
        <v>0</v>
      </c>
      <c r="AR52" s="1128">
        <f>IFERROR(('12. Разходи'!AE52-'12. Разходи'!$AA52)/'12. Разходи'!$AA52,0)</f>
        <v>0</v>
      </c>
      <c r="AS52" s="1136">
        <f>'12. Разходи'!AF52-'12. Разходи'!$AA52</f>
        <v>0</v>
      </c>
      <c r="AT52" s="1183">
        <f>IFERROR(('12. Разходи'!AF52-'12. Разходи'!$AA52)/'12. Разходи'!$AA52,0)</f>
        <v>0</v>
      </c>
      <c r="AU52" s="1177">
        <f>'12. Разходи'!AI52</f>
        <v>0.17568596135121831</v>
      </c>
      <c r="AV52" s="1141">
        <f>'12. Разходи'!AJ52-'12. Разходи'!$AI52</f>
        <v>1.4933306714853545E-2</v>
      </c>
      <c r="AW52" s="1121">
        <f>IFERROR(('12. Разходи'!AJ52-'12. Разходи'!$AI52)/'12. Разходи'!$AI52,0)</f>
        <v>8.4999999999999937E-2</v>
      </c>
      <c r="AX52" s="907">
        <f>'12. Разходи'!AK52-'12. Разходи'!$AI52</f>
        <v>1.4933306714853545E-2</v>
      </c>
      <c r="AY52" s="1129">
        <f>IFERROR(('12. Разходи'!AK52-'12. Разходи'!$AI52)/'12. Разходи'!$AI52,0)</f>
        <v>8.4999999999999937E-2</v>
      </c>
      <c r="AZ52" s="907">
        <f>'12. Разходи'!AL52-'12. Разходи'!$AI52</f>
        <v>1.4933306714853545E-2</v>
      </c>
      <c r="BA52" s="1129">
        <f>IFERROR(('12. Разходи'!AL52-'12. Разходи'!$AI52)/'12. Разходи'!$AI52,0)</f>
        <v>8.4999999999999937E-2</v>
      </c>
      <c r="BB52" s="907">
        <f>'12. Разходи'!AM52-'12. Разходи'!$AI52</f>
        <v>1.4933306714853545E-2</v>
      </c>
      <c r="BC52" s="1128">
        <f>IFERROR(('12. Разходи'!AM52-'12. Разходи'!$AI52)/'12. Разходи'!$AI52,0)</f>
        <v>8.4999999999999937E-2</v>
      </c>
      <c r="BD52" s="1136">
        <f>'12. Разходи'!AN52-'12. Разходи'!$AI52</f>
        <v>1.4933306714853545E-2</v>
      </c>
      <c r="BE52" s="1183">
        <f>IFERROR(('12. Разходи'!AN52-'12. Разходи'!$AI52)/'12. Разходи'!$AI52,0)</f>
        <v>8.4999999999999937E-2</v>
      </c>
      <c r="BF52" s="4488"/>
      <c r="BG52" s="4504">
        <f t="shared" si="1"/>
        <v>1.1826332344748318</v>
      </c>
      <c r="BH52" s="4504">
        <f t="shared" si="2"/>
        <v>3.6795669933038906</v>
      </c>
      <c r="BI52" s="4504">
        <f t="shared" si="3"/>
        <v>3.6795669933038906</v>
      </c>
      <c r="BJ52" s="4504">
        <f t="shared" si="4"/>
        <v>3.6795669933038906</v>
      </c>
      <c r="BK52" s="4504">
        <f t="shared" si="5"/>
        <v>3.6795669933038906</v>
      </c>
      <c r="BL52" s="4504">
        <f t="shared" si="6"/>
        <v>3.6795669933038906</v>
      </c>
      <c r="BM52" s="4504">
        <f t="shared" si="7"/>
        <v>3.9704941554381592</v>
      </c>
      <c r="BN52" s="4504">
        <f t="shared" si="8"/>
        <v>0.33749200321224399</v>
      </c>
      <c r="BO52" s="4504">
        <f t="shared" si="9"/>
        <v>0.33749200321224399</v>
      </c>
      <c r="BP52" s="4504">
        <f t="shared" si="10"/>
        <v>0.33749200321224399</v>
      </c>
      <c r="BQ52" s="4504">
        <f t="shared" si="11"/>
        <v>0.33749200321224399</v>
      </c>
      <c r="BR52" s="4504">
        <f t="shared" si="12"/>
        <v>0.33749200321224399</v>
      </c>
      <c r="BS52" s="4504">
        <f t="shared" si="13"/>
        <v>2.9439027586015718</v>
      </c>
      <c r="BT52" s="4504">
        <f t="shared" si="14"/>
        <v>0.25023173448113339</v>
      </c>
      <c r="BU52" s="4504">
        <f t="shared" si="15"/>
        <v>0.25023173448113339</v>
      </c>
      <c r="BV52" s="4504">
        <f t="shared" si="16"/>
        <v>0.25023173448113339</v>
      </c>
      <c r="BW52" s="4504">
        <f t="shared" si="17"/>
        <v>0.25023173448113339</v>
      </c>
      <c r="BX52" s="4504">
        <f t="shared" si="18"/>
        <v>0.25023173448113339</v>
      </c>
      <c r="BY52" s="4504">
        <f t="shared" si="19"/>
        <v>0</v>
      </c>
      <c r="BZ52" s="4504">
        <f t="shared" si="20"/>
        <v>0</v>
      </c>
      <c r="CA52" s="4504">
        <f t="shared" si="21"/>
        <v>0</v>
      </c>
      <c r="CB52" s="4504">
        <f t="shared" si="22"/>
        <v>0</v>
      </c>
      <c r="CC52" s="4504">
        <f t="shared" si="23"/>
        <v>0</v>
      </c>
      <c r="CD52" s="4504">
        <f t="shared" si="24"/>
        <v>0</v>
      </c>
      <c r="CE52" s="4504">
        <f t="shared" si="25"/>
        <v>8.982680567903055E-2</v>
      </c>
      <c r="CF52" s="4504">
        <f t="shared" si="26"/>
        <v>7.6352784827175904E-3</v>
      </c>
      <c r="CG52" s="4504">
        <f t="shared" si="27"/>
        <v>7.6352784827175904E-3</v>
      </c>
      <c r="CH52" s="4504">
        <f t="shared" si="28"/>
        <v>7.6352784827175904E-3</v>
      </c>
      <c r="CI52" s="4504">
        <f t="shared" si="29"/>
        <v>7.6352784827175904E-3</v>
      </c>
      <c r="CJ52" s="4504">
        <f t="shared" si="30"/>
        <v>7.6352784827175904E-3</v>
      </c>
    </row>
    <row r="53" spans="1:88" s="683" customFormat="1" ht="15.9" customHeight="1">
      <c r="A53" s="841" t="s">
        <v>1227</v>
      </c>
      <c r="B53" s="3142">
        <f>'12. Разходи'!B53</f>
        <v>0</v>
      </c>
      <c r="C53" s="3143">
        <f>'12. Разходи'!C53</f>
        <v>0</v>
      </c>
      <c r="D53" s="1141">
        <f>'12. Разходи'!D53-'12. Разходи'!$C53</f>
        <v>0</v>
      </c>
      <c r="E53" s="1121">
        <f>IFERROR(('12. Разходи'!D53-'12. Разходи'!$C53)/'12. Разходи'!$C53,0)</f>
        <v>0</v>
      </c>
      <c r="F53" s="907">
        <f>'12. Разходи'!E53-'12. Разходи'!$C53</f>
        <v>0</v>
      </c>
      <c r="G53" s="1129">
        <f>IFERROR(('12. Разходи'!E53-'12. Разходи'!$C53)/'12. Разходи'!$C53,0)</f>
        <v>0</v>
      </c>
      <c r="H53" s="907">
        <f>'12. Разходи'!F53-'12. Разходи'!$C53</f>
        <v>0</v>
      </c>
      <c r="I53" s="1129">
        <f>IFERROR(('12. Разходи'!F53-'12. Разходи'!$C53)/'12. Разходи'!$C53,0)</f>
        <v>0</v>
      </c>
      <c r="J53" s="907">
        <f>'12. Разходи'!G53-'12. Разходи'!$C53</f>
        <v>0</v>
      </c>
      <c r="K53" s="1128">
        <f>IFERROR(('12. Разходи'!G53-'12. Разходи'!$C53)/'12. Разходи'!$C53,0)</f>
        <v>0</v>
      </c>
      <c r="L53" s="1136">
        <f>'12. Разходи'!H53-'12. Разходи'!$C53</f>
        <v>0</v>
      </c>
      <c r="M53" s="1128">
        <f>IFERROR(('12. Разходи'!H53-'12. Разходи'!$C53)/'12. Разходи'!$C53,0)</f>
        <v>0</v>
      </c>
      <c r="N53" s="1177">
        <f>'12. Разходи'!K53</f>
        <v>0</v>
      </c>
      <c r="O53" s="1141">
        <f>'12. Разходи'!L53-'12. Разходи'!$K53</f>
        <v>0</v>
      </c>
      <c r="P53" s="1121">
        <f>IFERROR(('12. Разходи'!L53-'12. Разходи'!$K53)/'12. Разходи'!$K53,0)</f>
        <v>0</v>
      </c>
      <c r="Q53" s="907">
        <f>'12. Разходи'!M53-'12. Разходи'!$K53</f>
        <v>0</v>
      </c>
      <c r="R53" s="1129">
        <f>IFERROR(('12. Разходи'!M53-'12. Разходи'!$K53)/'12. Разходи'!$K53,0)</f>
        <v>0</v>
      </c>
      <c r="S53" s="907">
        <f>'12. Разходи'!N53-'12. Разходи'!$K53</f>
        <v>0</v>
      </c>
      <c r="T53" s="1129">
        <f>IFERROR(('12. Разходи'!N53-'12. Разходи'!$K53)/'12. Разходи'!$K53,0)</f>
        <v>0</v>
      </c>
      <c r="U53" s="907">
        <f>'12. Разходи'!O53-'12. Разходи'!$K53</f>
        <v>0</v>
      </c>
      <c r="V53" s="1128">
        <f>IFERROR(('12. Разходи'!O53-'12. Разходи'!$K53)/'12. Разходи'!$K53,0)</f>
        <v>0</v>
      </c>
      <c r="W53" s="1136">
        <f>'12. Разходи'!P53-'12. Разходи'!$K53</f>
        <v>0</v>
      </c>
      <c r="X53" s="1183">
        <f>IFERROR(('12. Разходи'!P53-'12. Разходи'!$K53)/'12. Разходи'!$K53,0)</f>
        <v>0</v>
      </c>
      <c r="Y53" s="1177">
        <f>'12. Разходи'!S53</f>
        <v>0</v>
      </c>
      <c r="Z53" s="1141">
        <f>'12. Разходи'!T53-'12. Разходи'!$S53</f>
        <v>0</v>
      </c>
      <c r="AA53" s="1121">
        <f>IFERROR(('12. Разходи'!T53-'12. Разходи'!$S53)/'12. Разходи'!$S53,0)</f>
        <v>0</v>
      </c>
      <c r="AB53" s="907">
        <f>'12. Разходи'!U53-'12. Разходи'!$S53</f>
        <v>0</v>
      </c>
      <c r="AC53" s="1129">
        <f>IFERROR(('12. Разходи'!U53-'12. Разходи'!$S53)/'12. Разходи'!$S53,0)</f>
        <v>0</v>
      </c>
      <c r="AD53" s="907">
        <f>'12. Разходи'!V53-'12. Разходи'!$S53</f>
        <v>0</v>
      </c>
      <c r="AE53" s="1129">
        <f>IFERROR(('12. Разходи'!V53-'12. Разходи'!$S53)/'12. Разходи'!$S53,0)</f>
        <v>0</v>
      </c>
      <c r="AF53" s="907">
        <f>'12. Разходи'!W53-'12. Разходи'!$S53</f>
        <v>0</v>
      </c>
      <c r="AG53" s="1128">
        <f>IFERROR(('12. Разходи'!W53-'12. Разходи'!$S53)/'12. Разходи'!$S53,0)</f>
        <v>0</v>
      </c>
      <c r="AH53" s="1136">
        <f>'12. Разходи'!X53-'12. Разходи'!$S53</f>
        <v>0</v>
      </c>
      <c r="AI53" s="1183">
        <f>IFERROR(('12. Разходи'!X53-'12. Разходи'!$S53)/'12. Разходи'!$S53,0)</f>
        <v>0</v>
      </c>
      <c r="AJ53" s="1177">
        <f>'12. Разходи'!AA53</f>
        <v>0</v>
      </c>
      <c r="AK53" s="1141">
        <f>'12. Разходи'!AB53-'12. Разходи'!$AA53</f>
        <v>0</v>
      </c>
      <c r="AL53" s="1121">
        <f>IFERROR(('12. Разходи'!AB53-'12. Разходи'!$AA53)/'12. Разходи'!$AA53,0)</f>
        <v>0</v>
      </c>
      <c r="AM53" s="907">
        <f>'12. Разходи'!AC53-'12. Разходи'!$AA53</f>
        <v>0</v>
      </c>
      <c r="AN53" s="1129">
        <f>IFERROR(('12. Разходи'!AC53-'12. Разходи'!$AA53)/'12. Разходи'!$AA53,0)</f>
        <v>0</v>
      </c>
      <c r="AO53" s="907">
        <f>'12. Разходи'!AD53-'12. Разходи'!$AA53</f>
        <v>0</v>
      </c>
      <c r="AP53" s="1129">
        <f>IFERROR(('12. Разходи'!AD53-'12. Разходи'!$AA53)/'12. Разходи'!$AA53,0)</f>
        <v>0</v>
      </c>
      <c r="AQ53" s="907">
        <f>'12. Разходи'!AE53-'12. Разходи'!$AA53</f>
        <v>0</v>
      </c>
      <c r="AR53" s="1128">
        <f>IFERROR(('12. Разходи'!AE53-'12. Разходи'!$AA53)/'12. Разходи'!$AA53,0)</f>
        <v>0</v>
      </c>
      <c r="AS53" s="1136">
        <f>'12. Разходи'!AF53-'12. Разходи'!$AA53</f>
        <v>0</v>
      </c>
      <c r="AT53" s="1183">
        <f>IFERROR(('12. Разходи'!AF53-'12. Разходи'!$AA53)/'12. Разходи'!$AA53,0)</f>
        <v>0</v>
      </c>
      <c r="AU53" s="1177">
        <f>'12. Разходи'!AI53</f>
        <v>0</v>
      </c>
      <c r="AV53" s="1141">
        <f>'12. Разходи'!AJ53-'12. Разходи'!$AI53</f>
        <v>0</v>
      </c>
      <c r="AW53" s="1121">
        <f>IFERROR(('12. Разходи'!AJ53-'12. Разходи'!$AI53)/'12. Разходи'!$AI53,0)</f>
        <v>0</v>
      </c>
      <c r="AX53" s="907">
        <f>'12. Разходи'!AK53-'12. Разходи'!$AI53</f>
        <v>0</v>
      </c>
      <c r="AY53" s="1129">
        <f>IFERROR(('12. Разходи'!AK53-'12. Разходи'!$AI53)/'12. Разходи'!$AI53,0)</f>
        <v>0</v>
      </c>
      <c r="AZ53" s="907">
        <f>'12. Разходи'!AL53-'12. Разходи'!$AI53</f>
        <v>0</v>
      </c>
      <c r="BA53" s="1129">
        <f>IFERROR(('12. Разходи'!AL53-'12. Разходи'!$AI53)/'12. Разходи'!$AI53,0)</f>
        <v>0</v>
      </c>
      <c r="BB53" s="907">
        <f>'12. Разходи'!AM53-'12. Разходи'!$AI53</f>
        <v>0</v>
      </c>
      <c r="BC53" s="1128">
        <f>IFERROR(('12. Разходи'!AM53-'12. Разходи'!$AI53)/'12. Разходи'!$AI53,0)</f>
        <v>0</v>
      </c>
      <c r="BD53" s="1136">
        <f>'12. Разходи'!AN53-'12. Разходи'!$AI53</f>
        <v>0</v>
      </c>
      <c r="BE53" s="1183">
        <f>IFERROR(('12. Разходи'!AN53-'12. Разходи'!$AI53)/'12. Разходи'!$AI53,0)</f>
        <v>0</v>
      </c>
      <c r="BF53" s="4488"/>
      <c r="BG53" s="4504">
        <f t="shared" si="1"/>
        <v>0</v>
      </c>
      <c r="BH53" s="4504">
        <f t="shared" si="2"/>
        <v>0</v>
      </c>
      <c r="BI53" s="4504">
        <f t="shared" si="3"/>
        <v>0</v>
      </c>
      <c r="BJ53" s="4504">
        <f t="shared" si="4"/>
        <v>0</v>
      </c>
      <c r="BK53" s="4504">
        <f t="shared" si="5"/>
        <v>0</v>
      </c>
      <c r="BL53" s="4504">
        <f t="shared" si="6"/>
        <v>0</v>
      </c>
      <c r="BM53" s="4504">
        <f t="shared" si="7"/>
        <v>0</v>
      </c>
      <c r="BN53" s="4504">
        <f t="shared" si="8"/>
        <v>0</v>
      </c>
      <c r="BO53" s="4504">
        <f t="shared" si="9"/>
        <v>0</v>
      </c>
      <c r="BP53" s="4504">
        <f t="shared" si="10"/>
        <v>0</v>
      </c>
      <c r="BQ53" s="4504">
        <f t="shared" si="11"/>
        <v>0</v>
      </c>
      <c r="BR53" s="4504">
        <f t="shared" si="12"/>
        <v>0</v>
      </c>
      <c r="BS53" s="4504">
        <f t="shared" si="13"/>
        <v>0</v>
      </c>
      <c r="BT53" s="4504">
        <f t="shared" si="14"/>
        <v>0</v>
      </c>
      <c r="BU53" s="4504">
        <f t="shared" si="15"/>
        <v>0</v>
      </c>
      <c r="BV53" s="4504">
        <f t="shared" si="16"/>
        <v>0</v>
      </c>
      <c r="BW53" s="4504">
        <f t="shared" si="17"/>
        <v>0</v>
      </c>
      <c r="BX53" s="4504">
        <f t="shared" si="18"/>
        <v>0</v>
      </c>
      <c r="BY53" s="4504">
        <f t="shared" si="19"/>
        <v>0</v>
      </c>
      <c r="BZ53" s="4504">
        <f t="shared" si="20"/>
        <v>0</v>
      </c>
      <c r="CA53" s="4504">
        <f t="shared" si="21"/>
        <v>0</v>
      </c>
      <c r="CB53" s="4504">
        <f t="shared" si="22"/>
        <v>0</v>
      </c>
      <c r="CC53" s="4504">
        <f t="shared" si="23"/>
        <v>0</v>
      </c>
      <c r="CD53" s="4504">
        <f t="shared" si="24"/>
        <v>0</v>
      </c>
      <c r="CE53" s="4504">
        <f t="shared" si="25"/>
        <v>0</v>
      </c>
      <c r="CF53" s="4504">
        <f t="shared" si="26"/>
        <v>0</v>
      </c>
      <c r="CG53" s="4504">
        <f t="shared" si="27"/>
        <v>0</v>
      </c>
      <c r="CH53" s="4504">
        <f t="shared" si="28"/>
        <v>0</v>
      </c>
      <c r="CI53" s="4504">
        <f t="shared" si="29"/>
        <v>0</v>
      </c>
      <c r="CJ53" s="4504">
        <f t="shared" si="30"/>
        <v>0</v>
      </c>
    </row>
    <row r="54" spans="1:88" s="683" customFormat="1" ht="15.9" customHeight="1" thickBot="1">
      <c r="A54" s="899" t="s">
        <v>1228</v>
      </c>
      <c r="B54" s="3142">
        <f>'12. Разходи'!B54</f>
        <v>0</v>
      </c>
      <c r="C54" s="3143">
        <f>'12. Разходи'!C54</f>
        <v>0</v>
      </c>
      <c r="D54" s="1141">
        <f>'12. Разходи'!D54-'12. Разходи'!$C54</f>
        <v>0</v>
      </c>
      <c r="E54" s="1121">
        <f>IFERROR(('12. Разходи'!D54-'12. Разходи'!$C54)/'12. Разходи'!$C54,0)</f>
        <v>0</v>
      </c>
      <c r="F54" s="907">
        <f>'12. Разходи'!E54-'12. Разходи'!$C54</f>
        <v>0</v>
      </c>
      <c r="G54" s="1129">
        <f>IFERROR(('12. Разходи'!E54-'12. Разходи'!$C54)/'12. Разходи'!$C54,0)</f>
        <v>0</v>
      </c>
      <c r="H54" s="907">
        <f>'12. Разходи'!F54-'12. Разходи'!$C54</f>
        <v>0</v>
      </c>
      <c r="I54" s="1129">
        <f>IFERROR(('12. Разходи'!F54-'12. Разходи'!$C54)/'12. Разходи'!$C54,0)</f>
        <v>0</v>
      </c>
      <c r="J54" s="907">
        <f>'12. Разходи'!G54-'12. Разходи'!$C54</f>
        <v>0</v>
      </c>
      <c r="K54" s="1128">
        <f>IFERROR(('12. Разходи'!G54-'12. Разходи'!$C54)/'12. Разходи'!$C54,0)</f>
        <v>0</v>
      </c>
      <c r="L54" s="1136">
        <f>'12. Разходи'!H54-'12. Разходи'!$C54</f>
        <v>0</v>
      </c>
      <c r="M54" s="1128">
        <f>IFERROR(('12. Разходи'!H54-'12. Разходи'!$C54)/'12. Разходи'!$C54,0)</f>
        <v>0</v>
      </c>
      <c r="N54" s="1177">
        <f>'12. Разходи'!K54</f>
        <v>0</v>
      </c>
      <c r="O54" s="1141">
        <f>'12. Разходи'!L54-'12. Разходи'!$K54</f>
        <v>0</v>
      </c>
      <c r="P54" s="1121">
        <f>IFERROR(('12. Разходи'!L54-'12. Разходи'!$K54)/'12. Разходи'!$K54,0)</f>
        <v>0</v>
      </c>
      <c r="Q54" s="907">
        <f>'12. Разходи'!M54-'12. Разходи'!$K54</f>
        <v>0</v>
      </c>
      <c r="R54" s="1129">
        <f>IFERROR(('12. Разходи'!M54-'12. Разходи'!$K54)/'12. Разходи'!$K54,0)</f>
        <v>0</v>
      </c>
      <c r="S54" s="907">
        <f>'12. Разходи'!N54-'12. Разходи'!$K54</f>
        <v>0</v>
      </c>
      <c r="T54" s="1129">
        <f>IFERROR(('12. Разходи'!N54-'12. Разходи'!$K54)/'12. Разходи'!$K54,0)</f>
        <v>0</v>
      </c>
      <c r="U54" s="907">
        <f>'12. Разходи'!O54-'12. Разходи'!$K54</f>
        <v>0</v>
      </c>
      <c r="V54" s="1128">
        <f>IFERROR(('12. Разходи'!O54-'12. Разходи'!$K54)/'12. Разходи'!$K54,0)</f>
        <v>0</v>
      </c>
      <c r="W54" s="1136">
        <f>'12. Разходи'!P54-'12. Разходи'!$K54</f>
        <v>0</v>
      </c>
      <c r="X54" s="1183">
        <f>IFERROR(('12. Разходи'!P54-'12. Разходи'!$K54)/'12. Разходи'!$K54,0)</f>
        <v>0</v>
      </c>
      <c r="Y54" s="1177">
        <f>'12. Разходи'!S54</f>
        <v>0</v>
      </c>
      <c r="Z54" s="1141">
        <f>'12. Разходи'!T54-'12. Разходи'!$S54</f>
        <v>0</v>
      </c>
      <c r="AA54" s="1121">
        <f>IFERROR(('12. Разходи'!T54-'12. Разходи'!$S54)/'12. Разходи'!$S54,0)</f>
        <v>0</v>
      </c>
      <c r="AB54" s="907">
        <f>'12. Разходи'!U54-'12. Разходи'!$S54</f>
        <v>0</v>
      </c>
      <c r="AC54" s="1129">
        <f>IFERROR(('12. Разходи'!U54-'12. Разходи'!$S54)/'12. Разходи'!$S54,0)</f>
        <v>0</v>
      </c>
      <c r="AD54" s="907">
        <f>'12. Разходи'!V54-'12. Разходи'!$S54</f>
        <v>0</v>
      </c>
      <c r="AE54" s="1129">
        <f>IFERROR(('12. Разходи'!V54-'12. Разходи'!$S54)/'12. Разходи'!$S54,0)</f>
        <v>0</v>
      </c>
      <c r="AF54" s="907">
        <f>'12. Разходи'!W54-'12. Разходи'!$S54</f>
        <v>0</v>
      </c>
      <c r="AG54" s="1128">
        <f>IFERROR(('12. Разходи'!W54-'12. Разходи'!$S54)/'12. Разходи'!$S54,0)</f>
        <v>0</v>
      </c>
      <c r="AH54" s="1136">
        <f>'12. Разходи'!X54-'12. Разходи'!$S54</f>
        <v>0</v>
      </c>
      <c r="AI54" s="1183">
        <f>IFERROR(('12. Разходи'!X54-'12. Разходи'!$S54)/'12. Разходи'!$S54,0)</f>
        <v>0</v>
      </c>
      <c r="AJ54" s="1177">
        <f>'12. Разходи'!AA54</f>
        <v>0</v>
      </c>
      <c r="AK54" s="1141">
        <f>'12. Разходи'!AB54-'12. Разходи'!$AA54</f>
        <v>0</v>
      </c>
      <c r="AL54" s="1121">
        <f>IFERROR(('12. Разходи'!AB54-'12. Разходи'!$AA54)/'12. Разходи'!$AA54,0)</f>
        <v>0</v>
      </c>
      <c r="AM54" s="907">
        <f>'12. Разходи'!AC54-'12. Разходи'!$AA54</f>
        <v>0</v>
      </c>
      <c r="AN54" s="1129">
        <f>IFERROR(('12. Разходи'!AC54-'12. Разходи'!$AA54)/'12. Разходи'!$AA54,0)</f>
        <v>0</v>
      </c>
      <c r="AO54" s="907">
        <f>'12. Разходи'!AD54-'12. Разходи'!$AA54</f>
        <v>0</v>
      </c>
      <c r="AP54" s="1129">
        <f>IFERROR(('12. Разходи'!AD54-'12. Разходи'!$AA54)/'12. Разходи'!$AA54,0)</f>
        <v>0</v>
      </c>
      <c r="AQ54" s="907">
        <f>'12. Разходи'!AE54-'12. Разходи'!$AA54</f>
        <v>0</v>
      </c>
      <c r="AR54" s="1128">
        <f>IFERROR(('12. Разходи'!AE54-'12. Разходи'!$AA54)/'12. Разходи'!$AA54,0)</f>
        <v>0</v>
      </c>
      <c r="AS54" s="1136">
        <f>'12. Разходи'!AF54-'12. Разходи'!$AA54</f>
        <v>0</v>
      </c>
      <c r="AT54" s="1183">
        <f>IFERROR(('12. Разходи'!AF54-'12. Разходи'!$AA54)/'12. Разходи'!$AA54,0)</f>
        <v>0</v>
      </c>
      <c r="AU54" s="1177">
        <f>'12. Разходи'!AI54</f>
        <v>0</v>
      </c>
      <c r="AV54" s="1141">
        <f>'12. Разходи'!AJ54-'12. Разходи'!$AI54</f>
        <v>0</v>
      </c>
      <c r="AW54" s="1121">
        <f>IFERROR(('12. Разходи'!AJ54-'12. Разходи'!$AI54)/'12. Разходи'!$AI54,0)</f>
        <v>0</v>
      </c>
      <c r="AX54" s="907">
        <f>'12. Разходи'!AK54-'12. Разходи'!$AI54</f>
        <v>0</v>
      </c>
      <c r="AY54" s="1129">
        <f>IFERROR(('12. Разходи'!AK54-'12. Разходи'!$AI54)/'12. Разходи'!$AI54,0)</f>
        <v>0</v>
      </c>
      <c r="AZ54" s="907">
        <f>'12. Разходи'!AL54-'12. Разходи'!$AI54</f>
        <v>0</v>
      </c>
      <c r="BA54" s="1129">
        <f>IFERROR(('12. Разходи'!AL54-'12. Разходи'!$AI54)/'12. Разходи'!$AI54,0)</f>
        <v>0</v>
      </c>
      <c r="BB54" s="907">
        <f>'12. Разходи'!AM54-'12. Разходи'!$AI54</f>
        <v>0</v>
      </c>
      <c r="BC54" s="1128">
        <f>IFERROR(('12. Разходи'!AM54-'12. Разходи'!$AI54)/'12. Разходи'!$AI54,0)</f>
        <v>0</v>
      </c>
      <c r="BD54" s="1136">
        <f>'12. Разходи'!AN54-'12. Разходи'!$AI54</f>
        <v>0</v>
      </c>
      <c r="BE54" s="1183">
        <f>IFERROR(('12. Разходи'!AN54-'12. Разходи'!$AI54)/'12. Разходи'!$AI54,0)</f>
        <v>0</v>
      </c>
      <c r="BF54" s="4488"/>
      <c r="BG54" s="4504">
        <f t="shared" si="1"/>
        <v>0</v>
      </c>
      <c r="BH54" s="4504">
        <f t="shared" si="2"/>
        <v>0</v>
      </c>
      <c r="BI54" s="4504">
        <f t="shared" si="3"/>
        <v>0</v>
      </c>
      <c r="BJ54" s="4504">
        <f t="shared" si="4"/>
        <v>0</v>
      </c>
      <c r="BK54" s="4504">
        <f t="shared" si="5"/>
        <v>0</v>
      </c>
      <c r="BL54" s="4504">
        <f t="shared" si="6"/>
        <v>0</v>
      </c>
      <c r="BM54" s="4504">
        <f t="shared" si="7"/>
        <v>0</v>
      </c>
      <c r="BN54" s="4504">
        <f t="shared" si="8"/>
        <v>0</v>
      </c>
      <c r="BO54" s="4504">
        <f t="shared" si="9"/>
        <v>0</v>
      </c>
      <c r="BP54" s="4504">
        <f t="shared" si="10"/>
        <v>0</v>
      </c>
      <c r="BQ54" s="4504">
        <f t="shared" si="11"/>
        <v>0</v>
      </c>
      <c r="BR54" s="4504">
        <f t="shared" si="12"/>
        <v>0</v>
      </c>
      <c r="BS54" s="4504">
        <f t="shared" si="13"/>
        <v>0</v>
      </c>
      <c r="BT54" s="4504">
        <f t="shared" si="14"/>
        <v>0</v>
      </c>
      <c r="BU54" s="4504">
        <f t="shared" si="15"/>
        <v>0</v>
      </c>
      <c r="BV54" s="4504">
        <f t="shared" si="16"/>
        <v>0</v>
      </c>
      <c r="BW54" s="4504">
        <f t="shared" si="17"/>
        <v>0</v>
      </c>
      <c r="BX54" s="4504">
        <f t="shared" si="18"/>
        <v>0</v>
      </c>
      <c r="BY54" s="4504">
        <f t="shared" si="19"/>
        <v>0</v>
      </c>
      <c r="BZ54" s="4504">
        <f t="shared" si="20"/>
        <v>0</v>
      </c>
      <c r="CA54" s="4504">
        <f t="shared" si="21"/>
        <v>0</v>
      </c>
      <c r="CB54" s="4504">
        <f t="shared" si="22"/>
        <v>0</v>
      </c>
      <c r="CC54" s="4504">
        <f t="shared" si="23"/>
        <v>0</v>
      </c>
      <c r="CD54" s="4504">
        <f t="shared" si="24"/>
        <v>0</v>
      </c>
      <c r="CE54" s="4504">
        <f t="shared" si="25"/>
        <v>0</v>
      </c>
      <c r="CF54" s="4504">
        <f t="shared" si="26"/>
        <v>0</v>
      </c>
      <c r="CG54" s="4504">
        <f t="shared" si="27"/>
        <v>0</v>
      </c>
      <c r="CH54" s="4504">
        <f t="shared" si="28"/>
        <v>0</v>
      </c>
      <c r="CI54" s="4504">
        <f t="shared" si="29"/>
        <v>0</v>
      </c>
      <c r="CJ54" s="4504">
        <f t="shared" si="30"/>
        <v>0</v>
      </c>
    </row>
    <row r="55" spans="1:88" s="1160" customFormat="1" ht="15.9" customHeight="1" thickBot="1">
      <c r="A55" s="110">
        <v>3</v>
      </c>
      <c r="B55" s="894" t="s">
        <v>446</v>
      </c>
      <c r="C55" s="1110">
        <f>'12. Разходи'!C55</f>
        <v>906.89258219512067</v>
      </c>
      <c r="D55" s="1148">
        <f>'12. Разходи'!D55-'12. Разходи'!$C55</f>
        <v>7.287769526221723</v>
      </c>
      <c r="E55" s="875">
        <f>IFERROR(('12. Разходи'!D55-'12. Разходи'!$C55)/'12. Разходи'!$C55,0)</f>
        <v>8.0359787579051319E-3</v>
      </c>
      <c r="F55" s="1147">
        <f>'12. Разходи'!E55-'12. Разходи'!$C55</f>
        <v>16.068425309681061</v>
      </c>
      <c r="G55" s="875">
        <f>IFERROR(('12. Разходи'!E55-'12. Разходи'!$C55)/'12. Разходи'!$C55,0)</f>
        <v>1.7718113065593351E-2</v>
      </c>
      <c r="H55" s="1147">
        <f>'12. Разходи'!F55-'12. Разходи'!$C55</f>
        <v>-28.383496136486428</v>
      </c>
      <c r="I55" s="884">
        <f>IFERROR(('12. Разходи'!F55-'12. Разходи'!$C55)/'12. Разходи'!$C55,0)</f>
        <v>-3.1297528167872513E-2</v>
      </c>
      <c r="J55" s="1150">
        <f>'12. Разходи'!G55-'12. Разходи'!$C55</f>
        <v>-37.954558174552631</v>
      </c>
      <c r="K55" s="884">
        <f>IFERROR(('12. Разходи'!G55-'12. Разходи'!$C55)/'12. Разходи'!$C55,0)</f>
        <v>-4.1851216913346187E-2</v>
      </c>
      <c r="L55" s="1147">
        <f>'12. Разходи'!H55-'12. Разходи'!$C55</f>
        <v>-45.506707321586646</v>
      </c>
      <c r="M55" s="884">
        <f>IFERROR(('12. Разходи'!H55-'12. Разходи'!$C55)/'12. Разходи'!$C55,0)</f>
        <v>-5.0178718202147275E-2</v>
      </c>
      <c r="N55" s="1161">
        <f>'12. Разходи'!K55</f>
        <v>55.90684802055199</v>
      </c>
      <c r="O55" s="1148">
        <f>'12. Разходи'!L55-'12. Разходи'!$K55</f>
        <v>10.3724687939673</v>
      </c>
      <c r="P55" s="875">
        <f>IFERROR(('12. Разходи'!L55-'12. Разходи'!$K55)/'12. Разходи'!$K55,0)</f>
        <v>0.18553127499075361</v>
      </c>
      <c r="Q55" s="1147">
        <f>'12. Разходи'!M55-'12. Разходи'!$K55</f>
        <v>10.748372740222109</v>
      </c>
      <c r="R55" s="875">
        <f>IFERROR(('12. Разходи'!M55-'12. Разходи'!$K55)/'12. Разходи'!$K55,0)</f>
        <v>0.19225502994321708</v>
      </c>
      <c r="S55" s="1147">
        <f>'12. Разходи'!N55-'12. Разходи'!$K55</f>
        <v>11.139203858614522</v>
      </c>
      <c r="T55" s="884">
        <f>IFERROR(('12. Разходи'!N55-'12. Разходи'!$K55)/'12. Разходи'!$K55,0)</f>
        <v>0.19924578567762619</v>
      </c>
      <c r="U55" s="1150">
        <f>'12. Разходи'!O55-'12. Разходи'!$K55</f>
        <v>11.545870629292992</v>
      </c>
      <c r="V55" s="884">
        <f>IFERROR(('12. Разходи'!O55-'12. Разходи'!$K55)/'12. Разходи'!$K55,0)</f>
        <v>0.20651979208430063</v>
      </c>
      <c r="W55" s="1147">
        <f>'12. Разходи'!P55-'12. Разходи'!$K55</f>
        <v>11.928309004292117</v>
      </c>
      <c r="X55" s="820">
        <f>IFERROR(('12. Разходи'!P55-'12. Разходи'!$K55)/'12. Разходи'!$K55,0)</f>
        <v>0.21336042768691119</v>
      </c>
      <c r="Y55" s="1161">
        <f>'12. Разходи'!S55</f>
        <v>128.62337155499634</v>
      </c>
      <c r="Z55" s="1148">
        <f>'12. Разходи'!T55-'12. Разходи'!$S55</f>
        <v>-32.513288924871901</v>
      </c>
      <c r="AA55" s="875">
        <f>IFERROR(('12. Разходи'!T55-'12. Разходи'!$S55)/'12. Разходи'!$S55,0)</f>
        <v>-0.25277901311248074</v>
      </c>
      <c r="AB55" s="1147">
        <f>'12. Разходи'!U55-'12. Разходи'!$S55</f>
        <v>-32.049848654585929</v>
      </c>
      <c r="AC55" s="875">
        <f>IFERROR(('12. Разходи'!U55-'12. Разходи'!$S55)/'12. Разходи'!$S55,0)</f>
        <v>-0.24917593332470037</v>
      </c>
      <c r="AD55" s="1147">
        <f>'12. Разходи'!V55-'12. Разходи'!$S55</f>
        <v>-35.044129961538601</v>
      </c>
      <c r="AE55" s="884">
        <f>IFERROR(('12. Разходи'!V55-'12. Разходи'!$S55)/'12. Разходи'!$S55,0)</f>
        <v>-0.27245538301376709</v>
      </c>
      <c r="AF55" s="1150">
        <f>'12. Разходи'!W55-'12. Разходи'!$S55</f>
        <v>-35.652041444831355</v>
      </c>
      <c r="AG55" s="884">
        <f>IFERROR(('12. Разходи'!W55-'12. Разходи'!$S55)/'12. Разходи'!$S55,0)</f>
        <v>-0.27718167401316623</v>
      </c>
      <c r="AH55" s="1147">
        <f>'12. Разходи'!X55-'12. Разходи'!$S55</f>
        <v>-35.162330672796415</v>
      </c>
      <c r="AI55" s="820">
        <f>IFERROR(('12. Разходи'!X55-'12. Разходи'!$S55)/'12. Разходи'!$S55,0)</f>
        <v>-0.27337435061529097</v>
      </c>
      <c r="AJ55" s="1161">
        <f>'12. Разходи'!AA55</f>
        <v>0</v>
      </c>
      <c r="AK55" s="1148">
        <f>'12. Разходи'!AB55-'12. Разходи'!$AA55</f>
        <v>0</v>
      </c>
      <c r="AL55" s="875">
        <f>IFERROR(('12. Разходи'!AB55-'12. Разходи'!$AA55)/'12. Разходи'!$AA55,0)</f>
        <v>0</v>
      </c>
      <c r="AM55" s="1147">
        <f>'12. Разходи'!AC55-'12. Разходи'!$AA55</f>
        <v>0</v>
      </c>
      <c r="AN55" s="875">
        <f>IFERROR(('12. Разходи'!AC55-'12. Разходи'!$AA55)/'12. Разходи'!$AA55,0)</f>
        <v>0</v>
      </c>
      <c r="AO55" s="1147">
        <f>'12. Разходи'!AD55-'12. Разходи'!$AA55</f>
        <v>0</v>
      </c>
      <c r="AP55" s="884">
        <f>IFERROR(('12. Разходи'!AD55-'12. Разходи'!$AA55)/'12. Разходи'!$AA55,0)</f>
        <v>0</v>
      </c>
      <c r="AQ55" s="1150">
        <f>'12. Разходи'!AE55-'12. Разходи'!$AA55</f>
        <v>0</v>
      </c>
      <c r="AR55" s="884">
        <f>IFERROR(('12. Разходи'!AE55-'12. Разходи'!$AA55)/'12. Разходи'!$AA55,0)</f>
        <v>0</v>
      </c>
      <c r="AS55" s="1147">
        <f>'12. Разходи'!AF55-'12. Разходи'!$AA55</f>
        <v>0</v>
      </c>
      <c r="AT55" s="820">
        <f>IFERROR(('12. Разходи'!AF55-'12. Разходи'!$AA55)/'12. Разходи'!$AA55,0)</f>
        <v>0</v>
      </c>
      <c r="AU55" s="1161">
        <f>'12. Разходи'!AI55</f>
        <v>27.458201023514821</v>
      </c>
      <c r="AV55" s="1148">
        <f>'12. Разходи'!AJ55-'12. Разходи'!$AI55</f>
        <v>285.41585684707803</v>
      </c>
      <c r="AW55" s="875">
        <f>IFERROR(('12. Разходи'!AJ55-'12. Разходи'!$AI55)/'12. Разходи'!$AI55,0)</f>
        <v>10.394557771743745</v>
      </c>
      <c r="AX55" s="1147">
        <f>'12. Разходи'!AK55-'12. Разходи'!$AI55</f>
        <v>131.01585684707806</v>
      </c>
      <c r="AY55" s="875">
        <f>IFERROR(('12. Разходи'!AK55-'12. Разходи'!$AI55)/'12. Разходи'!$AI55,0)</f>
        <v>4.7714654261172429</v>
      </c>
      <c r="AZ55" s="1147">
        <f>'12. Разходи'!AL55-'12. Разходи'!$AI55</f>
        <v>126.61585684707808</v>
      </c>
      <c r="BA55" s="884">
        <f>IFERROR(('12. Разходи'!AL55-'12. Разходи'!$AI55)/'12. Разходи'!$AI55,0)</f>
        <v>4.6112218618636387</v>
      </c>
      <c r="BB55" s="1150">
        <f>'12. Разходи'!AM55-'12. Разходи'!$AI55</f>
        <v>152.21585684707807</v>
      </c>
      <c r="BC55" s="884">
        <f>IFERROR(('12. Разходи'!AM55-'12. Разходи'!$AI55)/'12. Разходи'!$AI55,0)</f>
        <v>5.5435480538846127</v>
      </c>
      <c r="BD55" s="1147">
        <f>'12. Разходи'!AN55-'12. Разходи'!$AI55</f>
        <v>152.81585684707807</v>
      </c>
      <c r="BE55" s="820">
        <f>IFERROR(('12. Разходи'!AN55-'12. Разходи'!$AI55)/'12. Разходи'!$AI55,0)</f>
        <v>5.565399449010104</v>
      </c>
      <c r="BF55" s="4488"/>
      <c r="BG55" s="4504">
        <f t="shared" si="1"/>
        <v>463.68681439343948</v>
      </c>
      <c r="BH55" s="4504">
        <f t="shared" si="2"/>
        <v>3.7261773907863787</v>
      </c>
      <c r="BI55" s="4504">
        <f t="shared" si="3"/>
        <v>8.2156554044477588</v>
      </c>
      <c r="BJ55" s="4504">
        <f t="shared" si="4"/>
        <v>-14.512251134549746</v>
      </c>
      <c r="BK55" s="4504">
        <f t="shared" si="5"/>
        <v>-19.405857449038326</v>
      </c>
      <c r="BL55" s="4504">
        <f t="shared" si="6"/>
        <v>-23.267209993499765</v>
      </c>
      <c r="BM55" s="4504">
        <f t="shared" si="7"/>
        <v>28.58471749617911</v>
      </c>
      <c r="BN55" s="4504">
        <f t="shared" si="8"/>
        <v>5.3033590823166126</v>
      </c>
      <c r="BO55" s="4504">
        <f t="shared" si="9"/>
        <v>5.4955557181463162</v>
      </c>
      <c r="BP55" s="4504">
        <f t="shared" si="10"/>
        <v>5.6953844958991944</v>
      </c>
      <c r="BQ55" s="4504">
        <f t="shared" si="11"/>
        <v>5.9033099140993812</v>
      </c>
      <c r="BR55" s="4504">
        <f t="shared" si="12"/>
        <v>6.0988475502943089</v>
      </c>
      <c r="BS55" s="4504">
        <f t="shared" si="13"/>
        <v>65.764085608154261</v>
      </c>
      <c r="BT55" s="4504">
        <f t="shared" si="14"/>
        <v>-16.62378065827393</v>
      </c>
      <c r="BU55" s="4504">
        <f t="shared" si="15"/>
        <v>-16.386827410657332</v>
      </c>
      <c r="BV55" s="4504">
        <f t="shared" si="16"/>
        <v>-17.917779132919836</v>
      </c>
      <c r="BW55" s="4504">
        <f t="shared" si="17"/>
        <v>-18.228599338813371</v>
      </c>
      <c r="BX55" s="4504">
        <f t="shared" si="18"/>
        <v>-17.978214196937575</v>
      </c>
      <c r="BY55" s="4504">
        <f t="shared" si="19"/>
        <v>0</v>
      </c>
      <c r="BZ55" s="4504">
        <f t="shared" si="20"/>
        <v>0</v>
      </c>
      <c r="CA55" s="4504">
        <f t="shared" si="21"/>
        <v>0</v>
      </c>
      <c r="CB55" s="4504">
        <f t="shared" si="22"/>
        <v>0</v>
      </c>
      <c r="CC55" s="4504">
        <f t="shared" si="23"/>
        <v>0</v>
      </c>
      <c r="CD55" s="4504">
        <f t="shared" si="24"/>
        <v>0</v>
      </c>
      <c r="CE55" s="4504">
        <f t="shared" si="25"/>
        <v>14.039155255576825</v>
      </c>
      <c r="CF55" s="4504">
        <f t="shared" si="26"/>
        <v>145.93081037057311</v>
      </c>
      <c r="CG55" s="4504">
        <f t="shared" si="27"/>
        <v>66.987343913876998</v>
      </c>
      <c r="CH55" s="4504">
        <f t="shared" si="28"/>
        <v>64.737659636613657</v>
      </c>
      <c r="CI55" s="4504">
        <f t="shared" si="29"/>
        <v>77.826731795236839</v>
      </c>
      <c r="CJ55" s="4504">
        <f t="shared" si="30"/>
        <v>78.13350692395457</v>
      </c>
    </row>
    <row r="56" spans="1:88" ht="15.9" customHeight="1">
      <c r="A56" s="1504" t="s">
        <v>263</v>
      </c>
      <c r="B56" s="1505" t="s">
        <v>447</v>
      </c>
      <c r="C56" s="1506">
        <f>'12. Разходи'!C56</f>
        <v>67.592755528453949</v>
      </c>
      <c r="D56" s="1507">
        <f>'12. Разходи'!D56-'12. Разходи'!$C56</f>
        <v>84.95518485016089</v>
      </c>
      <c r="E56" s="1508">
        <f>IFERROR(('12. Разходи'!D56-'12. Разходи'!$C56)/'12. Разходи'!$C56,0)</f>
        <v>1.2568681981665628</v>
      </c>
      <c r="F56" s="1509">
        <f>'12. Разходи'!E56-'12. Разходи'!$C56</f>
        <v>88.735840633620114</v>
      </c>
      <c r="G56" s="1508">
        <f>IFERROR(('12. Разходи'!E56-'12. Разходи'!$C56)/'12. Разходи'!$C56,0)</f>
        <v>1.3128010530102703</v>
      </c>
      <c r="H56" s="1509">
        <f>'12. Разходи'!F56-'12. Разходи'!$C56</f>
        <v>93.757862831804289</v>
      </c>
      <c r="I56" s="1508">
        <f>IFERROR(('12. Разходи'!F56-'12. Разходи'!$C56)/'12. Разходи'!$C56,0)</f>
        <v>1.3870992845133505</v>
      </c>
      <c r="J56" s="1509">
        <f>'12. Разходи'!G56-'12. Разходи'!$C56</f>
        <v>100.0119351587808</v>
      </c>
      <c r="K56" s="1510">
        <f>IFERROR(('12. Разходи'!G56-'12. Разходи'!$C56)/'12. Разходи'!$C56,0)</f>
        <v>1.4796250630243892</v>
      </c>
      <c r="L56" s="1509">
        <f>'12. Разходи'!H56-'12. Разходи'!$C56</f>
        <v>104.45978601174676</v>
      </c>
      <c r="M56" s="1510">
        <f>IFERROR(('12. Разходи'!H56-'12. Разходи'!$C56)/'12. Разходи'!$C56,0)</f>
        <v>1.5454287252392485</v>
      </c>
      <c r="N56" s="1511">
        <f>'12. Разходи'!K56</f>
        <v>15.546651353885323</v>
      </c>
      <c r="O56" s="1507">
        <f>'12. Разходи'!L56-'12. Разходи'!$K56</f>
        <v>2.3993321273006387</v>
      </c>
      <c r="P56" s="1508">
        <f>IFERROR(('12. Разходи'!L56-'12. Разходи'!$K56)/'12. Разходи'!$K56,0)</f>
        <v>0.15433112074652736</v>
      </c>
      <c r="Q56" s="1509">
        <f>'12. Разходи'!M56-'12. Разходи'!$K56</f>
        <v>2.7752360735554475</v>
      </c>
      <c r="R56" s="1508">
        <f>IFERROR(('12. Разходи'!M56-'12. Разходи'!$K56)/'12. Разходи'!$K56,0)</f>
        <v>0.17851021486127799</v>
      </c>
      <c r="S56" s="1509">
        <f>'12. Разходи'!N56-'12. Разходи'!$K56</f>
        <v>3.1660671919478602</v>
      </c>
      <c r="T56" s="1508">
        <f>IFERROR(('12. Разходи'!N56-'12. Разходи'!$K56)/'12. Разходи'!$K56,0)</f>
        <v>0.20364946250348737</v>
      </c>
      <c r="U56" s="1509">
        <f>'12. Разходи'!O56-'12. Разходи'!$K56</f>
        <v>3.5727339626263301</v>
      </c>
      <c r="V56" s="1510">
        <f>IFERROR(('12. Разходи'!O56-'12. Разходи'!$K56)/'12. Разходи'!$K56,0)</f>
        <v>0.22980729941779099</v>
      </c>
      <c r="W56" s="1509">
        <f>'12. Разходи'!P56-'12. Разходи'!$K56</f>
        <v>3.9551723376254486</v>
      </c>
      <c r="X56" s="1512">
        <f>IFERROR(('12. Разходи'!P56-'12. Разходи'!$K56)/'12. Разходи'!$K56,0)</f>
        <v>0.25440670454329034</v>
      </c>
      <c r="Y56" s="1511">
        <f>'12. Разходи'!S56</f>
        <v>24.147934888329651</v>
      </c>
      <c r="Z56" s="1507">
        <f>'12. Разходи'!T56-'12. Разходи'!$S56</f>
        <v>-6.0397859675523904</v>
      </c>
      <c r="AA56" s="1508">
        <f>IFERROR(('12. Разходи'!T56-'12. Разходи'!$S56)/'12. Разходи'!$S56,0)</f>
        <v>-0.25011604493232803</v>
      </c>
      <c r="AB56" s="1509">
        <f>'12. Разходи'!U56-'12. Разходи'!$S56</f>
        <v>-5.5763456972664258</v>
      </c>
      <c r="AC56" s="1508">
        <f>IFERROR(('12. Разходи'!U56-'12. Разходи'!$S56)/'12. Разходи'!$S56,0)</f>
        <v>-0.23092433050916472</v>
      </c>
      <c r="AD56" s="1509">
        <f>'12. Разходи'!V56-'12. Разходи'!$S56</f>
        <v>-5.0691990138430434</v>
      </c>
      <c r="AE56" s="1508">
        <f>IFERROR(('12. Разходи'!V56-'12. Разходи'!$S56)/'12. Разходи'!$S56,0)</f>
        <v>-0.2099226719504248</v>
      </c>
      <c r="AF56" s="1509">
        <f>'12. Разходи'!W56-'12. Разходи'!$S56</f>
        <v>-4.5099381114979913</v>
      </c>
      <c r="AG56" s="1510">
        <f>IFERROR(('12. Разходи'!W56-'12. Разходи'!$S56)/'12. Разходи'!$S56,0)</f>
        <v>-0.18676289017482731</v>
      </c>
      <c r="AH56" s="1509">
        <f>'12. Разходи'!X56-'12. Разходи'!$S56</f>
        <v>-4.0202273394630552</v>
      </c>
      <c r="AI56" s="1512">
        <f>IFERROR(('12. Разходи'!X56-'12. Разходи'!$S56)/'12. Разходи'!$S56,0)</f>
        <v>-0.1664832772679859</v>
      </c>
      <c r="AJ56" s="1511">
        <f>'12. Разходи'!AA56</f>
        <v>0</v>
      </c>
      <c r="AK56" s="1507">
        <f>'12. Разходи'!AB56-'12. Разходи'!$AA56</f>
        <v>0</v>
      </c>
      <c r="AL56" s="1508">
        <f>IFERROR(('12. Разходи'!AB56-'12. Разходи'!$AA56)/'12. Разходи'!$AA56,0)</f>
        <v>0</v>
      </c>
      <c r="AM56" s="1509">
        <f>'12. Разходи'!AC56-'12. Разходи'!$AA56</f>
        <v>0</v>
      </c>
      <c r="AN56" s="1508">
        <f>IFERROR(('12. Разходи'!AC56-'12. Разходи'!$AA56)/'12. Разходи'!$AA56,0)</f>
        <v>0</v>
      </c>
      <c r="AO56" s="1509">
        <f>'12. Разходи'!AD56-'12. Разходи'!$AA56</f>
        <v>0</v>
      </c>
      <c r="AP56" s="1508">
        <f>IFERROR(('12. Разходи'!AD56-'12. Разходи'!$AA56)/'12. Разходи'!$AA56,0)</f>
        <v>0</v>
      </c>
      <c r="AQ56" s="1509">
        <f>'12. Разходи'!AE56-'12. Разходи'!$AA56</f>
        <v>0</v>
      </c>
      <c r="AR56" s="1510">
        <f>IFERROR(('12. Разходи'!AE56-'12. Разходи'!$AA56)/'12. Разходи'!$AA56,0)</f>
        <v>0</v>
      </c>
      <c r="AS56" s="1509">
        <f>'12. Разходи'!AF56-'12. Разходи'!$AA56</f>
        <v>0</v>
      </c>
      <c r="AT56" s="1512">
        <f>IFERROR(('12. Разходи'!AF56-'12. Разходи'!$AA56)/'12. Разходи'!$AA56,0)</f>
        <v>0</v>
      </c>
      <c r="AU56" s="1511">
        <f>'12. Разходи'!AI56</f>
        <v>3.1194110235148176</v>
      </c>
      <c r="AV56" s="1507">
        <f>'12. Разходи'!AJ56-'12. Разходи'!$AI56</f>
        <v>19.75464684707806</v>
      </c>
      <c r="AW56" s="1508">
        <f>IFERROR(('12. Разходи'!AJ56-'12. Разходи'!$AI56)/'12. Разходи'!$AI56,0)</f>
        <v>6.3328130529010496</v>
      </c>
      <c r="AX56" s="1509">
        <f>'12. Разходи'!AK56-'12. Разходи'!$AI56</f>
        <v>20.354646847078058</v>
      </c>
      <c r="AY56" s="1508">
        <f>IFERROR(('12. Разходи'!AK56-'12. Разходи'!$AI56)/'12. Разходи'!$AI56,0)</f>
        <v>6.5251570548543238</v>
      </c>
      <c r="AZ56" s="1509">
        <f>'12. Разходи'!AL56-'12. Разходи'!$AI56</f>
        <v>20.954646847078063</v>
      </c>
      <c r="BA56" s="1508">
        <f>IFERROR(('12. Разходи'!AL56-'12. Разходи'!$AI56)/'12. Разходи'!$AI56,0)</f>
        <v>6.7175010568075999</v>
      </c>
      <c r="BB56" s="1509">
        <f>'12. Разходи'!AM56-'12. Разходи'!$AI56</f>
        <v>21.554646847078054</v>
      </c>
      <c r="BC56" s="1510">
        <f>IFERROR(('12. Разходи'!AM56-'12. Разходи'!$AI56)/'12. Разходи'!$AI56,0)</f>
        <v>6.9098450587608715</v>
      </c>
      <c r="BD56" s="1509">
        <f>'12. Разходи'!AN56-'12. Разходи'!$AI56</f>
        <v>22.15464684707807</v>
      </c>
      <c r="BE56" s="1512">
        <f>IFERROR(('12. Разходи'!AN56-'12. Разходи'!$AI56)/'12. Разходи'!$AI56,0)</f>
        <v>7.1021890607141502</v>
      </c>
      <c r="BF56" s="4488"/>
      <c r="BG56" s="4504">
        <f t="shared" si="1"/>
        <v>34.559627129379315</v>
      </c>
      <c r="BH56" s="4504">
        <f t="shared" si="2"/>
        <v>43.436896279411243</v>
      </c>
      <c r="BI56" s="4504">
        <f t="shared" si="3"/>
        <v>45.369914887091475</v>
      </c>
      <c r="BJ56" s="4504">
        <f t="shared" si="4"/>
        <v>47.937634064210229</v>
      </c>
      <c r="BK56" s="4504">
        <f t="shared" si="5"/>
        <v>51.135290469407259</v>
      </c>
      <c r="BL56" s="4504">
        <f t="shared" si="6"/>
        <v>53.40944049930043</v>
      </c>
      <c r="BM56" s="4504">
        <f t="shared" si="7"/>
        <v>7.9488766170297644</v>
      </c>
      <c r="BN56" s="4504">
        <f t="shared" si="8"/>
        <v>1.2267590369820685</v>
      </c>
      <c r="BO56" s="4504">
        <f t="shared" si="9"/>
        <v>1.4189556728117718</v>
      </c>
      <c r="BP56" s="4504">
        <f t="shared" si="10"/>
        <v>1.6187844505646505</v>
      </c>
      <c r="BQ56" s="4504">
        <f t="shared" si="11"/>
        <v>1.8267098687648364</v>
      </c>
      <c r="BR56" s="4504">
        <f t="shared" si="12"/>
        <v>2.0222475049597608</v>
      </c>
      <c r="BS56" s="4504">
        <f t="shared" si="13"/>
        <v>12.346643056057864</v>
      </c>
      <c r="BT56" s="4504">
        <f t="shared" si="14"/>
        <v>-3.0880935293723843</v>
      </c>
      <c r="BU56" s="4504">
        <f t="shared" si="15"/>
        <v>-2.8511402817557894</v>
      </c>
      <c r="BV56" s="4504">
        <f t="shared" si="16"/>
        <v>-2.5918402999458254</v>
      </c>
      <c r="BW56" s="4504">
        <f t="shared" si="17"/>
        <v>-2.3058947411063291</v>
      </c>
      <c r="BX56" s="4504">
        <f t="shared" si="18"/>
        <v>-2.0555095992305339</v>
      </c>
      <c r="BY56" s="4504">
        <f t="shared" si="19"/>
        <v>0</v>
      </c>
      <c r="BZ56" s="4504">
        <f t="shared" si="20"/>
        <v>0</v>
      </c>
      <c r="CA56" s="4504">
        <f t="shared" si="21"/>
        <v>0</v>
      </c>
      <c r="CB56" s="4504">
        <f t="shared" si="22"/>
        <v>0</v>
      </c>
      <c r="CC56" s="4504">
        <f t="shared" si="23"/>
        <v>0</v>
      </c>
      <c r="CD56" s="4504">
        <f t="shared" si="24"/>
        <v>0</v>
      </c>
      <c r="CE56" s="4504">
        <f t="shared" si="25"/>
        <v>1.5949295304371125</v>
      </c>
      <c r="CF56" s="4504">
        <f t="shared" si="26"/>
        <v>10.100390548809488</v>
      </c>
      <c r="CG56" s="4504">
        <f t="shared" si="27"/>
        <v>10.407165677527217</v>
      </c>
      <c r="CH56" s="4504">
        <f t="shared" si="28"/>
        <v>10.713940806244951</v>
      </c>
      <c r="CI56" s="4504">
        <f t="shared" si="29"/>
        <v>11.020715934962677</v>
      </c>
      <c r="CJ56" s="4504">
        <f t="shared" si="30"/>
        <v>11.327491063680418</v>
      </c>
    </row>
    <row r="57" spans="1:88" ht="24">
      <c r="A57" s="1513" t="s">
        <v>264</v>
      </c>
      <c r="B57" s="1505" t="s">
        <v>736</v>
      </c>
      <c r="C57" s="1506">
        <f>'12. Разходи'!C57</f>
        <v>109.55983130204145</v>
      </c>
      <c r="D57" s="1143">
        <f>'12. Разходи'!D57-'12. Разходи'!$C57</f>
        <v>132.9326837625884</v>
      </c>
      <c r="E57" s="877">
        <f>IFERROR(('12. Разходи'!D57-'12. Разходи'!$C57)/'12. Разходи'!$C57,0)</f>
        <v>1.2133341406496985</v>
      </c>
      <c r="F57" s="1133">
        <f>'12. Разходи'!E57-'12. Разходи'!$C57</f>
        <v>163.45415993063472</v>
      </c>
      <c r="G57" s="877">
        <f>IFERROR(('12. Разходи'!E57-'12. Разходи'!$C57)/'12. Разходи'!$C57,0)</f>
        <v>1.4919168639463674</v>
      </c>
      <c r="H57" s="1133">
        <f>'12. Разходи'!F57-'12. Разходи'!$C57</f>
        <v>194.84816974260258</v>
      </c>
      <c r="I57" s="877">
        <f>IFERROR(('12. Разходи'!F57-'12. Разходи'!$C57)/'12. Разходи'!$C57,0)</f>
        <v>1.7784635794612798</v>
      </c>
      <c r="J57" s="1133">
        <f>'12. Разходи'!G57-'12. Разходи'!$C57</f>
        <v>227.76719794762448</v>
      </c>
      <c r="K57" s="909">
        <f>IFERROR(('12. Разходи'!G57-'12. Разходи'!$C57)/'12. Разходи'!$C57,0)</f>
        <v>2.0789297979083368</v>
      </c>
      <c r="L57" s="1133">
        <f>'12. Разходи'!H57-'12. Разходи'!$C57</f>
        <v>260.43139952274385</v>
      </c>
      <c r="M57" s="909">
        <f>IFERROR(('12. Разходи'!H57-'12. Разходи'!$C57)/'12. Разходи'!$C57,0)</f>
        <v>2.3770701034101647</v>
      </c>
      <c r="N57" s="1163">
        <f>'12. Разходи'!K57</f>
        <v>1.01101</v>
      </c>
      <c r="O57" s="1143">
        <f>'12. Разходи'!L57-'12. Разходи'!$K57</f>
        <v>1.0214780673606445</v>
      </c>
      <c r="P57" s="877">
        <f>IFERROR(('12. Разходи'!L57-'12. Разходи'!$K57)/'12. Разходи'!$K57,0)</f>
        <v>1.0103540690602908</v>
      </c>
      <c r="Q57" s="1133">
        <f>'12. Разходи'!M57-'12. Разходи'!$K57</f>
        <v>1.2939493094386145</v>
      </c>
      <c r="R57" s="877">
        <f>IFERROR(('12. Разходи'!M57-'12. Разходи'!$K57)/'12. Разходи'!$K57,0)</f>
        <v>1.2798580720651769</v>
      </c>
      <c r="S57" s="1133">
        <f>'12. Разходи'!N57-'12. Разходи'!$K57</f>
        <v>1.5939996393590039</v>
      </c>
      <c r="T57" s="877">
        <f>IFERROR(('12. Разходи'!N57-'12. Разходи'!$K57)/'12. Разходи'!$K57,0)</f>
        <v>1.5766408238879972</v>
      </c>
      <c r="U57" s="1133">
        <f>'12. Разходи'!O57-'12. Разходи'!$K57</f>
        <v>1.9006764115098871</v>
      </c>
      <c r="V57" s="909">
        <f>IFERROR(('12. Разходи'!O57-'12. Разходи'!$K57)/'12. Разходи'!$K57,0)</f>
        <v>1.8799778553227833</v>
      </c>
      <c r="W57" s="1133">
        <f>'12. Разходи'!P57-'12. Разходи'!$K57</f>
        <v>2.2148542573829104</v>
      </c>
      <c r="X57" s="822">
        <f>IFERROR(('12. Разходи'!P57-'12. Разходи'!$K57)/'12. Разходи'!$K57,0)</f>
        <v>2.1907342730367758</v>
      </c>
      <c r="Y57" s="1163">
        <f>'12. Разходи'!S57</f>
        <v>26.016989999999996</v>
      </c>
      <c r="Z57" s="1143">
        <f>'12. Разходи'!T57-'12. Разходи'!$S57</f>
        <v>9.7361951224759302</v>
      </c>
      <c r="AA57" s="877">
        <f>IFERROR(('12. Разходи'!T57-'12. Разходи'!$S57)/'12. Разходи'!$S57,0)</f>
        <v>0.37422450185344008</v>
      </c>
      <c r="AB57" s="1133">
        <f>'12. Разходи'!U57-'12. Разходи'!$S57</f>
        <v>11.432247712351622</v>
      </c>
      <c r="AC57" s="877">
        <f>IFERROR(('12. Разходи'!U57-'12. Разходи'!$S57)/'12. Разходи'!$S57,0)</f>
        <v>0.43941469448816423</v>
      </c>
      <c r="AD57" s="1133">
        <f>'12. Разходи'!V57-'12. Разходи'!$S57</f>
        <v>13.26818757046345</v>
      </c>
      <c r="AE57" s="877">
        <f>IFERROR(('12. Разходи'!V57-'12. Разходи'!$S57)/'12. Разходи'!$S57,0)</f>
        <v>0.50998165316062516</v>
      </c>
      <c r="AF57" s="1133">
        <f>'12. Разходи'!W57-'12. Разходи'!$S57</f>
        <v>15.15248259329066</v>
      </c>
      <c r="AG57" s="909">
        <f>IFERROR(('12. Разходи'!W57-'12. Разходи'!$S57)/'12. Разходи'!$S57,0)</f>
        <v>0.58240721133730933</v>
      </c>
      <c r="AH57" s="1133">
        <f>'12. Разходи'!X57-'12. Разходи'!$S57</f>
        <v>17.074103172298241</v>
      </c>
      <c r="AI57" s="822">
        <f>IFERROR(('12. Разходи'!X57-'12. Разходи'!$S57)/'12. Разходи'!$S57,0)</f>
        <v>0.6562674303329572</v>
      </c>
      <c r="AJ57" s="1163">
        <f>'12. Разходи'!AA57</f>
        <v>0</v>
      </c>
      <c r="AK57" s="1143">
        <f>'12. Разходи'!AB57-'12. Разходи'!$AA57</f>
        <v>0</v>
      </c>
      <c r="AL57" s="877">
        <f>IFERROR(('12. Разходи'!AB57-'12. Разходи'!$AA57)/'12. Разходи'!$AA57,0)</f>
        <v>0</v>
      </c>
      <c r="AM57" s="1133">
        <f>'12. Разходи'!AC57-'12. Разходи'!$AA57</f>
        <v>0</v>
      </c>
      <c r="AN57" s="877">
        <f>IFERROR(('12. Разходи'!AC57-'12. Разходи'!$AA57)/'12. Разходи'!$AA57,0)</f>
        <v>0</v>
      </c>
      <c r="AO57" s="1133">
        <f>'12. Разходи'!AD57-'12. Разходи'!$AA57</f>
        <v>0</v>
      </c>
      <c r="AP57" s="877">
        <f>IFERROR(('12. Разходи'!AD57-'12. Разходи'!$AA57)/'12. Разходи'!$AA57,0)</f>
        <v>0</v>
      </c>
      <c r="AQ57" s="1133">
        <f>'12. Разходи'!AE57-'12. Разходи'!$AA57</f>
        <v>0</v>
      </c>
      <c r="AR57" s="909">
        <f>IFERROR(('12. Разходи'!AE57-'12. Разходи'!$AA57)/'12. Разходи'!$AA57,0)</f>
        <v>0</v>
      </c>
      <c r="AS57" s="1133">
        <f>'12. Разходи'!AF57-'12. Разходи'!$AA57</f>
        <v>0</v>
      </c>
      <c r="AT57" s="822">
        <f>IFERROR(('12. Разходи'!AF57-'12. Разходи'!$AA57)/'12. Разходи'!$AA57,0)</f>
        <v>0</v>
      </c>
      <c r="AU57" s="1163">
        <f>'12. Разходи'!AI57</f>
        <v>16.31593869795859</v>
      </c>
      <c r="AV57" s="1143">
        <f>'12. Разходи'!AJ57-'12. Разходи'!$AI57</f>
        <v>11.412763247575029</v>
      </c>
      <c r="AW57" s="877">
        <f>IFERROR(('12. Разходи'!AJ57-'12. Разходи'!$AI57)/'12. Разходи'!$AI57,0)</f>
        <v>0.69948554348288683</v>
      </c>
      <c r="AX57" s="1133">
        <f>'12. Разходи'!AK57-'12. Разходи'!$AI57</f>
        <v>20.362763247575028</v>
      </c>
      <c r="AY57" s="877">
        <f>IFERROR(('12. Разходи'!AK57-'12. Разходи'!$AI57)/'12. Разходи'!$AI57,0)</f>
        <v>1.248028913599851</v>
      </c>
      <c r="AZ57" s="1133">
        <f>'12. Разходи'!AL57-'12. Разходи'!$AI57</f>
        <v>26.21276324757503</v>
      </c>
      <c r="BA57" s="877">
        <f>IFERROR(('12. Разходи'!AL57-'12. Разходи'!$AI57)/'12. Разходи'!$AI57,0)</f>
        <v>1.6065740214416659</v>
      </c>
      <c r="BB57" s="1133">
        <f>'12. Разходи'!AM57-'12. Разходи'!$AI57</f>
        <v>32.262763247575037</v>
      </c>
      <c r="BC57" s="909">
        <f>IFERROR(('12. Разходи'!AM57-'12. Разходи'!$AI57)/'12. Разходи'!$AI57,0)</f>
        <v>1.9773770816883294</v>
      </c>
      <c r="BD57" s="1133">
        <f>'12. Разходи'!AN57-'12. Разходи'!$AI57</f>
        <v>38.562763247575035</v>
      </c>
      <c r="BE57" s="822">
        <f>IFERROR(('12. Разходи'!AN57-'12. Разходи'!$AI57)/'12. Разходи'!$AI57,0)</f>
        <v>2.3635025824410527</v>
      </c>
      <c r="BF57" s="4488"/>
      <c r="BG57" s="4504">
        <f t="shared" si="1"/>
        <v>56.017052249961118</v>
      </c>
      <c r="BH57" s="4504">
        <f t="shared" si="2"/>
        <v>67.967401953435825</v>
      </c>
      <c r="BI57" s="4504">
        <f t="shared" si="3"/>
        <v>83.572784920281777</v>
      </c>
      <c r="BJ57" s="4504">
        <f t="shared" si="4"/>
        <v>99.624287255335375</v>
      </c>
      <c r="BK57" s="4504">
        <f t="shared" si="5"/>
        <v>116.4555191134324</v>
      </c>
      <c r="BL57" s="4504">
        <f t="shared" si="6"/>
        <v>133.15646018454765</v>
      </c>
      <c r="BM57" s="4504">
        <f t="shared" si="7"/>
        <v>0.51692120480818882</v>
      </c>
      <c r="BN57" s="4504">
        <f t="shared" si="8"/>
        <v>0.52227344266150155</v>
      </c>
      <c r="BO57" s="4504">
        <f t="shared" si="9"/>
        <v>0.66158577659541706</v>
      </c>
      <c r="BP57" s="4504">
        <f t="shared" si="10"/>
        <v>0.81499907423395901</v>
      </c>
      <c r="BQ57" s="4504">
        <f t="shared" si="11"/>
        <v>0.97180041798616812</v>
      </c>
      <c r="BR57" s="4504">
        <f t="shared" si="12"/>
        <v>1.1324369998327617</v>
      </c>
      <c r="BS57" s="4504">
        <f t="shared" si="13"/>
        <v>13.302275760163203</v>
      </c>
      <c r="BT57" s="4504">
        <f t="shared" si="14"/>
        <v>4.9780375198641655</v>
      </c>
      <c r="BU57" s="4504">
        <f t="shared" si="15"/>
        <v>5.8452154391494258</v>
      </c>
      <c r="BV57" s="4504">
        <f t="shared" si="16"/>
        <v>6.7839165829665413</v>
      </c>
      <c r="BW57" s="4504">
        <f t="shared" si="17"/>
        <v>7.7473413299165372</v>
      </c>
      <c r="BX57" s="4504">
        <f t="shared" si="18"/>
        <v>8.7298503307026891</v>
      </c>
      <c r="BY57" s="4504">
        <f t="shared" si="19"/>
        <v>0</v>
      </c>
      <c r="BZ57" s="4504">
        <f t="shared" si="20"/>
        <v>0</v>
      </c>
      <c r="CA57" s="4504">
        <f t="shared" si="21"/>
        <v>0</v>
      </c>
      <c r="CB57" s="4504">
        <f t="shared" si="22"/>
        <v>0</v>
      </c>
      <c r="CC57" s="4504">
        <f t="shared" si="23"/>
        <v>0</v>
      </c>
      <c r="CD57" s="4504">
        <f t="shared" si="24"/>
        <v>0</v>
      </c>
      <c r="CE57" s="4504">
        <f t="shared" si="25"/>
        <v>8.3422069903614275</v>
      </c>
      <c r="CF57" s="4504">
        <f t="shared" si="26"/>
        <v>5.8352531904997003</v>
      </c>
      <c r="CG57" s="4504">
        <f t="shared" si="27"/>
        <v>10.411315527205856</v>
      </c>
      <c r="CH57" s="4504">
        <f t="shared" si="28"/>
        <v>13.402373032203734</v>
      </c>
      <c r="CI57" s="4504">
        <f t="shared" si="29"/>
        <v>16.495688913440862</v>
      </c>
      <c r="CJ57" s="4504">
        <f t="shared" si="30"/>
        <v>19.716827764977037</v>
      </c>
    </row>
    <row r="58" spans="1:88" ht="24.6" thickBot="1">
      <c r="A58" s="1514" t="s">
        <v>485</v>
      </c>
      <c r="B58" s="1515" t="s">
        <v>737</v>
      </c>
      <c r="C58" s="1516">
        <f>'12. Разходи'!C58</f>
        <v>729.73999536462532</v>
      </c>
      <c r="D58" s="1151">
        <f>'12. Разходи'!D58-'12. Разходи'!$C58</f>
        <v>-210.60009908652762</v>
      </c>
      <c r="E58" s="882">
        <f>IFERROR(('12. Разходи'!D58-'12. Разходи'!$C58)/'12. Разходи'!$C58,0)</f>
        <v>-0.28859607589590619</v>
      </c>
      <c r="F58" s="1152">
        <f>'12. Разходи'!E58-'12. Разходи'!$C58</f>
        <v>-236.12157525457388</v>
      </c>
      <c r="G58" s="882">
        <f>IFERROR(('12. Разходи'!E58-'12. Разходи'!$C58)/'12. Разходи'!$C58,0)</f>
        <v>-0.32356945864888803</v>
      </c>
      <c r="H58" s="1152">
        <f>'12. Разходи'!F58-'12. Разходи'!$C58</f>
        <v>-316.98952871089335</v>
      </c>
      <c r="I58" s="882">
        <f>IFERROR(('12. Разходи'!F58-'12. Разходи'!$C58)/'12. Разходи'!$C58,0)</f>
        <v>-0.43438694702831093</v>
      </c>
      <c r="J58" s="1152">
        <f>'12. Разходи'!G58-'12. Разходи'!$C58</f>
        <v>-365.733691280958</v>
      </c>
      <c r="K58" s="1517">
        <f>IFERROR(('12. Разходи'!G58-'12. Разходи'!$C58)/'12. Разходи'!$C58,0)</f>
        <v>-0.50118356346662041</v>
      </c>
      <c r="L58" s="1152">
        <f>'12. Разходи'!H58-'12. Разходи'!$C58</f>
        <v>-410.39789285607725</v>
      </c>
      <c r="M58" s="1517">
        <f>IFERROR(('12. Разходи'!H58-'12. Разходи'!$C58)/'12. Разходи'!$C58,0)</f>
        <v>-0.56238920089752775</v>
      </c>
      <c r="N58" s="1165">
        <f>'12. Разходи'!K58</f>
        <v>39.349186666666668</v>
      </c>
      <c r="O58" s="1151">
        <f>'12. Разходи'!L58-'12. Разходи'!$K58</f>
        <v>6.9516585993060147</v>
      </c>
      <c r="P58" s="882">
        <f>IFERROR(('12. Разходи'!L58-'12. Разходи'!$K58)/'12. Разходи'!$K58,0)</f>
        <v>0.17666587770147932</v>
      </c>
      <c r="Q58" s="1152">
        <f>'12. Разходи'!M58-'12. Разходи'!$K58</f>
        <v>6.6791873572280451</v>
      </c>
      <c r="R58" s="882">
        <f>IFERROR(('12. Разходи'!M58-'12. Разходи'!$K58)/'12. Разходи'!$K58,0)</f>
        <v>0.16974143363644395</v>
      </c>
      <c r="S58" s="1152">
        <f>'12. Разходи'!N58-'12. Разходи'!$K58</f>
        <v>6.3791370273076566</v>
      </c>
      <c r="T58" s="882">
        <f>IFERROR(('12. Разходи'!N58-'12. Разходи'!$K58)/'12. Разходи'!$K58,0)</f>
        <v>0.16211610881176172</v>
      </c>
      <c r="U58" s="1152">
        <f>'12. Разходи'!O58-'12. Разходи'!$K58</f>
        <v>6.0724602551567699</v>
      </c>
      <c r="V58" s="1517">
        <f>IFERROR(('12. Разходи'!O58-'12. Разходи'!$K58)/'12. Разходи'!$K58,0)</f>
        <v>0.15432238299097675</v>
      </c>
      <c r="W58" s="1152">
        <f>'12. Разходи'!P58-'12. Разходи'!$K58</f>
        <v>5.7582824092837512</v>
      </c>
      <c r="X58" s="1518">
        <f>IFERROR(('12. Разходи'!P58-'12. Разходи'!$K58)/'12. Разходи'!$K58,0)</f>
        <v>0.14633802873902055</v>
      </c>
      <c r="Y58" s="1165">
        <f>'12. Разходи'!S58</f>
        <v>78.458446666666688</v>
      </c>
      <c r="Z58" s="1151">
        <f>'12. Разходи'!T58-'12. Разходи'!$S58</f>
        <v>-36.209698079795437</v>
      </c>
      <c r="AA58" s="882">
        <f>IFERROR(('12. Разходи'!T58-'12. Разходи'!$S58)/'12. Разходи'!$S58,0)</f>
        <v>-0.46151433807545972</v>
      </c>
      <c r="AB58" s="1152">
        <f>'12. Разходи'!U58-'12. Разходи'!$S58</f>
        <v>-37.905750669671129</v>
      </c>
      <c r="AC58" s="882">
        <f>IFERROR(('12. Разходи'!U58-'12. Разходи'!$S58)/'12. Разходи'!$S58,0)</f>
        <v>-0.48313154644413198</v>
      </c>
      <c r="AD58" s="1152">
        <f>'12. Разходи'!V58-'12. Разходи'!$S58</f>
        <v>-43.243118518159008</v>
      </c>
      <c r="AE58" s="882">
        <f>IFERROR(('12. Разходи'!V58-'12. Разходи'!$S58)/'12. Разходи'!$S58,0)</f>
        <v>-0.55115950360168142</v>
      </c>
      <c r="AF58" s="1152">
        <f>'12. Разходи'!W58-'12. Разходи'!$S58</f>
        <v>-46.294585926624016</v>
      </c>
      <c r="AG58" s="1517">
        <f>IFERROR(('12. Разходи'!W58-'12. Разходи'!$S58)/'12. Разходи'!$S58,0)</f>
        <v>-0.59005228746508454</v>
      </c>
      <c r="AH58" s="1152">
        <f>'12. Разходи'!X58-'12. Разходи'!$S58</f>
        <v>-48.216206505631597</v>
      </c>
      <c r="AI58" s="1518">
        <f>IFERROR(('12. Разходи'!X58-'12. Разходи'!$S58)/'12. Разходи'!$S58,0)</f>
        <v>-0.61454449525976151</v>
      </c>
      <c r="AJ58" s="1165">
        <f>'12. Разходи'!AA58</f>
        <v>0</v>
      </c>
      <c r="AK58" s="1151">
        <f>'12. Разходи'!AB58-'12. Разходи'!$AA58</f>
        <v>0</v>
      </c>
      <c r="AL58" s="882">
        <f>IFERROR(('12. Разходи'!AB58-'12. Разходи'!$AA58)/'12. Разходи'!$AA58,0)</f>
        <v>0</v>
      </c>
      <c r="AM58" s="1152">
        <f>'12. Разходи'!AC58-'12. Разходи'!$AA58</f>
        <v>0</v>
      </c>
      <c r="AN58" s="882">
        <f>IFERROR(('12. Разходи'!AC58-'12. Разходи'!$AA58)/'12. Разходи'!$AA58,0)</f>
        <v>0</v>
      </c>
      <c r="AO58" s="1152">
        <f>'12. Разходи'!AD58-'12. Разходи'!$AA58</f>
        <v>0</v>
      </c>
      <c r="AP58" s="882">
        <f>IFERROR(('12. Разходи'!AD58-'12. Разходи'!$AA58)/'12. Разходи'!$AA58,0)</f>
        <v>0</v>
      </c>
      <c r="AQ58" s="1152">
        <f>'12. Разходи'!AE58-'12. Разходи'!$AA58</f>
        <v>0</v>
      </c>
      <c r="AR58" s="1517">
        <f>IFERROR(('12. Разходи'!AE58-'12. Разходи'!$AA58)/'12. Разходи'!$AA58,0)</f>
        <v>0</v>
      </c>
      <c r="AS58" s="1152">
        <f>'12. Разходи'!AF58-'12. Разходи'!$AA58</f>
        <v>0</v>
      </c>
      <c r="AT58" s="1518">
        <f>IFERROR(('12. Разходи'!AF58-'12. Разходи'!$AA58)/'12. Разходи'!$AA58,0)</f>
        <v>0</v>
      </c>
      <c r="AU58" s="1165">
        <f>'12. Разходи'!AI58</f>
        <v>8.0228513020414134</v>
      </c>
      <c r="AV58" s="1151">
        <f>'12. Разходи'!AJ58-'12. Разходи'!$AI58</f>
        <v>254.248446752425</v>
      </c>
      <c r="AW58" s="882">
        <f>IFERROR(('12. Разходи'!AJ58-'12. Разходи'!$AI58)/'12. Разходи'!$AI58,0)</f>
        <v>31.690534596812423</v>
      </c>
      <c r="AX58" s="1152">
        <f>'12. Разходи'!AK58-'12. Разходи'!$AI58</f>
        <v>90.298446752424965</v>
      </c>
      <c r="AY58" s="882">
        <f>IFERROR(('12. Разходи'!AK58-'12. Разходи'!$AI58)/'12. Разходи'!$AI58,0)</f>
        <v>11.255156471546286</v>
      </c>
      <c r="AZ58" s="1152">
        <f>'12. Разходи'!AL58-'12. Разходи'!$AI58</f>
        <v>79.448446752424971</v>
      </c>
      <c r="BA58" s="882">
        <f>IFERROR(('12. Разходи'!AL58-'12. Разходи'!$AI58)/'12. Разходи'!$AI58,0)</f>
        <v>9.9027694470928722</v>
      </c>
      <c r="BB58" s="1152">
        <f>'12. Разходи'!AM58-'12. Разходи'!$AI58</f>
        <v>98.39844675242496</v>
      </c>
      <c r="BC58" s="1517">
        <f>IFERROR(('12. Разходи'!AM58-'12. Разходи'!$AI58)/'12. Разходи'!$AI58,0)</f>
        <v>12.26477259118432</v>
      </c>
      <c r="BD58" s="1152">
        <f>'12. Разходи'!AN58-'12. Разходи'!$AI58</f>
        <v>92.098446752424962</v>
      </c>
      <c r="BE58" s="1518">
        <f>IFERROR(('12. Разходи'!AN58-'12. Разходи'!$AI58)/'12. Разходи'!$AI58,0)</f>
        <v>11.479515609243627</v>
      </c>
      <c r="BF58" s="4488"/>
      <c r="BG58" s="4504">
        <f t="shared" si="1"/>
        <v>373.11013501409906</v>
      </c>
      <c r="BH58" s="4504">
        <f t="shared" si="2"/>
        <v>-107.67812084206072</v>
      </c>
      <c r="BI58" s="4504">
        <f t="shared" si="3"/>
        <v>-120.72704440292556</v>
      </c>
      <c r="BJ58" s="4504">
        <f t="shared" si="4"/>
        <v>-162.07417245409539</v>
      </c>
      <c r="BK58" s="4504">
        <f t="shared" si="5"/>
        <v>-186.99666703187802</v>
      </c>
      <c r="BL58" s="4504">
        <f t="shared" si="6"/>
        <v>-209.83311067734786</v>
      </c>
      <c r="BM58" s="4504">
        <f t="shared" si="7"/>
        <v>20.118919674341161</v>
      </c>
      <c r="BN58" s="4504">
        <f t="shared" si="8"/>
        <v>3.5543266026730413</v>
      </c>
      <c r="BO58" s="4504">
        <f t="shared" si="9"/>
        <v>3.4150142687391263</v>
      </c>
      <c r="BP58" s="4504">
        <f t="shared" si="10"/>
        <v>3.2616009711005849</v>
      </c>
      <c r="BQ58" s="4504">
        <f t="shared" si="11"/>
        <v>3.104799627348374</v>
      </c>
      <c r="BR58" s="4504">
        <f t="shared" si="12"/>
        <v>2.9441630455017824</v>
      </c>
      <c r="BS58" s="4504">
        <f t="shared" si="13"/>
        <v>40.115166791933191</v>
      </c>
      <c r="BT58" s="4504">
        <f t="shared" si="14"/>
        <v>-18.513724648765709</v>
      </c>
      <c r="BU58" s="4504">
        <f t="shared" si="15"/>
        <v>-19.380902568050971</v>
      </c>
      <c r="BV58" s="4504">
        <f t="shared" si="16"/>
        <v>-22.109855415940551</v>
      </c>
      <c r="BW58" s="4504">
        <f t="shared" si="17"/>
        <v>-23.670045927623576</v>
      </c>
      <c r="BX58" s="4504">
        <f t="shared" si="18"/>
        <v>-24.652554928409728</v>
      </c>
      <c r="BY58" s="4504">
        <f t="shared" si="19"/>
        <v>0</v>
      </c>
      <c r="BZ58" s="4504">
        <f t="shared" si="20"/>
        <v>0</v>
      </c>
      <c r="CA58" s="4504">
        <f t="shared" si="21"/>
        <v>0</v>
      </c>
      <c r="CB58" s="4504">
        <f t="shared" si="22"/>
        <v>0</v>
      </c>
      <c r="CC58" s="4504">
        <f t="shared" si="23"/>
        <v>0</v>
      </c>
      <c r="CD58" s="4504">
        <f t="shared" si="24"/>
        <v>0</v>
      </c>
      <c r="CE58" s="4504">
        <f t="shared" si="25"/>
        <v>4.1020187347782855</v>
      </c>
      <c r="CF58" s="4504">
        <f t="shared" si="26"/>
        <v>129.99516663126397</v>
      </c>
      <c r="CG58" s="4504">
        <f t="shared" si="27"/>
        <v>46.16886270914393</v>
      </c>
      <c r="CH58" s="4504">
        <f t="shared" si="28"/>
        <v>40.62134579816496</v>
      </c>
      <c r="CI58" s="4504">
        <f t="shared" si="29"/>
        <v>50.310326946833293</v>
      </c>
      <c r="CJ58" s="4504">
        <f t="shared" si="30"/>
        <v>47.089188095297118</v>
      </c>
    </row>
    <row r="59" spans="1:88" s="1160" customFormat="1" ht="15.9" customHeight="1" thickBot="1">
      <c r="A59" s="110">
        <v>4</v>
      </c>
      <c r="B59" s="894" t="s">
        <v>448</v>
      </c>
      <c r="C59" s="1110">
        <f>'12. Разходи'!C59</f>
        <v>4447.1427175985673</v>
      </c>
      <c r="D59" s="1148">
        <f>'12. Разходи'!D59-'12. Разходи'!$C59</f>
        <v>1922.9487670588196</v>
      </c>
      <c r="E59" s="875">
        <f>IFERROR(('12. Разходи'!D59-'12. Разходи'!$C59)/'12. Разходи'!$C59,0)</f>
        <v>0.43240095701205683</v>
      </c>
      <c r="F59" s="1147">
        <f>'12. Разходи'!E59-'12. Разходи'!$C59</f>
        <v>2758.7060818264008</v>
      </c>
      <c r="G59" s="875">
        <f>IFERROR(('12. Разходи'!E59-'12. Разходи'!$C59)/'12. Разходи'!$C59,0)</f>
        <v>0.62033225758855048</v>
      </c>
      <c r="H59" s="1147">
        <f>'12. Разходи'!F59-'12. Разходи'!$C59</f>
        <v>3742.5346917490606</v>
      </c>
      <c r="I59" s="875">
        <f>IFERROR(('12. Разходи'!F59-'12. Разходи'!$C59)/'12. Разходи'!$C59,0)</f>
        <v>0.84155938529672569</v>
      </c>
      <c r="J59" s="1147">
        <f>'12. Разходи'!G59-'12. Разходи'!$C59</f>
        <v>4866.8648449139409</v>
      </c>
      <c r="K59" s="888">
        <f>IFERROR(('12. Разходи'!G59-'12. Разходи'!$C59)/'12. Разходи'!$C59,0)</f>
        <v>1.0943801793575048</v>
      </c>
      <c r="L59" s="1147">
        <f>'12. Разходи'!H59-'12. Разходи'!$C59</f>
        <v>6146.6166769628171</v>
      </c>
      <c r="M59" s="888">
        <f>IFERROR(('12. Разходи'!H59-'12. Разходи'!$C59)/'12. Разходи'!$C59,0)</f>
        <v>1.3821496334351862</v>
      </c>
      <c r="N59" s="1161">
        <f>'12. Разходи'!K59</f>
        <v>134.9475993023747</v>
      </c>
      <c r="O59" s="1148">
        <f>'12. Разходи'!L59-'12. Разходи'!$K59</f>
        <v>168.48033699390871</v>
      </c>
      <c r="P59" s="875">
        <f>IFERROR(('12. Разходи'!L59-'12. Разходи'!$K59)/'12. Разходи'!$K59,0)</f>
        <v>1.2484871006589586</v>
      </c>
      <c r="Q59" s="1147">
        <f>'12. Разходи'!M59-'12. Разходи'!$K59</f>
        <v>208.92429595638313</v>
      </c>
      <c r="R59" s="875">
        <f>IFERROR(('12. Разходи'!M59-'12. Разходи'!$K59)/'12. Разходи'!$K59,0)</f>
        <v>1.5481883118813411</v>
      </c>
      <c r="S59" s="1147">
        <f>'12. Разходи'!N59-'12. Разходи'!$K59</f>
        <v>255.20282239818167</v>
      </c>
      <c r="T59" s="875">
        <f>IFERROR(('12. Разходи'!N59-'12. Разходи'!$K59)/'12. Разходи'!$K59,0)</f>
        <v>1.8911253235884042</v>
      </c>
      <c r="U59" s="1147">
        <f>'12. Разходи'!O59-'12. Разходи'!$K59</f>
        <v>308.15612192491847</v>
      </c>
      <c r="V59" s="888">
        <f>IFERROR(('12. Разходи'!O59-'12. Разходи'!$K59)/'12. Разходи'!$K59,0)</f>
        <v>2.2835242977123178</v>
      </c>
      <c r="W59" s="1147">
        <f>'12. Разходи'!P59-'12. Разходи'!$K59</f>
        <v>368.7451075229045</v>
      </c>
      <c r="X59" s="890">
        <f>IFERROR(('12. Разходи'!P59-'12. Разходи'!$K59)/'12. Разходи'!$K59,0)</f>
        <v>2.732505872124956</v>
      </c>
      <c r="Y59" s="1161">
        <f>'12. Разходи'!S59</f>
        <v>895.42580898990229</v>
      </c>
      <c r="Z59" s="1148">
        <f>'12. Разходи'!T59-'12. Разходи'!$S59</f>
        <v>609.19275217413963</v>
      </c>
      <c r="AA59" s="875">
        <f>IFERROR(('12. Разходи'!T59-'12. Разходи'!$S59)/'12. Разходи'!$S59,0)</f>
        <v>0.68033861215296898</v>
      </c>
      <c r="AB59" s="1147">
        <f>'12. Разходи'!U59-'12. Разходи'!$S59</f>
        <v>821.86701318828284</v>
      </c>
      <c r="AC59" s="875">
        <f>IFERROR(('12. Разходи'!U59-'12. Разходи'!$S59)/'12. Разходи'!$S59,0)</f>
        <v>0.91785048514002687</v>
      </c>
      <c r="AD59" s="1147">
        <f>'12. Разходи'!V59-'12. Разходи'!$S59</f>
        <v>1065.1518234516175</v>
      </c>
      <c r="AE59" s="875">
        <f>IFERROR(('12. Разходи'!V59-'12. Разходи'!$S59)/'12. Разходи'!$S59,0)</f>
        <v>1.1895478249093323</v>
      </c>
      <c r="AF59" s="1147">
        <f>'12. Разходи'!W59-'12. Разходи'!$S59</f>
        <v>1343.7282001004146</v>
      </c>
      <c r="AG59" s="888">
        <f>IFERROR(('12. Разходи'!W59-'12. Разходи'!$S59)/'12. Разходи'!$S59,0)</f>
        <v>1.5006583310528274</v>
      </c>
      <c r="AH59" s="1147">
        <f>'12. Разходи'!X59-'12. Разходи'!$S59</f>
        <v>1663.0199878589046</v>
      </c>
      <c r="AI59" s="890">
        <f>IFERROR(('12. Разходи'!X59-'12. Разходи'!$S59)/'12. Разходи'!$S59,0)</f>
        <v>1.8572392834364444</v>
      </c>
      <c r="AJ59" s="1161">
        <f>'12. Разходи'!AA59</f>
        <v>0</v>
      </c>
      <c r="AK59" s="1148">
        <f>'12. Разходи'!AB59-'12. Разходи'!$AA59</f>
        <v>0</v>
      </c>
      <c r="AL59" s="875">
        <f>IFERROR(('12. Разходи'!AB59-'12. Разходи'!$AA59)/'12. Разходи'!$AA59,0)</f>
        <v>0</v>
      </c>
      <c r="AM59" s="1147">
        <f>'12. Разходи'!AC59-'12. Разходи'!$AA59</f>
        <v>0</v>
      </c>
      <c r="AN59" s="875">
        <f>IFERROR(('12. Разходи'!AC59-'12. Разходи'!$AA59)/'12. Разходи'!$AA59,0)</f>
        <v>0</v>
      </c>
      <c r="AO59" s="1147">
        <f>'12. Разходи'!AD59-'12. Разходи'!$AA59</f>
        <v>0</v>
      </c>
      <c r="AP59" s="875">
        <f>IFERROR(('12. Разходи'!AD59-'12. Разходи'!$AA59)/'12. Разходи'!$AA59,0)</f>
        <v>0</v>
      </c>
      <c r="AQ59" s="1147">
        <f>'12. Разходи'!AE59-'12. Разходи'!$AA59</f>
        <v>0</v>
      </c>
      <c r="AR59" s="888">
        <f>IFERROR(('12. Разходи'!AE59-'12. Разходи'!$AA59)/'12. Разходи'!$AA59,0)</f>
        <v>0</v>
      </c>
      <c r="AS59" s="1147">
        <f>'12. Разходи'!AF59-'12. Разходи'!$AA59</f>
        <v>0</v>
      </c>
      <c r="AT59" s="890">
        <f>IFERROR(('12. Разходи'!AF59-'12. Разходи'!$AA59)/'12. Разходи'!$AA59,0)</f>
        <v>0</v>
      </c>
      <c r="AU59" s="1161">
        <f>'12. Разходи'!AI59</f>
        <v>799.3297945531591</v>
      </c>
      <c r="AV59" s="1148">
        <f>'12. Разходи'!AJ59-'12. Разходи'!$AI59</f>
        <v>385.92403316423236</v>
      </c>
      <c r="AW59" s="875">
        <f>IFERROR(('12. Разходи'!AJ59-'12. Разходи'!$AI59)/'12. Разходи'!$AI59,0)</f>
        <v>0.48280951841657721</v>
      </c>
      <c r="AX59" s="1147">
        <f>'12. Разходи'!AK59-'12. Разходи'!$AI59</f>
        <v>539.71473885378862</v>
      </c>
      <c r="AY59" s="875">
        <f>IFERROR(('12. Разходи'!AK59-'12. Разходи'!$AI59)/'12. Разходи'!$AI59,0)</f>
        <v>0.67520908457503404</v>
      </c>
      <c r="AZ59" s="1147">
        <f>'12. Разходи'!AL59-'12. Разходи'!$AI59</f>
        <v>718.99979105167006</v>
      </c>
      <c r="BA59" s="875">
        <f>IFERROR(('12. Разходи'!AL59-'12. Разходи'!$AI59)/'12. Разходи'!$AI59,0)</f>
        <v>0.89950330383168675</v>
      </c>
      <c r="BB59" s="1147">
        <f>'12. Разходи'!AM59-'12. Разходи'!$AI59</f>
        <v>924.3955307011048</v>
      </c>
      <c r="BC59" s="888">
        <f>IFERROR(('12. Разходи'!AM59-'12. Разходи'!$AI59)/'12. Разходи'!$AI59,0)</f>
        <v>1.156463248336514</v>
      </c>
      <c r="BD59" s="1147">
        <f>'12. Разходи'!AN59-'12. Разходи'!$AI59</f>
        <v>1159.6991657660747</v>
      </c>
      <c r="BE59" s="890">
        <f>IFERROR(('12. Разходи'!AN59-'12. Разходи'!$AI59)/'12. Разходи'!$AI59,0)</f>
        <v>1.4508394077995916</v>
      </c>
      <c r="BF59" s="4488"/>
      <c r="BG59" s="4504">
        <f t="shared" si="1"/>
        <v>2273.787966029035</v>
      </c>
      <c r="BH59" s="4504">
        <f t="shared" si="2"/>
        <v>983.18809255345286</v>
      </c>
      <c r="BI59" s="4504">
        <f t="shared" si="3"/>
        <v>1410.5040222444695</v>
      </c>
      <c r="BJ59" s="4504">
        <f t="shared" si="4"/>
        <v>1913.527602986487</v>
      </c>
      <c r="BK59" s="4504">
        <f t="shared" si="5"/>
        <v>2488.3884820837911</v>
      </c>
      <c r="BL59" s="4504">
        <f t="shared" si="6"/>
        <v>3142.7152037563678</v>
      </c>
      <c r="BM59" s="4504">
        <f t="shared" si="7"/>
        <v>68.997611910224663</v>
      </c>
      <c r="BN59" s="4504">
        <f t="shared" si="8"/>
        <v>86.142628446188425</v>
      </c>
      <c r="BO59" s="4504">
        <f t="shared" si="9"/>
        <v>106.82129630713463</v>
      </c>
      <c r="BP59" s="4504">
        <f t="shared" si="10"/>
        <v>130.48313115055075</v>
      </c>
      <c r="BQ59" s="4504">
        <f t="shared" si="11"/>
        <v>157.55772328112283</v>
      </c>
      <c r="BR59" s="4504">
        <f t="shared" si="12"/>
        <v>188.53637970728769</v>
      </c>
      <c r="BS59" s="4504">
        <f t="shared" si="13"/>
        <v>457.82394635009297</v>
      </c>
      <c r="BT59" s="4504">
        <f t="shared" si="14"/>
        <v>311.47530827021757</v>
      </c>
      <c r="BU59" s="4504">
        <f t="shared" si="15"/>
        <v>420.21393126615447</v>
      </c>
      <c r="BV59" s="4504">
        <f t="shared" si="16"/>
        <v>544.60347957215993</v>
      </c>
      <c r="BW59" s="4504">
        <f t="shared" si="17"/>
        <v>687.0373192457497</v>
      </c>
      <c r="BX59" s="4504">
        <f t="shared" si="18"/>
        <v>850.28861805929182</v>
      </c>
      <c r="BY59" s="4504">
        <f t="shared" si="19"/>
        <v>0</v>
      </c>
      <c r="BZ59" s="4504">
        <f t="shared" si="20"/>
        <v>0</v>
      </c>
      <c r="CA59" s="4504">
        <f t="shared" si="21"/>
        <v>0</v>
      </c>
      <c r="CB59" s="4504">
        <f t="shared" si="22"/>
        <v>0</v>
      </c>
      <c r="CC59" s="4504">
        <f t="shared" si="23"/>
        <v>0</v>
      </c>
      <c r="CD59" s="4504">
        <f t="shared" si="24"/>
        <v>0</v>
      </c>
      <c r="CE59" s="4504">
        <f t="shared" si="25"/>
        <v>408.69083435327155</v>
      </c>
      <c r="CF59" s="4504">
        <f t="shared" si="26"/>
        <v>197.31982491537218</v>
      </c>
      <c r="CG59" s="4504">
        <f t="shared" si="27"/>
        <v>275.95176413787937</v>
      </c>
      <c r="CH59" s="4504">
        <f t="shared" si="28"/>
        <v>367.61875574649639</v>
      </c>
      <c r="CI59" s="4504">
        <f t="shared" si="29"/>
        <v>472.63592986154464</v>
      </c>
      <c r="CJ59" s="4504">
        <f t="shared" si="30"/>
        <v>592.94476808622153</v>
      </c>
    </row>
    <row r="60" spans="1:88" ht="15.9" customHeight="1">
      <c r="A60" s="108" t="s">
        <v>101</v>
      </c>
      <c r="B60" s="898" t="s">
        <v>265</v>
      </c>
      <c r="C60" s="1113">
        <f>'12. Разходи'!C60</f>
        <v>3586.0089761613331</v>
      </c>
      <c r="D60" s="1141">
        <f>'12. Разходи'!D60-'12. Разходи'!$C60</f>
        <v>1735.3131371097784</v>
      </c>
      <c r="E60" s="1121">
        <f>IFERROR(('12. Разходи'!D60-'12. Разходи'!$C60)/'12. Разходи'!$C60,0)</f>
        <v>0.48391210079104591</v>
      </c>
      <c r="F60" s="907">
        <f>'12. Разходи'!E60-'12. Разходи'!$C60</f>
        <v>2433.017561893565</v>
      </c>
      <c r="G60" s="1129">
        <f>IFERROR(('12. Разходи'!E60-'12. Разходи'!$C60)/'12. Разходи'!$C60,0)</f>
        <v>0.67847503396324582</v>
      </c>
      <c r="H60" s="907">
        <f>'12. Разходи'!F60-'12. Разходи'!$C60</f>
        <v>3250.6974789342798</v>
      </c>
      <c r="I60" s="1129">
        <f>IFERROR(('12. Разходи'!F60-'12. Разходи'!$C60)/'12. Разходи'!$C60,0)</f>
        <v>0.90649451815204607</v>
      </c>
      <c r="J60" s="907">
        <f>'12. Разходи'!G60-'12. Разходи'!$C60</f>
        <v>4183.196238402521</v>
      </c>
      <c r="K60" s="1128">
        <f>IFERROR(('12. Разходи'!G60-'12. Разходи'!$C60)/'12. Разходи'!$C60,0)</f>
        <v>1.1665325620239944</v>
      </c>
      <c r="L60" s="1136">
        <f>'12. Разходи'!H60-'12. Разходи'!$C60</f>
        <v>5250.067036847855</v>
      </c>
      <c r="M60" s="1128">
        <f>IFERROR(('12. Разходи'!H60-'12. Разходи'!$C60)/'12. Разходи'!$C60,0)</f>
        <v>1.4640418001596371</v>
      </c>
      <c r="N60" s="1177">
        <f>'12. Разходи'!K60</f>
        <v>115.96768717111647</v>
      </c>
      <c r="O60" s="1141">
        <f>'12. Разходи'!L60-'12. Разходи'!$K60</f>
        <v>152.06271849119716</v>
      </c>
      <c r="P60" s="1121">
        <f>IFERROR(('12. Разходи'!L60-'12. Разходи'!$K60)/'12. Разходи'!$K60,0)</f>
        <v>1.3112507647653657</v>
      </c>
      <c r="Q60" s="907">
        <f>'12. Разходи'!M60-'12. Разходи'!$K60</f>
        <v>188.10991853554563</v>
      </c>
      <c r="R60" s="1129">
        <f>IFERROR(('12. Разходи'!M60-'12. Разходи'!$K60)/'12. Разходи'!$K60,0)</f>
        <v>1.6220890760542588</v>
      </c>
      <c r="S60" s="907">
        <f>'12. Разходи'!N60-'12. Разходи'!$K60</f>
        <v>231.5258391012068</v>
      </c>
      <c r="T60" s="1129">
        <f>IFERROR(('12. Разходи'!N60-'12. Разходи'!$K60)/'12. Разходи'!$K60,0)</f>
        <v>1.9964685400647695</v>
      </c>
      <c r="U60" s="907">
        <f>'12. Разходи'!O60-'12. Разходи'!$K60</f>
        <v>274.8231136831821</v>
      </c>
      <c r="V60" s="1128">
        <f>IFERROR(('12. Разходи'!O60-'12. Разходи'!$K60)/'12. Разходи'!$K60,0)</f>
        <v>2.3698249088788503</v>
      </c>
      <c r="W60" s="1136">
        <f>'12. Разходи'!P60-'12. Разходи'!$K60</f>
        <v>330.38095465627646</v>
      </c>
      <c r="X60" s="1183">
        <f>IFERROR(('12. Разходи'!P60-'12. Разходи'!$K60)/'12. Разходи'!$K60,0)</f>
        <v>2.8489052659020597</v>
      </c>
      <c r="Y60" s="1177">
        <f>'12. Разходи'!S60</f>
        <v>843.2053736457168</v>
      </c>
      <c r="Z60" s="1141">
        <f>'12. Разходи'!T60-'12. Разходи'!$S60</f>
        <v>590.10905696976772</v>
      </c>
      <c r="AA60" s="1121">
        <f>IFERROR(('12. Разходи'!T60-'12. Разходи'!$S60)/'12. Разходи'!$S60,0)</f>
        <v>0.69984024700690461</v>
      </c>
      <c r="AB60" s="907">
        <f>'12. Разходи'!U60-'12. Разходи'!$S60</f>
        <v>791.66789532917494</v>
      </c>
      <c r="AC60" s="1129">
        <f>IFERROR(('12. Разходи'!U60-'12. Разходи'!$S60)/'12. Разходи'!$S60,0)</f>
        <v>0.93887909170489237</v>
      </c>
      <c r="AD60" s="907">
        <f>'12. Разходи'!V60-'12. Разходи'!$S60</f>
        <v>1021.9669265225137</v>
      </c>
      <c r="AE60" s="1129">
        <f>IFERROR(('12. Разходи'!V60-'12. Разходи'!$S60)/'12. Разходи'!$S60,0)</f>
        <v>1.2120023881061102</v>
      </c>
      <c r="AF60" s="907">
        <f>'12. Разходи'!W60-'12. Разходи'!$S60</f>
        <v>1285.460382551466</v>
      </c>
      <c r="AG60" s="1128">
        <f>IFERROR(('12. Разходи'!W60-'12. Разходи'!$S60)/'12. Разходи'!$S60,0)</f>
        <v>1.5244926357544397</v>
      </c>
      <c r="AH60" s="1136">
        <f>'12. Разходи'!X60-'12. Разходи'!$S60</f>
        <v>1587.2725679345081</v>
      </c>
      <c r="AI60" s="1183">
        <f>IFERROR(('12. Разходи'!X60-'12. Разходи'!$S60)/'12. Разходи'!$S60,0)</f>
        <v>1.8824270071616269</v>
      </c>
      <c r="AJ60" s="1177">
        <f>'12. Разходи'!AA60</f>
        <v>0</v>
      </c>
      <c r="AK60" s="1141">
        <f>'12. Разходи'!AB60-'12. Разходи'!$AA60</f>
        <v>0</v>
      </c>
      <c r="AL60" s="1121">
        <f>IFERROR(('12. Разходи'!AB60-'12. Разходи'!$AA60)/'12. Разходи'!$AA60,0)</f>
        <v>0</v>
      </c>
      <c r="AM60" s="907">
        <f>'12. Разходи'!AC60-'12. Разходи'!$AA60</f>
        <v>0</v>
      </c>
      <c r="AN60" s="1129">
        <f>IFERROR(('12. Разходи'!AC60-'12. Разходи'!$AA60)/'12. Разходи'!$AA60,0)</f>
        <v>0</v>
      </c>
      <c r="AO60" s="907">
        <f>'12. Разходи'!AD60-'12. Разходи'!$AA60</f>
        <v>0</v>
      </c>
      <c r="AP60" s="1129">
        <f>IFERROR(('12. Разходи'!AD60-'12. Разходи'!$AA60)/'12. Разходи'!$AA60,0)</f>
        <v>0</v>
      </c>
      <c r="AQ60" s="907">
        <f>'12. Разходи'!AE60-'12. Разходи'!$AA60</f>
        <v>0</v>
      </c>
      <c r="AR60" s="1128">
        <f>IFERROR(('12. Разходи'!AE60-'12. Разходи'!$AA60)/'12. Разходи'!$AA60,0)</f>
        <v>0</v>
      </c>
      <c r="AS60" s="1136">
        <f>'12. Разходи'!AF60-'12. Разходи'!$AA60</f>
        <v>0</v>
      </c>
      <c r="AT60" s="1183">
        <f>IFERROR(('12. Разходи'!AF60-'12. Разходи'!$AA60)/'12. Разходи'!$AA60,0)</f>
        <v>0</v>
      </c>
      <c r="AU60" s="1177">
        <f>'12. Разходи'!AI60</f>
        <v>692.37253139835673</v>
      </c>
      <c r="AV60" s="1141">
        <f>'12. Разходи'!AJ60-'12. Разходи'!$AI60</f>
        <v>323.70300692478656</v>
      </c>
      <c r="AW60" s="1121">
        <f>IFERROR(('12. Разходи'!AJ60-'12. Разходи'!$AI60)/'12. Разходи'!$AI60,0)</f>
        <v>0.4675272230557973</v>
      </c>
      <c r="AX60" s="907">
        <f>'12. Разходи'!AK60-'12. Разходи'!$AI60</f>
        <v>448.80054433220778</v>
      </c>
      <c r="AY60" s="1129">
        <f>IFERROR(('12. Разходи'!AK60-'12. Разходи'!$AI60)/'12. Разходи'!$AI60,0)</f>
        <v>0.64820674417251001</v>
      </c>
      <c r="AZ60" s="907">
        <f>'12. Разходи'!AL60-'12. Разходи'!$AI60</f>
        <v>593.64496183064932</v>
      </c>
      <c r="BA60" s="1129">
        <f>IFERROR(('12. Разходи'!AL60-'12. Разходи'!$AI60)/'12. Разходи'!$AI60,0)</f>
        <v>0.8574068653932424</v>
      </c>
      <c r="BB60" s="907">
        <f>'12. Разходи'!AM60-'12. Разходи'!$AI60</f>
        <v>759.48767010756808</v>
      </c>
      <c r="BC60" s="1128">
        <f>IFERROR(('12. Разходи'!AM60-'12. Разходи'!$AI60)/'12. Разходи'!$AI60,0)</f>
        <v>1.0969350106562743</v>
      </c>
      <c r="BD60" s="1136">
        <f>'12. Разходи'!AN60-'12. Разходи'!$AI60</f>
        <v>946.21421597086453</v>
      </c>
      <c r="BE60" s="1183">
        <f>IFERROR(('12. Разходи'!AN60-'12. Разходи'!$AI60)/'12. Разходи'!$AI60,0)</f>
        <v>1.3666258741660853</v>
      </c>
      <c r="BF60" s="4488"/>
      <c r="BG60" s="4504">
        <f t="shared" si="1"/>
        <v>1833.4972754080534</v>
      </c>
      <c r="BH60" s="4504">
        <f t="shared" si="2"/>
        <v>887.25151833737004</v>
      </c>
      <c r="BI60" s="4504">
        <f t="shared" si="3"/>
        <v>1243.9821262039977</v>
      </c>
      <c r="BJ60" s="4504">
        <f t="shared" si="4"/>
        <v>1662.0552292041127</v>
      </c>
      <c r="BK60" s="4504">
        <f t="shared" si="5"/>
        <v>2138.83427414577</v>
      </c>
      <c r="BL60" s="4504">
        <f t="shared" si="6"/>
        <v>2684.3166516761962</v>
      </c>
      <c r="BM60" s="4504">
        <f t="shared" si="7"/>
        <v>59.293336931694711</v>
      </c>
      <c r="BN60" s="4504">
        <f t="shared" si="8"/>
        <v>77.748433397175191</v>
      </c>
      <c r="BO60" s="4504">
        <f t="shared" si="9"/>
        <v>96.179074119706542</v>
      </c>
      <c r="BP60" s="4504">
        <f t="shared" si="10"/>
        <v>118.37728181958903</v>
      </c>
      <c r="BQ60" s="4504">
        <f t="shared" si="11"/>
        <v>140.51482679127639</v>
      </c>
      <c r="BR60" s="4504">
        <f t="shared" si="12"/>
        <v>168.92109981761016</v>
      </c>
      <c r="BS60" s="4504">
        <f t="shared" si="13"/>
        <v>431.12406172607888</v>
      </c>
      <c r="BT60" s="4504">
        <f t="shared" si="14"/>
        <v>301.71796984899902</v>
      </c>
      <c r="BU60" s="4504">
        <f t="shared" si="15"/>
        <v>404.77336748550488</v>
      </c>
      <c r="BV60" s="4504">
        <f t="shared" si="16"/>
        <v>522.52339238201364</v>
      </c>
      <c r="BW60" s="4504">
        <f t="shared" si="17"/>
        <v>657.24545719794969</v>
      </c>
      <c r="BX60" s="4504">
        <f t="shared" si="18"/>
        <v>811.55957723038716</v>
      </c>
      <c r="BY60" s="4504">
        <f t="shared" si="19"/>
        <v>0</v>
      </c>
      <c r="BZ60" s="4504">
        <f t="shared" si="20"/>
        <v>0</v>
      </c>
      <c r="CA60" s="4504">
        <f t="shared" si="21"/>
        <v>0</v>
      </c>
      <c r="CB60" s="4504">
        <f t="shared" si="22"/>
        <v>0</v>
      </c>
      <c r="CC60" s="4504">
        <f t="shared" si="23"/>
        <v>0</v>
      </c>
      <c r="CD60" s="4504">
        <f t="shared" si="24"/>
        <v>0</v>
      </c>
      <c r="CE60" s="4504">
        <f t="shared" si="25"/>
        <v>354.00445406725368</v>
      </c>
      <c r="CF60" s="4504">
        <f t="shared" si="26"/>
        <v>165.50671935944666</v>
      </c>
      <c r="CG60" s="4504">
        <f t="shared" si="27"/>
        <v>229.46807459350137</v>
      </c>
      <c r="CH60" s="4504">
        <f t="shared" si="28"/>
        <v>303.52584929705</v>
      </c>
      <c r="CI60" s="4504">
        <f t="shared" si="29"/>
        <v>388.31987959463146</v>
      </c>
      <c r="CJ60" s="4504">
        <f t="shared" si="30"/>
        <v>483.79164649834831</v>
      </c>
    </row>
    <row r="61" spans="1:88" s="685" customFormat="1" ht="24">
      <c r="A61" s="401" t="s">
        <v>102</v>
      </c>
      <c r="B61" s="901" t="s">
        <v>640</v>
      </c>
      <c r="C61" s="1115">
        <f>'12. Разходи'!C61</f>
        <v>656.67534467700068</v>
      </c>
      <c r="D61" s="1143">
        <f>'12. Разходи'!D61-'12. Разходи'!$C61</f>
        <v>145.29329980877264</v>
      </c>
      <c r="E61" s="877">
        <f>IFERROR(('12. Разходи'!D61-'12. Разходи'!$C61)/'12. Разходи'!$C61,0)</f>
        <v>0.2212559082452504</v>
      </c>
      <c r="F61" s="1133">
        <f>'12. Разходи'!E61-'12. Разходи'!$C61</f>
        <v>245.41630011537734</v>
      </c>
      <c r="G61" s="877">
        <f>IFERROR(('12. Разходи'!E61-'12. Разходи'!$C61)/'12. Разходи'!$C61,0)</f>
        <v>0.37372546739377038</v>
      </c>
      <c r="H61" s="1133">
        <f>'12. Разходи'!F61-'12. Разходи'!$C61</f>
        <v>367.68326622914344</v>
      </c>
      <c r="I61" s="877">
        <f>IFERROR(('12. Разходи'!F61-'12. Разходи'!$C61)/'12. Разходи'!$C61,0)</f>
        <v>0.55991635624753966</v>
      </c>
      <c r="J61" s="1133">
        <f>'12. Разходи'!G61-'12. Разходи'!$C61</f>
        <v>508.74783000723198</v>
      </c>
      <c r="K61" s="886">
        <f>IFERROR(('12. Разходи'!G61-'12. Разходи'!$C61)/'12. Разходи'!$C61,0)</f>
        <v>0.77473265005475433</v>
      </c>
      <c r="L61" s="1133">
        <f>'12. Разходи'!H61-'12. Разходи'!$C61</f>
        <v>662.89724288508808</v>
      </c>
      <c r="M61" s="886">
        <f>IFERROR(('12. Разходи'!H61-'12. Разходи'!$C61)/'12. Разходи'!$C61,0)</f>
        <v>1.0094748466780761</v>
      </c>
      <c r="N61" s="1163">
        <f>'12. Разходи'!K61</f>
        <v>13.455360000000001</v>
      </c>
      <c r="O61" s="1143">
        <f>'12. Разходи'!L61-'12. Разходи'!$K61</f>
        <v>9.9585475190785555</v>
      </c>
      <c r="P61" s="877">
        <f>IFERROR(('12. Разходи'!L61-'12. Разходи'!$K61)/'12. Разходи'!$K61,0)</f>
        <v>0.74011750849316216</v>
      </c>
      <c r="Q61" s="1133">
        <f>'12. Разходи'!M61-'12. Разходи'!$K61</f>
        <v>12.586633180433511</v>
      </c>
      <c r="R61" s="877">
        <f>IFERROR(('12. Разходи'!M61-'12. Разходи'!$K61)/'12. Разходи'!$K61,0)</f>
        <v>0.93543637483006847</v>
      </c>
      <c r="S61" s="1133">
        <f>'12. Разходи'!N61-'12. Разходи'!$K61</f>
        <v>13.403416685922098</v>
      </c>
      <c r="T61" s="877">
        <f>IFERROR(('12. Разходи'!N61-'12. Разходи'!$K61)/'12. Разходи'!$K61,0)</f>
        <v>0.9961395819897868</v>
      </c>
      <c r="U61" s="1133">
        <f>'12. Разходи'!O61-'12. Разходи'!$K61</f>
        <v>20.692849098739543</v>
      </c>
      <c r="V61" s="886">
        <f>IFERROR(('12. Разходи'!O61-'12. Разходи'!$K61)/'12. Разходи'!$K61,0)</f>
        <v>1.5378889229823314</v>
      </c>
      <c r="W61" s="1133">
        <f>'12. Разходи'!P61-'12. Разходи'!$K61</f>
        <v>22.986143028896834</v>
      </c>
      <c r="X61" s="891">
        <f>IFERROR(('12. Разходи'!P61-'12. Разходи'!$K61)/'12. Разходи'!$K61,0)</f>
        <v>1.7083261264579195</v>
      </c>
      <c r="Y61" s="1163">
        <f>'12. Разходи'!S61</f>
        <v>4.6021899999999976</v>
      </c>
      <c r="Z61" s="1143">
        <f>'12. Разходи'!T61-'12. Разходи'!$S61</f>
        <v>1.9025528553813986</v>
      </c>
      <c r="AA61" s="877">
        <f>IFERROR(('12. Разходи'!T61-'12. Разходи'!$S61)/'12. Разходи'!$S61,0)</f>
        <v>0.41340163169738747</v>
      </c>
      <c r="AB61" s="1133">
        <f>'12. Разходи'!U61-'12. Разходи'!$S61</f>
        <v>2.9065759136332758</v>
      </c>
      <c r="AC61" s="877">
        <f>IFERROR(('12. Разходи'!U61-'12. Разходи'!$S61)/'12. Разходи'!$S61,0)</f>
        <v>0.63156364983481283</v>
      </c>
      <c r="AD61" s="1133">
        <f>'12. Разходи'!V61-'12. Разходи'!$S61</f>
        <v>4.1854012274041343</v>
      </c>
      <c r="AE61" s="877">
        <f>IFERROR(('12. Разходи'!V61-'12. Разходи'!$S61)/'12. Разходи'!$S61,0)</f>
        <v>0.90943686101706722</v>
      </c>
      <c r="AF61" s="1133">
        <f>'12. Разходи'!W61-'12. Разходи'!$S61</f>
        <v>5.7145458301295209</v>
      </c>
      <c r="AG61" s="886">
        <f>IFERROR(('12. Разходи'!W61-'12. Разходи'!$S61)/'12. Разходи'!$S61,0)</f>
        <v>1.2417014139202258</v>
      </c>
      <c r="AH61" s="1133">
        <f>'12. Разходи'!X61-'12. Разходи'!$S61</f>
        <v>7.5026841253372316</v>
      </c>
      <c r="AI61" s="891">
        <f>IFERROR(('12. Разходи'!X61-'12. Разходи'!$S61)/'12. Разходи'!$S61,0)</f>
        <v>1.6302421510926832</v>
      </c>
      <c r="AJ61" s="1163">
        <f>'12. Разходи'!AA61</f>
        <v>0</v>
      </c>
      <c r="AK61" s="1143">
        <f>'12. Разходи'!AB61-'12. Разходи'!$AA61</f>
        <v>0</v>
      </c>
      <c r="AL61" s="877">
        <f>IFERROR(('12. Разходи'!AB61-'12. Разходи'!$AA61)/'12. Разходи'!$AA61,0)</f>
        <v>0</v>
      </c>
      <c r="AM61" s="1133">
        <f>'12. Разходи'!AC61-'12. Разходи'!$AA61</f>
        <v>0</v>
      </c>
      <c r="AN61" s="877">
        <f>IFERROR(('12. Разходи'!AC61-'12. Разходи'!$AA61)/'12. Разходи'!$AA61,0)</f>
        <v>0</v>
      </c>
      <c r="AO61" s="1133">
        <f>'12. Разходи'!AD61-'12. Разходи'!$AA61</f>
        <v>0</v>
      </c>
      <c r="AP61" s="877">
        <f>IFERROR(('12. Разходи'!AD61-'12. Разходи'!$AA61)/'12. Разходи'!$AA61,0)</f>
        <v>0</v>
      </c>
      <c r="AQ61" s="1133">
        <f>'12. Разходи'!AE61-'12. Разходи'!$AA61</f>
        <v>0</v>
      </c>
      <c r="AR61" s="886">
        <f>IFERROR(('12. Разходи'!AE61-'12. Разходи'!$AA61)/'12. Разходи'!$AA61,0)</f>
        <v>0</v>
      </c>
      <c r="AS61" s="1133">
        <f>'12. Разходи'!AF61-'12. Разходи'!$AA61</f>
        <v>0</v>
      </c>
      <c r="AT61" s="891">
        <f>IFERROR(('12. Разходи'!AF61-'12. Разходи'!$AA61)/'12. Разходи'!$AA61,0)</f>
        <v>0</v>
      </c>
      <c r="AU61" s="1163">
        <f>'12. Разходи'!AI61</f>
        <v>55.819605322999116</v>
      </c>
      <c r="AV61" s="1143">
        <f>'12. Разходи'!AJ61-'12. Разходи'!$AI61</f>
        <v>54.125192137387209</v>
      </c>
      <c r="AW61" s="877">
        <f>IFERROR(('12. Разходи'!AJ61-'12. Разходи'!$AI61)/'12. Разходи'!$AI61,0)</f>
        <v>0.9696448375833685</v>
      </c>
      <c r="AX61" s="1133">
        <f>'12. Разходи'!AK61-'12. Разходи'!$AI61</f>
        <v>74.075358168778735</v>
      </c>
      <c r="AY61" s="877">
        <f>IFERROR(('12. Разходи'!AK61-'12. Разходи'!$AI61)/'12. Разходи'!$AI61,0)</f>
        <v>1.3270491208266888</v>
      </c>
      <c r="AZ61" s="1133">
        <f>'12. Разходи'!AL61-'12. Разходи'!$AI61</f>
        <v>98.393071317809586</v>
      </c>
      <c r="BA61" s="877">
        <f>IFERROR(('12. Разходи'!AL61-'12. Разходи'!$AI61)/'12. Разходи'!$AI61,0)</f>
        <v>1.762697366784661</v>
      </c>
      <c r="BB61" s="1133">
        <f>'12. Разходи'!AM61-'12. Разходи'!$AI61</f>
        <v>126.22406941355473</v>
      </c>
      <c r="BC61" s="886">
        <f>IFERROR(('12. Разходи'!AM61-'12. Разходи'!$AI61)/'12. Разходи'!$AI61,0)</f>
        <v>2.2612855946071542</v>
      </c>
      <c r="BD61" s="1133">
        <f>'12. Разходи'!AN61-'12. Разходи'!$AI61</f>
        <v>161.22606209429898</v>
      </c>
      <c r="BE61" s="891">
        <f>IFERROR(('12. Разходи'!AN61-'12. Разходи'!$AI61)/'12. Разходи'!$AI61,0)</f>
        <v>2.8883411332159614</v>
      </c>
      <c r="BF61" s="4488"/>
      <c r="BG61" s="4504">
        <f t="shared" si="1"/>
        <v>335.75277231507886</v>
      </c>
      <c r="BH61" s="4504">
        <f t="shared" si="2"/>
        <v>74.287284584433536</v>
      </c>
      <c r="BI61" s="4504">
        <f t="shared" si="3"/>
        <v>125.47936176220702</v>
      </c>
      <c r="BJ61" s="4504">
        <f t="shared" si="4"/>
        <v>187.99346887466879</v>
      </c>
      <c r="BK61" s="4504">
        <f t="shared" si="5"/>
        <v>260.11863505889164</v>
      </c>
      <c r="BL61" s="4504">
        <f t="shared" si="6"/>
        <v>338.93397835450327</v>
      </c>
      <c r="BM61" s="4504">
        <f t="shared" si="7"/>
        <v>6.8796163265723509</v>
      </c>
      <c r="BN61" s="4504">
        <f t="shared" si="8"/>
        <v>5.0917244950116096</v>
      </c>
      <c r="BO61" s="4504">
        <f t="shared" si="9"/>
        <v>6.435443356750592</v>
      </c>
      <c r="BP61" s="4504">
        <f t="shared" si="10"/>
        <v>6.8530581318018937</v>
      </c>
      <c r="BQ61" s="4504">
        <f t="shared" si="11"/>
        <v>10.580085743004016</v>
      </c>
      <c r="BR61" s="4504">
        <f t="shared" si="12"/>
        <v>11.752628310690007</v>
      </c>
      <c r="BS61" s="4504">
        <f t="shared" si="13"/>
        <v>2.3530623827224235</v>
      </c>
      <c r="BT61" s="4504">
        <f t="shared" si="14"/>
        <v>0.97275982850319231</v>
      </c>
      <c r="BU61" s="4504">
        <f t="shared" si="15"/>
        <v>1.4861086667211751</v>
      </c>
      <c r="BV61" s="4504">
        <f t="shared" si="16"/>
        <v>2.1399616671204216</v>
      </c>
      <c r="BW61" s="4504">
        <f t="shared" si="17"/>
        <v>2.9218008876689288</v>
      </c>
      <c r="BX61" s="4504">
        <f t="shared" si="18"/>
        <v>3.8360614804646782</v>
      </c>
      <c r="BY61" s="4504">
        <f t="shared" si="19"/>
        <v>0</v>
      </c>
      <c r="BZ61" s="4504">
        <f t="shared" si="20"/>
        <v>0</v>
      </c>
      <c r="CA61" s="4504">
        <f t="shared" si="21"/>
        <v>0</v>
      </c>
      <c r="CB61" s="4504">
        <f t="shared" si="22"/>
        <v>0</v>
      </c>
      <c r="CC61" s="4504">
        <f t="shared" si="23"/>
        <v>0</v>
      </c>
      <c r="CD61" s="4504">
        <f t="shared" si="24"/>
        <v>0</v>
      </c>
      <c r="CE61" s="4504">
        <f t="shared" si="25"/>
        <v>28.540111013226671</v>
      </c>
      <c r="CF61" s="4504">
        <f t="shared" si="26"/>
        <v>27.67377130803148</v>
      </c>
      <c r="CG61" s="4504">
        <f t="shared" si="27"/>
        <v>37.874129228398552</v>
      </c>
      <c r="CH61" s="4504">
        <f t="shared" si="28"/>
        <v>50.307578530756551</v>
      </c>
      <c r="CI61" s="4504">
        <f t="shared" si="29"/>
        <v>64.537341902698458</v>
      </c>
      <c r="CJ61" s="4504">
        <f t="shared" si="30"/>
        <v>82.433576586052467</v>
      </c>
    </row>
    <row r="62" spans="1:88" ht="45.75" customHeight="1" thickBot="1">
      <c r="A62" s="108" t="s">
        <v>103</v>
      </c>
      <c r="B62" s="900" t="s">
        <v>1748</v>
      </c>
      <c r="C62" s="1114">
        <f>'12. Разходи'!C62</f>
        <v>204.45839676023402</v>
      </c>
      <c r="D62" s="1141">
        <f>'12. Разходи'!D62-'12. Разходи'!$C62</f>
        <v>42.342330140267904</v>
      </c>
      <c r="E62" s="1121">
        <f>IFERROR(('12. Разходи'!D62-'12. Разходи'!$C62)/'12. Разходи'!$C62,0)</f>
        <v>0.2070950903030031</v>
      </c>
      <c r="F62" s="907">
        <f>'12. Разходи'!E62-'12. Разходи'!$C62</f>
        <v>80.272219817457966</v>
      </c>
      <c r="G62" s="1129">
        <f>IFERROR(('12. Разходи'!E62-'12. Разходи'!$C62)/'12. Разходи'!$C62,0)</f>
        <v>0.39260906418821362</v>
      </c>
      <c r="H62" s="907">
        <f>'12. Разходи'!F62-'12. Разходи'!$C62</f>
        <v>124.15394658563648</v>
      </c>
      <c r="I62" s="1129">
        <f>IFERROR(('12. Разходи'!F62-'12. Разходи'!$C62)/'12. Разходи'!$C62,0)</f>
        <v>0.60723329808376791</v>
      </c>
      <c r="J62" s="907">
        <f>'12. Разходи'!G62-'12. Разходи'!$C62</f>
        <v>174.92077650418619</v>
      </c>
      <c r="K62" s="1128">
        <f>IFERROR(('12. Разходи'!G62-'12. Разходи'!$C62)/'12. Разходи'!$C62,0)</f>
        <v>0.85553236881395356</v>
      </c>
      <c r="L62" s="1136">
        <f>'12. Разходи'!H62-'12. Разходи'!$C62</f>
        <v>233.65239722987471</v>
      </c>
      <c r="M62" s="1128">
        <f>IFERROR(('12. Разходи'!H62-'12. Разходи'!$C62)/'12. Разходи'!$C62,0)</f>
        <v>1.1427869969257176</v>
      </c>
      <c r="N62" s="1177">
        <f>'12. Разходи'!K62</f>
        <v>5.5245521312582202</v>
      </c>
      <c r="O62" s="1141">
        <f>'12. Разходи'!L62-'12. Разходи'!$K62</f>
        <v>6.4590709836329889</v>
      </c>
      <c r="P62" s="1121">
        <f>IFERROR(('12. Разходи'!L62-'12. Разходи'!$K62)/'12. Разходи'!$K62,0)</f>
        <v>1.1691573959610608</v>
      </c>
      <c r="Q62" s="907">
        <f>'12. Разходи'!M62-'12. Разходи'!$K62</f>
        <v>8.227744240404018</v>
      </c>
      <c r="R62" s="1129">
        <f>IFERROR(('12. Разходи'!M62-'12. Разходи'!$K62)/'12. Разходи'!$K62,0)</f>
        <v>1.4893052042809023</v>
      </c>
      <c r="S62" s="907">
        <f>'12. Разходи'!N62-'12. Разходи'!$K62</f>
        <v>10.273566611052733</v>
      </c>
      <c r="T62" s="1129">
        <f>IFERROR(('12. Разходи'!N62-'12. Разходи'!$K62)/'12. Разходи'!$K62,0)</f>
        <v>1.8596198147763556</v>
      </c>
      <c r="U62" s="907">
        <f>'12. Разходи'!O62-'12. Разходи'!$K62</f>
        <v>12.640159142996881</v>
      </c>
      <c r="V62" s="1128">
        <f>IFERROR(('12. Разходи'!O62-'12. Разходи'!$K62)/'12. Разходи'!$K62,0)</f>
        <v>2.2879970797050069</v>
      </c>
      <c r="W62" s="1136">
        <f>'12. Разходи'!P62-'12. Разходи'!$K62</f>
        <v>15.378009837731229</v>
      </c>
      <c r="X62" s="1183">
        <f>IFERROR(('12. Разходи'!P62-'12. Разходи'!$K62)/'12. Разходи'!$K62,0)</f>
        <v>2.7835758396995844</v>
      </c>
      <c r="Y62" s="1177">
        <f>'12. Разходи'!S62</f>
        <v>47.618245344185517</v>
      </c>
      <c r="Z62" s="1141">
        <f>'12. Разходи'!T62-'12. Разходи'!$S62</f>
        <v>17.181142348990342</v>
      </c>
      <c r="AA62" s="1121">
        <f>IFERROR(('12. Разходи'!T62-'12. Разходи'!$S62)/'12. Разходи'!$S62,0)</f>
        <v>0.36081006817459865</v>
      </c>
      <c r="AB62" s="907">
        <f>'12. Разходи'!U62-'12. Разходи'!$S62</f>
        <v>27.29254194547466</v>
      </c>
      <c r="AC62" s="1129">
        <f>IFERROR(('12. Разходи'!U62-'12. Разходи'!$S62)/'12. Разходи'!$S62,0)</f>
        <v>0.57315303720671951</v>
      </c>
      <c r="AD62" s="907">
        <f>'12. Разходи'!V62-'12. Разходи'!$S62</f>
        <v>38.999495701699622</v>
      </c>
      <c r="AE62" s="1129">
        <f>IFERROR(('12. Разходи'!V62-'12. Разходи'!$S62)/'12. Разходи'!$S62,0)</f>
        <v>0.81900320811509497</v>
      </c>
      <c r="AF62" s="907">
        <f>'12. Разходи'!W62-'12. Разходи'!$S62</f>
        <v>52.55327171881914</v>
      </c>
      <c r="AG62" s="1128">
        <f>IFERROR(('12. Разходи'!W62-'12. Разходи'!$S62)/'12. Разходи'!$S62,0)</f>
        <v>1.1036372999249167</v>
      </c>
      <c r="AH62" s="1136">
        <f>'12. Разходи'!X62-'12. Разходи'!$S62</f>
        <v>68.244735799059157</v>
      </c>
      <c r="AI62" s="1183">
        <f>IFERROR(('12. Разходи'!X62-'12. Разходи'!$S62)/'12. Разходи'!$S62,0)</f>
        <v>1.4331635973939192</v>
      </c>
      <c r="AJ62" s="1177">
        <f>'12. Разходи'!AA62</f>
        <v>0</v>
      </c>
      <c r="AK62" s="1141">
        <f>'12. Разходи'!AB62-'12. Разходи'!$AA62</f>
        <v>0</v>
      </c>
      <c r="AL62" s="1121">
        <f>IFERROR(('12. Разходи'!AB62-'12. Разходи'!$AA62)/'12. Разходи'!$AA62,0)</f>
        <v>0</v>
      </c>
      <c r="AM62" s="907">
        <f>'12. Разходи'!AC62-'12. Разходи'!$AA62</f>
        <v>0</v>
      </c>
      <c r="AN62" s="1129">
        <f>IFERROR(('12. Разходи'!AC62-'12. Разходи'!$AA62)/'12. Разходи'!$AA62,0)</f>
        <v>0</v>
      </c>
      <c r="AO62" s="907">
        <f>'12. Разходи'!AD62-'12. Разходи'!$AA62</f>
        <v>0</v>
      </c>
      <c r="AP62" s="1129">
        <f>IFERROR(('12. Разходи'!AD62-'12. Разходи'!$AA62)/'12. Разходи'!$AA62,0)</f>
        <v>0</v>
      </c>
      <c r="AQ62" s="907">
        <f>'12. Разходи'!AE62-'12. Разходи'!$AA62</f>
        <v>0</v>
      </c>
      <c r="AR62" s="1128">
        <f>IFERROR(('12. Разходи'!AE62-'12. Разходи'!$AA62)/'12. Разходи'!$AA62,0)</f>
        <v>0</v>
      </c>
      <c r="AS62" s="1136">
        <f>'12. Разходи'!AF62-'12. Разходи'!$AA62</f>
        <v>0</v>
      </c>
      <c r="AT62" s="1183">
        <f>IFERROR(('12. Разходи'!AF62-'12. Разходи'!$AA62)/'12. Разходи'!$AA62,0)</f>
        <v>0</v>
      </c>
      <c r="AU62" s="1177">
        <f>'12. Разходи'!AI62</f>
        <v>51.137657831803224</v>
      </c>
      <c r="AV62" s="1141">
        <f>'12. Разходи'!AJ62-'12. Разходи'!$AI62</f>
        <v>8.0958341020586175</v>
      </c>
      <c r="AW62" s="1121">
        <f>IFERROR(('12. Разходи'!AJ62-'12. Разходи'!$AI62)/'12. Разходи'!$AI62,0)</f>
        <v>0.15831452681479097</v>
      </c>
      <c r="AX62" s="907">
        <f>'12. Разходи'!AK62-'12. Разходи'!$AI62</f>
        <v>16.838836352802048</v>
      </c>
      <c r="AY62" s="1129">
        <f>IFERROR(('12. Разходи'!AK62-'12. Разходи'!$AI62)/'12. Разходи'!$AI62,0)</f>
        <v>0.32928446602280131</v>
      </c>
      <c r="AZ62" s="907">
        <f>'12. Разходи'!AL62-'12. Разходи'!$AI62</f>
        <v>26.961757903211094</v>
      </c>
      <c r="BA62" s="1129">
        <f>IFERROR(('12. Разходи'!AL62-'12. Разходи'!$AI62)/'12. Разходи'!$AI62,0)</f>
        <v>0.52723881081708834</v>
      </c>
      <c r="BB62" s="907">
        <f>'12. Разходи'!AM62-'12. Разходи'!$AI62</f>
        <v>38.683791179982066</v>
      </c>
      <c r="BC62" s="1128">
        <f>IFERROR(('12. Разходи'!AM62-'12. Разходи'!$AI62)/'12. Разходи'!$AI62,0)</f>
        <v>0.75646388239400508</v>
      </c>
      <c r="BD62" s="1136">
        <f>'12. Разходи'!AN62-'12. Разходи'!$AI62</f>
        <v>52.258887700911046</v>
      </c>
      <c r="BE62" s="1183">
        <f>IFERROR(('12. Разходи'!AN62-'12. Разходи'!$AI62)/'12. Разходи'!$AI62,0)</f>
        <v>1.0219257180842278</v>
      </c>
      <c r="BF62" s="4488"/>
      <c r="BG62" s="4504">
        <f t="shared" si="1"/>
        <v>104.53791830590288</v>
      </c>
      <c r="BH62" s="4504">
        <f t="shared" si="2"/>
        <v>21.649289631648919</v>
      </c>
      <c r="BI62" s="4504">
        <f t="shared" si="3"/>
        <v>41.042534278264455</v>
      </c>
      <c r="BJ62" s="4504">
        <f t="shared" si="4"/>
        <v>63.478904907704901</v>
      </c>
      <c r="BK62" s="4504">
        <f t="shared" si="5"/>
        <v>89.435572879128657</v>
      </c>
      <c r="BL62" s="4504">
        <f t="shared" si="6"/>
        <v>119.46457372566876</v>
      </c>
      <c r="BM62" s="4504">
        <f t="shared" si="7"/>
        <v>2.8246586519575936</v>
      </c>
      <c r="BN62" s="4504">
        <f t="shared" si="8"/>
        <v>3.3024705540016202</v>
      </c>
      <c r="BO62" s="4504">
        <f t="shared" si="9"/>
        <v>4.2067788306775222</v>
      </c>
      <c r="BP62" s="4504">
        <f t="shared" si="10"/>
        <v>5.2527911991598106</v>
      </c>
      <c r="BQ62" s="4504">
        <f t="shared" si="11"/>
        <v>6.4628107468424565</v>
      </c>
      <c r="BR62" s="4504">
        <f t="shared" si="12"/>
        <v>7.8626515789875544</v>
      </c>
      <c r="BS62" s="4504">
        <f t="shared" si="13"/>
        <v>24.346822241291687</v>
      </c>
      <c r="BT62" s="4504">
        <f t="shared" si="14"/>
        <v>8.7845785927152882</v>
      </c>
      <c r="BU62" s="4504">
        <f t="shared" si="15"/>
        <v>13.954455113928439</v>
      </c>
      <c r="BV62" s="4504">
        <f t="shared" si="16"/>
        <v>19.940125523025838</v>
      </c>
      <c r="BW62" s="4504">
        <f t="shared" si="17"/>
        <v>26.870061160131065</v>
      </c>
      <c r="BX62" s="4504">
        <f t="shared" si="18"/>
        <v>34.892979348439873</v>
      </c>
      <c r="BY62" s="4504">
        <f t="shared" si="19"/>
        <v>0</v>
      </c>
      <c r="BZ62" s="4504">
        <f t="shared" si="20"/>
        <v>0</v>
      </c>
      <c r="CA62" s="4504">
        <f t="shared" si="21"/>
        <v>0</v>
      </c>
      <c r="CB62" s="4504">
        <f t="shared" si="22"/>
        <v>0</v>
      </c>
      <c r="CC62" s="4504">
        <f t="shared" si="23"/>
        <v>0</v>
      </c>
      <c r="CD62" s="4504">
        <f t="shared" si="24"/>
        <v>0</v>
      </c>
      <c r="CE62" s="4504">
        <f t="shared" si="25"/>
        <v>26.146269272791205</v>
      </c>
      <c r="CF62" s="4504">
        <f t="shared" si="26"/>
        <v>4.1393342478940491</v>
      </c>
      <c r="CG62" s="4504">
        <f t="shared" si="27"/>
        <v>8.6095603159794294</v>
      </c>
      <c r="CH62" s="4504">
        <f t="shared" si="28"/>
        <v>13.785327918689811</v>
      </c>
      <c r="CI62" s="4504">
        <f t="shared" si="29"/>
        <v>19.778708364214715</v>
      </c>
      <c r="CJ62" s="4504">
        <f t="shared" si="30"/>
        <v>26.719545001820734</v>
      </c>
    </row>
    <row r="63" spans="1:88" s="1160" customFormat="1" ht="15.9" customHeight="1" thickBot="1">
      <c r="A63" s="110">
        <v>5</v>
      </c>
      <c r="B63" s="897" t="s">
        <v>449</v>
      </c>
      <c r="C63" s="1110">
        <f>'12. Разходи'!C63</f>
        <v>1172.6227583451002</v>
      </c>
      <c r="D63" s="1148">
        <f>'12. Разходи'!D63-'12. Разходи'!$C63</f>
        <v>574.50324277023856</v>
      </c>
      <c r="E63" s="875">
        <f>IFERROR(('12. Разходи'!D63-'12. Разходи'!$C63)/'12. Разходи'!$C63,0)</f>
        <v>0.48993014904556675</v>
      </c>
      <c r="F63" s="1147">
        <f>'12. Разходи'!E63-'12. Разходи'!$C63</f>
        <v>835.08985286586085</v>
      </c>
      <c r="G63" s="875">
        <f>IFERROR(('12. Разходи'!E63-'12. Разходи'!$C63)/'12. Разходи'!$C63,0)</f>
        <v>0.71215559046833354</v>
      </c>
      <c r="H63" s="1147">
        <f>'12. Разходи'!F63-'12. Разходи'!$C63</f>
        <v>1094.887089662577</v>
      </c>
      <c r="I63" s="875">
        <f>IFERROR(('12. Разходи'!F63-'12. Разходи'!$C63)/'12. Разходи'!$C63,0)</f>
        <v>0.93370786288317476</v>
      </c>
      <c r="J63" s="1147">
        <f>'12. Разходи'!G63-'12. Разходи'!$C63</f>
        <v>1357.0825725643269</v>
      </c>
      <c r="K63" s="888">
        <f>IFERROR(('12. Разходи'!G63-'12. Разходи'!$C63)/'12. Разходи'!$C63,0)</f>
        <v>1.1573053336262646</v>
      </c>
      <c r="L63" s="1147">
        <f>'12. Разходи'!H63-'12. Разходи'!$C63</f>
        <v>1618.9289495463393</v>
      </c>
      <c r="M63" s="888">
        <f>IFERROR(('12. Разходи'!H63-'12. Разходи'!$C63)/'12. Разходи'!$C63,0)</f>
        <v>1.3806050906184886</v>
      </c>
      <c r="N63" s="1161">
        <f>'12. Разходи'!K63</f>
        <v>39.950415243085629</v>
      </c>
      <c r="O63" s="1148">
        <f>'12. Разходи'!L63-'12. Разходи'!$K63</f>
        <v>48.537673816574028</v>
      </c>
      <c r="P63" s="875">
        <f>IFERROR(('12. Разходи'!L63-'12. Разходи'!$K63)/'12. Разходи'!$K63,0)</f>
        <v>1.214947917843598</v>
      </c>
      <c r="Q63" s="1147">
        <f>'12. Разходи'!M63-'12. Разходи'!$K63</f>
        <v>62.316664081907831</v>
      </c>
      <c r="R63" s="875">
        <f>IFERROR(('12. Разходи'!M63-'12. Разходи'!$K63)/'12. Разходи'!$K63,0)</f>
        <v>1.5598502218995887</v>
      </c>
      <c r="S63" s="1147">
        <f>'12. Разходи'!N63-'12. Разходи'!$K63</f>
        <v>75.711530121859809</v>
      </c>
      <c r="T63" s="875">
        <f>IFERROR(('12. Разходи'!N63-'12. Разходи'!$K63)/'12. Разходи'!$K63,0)</f>
        <v>1.8951375013545946</v>
      </c>
      <c r="U63" s="1147">
        <f>'12. Разходи'!O63-'12. Разходи'!$K63</f>
        <v>89.608623099255524</v>
      </c>
      <c r="V63" s="888">
        <f>IFERROR(('12. Разходи'!O63-'12. Разходи'!$K63)/'12. Разходи'!$K63,0)</f>
        <v>2.2429960378137603</v>
      </c>
      <c r="W63" s="1147">
        <f>'12. Разходи'!P63-'12. Разходи'!$K63</f>
        <v>103.990237730288</v>
      </c>
      <c r="X63" s="890">
        <f>IFERROR(('12. Разходи'!P63-'12. Разходи'!$K63)/'12. Разходи'!$K63,0)</f>
        <v>2.6029826498057735</v>
      </c>
      <c r="Y63" s="1161">
        <f>'12. Разходи'!S63</f>
        <v>235.8227283559373</v>
      </c>
      <c r="Z63" s="1148">
        <f>'12. Разходи'!T63-'12. Разходи'!$S63</f>
        <v>174.1622731922935</v>
      </c>
      <c r="AA63" s="875">
        <f>IFERROR(('12. Разходи'!T63-'12. Разходи'!$S63)/'12. Разходи'!$S63,0)</f>
        <v>0.73853048180081671</v>
      </c>
      <c r="AB63" s="1147">
        <f>'12. Разходи'!U63-'12. Разходи'!$S63</f>
        <v>239.89139561629028</v>
      </c>
      <c r="AC63" s="875">
        <f>IFERROR(('12. Разходи'!U63-'12. Разходи'!$S63)/'12. Разходи'!$S63,0)</f>
        <v>1.0172530751752307</v>
      </c>
      <c r="AD63" s="1147">
        <f>'12. Разходи'!V63-'12. Разходи'!$S63</f>
        <v>303.76363521091014</v>
      </c>
      <c r="AE63" s="875">
        <f>IFERROR(('12. Разходи'!V63-'12. Разходи'!$S63)/'12. Разходи'!$S63,0)</f>
        <v>1.2881016063575803</v>
      </c>
      <c r="AF63" s="1147">
        <f>'12. Разходи'!W63-'12. Разходи'!$S63</f>
        <v>368.84273379775595</v>
      </c>
      <c r="AG63" s="888">
        <f>IFERROR(('12. Разходи'!W63-'12. Разходи'!$S63)/'12. Разходи'!$S63,0)</f>
        <v>1.5640677909596818</v>
      </c>
      <c r="AH63" s="1147">
        <f>'12. Разходи'!X63-'12. Разходи'!$S63</f>
        <v>434.88138816518858</v>
      </c>
      <c r="AI63" s="890">
        <f>IFERROR(('12. Разходи'!X63-'12. Разходи'!$S63)/'12. Разходи'!$S63,0)</f>
        <v>1.84410294629788</v>
      </c>
      <c r="AJ63" s="1161">
        <f>'12. Разходи'!AA63</f>
        <v>0</v>
      </c>
      <c r="AK63" s="1148">
        <f>'12. Разходи'!AB63-'12. Разходи'!$AA63</f>
        <v>0</v>
      </c>
      <c r="AL63" s="875">
        <f>IFERROR(('12. Разходи'!AB63-'12. Разходи'!$AA63)/'12. Разходи'!$AA63,0)</f>
        <v>0</v>
      </c>
      <c r="AM63" s="1147">
        <f>'12. Разходи'!AC63-'12. Разходи'!$AA63</f>
        <v>0</v>
      </c>
      <c r="AN63" s="875">
        <f>IFERROR(('12. Разходи'!AC63-'12. Разходи'!$AA63)/'12. Разходи'!$AA63,0)</f>
        <v>0</v>
      </c>
      <c r="AO63" s="1147">
        <f>'12. Разходи'!AD63-'12. Разходи'!$AA63</f>
        <v>0</v>
      </c>
      <c r="AP63" s="875">
        <f>IFERROR(('12. Разходи'!AD63-'12. Разходи'!$AA63)/'12. Разходи'!$AA63,0)</f>
        <v>0</v>
      </c>
      <c r="AQ63" s="1147">
        <f>'12. Разходи'!AE63-'12. Разходи'!$AA63</f>
        <v>0</v>
      </c>
      <c r="AR63" s="888">
        <f>IFERROR(('12. Разходи'!AE63-'12. Разходи'!$AA63)/'12. Разходи'!$AA63,0)</f>
        <v>0</v>
      </c>
      <c r="AS63" s="1147">
        <f>'12. Разходи'!AF63-'12. Разходи'!$AA63</f>
        <v>0</v>
      </c>
      <c r="AT63" s="890">
        <f>IFERROR(('12. Разходи'!AF63-'12. Разходи'!$AA63)/'12. Разходи'!$AA63,0)</f>
        <v>0</v>
      </c>
      <c r="AU63" s="1161">
        <f>'12. Разходи'!AI63</f>
        <v>209.45682051322046</v>
      </c>
      <c r="AV63" s="1148">
        <f>'12. Разходи'!AJ63-'12. Разходи'!$AI63</f>
        <v>107.27940989051331</v>
      </c>
      <c r="AW63" s="875">
        <f>IFERROR(('12. Разходи'!AJ63-'12. Разходи'!$AI63)/'12. Разходи'!$AI63,0)</f>
        <v>0.51217911943689631</v>
      </c>
      <c r="AX63" s="1147">
        <f>'12. Разходи'!AK63-'12. Разходи'!$AI63</f>
        <v>155.03275183351207</v>
      </c>
      <c r="AY63" s="875">
        <f>IFERROR(('12. Разходи'!AK63-'12. Разходи'!$AI63)/'12. Разходи'!$AI63,0)</f>
        <v>0.74016568882141864</v>
      </c>
      <c r="AZ63" s="1147">
        <f>'12. Разходи'!AL63-'12. Разходи'!$AI63</f>
        <v>202.948675314902</v>
      </c>
      <c r="BA63" s="875">
        <f>IFERROR(('12. Разходи'!AL63-'12. Разходи'!$AI63)/'12. Разходи'!$AI63,0)</f>
        <v>0.968928463716904</v>
      </c>
      <c r="BB63" s="1147">
        <f>'12. Разходи'!AM63-'12. Разходи'!$AI63</f>
        <v>251.80155954056164</v>
      </c>
      <c r="BC63" s="888">
        <f>IFERROR(('12. Разходи'!AM63-'12. Разходи'!$AI63)/'12. Разходи'!$AI63,0)</f>
        <v>1.2021645269110177</v>
      </c>
      <c r="BD63" s="1147">
        <f>'12. Разходи'!AN63-'12. Разходи'!$AI63</f>
        <v>300.54643860689163</v>
      </c>
      <c r="BE63" s="890">
        <f>IFERROR(('12. Разходи'!AN63-'12. Разходи'!$AI63)/'12. Разходи'!$AI63,0)</f>
        <v>1.4348849460737507</v>
      </c>
      <c r="BF63" s="4488"/>
      <c r="BG63" s="4504">
        <f t="shared" si="1"/>
        <v>599.55249604776498</v>
      </c>
      <c r="BH63" s="4504">
        <f t="shared" si="2"/>
        <v>293.73884374932311</v>
      </c>
      <c r="BI63" s="4504">
        <f t="shared" si="3"/>
        <v>426.97466183965929</v>
      </c>
      <c r="BJ63" s="4504">
        <f t="shared" si="4"/>
        <v>559.80687977103173</v>
      </c>
      <c r="BK63" s="4504">
        <f t="shared" si="5"/>
        <v>693.86530146501843</v>
      </c>
      <c r="BL63" s="4504">
        <f t="shared" si="6"/>
        <v>827.74522813656574</v>
      </c>
      <c r="BM63" s="4504">
        <f t="shared" si="7"/>
        <v>20.426322964207333</v>
      </c>
      <c r="BN63" s="4504">
        <f t="shared" si="8"/>
        <v>24.816918554564573</v>
      </c>
      <c r="BO63" s="4504">
        <f t="shared" si="9"/>
        <v>31.862004408311474</v>
      </c>
      <c r="BP63" s="4504">
        <f t="shared" si="10"/>
        <v>38.710690664249867</v>
      </c>
      <c r="BQ63" s="4504">
        <f t="shared" si="11"/>
        <v>45.816161475821275</v>
      </c>
      <c r="BR63" s="4504">
        <f t="shared" si="12"/>
        <v>53.16936427516093</v>
      </c>
      <c r="BS63" s="4504">
        <f t="shared" si="13"/>
        <v>120.574246409932</v>
      </c>
      <c r="BT63" s="4504">
        <f t="shared" si="14"/>
        <v>89.047756293897478</v>
      </c>
      <c r="BU63" s="4504">
        <f t="shared" si="15"/>
        <v>122.65452294743935</v>
      </c>
      <c r="BV63" s="4504">
        <f t="shared" si="16"/>
        <v>155.31188048598813</v>
      </c>
      <c r="BW63" s="4504">
        <f t="shared" si="17"/>
        <v>188.58629522901069</v>
      </c>
      <c r="BX63" s="4504">
        <f t="shared" si="18"/>
        <v>222.35132305220219</v>
      </c>
      <c r="BY63" s="4504">
        <f t="shared" si="19"/>
        <v>0</v>
      </c>
      <c r="BZ63" s="4504">
        <f t="shared" si="20"/>
        <v>0</v>
      </c>
      <c r="CA63" s="4504">
        <f t="shared" si="21"/>
        <v>0</v>
      </c>
      <c r="CB63" s="4504">
        <f t="shared" si="22"/>
        <v>0</v>
      </c>
      <c r="CC63" s="4504">
        <f t="shared" si="23"/>
        <v>0</v>
      </c>
      <c r="CD63" s="4504">
        <f t="shared" si="24"/>
        <v>0</v>
      </c>
      <c r="CE63" s="4504">
        <f t="shared" si="25"/>
        <v>107.09357178958318</v>
      </c>
      <c r="CF63" s="4504">
        <f t="shared" si="26"/>
        <v>54.851091296540758</v>
      </c>
      <c r="CG63" s="4504">
        <f t="shared" si="27"/>
        <v>79.266987331982875</v>
      </c>
      <c r="CH63" s="4504">
        <f t="shared" si="28"/>
        <v>103.7660099880368</v>
      </c>
      <c r="CI63" s="4504">
        <f t="shared" si="29"/>
        <v>128.74409306563538</v>
      </c>
      <c r="CJ63" s="4504">
        <f t="shared" si="30"/>
        <v>153.66695398214142</v>
      </c>
    </row>
    <row r="64" spans="1:88" ht="15.9" customHeight="1">
      <c r="A64" s="108" t="s">
        <v>105</v>
      </c>
      <c r="B64" s="898" t="s">
        <v>632</v>
      </c>
      <c r="C64" s="1113">
        <f>'12. Разходи'!C64</f>
        <v>700.95337659930419</v>
      </c>
      <c r="D64" s="1139">
        <f>'12. Разходи'!D64-'12. Разходи'!$C64</f>
        <v>368.45741045836053</v>
      </c>
      <c r="E64" s="1125">
        <f>IFERROR(('12. Разходи'!D64-'12. Разходи'!$C64)/'12. Разходи'!$C64,0)</f>
        <v>0.52565180903463571</v>
      </c>
      <c r="F64" s="1140">
        <f>'12. Разходи'!E64-'12. Разходи'!$C64</f>
        <v>572.32705648445221</v>
      </c>
      <c r="G64" s="1126">
        <f>IFERROR(('12. Разходи'!E64-'12. Разходи'!$C64)/'12. Разходи'!$C64,0)</f>
        <v>0.81649803765995632</v>
      </c>
      <c r="H64" s="1140">
        <f>'12. Разходи'!F64-'12. Разходи'!$C64</f>
        <v>744.32851321774956</v>
      </c>
      <c r="I64" s="1126">
        <f>IFERROR(('12. Разходи'!F64-'12. Разходи'!$C64)/'12. Разходи'!$C64,0)</f>
        <v>1.0618802021168385</v>
      </c>
      <c r="J64" s="1140">
        <f>'12. Разходи'!G64-'12. Разходи'!$C64</f>
        <v>940.54685698036633</v>
      </c>
      <c r="K64" s="1127">
        <f>IFERROR(('12. Разходи'!G64-'12. Разходи'!$C64)/'12. Разходи'!$C64,0)</f>
        <v>1.341810865572054</v>
      </c>
      <c r="L64" s="1145">
        <f>'12. Разходи'!H64-'12. Разходи'!$C64</f>
        <v>1164.9268290205746</v>
      </c>
      <c r="M64" s="1127">
        <f>IFERROR(('12. Разходи'!H64-'12. Разходи'!$C64)/'12. Разходи'!$C64,0)</f>
        <v>1.6619177079540599</v>
      </c>
      <c r="N64" s="1181">
        <f>'12. Разходи'!K64</f>
        <v>26.772216607582205</v>
      </c>
      <c r="O64" s="1139">
        <f>'12. Разходи'!L64-'12. Разходи'!$K64</f>
        <v>35.69041388043334</v>
      </c>
      <c r="P64" s="1125">
        <f>IFERROR(('12. Разходи'!L64-'12. Разходи'!$K64)/'12. Разходи'!$K64,0)</f>
        <v>1.3331138920460324</v>
      </c>
      <c r="Q64" s="1140">
        <f>'12. Разходи'!M64-'12. Разходи'!$K64</f>
        <v>47.376562348041261</v>
      </c>
      <c r="R64" s="1126">
        <f>IFERROR(('12. Разходи'!M64-'12. Разходи'!$K64)/'12. Разходи'!$K64,0)</f>
        <v>1.7696167277618569</v>
      </c>
      <c r="S64" s="1140">
        <f>'12. Разходи'!N64-'12. Разходи'!$K64</f>
        <v>57.923230726879979</v>
      </c>
      <c r="T64" s="1126">
        <f>IFERROR(('12. Разходи'!N64-'12. Разходи'!$K64)/'12. Разходи'!$K64,0)</f>
        <v>2.1635575259194431</v>
      </c>
      <c r="U64" s="1140">
        <f>'12. Разходи'!O64-'12. Разходи'!$K64</f>
        <v>68.646266345006794</v>
      </c>
      <c r="V64" s="1127">
        <f>IFERROR(('12. Разходи'!O64-'12. Разходи'!$K64)/'12. Разходи'!$K64,0)</f>
        <v>2.5640860206384768</v>
      </c>
      <c r="W64" s="1145">
        <f>'12. Разходи'!P64-'12. Разходи'!$K64</f>
        <v>82.191504410377391</v>
      </c>
      <c r="X64" s="1184">
        <f>IFERROR(('12. Разходи'!P64-'12. Разходи'!$K64)/'12. Разходи'!$K64,0)</f>
        <v>3.0700298602507119</v>
      </c>
      <c r="Y64" s="1181">
        <f>'12. Разходи'!S64</f>
        <v>165.63132086806169</v>
      </c>
      <c r="Z64" s="1139">
        <f>'12. Разходи'!T64-'12. Разходи'!$S64</f>
        <v>122.96471951442217</v>
      </c>
      <c r="AA64" s="1125">
        <f>IFERROR(('12. Разходи'!T64-'12. Разходи'!$S64)/'12. Разходи'!$S64,0)</f>
        <v>0.7424001624208092</v>
      </c>
      <c r="AB64" s="1140">
        <f>'12. Разходи'!U64-'12. Разходи'!$S64</f>
        <v>181.02911444766286</v>
      </c>
      <c r="AC64" s="1126">
        <f>IFERROR(('12. Разходи'!U64-'12. Разходи'!$S64)/'12. Разходи'!$S64,0)</f>
        <v>1.0929642624287632</v>
      </c>
      <c r="AD64" s="1140">
        <f>'12. Разходи'!V64-'12. Разходи'!$S64</f>
        <v>229.48868934528062</v>
      </c>
      <c r="AE64" s="1126">
        <f>IFERROR(('12. Разходи'!V64-'12. Разходи'!$S64)/'12. Разходи'!$S64,0)</f>
        <v>1.3855392092663821</v>
      </c>
      <c r="AF64" s="1140">
        <f>'12. Разходи'!W64-'12. Разходи'!$S64</f>
        <v>284.94262350952033</v>
      </c>
      <c r="AG64" s="1127">
        <f>IFERROR(('12. Разходи'!W64-'12. Разходи'!$S64)/'12. Разходи'!$S64,0)</f>
        <v>1.7203426381928055</v>
      </c>
      <c r="AH64" s="1145">
        <f>'12. Разходи'!X64-'12. Разходи'!$S64</f>
        <v>348.46365430705214</v>
      </c>
      <c r="AI64" s="1184">
        <f>IFERROR(('12. Разходи'!X64-'12. Разходи'!$S64)/'12. Разходи'!$S64,0)</f>
        <v>2.1038512068899742</v>
      </c>
      <c r="AJ64" s="1181">
        <f>'12. Разходи'!AA64</f>
        <v>0</v>
      </c>
      <c r="AK64" s="1139">
        <f>'12. Разходи'!AB64-'12. Разходи'!$AA64</f>
        <v>0</v>
      </c>
      <c r="AL64" s="1125">
        <f>IFERROR(('12. Разходи'!AB64-'12. Разходи'!$AA64)/'12. Разходи'!$AA64,0)</f>
        <v>0</v>
      </c>
      <c r="AM64" s="1140">
        <f>'12. Разходи'!AC64-'12. Разходи'!$AA64</f>
        <v>0</v>
      </c>
      <c r="AN64" s="1126">
        <f>IFERROR(('12. Разходи'!AC64-'12. Разходи'!$AA64)/'12. Разходи'!$AA64,0)</f>
        <v>0</v>
      </c>
      <c r="AO64" s="1140">
        <f>'12. Разходи'!AD64-'12. Разходи'!$AA64</f>
        <v>0</v>
      </c>
      <c r="AP64" s="1126">
        <f>IFERROR(('12. Разходи'!AD64-'12. Разходи'!$AA64)/'12. Разходи'!$AA64,0)</f>
        <v>0</v>
      </c>
      <c r="AQ64" s="1140">
        <f>'12. Разходи'!AE64-'12. Разходи'!$AA64</f>
        <v>0</v>
      </c>
      <c r="AR64" s="1127">
        <f>IFERROR(('12. Разходи'!AE64-'12. Разходи'!$AA64)/'12. Разходи'!$AA64,0)</f>
        <v>0</v>
      </c>
      <c r="AS64" s="1145">
        <f>'12. Разходи'!AF64-'12. Разходи'!$AA64</f>
        <v>0</v>
      </c>
      <c r="AT64" s="1184">
        <f>IFERROR(('12. Разходи'!AF64-'12. Разходи'!$AA64)/'12. Разходи'!$AA64,0)</f>
        <v>0</v>
      </c>
      <c r="AU64" s="1181">
        <f>'12. Разходи'!AI64</f>
        <v>135.7225008524322</v>
      </c>
      <c r="AV64" s="1139">
        <f>'12. Разходи'!AJ64-'12. Разходи'!$AI64</f>
        <v>67.416187447104733</v>
      </c>
      <c r="AW64" s="1125">
        <f>IFERROR(('12. Разходи'!AJ64-'12. Разходи'!$AI64)/'12. Разходи'!$AI64,0)</f>
        <v>0.49672078707424294</v>
      </c>
      <c r="AX64" s="1140">
        <f>'12. Разходи'!AK64-'12. Разходи'!$AI64</f>
        <v>104.27054381562084</v>
      </c>
      <c r="AY64" s="1126">
        <f>IFERROR(('12. Разходи'!AK64-'12. Разходи'!$AI64)/'12. Разходи'!$AI64,0)</f>
        <v>0.76826276528010407</v>
      </c>
      <c r="AZ64" s="1140">
        <f>'12. Разходи'!AL64-'12. Разходи'!$AI64</f>
        <v>135.43540327544005</v>
      </c>
      <c r="BA64" s="1126">
        <f>IFERROR(('12. Разходи'!AL64-'12. Разходи'!$AI64)/'12. Разходи'!$AI64,0)</f>
        <v>0.99788467221581556</v>
      </c>
      <c r="BB64" s="1140">
        <f>'12. Разходи'!AM64-'12. Разходи'!$AI64</f>
        <v>171.16275992438628</v>
      </c>
      <c r="BC64" s="1127">
        <f>IFERROR(('12. Разходи'!AM64-'12. Разходи'!$AI64)/'12. Разходи'!$AI64,0)</f>
        <v>1.2611229446065646</v>
      </c>
      <c r="BD64" s="1145">
        <f>'12. Разходи'!AN64-'12. Разходи'!$AI64</f>
        <v>210.66459581394079</v>
      </c>
      <c r="BE64" s="1184">
        <f>IFERROR(('12. Разходи'!AN64-'12. Разходи'!$AI64)/'12. Разходи'!$AI64,0)</f>
        <v>1.5521714858687383</v>
      </c>
      <c r="BF64" s="4488"/>
      <c r="BG64" s="4504">
        <f t="shared" si="1"/>
        <v>358.39177055229965</v>
      </c>
      <c r="BH64" s="4504">
        <f t="shared" si="2"/>
        <v>188.38928253394238</v>
      </c>
      <c r="BI64" s="4504">
        <f t="shared" si="3"/>
        <v>292.62617736942997</v>
      </c>
      <c r="BJ64" s="4504">
        <f t="shared" si="4"/>
        <v>380.56912575108754</v>
      </c>
      <c r="BK64" s="4504">
        <f t="shared" si="5"/>
        <v>480.89397185868216</v>
      </c>
      <c r="BL64" s="4504">
        <f t="shared" si="6"/>
        <v>595.61762986587519</v>
      </c>
      <c r="BM64" s="4504">
        <f t="shared" si="7"/>
        <v>13.688416993083349</v>
      </c>
      <c r="BN64" s="4504">
        <f t="shared" si="8"/>
        <v>18.248218853598392</v>
      </c>
      <c r="BO64" s="4504">
        <f t="shared" si="9"/>
        <v>24.22325168753995</v>
      </c>
      <c r="BP64" s="4504">
        <f t="shared" si="10"/>
        <v>29.61567760330907</v>
      </c>
      <c r="BQ64" s="4504">
        <f t="shared" si="11"/>
        <v>35.098278656635188</v>
      </c>
      <c r="BR64" s="4504">
        <f t="shared" si="12"/>
        <v>42.023848908329143</v>
      </c>
      <c r="BS64" s="4504">
        <f t="shared" si="13"/>
        <v>84.685949631645741</v>
      </c>
      <c r="BT64" s="4504">
        <f t="shared" si="14"/>
        <v>62.870862761294269</v>
      </c>
      <c r="BU64" s="4504">
        <f t="shared" si="15"/>
        <v>92.558716477231087</v>
      </c>
      <c r="BV64" s="4504">
        <f t="shared" si="16"/>
        <v>117.33570368860312</v>
      </c>
      <c r="BW64" s="4504">
        <f t="shared" si="17"/>
        <v>145.6888500071685</v>
      </c>
      <c r="BX64" s="4504">
        <f t="shared" si="18"/>
        <v>178.16663733916144</v>
      </c>
      <c r="BY64" s="4504">
        <f t="shared" si="19"/>
        <v>0</v>
      </c>
      <c r="BZ64" s="4504">
        <f t="shared" si="20"/>
        <v>0</v>
      </c>
      <c r="CA64" s="4504">
        <f t="shared" si="21"/>
        <v>0</v>
      </c>
      <c r="CB64" s="4504">
        <f t="shared" si="22"/>
        <v>0</v>
      </c>
      <c r="CC64" s="4504">
        <f t="shared" si="23"/>
        <v>0</v>
      </c>
      <c r="CD64" s="4504">
        <f t="shared" si="24"/>
        <v>0</v>
      </c>
      <c r="CE64" s="4504">
        <f t="shared" si="25"/>
        <v>69.393812781495427</v>
      </c>
      <c r="CF64" s="4504">
        <f t="shared" si="26"/>
        <v>34.469349302907069</v>
      </c>
      <c r="CG64" s="4504">
        <f t="shared" si="27"/>
        <v>53.312682500841504</v>
      </c>
      <c r="CH64" s="4504">
        <f t="shared" si="28"/>
        <v>69.24702212126823</v>
      </c>
      <c r="CI64" s="4504">
        <f t="shared" si="29"/>
        <v>87.514129512476174</v>
      </c>
      <c r="CJ64" s="4504">
        <f t="shared" si="30"/>
        <v>107.71109749515081</v>
      </c>
    </row>
    <row r="65" spans="1:88" s="685" customFormat="1" ht="15.9" customHeight="1">
      <c r="A65" s="401" t="s">
        <v>109</v>
      </c>
      <c r="B65" s="901" t="s">
        <v>639</v>
      </c>
      <c r="C65" s="1115">
        <f>'12. Разходи'!C65</f>
        <v>128.28306346552179</v>
      </c>
      <c r="D65" s="1143">
        <f>'12. Разходи'!D65-'12. Разходи'!$C65</f>
        <v>32.88626645649191</v>
      </c>
      <c r="E65" s="877">
        <f>IFERROR(('12. Разходи'!D65-'12. Разходи'!$C65)/'12. Разходи'!$C65,0)</f>
        <v>0.25635704018972577</v>
      </c>
      <c r="F65" s="1133">
        <f>'12. Разходи'!E65-'12. Разходи'!$C65</f>
        <v>62.547734986757973</v>
      </c>
      <c r="G65" s="877">
        <f>IFERROR(('12. Разходи'!E65-'12. Разходи'!$C65)/'12. Разходи'!$C65,0)</f>
        <v>0.48757593790678938</v>
      </c>
      <c r="H65" s="1133">
        <f>'12. Разходи'!F65-'12. Разходи'!$C65</f>
        <v>88.266668301497532</v>
      </c>
      <c r="I65" s="877">
        <f>IFERROR(('12. Разходи'!F65-'12. Разходи'!$C65)/'12. Разходи'!$C65,0)</f>
        <v>0.68806174343677617</v>
      </c>
      <c r="J65" s="1133">
        <f>'12. Разходи'!G65-'12. Разходи'!$C65</f>
        <v>117.95092838183129</v>
      </c>
      <c r="K65" s="886">
        <f>IFERROR(('12. Разходи'!G65-'12. Разходи'!$C65)/'12. Разходи'!$C65,0)</f>
        <v>0.91945830724203559</v>
      </c>
      <c r="L65" s="1133">
        <f>'12. Разходи'!H65-'12. Разходи'!$C65</f>
        <v>150.36600738738943</v>
      </c>
      <c r="M65" s="886">
        <f>IFERROR(('12. Разходи'!H65-'12. Разходи'!$C65)/'12. Разходи'!$C65,0)</f>
        <v>1.1721423181307391</v>
      </c>
      <c r="N65" s="1163">
        <f>'12. Разходи'!K65</f>
        <v>2.6389199999999997</v>
      </c>
      <c r="O65" s="1143">
        <f>'12. Разходи'!L65-'12. Разходи'!$K65</f>
        <v>2.0665055944452115</v>
      </c>
      <c r="P65" s="877">
        <f>IFERROR(('12. Разходи'!L65-'12. Разходи'!$K65)/'12. Разходи'!$K65,0)</f>
        <v>0.78308762465145276</v>
      </c>
      <c r="Q65" s="1133">
        <f>'12. Разходи'!M65-'12. Разходи'!$K65</f>
        <v>2.8700705561144373</v>
      </c>
      <c r="R65" s="877">
        <f>IFERROR(('12. Разходи'!M65-'12. Разходи'!$K65)/'12. Разходи'!$K65,0)</f>
        <v>1.0875928622748843</v>
      </c>
      <c r="S65" s="1133">
        <f>'12. Разходи'!N65-'12. Разходи'!$K65</f>
        <v>3.0390338191040893</v>
      </c>
      <c r="T65" s="877">
        <f>IFERROR(('12. Разходи'!N65-'12. Разходи'!$K65)/'12. Разходи'!$K65,0)</f>
        <v>1.1516202912949576</v>
      </c>
      <c r="U65" s="1133">
        <f>'12. Разходи'!O65-'12. Разходи'!$K65</f>
        <v>4.5760127587371695</v>
      </c>
      <c r="V65" s="886">
        <f>IFERROR(('12. Разходи'!O65-'12. Разходи'!$K65)/'12. Разходи'!$K65,0)</f>
        <v>1.7340475492766625</v>
      </c>
      <c r="W65" s="1133">
        <f>'12. Разходи'!P65-'12. Разходи'!$K65</f>
        <v>5.0562921127689497</v>
      </c>
      <c r="X65" s="891">
        <f>IFERROR(('12. Разходи'!P65-'12. Разходи'!$K65)/'12. Разходи'!$K65,0)</f>
        <v>1.9160460009280122</v>
      </c>
      <c r="Y65" s="1163">
        <f>'12. Разходи'!S65</f>
        <v>0.89989000000000008</v>
      </c>
      <c r="Z65" s="1143">
        <f>'12. Разходи'!T65-'12. Разходи'!$S65</f>
        <v>0.40734944698491726</v>
      </c>
      <c r="AA65" s="877">
        <f>IFERROR(('12. Разходи'!T65-'12. Разходи'!$S65)/'12. Разходи'!$S65,0)</f>
        <v>0.45266582247265469</v>
      </c>
      <c r="AB65" s="1133">
        <f>'12. Разходи'!U65-'12. Разходи'!$S65</f>
        <v>0.68853375157979735</v>
      </c>
      <c r="AC65" s="877">
        <f>IFERROR(('12. Разходи'!U65-'12. Разходи'!$S65)/'12. Разходи'!$S65,0)</f>
        <v>0.76513101776861314</v>
      </c>
      <c r="AD65" s="1133">
        <f>'12. Разходи'!V65-'12. Разходи'!$S65</f>
        <v>0.95780954282829889</v>
      </c>
      <c r="AE65" s="877">
        <f>IFERROR(('12. Разходи'!V65-'12. Разходи'!$S65)/'12. Разходи'!$S65,0)</f>
        <v>1.0643629141653967</v>
      </c>
      <c r="AF65" s="1133">
        <f>'12. Разходи'!W65-'12. Разходи'!$S65</f>
        <v>1.2798598981223717</v>
      </c>
      <c r="AG65" s="886">
        <f>IFERROR(('12. Разходи'!W65-'12. Разходи'!$S65)/'12. Разходи'!$S65,0)</f>
        <v>1.4222403828494277</v>
      </c>
      <c r="AH65" s="1133">
        <f>'12. Разходи'!X65-'12. Разходи'!$S65</f>
        <v>1.6562497376769598</v>
      </c>
      <c r="AI65" s="891">
        <f>IFERROR(('12. Разходи'!X65-'12. Разходи'!$S65)/'12. Разходи'!$S65,0)</f>
        <v>1.8405024366055402</v>
      </c>
      <c r="AJ65" s="1163">
        <f>'12. Разходи'!AA65</f>
        <v>0</v>
      </c>
      <c r="AK65" s="1143">
        <f>'12. Разходи'!AB65-'12. Разходи'!$AA65</f>
        <v>0</v>
      </c>
      <c r="AL65" s="877">
        <f>IFERROR(('12. Разходи'!AB65-'12. Разходи'!$AA65)/'12. Разходи'!$AA65,0)</f>
        <v>0</v>
      </c>
      <c r="AM65" s="1133">
        <f>'12. Разходи'!AC65-'12. Разходи'!$AA65</f>
        <v>0</v>
      </c>
      <c r="AN65" s="877">
        <f>IFERROR(('12. Разходи'!AC65-'12. Разходи'!$AA65)/'12. Разходи'!$AA65,0)</f>
        <v>0</v>
      </c>
      <c r="AO65" s="1133">
        <f>'12. Разходи'!AD65-'12. Разходи'!$AA65</f>
        <v>0</v>
      </c>
      <c r="AP65" s="877">
        <f>IFERROR(('12. Разходи'!AD65-'12. Разходи'!$AA65)/'12. Разходи'!$AA65,0)</f>
        <v>0</v>
      </c>
      <c r="AQ65" s="1133">
        <f>'12. Разходи'!AE65-'12. Разходи'!$AA65</f>
        <v>0</v>
      </c>
      <c r="AR65" s="886">
        <f>IFERROR(('12. Разходи'!AE65-'12. Разходи'!$AA65)/'12. Разходи'!$AA65,0)</f>
        <v>0</v>
      </c>
      <c r="AS65" s="1133">
        <f>'12. Разходи'!AF65-'12. Разходи'!$AA65</f>
        <v>0</v>
      </c>
      <c r="AT65" s="891">
        <f>IFERROR(('12. Разходи'!AF65-'12. Разходи'!$AA65)/'12. Разходи'!$AA65,0)</f>
        <v>0</v>
      </c>
      <c r="AU65" s="1163">
        <f>'12. Разходи'!AI65</f>
        <v>10.914526534478197</v>
      </c>
      <c r="AV65" s="1143">
        <f>'12. Разходи'!AJ65-'12. Разходи'!$AI65</f>
        <v>11.180762922211246</v>
      </c>
      <c r="AW65" s="877">
        <f>IFERROR(('12. Разходи'!AJ65-'12. Разходи'!$AI65)/'12. Разходи'!$AI65,0)</f>
        <v>1.0243928480902975</v>
      </c>
      <c r="AX65" s="1133">
        <f>'12. Разходи'!AK65-'12. Разходи'!$AI65</f>
        <v>16.563789821916799</v>
      </c>
      <c r="AY65" s="877">
        <f>IFERROR(('12. Разходи'!AK65-'12. Разходи'!$AI65)/'12. Разходи'!$AI65,0)</f>
        <v>1.5175912367424267</v>
      </c>
      <c r="AZ65" s="1133">
        <f>'12. Разходи'!AL65-'12. Разходи'!$AI65</f>
        <v>21.686081695973712</v>
      </c>
      <c r="BA65" s="877">
        <f>IFERROR(('12. Разходи'!AL65-'12. Разходи'!$AI65)/'12. Разходи'!$AI65,0)</f>
        <v>1.9869008176826501</v>
      </c>
      <c r="BB65" s="1133">
        <f>'12. Разходи'!AM65-'12. Разходи'!$AI65</f>
        <v>27.548189579853471</v>
      </c>
      <c r="BC65" s="886">
        <f>IFERROR(('12. Разходи'!AM65-'12. Разходи'!$AI65)/'12. Разходи'!$AI65,0)</f>
        <v>2.5239930924012817</v>
      </c>
      <c r="BD65" s="1133">
        <f>'12. Разходи'!AN65-'12. Разходи'!$AI65</f>
        <v>34.91817272628478</v>
      </c>
      <c r="BE65" s="891">
        <f>IFERROR(('12. Разходи'!AN65-'12. Разходи'!$AI65)/'12. Разходи'!$AI65,0)</f>
        <v>3.1992384292603813</v>
      </c>
      <c r="BF65" s="4488"/>
      <c r="BG65" s="4504">
        <f t="shared" si="1"/>
        <v>65.590088844900521</v>
      </c>
      <c r="BH65" s="4504">
        <f t="shared" si="2"/>
        <v>16.814481042059846</v>
      </c>
      <c r="BI65" s="4504">
        <f t="shared" si="3"/>
        <v>31.980149085942017</v>
      </c>
      <c r="BJ65" s="4504">
        <f t="shared" si="4"/>
        <v>45.130030882795303</v>
      </c>
      <c r="BK65" s="4504">
        <f t="shared" si="5"/>
        <v>60.307352061186961</v>
      </c>
      <c r="BL65" s="4504">
        <f t="shared" si="6"/>
        <v>76.880918785062832</v>
      </c>
      <c r="BM65" s="4504">
        <f t="shared" si="7"/>
        <v>1.3492583711263249</v>
      </c>
      <c r="BN65" s="4504">
        <f t="shared" si="8"/>
        <v>1.0565875328864021</v>
      </c>
      <c r="BO65" s="4504">
        <f t="shared" si="9"/>
        <v>1.4674437738016277</v>
      </c>
      <c r="BP65" s="4504">
        <f t="shared" si="10"/>
        <v>1.5538333183886581</v>
      </c>
      <c r="BQ65" s="4504">
        <f t="shared" si="11"/>
        <v>2.3396781717926247</v>
      </c>
      <c r="BR65" s="4504">
        <f t="shared" si="12"/>
        <v>2.5852411062152383</v>
      </c>
      <c r="BS65" s="4504">
        <f t="shared" si="13"/>
        <v>0.46010645096966513</v>
      </c>
      <c r="BT65" s="4504">
        <f t="shared" si="14"/>
        <v>0.20827446505315761</v>
      </c>
      <c r="BU65" s="4504">
        <f t="shared" si="15"/>
        <v>0.35204171711232435</v>
      </c>
      <c r="BV65" s="4504">
        <f t="shared" si="16"/>
        <v>0.48972024298037092</v>
      </c>
      <c r="BW65" s="4504">
        <f t="shared" si="17"/>
        <v>0.65438197497858797</v>
      </c>
      <c r="BX65" s="4504">
        <f t="shared" si="18"/>
        <v>0.84682704410759624</v>
      </c>
      <c r="BY65" s="4504">
        <f t="shared" si="19"/>
        <v>0</v>
      </c>
      <c r="BZ65" s="4504">
        <f t="shared" si="20"/>
        <v>0</v>
      </c>
      <c r="CA65" s="4504">
        <f t="shared" si="21"/>
        <v>0</v>
      </c>
      <c r="CB65" s="4504">
        <f t="shared" si="22"/>
        <v>0</v>
      </c>
      <c r="CC65" s="4504">
        <f t="shared" si="23"/>
        <v>0</v>
      </c>
      <c r="CD65" s="4504">
        <f t="shared" si="24"/>
        <v>0</v>
      </c>
      <c r="CE65" s="4504">
        <f t="shared" si="25"/>
        <v>5.5805088041794004</v>
      </c>
      <c r="CF65" s="4504">
        <f t="shared" si="26"/>
        <v>5.7166333077063172</v>
      </c>
      <c r="CG65" s="4504">
        <f t="shared" si="27"/>
        <v>8.4689312577866165</v>
      </c>
      <c r="CH65" s="4504">
        <f t="shared" si="28"/>
        <v>11.08791750610928</v>
      </c>
      <c r="CI65" s="4504">
        <f t="shared" si="29"/>
        <v>14.085165673833345</v>
      </c>
      <c r="CJ65" s="4504">
        <f t="shared" si="30"/>
        <v>17.853378221156635</v>
      </c>
    </row>
    <row r="66" spans="1:88" s="685" customFormat="1" ht="43.5" customHeight="1">
      <c r="A66" s="401" t="s">
        <v>83</v>
      </c>
      <c r="B66" s="901" t="s">
        <v>1746</v>
      </c>
      <c r="C66" s="1115">
        <f>'12. Разходи'!C66</f>
        <v>19.186805298128462</v>
      </c>
      <c r="D66" s="1143">
        <f>'12. Разходи'!D66-'12. Разходи'!$C66</f>
        <v>11.447113641137594</v>
      </c>
      <c r="E66" s="877">
        <f>IFERROR(('12. Разходи'!D66-'12. Разходи'!$C66)/'12. Разходи'!$C66,0)</f>
        <v>0.59661384286075914</v>
      </c>
      <c r="F66" s="1133">
        <f>'12. Разходи'!E66-'12. Разходи'!$C66</f>
        <v>15.654717779768923</v>
      </c>
      <c r="G66" s="877">
        <f>IFERROR(('12. Разходи'!E66-'12. Разходи'!$C66)/'12. Разходи'!$C66,0)</f>
        <v>0.81591059775313046</v>
      </c>
      <c r="H66" s="1133">
        <f>'12. Разходи'!F66-'12. Разходи'!$C66</f>
        <v>20.872660362294404</v>
      </c>
      <c r="I66" s="877">
        <f>IFERROR(('12. Разходи'!F66-'12. Разходи'!$C66)/'12. Разходи'!$C66,0)</f>
        <v>1.087865334430135</v>
      </c>
      <c r="J66" s="1133">
        <f>'12. Разходи'!G66-'12. Разходи'!$C66</f>
        <v>26.901983880397594</v>
      </c>
      <c r="K66" s="886">
        <f>IFERROR(('12. Разходи'!G66-'12. Разходи'!$C66)/'12. Разходи'!$C66,0)</f>
        <v>1.4021085564995905</v>
      </c>
      <c r="L66" s="1133">
        <f>'12. Разходи'!H66-'12. Разходи'!$C66</f>
        <v>33.868850729821403</v>
      </c>
      <c r="M66" s="886">
        <f>IFERROR(('12. Разходи'!H66-'12. Разходи'!$C66)/'12. Разходи'!$C66,0)</f>
        <v>1.765215740899037</v>
      </c>
      <c r="N66" s="1163">
        <f>'12. Разходи'!K66</f>
        <v>0.52321718135098694</v>
      </c>
      <c r="O66" s="1143">
        <f>'12. Разходи'!L66-'12. Разходи'!$K66</f>
        <v>0.96423929299031941</v>
      </c>
      <c r="P66" s="877">
        <f>IFERROR(('12. Разходи'!L66-'12. Разходи'!$K66)/'12. Разходи'!$K66,0)</f>
        <v>1.8429044904461653</v>
      </c>
      <c r="Q66" s="1133">
        <f>'12. Разходи'!M66-'12. Разходи'!$K66</f>
        <v>1.1596048388675959</v>
      </c>
      <c r="R66" s="877">
        <f>IFERROR(('12. Разходи'!M66-'12. Разходи'!$K66)/'12. Разходи'!$K66,0)</f>
        <v>2.2162973239399499</v>
      </c>
      <c r="S66" s="1133">
        <f>'12. Разходи'!N66-'12. Разходи'!$K66</f>
        <v>1.4026514236234384</v>
      </c>
      <c r="T66" s="877">
        <f>IFERROR(('12. Разходи'!N66-'12. Разходи'!$K66)/'12. Разходи'!$K66,0)</f>
        <v>2.6808206488970501</v>
      </c>
      <c r="U66" s="1133">
        <f>'12. Разходи'!O66-'12. Разходи'!$K66</f>
        <v>1.6835184736514375</v>
      </c>
      <c r="V66" s="886">
        <f>IFERROR(('12. Разходи'!O66-'12. Разходи'!$K66)/'12. Разходи'!$K66,0)</f>
        <v>3.2176284221104199</v>
      </c>
      <c r="W66" s="1133">
        <f>'12. Разходи'!P66-'12. Разходи'!$K66</f>
        <v>2.0081040121520624</v>
      </c>
      <c r="X66" s="891">
        <f>IFERROR(('12. Разходи'!P66-'12. Разходи'!$K66)/'12. Разходи'!$K66,0)</f>
        <v>3.8379932535223396</v>
      </c>
      <c r="Y66" s="1163">
        <f>'12. Разходи'!S66</f>
        <v>4.5098106630030417</v>
      </c>
      <c r="Z66" s="1143">
        <f>'12. Разходи'!T66-'12. Разходи'!$S66</f>
        <v>3.5333552337777361</v>
      </c>
      <c r="AA66" s="877">
        <f>IFERROR(('12. Разходи'!T66-'12. Разходи'!$S66)/'12. Разходи'!$S66,0)</f>
        <v>0.78348194587506415</v>
      </c>
      <c r="AB66" s="1133">
        <f>'12. Разходи'!U66-'12. Разходи'!$S66</f>
        <v>4.6567691572741614</v>
      </c>
      <c r="AC66" s="877">
        <f>IFERROR(('12. Разходи'!U66-'12. Разходи'!$S66)/'12. Разходи'!$S66,0)</f>
        <v>1.0325864000182352</v>
      </c>
      <c r="AD66" s="1133">
        <f>'12. Разходи'!V66-'12. Разходи'!$S66</f>
        <v>6.0493192457567888</v>
      </c>
      <c r="AE66" s="877">
        <f>IFERROR(('12. Разходи'!V66-'12. Разходи'!$S66)/'12. Разходи'!$S66,0)</f>
        <v>1.3413687841450537</v>
      </c>
      <c r="AF66" s="1133">
        <f>'12. Разходи'!W66-'12. Разходи'!$S66</f>
        <v>7.6595024067793487</v>
      </c>
      <c r="AG66" s="886">
        <f>IFERROR(('12. Разходи'!W66-'12. Разходи'!$S66)/'12. Разходи'!$S66,0)</f>
        <v>1.6984088643932018</v>
      </c>
      <c r="AH66" s="1133">
        <f>'12. Разходи'!X66-'12. Разходи'!$S66</f>
        <v>9.5213124187250422</v>
      </c>
      <c r="AI66" s="891">
        <f>IFERROR(('12. Разходи'!X66-'12. Разходи'!$S66)/'12. Разходи'!$S66,0)</f>
        <v>2.1112443803538499</v>
      </c>
      <c r="AJ66" s="1163">
        <f>'12. Разходи'!AA66</f>
        <v>0</v>
      </c>
      <c r="AK66" s="1143">
        <f>'12. Разходи'!AB66-'12. Разходи'!$AA66</f>
        <v>0</v>
      </c>
      <c r="AL66" s="877">
        <f>IFERROR(('12. Разходи'!AB66-'12. Разходи'!$AA66)/'12. Разходи'!$AA66,0)</f>
        <v>0</v>
      </c>
      <c r="AM66" s="1133">
        <f>'12. Разходи'!AC66-'12. Разходи'!$AA66</f>
        <v>0</v>
      </c>
      <c r="AN66" s="877">
        <f>IFERROR(('12. Разходи'!AC66-'12. Разходи'!$AA66)/'12. Разходи'!$AA66,0)</f>
        <v>0</v>
      </c>
      <c r="AO66" s="1133">
        <f>'12. Разходи'!AD66-'12. Разходи'!$AA66</f>
        <v>0</v>
      </c>
      <c r="AP66" s="877">
        <f>IFERROR(('12. Разходи'!AD66-'12. Разходи'!$AA66)/'12. Разходи'!$AA66,0)</f>
        <v>0</v>
      </c>
      <c r="AQ66" s="1133">
        <f>'12. Разходи'!AE66-'12. Разходи'!$AA66</f>
        <v>0</v>
      </c>
      <c r="AR66" s="886">
        <f>IFERROR(('12. Разходи'!AE66-'12. Разходи'!$AA66)/'12. Разходи'!$AA66,0)</f>
        <v>0</v>
      </c>
      <c r="AS66" s="1133">
        <f>'12. Разходи'!AF66-'12. Разходи'!$AA66</f>
        <v>0</v>
      </c>
      <c r="AT66" s="891">
        <f>IFERROR(('12. Разходи'!AF66-'12. Разходи'!$AA66)/'12. Разходи'!$AA66,0)</f>
        <v>0</v>
      </c>
      <c r="AU66" s="1163">
        <f>'12. Разходи'!AI66</f>
        <v>4.8189296110441147</v>
      </c>
      <c r="AV66" s="1143">
        <f>'12. Разходи'!AJ66-'12. Разходи'!$AI66</f>
        <v>2.5333744651231056</v>
      </c>
      <c r="AW66" s="877">
        <f>IFERROR(('12. Разходи'!AJ66-'12. Разходи'!$AI66)/'12. Разходи'!$AI66,0)</f>
        <v>0.52571310842911456</v>
      </c>
      <c r="AX66" s="1133">
        <f>'12. Разходи'!AK66-'12. Разходи'!$AI66</f>
        <v>3.4991242019052047</v>
      </c>
      <c r="AY66" s="877">
        <f>IFERROR(('12. Разходи'!AK66-'12. Разходи'!$AI66)/'12. Разходи'!$AI66,0)</f>
        <v>0.7261206293376532</v>
      </c>
      <c r="AZ66" s="1133">
        <f>'12. Разходи'!AL66-'12. Разходи'!$AI66</f>
        <v>4.7017744224101756</v>
      </c>
      <c r="BA66" s="877">
        <f>IFERROR(('12. Разходи'!AL66-'12. Разходи'!$AI66)/'12. Разходи'!$AI66,0)</f>
        <v>0.97568854536380023</v>
      </c>
      <c r="BB66" s="1133">
        <f>'12. Разходи'!AM66-'12. Разходи'!$AI66</f>
        <v>6.0930078882992218</v>
      </c>
      <c r="BC66" s="886">
        <f>IFERROR(('12. Разходи'!AM66-'12. Разходи'!$AI66)/'12. Разходи'!$AI66,0)</f>
        <v>1.2643903065807707</v>
      </c>
      <c r="BD66" s="1133">
        <f>'12. Разходи'!AN66-'12. Разходи'!$AI66</f>
        <v>7.7024956300463776</v>
      </c>
      <c r="BE66" s="891">
        <f>IFERROR(('12. Разходи'!AN66-'12. Разходи'!$AI66)/'12. Разходи'!$AI66,0)</f>
        <v>1.5983830957799532</v>
      </c>
      <c r="BF66" s="4488"/>
      <c r="BG66" s="4504">
        <f t="shared" si="1"/>
        <v>9.8100577750256726</v>
      </c>
      <c r="BH66" s="4504">
        <f t="shared" si="2"/>
        <v>5.8528162678441351</v>
      </c>
      <c r="BI66" s="4504">
        <f t="shared" si="3"/>
        <v>8.0041301032139422</v>
      </c>
      <c r="BJ66" s="4504">
        <f t="shared" si="4"/>
        <v>10.672021782207249</v>
      </c>
      <c r="BK66" s="4504">
        <f t="shared" si="5"/>
        <v>13.754765946118832</v>
      </c>
      <c r="BL66" s="4504">
        <f t="shared" si="6"/>
        <v>17.316868403604303</v>
      </c>
      <c r="BM66" s="4504">
        <f t="shared" si="7"/>
        <v>0.26751669692712909</v>
      </c>
      <c r="BN66" s="4504">
        <f t="shared" si="8"/>
        <v>0.49300772203633209</v>
      </c>
      <c r="BO66" s="4504">
        <f t="shared" si="9"/>
        <v>0.59289653950885091</v>
      </c>
      <c r="BP66" s="4504">
        <f t="shared" si="10"/>
        <v>0.71716428504698182</v>
      </c>
      <c r="BQ66" s="4504">
        <f t="shared" si="11"/>
        <v>0.86076932742182988</v>
      </c>
      <c r="BR66" s="4504">
        <f t="shared" si="12"/>
        <v>1.026727278010902</v>
      </c>
      <c r="BS66" s="4504">
        <f t="shared" si="13"/>
        <v>2.3058295777255906</v>
      </c>
      <c r="BT66" s="4504">
        <f t="shared" si="14"/>
        <v>1.8065758444127231</v>
      </c>
      <c r="BU66" s="4504">
        <f t="shared" si="15"/>
        <v>2.380968262719235</v>
      </c>
      <c r="BV66" s="4504">
        <f t="shared" si="16"/>
        <v>3.0929678171194781</v>
      </c>
      <c r="BW66" s="4504">
        <f t="shared" si="17"/>
        <v>3.9162413945891763</v>
      </c>
      <c r="BX66" s="4504">
        <f t="shared" si="18"/>
        <v>4.8681697380268441</v>
      </c>
      <c r="BY66" s="4504">
        <f t="shared" si="19"/>
        <v>0</v>
      </c>
      <c r="BZ66" s="4504">
        <f t="shared" si="20"/>
        <v>0</v>
      </c>
      <c r="CA66" s="4504">
        <f t="shared" si="21"/>
        <v>0</v>
      </c>
      <c r="CB66" s="4504">
        <f t="shared" si="22"/>
        <v>0</v>
      </c>
      <c r="CC66" s="4504">
        <f t="shared" si="23"/>
        <v>0</v>
      </c>
      <c r="CD66" s="4504">
        <f t="shared" si="24"/>
        <v>0</v>
      </c>
      <c r="CE66" s="4504">
        <f t="shared" si="25"/>
        <v>2.463879586182907</v>
      </c>
      <c r="CF66" s="4504">
        <f t="shared" si="26"/>
        <v>1.2952937960472566</v>
      </c>
      <c r="CG66" s="4504">
        <f t="shared" si="27"/>
        <v>1.7890737957313287</v>
      </c>
      <c r="CH66" s="4504">
        <f t="shared" si="28"/>
        <v>2.4039790893943622</v>
      </c>
      <c r="CI66" s="4504">
        <f t="shared" si="29"/>
        <v>3.1153054653519079</v>
      </c>
      <c r="CJ66" s="4504">
        <f t="shared" si="30"/>
        <v>3.9382234805920646</v>
      </c>
    </row>
    <row r="67" spans="1:88" ht="15.9" customHeight="1">
      <c r="A67" s="108" t="s">
        <v>84</v>
      </c>
      <c r="B67" s="901" t="s">
        <v>1305</v>
      </c>
      <c r="C67" s="1115">
        <f>'12. Разходи'!C67</f>
        <v>269.23842017524601</v>
      </c>
      <c r="D67" s="1141">
        <f>'12. Разходи'!D67-'12. Разходи'!$C67</f>
        <v>147.64576735335328</v>
      </c>
      <c r="E67" s="1121">
        <f>IFERROR(('12. Разходи'!D67-'12. Разходи'!$C67)/'12. Разходи'!$C67,0)</f>
        <v>0.54838298062086144</v>
      </c>
      <c r="F67" s="907">
        <f>'12. Разходи'!E67-'12. Разходи'!$C67</f>
        <v>167.52296868412276</v>
      </c>
      <c r="G67" s="1129">
        <f>IFERROR(('12. Разходи'!E67-'12. Разходи'!$C67)/'12. Разходи'!$C67,0)</f>
        <v>0.622210487548853</v>
      </c>
      <c r="H67" s="907">
        <f>'12. Разходи'!F67-'12. Разходи'!$C67</f>
        <v>216.32525795165316</v>
      </c>
      <c r="I67" s="1129">
        <f>IFERROR(('12. Разходи'!F67-'12. Разходи'!$C67)/'12. Разходи'!$C67,0)</f>
        <v>0.80347098237631942</v>
      </c>
      <c r="J67" s="907">
        <f>'12. Разходи'!G67-'12. Разходи'!$C67</f>
        <v>242.2017784308967</v>
      </c>
      <c r="K67" s="1128">
        <f>IFERROR(('12. Разходи'!G67-'12. Разходи'!$C67)/'12. Разходи'!$C67,0)</f>
        <v>0.89958104149195617</v>
      </c>
      <c r="L67" s="1136">
        <f>'12. Разходи'!H67-'12. Разходи'!$C67</f>
        <v>240.82951457826579</v>
      </c>
      <c r="M67" s="1128">
        <f>IFERROR(('12. Разходи'!H67-'12. Разходи'!$C67)/'12. Разходи'!$C67,0)</f>
        <v>0.89448420630870962</v>
      </c>
      <c r="N67" s="1177">
        <f>'12. Разходи'!K67</f>
        <v>8.7639241067023637</v>
      </c>
      <c r="O67" s="1141">
        <f>'12. Разходи'!L67-'12. Разходи'!$K67</f>
        <v>8.9333195190437902</v>
      </c>
      <c r="P67" s="1121">
        <f>IFERROR(('12. Разходи'!L67-'12. Разходи'!$K67)/'12. Разходи'!$K67,0)</f>
        <v>1.0193287173963406</v>
      </c>
      <c r="Q67" s="907">
        <f>'12. Разходи'!M67-'12. Разходи'!$K67</f>
        <v>9.9570094103041509</v>
      </c>
      <c r="R67" s="1129">
        <f>IFERROR(('12. Разходи'!M67-'12. Разходи'!$K67)/'12. Разходи'!$K67,0)</f>
        <v>1.13613596935297</v>
      </c>
      <c r="S67" s="907">
        <f>'12. Разходи'!N67-'12. Разходи'!$K67</f>
        <v>12.340113137129981</v>
      </c>
      <c r="T67" s="1129">
        <f>IFERROR(('12. Разходи'!N67-'12. Разходи'!$K67)/'12. Разходи'!$K67,0)</f>
        <v>1.4080579643190503</v>
      </c>
      <c r="U67" s="907">
        <f>'12. Разходи'!O67-'12. Разходи'!$K67</f>
        <v>13.337222974266099</v>
      </c>
      <c r="V67" s="1128">
        <f>IFERROR(('12. Разходи'!O67-'12. Разходи'!$K67)/'12. Разходи'!$K67,0)</f>
        <v>1.521832322129105</v>
      </c>
      <c r="W67" s="1136">
        <f>'12. Разходи'!P67-'12. Разходи'!$K67</f>
        <v>13.514267969490932</v>
      </c>
      <c r="X67" s="1183">
        <f>IFERROR(('12. Разходи'!P67-'12. Разходи'!$K67)/'12. Разходи'!$K67,0)</f>
        <v>1.5420338885814473</v>
      </c>
      <c r="Y67" s="1177">
        <f>'12. Разходи'!S67</f>
        <v>63.581356017725064</v>
      </c>
      <c r="Z67" s="1141">
        <f>'12. Разходи'!T67-'12. Разходи'!$S67</f>
        <v>46.319806575402019</v>
      </c>
      <c r="AA67" s="1121">
        <f>IFERROR(('12. Разходи'!T67-'12. Разходи'!$S67)/'12. Разходи'!$S67,0)</f>
        <v>0.72851240483907087</v>
      </c>
      <c r="AB67" s="907">
        <f>'12. Разходи'!U67-'12. Разходи'!$S67</f>
        <v>52.451946502405129</v>
      </c>
      <c r="AC67" s="1129">
        <f>IFERROR(('12. Разходи'!U67-'12. Разходи'!$S67)/'12. Разходи'!$S67,0)</f>
        <v>0.82495797176428098</v>
      </c>
      <c r="AD67" s="907">
        <f>'12. Разходи'!V67-'12. Разходи'!$S67</f>
        <v>65.919333424655832</v>
      </c>
      <c r="AE67" s="1129">
        <f>IFERROR(('12. Разходи'!V67-'12. Разходи'!$S67)/'12. Разходи'!$S67,0)</f>
        <v>1.0367714303903646</v>
      </c>
      <c r="AF67" s="907">
        <f>'12. Разходи'!W67-'12. Разходи'!$S67</f>
        <v>73.44269251583674</v>
      </c>
      <c r="AG67" s="1128">
        <f>IFERROR(('12. Разходи'!W67-'12. Разходи'!$S67)/'12. Разходи'!$S67,0)</f>
        <v>1.1550979267469941</v>
      </c>
      <c r="AH67" s="1136">
        <f>'12. Разходи'!X67-'12. Разходи'!$S67</f>
        <v>73.698619139298927</v>
      </c>
      <c r="AI67" s="1183">
        <f>IFERROR(('12. Разходи'!X67-'12. Разходи'!$S67)/'12. Разходи'!$S67,0)</f>
        <v>1.1591231102204458</v>
      </c>
      <c r="AJ67" s="1177">
        <f>'12. Разходи'!AA67</f>
        <v>0</v>
      </c>
      <c r="AK67" s="1141">
        <f>'12. Разходи'!AB67-'12. Разходи'!$AA67</f>
        <v>0</v>
      </c>
      <c r="AL67" s="1121">
        <f>IFERROR(('12. Разходи'!AB67-'12. Разходи'!$AA67)/'12. Разходи'!$AA67,0)</f>
        <v>0</v>
      </c>
      <c r="AM67" s="907">
        <f>'12. Разходи'!AC67-'12. Разходи'!$AA67</f>
        <v>0</v>
      </c>
      <c r="AN67" s="1129">
        <f>IFERROR(('12. Разходи'!AC67-'12. Разходи'!$AA67)/'12. Разходи'!$AA67,0)</f>
        <v>0</v>
      </c>
      <c r="AO67" s="907">
        <f>'12. Разходи'!AD67-'12. Разходи'!$AA67</f>
        <v>0</v>
      </c>
      <c r="AP67" s="1129">
        <f>IFERROR(('12. Разходи'!AD67-'12. Разходи'!$AA67)/'12. Разходи'!$AA67,0)</f>
        <v>0</v>
      </c>
      <c r="AQ67" s="907">
        <f>'12. Разходи'!AE67-'12. Разходи'!$AA67</f>
        <v>0</v>
      </c>
      <c r="AR67" s="1128">
        <f>IFERROR(('12. Разходи'!AE67-'12. Разходи'!$AA67)/'12. Разходи'!$AA67,0)</f>
        <v>0</v>
      </c>
      <c r="AS67" s="1136">
        <f>'12. Разходи'!AF67-'12. Разходи'!$AA67</f>
        <v>0</v>
      </c>
      <c r="AT67" s="1183">
        <f>IFERROR(('12. Разходи'!AF67-'12. Разходи'!$AA67)/'12. Разходи'!$AA67,0)</f>
        <v>0</v>
      </c>
      <c r="AU67" s="1177">
        <f>'12. Разходи'!AI67</f>
        <v>52.452972432799328</v>
      </c>
      <c r="AV67" s="1141">
        <f>'12. Разходи'!AJ67-'12. Разходи'!$AI67</f>
        <v>21.59567784456118</v>
      </c>
      <c r="AW67" s="1121">
        <f>IFERROR(('12. Разходи'!AJ67-'12. Разходи'!$AI67)/'12. Разходи'!$AI67,0)</f>
        <v>0.41171504383719548</v>
      </c>
      <c r="AX67" s="907">
        <f>'12. Разходи'!AK67-'12. Разходи'!$AI67</f>
        <v>25.260300639072653</v>
      </c>
      <c r="AY67" s="1129">
        <f>IFERROR(('12. Разходи'!AK67-'12. Разходи'!$AI67)/'12. Разходи'!$AI67,0)</f>
        <v>0.48157996520473939</v>
      </c>
      <c r="AZ67" s="907">
        <f>'12. Разходи'!AL67-'12. Разходи'!$AI67</f>
        <v>33.985224599575702</v>
      </c>
      <c r="BA67" s="1129">
        <f>IFERROR(('12. Разходи'!AL67-'12. Разходи'!$AI67)/'12. Разходи'!$AI67,0)</f>
        <v>0.64791799250492865</v>
      </c>
      <c r="BB67" s="907">
        <f>'12. Разходи'!AM67-'12. Разходи'!$AI67</f>
        <v>38.733151872766584</v>
      </c>
      <c r="BC67" s="1128">
        <f>IFERROR(('12. Разходи'!AM67-'12. Разходи'!$AI67)/'12. Разходи'!$AI67,0)</f>
        <v>0.73843578497653239</v>
      </c>
      <c r="BD67" s="1136">
        <f>'12. Разходи'!AN67-'12. Разходи'!$AI67</f>
        <v>38.456663180863742</v>
      </c>
      <c r="BE67" s="1183">
        <f>IFERROR(('12. Разходи'!AN67-'12. Разходи'!$AI67)/'12. Разходи'!$AI67,0)</f>
        <v>0.73316461197948124</v>
      </c>
      <c r="BF67" s="4488"/>
      <c r="BG67" s="4504">
        <f t="shared" si="1"/>
        <v>137.65941834169945</v>
      </c>
      <c r="BH67" s="4504">
        <f t="shared" si="2"/>
        <v>75.49008214075522</v>
      </c>
      <c r="BI67" s="4504">
        <f t="shared" si="3"/>
        <v>85.653133802080319</v>
      </c>
      <c r="BJ67" s="4504">
        <f t="shared" si="4"/>
        <v>110.60534808835797</v>
      </c>
      <c r="BK67" s="4504">
        <f t="shared" si="5"/>
        <v>123.83580292300287</v>
      </c>
      <c r="BL67" s="4504">
        <f t="shared" si="6"/>
        <v>123.13417555629364</v>
      </c>
      <c r="BM67" s="4504">
        <f t="shared" si="7"/>
        <v>4.4809232431767398</v>
      </c>
      <c r="BN67" s="4504">
        <f t="shared" si="8"/>
        <v>4.5675337422187976</v>
      </c>
      <c r="BO67" s="4504">
        <f t="shared" si="9"/>
        <v>5.0909380724828592</v>
      </c>
      <c r="BP67" s="4504">
        <f t="shared" si="10"/>
        <v>6.3093996600573572</v>
      </c>
      <c r="BQ67" s="4504">
        <f t="shared" si="11"/>
        <v>6.8192138244459386</v>
      </c>
      <c r="BR67" s="4504">
        <f t="shared" si="12"/>
        <v>6.9097354931108184</v>
      </c>
      <c r="BS67" s="4504">
        <f t="shared" si="13"/>
        <v>32.508631127309158</v>
      </c>
      <c r="BT67" s="4504">
        <f t="shared" si="14"/>
        <v>23.682941040582268</v>
      </c>
      <c r="BU67" s="4504">
        <f t="shared" si="15"/>
        <v>26.81825439961813</v>
      </c>
      <c r="BV67" s="4504">
        <f t="shared" si="16"/>
        <v>33.704019993893041</v>
      </c>
      <c r="BW67" s="4504">
        <f t="shared" si="17"/>
        <v>37.550652416537602</v>
      </c>
      <c r="BX67" s="4504">
        <f t="shared" si="18"/>
        <v>37.681505621295784</v>
      </c>
      <c r="BY67" s="4504">
        <f t="shared" si="19"/>
        <v>0</v>
      </c>
      <c r="BZ67" s="4504">
        <f t="shared" si="20"/>
        <v>0</v>
      </c>
      <c r="CA67" s="4504">
        <f t="shared" si="21"/>
        <v>0</v>
      </c>
      <c r="CB67" s="4504">
        <f t="shared" si="22"/>
        <v>0</v>
      </c>
      <c r="CC67" s="4504">
        <f t="shared" si="23"/>
        <v>0</v>
      </c>
      <c r="CD67" s="4504">
        <f t="shared" si="24"/>
        <v>0</v>
      </c>
      <c r="CE67" s="4504">
        <f t="shared" si="25"/>
        <v>26.818778949499357</v>
      </c>
      <c r="CF67" s="4504">
        <f t="shared" si="26"/>
        <v>11.041694750853184</v>
      </c>
      <c r="CG67" s="4504">
        <f t="shared" si="27"/>
        <v>12.915386633333497</v>
      </c>
      <c r="CH67" s="4504">
        <f t="shared" si="28"/>
        <v>17.376369418393061</v>
      </c>
      <c r="CI67" s="4504">
        <f t="shared" si="29"/>
        <v>19.803946085685659</v>
      </c>
      <c r="CJ67" s="4504">
        <f t="shared" si="30"/>
        <v>19.662579662273174</v>
      </c>
    </row>
    <row r="68" spans="1:88" s="685" customFormat="1" ht="24">
      <c r="A68" s="401" t="s">
        <v>1279</v>
      </c>
      <c r="B68" s="901" t="s">
        <v>1306</v>
      </c>
      <c r="C68" s="1115">
        <f>'12. Разходи'!C68</f>
        <v>51.360115137450492</v>
      </c>
      <c r="D68" s="1141">
        <f>'12. Разходи'!D68-'12. Разходи'!$C68</f>
        <v>11.467888817819528</v>
      </c>
      <c r="E68" s="1121">
        <f>IFERROR(('12. Разходи'!D68-'12. Разходи'!$C68)/'12. Разходи'!$C68,0)</f>
        <v>0.22328393904743088</v>
      </c>
      <c r="F68" s="907">
        <f>'12. Разходи'!E68-'12. Разходи'!$C68</f>
        <v>14.098775460043839</v>
      </c>
      <c r="G68" s="1129">
        <f>IFERROR(('12. Разходи'!E68-'12. Разходи'!$C68)/'12. Разходи'!$C68,0)</f>
        <v>0.27450825260637646</v>
      </c>
      <c r="H68" s="907">
        <f>'12. Разходи'!F68-'12. Разходи'!$C68</f>
        <v>21.392947773686899</v>
      </c>
      <c r="I68" s="1129">
        <f>IFERROR(('12. Разходи'!F68-'12. Разходи'!$C68)/'12. Разходи'!$C68,0)</f>
        <v>0.41652842320222339</v>
      </c>
      <c r="J68" s="907">
        <f>'12. Разходи'!G68-'12. Разходи'!$C68</f>
        <v>25.358705315816252</v>
      </c>
      <c r="K68" s="1128">
        <f>IFERROR(('12. Разходи'!G68-'12. Разходи'!$C68)/'12. Разходи'!$C68,0)</f>
        <v>0.49374315551962866</v>
      </c>
      <c r="L68" s="1136">
        <f>'12. Разходи'!H68-'12. Разходи'!$C68</f>
        <v>24.813025915681379</v>
      </c>
      <c r="M68" s="1128">
        <f>IFERROR(('12. Разходи'!H68-'12. Разходи'!$C68)/'12. Разходи'!$C68,0)</f>
        <v>0.48311858042522865</v>
      </c>
      <c r="N68" s="1177">
        <f>'12. Разходи'!K68</f>
        <v>1.1539400000000066</v>
      </c>
      <c r="O68" s="1141">
        <f>'12. Разходи'!L68-'12. Разходи'!$K68</f>
        <v>0.68035749321463346</v>
      </c>
      <c r="P68" s="1121">
        <f>IFERROR(('12. Разходи'!L68-'12. Разходи'!$K68)/'12. Разходи'!$K68,0)</f>
        <v>0.58959520704250612</v>
      </c>
      <c r="Q68" s="907">
        <f>'12. Разходи'!M68-'12. Разходи'!$K68</f>
        <v>0.73575711933317844</v>
      </c>
      <c r="R68" s="1129">
        <f>IFERROR(('12. Разходи'!M68-'12. Разходи'!$K68)/'12. Разходи'!$K68,0)</f>
        <v>0.63760431160474051</v>
      </c>
      <c r="S68" s="907">
        <f>'12. Разходи'!N68-'12. Разходи'!$K68</f>
        <v>0.753651979159077</v>
      </c>
      <c r="T68" s="1129">
        <f>IFERROR(('12. Разходи'!N68-'12. Разходи'!$K68)/'12. Разходи'!$K68,0)</f>
        <v>0.65311192883431779</v>
      </c>
      <c r="U68" s="907">
        <f>'12. Разходи'!O68-'12. Разходи'!$K68</f>
        <v>1.0940076807697778</v>
      </c>
      <c r="V68" s="1128">
        <f>IFERROR(('12. Разходи'!O68-'12. Разходи'!$K68)/'12. Разходи'!$K68,0)</f>
        <v>0.94806288088615664</v>
      </c>
      <c r="W68" s="1136">
        <f>'12. Разходи'!P68-'12. Разходи'!$K68</f>
        <v>0.94966822630961101</v>
      </c>
      <c r="X68" s="1183">
        <f>IFERROR(('12. Разходи'!P68-'12. Разходи'!$K68)/'12. Разходи'!$K68,0)</f>
        <v>0.82297886052100244</v>
      </c>
      <c r="Y68" s="1177">
        <f>'12. Разходи'!S68</f>
        <v>0.35395000000000643</v>
      </c>
      <c r="Z68" s="1141">
        <f>'12. Разходи'!T68-'12. Разходи'!$S68</f>
        <v>0.15564599562394421</v>
      </c>
      <c r="AA68" s="1121">
        <f>IFERROR(('12. Разходи'!T68-'12. Разходи'!$S68)/'12. Разходи'!$S68,0)</f>
        <v>0.43974006391846698</v>
      </c>
      <c r="AB68" s="907">
        <f>'12. Разходи'!U68-'12. Разходи'!$S68</f>
        <v>0.19091203181257277</v>
      </c>
      <c r="AC68" s="1129">
        <f>IFERROR(('12. Разходи'!U68-'12. Разходи'!$S68)/'12. Разходи'!$S68,0)</f>
        <v>0.53937570790385447</v>
      </c>
      <c r="AD68" s="907">
        <f>'12. Разходи'!V68-'12. Разходи'!$S68</f>
        <v>0.2701714459447393</v>
      </c>
      <c r="AE68" s="1129">
        <f>IFERROR(('12. Разходи'!V68-'12. Разходи'!$S68)/'12. Разходи'!$S68,0)</f>
        <v>0.76330398628262297</v>
      </c>
      <c r="AF68" s="907">
        <f>'12. Разходи'!W68-'12. Разходи'!$S68</f>
        <v>0.32519198122063253</v>
      </c>
      <c r="AG68" s="1128">
        <f>IFERROR(('12. Разходи'!W68-'12. Разходи'!$S68)/'12. Разходи'!$S68,0)</f>
        <v>0.91875118299371838</v>
      </c>
      <c r="AH68" s="1136">
        <f>'12. Разходи'!X68-'12. Разходи'!$S68</f>
        <v>0.34481132080253074</v>
      </c>
      <c r="AI68" s="1183">
        <f>IFERROR(('12. Разходи'!X68-'12. Разходи'!$S68)/'12. Разходи'!$S68,0)</f>
        <v>0.97418087527200026</v>
      </c>
      <c r="AJ68" s="1177">
        <f>'12. Разходи'!AA68</f>
        <v>0</v>
      </c>
      <c r="AK68" s="1141">
        <f>'12. Разходи'!AB68-'12. Разходи'!$AA68</f>
        <v>0</v>
      </c>
      <c r="AL68" s="1121">
        <f>IFERROR(('12. Разходи'!AB68-'12. Разходи'!$AA68)/'12. Разходи'!$AA68,0)</f>
        <v>0</v>
      </c>
      <c r="AM68" s="907">
        <f>'12. Разходи'!AC68-'12. Разходи'!$AA68</f>
        <v>0</v>
      </c>
      <c r="AN68" s="1129">
        <f>IFERROR(('12. Разходи'!AC68-'12. Разходи'!$AA68)/'12. Разходи'!$AA68,0)</f>
        <v>0</v>
      </c>
      <c r="AO68" s="907">
        <f>'12. Разходи'!AD68-'12. Разходи'!$AA68</f>
        <v>0</v>
      </c>
      <c r="AP68" s="1129">
        <f>IFERROR(('12. Разходи'!AD68-'12. Разходи'!$AA68)/'12. Разходи'!$AA68,0)</f>
        <v>0</v>
      </c>
      <c r="AQ68" s="907">
        <f>'12. Разходи'!AE68-'12. Разходи'!$AA68</f>
        <v>0</v>
      </c>
      <c r="AR68" s="1128">
        <f>IFERROR(('12. Разходи'!AE68-'12. Разходи'!$AA68)/'12. Разходи'!$AA68,0)</f>
        <v>0</v>
      </c>
      <c r="AS68" s="1136">
        <f>'12. Разходи'!AF68-'12. Разходи'!$AA68</f>
        <v>0</v>
      </c>
      <c r="AT68" s="1183">
        <f>IFERROR(('12. Разходи'!AF68-'12. Разходи'!$AA68)/'12. Разходи'!$AA68,0)</f>
        <v>0</v>
      </c>
      <c r="AU68" s="1177">
        <f>'12. Разходи'!AI68</f>
        <v>4.6434748625495619</v>
      </c>
      <c r="AV68" s="1141">
        <f>'12. Разходи'!AJ68-'12. Разходи'!$AI68</f>
        <v>3.9698446446388171</v>
      </c>
      <c r="AW68" s="1121">
        <f>IFERROR(('12. Разходи'!AJ68-'12. Разходи'!$AI68)/'12. Разходи'!$AI68,0)</f>
        <v>0.85492971581612498</v>
      </c>
      <c r="AX68" s="907">
        <f>'12. Разходи'!AK68-'12. Разходи'!$AI68</f>
        <v>4.7821530694445524</v>
      </c>
      <c r="AY68" s="1129">
        <f>IFERROR(('12. Разходи'!AK68-'12. Разходи'!$AI68)/'12. Разходи'!$AI68,0)</f>
        <v>1.0298651787723574</v>
      </c>
      <c r="AZ68" s="907">
        <f>'12. Разходи'!AL68-'12. Разходи'!$AI68</f>
        <v>6.309178286349896</v>
      </c>
      <c r="BA68" s="1129">
        <f>IFERROR(('12. Разходи'!AL68-'12. Разходи'!$AI68)/'12. Разходи'!$AI68,0)</f>
        <v>1.3587191646571675</v>
      </c>
      <c r="BB68" s="907">
        <f>'12. Разходи'!AM68-'12. Разходи'!$AI68</f>
        <v>7.340306050809124</v>
      </c>
      <c r="BC68" s="1128">
        <f>IFERROR(('12. Разходи'!AM68-'12. Разходи'!$AI68)/'12. Разходи'!$AI68,0)</f>
        <v>1.5807786771949555</v>
      </c>
      <c r="BD68" s="1136">
        <f>'12. Разходи'!AN68-'12. Разходи'!$AI68</f>
        <v>7.88562008454557</v>
      </c>
      <c r="BE68" s="1183">
        <f>IFERROR(('12. Разходи'!AN68-'12. Разходи'!$AI68)/'12. Разходи'!$AI68,0)</f>
        <v>1.6982153059865743</v>
      </c>
      <c r="BF68" s="4488"/>
      <c r="BG68" s="4504">
        <f t="shared" si="1"/>
        <v>26.260009887081441</v>
      </c>
      <c r="BH68" s="4504">
        <f t="shared" si="2"/>
        <v>5.8634384470120251</v>
      </c>
      <c r="BI68" s="4504">
        <f t="shared" si="3"/>
        <v>7.2085894275288958</v>
      </c>
      <c r="BJ68" s="4504">
        <f t="shared" si="4"/>
        <v>10.938040511540828</v>
      </c>
      <c r="BK68" s="4504">
        <f t="shared" si="5"/>
        <v>12.965700145624238</v>
      </c>
      <c r="BL68" s="4504">
        <f t="shared" si="6"/>
        <v>12.686698698599255</v>
      </c>
      <c r="BM68" s="4504">
        <f t="shared" si="7"/>
        <v>0.59000015338756773</v>
      </c>
      <c r="BN68" s="4504">
        <f t="shared" si="8"/>
        <v>0.3478612625916534</v>
      </c>
      <c r="BO68" s="4504">
        <f t="shared" si="9"/>
        <v>0.37618664164737142</v>
      </c>
      <c r="BP68" s="4504">
        <f t="shared" si="10"/>
        <v>0.38533613819149776</v>
      </c>
      <c r="BQ68" s="4504">
        <f t="shared" si="11"/>
        <v>0.55935724514389173</v>
      </c>
      <c r="BR68" s="4504">
        <f t="shared" si="12"/>
        <v>0.4855576539421172</v>
      </c>
      <c r="BS68" s="4504">
        <f t="shared" si="13"/>
        <v>0.18097176134940482</v>
      </c>
      <c r="BT68" s="4504">
        <f t="shared" si="14"/>
        <v>7.9580533903224823E-2</v>
      </c>
      <c r="BU68" s="4504">
        <f t="shared" si="15"/>
        <v>9.7611771888442639E-2</v>
      </c>
      <c r="BV68" s="4504">
        <f t="shared" si="16"/>
        <v>0.13813646684258821</v>
      </c>
      <c r="BW68" s="4504">
        <f t="shared" si="17"/>
        <v>0.16626801982822256</v>
      </c>
      <c r="BX68" s="4504">
        <f t="shared" si="18"/>
        <v>0.17629922887087873</v>
      </c>
      <c r="BY68" s="4504">
        <f t="shared" si="19"/>
        <v>0</v>
      </c>
      <c r="BZ68" s="4504">
        <f t="shared" si="20"/>
        <v>0</v>
      </c>
      <c r="CA68" s="4504">
        <f t="shared" si="21"/>
        <v>0</v>
      </c>
      <c r="CB68" s="4504">
        <f t="shared" si="22"/>
        <v>0</v>
      </c>
      <c r="CC68" s="4504">
        <f t="shared" si="23"/>
        <v>0</v>
      </c>
      <c r="CD68" s="4504">
        <f t="shared" si="24"/>
        <v>0</v>
      </c>
      <c r="CE68" s="4504">
        <f t="shared" si="25"/>
        <v>2.3741709977603178</v>
      </c>
      <c r="CF68" s="4504">
        <f t="shared" si="26"/>
        <v>2.0297493364141141</v>
      </c>
      <c r="CG68" s="4504">
        <f t="shared" si="27"/>
        <v>2.4450760390445758</v>
      </c>
      <c r="CH68" s="4504">
        <f t="shared" si="28"/>
        <v>3.2258316348301723</v>
      </c>
      <c r="CI68" s="4504">
        <f t="shared" si="29"/>
        <v>3.7530388892741824</v>
      </c>
      <c r="CJ68" s="4504">
        <f t="shared" si="30"/>
        <v>4.0318535274259881</v>
      </c>
    </row>
    <row r="69" spans="1:88" ht="41.25" customHeight="1" thickBot="1">
      <c r="A69" s="3956" t="s">
        <v>1280</v>
      </c>
      <c r="B69" s="900" t="s">
        <v>1747</v>
      </c>
      <c r="C69" s="1116">
        <f>'12. Разходи'!C69</f>
        <v>3.6009776694492364</v>
      </c>
      <c r="D69" s="3957">
        <f>'12. Разходи'!D69-'12. Разходи'!$C69</f>
        <v>2.5987960430755019</v>
      </c>
      <c r="E69" s="3958">
        <f>IFERROR(('12. Разходи'!D69-'12. Разходи'!$C69)/'12. Разходи'!$C69,0)</f>
        <v>0.72169179640399816</v>
      </c>
      <c r="F69" s="3959">
        <f>'12. Разходи'!E69-'12. Разходи'!$C69</f>
        <v>2.938599470715253</v>
      </c>
      <c r="G69" s="3960">
        <f>IFERROR(('12. Разходи'!E69-'12. Разходи'!$C69)/'12. Разходи'!$C69,0)</f>
        <v>0.81605601046804244</v>
      </c>
      <c r="H69" s="3959">
        <f>'12. Разходи'!F69-'12. Разходи'!$C69</f>
        <v>3.7010420556957411</v>
      </c>
      <c r="I69" s="3960">
        <f>IFERROR(('12. Разходи'!F69-'12. Разходи'!$C69)/'12. Разходи'!$C69,0)</f>
        <v>1.0277881162928204</v>
      </c>
      <c r="J69" s="3959">
        <f>'12. Разходи'!G69-'12. Разходи'!$C69</f>
        <v>4.1223195750189632</v>
      </c>
      <c r="K69" s="3961">
        <f>IFERROR(('12. Разходи'!G69-'12. Разходи'!$C69)/'12. Разходи'!$C69,0)</f>
        <v>1.144777877961533</v>
      </c>
      <c r="L69" s="3695">
        <f>'12. Разходи'!H69-'12. Разходи'!$C69</f>
        <v>4.1247219146063383</v>
      </c>
      <c r="M69" s="3961">
        <f>IFERROR(('12. Разходи'!H69-'12. Разходи'!$C69)/'12. Разходи'!$C69,0)</f>
        <v>1.1454450133363943</v>
      </c>
      <c r="N69" s="1179">
        <f>'12. Разходи'!K69</f>
        <v>9.819734745006535E-2</v>
      </c>
      <c r="O69" s="3957">
        <f>'12. Разходи'!L69-'12. Разходи'!$K69</f>
        <v>0.20283803644675258</v>
      </c>
      <c r="P69" s="3958">
        <f>IFERROR(('12. Разходи'!L69-'12. Разходи'!$K69)/'12. Разходи'!$K69,0)</f>
        <v>2.0656162484419287</v>
      </c>
      <c r="Q69" s="3959">
        <f>'12. Разходи'!M69-'12. Разходи'!$K69</f>
        <v>0.21765980924720135</v>
      </c>
      <c r="R69" s="3960">
        <f>IFERROR(('12. Разходи'!M69-'12. Разходи'!$K69)/'12. Разходи'!$K69,0)</f>
        <v>2.2165548754551057</v>
      </c>
      <c r="S69" s="3959">
        <f>'12. Разходи'!N69-'12. Разходи'!$K69</f>
        <v>0.25284903596323371</v>
      </c>
      <c r="T69" s="3960">
        <f>IFERROR(('12. Разходи'!N69-'12. Разходи'!$K69)/'12. Разходи'!$K69,0)</f>
        <v>2.5749069860752685</v>
      </c>
      <c r="U69" s="3959">
        <f>'12. Разходи'!O69-'12. Разходи'!$K69</f>
        <v>0.27159486682426515</v>
      </c>
      <c r="V69" s="3961">
        <f>IFERROR(('12. Разходи'!O69-'12. Разходи'!$K69)/'12. Разходи'!$K69,0)</f>
        <v>2.7658065505524445</v>
      </c>
      <c r="W69" s="3695">
        <f>'12. Разходи'!P69-'12. Разходи'!$K69</f>
        <v>0.27040099918908084</v>
      </c>
      <c r="X69" s="3962">
        <f>IFERROR(('12. Разходи'!P69-'12. Разходи'!$K69)/'12. Разходи'!$K69,0)</f>
        <v>2.7536487105884739</v>
      </c>
      <c r="Y69" s="1179">
        <f>'12. Разходи'!S69</f>
        <v>0.84640080714750776</v>
      </c>
      <c r="Z69" s="3957">
        <f>'12. Разходи'!T69-'12. Разходи'!$S69</f>
        <v>0.78139642608273863</v>
      </c>
      <c r="AA69" s="3958">
        <f>IFERROR(('12. Разходи'!T69-'12. Разходи'!$S69)/'12. Разходи'!$S69,0)</f>
        <v>0.92319905591318696</v>
      </c>
      <c r="AB69" s="3959">
        <f>'12. Разходи'!U69-'12. Разходи'!$S69</f>
        <v>0.87411972555578021</v>
      </c>
      <c r="AC69" s="3960">
        <f>IFERROR(('12. Разходи'!U69-'12. Разходи'!$S69)/'12. Разходи'!$S69,0)</f>
        <v>1.0327491634863737</v>
      </c>
      <c r="AD69" s="3959">
        <f>'12. Разходи'!V69-'12. Разходи'!$S69</f>
        <v>1.0783122064438639</v>
      </c>
      <c r="AE69" s="3960">
        <f>IFERROR(('12. Разходи'!V69-'12. Разходи'!$S69)/'12. Разходи'!$S69,0)</f>
        <v>1.2739971386345093</v>
      </c>
      <c r="AF69" s="3959">
        <f>'12. Разходи'!W69-'12. Разходи'!$S69</f>
        <v>1.1928634862766343</v>
      </c>
      <c r="AG69" s="3961">
        <f>IFERROR(('12. Разходи'!W69-'12. Разходи'!$S69)/'12. Разходи'!$S69,0)</f>
        <v>1.4093364233627748</v>
      </c>
      <c r="AH69" s="3695">
        <f>'12. Разходи'!X69-'12. Разходи'!$S69</f>
        <v>1.1967412416329968</v>
      </c>
      <c r="AI69" s="3962">
        <f>IFERROR(('12. Разходи'!X69-'12. Разходи'!$S69)/'12. Разходи'!$S69,0)</f>
        <v>1.4139178879875913</v>
      </c>
      <c r="AJ69" s="1179">
        <f>'12. Разходи'!AA69</f>
        <v>0</v>
      </c>
      <c r="AK69" s="3957">
        <f>'12. Разходи'!AB69-'12. Разходи'!$AA69</f>
        <v>0</v>
      </c>
      <c r="AL69" s="3958">
        <f>IFERROR(('12. Разходи'!AB69-'12. Разходи'!$AA69)/'12. Разходи'!$AA69,0)</f>
        <v>0</v>
      </c>
      <c r="AM69" s="3959">
        <f>'12. Разходи'!AC69-'12. Разходи'!$AA69</f>
        <v>0</v>
      </c>
      <c r="AN69" s="3960">
        <f>IFERROR(('12. Разходи'!AC69-'12. Разходи'!$AA69)/'12. Разходи'!$AA69,0)</f>
        <v>0</v>
      </c>
      <c r="AO69" s="3959">
        <f>'12. Разходи'!AD69-'12. Разходи'!$AA69</f>
        <v>0</v>
      </c>
      <c r="AP69" s="3960">
        <f>IFERROR(('12. Разходи'!AD69-'12. Разходи'!$AA69)/'12. Разходи'!$AA69,0)</f>
        <v>0</v>
      </c>
      <c r="AQ69" s="3959">
        <f>'12. Разходи'!AE69-'12. Разходи'!$AA69</f>
        <v>0</v>
      </c>
      <c r="AR69" s="3961">
        <f>IFERROR(('12. Разходи'!AE69-'12. Разходи'!$AA69)/'12. Разходи'!$AA69,0)</f>
        <v>0</v>
      </c>
      <c r="AS69" s="3695">
        <f>'12. Разходи'!AF69-'12. Разходи'!$AA69</f>
        <v>0</v>
      </c>
      <c r="AT69" s="3962">
        <f>IFERROR(('12. Разходи'!AF69-'12. Разходи'!$AA69)/'12. Разходи'!$AA69,0)</f>
        <v>0</v>
      </c>
      <c r="AU69" s="1179">
        <f>'12. Разходи'!AI69</f>
        <v>0.90441621991703836</v>
      </c>
      <c r="AV69" s="3957">
        <f>'12. Разходи'!AJ69-'12. Разходи'!$AI69</f>
        <v>0.5835625668741925</v>
      </c>
      <c r="AW69" s="3958">
        <f>IFERROR(('12. Разходи'!AJ69-'12. Разходи'!$AI69)/'12. Разходи'!$AI69,0)</f>
        <v>0.64523673284820393</v>
      </c>
      <c r="AX69" s="3959">
        <f>'12. Разходи'!AK69-'12. Разходи'!$AI69</f>
        <v>0.65684028555212948</v>
      </c>
      <c r="AY69" s="3960">
        <f>IFERROR(('12. Разходи'!AK69-'12. Разходи'!$AI69)/'12. Разходи'!$AI69,0)</f>
        <v>0.72625885193918915</v>
      </c>
      <c r="AZ69" s="3959">
        <f>'12. Разходи'!AL69-'12. Разходи'!$AI69</f>
        <v>0.83101303515247904</v>
      </c>
      <c r="BA69" s="3960">
        <f>IFERROR(('12. Разходи'!AL69-'12. Разходи'!$AI69)/'12. Разходи'!$AI69,0)</f>
        <v>0.91883915486246748</v>
      </c>
      <c r="BB69" s="3959">
        <f>'12. Разходи'!AM69-'12. Разходи'!$AI69</f>
        <v>0.9241442244470327</v>
      </c>
      <c r="BC69" s="3961">
        <f>IFERROR(('12. Разходи'!AM69-'12. Разходи'!$AI69)/'12. Разходи'!$AI69,0)</f>
        <v>1.0218129707269115</v>
      </c>
      <c r="BD69" s="3695">
        <f>'12. Разходи'!AN69-'12. Разходи'!$AI69</f>
        <v>0.91889117121039587</v>
      </c>
      <c r="BE69" s="3962">
        <f>IFERROR(('12. Разходи'!AN69-'12. Разходи'!$AI69)/'12. Разходи'!$AI69,0)</f>
        <v>1.0160047453535113</v>
      </c>
      <c r="BF69" s="4488"/>
      <c r="BG69" s="4504">
        <f t="shared" si="1"/>
        <v>1.8411506467582748</v>
      </c>
      <c r="BH69" s="4504">
        <f t="shared" si="2"/>
        <v>1.3287433177093622</v>
      </c>
      <c r="BI69" s="4504">
        <f t="shared" si="3"/>
        <v>1.5024820514642137</v>
      </c>
      <c r="BJ69" s="4504">
        <f t="shared" si="4"/>
        <v>1.8923127550429952</v>
      </c>
      <c r="BK69" s="4504">
        <f t="shared" si="5"/>
        <v>2.1077085304034417</v>
      </c>
      <c r="BL69" s="4504">
        <f t="shared" si="6"/>
        <v>2.1089368271303428</v>
      </c>
      <c r="BM69" s="4504">
        <f t="shared" si="7"/>
        <v>5.0207506506222604E-2</v>
      </c>
      <c r="BN69" s="4504">
        <f t="shared" si="8"/>
        <v>0.10370944123300725</v>
      </c>
      <c r="BO69" s="4504">
        <f t="shared" si="9"/>
        <v>0.11128769333081165</v>
      </c>
      <c r="BP69" s="4504">
        <f t="shared" si="10"/>
        <v>0.12927965925629206</v>
      </c>
      <c r="BQ69" s="4504">
        <f t="shared" si="11"/>
        <v>0.13886425038181496</v>
      </c>
      <c r="BR69" s="4504">
        <f t="shared" si="12"/>
        <v>0.1382538355527223</v>
      </c>
      <c r="BS69" s="4504">
        <f t="shared" si="13"/>
        <v>0.432757860932447</v>
      </c>
      <c r="BT69" s="4504">
        <f t="shared" si="14"/>
        <v>0.39952164865184531</v>
      </c>
      <c r="BU69" s="4504">
        <f t="shared" si="15"/>
        <v>0.44693031887013707</v>
      </c>
      <c r="BV69" s="4504">
        <f t="shared" si="16"/>
        <v>0.55133227654952832</v>
      </c>
      <c r="BW69" s="4504">
        <f t="shared" si="17"/>
        <v>0.60990141590865987</v>
      </c>
      <c r="BX69" s="4504">
        <f t="shared" si="18"/>
        <v>0.61188408073963318</v>
      </c>
      <c r="BY69" s="4504">
        <f t="shared" si="19"/>
        <v>0</v>
      </c>
      <c r="BZ69" s="4504">
        <f t="shared" si="20"/>
        <v>0</v>
      </c>
      <c r="CA69" s="4504">
        <f t="shared" si="21"/>
        <v>0</v>
      </c>
      <c r="CB69" s="4504">
        <f t="shared" si="22"/>
        <v>0</v>
      </c>
      <c r="CC69" s="4504">
        <f t="shared" si="23"/>
        <v>0</v>
      </c>
      <c r="CD69" s="4504">
        <f t="shared" si="24"/>
        <v>0</v>
      </c>
      <c r="CE69" s="4504">
        <f t="shared" si="25"/>
        <v>0.46242067046575541</v>
      </c>
      <c r="CF69" s="4504">
        <f t="shared" si="26"/>
        <v>0.29837080261279997</v>
      </c>
      <c r="CG69" s="4504">
        <f t="shared" si="27"/>
        <v>0.33583710524540961</v>
      </c>
      <c r="CH69" s="4504">
        <f t="shared" si="28"/>
        <v>0.42489021804169025</v>
      </c>
      <c r="CI69" s="4504">
        <f t="shared" si="29"/>
        <v>0.47250743901414372</v>
      </c>
      <c r="CJ69" s="4504">
        <f t="shared" si="30"/>
        <v>0.46982159554275982</v>
      </c>
    </row>
    <row r="70" spans="1:88" s="1160" customFormat="1" ht="15.9" customHeight="1" thickBot="1">
      <c r="A70" s="110">
        <v>6</v>
      </c>
      <c r="B70" s="897" t="s">
        <v>450</v>
      </c>
      <c r="C70" s="1110">
        <f>'12. Разходи'!C70</f>
        <v>241.62791660667429</v>
      </c>
      <c r="D70" s="1148">
        <f>'12. Разходи'!D70-'12. Разходи'!$C70</f>
        <v>7.0619136801719549</v>
      </c>
      <c r="E70" s="875">
        <f>IFERROR(('12. Разходи'!D70-'12. Разходи'!$C70)/'12. Разходи'!$C70,0)</f>
        <v>2.9226398089039721E-2</v>
      </c>
      <c r="F70" s="1147">
        <f>'12. Разходи'!E70-'12. Разходи'!$C70</f>
        <v>4.8569467277607998</v>
      </c>
      <c r="G70" s="875">
        <f>IFERROR(('12. Разходи'!E70-'12. Разходи'!$C70)/'12. Разходи'!$C70,0)</f>
        <v>2.0100933683366618E-2</v>
      </c>
      <c r="H70" s="1147">
        <f>'12. Разходи'!F70-'12. Разходи'!$C70</f>
        <v>2.0591418303873184</v>
      </c>
      <c r="I70" s="875">
        <f>IFERROR(('12. Разходи'!F70-'12. Разходи'!$C70)/'12. Разходи'!$C70,0)</f>
        <v>8.5219533376154621E-3</v>
      </c>
      <c r="J70" s="1147">
        <f>'12. Разходи'!G70-'12. Разходи'!$C70</f>
        <v>-1.759103954265214</v>
      </c>
      <c r="K70" s="888">
        <f>IFERROR(('12. Разходи'!G70-'12. Разходи'!$C70)/'12. Разходи'!$C70,0)</f>
        <v>-7.2802181923734876E-3</v>
      </c>
      <c r="L70" s="1147">
        <f>'12. Разходи'!H70-'12. Разходи'!$C70</f>
        <v>-7.2774582022924506</v>
      </c>
      <c r="M70" s="888">
        <f>IFERROR(('12. Разходи'!H70-'12. Разходи'!$C70)/'12. Разходи'!$C70,0)</f>
        <v>-3.0118449492484808E-2</v>
      </c>
      <c r="N70" s="1161">
        <f>'12. Разходи'!K70</f>
        <v>3.4990109960544906</v>
      </c>
      <c r="O70" s="1148">
        <f>'12. Разходи'!L70-'12. Разходи'!$K70</f>
        <v>-0.45901601714088613</v>
      </c>
      <c r="P70" s="875">
        <f>IFERROR(('12. Разходи'!L70-'12. Разходи'!$K70)/'12. Разходи'!$K70,0)</f>
        <v>-0.13118450260901604</v>
      </c>
      <c r="Q70" s="1147">
        <f>'12. Разходи'!M70-'12. Разходи'!$K70</f>
        <v>-0.47153488420622391</v>
      </c>
      <c r="R70" s="875">
        <f>IFERROR(('12. Разходи'!M70-'12. Разходи'!$K70)/'12. Разходи'!$K70,0)</f>
        <v>-0.13476233276715333</v>
      </c>
      <c r="S70" s="1147">
        <f>'12. Разходи'!N70-'12. Разходи'!$K70</f>
        <v>-0.46325334830214793</v>
      </c>
      <c r="T70" s="875">
        <f>IFERROR(('12. Разходи'!N70-'12. Разходи'!$K70)/'12. Разходи'!$K70,0)</f>
        <v>-0.13239551085278545</v>
      </c>
      <c r="U70" s="1147">
        <f>'12. Разходи'!O70-'12. Разходи'!$K70</f>
        <v>-0.44870528848012814</v>
      </c>
      <c r="V70" s="888">
        <f>IFERROR(('12. Разходи'!O70-'12. Разходи'!$K70)/'12. Разходи'!$K70,0)</f>
        <v>-0.12823774746238048</v>
      </c>
      <c r="W70" s="1147">
        <f>'12. Разходи'!P70-'12. Разходи'!$K70</f>
        <v>-0.43111421770643066</v>
      </c>
      <c r="X70" s="890">
        <f>IFERROR(('12. Разходи'!P70-'12. Разходи'!$K70)/'12. Разходи'!$K70,0)</f>
        <v>-0.12321030662451707</v>
      </c>
      <c r="Y70" s="1161">
        <f>'12. Разходи'!S70</f>
        <v>26.131879646003725</v>
      </c>
      <c r="Z70" s="1148">
        <f>'12. Разходи'!T70-'12. Разходи'!$S70</f>
        <v>3.5233340874467345</v>
      </c>
      <c r="AA70" s="875">
        <f>IFERROR(('12. Разходи'!T70-'12. Разходи'!$S70)/'12. Разходи'!$S70,0)</f>
        <v>0.13482895739516954</v>
      </c>
      <c r="AB70" s="1147">
        <f>'12. Разходи'!U70-'12. Разходи'!$S70</f>
        <v>3.6144605679232349</v>
      </c>
      <c r="AC70" s="875">
        <f>IFERROR(('12. Разходи'!U70-'12. Разходи'!$S70)/'12. Разходи'!$S70,0)</f>
        <v>0.1383161340434225</v>
      </c>
      <c r="AD70" s="1147">
        <f>'12. Разходи'!V70-'12. Разходи'!$S70</f>
        <v>3.6814452016698631</v>
      </c>
      <c r="AE70" s="875">
        <f>IFERROR(('12. Разходи'!V70-'12. Разходи'!$S70)/'12. Разходи'!$S70,0)</f>
        <v>0.14087946414650107</v>
      </c>
      <c r="AF70" s="1147">
        <f>'12. Разходи'!W70-'12. Разходи'!$S70</f>
        <v>3.7678574860117706</v>
      </c>
      <c r="AG70" s="888">
        <f>IFERROR(('12. Разходи'!W70-'12. Разходи'!$S70)/'12. Разходи'!$S70,0)</f>
        <v>0.14418624060163918</v>
      </c>
      <c r="AH70" s="1147">
        <f>'12. Разходи'!X70-'12. Разходи'!$S70</f>
        <v>3.8595529570319336</v>
      </c>
      <c r="AI70" s="890">
        <f>IFERROR(('12. Разходи'!X70-'12. Разходи'!$S70)/'12. Разходи'!$S70,0)</f>
        <v>0.14769519105841145</v>
      </c>
      <c r="AJ70" s="1161">
        <f>'12. Разходи'!AA70</f>
        <v>0</v>
      </c>
      <c r="AK70" s="1148">
        <f>'12. Разходи'!AB70-'12. Разходи'!$AA70</f>
        <v>0</v>
      </c>
      <c r="AL70" s="875">
        <f>IFERROR(('12. Разходи'!AB70-'12. Разходи'!$AA70)/'12. Разходи'!$AA70,0)</f>
        <v>0</v>
      </c>
      <c r="AM70" s="1147">
        <f>'12. Разходи'!AC70-'12. Разходи'!$AA70</f>
        <v>0</v>
      </c>
      <c r="AN70" s="875">
        <f>IFERROR(('12. Разходи'!AC70-'12. Разходи'!$AA70)/'12. Разходи'!$AA70,0)</f>
        <v>0</v>
      </c>
      <c r="AO70" s="1147">
        <f>'12. Разходи'!AD70-'12. Разходи'!$AA70</f>
        <v>0</v>
      </c>
      <c r="AP70" s="875">
        <f>IFERROR(('12. Разходи'!AD70-'12. Разходи'!$AA70)/'12. Разходи'!$AA70,0)</f>
        <v>0</v>
      </c>
      <c r="AQ70" s="1147">
        <f>'12. Разходи'!AE70-'12. Разходи'!$AA70</f>
        <v>0</v>
      </c>
      <c r="AR70" s="888">
        <f>IFERROR(('12. Разходи'!AE70-'12. Разходи'!$AA70)/'12. Разходи'!$AA70,0)</f>
        <v>0</v>
      </c>
      <c r="AS70" s="1147">
        <f>'12. Разходи'!AF70-'12. Разходи'!$AA70</f>
        <v>0</v>
      </c>
      <c r="AT70" s="890">
        <f>IFERROR(('12. Разходи'!AF70-'12. Разходи'!$AA70)/'12. Разходи'!$AA70,0)</f>
        <v>0</v>
      </c>
      <c r="AU70" s="1161">
        <f>'12. Разходи'!AI70</f>
        <v>367.64795138189612</v>
      </c>
      <c r="AV70" s="1148">
        <f>'12. Разходи'!AJ70-'12. Разходи'!$AI70</f>
        <v>29.788679999999999</v>
      </c>
      <c r="AW70" s="875">
        <f>IFERROR(('12. Разходи'!AJ70-'12. Разходи'!$AI70)/'12. Разходи'!$AI70,0)</f>
        <v>8.1025012890815387E-2</v>
      </c>
      <c r="AX70" s="1147">
        <f>'12. Разходи'!AK70-'12. Разходи'!$AI70</f>
        <v>29.915099999999995</v>
      </c>
      <c r="AY70" s="875">
        <f>IFERROR(('12. Разходи'!AK70-'12. Разходи'!$AI70)/'12. Разходи'!$AI70,0)</f>
        <v>8.1368874456002438E-2</v>
      </c>
      <c r="AZ70" s="1147">
        <f>'12. Разходи'!AL70-'12. Разходи'!$AI70</f>
        <v>30.042460000000062</v>
      </c>
      <c r="BA70" s="875">
        <f>IFERROR(('12. Разходи'!AL70-'12. Разходи'!$AI70)/'12. Разходи'!$AI70,0)</f>
        <v>8.1715292814982424E-2</v>
      </c>
      <c r="BB70" s="1147">
        <f>'12. Разходи'!AM70-'12. Разходи'!$AI70</f>
        <v>30.169640000000015</v>
      </c>
      <c r="BC70" s="888">
        <f>IFERROR(('12. Разходи'!AM70-'12. Разходи'!$AI70)/'12. Разходи'!$AI70,0)</f>
        <v>8.2061221575150722E-2</v>
      </c>
      <c r="BD70" s="1147">
        <f>'12. Разходи'!AN70-'12. Разходи'!$AI70</f>
        <v>30.297300000000007</v>
      </c>
      <c r="BE70" s="890">
        <f>IFERROR(('12. Разходи'!AN70-'12. Разходи'!$AI70)/'12. Разходи'!$AI70,0)</f>
        <v>8.2408455932149446E-2</v>
      </c>
      <c r="BF70" s="4488"/>
      <c r="BG70" s="4504">
        <f t="shared" si="1"/>
        <v>123.54239203134951</v>
      </c>
      <c r="BH70" s="4504">
        <f t="shared" si="2"/>
        <v>3.6106991303804294</v>
      </c>
      <c r="BI70" s="4504">
        <f t="shared" si="3"/>
        <v>2.4833174293066369</v>
      </c>
      <c r="BJ70" s="4504">
        <f t="shared" si="4"/>
        <v>1.0528225001085567</v>
      </c>
      <c r="BK70" s="4504">
        <f t="shared" si="5"/>
        <v>-0.89941556999596795</v>
      </c>
      <c r="BL70" s="4504">
        <f t="shared" si="6"/>
        <v>-3.7209052945769576</v>
      </c>
      <c r="BM70" s="4504">
        <f t="shared" si="7"/>
        <v>1.7890159144989548</v>
      </c>
      <c r="BN70" s="4504">
        <f t="shared" si="8"/>
        <v>-0.23469116290315933</v>
      </c>
      <c r="BO70" s="4504">
        <f t="shared" si="9"/>
        <v>-0.24109195799544128</v>
      </c>
      <c r="BP70" s="4504">
        <f t="shared" si="10"/>
        <v>-0.23685767592385223</v>
      </c>
      <c r="BQ70" s="4504">
        <f t="shared" si="11"/>
        <v>-0.22941937104969662</v>
      </c>
      <c r="BR70" s="4504">
        <f t="shared" si="12"/>
        <v>-0.22042519938155702</v>
      </c>
      <c r="BS70" s="4504">
        <f t="shared" si="13"/>
        <v>13.361017903398416</v>
      </c>
      <c r="BT70" s="4504">
        <f t="shared" si="14"/>
        <v>1.8014521136534027</v>
      </c>
      <c r="BU70" s="4504">
        <f t="shared" si="15"/>
        <v>1.8480443432830231</v>
      </c>
      <c r="BV70" s="4504">
        <f t="shared" si="16"/>
        <v>1.8822930426825764</v>
      </c>
      <c r="BW70" s="4504">
        <f t="shared" si="17"/>
        <v>1.9264749421022127</v>
      </c>
      <c r="BX70" s="4504">
        <f t="shared" si="18"/>
        <v>1.9733580919772851</v>
      </c>
      <c r="BY70" s="4504">
        <f t="shared" si="19"/>
        <v>0</v>
      </c>
      <c r="BZ70" s="4504">
        <f t="shared" si="20"/>
        <v>0</v>
      </c>
      <c r="CA70" s="4504">
        <f t="shared" si="21"/>
        <v>0</v>
      </c>
      <c r="CB70" s="4504">
        <f t="shared" si="22"/>
        <v>0</v>
      </c>
      <c r="CC70" s="4504">
        <f t="shared" si="23"/>
        <v>0</v>
      </c>
      <c r="CD70" s="4504">
        <f t="shared" si="24"/>
        <v>0</v>
      </c>
      <c r="CE70" s="4504">
        <f t="shared" si="25"/>
        <v>187.97541267998554</v>
      </c>
      <c r="CF70" s="4504">
        <f t="shared" si="26"/>
        <v>15.23071023555217</v>
      </c>
      <c r="CG70" s="4504">
        <f t="shared" si="27"/>
        <v>15.295347755172994</v>
      </c>
      <c r="CH70" s="4504">
        <f t="shared" si="28"/>
        <v>15.360465889162178</v>
      </c>
      <c r="CI70" s="4504">
        <f t="shared" si="29"/>
        <v>15.42549199061269</v>
      </c>
      <c r="CJ70" s="4504">
        <f t="shared" si="30"/>
        <v>15.490763512166195</v>
      </c>
    </row>
    <row r="71" spans="1:88" ht="15.9" customHeight="1">
      <c r="A71" s="108" t="s">
        <v>268</v>
      </c>
      <c r="B71" s="895" t="s">
        <v>451</v>
      </c>
      <c r="C71" s="1111">
        <f>'12. Разходи'!C71</f>
        <v>34.514139068795522</v>
      </c>
      <c r="D71" s="1141">
        <f>'12. Разходи'!D71-'12. Разходи'!$C71</f>
        <v>0</v>
      </c>
      <c r="E71" s="1121">
        <f>IFERROR(('12. Разходи'!D71-'12. Разходи'!$C71)/'12. Разходи'!$C71,0)</f>
        <v>0</v>
      </c>
      <c r="F71" s="907">
        <f>'12. Разходи'!E71-'12. Разходи'!$C71</f>
        <v>0</v>
      </c>
      <c r="G71" s="1129">
        <f>IFERROR(('12. Разходи'!E71-'12. Разходи'!$C71)/'12. Разходи'!$C71,0)</f>
        <v>0</v>
      </c>
      <c r="H71" s="907">
        <f>'12. Разходи'!F71-'12. Разходи'!$C71</f>
        <v>0</v>
      </c>
      <c r="I71" s="1129">
        <f>IFERROR(('12. Разходи'!F71-'12. Разходи'!$C71)/'12. Разходи'!$C71,0)</f>
        <v>0</v>
      </c>
      <c r="J71" s="907">
        <f>'12. Разходи'!G71-'12. Разходи'!$C71</f>
        <v>0</v>
      </c>
      <c r="K71" s="1128">
        <f>IFERROR(('12. Разходи'!G71-'12. Разходи'!$C71)/'12. Разходи'!$C71,0)</f>
        <v>0</v>
      </c>
      <c r="L71" s="1136">
        <f>'12. Разходи'!H71-'12. Разходи'!$C71</f>
        <v>0</v>
      </c>
      <c r="M71" s="1128">
        <f>IFERROR(('12. Разходи'!H71-'12. Разходи'!$C71)/'12. Разходи'!$C71,0)</f>
        <v>0</v>
      </c>
      <c r="N71" s="1177">
        <f>'12. Разходи'!K71</f>
        <v>0.5057053538966918</v>
      </c>
      <c r="O71" s="1141">
        <f>'12. Разходи'!L71-'12. Разходи'!$K71</f>
        <v>0</v>
      </c>
      <c r="P71" s="1121">
        <f>IFERROR(('12. Разходи'!L71-'12. Разходи'!$K71)/'12. Разходи'!$K71,0)</f>
        <v>0</v>
      </c>
      <c r="Q71" s="907">
        <f>'12. Разходи'!M71-'12. Разходи'!$K71</f>
        <v>0</v>
      </c>
      <c r="R71" s="1129">
        <f>IFERROR(('12. Разходи'!M71-'12. Разходи'!$K71)/'12. Разходи'!$K71,0)</f>
        <v>0</v>
      </c>
      <c r="S71" s="907">
        <f>'12. Разходи'!N71-'12. Разходи'!$K71</f>
        <v>0</v>
      </c>
      <c r="T71" s="1129">
        <f>IFERROR(('12. Разходи'!N71-'12. Разходи'!$K71)/'12. Разходи'!$K71,0)</f>
        <v>0</v>
      </c>
      <c r="U71" s="907">
        <f>'12. Разходи'!O71-'12. Разходи'!$K71</f>
        <v>0</v>
      </c>
      <c r="V71" s="1128">
        <f>IFERROR(('12. Разходи'!O71-'12. Разходи'!$K71)/'12. Разходи'!$K71,0)</f>
        <v>0</v>
      </c>
      <c r="W71" s="1136">
        <f>'12. Разходи'!P71-'12. Разходи'!$K71</f>
        <v>0</v>
      </c>
      <c r="X71" s="1183">
        <f>IFERROR(('12. Разходи'!P71-'12. Разходи'!$K71)/'12. Разходи'!$K71,0)</f>
        <v>0</v>
      </c>
      <c r="Y71" s="1177">
        <f>'12. Разходи'!S71</f>
        <v>8.3637291768248669</v>
      </c>
      <c r="Z71" s="1141">
        <f>'12. Разходи'!T71-'12. Разходи'!$S71</f>
        <v>2.2000000000000011</v>
      </c>
      <c r="AA71" s="1121">
        <f>IFERROR(('12. Разходи'!T71-'12. Разходи'!$S71)/'12. Разходи'!$S71,0)</f>
        <v>0.26304055923953168</v>
      </c>
      <c r="AB71" s="907">
        <f>'12. Разходи'!U71-'12. Разходи'!$S71</f>
        <v>2.2000000000000011</v>
      </c>
      <c r="AC71" s="1129">
        <f>IFERROR(('12. Разходи'!U71-'12. Разходи'!$S71)/'12. Разходи'!$S71,0)</f>
        <v>0.26304055923953168</v>
      </c>
      <c r="AD71" s="907">
        <f>'12. Разходи'!V71-'12. Разходи'!$S71</f>
        <v>2.2000000000000011</v>
      </c>
      <c r="AE71" s="1129">
        <f>IFERROR(('12. Разходи'!V71-'12. Разходи'!$S71)/'12. Разходи'!$S71,0)</f>
        <v>0.26304055923953168</v>
      </c>
      <c r="AF71" s="907">
        <f>'12. Разходи'!W71-'12. Разходи'!$S71</f>
        <v>2.2000000000000011</v>
      </c>
      <c r="AG71" s="1128">
        <f>IFERROR(('12. Разходи'!W71-'12. Разходи'!$S71)/'12. Разходи'!$S71,0)</f>
        <v>0.26304055923953168</v>
      </c>
      <c r="AH71" s="1136">
        <f>'12. Разходи'!X71-'12. Разходи'!$S71</f>
        <v>2.2000000000000011</v>
      </c>
      <c r="AI71" s="1183">
        <f>IFERROR(('12. Разходи'!X71-'12. Разходи'!$S71)/'12. Разходи'!$S71,0)</f>
        <v>0.26304055923953168</v>
      </c>
      <c r="AJ71" s="1177">
        <f>'12. Разходи'!AA71</f>
        <v>0</v>
      </c>
      <c r="AK71" s="1141">
        <f>'12. Разходи'!AB71-'12. Разходи'!$AA71</f>
        <v>0</v>
      </c>
      <c r="AL71" s="1121">
        <f>IFERROR(('12. Разходи'!AB71-'12. Разходи'!$AA71)/'12. Разходи'!$AA71,0)</f>
        <v>0</v>
      </c>
      <c r="AM71" s="907">
        <f>'12. Разходи'!AC71-'12. Разходи'!$AA71</f>
        <v>0</v>
      </c>
      <c r="AN71" s="1129">
        <f>IFERROR(('12. Разходи'!AC71-'12. Разходи'!$AA71)/'12. Разходи'!$AA71,0)</f>
        <v>0</v>
      </c>
      <c r="AO71" s="907">
        <f>'12. Разходи'!AD71-'12. Разходи'!$AA71</f>
        <v>0</v>
      </c>
      <c r="AP71" s="1129">
        <f>IFERROR(('12. Разходи'!AD71-'12. Разходи'!$AA71)/'12. Разходи'!$AA71,0)</f>
        <v>0</v>
      </c>
      <c r="AQ71" s="907">
        <f>'12. Разходи'!AE71-'12. Разходи'!$AA71</f>
        <v>0</v>
      </c>
      <c r="AR71" s="1128">
        <f>IFERROR(('12. Разходи'!AE71-'12. Разходи'!$AA71)/'12. Разходи'!$AA71,0)</f>
        <v>0</v>
      </c>
      <c r="AS71" s="1136">
        <f>'12. Разходи'!AF71-'12. Разходи'!$AA71</f>
        <v>0</v>
      </c>
      <c r="AT71" s="1183">
        <f>IFERROR(('12. Разходи'!AF71-'12. Разходи'!$AA71)/'12. Разходи'!$AA71,0)</f>
        <v>0</v>
      </c>
      <c r="AU71" s="1177">
        <f>'12. Разходи'!AI71</f>
        <v>3.9416112121846898</v>
      </c>
      <c r="AV71" s="1141">
        <f>'12. Разходи'!AJ71-'12. Разходи'!$AI71</f>
        <v>0</v>
      </c>
      <c r="AW71" s="1121">
        <f>IFERROR(('12. Разходи'!AJ71-'12. Разходи'!$AI71)/'12. Разходи'!$AI71,0)</f>
        <v>0</v>
      </c>
      <c r="AX71" s="907">
        <f>'12. Разходи'!AK71-'12. Разходи'!$AI71</f>
        <v>0</v>
      </c>
      <c r="AY71" s="1129">
        <f>IFERROR(('12. Разходи'!AK71-'12. Разходи'!$AI71)/'12. Разходи'!$AI71,0)</f>
        <v>0</v>
      </c>
      <c r="AZ71" s="907">
        <f>'12. Разходи'!AL71-'12. Разходи'!$AI71</f>
        <v>0</v>
      </c>
      <c r="BA71" s="1129">
        <f>IFERROR(('12. Разходи'!AL71-'12. Разходи'!$AI71)/'12. Разходи'!$AI71,0)</f>
        <v>0</v>
      </c>
      <c r="BB71" s="907">
        <f>'12. Разходи'!AM71-'12. Разходи'!$AI71</f>
        <v>0</v>
      </c>
      <c r="BC71" s="1128">
        <f>IFERROR(('12. Разходи'!AM71-'12. Разходи'!$AI71)/'12. Разходи'!$AI71,0)</f>
        <v>0</v>
      </c>
      <c r="BD71" s="1136">
        <f>'12. Разходи'!AN71-'12. Разходи'!$AI71</f>
        <v>0</v>
      </c>
      <c r="BE71" s="1183">
        <f>IFERROR(('12. Разходи'!AN71-'12. Разходи'!$AI71)/'12. Разходи'!$AI71,0)</f>
        <v>0</v>
      </c>
      <c r="BF71" s="4488"/>
      <c r="BG71" s="4504">
        <f t="shared" si="1"/>
        <v>17.646799092352364</v>
      </c>
      <c r="BH71" s="4504">
        <f t="shared" si="2"/>
        <v>0</v>
      </c>
      <c r="BI71" s="4504">
        <f t="shared" si="3"/>
        <v>0</v>
      </c>
      <c r="BJ71" s="4504">
        <f t="shared" si="4"/>
        <v>0</v>
      </c>
      <c r="BK71" s="4504">
        <f t="shared" si="5"/>
        <v>0</v>
      </c>
      <c r="BL71" s="4504">
        <f t="shared" si="6"/>
        <v>0</v>
      </c>
      <c r="BM71" s="4504">
        <f t="shared" si="7"/>
        <v>0.25856304172483896</v>
      </c>
      <c r="BN71" s="4504">
        <f t="shared" si="8"/>
        <v>0</v>
      </c>
      <c r="BO71" s="4504">
        <f t="shared" si="9"/>
        <v>0</v>
      </c>
      <c r="BP71" s="4504">
        <f t="shared" si="10"/>
        <v>0</v>
      </c>
      <c r="BQ71" s="4504">
        <f t="shared" si="11"/>
        <v>0</v>
      </c>
      <c r="BR71" s="4504">
        <f t="shared" si="12"/>
        <v>0</v>
      </c>
      <c r="BS71" s="4504">
        <f t="shared" si="13"/>
        <v>4.276306824634486</v>
      </c>
      <c r="BT71" s="4504">
        <f t="shared" si="14"/>
        <v>1.1248421386316811</v>
      </c>
      <c r="BU71" s="4504">
        <f t="shared" si="15"/>
        <v>1.1248421386316811</v>
      </c>
      <c r="BV71" s="4504">
        <f t="shared" si="16"/>
        <v>1.1248421386316811</v>
      </c>
      <c r="BW71" s="4504">
        <f t="shared" si="17"/>
        <v>1.1248421386316811</v>
      </c>
      <c r="BX71" s="4504">
        <f t="shared" si="18"/>
        <v>1.1248421386316811</v>
      </c>
      <c r="BY71" s="4504">
        <f t="shared" si="19"/>
        <v>0</v>
      </c>
      <c r="BZ71" s="4504">
        <f t="shared" si="20"/>
        <v>0</v>
      </c>
      <c r="CA71" s="4504">
        <f t="shared" si="21"/>
        <v>0</v>
      </c>
      <c r="CB71" s="4504">
        <f t="shared" si="22"/>
        <v>0</v>
      </c>
      <c r="CC71" s="4504">
        <f t="shared" si="23"/>
        <v>0</v>
      </c>
      <c r="CD71" s="4504">
        <f t="shared" si="24"/>
        <v>0</v>
      </c>
      <c r="CE71" s="4504">
        <f t="shared" si="25"/>
        <v>2.0153138116220171</v>
      </c>
      <c r="CF71" s="4504">
        <f t="shared" si="26"/>
        <v>0</v>
      </c>
      <c r="CG71" s="4504">
        <f t="shared" si="27"/>
        <v>0</v>
      </c>
      <c r="CH71" s="4504">
        <f t="shared" si="28"/>
        <v>0</v>
      </c>
      <c r="CI71" s="4504">
        <f t="shared" si="29"/>
        <v>0</v>
      </c>
      <c r="CJ71" s="4504">
        <f t="shared" si="30"/>
        <v>0</v>
      </c>
    </row>
    <row r="72" spans="1:88" ht="15.9" customHeight="1">
      <c r="A72" s="108" t="s">
        <v>270</v>
      </c>
      <c r="B72" s="902" t="s">
        <v>452</v>
      </c>
      <c r="C72" s="1112">
        <f>'12. Разходи'!C72</f>
        <v>16.495466456685218</v>
      </c>
      <c r="D72" s="1141">
        <f>'12. Разходи'!D72-'12. Разходи'!$C72</f>
        <v>2.9667336801719735</v>
      </c>
      <c r="E72" s="1121">
        <f>IFERROR(('12. Разходи'!D72-'12. Разходи'!$C72)/'12. Разходи'!$C72,0)</f>
        <v>0.17985145724506793</v>
      </c>
      <c r="F72" s="907">
        <f>'12. Разходи'!E72-'12. Разходи'!$C72</f>
        <v>3.1270267277608141</v>
      </c>
      <c r="G72" s="1129">
        <f>IFERROR(('12. Разходи'!E72-'12. Разходи'!$C72)/'12. Разходи'!$C72,0)</f>
        <v>0.18956885735677423</v>
      </c>
      <c r="H72" s="907">
        <f>'12. Разходи'!F72-'12. Разходи'!$C72</f>
        <v>3.1751218303873117</v>
      </c>
      <c r="I72" s="1129">
        <f>IFERROR(('12. Разходи'!F72-'12. Разходи'!$C72)/'12. Разходи'!$C72,0)</f>
        <v>0.19248451316758677</v>
      </c>
      <c r="J72" s="907">
        <f>'12. Разходи'!G72-'12. Разходи'!$C72</f>
        <v>3.2223560457347808</v>
      </c>
      <c r="K72" s="1128">
        <f>IFERROR(('12. Разходи'!G72-'12. Разходи'!$C72)/'12. Разходи'!$C72,0)</f>
        <v>0.19534797965224179</v>
      </c>
      <c r="L72" s="1136">
        <f>'12. Разходи'!H72-'12. Разходи'!$C72</f>
        <v>3.2796017977075813</v>
      </c>
      <c r="M72" s="1128">
        <f>IFERROR(('12. Разходи'!H72-'12. Разходи'!$C72)/'12. Разходи'!$C72,0)</f>
        <v>0.19881837269163352</v>
      </c>
      <c r="N72" s="1177">
        <f>'12. Разходи'!K72</f>
        <v>0.44982535291471681</v>
      </c>
      <c r="O72" s="1141">
        <f>'12. Разходи'!L72-'12. Разходи'!$K72</f>
        <v>8.0901745227488719E-2</v>
      </c>
      <c r="P72" s="1121">
        <f>IFERROR(('12. Разходи'!L72-'12. Разходи'!$K72)/'12. Разходи'!$K72,0)</f>
        <v>0.17985145724506779</v>
      </c>
      <c r="Q72" s="907">
        <f>'12. Разходи'!M72-'12. Разходи'!$K72</f>
        <v>8.5272878162150567E-2</v>
      </c>
      <c r="R72" s="1129">
        <f>IFERROR(('12. Разходи'!M72-'12. Разходи'!$K72)/'12. Разходи'!$K72,0)</f>
        <v>0.1895688573567742</v>
      </c>
      <c r="S72" s="907">
        <f>'12. Разходи'!N72-'12. Разходи'!$K72</f>
        <v>8.6584414066227078E-2</v>
      </c>
      <c r="T72" s="1129">
        <f>IFERROR(('12. Разходи'!N72-'12. Разходи'!$K72)/'12. Разходи'!$K72,0)</f>
        <v>0.19248451316758655</v>
      </c>
      <c r="U72" s="907">
        <f>'12. Разходи'!O72-'12. Разходи'!$K72</f>
        <v>8.7872473888246594E-2</v>
      </c>
      <c r="V72" s="1128">
        <f>IFERROR(('12. Разходи'!O72-'12. Разходи'!$K72)/'12. Разходи'!$K72,0)</f>
        <v>0.19534797965224182</v>
      </c>
      <c r="W72" s="1136">
        <f>'12. Разходи'!P72-'12. Разходи'!$K72</f>
        <v>8.9433544661943642E-2</v>
      </c>
      <c r="X72" s="1183">
        <f>IFERROR(('12. Разходи'!P72-'12. Разходи'!$K72)/'12. Разходи'!$K72,0)</f>
        <v>0.1988183726916333</v>
      </c>
      <c r="Y72" s="1177">
        <f>'12. Разходи'!S72</f>
        <v>3.8772181904000642</v>
      </c>
      <c r="Z72" s="1141">
        <f>'12. Разходи'!T72-'12. Разходи'!$S72</f>
        <v>0.69732334160054021</v>
      </c>
      <c r="AA72" s="1121">
        <f>IFERROR(('12. Разходи'!T72-'12. Разходи'!$S72)/'12. Разходи'!$S72,0)</f>
        <v>0.17985145724506882</v>
      </c>
      <c r="AB72" s="907">
        <f>'12. Разходи'!U72-'12. Разходи'!$S72</f>
        <v>0.73499982207704173</v>
      </c>
      <c r="AC72" s="1129">
        <f>IFERROR(('12. Разходи'!U72-'12. Разходи'!$S72)/'12. Разходи'!$S72,0)</f>
        <v>0.18956885735677464</v>
      </c>
      <c r="AD72" s="907">
        <f>'12. Разходи'!V72-'12. Разходи'!$S72</f>
        <v>0.74630445582367111</v>
      </c>
      <c r="AE72" s="1129">
        <f>IFERROR(('12. Разходи'!V72-'12. Разходи'!$S72)/'12. Разходи'!$S72,0)</f>
        <v>0.19248451316758755</v>
      </c>
      <c r="AF72" s="907">
        <f>'12. Разходи'!W72-'12. Разходи'!$S72</f>
        <v>0.75740674016557685</v>
      </c>
      <c r="AG72" s="1128">
        <f>IFERROR(('12. Разходи'!W72-'12. Разходи'!$S72)/'12. Разходи'!$S72,0)</f>
        <v>0.19534797965224265</v>
      </c>
      <c r="AH72" s="1136">
        <f>'12. Разходи'!X72-'12. Разходи'!$S72</f>
        <v>0.77086221118574239</v>
      </c>
      <c r="AI72" s="1183">
        <f>IFERROR(('12. Разходи'!X72-'12. Разходи'!$S72)/'12. Разходи'!$S72,0)</f>
        <v>0.19881837269163391</v>
      </c>
      <c r="AJ72" s="3150"/>
      <c r="AK72" s="3151"/>
      <c r="AL72" s="3063"/>
      <c r="AM72" s="3152"/>
      <c r="AN72" s="3063"/>
      <c r="AO72" s="3152"/>
      <c r="AP72" s="3063"/>
      <c r="AQ72" s="3152"/>
      <c r="AR72" s="3153"/>
      <c r="AS72" s="3152"/>
      <c r="AT72" s="3154"/>
      <c r="AU72" s="3150"/>
      <c r="AV72" s="3151"/>
      <c r="AW72" s="3063"/>
      <c r="AX72" s="3152"/>
      <c r="AY72" s="3063"/>
      <c r="AZ72" s="3152"/>
      <c r="BA72" s="3063"/>
      <c r="BB72" s="3152"/>
      <c r="BC72" s="3153"/>
      <c r="BD72" s="3152"/>
      <c r="BE72" s="3154"/>
      <c r="BF72" s="4488"/>
      <c r="BG72" s="4504">
        <f t="shared" si="1"/>
        <v>8.4339980758477058</v>
      </c>
      <c r="BH72" s="4504">
        <f t="shared" si="2"/>
        <v>1.5168668443433087</v>
      </c>
      <c r="BI72" s="4504">
        <f t="shared" si="3"/>
        <v>1.5988233781876822</v>
      </c>
      <c r="BJ72" s="4504">
        <f t="shared" si="4"/>
        <v>1.6234140136859092</v>
      </c>
      <c r="BK72" s="4504">
        <f t="shared" si="5"/>
        <v>1.647564484507744</v>
      </c>
      <c r="BL72" s="4504">
        <f t="shared" si="6"/>
        <v>1.6768337727244094</v>
      </c>
      <c r="BM72" s="4504">
        <f t="shared" si="7"/>
        <v>0.22999205090151845</v>
      </c>
      <c r="BN72" s="4504">
        <f t="shared" si="8"/>
        <v>4.1364405509419902E-2</v>
      </c>
      <c r="BO72" s="4504">
        <f t="shared" si="9"/>
        <v>4.3599330290541902E-2</v>
      </c>
      <c r="BP72" s="4504">
        <f t="shared" si="10"/>
        <v>4.4269907950193567E-2</v>
      </c>
      <c r="BQ72" s="4504">
        <f t="shared" si="11"/>
        <v>4.4928482479687191E-2</v>
      </c>
      <c r="BR72" s="4504">
        <f t="shared" si="12"/>
        <v>4.5726645292251192E-2</v>
      </c>
      <c r="BS72" s="4504">
        <f t="shared" si="13"/>
        <v>1.9823901823778469</v>
      </c>
      <c r="BT72" s="4504">
        <f t="shared" si="14"/>
        <v>0.3565357631289735</v>
      </c>
      <c r="BU72" s="4504">
        <f t="shared" si="15"/>
        <v>0.37579944170865653</v>
      </c>
      <c r="BV72" s="4504">
        <f t="shared" si="16"/>
        <v>0.38157940916320493</v>
      </c>
      <c r="BW72" s="4504">
        <f t="shared" si="17"/>
        <v>0.38725591700995327</v>
      </c>
      <c r="BX72" s="4504">
        <f t="shared" si="18"/>
        <v>0.39413559010023491</v>
      </c>
      <c r="BY72" s="4504">
        <f t="shared" si="19"/>
        <v>0</v>
      </c>
      <c r="BZ72" s="4504">
        <f t="shared" si="20"/>
        <v>0</v>
      </c>
      <c r="CA72" s="4504">
        <f t="shared" si="21"/>
        <v>0</v>
      </c>
      <c r="CB72" s="4504">
        <f t="shared" si="22"/>
        <v>0</v>
      </c>
      <c r="CC72" s="4504">
        <f t="shared" si="23"/>
        <v>0</v>
      </c>
      <c r="CD72" s="4504">
        <f t="shared" si="24"/>
        <v>0</v>
      </c>
      <c r="CE72" s="4504">
        <f t="shared" si="25"/>
        <v>0</v>
      </c>
      <c r="CF72" s="4504">
        <f t="shared" si="26"/>
        <v>0</v>
      </c>
      <c r="CG72" s="4504">
        <f t="shared" si="27"/>
        <v>0</v>
      </c>
      <c r="CH72" s="4504">
        <f t="shared" si="28"/>
        <v>0</v>
      </c>
      <c r="CI72" s="4504">
        <f t="shared" si="29"/>
        <v>0</v>
      </c>
      <c r="CJ72" s="4504">
        <f t="shared" si="30"/>
        <v>0</v>
      </c>
    </row>
    <row r="73" spans="1:88" ht="15.9" customHeight="1">
      <c r="A73" s="108" t="s">
        <v>272</v>
      </c>
      <c r="B73" s="896" t="s">
        <v>453</v>
      </c>
      <c r="C73" s="1112">
        <f>'12. Разходи'!C73</f>
        <v>180.49072000000001</v>
      </c>
      <c r="D73" s="1141">
        <f>'12. Разходи'!D73-'12. Разходи'!$C73</f>
        <v>3.9601799999999798</v>
      </c>
      <c r="E73" s="1121">
        <f>IFERROR(('12. Разходи'!D73-'12. Разходи'!$C73)/'12. Разходи'!$C73,0)</f>
        <v>2.194118345807463E-2</v>
      </c>
      <c r="F73" s="907">
        <f>'12. Разходи'!E73-'12. Разходи'!$C73</f>
        <v>1.459920000000011</v>
      </c>
      <c r="G73" s="1129">
        <f>IFERROR(('12. Разходи'!E73-'12. Разходи'!$C73)/'12. Разходи'!$C73,0)</f>
        <v>8.0886153038782875E-3</v>
      </c>
      <c r="H73" s="907">
        <f>'12. Разходи'!F73-'12. Разходи'!$C73</f>
        <v>-1.5209800000000087</v>
      </c>
      <c r="I73" s="1129">
        <f>IFERROR(('12. Разходи'!F73-'12. Разходи'!$C73)/'12. Разходи'!$C73,0)</f>
        <v>-8.4269152452824646E-3</v>
      </c>
      <c r="J73" s="907">
        <f>'12. Разходи'!G73-'12. Разходи'!$C73</f>
        <v>-5.5214599999999905</v>
      </c>
      <c r="K73" s="1128">
        <f>IFERROR(('12. Разходи'!G73-'12. Разходи'!$C73)/'12. Разходи'!$C73,0)</f>
        <v>-3.059137888086429E-2</v>
      </c>
      <c r="L73" s="1136">
        <f>'12. Разходи'!H73-'12. Разходи'!$C73</f>
        <v>-11.232060000000018</v>
      </c>
      <c r="M73" s="1128">
        <f>IFERROR(('12. Разходи'!H73-'12. Разходи'!$C73)/'12. Разходи'!$C73,0)</f>
        <v>-6.2230678674227782E-2</v>
      </c>
      <c r="N73" s="3150"/>
      <c r="O73" s="3151"/>
      <c r="P73" s="3063"/>
      <c r="Q73" s="3152"/>
      <c r="R73" s="3063"/>
      <c r="S73" s="3152"/>
      <c r="T73" s="3063"/>
      <c r="U73" s="3152"/>
      <c r="V73" s="3153"/>
      <c r="W73" s="3152"/>
      <c r="X73" s="3154"/>
      <c r="Y73" s="3150"/>
      <c r="Z73" s="3151"/>
      <c r="AA73" s="3063"/>
      <c r="AB73" s="3152"/>
      <c r="AC73" s="3063"/>
      <c r="AD73" s="3152"/>
      <c r="AE73" s="3063"/>
      <c r="AF73" s="3152"/>
      <c r="AG73" s="3153"/>
      <c r="AH73" s="3152"/>
      <c r="AI73" s="3154"/>
      <c r="AJ73" s="3155">
        <f>'12. Разходи'!AA73</f>
        <v>0</v>
      </c>
      <c r="AK73" s="1141">
        <f>'12. Разходи'!AB73-'12. Разходи'!$AA73</f>
        <v>0</v>
      </c>
      <c r="AL73" s="1121">
        <f>IFERROR(('12. Разходи'!AB73-'12. Разходи'!$AA73)/'12. Разходи'!$AA73,0)</f>
        <v>0</v>
      </c>
      <c r="AM73" s="907">
        <f>'12. Разходи'!AC73-'12. Разходи'!$AA73</f>
        <v>0</v>
      </c>
      <c r="AN73" s="1129">
        <f>IFERROR(('12. Разходи'!AC73-'12. Разходи'!$AA73)/'12. Разходи'!$AA73,0)</f>
        <v>0</v>
      </c>
      <c r="AO73" s="907">
        <f>'12. Разходи'!AD73-'12. Разходи'!$AA73</f>
        <v>0</v>
      </c>
      <c r="AP73" s="1129">
        <f>IFERROR(('12. Разходи'!AD73-'12. Разходи'!$AA73)/'12. Разходи'!$AA73,0)</f>
        <v>0</v>
      </c>
      <c r="AQ73" s="907">
        <f>'12. Разходи'!AE73-'12. Разходи'!$AA73</f>
        <v>0</v>
      </c>
      <c r="AR73" s="1128">
        <f>IFERROR(('12. Разходи'!AE73-'12. Разходи'!$AA73)/'12. Разходи'!$AA73,0)</f>
        <v>0</v>
      </c>
      <c r="AS73" s="1136">
        <f>'12. Разходи'!AF73-'12. Разходи'!$AA73</f>
        <v>0</v>
      </c>
      <c r="AT73" s="1183">
        <f>IFERROR(('12. Разходи'!AF73-'12. Разходи'!$AA73)/'12. Разходи'!$AA73,0)</f>
        <v>0</v>
      </c>
      <c r="AU73" s="1177">
        <f>'12. Разходи'!AI73</f>
        <v>360.44213999999999</v>
      </c>
      <c r="AV73" s="1141">
        <f>'12. Разходи'!AJ73-'12. Разходи'!$AI73</f>
        <v>29.788679999999999</v>
      </c>
      <c r="AW73" s="1121">
        <f>IFERROR(('12. Разходи'!AJ73-'12. Разходи'!$AI73)/'12. Разходи'!$AI73,0)</f>
        <v>8.2644831705859914E-2</v>
      </c>
      <c r="AX73" s="907">
        <f>'12. Разходи'!AK73-'12. Разходи'!$AI73</f>
        <v>29.915099999999995</v>
      </c>
      <c r="AY73" s="1129">
        <f>IFERROR(('12. Разходи'!AK73-'12. Разходи'!$AI73)/'12. Разходи'!$AI73,0)</f>
        <v>8.2995567610379836E-2</v>
      </c>
      <c r="AZ73" s="907">
        <f>'12. Разходи'!AL73-'12. Разходи'!$AI73</f>
        <v>30.042460000000062</v>
      </c>
      <c r="BA73" s="1129">
        <f>IFERROR(('12. Разходи'!AL73-'12. Разходи'!$AI73)/'12. Разходи'!$AI73,0)</f>
        <v>8.3348911423065192E-2</v>
      </c>
      <c r="BB73" s="907">
        <f>'12. Разходи'!AM73-'12. Разходи'!$AI73</f>
        <v>30.169640000000015</v>
      </c>
      <c r="BC73" s="1128">
        <f>IFERROR(('12. Разходи'!AM73-'12. Разходи'!$AI73)/'12. Разходи'!$AI73,0)</f>
        <v>8.3701755849080281E-2</v>
      </c>
      <c r="BD73" s="1136">
        <f>'12. Разходи'!AN73-'12. Разходи'!$AI73</f>
        <v>30.297300000000007</v>
      </c>
      <c r="BE73" s="1183">
        <f>IFERROR(('12. Разходи'!AN73-'12. Разходи'!$AI73)/'12. Разходи'!$AI73,0)</f>
        <v>8.4055931972881998E-2</v>
      </c>
      <c r="BF73" s="4488"/>
      <c r="BG73" s="4504">
        <f t="shared" si="1"/>
        <v>92.283439767259949</v>
      </c>
      <c r="BH73" s="4504">
        <f t="shared" si="2"/>
        <v>2.0248078820756303</v>
      </c>
      <c r="BI73" s="4504">
        <f t="shared" si="3"/>
        <v>0.74644524319598893</v>
      </c>
      <c r="BJ73" s="4504">
        <f t="shared" si="4"/>
        <v>-0.77766472546182885</v>
      </c>
      <c r="BK73" s="4504">
        <f t="shared" si="5"/>
        <v>-2.8230776703496678</v>
      </c>
      <c r="BL73" s="4504">
        <f t="shared" si="6"/>
        <v>-5.7428610871088077</v>
      </c>
      <c r="BM73" s="4504">
        <f t="shared" si="7"/>
        <v>0</v>
      </c>
      <c r="BN73" s="4504">
        <f t="shared" si="8"/>
        <v>0</v>
      </c>
      <c r="BO73" s="4504">
        <f t="shared" si="9"/>
        <v>0</v>
      </c>
      <c r="BP73" s="4504">
        <f t="shared" si="10"/>
        <v>0</v>
      </c>
      <c r="BQ73" s="4504">
        <f t="shared" si="11"/>
        <v>0</v>
      </c>
      <c r="BR73" s="4504">
        <f t="shared" si="12"/>
        <v>0</v>
      </c>
      <c r="BS73" s="4504">
        <f t="shared" si="13"/>
        <v>0</v>
      </c>
      <c r="BT73" s="4504">
        <f t="shared" si="14"/>
        <v>0</v>
      </c>
      <c r="BU73" s="4504">
        <f t="shared" si="15"/>
        <v>0</v>
      </c>
      <c r="BV73" s="4504">
        <f t="shared" si="16"/>
        <v>0</v>
      </c>
      <c r="BW73" s="4504">
        <f t="shared" si="17"/>
        <v>0</v>
      </c>
      <c r="BX73" s="4504">
        <f t="shared" si="18"/>
        <v>0</v>
      </c>
      <c r="BY73" s="4504">
        <f t="shared" si="19"/>
        <v>0</v>
      </c>
      <c r="BZ73" s="4504">
        <f t="shared" si="20"/>
        <v>0</v>
      </c>
      <c r="CA73" s="4504">
        <f t="shared" si="21"/>
        <v>0</v>
      </c>
      <c r="CB73" s="4504">
        <f t="shared" si="22"/>
        <v>0</v>
      </c>
      <c r="CC73" s="4504">
        <f t="shared" si="23"/>
        <v>0</v>
      </c>
      <c r="CD73" s="4504">
        <f t="shared" si="24"/>
        <v>0</v>
      </c>
      <c r="CE73" s="4504">
        <f t="shared" si="25"/>
        <v>184.29113982299074</v>
      </c>
      <c r="CF73" s="4504">
        <f t="shared" si="26"/>
        <v>15.23071023555217</v>
      </c>
      <c r="CG73" s="4504">
        <f t="shared" si="27"/>
        <v>15.295347755172994</v>
      </c>
      <c r="CH73" s="4504">
        <f t="shared" si="28"/>
        <v>15.360465889162178</v>
      </c>
      <c r="CI73" s="4504">
        <f t="shared" si="29"/>
        <v>15.42549199061269</v>
      </c>
      <c r="CJ73" s="4504">
        <f t="shared" si="30"/>
        <v>15.490763512166195</v>
      </c>
    </row>
    <row r="74" spans="1:88" ht="15.9" customHeight="1">
      <c r="A74" s="108" t="s">
        <v>274</v>
      </c>
      <c r="B74" s="896" t="s">
        <v>1335</v>
      </c>
      <c r="C74" s="3150"/>
      <c r="D74" s="3151"/>
      <c r="E74" s="3063"/>
      <c r="F74" s="3152"/>
      <c r="G74" s="3063"/>
      <c r="H74" s="3152"/>
      <c r="I74" s="3063"/>
      <c r="J74" s="3152"/>
      <c r="K74" s="3153"/>
      <c r="L74" s="3152"/>
      <c r="M74" s="3153"/>
      <c r="N74" s="3155">
        <f>'12. Разходи'!K74</f>
        <v>1.5494777623683749</v>
      </c>
      <c r="O74" s="1141">
        <f>'12. Разходи'!L74-'12. Разходи'!$K74</f>
        <v>-0.53991776236837485</v>
      </c>
      <c r="P74" s="1121">
        <f>IFERROR(('12. Разходи'!L74-'12. Разходи'!$K74)/'12. Разходи'!$K74,0)</f>
        <v>-0.34845144311274995</v>
      </c>
      <c r="Q74" s="907">
        <f>'12. Разходи'!M74-'12. Разходи'!$K74</f>
        <v>-0.55680776236837493</v>
      </c>
      <c r="R74" s="1129">
        <f>IFERROR(('12. Разходи'!M74-'12. Разходи'!$K74)/'12. Разходи'!$K74,0)</f>
        <v>-0.35935188996665235</v>
      </c>
      <c r="S74" s="907">
        <f>'12. Разходи'!N74-'12. Разходи'!$K74</f>
        <v>-0.54983776236837489</v>
      </c>
      <c r="T74" s="1129">
        <f>IFERROR(('12. Разходи'!N74-'12. Разходи'!$K74)/'12. Разходи'!$K74,0)</f>
        <v>-0.35485360017555112</v>
      </c>
      <c r="U74" s="907">
        <f>'12. Разходи'!O74-'12. Разходи'!$K74</f>
        <v>-0.53657776236837496</v>
      </c>
      <c r="V74" s="1128">
        <f>IFERROR(('12. Разходи'!O74-'12. Разходи'!$K74)/'12. Разходи'!$K74,0)</f>
        <v>-0.34629587813394397</v>
      </c>
      <c r="W74" s="1136">
        <f>'12. Разходи'!P74-'12. Разходи'!$K74</f>
        <v>-0.52054776236837474</v>
      </c>
      <c r="X74" s="1183">
        <f>IFERROR(('12. Разходи'!P74-'12. Разходи'!$K74)/'12. Разходи'!$K74,0)</f>
        <v>-0.33595045699314724</v>
      </c>
      <c r="Y74" s="1177">
        <f>'12. Разходи'!S74</f>
        <v>12.648259254153809</v>
      </c>
      <c r="Z74" s="1141">
        <f>'12. Разходи'!T74-'12. Разходи'!$S74</f>
        <v>0.62601074584619454</v>
      </c>
      <c r="AA74" s="1121">
        <f>IFERROR(('12. Разходи'!T74-'12. Разходи'!$S74)/'12. Разходи'!$S74,0)</f>
        <v>4.9493826246533229E-2</v>
      </c>
      <c r="AB74" s="907">
        <f>'12. Разходи'!U74-'12. Разходи'!$S74</f>
        <v>0.67946074584619254</v>
      </c>
      <c r="AC74" s="1129">
        <f>IFERROR(('12. Разходи'!U74-'12. Разходи'!$S74)/'12. Разходи'!$S74,0)</f>
        <v>5.3719704205387089E-2</v>
      </c>
      <c r="AD74" s="907">
        <f>'12. Разходи'!V74-'12. Разходи'!$S74</f>
        <v>0.73514074584619138</v>
      </c>
      <c r="AE74" s="1129">
        <f>IFERROR(('12. Разходи'!V74-'12. Разходи'!$S74)/'12. Разходи'!$S74,0)</f>
        <v>5.8121891010793771E-2</v>
      </c>
      <c r="AF74" s="907">
        <f>'12. Разходи'!W74-'12. Разходи'!$S74</f>
        <v>0.81045074584619314</v>
      </c>
      <c r="AG74" s="1128">
        <f>IFERROR(('12. Разходи'!W74-'12. Разходи'!$S74)/'12. Разходи'!$S74,0)</f>
        <v>6.4076070039443045E-2</v>
      </c>
      <c r="AH74" s="1136">
        <f>'12. Разходи'!X74-'12. Разходи'!$S74</f>
        <v>0.88869074584619057</v>
      </c>
      <c r="AI74" s="1183">
        <f>IFERROR(('12. Разходи'!X74-'12. Разходи'!$S74)/'12. Разходи'!$S74,0)</f>
        <v>7.0261901498764434E-2</v>
      </c>
      <c r="AJ74" s="3150"/>
      <c r="AK74" s="3151"/>
      <c r="AL74" s="3063"/>
      <c r="AM74" s="3152"/>
      <c r="AN74" s="3063"/>
      <c r="AO74" s="3152"/>
      <c r="AP74" s="3063"/>
      <c r="AQ74" s="3152"/>
      <c r="AR74" s="3153"/>
      <c r="AS74" s="3152"/>
      <c r="AT74" s="3154"/>
      <c r="AU74" s="3150"/>
      <c r="AV74" s="3151"/>
      <c r="AW74" s="3063"/>
      <c r="AX74" s="3152"/>
      <c r="AY74" s="3063"/>
      <c r="AZ74" s="3152"/>
      <c r="BA74" s="3063"/>
      <c r="BB74" s="3152"/>
      <c r="BC74" s="3153"/>
      <c r="BD74" s="3152"/>
      <c r="BE74" s="3154"/>
      <c r="BF74" s="4488"/>
      <c r="BG74" s="4504">
        <f t="shared" si="1"/>
        <v>0</v>
      </c>
      <c r="BH74" s="4504">
        <f t="shared" si="2"/>
        <v>0</v>
      </c>
      <c r="BI74" s="4504">
        <f t="shared" si="3"/>
        <v>0</v>
      </c>
      <c r="BJ74" s="4504">
        <f t="shared" si="4"/>
        <v>0</v>
      </c>
      <c r="BK74" s="4504">
        <f t="shared" si="5"/>
        <v>0</v>
      </c>
      <c r="BL74" s="4504">
        <f t="shared" si="6"/>
        <v>0</v>
      </c>
      <c r="BM74" s="4504">
        <f t="shared" si="7"/>
        <v>0.79223539999303361</v>
      </c>
      <c r="BN74" s="4504">
        <f t="shared" si="8"/>
        <v>-0.27605556841257922</v>
      </c>
      <c r="BO74" s="4504">
        <f t="shared" si="9"/>
        <v>-0.28469128828598339</v>
      </c>
      <c r="BP74" s="4504">
        <f t="shared" si="10"/>
        <v>-0.28112758387404574</v>
      </c>
      <c r="BQ74" s="4504">
        <f t="shared" si="11"/>
        <v>-0.2743478535293839</v>
      </c>
      <c r="BR74" s="4504">
        <f t="shared" si="12"/>
        <v>-0.26615184467380842</v>
      </c>
      <c r="BS74" s="4504">
        <f t="shared" si="13"/>
        <v>6.4669522679137801</v>
      </c>
      <c r="BT74" s="4504">
        <f t="shared" si="14"/>
        <v>0.32007421189274865</v>
      </c>
      <c r="BU74" s="4504">
        <f t="shared" si="15"/>
        <v>0.34740276294268546</v>
      </c>
      <c r="BV74" s="4504">
        <f t="shared" si="16"/>
        <v>0.37587149488769034</v>
      </c>
      <c r="BW74" s="4504">
        <f t="shared" si="17"/>
        <v>0.41437688646057846</v>
      </c>
      <c r="BX74" s="4504">
        <f t="shared" si="18"/>
        <v>0.45438036324536929</v>
      </c>
      <c r="BY74" s="4504">
        <f t="shared" si="19"/>
        <v>0</v>
      </c>
      <c r="BZ74" s="4504">
        <f t="shared" si="20"/>
        <v>0</v>
      </c>
      <c r="CA74" s="4504">
        <f t="shared" si="21"/>
        <v>0</v>
      </c>
      <c r="CB74" s="4504">
        <f t="shared" si="22"/>
        <v>0</v>
      </c>
      <c r="CC74" s="4504">
        <f t="shared" si="23"/>
        <v>0</v>
      </c>
      <c r="CD74" s="4504">
        <f t="shared" si="24"/>
        <v>0</v>
      </c>
      <c r="CE74" s="4504">
        <f t="shared" si="25"/>
        <v>0</v>
      </c>
      <c r="CF74" s="4504">
        <f t="shared" si="26"/>
        <v>0</v>
      </c>
      <c r="CG74" s="4504">
        <f t="shared" si="27"/>
        <v>0</v>
      </c>
      <c r="CH74" s="4504">
        <f t="shared" si="28"/>
        <v>0</v>
      </c>
      <c r="CI74" s="4504">
        <f t="shared" si="29"/>
        <v>0</v>
      </c>
      <c r="CJ74" s="4504">
        <f t="shared" si="30"/>
        <v>0</v>
      </c>
    </row>
    <row r="75" spans="1:88" ht="15.9" customHeight="1" thickBot="1">
      <c r="A75" s="108" t="s">
        <v>276</v>
      </c>
      <c r="B75" s="136" t="s">
        <v>455</v>
      </c>
      <c r="C75" s="1117">
        <f>'12. Разходи'!C75</f>
        <v>10.12759108119354</v>
      </c>
      <c r="D75" s="1141">
        <f>'12. Разходи'!D75-'12. Разходи'!$C75</f>
        <v>0.13499999999999979</v>
      </c>
      <c r="E75" s="1121">
        <f>IFERROR(('12. Разходи'!D75-'12. Разходи'!$C75)/'12. Разходи'!$C75,0)</f>
        <v>1.3329922082921421E-2</v>
      </c>
      <c r="F75" s="907">
        <f>'12. Разходи'!E75-'12. Разходи'!$C75</f>
        <v>0.26999999999999957</v>
      </c>
      <c r="G75" s="1129">
        <f>IFERROR(('12. Разходи'!E75-'12. Разходи'!$C75)/'12. Разходи'!$C75,0)</f>
        <v>2.6659844165842841E-2</v>
      </c>
      <c r="H75" s="907">
        <f>'12. Разходи'!F75-'12. Разходи'!$C75</f>
        <v>0.40499999999999936</v>
      </c>
      <c r="I75" s="1129">
        <f>IFERROR(('12. Разходи'!F75-'12. Разходи'!$C75)/'12. Разходи'!$C75,0)</f>
        <v>3.9989766248764262E-2</v>
      </c>
      <c r="J75" s="907">
        <f>'12. Разходи'!G75-'12. Разходи'!$C75</f>
        <v>0.53999999999999915</v>
      </c>
      <c r="K75" s="1128">
        <f>IFERROR(('12. Разходи'!G75-'12. Разходи'!$C75)/'12. Разходи'!$C75,0)</f>
        <v>5.3319688331685683E-2</v>
      </c>
      <c r="L75" s="1136">
        <f>'12. Разходи'!H75-'12. Разходи'!$C75</f>
        <v>0.67499999999999893</v>
      </c>
      <c r="M75" s="1128">
        <f>IFERROR(('12. Разходи'!H75-'12. Разходи'!$C75)/'12. Разходи'!$C75,0)</f>
        <v>6.6649610414607097E-2</v>
      </c>
      <c r="N75" s="1177">
        <f>'12. Разходи'!K75</f>
        <v>0.99400252687470725</v>
      </c>
      <c r="O75" s="1141">
        <f>'12. Разходи'!L75-'12. Разходи'!$K75</f>
        <v>0</v>
      </c>
      <c r="P75" s="1121">
        <f>IFERROR(('12. Разходи'!L75-'12. Разходи'!$K75)/'12. Разходи'!$K75,0)</f>
        <v>0</v>
      </c>
      <c r="Q75" s="907">
        <f>'12. Разходи'!M75-'12. Разходи'!$K75</f>
        <v>0</v>
      </c>
      <c r="R75" s="1129">
        <f>IFERROR(('12. Разходи'!M75-'12. Разходи'!$K75)/'12. Разходи'!$K75,0)</f>
        <v>0</v>
      </c>
      <c r="S75" s="907">
        <f>'12. Разходи'!N75-'12. Разходи'!$K75</f>
        <v>0</v>
      </c>
      <c r="T75" s="1129">
        <f>IFERROR(('12. Разходи'!N75-'12. Разходи'!$K75)/'12. Разходи'!$K75,0)</f>
        <v>0</v>
      </c>
      <c r="U75" s="907">
        <f>'12. Разходи'!O75-'12. Разходи'!$K75</f>
        <v>0</v>
      </c>
      <c r="V75" s="1128">
        <f>IFERROR(('12. Разходи'!O75-'12. Разходи'!$K75)/'12. Разходи'!$K75,0)</f>
        <v>0</v>
      </c>
      <c r="W75" s="1136">
        <f>'12. Разходи'!P75-'12. Разходи'!$K75</f>
        <v>0</v>
      </c>
      <c r="X75" s="1183">
        <f>IFERROR(('12. Разходи'!P75-'12. Разходи'!$K75)/'12. Разходи'!$K75,0)</f>
        <v>0</v>
      </c>
      <c r="Y75" s="1177">
        <f>'12. Разходи'!S75</f>
        <v>1.2426730246249844</v>
      </c>
      <c r="Z75" s="1141">
        <f>'12. Разходи'!T75-'12. Разходи'!$S75</f>
        <v>0</v>
      </c>
      <c r="AA75" s="1121">
        <f>IFERROR(('12. Разходи'!T75-'12. Разходи'!$S75)/'12. Разходи'!$S75,0)</f>
        <v>0</v>
      </c>
      <c r="AB75" s="907">
        <f>'12. Разходи'!U75-'12. Разходи'!$S75</f>
        <v>0</v>
      </c>
      <c r="AC75" s="1129">
        <f>IFERROR(('12. Разходи'!U75-'12. Разходи'!$S75)/'12. Разходи'!$S75,0)</f>
        <v>0</v>
      </c>
      <c r="AD75" s="907">
        <f>'12. Разходи'!V75-'12. Разходи'!$S75</f>
        <v>0</v>
      </c>
      <c r="AE75" s="1129">
        <f>IFERROR(('12. Разходи'!V75-'12. Разходи'!$S75)/'12. Разходи'!$S75,0)</f>
        <v>0</v>
      </c>
      <c r="AF75" s="907">
        <f>'12. Разходи'!W75-'12. Разходи'!$S75</f>
        <v>0</v>
      </c>
      <c r="AG75" s="1128">
        <f>IFERROR(('12. Разходи'!W75-'12. Разходи'!$S75)/'12. Разходи'!$S75,0)</f>
        <v>0</v>
      </c>
      <c r="AH75" s="1136">
        <f>'12. Разходи'!X75-'12. Разходи'!$S75</f>
        <v>0</v>
      </c>
      <c r="AI75" s="1183">
        <f>IFERROR(('12. Разходи'!X75-'12. Разходи'!$S75)/'12. Разходи'!$S75,0)</f>
        <v>0</v>
      </c>
      <c r="AJ75" s="1177">
        <f>'12. Разходи'!AA75</f>
        <v>0</v>
      </c>
      <c r="AK75" s="1141">
        <f>'12. Разходи'!AB75-'12. Разходи'!$AA75</f>
        <v>0</v>
      </c>
      <c r="AL75" s="1121">
        <f>IFERROR(('12. Разходи'!AB75-'12. Разходи'!$AA75)/'12. Разходи'!$AA75,0)</f>
        <v>0</v>
      </c>
      <c r="AM75" s="907">
        <f>'12. Разходи'!AC75-'12. Разходи'!$AA75</f>
        <v>0</v>
      </c>
      <c r="AN75" s="1129">
        <f>IFERROR(('12. Разходи'!AC75-'12. Разходи'!$AA75)/'12. Разходи'!$AA75,0)</f>
        <v>0</v>
      </c>
      <c r="AO75" s="907">
        <f>'12. Разходи'!AD75-'12. Разходи'!$AA75</f>
        <v>0</v>
      </c>
      <c r="AP75" s="1129">
        <f>IFERROR(('12. Разходи'!AD75-'12. Разходи'!$AA75)/'12. Разходи'!$AA75,0)</f>
        <v>0</v>
      </c>
      <c r="AQ75" s="907">
        <f>'12. Разходи'!AE75-'12. Разходи'!$AA75</f>
        <v>0</v>
      </c>
      <c r="AR75" s="1128">
        <f>IFERROR(('12. Разходи'!AE75-'12. Разходи'!$AA75)/'12. Разходи'!$AA75,0)</f>
        <v>0</v>
      </c>
      <c r="AS75" s="1136">
        <f>'12. Разходи'!AF75-'12. Разходи'!$AA75</f>
        <v>0</v>
      </c>
      <c r="AT75" s="1183">
        <f>IFERROR(('12. Разходи'!AF75-'12. Разходи'!$AA75)/'12. Разходи'!$AA75,0)</f>
        <v>0</v>
      </c>
      <c r="AU75" s="1177">
        <f>'12. Разходи'!AI75</f>
        <v>3.2642001697114553</v>
      </c>
      <c r="AV75" s="1141">
        <f>'12. Разходи'!AJ75-'12. Разходи'!$AI75</f>
        <v>0</v>
      </c>
      <c r="AW75" s="1121">
        <f>IFERROR(('12. Разходи'!AJ75-'12. Разходи'!$AI75)/'12. Разходи'!$AI75,0)</f>
        <v>0</v>
      </c>
      <c r="AX75" s="907">
        <f>'12. Разходи'!AK75-'12. Разходи'!$AI75</f>
        <v>0</v>
      </c>
      <c r="AY75" s="1129">
        <f>IFERROR(('12. Разходи'!AK75-'12. Разходи'!$AI75)/'12. Разходи'!$AI75,0)</f>
        <v>0</v>
      </c>
      <c r="AZ75" s="907">
        <f>'12. Разходи'!AL75-'12. Разходи'!$AI75</f>
        <v>0</v>
      </c>
      <c r="BA75" s="1129">
        <f>IFERROR(('12. Разходи'!AL75-'12. Разходи'!$AI75)/'12. Разходи'!$AI75,0)</f>
        <v>0</v>
      </c>
      <c r="BB75" s="907">
        <f>'12. Разходи'!AM75-'12. Разходи'!$AI75</f>
        <v>0</v>
      </c>
      <c r="BC75" s="1128">
        <f>IFERROR(('12. Разходи'!AM75-'12. Разходи'!$AI75)/'12. Разходи'!$AI75,0)</f>
        <v>0</v>
      </c>
      <c r="BD75" s="1136">
        <f>'12. Разходи'!AN75-'12. Разходи'!$AI75</f>
        <v>0</v>
      </c>
      <c r="BE75" s="1183">
        <f>IFERROR(('12. Разходи'!AN75-'12. Разходи'!$AI75)/'12. Разходи'!$AI75,0)</f>
        <v>0</v>
      </c>
      <c r="BF75" s="4488"/>
      <c r="BG75" s="4504">
        <f t="shared" si="1"/>
        <v>5.1781550958894895</v>
      </c>
      <c r="BH75" s="4504">
        <f t="shared" si="2"/>
        <v>6.9024403961489386E-2</v>
      </c>
      <c r="BI75" s="4504">
        <f t="shared" si="3"/>
        <v>0.13804880792297877</v>
      </c>
      <c r="BJ75" s="4504">
        <f t="shared" si="4"/>
        <v>0.20707321188446817</v>
      </c>
      <c r="BK75" s="4504">
        <f t="shared" si="5"/>
        <v>0.27609761584595754</v>
      </c>
      <c r="BL75" s="4504">
        <f t="shared" si="6"/>
        <v>0.34512201980744694</v>
      </c>
      <c r="BM75" s="4504">
        <f t="shared" si="7"/>
        <v>0.50822542187956377</v>
      </c>
      <c r="BN75" s="4504">
        <f t="shared" si="8"/>
        <v>0</v>
      </c>
      <c r="BO75" s="4504">
        <f t="shared" si="9"/>
        <v>0</v>
      </c>
      <c r="BP75" s="4504">
        <f t="shared" si="10"/>
        <v>0</v>
      </c>
      <c r="BQ75" s="4504">
        <f t="shared" si="11"/>
        <v>0</v>
      </c>
      <c r="BR75" s="4504">
        <f t="shared" si="12"/>
        <v>0</v>
      </c>
      <c r="BS75" s="4504">
        <f t="shared" si="13"/>
        <v>0.63536862847230302</v>
      </c>
      <c r="BT75" s="4504">
        <f t="shared" si="14"/>
        <v>0</v>
      </c>
      <c r="BU75" s="4504">
        <f t="shared" si="15"/>
        <v>0</v>
      </c>
      <c r="BV75" s="4504">
        <f t="shared" si="16"/>
        <v>0</v>
      </c>
      <c r="BW75" s="4504">
        <f t="shared" si="17"/>
        <v>0</v>
      </c>
      <c r="BX75" s="4504">
        <f t="shared" si="18"/>
        <v>0</v>
      </c>
      <c r="BY75" s="4504">
        <f t="shared" si="19"/>
        <v>0</v>
      </c>
      <c r="BZ75" s="4504">
        <f t="shared" si="20"/>
        <v>0</v>
      </c>
      <c r="CA75" s="4504">
        <f t="shared" si="21"/>
        <v>0</v>
      </c>
      <c r="CB75" s="4504">
        <f t="shared" si="22"/>
        <v>0</v>
      </c>
      <c r="CC75" s="4504">
        <f t="shared" si="23"/>
        <v>0</v>
      </c>
      <c r="CD75" s="4504">
        <f t="shared" si="24"/>
        <v>0</v>
      </c>
      <c r="CE75" s="4504">
        <f t="shared" si="25"/>
        <v>1.6689590453727856</v>
      </c>
      <c r="CF75" s="4504">
        <f t="shared" si="26"/>
        <v>0</v>
      </c>
      <c r="CG75" s="4504">
        <f t="shared" si="27"/>
        <v>0</v>
      </c>
      <c r="CH75" s="4504">
        <f t="shared" si="28"/>
        <v>0</v>
      </c>
      <c r="CI75" s="4504">
        <f t="shared" si="29"/>
        <v>0</v>
      </c>
      <c r="CJ75" s="4504">
        <f t="shared" si="30"/>
        <v>0</v>
      </c>
    </row>
    <row r="76" spans="1:88" s="1160" customFormat="1" ht="15.9" customHeight="1" thickBot="1">
      <c r="A76" s="110">
        <v>7</v>
      </c>
      <c r="B76" s="897" t="s">
        <v>267</v>
      </c>
      <c r="C76" s="1110">
        <f>'12. Разходи'!C76</f>
        <v>55.561891993823863</v>
      </c>
      <c r="D76" s="1148">
        <f>'12. Разходи'!D76-'12. Разходи'!$C76</f>
        <v>4.5597097661589245</v>
      </c>
      <c r="E76" s="875">
        <f>IFERROR(('12. Разходи'!D76-'12. Разходи'!$C76)/'12. Разходи'!$C76,0)</f>
        <v>8.2065415746925455E-2</v>
      </c>
      <c r="F76" s="1147">
        <f>'12. Разходи'!E76-'12. Разходи'!$C76</f>
        <v>4.5597097661589245</v>
      </c>
      <c r="G76" s="875">
        <f>IFERROR(('12. Разходи'!E76-'12. Разходи'!$C76)/'12. Разходи'!$C76,0)</f>
        <v>8.2065415746925455E-2</v>
      </c>
      <c r="H76" s="1147">
        <f>'12. Разходи'!F76-'12. Разходи'!$C76</f>
        <v>4.5597097661589245</v>
      </c>
      <c r="I76" s="875">
        <f>IFERROR(('12. Разходи'!F76-'12. Разходи'!$C76)/'12. Разходи'!$C76,0)</f>
        <v>8.2065415746925455E-2</v>
      </c>
      <c r="J76" s="1147">
        <f>'12. Разходи'!G76-'12. Разходи'!$C76</f>
        <v>4.5597097661589245</v>
      </c>
      <c r="K76" s="888">
        <f>IFERROR(('12. Разходи'!G76-'12. Разходи'!$C76)/'12. Разходи'!$C76,0)</f>
        <v>8.2065415746925455E-2</v>
      </c>
      <c r="L76" s="1147">
        <f>'12. Разходи'!H76-'12. Разходи'!$C76</f>
        <v>4.5597097661589245</v>
      </c>
      <c r="M76" s="888">
        <f>IFERROR(('12. Разходи'!H76-'12. Разходи'!$C76)/'12. Разходи'!$C76,0)</f>
        <v>8.2065415746925455E-2</v>
      </c>
      <c r="N76" s="1161">
        <f>'12. Разходи'!K76</f>
        <v>1.2801262127461539</v>
      </c>
      <c r="O76" s="1148">
        <f>'12. Разходи'!L76-'12. Разходи'!$K76</f>
        <v>0.10477446614969743</v>
      </c>
      <c r="P76" s="875">
        <f>IFERROR(('12. Разходи'!L76-'12. Разходи'!$K76)/'12. Разходи'!$K76,0)</f>
        <v>8.184698126361542E-2</v>
      </c>
      <c r="Q76" s="1147">
        <f>'12. Разходи'!M76-'12. Разходи'!$K76</f>
        <v>0.10477446614969743</v>
      </c>
      <c r="R76" s="875">
        <f>IFERROR(('12. Разходи'!M76-'12. Разходи'!$K76)/'12. Разходи'!$K76,0)</f>
        <v>8.184698126361542E-2</v>
      </c>
      <c r="S76" s="1147">
        <f>'12. Разходи'!N76-'12. Разходи'!$K76</f>
        <v>0.10477446614969743</v>
      </c>
      <c r="T76" s="875">
        <f>IFERROR(('12. Разходи'!N76-'12. Разходи'!$K76)/'12. Разходи'!$K76,0)</f>
        <v>8.184698126361542E-2</v>
      </c>
      <c r="U76" s="1147">
        <f>'12. Разходи'!O76-'12. Разходи'!$K76</f>
        <v>0.10477446614969743</v>
      </c>
      <c r="V76" s="888">
        <f>IFERROR(('12. Разходи'!O76-'12. Разходи'!$K76)/'12. Разходи'!$K76,0)</f>
        <v>8.184698126361542E-2</v>
      </c>
      <c r="W76" s="1147">
        <f>'12. Разходи'!P76-'12. Разходи'!$K76</f>
        <v>0.10477446614969743</v>
      </c>
      <c r="X76" s="890">
        <f>IFERROR(('12. Разходи'!P76-'12. Разходи'!$K76)/'12. Разходи'!$K76,0)</f>
        <v>8.184698126361542E-2</v>
      </c>
      <c r="Y76" s="1161">
        <f>'12. Разходи'!S76</f>
        <v>29.501370795420687</v>
      </c>
      <c r="Z76" s="1148">
        <f>'12. Разходи'!T76-'12. Разходи'!$S76</f>
        <v>4.0000000000000036</v>
      </c>
      <c r="AA76" s="875">
        <f>IFERROR(('12. Разходи'!T76-'12. Разходи'!$S76)/'12. Разходи'!$S76,0)</f>
        <v>0.13558691993461194</v>
      </c>
      <c r="AB76" s="1147">
        <f>'12. Разходи'!U76-'12. Разходи'!$S76</f>
        <v>4.0000000000000036</v>
      </c>
      <c r="AC76" s="875">
        <f>IFERROR(('12. Разходи'!U76-'12. Разходи'!$S76)/'12. Разходи'!$S76,0)</f>
        <v>0.13558691993461194</v>
      </c>
      <c r="AD76" s="1147">
        <f>'12. Разходи'!V76-'12. Разходи'!$S76</f>
        <v>4.0000000000000036</v>
      </c>
      <c r="AE76" s="875">
        <f>IFERROR(('12. Разходи'!V76-'12. Разходи'!$S76)/'12. Разходи'!$S76,0)</f>
        <v>0.13558691993461194</v>
      </c>
      <c r="AF76" s="1147">
        <f>'12. Разходи'!W76-'12. Разходи'!$S76</f>
        <v>4.0000000000000036</v>
      </c>
      <c r="AG76" s="888">
        <f>IFERROR(('12. Разходи'!W76-'12. Разходи'!$S76)/'12. Разходи'!$S76,0)</f>
        <v>0.13558691993461194</v>
      </c>
      <c r="AH76" s="1147">
        <f>'12. Разходи'!X76-'12. Разходи'!$S76</f>
        <v>4.0000000000000036</v>
      </c>
      <c r="AI76" s="890">
        <f>IFERROR(('12. Разходи'!X76-'12. Разходи'!$S76)/'12. Разходи'!$S76,0)</f>
        <v>0.13558691993461194</v>
      </c>
      <c r="AJ76" s="1161">
        <f>'12. Разходи'!AA76</f>
        <v>0</v>
      </c>
      <c r="AK76" s="1148">
        <f>'12. Разходи'!AB76-'12. Разходи'!$AA76</f>
        <v>0</v>
      </c>
      <c r="AL76" s="875">
        <f>IFERROR(('12. Разходи'!AB76-'12. Разходи'!$AA76)/'12. Разходи'!$AA76,0)</f>
        <v>0</v>
      </c>
      <c r="AM76" s="1147">
        <f>'12. Разходи'!AC76-'12. Разходи'!$AA76</f>
        <v>0</v>
      </c>
      <c r="AN76" s="875">
        <f>IFERROR(('12. Разходи'!AC76-'12. Разходи'!$AA76)/'12. Разходи'!$AA76,0)</f>
        <v>0</v>
      </c>
      <c r="AO76" s="1147">
        <f>'12. Разходи'!AD76-'12. Разходи'!$AA76</f>
        <v>0</v>
      </c>
      <c r="AP76" s="875">
        <f>IFERROR(('12. Разходи'!AD76-'12. Разходи'!$AA76)/'12. Разходи'!$AA76,0)</f>
        <v>0</v>
      </c>
      <c r="AQ76" s="1147">
        <f>'12. Разходи'!AE76-'12. Разходи'!$AA76</f>
        <v>0</v>
      </c>
      <c r="AR76" s="888">
        <f>IFERROR(('12. Разходи'!AE76-'12. Разходи'!$AA76)/'12. Разходи'!$AA76,0)</f>
        <v>0</v>
      </c>
      <c r="AS76" s="1147">
        <f>'12. Разходи'!AF76-'12. Разходи'!$AA76</f>
        <v>0</v>
      </c>
      <c r="AT76" s="890">
        <f>IFERROR(('12. Разходи'!AF76-'12. Разходи'!$AA76)/'12. Разходи'!$AA76,0)</f>
        <v>0</v>
      </c>
      <c r="AU76" s="1161">
        <f>'12. Разходи'!AI76</f>
        <v>12.08443322908029</v>
      </c>
      <c r="AV76" s="1148">
        <f>'12. Разходи'!AJ76-'12. Разходи'!$AI76</f>
        <v>0.98464008683117754</v>
      </c>
      <c r="AW76" s="875">
        <f>IFERROR(('12. Разходи'!AJ76-'12. Разходи'!$AI76)/'12. Разходи'!$AI76,0)</f>
        <v>8.148003867171151E-2</v>
      </c>
      <c r="AX76" s="1147">
        <f>'12. Разходи'!AK76-'12. Разходи'!$AI76</f>
        <v>0.98464008683117754</v>
      </c>
      <c r="AY76" s="875">
        <f>IFERROR(('12. Разходи'!AK76-'12. Разходи'!$AI76)/'12. Разходи'!$AI76,0)</f>
        <v>8.148003867171151E-2</v>
      </c>
      <c r="AZ76" s="1147">
        <f>'12. Разходи'!AL76-'12. Разходи'!$AI76</f>
        <v>0.98464008683117754</v>
      </c>
      <c r="BA76" s="875">
        <f>IFERROR(('12. Разходи'!AL76-'12. Разходи'!$AI76)/'12. Разходи'!$AI76,0)</f>
        <v>8.148003867171151E-2</v>
      </c>
      <c r="BB76" s="1147">
        <f>'12. Разходи'!AM76-'12. Разходи'!$AI76</f>
        <v>0.98464008683117754</v>
      </c>
      <c r="BC76" s="888">
        <f>IFERROR(('12. Разходи'!AM76-'12. Разходи'!$AI76)/'12. Разходи'!$AI76,0)</f>
        <v>8.148003867171151E-2</v>
      </c>
      <c r="BD76" s="1147">
        <f>'12. Разходи'!AN76-'12. Разходи'!$AI76</f>
        <v>0.98464008683117754</v>
      </c>
      <c r="BE76" s="890">
        <f>IFERROR(('12. Разходи'!AN76-'12. Разходи'!$AI76)/'12. Разходи'!$AI76,0)</f>
        <v>8.148003867171151E-2</v>
      </c>
      <c r="BF76" s="4488"/>
      <c r="BG76" s="4504">
        <f t="shared" ref="BG76:BG95" si="31">IFERROR(C76/$D$1,0)</f>
        <v>28.408344280343314</v>
      </c>
      <c r="BH76" s="4504">
        <f t="shared" ref="BH76:BH95" si="32">IFERROR(D76/$D$1,0)</f>
        <v>2.3313425840481661</v>
      </c>
      <c r="BI76" s="4504">
        <f t="shared" ref="BI76:BI95" si="33">IFERROR(F76/$D$1,0)</f>
        <v>2.3313425840481661</v>
      </c>
      <c r="BJ76" s="4504">
        <f t="shared" ref="BJ76:BJ95" si="34">IFERROR(H76/$D$1,0)</f>
        <v>2.3313425840481661</v>
      </c>
      <c r="BK76" s="4504">
        <f t="shared" ref="BK76:BK95" si="35">IFERROR(J76/$D$1,0)</f>
        <v>2.3313425840481661</v>
      </c>
      <c r="BL76" s="4504">
        <f t="shared" ref="BL76:BL95" si="36">IFERROR(L76/$D$1,0)</f>
        <v>2.3313425840481661</v>
      </c>
      <c r="BM76" s="4504">
        <f t="shared" ref="BM76:BM95" si="37">IFERROR(N76/$D$1,0)</f>
        <v>0.65451813948357163</v>
      </c>
      <c r="BN76" s="4504">
        <f t="shared" ref="BN76:BN95" si="38">IFERROR(O76/$D$1,0)</f>
        <v>5.3570333899008317E-2</v>
      </c>
      <c r="BO76" s="4504">
        <f t="shared" ref="BO76:BO95" si="39">IFERROR(Q76/$D$1,0)</f>
        <v>5.3570333899008317E-2</v>
      </c>
      <c r="BP76" s="4504">
        <f t="shared" ref="BP76:BP95" si="40">IFERROR(S76/$D$1,0)</f>
        <v>5.3570333899008317E-2</v>
      </c>
      <c r="BQ76" s="4504">
        <f t="shared" ref="BQ76:BQ95" si="41">IFERROR(U76/$D$1,0)</f>
        <v>5.3570333899008317E-2</v>
      </c>
      <c r="BR76" s="4504">
        <f t="shared" ref="BR76:BR95" si="42">IFERROR(W76/$D$1,0)</f>
        <v>5.3570333899008317E-2</v>
      </c>
      <c r="BS76" s="4504">
        <f t="shared" ref="BS76:BS95" si="43">IFERROR(Y76/$D$1,0)</f>
        <v>15.083811371857824</v>
      </c>
      <c r="BT76" s="4504">
        <f t="shared" ref="BT76:BT95" si="44">IFERROR(Z76/$D$1,0)</f>
        <v>2.0451675247848757</v>
      </c>
      <c r="BU76" s="4504">
        <f t="shared" ref="BU76:BU95" si="45">IFERROR(AB76/$D$1,0)</f>
        <v>2.0451675247848757</v>
      </c>
      <c r="BV76" s="4504">
        <f t="shared" ref="BV76:BV95" si="46">IFERROR(AD76/$D$1,0)</f>
        <v>2.0451675247848757</v>
      </c>
      <c r="BW76" s="4504">
        <f t="shared" ref="BW76:BW95" si="47">IFERROR(AF76/$D$1,0)</f>
        <v>2.0451675247848757</v>
      </c>
      <c r="BX76" s="4504">
        <f t="shared" ref="BX76:BX95" si="48">IFERROR(AH76/$D$1,0)</f>
        <v>2.0451675247848757</v>
      </c>
      <c r="BY76" s="4504">
        <f t="shared" ref="BY76:BY95" si="49">IFERROR(AJ76/$D$1,0)</f>
        <v>0</v>
      </c>
      <c r="BZ76" s="4504">
        <f t="shared" ref="BZ76:BZ95" si="50">IFERROR(AK76/$D$1,0)</f>
        <v>0</v>
      </c>
      <c r="CA76" s="4504">
        <f t="shared" ref="CA76:CA95" si="51">IFERROR(AM76/$D$1,0)</f>
        <v>0</v>
      </c>
      <c r="CB76" s="4504">
        <f t="shared" ref="CB76:CB95" si="52">IFERROR(AO76/$D$1,0)</f>
        <v>0</v>
      </c>
      <c r="CC76" s="4504">
        <f t="shared" ref="CC76:CC95" si="53">IFERROR(AQ76/$D$1,0)</f>
        <v>0</v>
      </c>
      <c r="CD76" s="4504">
        <f t="shared" ref="CD76:CD95" si="54">IFERROR(AS76/$D$1,0)</f>
        <v>0</v>
      </c>
      <c r="CE76" s="4504">
        <f t="shared" ref="CE76:CE95" si="55">IFERROR(AU76/$D$1,0)</f>
        <v>6.1786725988865543</v>
      </c>
      <c r="CF76" s="4504">
        <f t="shared" ref="CF76:CF95" si="56">IFERROR(AV76/$D$1,0)</f>
        <v>0.50343848229712074</v>
      </c>
      <c r="CG76" s="4504">
        <f t="shared" ref="CG76:CG95" si="57">IFERROR(AX76/$D$1,0)</f>
        <v>0.50343848229712074</v>
      </c>
      <c r="CH76" s="4504">
        <f t="shared" ref="CH76:CH95" si="58">IFERROR(AZ76/$D$1,0)</f>
        <v>0.50343848229712074</v>
      </c>
      <c r="CI76" s="4504">
        <f t="shared" ref="CI76:CI95" si="59">IFERROR(BB76/$D$1,0)</f>
        <v>0.50343848229712074</v>
      </c>
      <c r="CJ76" s="4504">
        <f t="shared" ref="CJ76:CJ95" si="60">IFERROR(BD76/$D$1,0)</f>
        <v>0.50343848229712074</v>
      </c>
    </row>
    <row r="77" spans="1:88" ht="15.9" customHeight="1">
      <c r="A77" s="108" t="s">
        <v>176</v>
      </c>
      <c r="B77" s="895" t="s">
        <v>269</v>
      </c>
      <c r="C77" s="1111">
        <f>'12. Разходи'!C77</f>
        <v>0.94018768396342811</v>
      </c>
      <c r="D77" s="1141">
        <f>'12. Разходи'!D77-'12. Разходи'!$C77</f>
        <v>7.9915953136891482E-2</v>
      </c>
      <c r="E77" s="1121">
        <f>IFERROR(('12. Разходи'!D77-'12. Разходи'!$C77)/'12. Разходи'!$C77,0)</f>
        <v>8.5000000000000103E-2</v>
      </c>
      <c r="F77" s="907">
        <f>'12. Разходи'!E77-'12. Разходи'!$C77</f>
        <v>7.9915953136891482E-2</v>
      </c>
      <c r="G77" s="1129">
        <f>IFERROR(('12. Разходи'!E77-'12. Разходи'!$C77)/'12. Разходи'!$C77,0)</f>
        <v>8.5000000000000103E-2</v>
      </c>
      <c r="H77" s="907">
        <f>'12. Разходи'!F77-'12. Разходи'!$C77</f>
        <v>7.9915953136891482E-2</v>
      </c>
      <c r="I77" s="1129">
        <f>IFERROR(('12. Разходи'!F77-'12. Разходи'!$C77)/'12. Разходи'!$C77,0)</f>
        <v>8.5000000000000103E-2</v>
      </c>
      <c r="J77" s="907">
        <f>'12. Разходи'!G77-'12. Разходи'!$C77</f>
        <v>7.9915953136891482E-2</v>
      </c>
      <c r="K77" s="1128">
        <f>IFERROR(('12. Разходи'!G77-'12. Разходи'!$C77)/'12. Разходи'!$C77,0)</f>
        <v>8.5000000000000103E-2</v>
      </c>
      <c r="L77" s="1136">
        <f>'12. Разходи'!H77-'12. Разходи'!$C77</f>
        <v>7.9915953136891482E-2</v>
      </c>
      <c r="M77" s="1128">
        <f>IFERROR(('12. Разходи'!H77-'12. Разходи'!$C77)/'12. Разходи'!$C77,0)</f>
        <v>8.5000000000000103E-2</v>
      </c>
      <c r="N77" s="1177">
        <f>'12. Разходи'!K77</f>
        <v>1.3177306575527022E-3</v>
      </c>
      <c r="O77" s="1141">
        <f>'12. Разходи'!L77-'12. Разходи'!$K77</f>
        <v>1.1200710589197977E-4</v>
      </c>
      <c r="P77" s="1121">
        <f>IFERROR(('12. Разходи'!L77-'12. Разходи'!$K77)/'12. Разходи'!$K77,0)</f>
        <v>8.5000000000000062E-2</v>
      </c>
      <c r="Q77" s="907">
        <f>'12. Разходи'!M77-'12. Разходи'!$K77</f>
        <v>1.1200710589197977E-4</v>
      </c>
      <c r="R77" s="1129">
        <f>IFERROR(('12. Разходи'!M77-'12. Разходи'!$K77)/'12. Разходи'!$K77,0)</f>
        <v>8.5000000000000062E-2</v>
      </c>
      <c r="S77" s="907">
        <f>'12. Разходи'!N77-'12. Разходи'!$K77</f>
        <v>1.1200710589197977E-4</v>
      </c>
      <c r="T77" s="1129">
        <f>IFERROR(('12. Разходи'!N77-'12. Разходи'!$K77)/'12. Разходи'!$K77,0)</f>
        <v>8.5000000000000062E-2</v>
      </c>
      <c r="U77" s="907">
        <f>'12. Разходи'!O77-'12. Разходи'!$K77</f>
        <v>1.1200710589197977E-4</v>
      </c>
      <c r="V77" s="1128">
        <f>IFERROR(('12. Разходи'!O77-'12. Разходи'!$K77)/'12. Разходи'!$K77,0)</f>
        <v>8.5000000000000062E-2</v>
      </c>
      <c r="W77" s="1136">
        <f>'12. Разходи'!P77-'12. Разходи'!$K77</f>
        <v>1.1200710589197977E-4</v>
      </c>
      <c r="X77" s="1183">
        <f>IFERROR(('12. Разходи'!P77-'12. Разходи'!$K77)/'12. Разходи'!$K77,0)</f>
        <v>8.5000000000000062E-2</v>
      </c>
      <c r="Y77" s="1177">
        <f>'12. Разходи'!S77</f>
        <v>14.30021</v>
      </c>
      <c r="Z77" s="1141">
        <f>'12. Разходи'!T77-'12. Разходи'!$S77</f>
        <v>3.6999999999999993</v>
      </c>
      <c r="AA77" s="1121">
        <f>IFERROR(('12. Разходи'!T77-'12. Разходи'!$S77)/'12. Разходи'!$S77,0)</f>
        <v>0.25873745910025092</v>
      </c>
      <c r="AB77" s="907">
        <f>'12. Разходи'!U77-'12. Разходи'!$S77</f>
        <v>3.6999999999999993</v>
      </c>
      <c r="AC77" s="1129">
        <f>IFERROR(('12. Разходи'!U77-'12. Разходи'!$S77)/'12. Разходи'!$S77,0)</f>
        <v>0.25873745910025092</v>
      </c>
      <c r="AD77" s="907">
        <f>'12. Разходи'!V77-'12. Разходи'!$S77</f>
        <v>3.6999999999999993</v>
      </c>
      <c r="AE77" s="1129">
        <f>IFERROR(('12. Разходи'!V77-'12. Разходи'!$S77)/'12. Разходи'!$S77,0)</f>
        <v>0.25873745910025092</v>
      </c>
      <c r="AF77" s="907">
        <f>'12. Разходи'!W77-'12. Разходи'!$S77</f>
        <v>3.6999999999999993</v>
      </c>
      <c r="AG77" s="1128">
        <f>IFERROR(('12. Разходи'!W77-'12. Разходи'!$S77)/'12. Разходи'!$S77,0)</f>
        <v>0.25873745910025092</v>
      </c>
      <c r="AH77" s="1136">
        <f>'12. Разходи'!X77-'12. Разходи'!$S77</f>
        <v>3.6999999999999993</v>
      </c>
      <c r="AI77" s="1183">
        <f>IFERROR(('12. Разходи'!X77-'12. Разходи'!$S77)/'12. Разходи'!$S77,0)</f>
        <v>0.25873745910025092</v>
      </c>
      <c r="AJ77" s="1177">
        <f>'12. Разходи'!AA77</f>
        <v>0</v>
      </c>
      <c r="AK77" s="1141">
        <f>'12. Разходи'!AB77-'12. Разходи'!$AA77</f>
        <v>0</v>
      </c>
      <c r="AL77" s="1121">
        <f>IFERROR(('12. Разходи'!AB77-'12. Разходи'!$AA77)/'12. Разходи'!$AA77,0)</f>
        <v>0</v>
      </c>
      <c r="AM77" s="907">
        <f>'12. Разходи'!AC77-'12. Разходи'!$AA77</f>
        <v>0</v>
      </c>
      <c r="AN77" s="1129">
        <f>IFERROR(('12. Разходи'!AC77-'12. Разходи'!$AA77)/'12. Разходи'!$AA77,0)</f>
        <v>0</v>
      </c>
      <c r="AO77" s="907">
        <f>'12. Разходи'!AD77-'12. Разходи'!$AA77</f>
        <v>0</v>
      </c>
      <c r="AP77" s="1129">
        <f>IFERROR(('12. Разходи'!AD77-'12. Разходи'!$AA77)/'12. Разходи'!$AA77,0)</f>
        <v>0</v>
      </c>
      <c r="AQ77" s="907">
        <f>'12. Разходи'!AE77-'12. Разходи'!$AA77</f>
        <v>0</v>
      </c>
      <c r="AR77" s="1128">
        <f>IFERROR(('12. Разходи'!AE77-'12. Разходи'!$AA77)/'12. Разходи'!$AA77,0)</f>
        <v>0</v>
      </c>
      <c r="AS77" s="1136">
        <f>'12. Разходи'!AF77-'12. Разходи'!$AA77</f>
        <v>0</v>
      </c>
      <c r="AT77" s="1183">
        <f>IFERROR(('12. Разходи'!AF77-'12. Разходи'!$AA77)/'12. Разходи'!$AA77,0)</f>
        <v>0</v>
      </c>
      <c r="AU77" s="1177">
        <f>'12. Разходи'!AI77</f>
        <v>0.85812458537901903</v>
      </c>
      <c r="AV77" s="1141">
        <f>'12. Разходи'!AJ77-'12. Разходи'!$AI77</f>
        <v>7.2940589757216734E-2</v>
      </c>
      <c r="AW77" s="1121">
        <f>IFERROR(('12. Разходи'!AJ77-'12. Разходи'!$AI77)/'12. Разходи'!$AI77,0)</f>
        <v>8.5000000000000131E-2</v>
      </c>
      <c r="AX77" s="907">
        <f>'12. Разходи'!AK77-'12. Разходи'!$AI77</f>
        <v>7.2940589757216734E-2</v>
      </c>
      <c r="AY77" s="1129">
        <f>IFERROR(('12. Разходи'!AK77-'12. Разходи'!$AI77)/'12. Разходи'!$AI77,0)</f>
        <v>8.5000000000000131E-2</v>
      </c>
      <c r="AZ77" s="907">
        <f>'12. Разходи'!AL77-'12. Разходи'!$AI77</f>
        <v>7.2940589757216734E-2</v>
      </c>
      <c r="BA77" s="1129">
        <f>IFERROR(('12. Разходи'!AL77-'12. Разходи'!$AI77)/'12. Разходи'!$AI77,0)</f>
        <v>8.5000000000000131E-2</v>
      </c>
      <c r="BB77" s="907">
        <f>'12. Разходи'!AM77-'12. Разходи'!$AI77</f>
        <v>7.2940589757216734E-2</v>
      </c>
      <c r="BC77" s="1128">
        <f>IFERROR(('12. Разходи'!AM77-'12. Разходи'!$AI77)/'12. Разходи'!$AI77,0)</f>
        <v>8.5000000000000131E-2</v>
      </c>
      <c r="BD77" s="1136">
        <f>'12. Разходи'!AN77-'12. Разходи'!$AI77</f>
        <v>7.2940589757216734E-2</v>
      </c>
      <c r="BE77" s="1183">
        <f>IFERROR(('12. Разходи'!AN77-'12. Разходи'!$AI77)/'12. Разходи'!$AI77,0)</f>
        <v>8.5000000000000131E-2</v>
      </c>
      <c r="BF77" s="4488"/>
      <c r="BG77" s="4504">
        <f t="shared" si="31"/>
        <v>0.48071032961117693</v>
      </c>
      <c r="BH77" s="4504">
        <f t="shared" si="32"/>
        <v>4.0860378016950083E-2</v>
      </c>
      <c r="BI77" s="4504">
        <f t="shared" si="33"/>
        <v>4.0860378016950083E-2</v>
      </c>
      <c r="BJ77" s="4504">
        <f t="shared" si="34"/>
        <v>4.0860378016950083E-2</v>
      </c>
      <c r="BK77" s="4504">
        <f t="shared" si="35"/>
        <v>4.0860378016950083E-2</v>
      </c>
      <c r="BL77" s="4504">
        <f t="shared" si="36"/>
        <v>4.0860378016950083E-2</v>
      </c>
      <c r="BM77" s="4504">
        <f t="shared" si="37"/>
        <v>6.7374498681005109E-4</v>
      </c>
      <c r="BN77" s="4504">
        <f t="shared" si="38"/>
        <v>5.7268323878854388E-5</v>
      </c>
      <c r="BO77" s="4504">
        <f t="shared" si="39"/>
        <v>5.7268323878854388E-5</v>
      </c>
      <c r="BP77" s="4504">
        <f t="shared" si="40"/>
        <v>5.7268323878854388E-5</v>
      </c>
      <c r="BQ77" s="4504">
        <f t="shared" si="41"/>
        <v>5.7268323878854388E-5</v>
      </c>
      <c r="BR77" s="4504">
        <f t="shared" si="42"/>
        <v>5.7268323878854388E-5</v>
      </c>
      <c r="BS77" s="4504">
        <f t="shared" si="43"/>
        <v>7.3115812724009759</v>
      </c>
      <c r="BT77" s="4504">
        <f t="shared" si="44"/>
        <v>1.8917799604260082</v>
      </c>
      <c r="BU77" s="4504">
        <f t="shared" si="45"/>
        <v>1.8917799604260082</v>
      </c>
      <c r="BV77" s="4504">
        <f t="shared" si="46"/>
        <v>1.8917799604260082</v>
      </c>
      <c r="BW77" s="4504">
        <f t="shared" si="47"/>
        <v>1.8917799604260082</v>
      </c>
      <c r="BX77" s="4504">
        <f t="shared" si="48"/>
        <v>1.8917799604260082</v>
      </c>
      <c r="BY77" s="4504">
        <f t="shared" si="49"/>
        <v>0</v>
      </c>
      <c r="BZ77" s="4504">
        <f t="shared" si="50"/>
        <v>0</v>
      </c>
      <c r="CA77" s="4504">
        <f t="shared" si="51"/>
        <v>0</v>
      </c>
      <c r="CB77" s="4504">
        <f t="shared" si="52"/>
        <v>0</v>
      </c>
      <c r="CC77" s="4504">
        <f t="shared" si="53"/>
        <v>0</v>
      </c>
      <c r="CD77" s="4504">
        <f t="shared" si="54"/>
        <v>0</v>
      </c>
      <c r="CE77" s="4504">
        <f t="shared" si="55"/>
        <v>0.43875213355916365</v>
      </c>
      <c r="CF77" s="4504">
        <f t="shared" si="56"/>
        <v>3.7293931352528967E-2</v>
      </c>
      <c r="CG77" s="4504">
        <f t="shared" si="57"/>
        <v>3.7293931352528967E-2</v>
      </c>
      <c r="CH77" s="4504">
        <f t="shared" si="58"/>
        <v>3.7293931352528967E-2</v>
      </c>
      <c r="CI77" s="4504">
        <f t="shared" si="59"/>
        <v>3.7293931352528967E-2</v>
      </c>
      <c r="CJ77" s="4504">
        <f t="shared" si="60"/>
        <v>3.7293931352528967E-2</v>
      </c>
    </row>
    <row r="78" spans="1:88" ht="15.9" customHeight="1">
      <c r="A78" s="108" t="s">
        <v>178</v>
      </c>
      <c r="B78" s="903" t="s">
        <v>271</v>
      </c>
      <c r="C78" s="1117">
        <f>'12. Разходи'!C78</f>
        <v>15.997717764070401</v>
      </c>
      <c r="D78" s="1141">
        <f>'12. Разходи'!D78-'12. Разходи'!$C78</f>
        <v>1.3598060099459843</v>
      </c>
      <c r="E78" s="1121">
        <f>IFERROR(('12. Разходи'!D78-'12. Разходи'!$C78)/'12. Разходи'!$C78,0)</f>
        <v>8.500000000000002E-2</v>
      </c>
      <c r="F78" s="907">
        <f>'12. Разходи'!E78-'12. Разходи'!$C78</f>
        <v>1.3598060099459843</v>
      </c>
      <c r="G78" s="1129">
        <f>IFERROR(('12. Разходи'!E78-'12. Разходи'!$C78)/'12. Разходи'!$C78,0)</f>
        <v>8.500000000000002E-2</v>
      </c>
      <c r="H78" s="907">
        <f>'12. Разходи'!F78-'12. Разходи'!$C78</f>
        <v>1.3598060099459843</v>
      </c>
      <c r="I78" s="1129">
        <f>IFERROR(('12. Разходи'!F78-'12. Разходи'!$C78)/'12. Разходи'!$C78,0)</f>
        <v>8.500000000000002E-2</v>
      </c>
      <c r="J78" s="907">
        <f>'12. Разходи'!G78-'12. Разходи'!$C78</f>
        <v>1.3598060099459843</v>
      </c>
      <c r="K78" s="1128">
        <f>IFERROR(('12. Разходи'!G78-'12. Разходи'!$C78)/'12. Разходи'!$C78,0)</f>
        <v>8.500000000000002E-2</v>
      </c>
      <c r="L78" s="1136">
        <f>'12. Разходи'!H78-'12. Разходи'!$C78</f>
        <v>1.3598060099459843</v>
      </c>
      <c r="M78" s="1128">
        <f>IFERROR(('12. Разходи'!H78-'12. Разходи'!$C78)/'12. Разходи'!$C78,0)</f>
        <v>8.500000000000002E-2</v>
      </c>
      <c r="N78" s="1177">
        <f>'12. Разходи'!K78</f>
        <v>0.30202018998521102</v>
      </c>
      <c r="O78" s="1141">
        <f>'12. Разходи'!L78-'12. Разходи'!$K78</f>
        <v>2.5671716148742918E-2</v>
      </c>
      <c r="P78" s="1121">
        <f>IFERROR(('12. Разходи'!L78-'12. Разходи'!$K78)/'12. Разходи'!$K78,0)</f>
        <v>8.4999999999999937E-2</v>
      </c>
      <c r="Q78" s="907">
        <f>'12. Разходи'!M78-'12. Разходи'!$K78</f>
        <v>2.5671716148742918E-2</v>
      </c>
      <c r="R78" s="1129">
        <f>IFERROR(('12. Разходи'!M78-'12. Разходи'!$K78)/'12. Разходи'!$K78,0)</f>
        <v>8.4999999999999937E-2</v>
      </c>
      <c r="S78" s="907">
        <f>'12. Разходи'!N78-'12. Разходи'!$K78</f>
        <v>2.5671716148742918E-2</v>
      </c>
      <c r="T78" s="1129">
        <f>IFERROR(('12. Разходи'!N78-'12. Разходи'!$K78)/'12. Разходи'!$K78,0)</f>
        <v>8.4999999999999937E-2</v>
      </c>
      <c r="U78" s="907">
        <f>'12. Разходи'!O78-'12. Разходи'!$K78</f>
        <v>2.5671716148742918E-2</v>
      </c>
      <c r="V78" s="1128">
        <f>IFERROR(('12. Разходи'!O78-'12. Разходи'!$K78)/'12. Разходи'!$K78,0)</f>
        <v>8.4999999999999937E-2</v>
      </c>
      <c r="W78" s="1136">
        <f>'12. Разходи'!P78-'12. Разходи'!$K78</f>
        <v>2.5671716148742918E-2</v>
      </c>
      <c r="X78" s="1183">
        <f>IFERROR(('12. Разходи'!P78-'12. Разходи'!$K78)/'12. Разходи'!$K78,0)</f>
        <v>8.4999999999999937E-2</v>
      </c>
      <c r="Y78" s="1177">
        <f>'12. Разходи'!S78</f>
        <v>6.084287853419359</v>
      </c>
      <c r="Z78" s="1141">
        <f>'12. Разходи'!T78-'12. Разходи'!$S78</f>
        <v>0.29999999999999982</v>
      </c>
      <c r="AA78" s="1121">
        <f>IFERROR(('12. Разходи'!T78-'12. Разходи'!$S78)/'12. Разходи'!$S78,0)</f>
        <v>4.9307331807353652E-2</v>
      </c>
      <c r="AB78" s="907">
        <f>'12. Разходи'!U78-'12. Разходи'!$S78</f>
        <v>0.29999999999999982</v>
      </c>
      <c r="AC78" s="1129">
        <f>IFERROR(('12. Разходи'!U78-'12. Разходи'!$S78)/'12. Разходи'!$S78,0)</f>
        <v>4.9307331807353652E-2</v>
      </c>
      <c r="AD78" s="907">
        <f>'12. Разходи'!V78-'12. Разходи'!$S78</f>
        <v>0.29999999999999982</v>
      </c>
      <c r="AE78" s="1129">
        <f>IFERROR(('12. Разходи'!V78-'12. Разходи'!$S78)/'12. Разходи'!$S78,0)</f>
        <v>4.9307331807353652E-2</v>
      </c>
      <c r="AF78" s="907">
        <f>'12. Разходи'!W78-'12. Разходи'!$S78</f>
        <v>0.29999999999999982</v>
      </c>
      <c r="AG78" s="1128">
        <f>IFERROR(('12. Разходи'!W78-'12. Разходи'!$S78)/'12. Разходи'!$S78,0)</f>
        <v>4.9307331807353652E-2</v>
      </c>
      <c r="AH78" s="1136">
        <f>'12. Разходи'!X78-'12. Разходи'!$S78</f>
        <v>0.29999999999999982</v>
      </c>
      <c r="AI78" s="1183">
        <f>IFERROR(('12. Разходи'!X78-'12. Разходи'!$S78)/'12. Разходи'!$S78,0)</f>
        <v>4.9307331807353652E-2</v>
      </c>
      <c r="AJ78" s="1177">
        <f>'12. Разходи'!AA78</f>
        <v>0</v>
      </c>
      <c r="AK78" s="1141">
        <f>'12. Разходи'!AB78-'12. Разходи'!$AA78</f>
        <v>0</v>
      </c>
      <c r="AL78" s="1121">
        <f>IFERROR(('12. Разходи'!AB78-'12. Разходи'!$AA78)/'12. Разходи'!$AA78,0)</f>
        <v>0</v>
      </c>
      <c r="AM78" s="907">
        <f>'12. Разходи'!AC78-'12. Разходи'!$AA78</f>
        <v>0</v>
      </c>
      <c r="AN78" s="1129">
        <f>IFERROR(('12. Разходи'!AC78-'12. Разходи'!$AA78)/'12. Разходи'!$AA78,0)</f>
        <v>0</v>
      </c>
      <c r="AO78" s="907">
        <f>'12. Разходи'!AD78-'12. Разходи'!$AA78</f>
        <v>0</v>
      </c>
      <c r="AP78" s="1129">
        <f>IFERROR(('12. Разходи'!AD78-'12. Разходи'!$AA78)/'12. Разходи'!$AA78,0)</f>
        <v>0</v>
      </c>
      <c r="AQ78" s="907">
        <f>'12. Разходи'!AE78-'12. Разходи'!$AA78</f>
        <v>0</v>
      </c>
      <c r="AR78" s="1128">
        <f>IFERROR(('12. Разходи'!AE78-'12. Разходи'!$AA78)/'12. Разходи'!$AA78,0)</f>
        <v>0</v>
      </c>
      <c r="AS78" s="1136">
        <f>'12. Разходи'!AF78-'12. Разходи'!$AA78</f>
        <v>0</v>
      </c>
      <c r="AT78" s="1183">
        <f>IFERROR(('12. Разходи'!AF78-'12. Разходи'!$AA78)/'12. Разходи'!$AA78,0)</f>
        <v>0</v>
      </c>
      <c r="AU78" s="1177">
        <f>'12. Разходи'!AI78</f>
        <v>2.4463194203413008</v>
      </c>
      <c r="AV78" s="1141">
        <f>'12. Разходи'!AJ78-'12. Разходи'!$AI78</f>
        <v>0.20793715072901087</v>
      </c>
      <c r="AW78" s="1121">
        <f>IFERROR(('12. Разходи'!AJ78-'12. Разходи'!$AI78)/'12. Разходи'!$AI78,0)</f>
        <v>8.5000000000000117E-2</v>
      </c>
      <c r="AX78" s="907">
        <f>'12. Разходи'!AK78-'12. Разходи'!$AI78</f>
        <v>0.20793715072901087</v>
      </c>
      <c r="AY78" s="1129">
        <f>IFERROR(('12. Разходи'!AK78-'12. Разходи'!$AI78)/'12. Разходи'!$AI78,0)</f>
        <v>8.5000000000000117E-2</v>
      </c>
      <c r="AZ78" s="907">
        <f>'12. Разходи'!AL78-'12. Разходи'!$AI78</f>
        <v>0.20793715072901087</v>
      </c>
      <c r="BA78" s="1129">
        <f>IFERROR(('12. Разходи'!AL78-'12. Разходи'!$AI78)/'12. Разходи'!$AI78,0)</f>
        <v>8.5000000000000117E-2</v>
      </c>
      <c r="BB78" s="907">
        <f>'12. Разходи'!AM78-'12. Разходи'!$AI78</f>
        <v>0.20793715072901087</v>
      </c>
      <c r="BC78" s="1128">
        <f>IFERROR(('12. Разходи'!AM78-'12. Разходи'!$AI78)/'12. Разходи'!$AI78,0)</f>
        <v>8.5000000000000117E-2</v>
      </c>
      <c r="BD78" s="1136">
        <f>'12. Разходи'!AN78-'12. Разходи'!$AI78</f>
        <v>0.20793715072901087</v>
      </c>
      <c r="BE78" s="1183">
        <f>IFERROR(('12. Разходи'!AN78-'12. Разходи'!$AI78)/'12. Разходи'!$AI78,0)</f>
        <v>8.5000000000000117E-2</v>
      </c>
      <c r="BF78" s="4488"/>
      <c r="BG78" s="4504">
        <f t="shared" si="31"/>
        <v>8.1795032104377174</v>
      </c>
      <c r="BH78" s="4504">
        <f t="shared" si="32"/>
        <v>0.69525777288720614</v>
      </c>
      <c r="BI78" s="4504">
        <f t="shared" si="33"/>
        <v>0.69525777288720614</v>
      </c>
      <c r="BJ78" s="4504">
        <f t="shared" si="34"/>
        <v>0.69525777288720614</v>
      </c>
      <c r="BK78" s="4504">
        <f t="shared" si="35"/>
        <v>0.69525777288720614</v>
      </c>
      <c r="BL78" s="4504">
        <f t="shared" si="36"/>
        <v>0.69525777288720614</v>
      </c>
      <c r="BM78" s="4504">
        <f t="shared" si="37"/>
        <v>0.15442047109677784</v>
      </c>
      <c r="BN78" s="4504">
        <f t="shared" si="38"/>
        <v>1.3125740043226107E-2</v>
      </c>
      <c r="BO78" s="4504">
        <f t="shared" si="39"/>
        <v>1.3125740043226107E-2</v>
      </c>
      <c r="BP78" s="4504">
        <f t="shared" si="40"/>
        <v>1.3125740043226107E-2</v>
      </c>
      <c r="BQ78" s="4504">
        <f t="shared" si="41"/>
        <v>1.3125740043226107E-2</v>
      </c>
      <c r="BR78" s="4504">
        <f t="shared" si="42"/>
        <v>1.3125740043226107E-2</v>
      </c>
      <c r="BS78" s="4504">
        <f t="shared" si="43"/>
        <v>3.1108469823140861</v>
      </c>
      <c r="BT78" s="4504">
        <f t="shared" si="44"/>
        <v>0.15338756435886547</v>
      </c>
      <c r="BU78" s="4504">
        <f t="shared" si="45"/>
        <v>0.15338756435886547</v>
      </c>
      <c r="BV78" s="4504">
        <f t="shared" si="46"/>
        <v>0.15338756435886547</v>
      </c>
      <c r="BW78" s="4504">
        <f t="shared" si="47"/>
        <v>0.15338756435886547</v>
      </c>
      <c r="BX78" s="4504">
        <f t="shared" si="48"/>
        <v>0.15338756435886547</v>
      </c>
      <c r="BY78" s="4504">
        <f t="shared" si="49"/>
        <v>0</v>
      </c>
      <c r="BZ78" s="4504">
        <f t="shared" si="50"/>
        <v>0</v>
      </c>
      <c r="CA78" s="4504">
        <f t="shared" si="51"/>
        <v>0</v>
      </c>
      <c r="CB78" s="4504">
        <f t="shared" si="52"/>
        <v>0</v>
      </c>
      <c r="CC78" s="4504">
        <f t="shared" si="53"/>
        <v>0</v>
      </c>
      <c r="CD78" s="4504">
        <f t="shared" si="54"/>
        <v>0</v>
      </c>
      <c r="CE78" s="4504">
        <f t="shared" si="55"/>
        <v>1.2507832584331464</v>
      </c>
      <c r="CF78" s="4504">
        <f t="shared" si="56"/>
        <v>0.10631657696681761</v>
      </c>
      <c r="CG78" s="4504">
        <f t="shared" si="57"/>
        <v>0.10631657696681761</v>
      </c>
      <c r="CH78" s="4504">
        <f t="shared" si="58"/>
        <v>0.10631657696681761</v>
      </c>
      <c r="CI78" s="4504">
        <f t="shared" si="59"/>
        <v>0.10631657696681761</v>
      </c>
      <c r="CJ78" s="4504">
        <f t="shared" si="60"/>
        <v>0.10631657696681761</v>
      </c>
    </row>
    <row r="79" spans="1:88" ht="15.9" customHeight="1">
      <c r="A79" s="108" t="s">
        <v>456</v>
      </c>
      <c r="B79" s="136" t="s">
        <v>266</v>
      </c>
      <c r="C79" s="1117">
        <f>'12. Разходи'!C79</f>
        <v>19.057654714828043</v>
      </c>
      <c r="D79" s="1141">
        <f>'12. Разходи'!D79-'12. Разходи'!$C79</f>
        <v>1.6199006507603819</v>
      </c>
      <c r="E79" s="1121">
        <f>IFERROR(('12. Разходи'!D79-'12. Разходи'!$C79)/'12. Разходи'!$C79,0)</f>
        <v>8.4999999999999909E-2</v>
      </c>
      <c r="F79" s="907">
        <f>'12. Разходи'!E79-'12. Разходи'!$C79</f>
        <v>1.6199006507603819</v>
      </c>
      <c r="G79" s="1129">
        <f>IFERROR(('12. Разходи'!E79-'12. Разходи'!$C79)/'12. Разходи'!$C79,0)</f>
        <v>8.4999999999999909E-2</v>
      </c>
      <c r="H79" s="907">
        <f>'12. Разходи'!F79-'12. Разходи'!$C79</f>
        <v>1.6199006507603819</v>
      </c>
      <c r="I79" s="1129">
        <f>IFERROR(('12. Разходи'!F79-'12. Разходи'!$C79)/'12. Разходи'!$C79,0)</f>
        <v>8.4999999999999909E-2</v>
      </c>
      <c r="J79" s="907">
        <f>'12. Разходи'!G79-'12. Разходи'!$C79</f>
        <v>1.6199006507603819</v>
      </c>
      <c r="K79" s="1128">
        <f>IFERROR(('12. Разходи'!G79-'12. Разходи'!$C79)/'12. Разходи'!$C79,0)</f>
        <v>8.4999999999999909E-2</v>
      </c>
      <c r="L79" s="1136">
        <f>'12. Разходи'!H79-'12. Разходи'!$C79</f>
        <v>1.6199006507603819</v>
      </c>
      <c r="M79" s="1128">
        <f>IFERROR(('12. Разходи'!H79-'12. Разходи'!$C79)/'12. Разходи'!$C79,0)</f>
        <v>8.4999999999999909E-2</v>
      </c>
      <c r="N79" s="1177">
        <f>'12. Разходи'!K79</f>
        <v>0.59814125100175108</v>
      </c>
      <c r="O79" s="1141">
        <f>'12. Разходи'!L79-'12. Разходи'!$K79</f>
        <v>5.0842006335148793E-2</v>
      </c>
      <c r="P79" s="1121">
        <f>IFERROR(('12. Разходи'!L79-'12. Разходи'!$K79)/'12. Разходи'!$K79,0)</f>
        <v>8.4999999999999923E-2</v>
      </c>
      <c r="Q79" s="907">
        <f>'12. Разходи'!M79-'12. Разходи'!$K79</f>
        <v>5.0842006335148793E-2</v>
      </c>
      <c r="R79" s="1129">
        <f>IFERROR(('12. Разходи'!M79-'12. Разходи'!$K79)/'12. Разходи'!$K79,0)</f>
        <v>8.4999999999999923E-2</v>
      </c>
      <c r="S79" s="907">
        <f>'12. Разходи'!N79-'12. Разходи'!$K79</f>
        <v>5.0842006335148793E-2</v>
      </c>
      <c r="T79" s="1129">
        <f>IFERROR(('12. Разходи'!N79-'12. Разходи'!$K79)/'12. Разходи'!$K79,0)</f>
        <v>8.4999999999999923E-2</v>
      </c>
      <c r="U79" s="907">
        <f>'12. Разходи'!O79-'12. Разходи'!$K79</f>
        <v>5.0842006335148793E-2</v>
      </c>
      <c r="V79" s="1128">
        <f>IFERROR(('12. Разходи'!O79-'12. Разходи'!$K79)/'12. Разходи'!$K79,0)</f>
        <v>8.4999999999999923E-2</v>
      </c>
      <c r="W79" s="1136">
        <f>'12. Разходи'!P79-'12. Разходи'!$K79</f>
        <v>5.0842006335148793E-2</v>
      </c>
      <c r="X79" s="1183">
        <f>IFERROR(('12. Разходи'!P79-'12. Разходи'!$K79)/'12. Разходи'!$K79,0)</f>
        <v>8.4999999999999923E-2</v>
      </c>
      <c r="Y79" s="1177">
        <f>'12. Разходи'!S79</f>
        <v>4.7915570664501113</v>
      </c>
      <c r="Z79" s="1141">
        <f>'12. Разходи'!T79-'12. Разходи'!$S79</f>
        <v>0</v>
      </c>
      <c r="AA79" s="1121">
        <f>IFERROR(('12. Разходи'!T79-'12. Разходи'!$S79)/'12. Разходи'!$S79,0)</f>
        <v>0</v>
      </c>
      <c r="AB79" s="907">
        <f>'12. Разходи'!U79-'12. Разходи'!$S79</f>
        <v>0</v>
      </c>
      <c r="AC79" s="1129">
        <f>IFERROR(('12. Разходи'!U79-'12. Разходи'!$S79)/'12. Разходи'!$S79,0)</f>
        <v>0</v>
      </c>
      <c r="AD79" s="907">
        <f>'12. Разходи'!V79-'12. Разходи'!$S79</f>
        <v>0</v>
      </c>
      <c r="AE79" s="1129">
        <f>IFERROR(('12. Разходи'!V79-'12. Разходи'!$S79)/'12. Разходи'!$S79,0)</f>
        <v>0</v>
      </c>
      <c r="AF79" s="907">
        <f>'12. Разходи'!W79-'12. Разходи'!$S79</f>
        <v>0</v>
      </c>
      <c r="AG79" s="1128">
        <f>IFERROR(('12. Разходи'!W79-'12. Разходи'!$S79)/'12. Разходи'!$S79,0)</f>
        <v>0</v>
      </c>
      <c r="AH79" s="1136">
        <f>'12. Разходи'!X79-'12. Разходи'!$S79</f>
        <v>0</v>
      </c>
      <c r="AI79" s="1183">
        <f>IFERROR(('12. Разходи'!X79-'12. Разходи'!$S79)/'12. Разходи'!$S79,0)</f>
        <v>0</v>
      </c>
      <c r="AJ79" s="1177">
        <f>'12. Разходи'!AA79</f>
        <v>0</v>
      </c>
      <c r="AK79" s="1141">
        <f>'12. Разходи'!AB79-'12. Разходи'!$AA79</f>
        <v>0</v>
      </c>
      <c r="AL79" s="1121">
        <f>IFERROR(('12. Разходи'!AB79-'12. Разходи'!$AA79)/'12. Разходи'!$AA79,0)</f>
        <v>0</v>
      </c>
      <c r="AM79" s="907">
        <f>'12. Разходи'!AC79-'12. Разходи'!$AA79</f>
        <v>0</v>
      </c>
      <c r="AN79" s="1129">
        <f>IFERROR(('12. Разходи'!AC79-'12. Разходи'!$AA79)/'12. Разходи'!$AA79,0)</f>
        <v>0</v>
      </c>
      <c r="AO79" s="907">
        <f>'12. Разходи'!AD79-'12. Разходи'!$AA79</f>
        <v>0</v>
      </c>
      <c r="AP79" s="1129">
        <f>IFERROR(('12. Разходи'!AD79-'12. Разходи'!$AA79)/'12. Разходи'!$AA79,0)</f>
        <v>0</v>
      </c>
      <c r="AQ79" s="907">
        <f>'12. Разходи'!AE79-'12. Разходи'!$AA79</f>
        <v>0</v>
      </c>
      <c r="AR79" s="1128">
        <f>IFERROR(('12. Разходи'!AE79-'12. Разходи'!$AA79)/'12. Разходи'!$AA79,0)</f>
        <v>0</v>
      </c>
      <c r="AS79" s="1136">
        <f>'12. Разходи'!AF79-'12. Разходи'!$AA79</f>
        <v>0</v>
      </c>
      <c r="AT79" s="1183">
        <f>IFERROR(('12. Разходи'!AF79-'12. Разходи'!$AA79)/'12. Разходи'!$AA79,0)</f>
        <v>0</v>
      </c>
      <c r="AU79" s="1177">
        <f>'12. Разходи'!AI79</f>
        <v>3.2697025421605463</v>
      </c>
      <c r="AV79" s="1141">
        <f>'12. Разходи'!AJ79-'12. Разходи'!$AI79</f>
        <v>0.27792471608364666</v>
      </c>
      <c r="AW79" s="1121">
        <f>IFERROR(('12. Разходи'!AJ79-'12. Разходи'!$AI79)/'12. Разходи'!$AI79,0)</f>
        <v>8.5000000000000062E-2</v>
      </c>
      <c r="AX79" s="907">
        <f>'12. Разходи'!AK79-'12. Разходи'!$AI79</f>
        <v>0.27792471608364666</v>
      </c>
      <c r="AY79" s="1129">
        <f>IFERROR(('12. Разходи'!AK79-'12. Разходи'!$AI79)/'12. Разходи'!$AI79,0)</f>
        <v>8.5000000000000062E-2</v>
      </c>
      <c r="AZ79" s="907">
        <f>'12. Разходи'!AL79-'12. Разходи'!$AI79</f>
        <v>0.27792471608364666</v>
      </c>
      <c r="BA79" s="1129">
        <f>IFERROR(('12. Разходи'!AL79-'12. Разходи'!$AI79)/'12. Разходи'!$AI79,0)</f>
        <v>8.5000000000000062E-2</v>
      </c>
      <c r="BB79" s="907">
        <f>'12. Разходи'!AM79-'12. Разходи'!$AI79</f>
        <v>0.27792471608364666</v>
      </c>
      <c r="BC79" s="1128">
        <f>IFERROR(('12. Разходи'!AM79-'12. Разходи'!$AI79)/'12. Разходи'!$AI79,0)</f>
        <v>8.5000000000000062E-2</v>
      </c>
      <c r="BD79" s="1136">
        <f>'12. Разходи'!AN79-'12. Разходи'!$AI79</f>
        <v>0.27792471608364666</v>
      </c>
      <c r="BE79" s="1183">
        <f>IFERROR(('12. Разходи'!AN79-'12. Разходи'!$AI79)/'12. Разходи'!$AI79,0)</f>
        <v>8.5000000000000062E-2</v>
      </c>
      <c r="BF79" s="4488"/>
      <c r="BG79" s="4504">
        <f t="shared" si="31"/>
        <v>9.7440241303324129</v>
      </c>
      <c r="BH79" s="4504">
        <f t="shared" si="32"/>
        <v>0.82824205107825422</v>
      </c>
      <c r="BI79" s="4504">
        <f t="shared" si="33"/>
        <v>0.82824205107825422</v>
      </c>
      <c r="BJ79" s="4504">
        <f t="shared" si="34"/>
        <v>0.82824205107825422</v>
      </c>
      <c r="BK79" s="4504">
        <f t="shared" si="35"/>
        <v>0.82824205107825422</v>
      </c>
      <c r="BL79" s="4504">
        <f t="shared" si="36"/>
        <v>0.82824205107825422</v>
      </c>
      <c r="BM79" s="4504">
        <f t="shared" si="37"/>
        <v>0.30582476544574483</v>
      </c>
      <c r="BN79" s="4504">
        <f t="shared" si="38"/>
        <v>2.5995105062888286E-2</v>
      </c>
      <c r="BO79" s="4504">
        <f t="shared" si="39"/>
        <v>2.5995105062888286E-2</v>
      </c>
      <c r="BP79" s="4504">
        <f t="shared" si="40"/>
        <v>2.5995105062888286E-2</v>
      </c>
      <c r="BQ79" s="4504">
        <f t="shared" si="41"/>
        <v>2.5995105062888286E-2</v>
      </c>
      <c r="BR79" s="4504">
        <f t="shared" si="42"/>
        <v>2.5995105062888286E-2</v>
      </c>
      <c r="BS79" s="4504">
        <f t="shared" si="43"/>
        <v>2.4498842263643117</v>
      </c>
      <c r="BT79" s="4504">
        <f t="shared" si="44"/>
        <v>0</v>
      </c>
      <c r="BU79" s="4504">
        <f t="shared" si="45"/>
        <v>0</v>
      </c>
      <c r="BV79" s="4504">
        <f t="shared" si="46"/>
        <v>0</v>
      </c>
      <c r="BW79" s="4504">
        <f t="shared" si="47"/>
        <v>0</v>
      </c>
      <c r="BX79" s="4504">
        <f t="shared" si="48"/>
        <v>0</v>
      </c>
      <c r="BY79" s="4504">
        <f t="shared" si="49"/>
        <v>0</v>
      </c>
      <c r="BZ79" s="4504">
        <f t="shared" si="50"/>
        <v>0</v>
      </c>
      <c r="CA79" s="4504">
        <f t="shared" si="51"/>
        <v>0</v>
      </c>
      <c r="CB79" s="4504">
        <f t="shared" si="52"/>
        <v>0</v>
      </c>
      <c r="CC79" s="4504">
        <f t="shared" si="53"/>
        <v>0</v>
      </c>
      <c r="CD79" s="4504">
        <f t="shared" si="54"/>
        <v>0</v>
      </c>
      <c r="CE79" s="4504">
        <f t="shared" si="55"/>
        <v>1.6717723637333237</v>
      </c>
      <c r="CF79" s="4504">
        <f t="shared" si="56"/>
        <v>0.14210065091733262</v>
      </c>
      <c r="CG79" s="4504">
        <f t="shared" si="57"/>
        <v>0.14210065091733262</v>
      </c>
      <c r="CH79" s="4504">
        <f t="shared" si="58"/>
        <v>0.14210065091733262</v>
      </c>
      <c r="CI79" s="4504">
        <f t="shared" si="59"/>
        <v>0.14210065091733262</v>
      </c>
      <c r="CJ79" s="4504">
        <f t="shared" si="60"/>
        <v>0.14210065091733262</v>
      </c>
    </row>
    <row r="80" spans="1:88" ht="15.9" customHeight="1">
      <c r="A80" s="108" t="s">
        <v>457</v>
      </c>
      <c r="B80" s="895" t="s">
        <v>273</v>
      </c>
      <c r="C80" s="1111">
        <f>'12. Разходи'!C80</f>
        <v>0.71899644388049888</v>
      </c>
      <c r="D80" s="1141">
        <f>'12. Разходи'!D80-'12. Разходи'!$C80</f>
        <v>6.1114697729842349E-2</v>
      </c>
      <c r="E80" s="1121">
        <f>IFERROR(('12. Разходи'!D80-'12. Разходи'!$C80)/'12. Разходи'!$C80,0)</f>
        <v>8.4999999999999923E-2</v>
      </c>
      <c r="F80" s="907">
        <f>'12. Разходи'!E80-'12. Разходи'!$C80</f>
        <v>6.1114697729842349E-2</v>
      </c>
      <c r="G80" s="1129">
        <f>IFERROR(('12. Разходи'!E80-'12. Разходи'!$C80)/'12. Разходи'!$C80,0)</f>
        <v>8.4999999999999923E-2</v>
      </c>
      <c r="H80" s="907">
        <f>'12. Разходи'!F80-'12. Разходи'!$C80</f>
        <v>6.1114697729842349E-2</v>
      </c>
      <c r="I80" s="1129">
        <f>IFERROR(('12. Разходи'!F80-'12. Разходи'!$C80)/'12. Разходи'!$C80,0)</f>
        <v>8.4999999999999923E-2</v>
      </c>
      <c r="J80" s="907">
        <f>'12. Разходи'!G80-'12. Разходи'!$C80</f>
        <v>6.1114697729842349E-2</v>
      </c>
      <c r="K80" s="1128">
        <f>IFERROR(('12. Разходи'!G80-'12. Разходи'!$C80)/'12. Разходи'!$C80,0)</f>
        <v>8.4999999999999923E-2</v>
      </c>
      <c r="L80" s="1136">
        <f>'12. Разходи'!H80-'12. Разходи'!$C80</f>
        <v>6.1114697729842349E-2</v>
      </c>
      <c r="M80" s="1128">
        <f>IFERROR(('12. Разходи'!H80-'12. Разходи'!$C80)/'12. Разходи'!$C80,0)</f>
        <v>8.4999999999999923E-2</v>
      </c>
      <c r="N80" s="1177">
        <f>'12. Разходи'!K80</f>
        <v>0</v>
      </c>
      <c r="O80" s="1141">
        <f>'12. Разходи'!L80-'12. Разходи'!$K80</f>
        <v>0</v>
      </c>
      <c r="P80" s="1121">
        <f>IFERROR(('12. Разходи'!L80-'12. Разходи'!$K80)/'12. Разходи'!$K80,0)</f>
        <v>0</v>
      </c>
      <c r="Q80" s="907">
        <f>'12. Разходи'!M80-'12. Разходи'!$K80</f>
        <v>0</v>
      </c>
      <c r="R80" s="1129">
        <f>IFERROR(('12. Разходи'!M80-'12. Разходи'!$K80)/'12. Разходи'!$K80,0)</f>
        <v>0</v>
      </c>
      <c r="S80" s="907">
        <f>'12. Разходи'!N80-'12. Разходи'!$K80</f>
        <v>0</v>
      </c>
      <c r="T80" s="1129">
        <f>IFERROR(('12. Разходи'!N80-'12. Разходи'!$K80)/'12. Разходи'!$K80,0)</f>
        <v>0</v>
      </c>
      <c r="U80" s="907">
        <f>'12. Разходи'!O80-'12. Разходи'!$K80</f>
        <v>0</v>
      </c>
      <c r="V80" s="1128">
        <f>IFERROR(('12. Разходи'!O80-'12. Разходи'!$K80)/'12. Разходи'!$K80,0)</f>
        <v>0</v>
      </c>
      <c r="W80" s="1136">
        <f>'12. Разходи'!P80-'12. Разходи'!$K80</f>
        <v>0</v>
      </c>
      <c r="X80" s="1183">
        <f>IFERROR(('12. Разходи'!P80-'12. Разходи'!$K80)/'12. Разходи'!$K80,0)</f>
        <v>0</v>
      </c>
      <c r="Y80" s="1177">
        <f>'12. Разходи'!S80</f>
        <v>0</v>
      </c>
      <c r="Z80" s="1141">
        <f>'12. Разходи'!T80-'12. Разходи'!$S80</f>
        <v>0</v>
      </c>
      <c r="AA80" s="1121">
        <f>IFERROR(('12. Разходи'!T80-'12. Разходи'!$S80)/'12. Разходи'!$S80,0)</f>
        <v>0</v>
      </c>
      <c r="AB80" s="907">
        <f>'12. Разходи'!U80-'12. Разходи'!$S80</f>
        <v>0</v>
      </c>
      <c r="AC80" s="1129">
        <f>IFERROR(('12. Разходи'!U80-'12. Разходи'!$S80)/'12. Разходи'!$S80,0)</f>
        <v>0</v>
      </c>
      <c r="AD80" s="907">
        <f>'12. Разходи'!V80-'12. Разходи'!$S80</f>
        <v>0</v>
      </c>
      <c r="AE80" s="1129">
        <f>IFERROR(('12. Разходи'!V80-'12. Разходи'!$S80)/'12. Разходи'!$S80,0)</f>
        <v>0</v>
      </c>
      <c r="AF80" s="907">
        <f>'12. Разходи'!W80-'12. Разходи'!$S80</f>
        <v>0</v>
      </c>
      <c r="AG80" s="1128">
        <f>IFERROR(('12. Разходи'!W80-'12. Разходи'!$S80)/'12. Разходи'!$S80,0)</f>
        <v>0</v>
      </c>
      <c r="AH80" s="1136">
        <f>'12. Разходи'!X80-'12. Разходи'!$S80</f>
        <v>0</v>
      </c>
      <c r="AI80" s="1183">
        <f>IFERROR(('12. Разходи'!X80-'12. Разходи'!$S80)/'12. Разходи'!$S80,0)</f>
        <v>0</v>
      </c>
      <c r="AJ80" s="1177">
        <f>'12. Разходи'!AA80</f>
        <v>0</v>
      </c>
      <c r="AK80" s="1141">
        <f>'12. Разходи'!AB80-'12. Разходи'!$AA80</f>
        <v>0</v>
      </c>
      <c r="AL80" s="1121">
        <f>IFERROR(('12. Разходи'!AB80-'12. Разходи'!$AA80)/'12. Разходи'!$AA80,0)</f>
        <v>0</v>
      </c>
      <c r="AM80" s="907">
        <f>'12. Разходи'!AC80-'12. Разходи'!$AA80</f>
        <v>0</v>
      </c>
      <c r="AN80" s="1129">
        <f>IFERROR(('12. Разходи'!AC80-'12. Разходи'!$AA80)/'12. Разходи'!$AA80,0)</f>
        <v>0</v>
      </c>
      <c r="AO80" s="907">
        <f>'12. Разходи'!AD80-'12. Разходи'!$AA80</f>
        <v>0</v>
      </c>
      <c r="AP80" s="1129">
        <f>IFERROR(('12. Разходи'!AD80-'12. Разходи'!$AA80)/'12. Разходи'!$AA80,0)</f>
        <v>0</v>
      </c>
      <c r="AQ80" s="907">
        <f>'12. Разходи'!AE80-'12. Разходи'!$AA80</f>
        <v>0</v>
      </c>
      <c r="AR80" s="1128">
        <f>IFERROR(('12. Разходи'!AE80-'12. Разходи'!$AA80)/'12. Разходи'!$AA80,0)</f>
        <v>0</v>
      </c>
      <c r="AS80" s="1136">
        <f>'12. Разходи'!AF80-'12. Разходи'!$AA80</f>
        <v>0</v>
      </c>
      <c r="AT80" s="1183">
        <f>IFERROR(('12. Разходи'!AF80-'12. Разходи'!$AA80)/'12. Разходи'!$AA80,0)</f>
        <v>0</v>
      </c>
      <c r="AU80" s="1177">
        <f>'12. Разходи'!AI80</f>
        <v>2.680983556119501</v>
      </c>
      <c r="AV80" s="1141">
        <f>'12. Разходи'!AJ80-'12. Разходи'!$AI80</f>
        <v>0.22788360227015758</v>
      </c>
      <c r="AW80" s="1121">
        <f>IFERROR(('12. Разходи'!AJ80-'12. Разходи'!$AI80)/'12. Разходи'!$AI80,0)</f>
        <v>8.4999999999999992E-2</v>
      </c>
      <c r="AX80" s="907">
        <f>'12. Разходи'!AK80-'12. Разходи'!$AI80</f>
        <v>0.22788360227015758</v>
      </c>
      <c r="AY80" s="1129">
        <f>IFERROR(('12. Разходи'!AK80-'12. Разходи'!$AI80)/'12. Разходи'!$AI80,0)</f>
        <v>8.4999999999999992E-2</v>
      </c>
      <c r="AZ80" s="907">
        <f>'12. Разходи'!AL80-'12. Разходи'!$AI80</f>
        <v>0.22788360227015758</v>
      </c>
      <c r="BA80" s="1129">
        <f>IFERROR(('12. Разходи'!AL80-'12. Разходи'!$AI80)/'12. Разходи'!$AI80,0)</f>
        <v>8.4999999999999992E-2</v>
      </c>
      <c r="BB80" s="907">
        <f>'12. Разходи'!AM80-'12. Разходи'!$AI80</f>
        <v>0.22788360227015758</v>
      </c>
      <c r="BC80" s="1128">
        <f>IFERROR(('12. Разходи'!AM80-'12. Разходи'!$AI80)/'12. Разходи'!$AI80,0)</f>
        <v>8.4999999999999992E-2</v>
      </c>
      <c r="BD80" s="1136">
        <f>'12. Разходи'!AN80-'12. Разходи'!$AI80</f>
        <v>0.22788360227015758</v>
      </c>
      <c r="BE80" s="1183">
        <f>IFERROR(('12. Разходи'!AN80-'12. Разходи'!$AI80)/'12. Разходи'!$AI80,0)</f>
        <v>8.4999999999999992E-2</v>
      </c>
      <c r="BF80" s="4488"/>
      <c r="BG80" s="4504">
        <f t="shared" si="31"/>
        <v>0.3676170443650516</v>
      </c>
      <c r="BH80" s="4504">
        <f t="shared" si="32"/>
        <v>3.1247448771029359E-2</v>
      </c>
      <c r="BI80" s="4504">
        <f t="shared" si="33"/>
        <v>3.1247448771029359E-2</v>
      </c>
      <c r="BJ80" s="4504">
        <f t="shared" si="34"/>
        <v>3.1247448771029359E-2</v>
      </c>
      <c r="BK80" s="4504">
        <f t="shared" si="35"/>
        <v>3.1247448771029359E-2</v>
      </c>
      <c r="BL80" s="4504">
        <f t="shared" si="36"/>
        <v>3.1247448771029359E-2</v>
      </c>
      <c r="BM80" s="4504">
        <f t="shared" si="37"/>
        <v>0</v>
      </c>
      <c r="BN80" s="4504">
        <f t="shared" si="38"/>
        <v>0</v>
      </c>
      <c r="BO80" s="4504">
        <f t="shared" si="39"/>
        <v>0</v>
      </c>
      <c r="BP80" s="4504">
        <f t="shared" si="40"/>
        <v>0</v>
      </c>
      <c r="BQ80" s="4504">
        <f t="shared" si="41"/>
        <v>0</v>
      </c>
      <c r="BR80" s="4504">
        <f t="shared" si="42"/>
        <v>0</v>
      </c>
      <c r="BS80" s="4504">
        <f t="shared" si="43"/>
        <v>0</v>
      </c>
      <c r="BT80" s="4504">
        <f t="shared" si="44"/>
        <v>0</v>
      </c>
      <c r="BU80" s="4504">
        <f t="shared" si="45"/>
        <v>0</v>
      </c>
      <c r="BV80" s="4504">
        <f t="shared" si="46"/>
        <v>0</v>
      </c>
      <c r="BW80" s="4504">
        <f t="shared" si="47"/>
        <v>0</v>
      </c>
      <c r="BX80" s="4504">
        <f t="shared" si="48"/>
        <v>0</v>
      </c>
      <c r="BY80" s="4504">
        <f t="shared" si="49"/>
        <v>0</v>
      </c>
      <c r="BZ80" s="4504">
        <f t="shared" si="50"/>
        <v>0</v>
      </c>
      <c r="CA80" s="4504">
        <f t="shared" si="51"/>
        <v>0</v>
      </c>
      <c r="CB80" s="4504">
        <f t="shared" si="52"/>
        <v>0</v>
      </c>
      <c r="CC80" s="4504">
        <f t="shared" si="53"/>
        <v>0</v>
      </c>
      <c r="CD80" s="4504">
        <f t="shared" si="54"/>
        <v>0</v>
      </c>
      <c r="CE80" s="4504">
        <f t="shared" si="55"/>
        <v>1.3707651258644673</v>
      </c>
      <c r="CF80" s="4504">
        <f t="shared" si="56"/>
        <v>0.11651503569847972</v>
      </c>
      <c r="CG80" s="4504">
        <f t="shared" si="57"/>
        <v>0.11651503569847972</v>
      </c>
      <c r="CH80" s="4504">
        <f t="shared" si="58"/>
        <v>0.11651503569847972</v>
      </c>
      <c r="CI80" s="4504">
        <f t="shared" si="59"/>
        <v>0.11651503569847972</v>
      </c>
      <c r="CJ80" s="4504">
        <f t="shared" si="60"/>
        <v>0.11651503569847972</v>
      </c>
    </row>
    <row r="81" spans="1:88" ht="15.9" customHeight="1">
      <c r="A81" s="108" t="s">
        <v>458</v>
      </c>
      <c r="B81" s="136" t="s">
        <v>275</v>
      </c>
      <c r="C81" s="1117">
        <f>'12. Разходи'!C81</f>
        <v>16.929087701009724</v>
      </c>
      <c r="D81" s="1141">
        <f>'12. Разходи'!D81-'12. Разходи'!$C81</f>
        <v>1.4389724545858265</v>
      </c>
      <c r="E81" s="1121">
        <f>IFERROR(('12. Разходи'!D81-'12. Разходи'!$C81)/'12. Разходи'!$C81,0)</f>
        <v>8.4999999999999992E-2</v>
      </c>
      <c r="F81" s="907">
        <f>'12. Разходи'!E81-'12. Разходи'!$C81</f>
        <v>1.4389724545858265</v>
      </c>
      <c r="G81" s="1129">
        <f>IFERROR(('12. Разходи'!E81-'12. Разходи'!$C81)/'12. Разходи'!$C81,0)</f>
        <v>8.4999999999999992E-2</v>
      </c>
      <c r="H81" s="907">
        <f>'12. Разходи'!F81-'12. Разходи'!$C81</f>
        <v>1.4389724545858265</v>
      </c>
      <c r="I81" s="1129">
        <f>IFERROR(('12. Разходи'!F81-'12. Разходи'!$C81)/'12. Разходи'!$C81,0)</f>
        <v>8.4999999999999992E-2</v>
      </c>
      <c r="J81" s="907">
        <f>'12. Разходи'!G81-'12. Разходи'!$C81</f>
        <v>1.4389724545858265</v>
      </c>
      <c r="K81" s="1128">
        <f>IFERROR(('12. Разходи'!G81-'12. Разходи'!$C81)/'12. Разходи'!$C81,0)</f>
        <v>8.4999999999999992E-2</v>
      </c>
      <c r="L81" s="1136">
        <f>'12. Разходи'!H81-'12. Разходи'!$C81</f>
        <v>1.4389724545858265</v>
      </c>
      <c r="M81" s="1128">
        <f>IFERROR(('12. Разходи'!H81-'12. Разходи'!$C81)/'12. Разходи'!$C81,0)</f>
        <v>8.4999999999999992E-2</v>
      </c>
      <c r="N81" s="1177">
        <f>'12. Разходи'!K81</f>
        <v>0.33116160658721905</v>
      </c>
      <c r="O81" s="1141">
        <f>'12. Разходи'!L81-'12. Разходи'!$K81</f>
        <v>2.8148736559913623E-2</v>
      </c>
      <c r="P81" s="1121">
        <f>IFERROR(('12. Разходи'!L81-'12. Разходи'!$K81)/'12. Разходи'!$K81,0)</f>
        <v>8.5000000000000006E-2</v>
      </c>
      <c r="Q81" s="907">
        <f>'12. Разходи'!M81-'12. Разходи'!$K81</f>
        <v>2.8148736559913623E-2</v>
      </c>
      <c r="R81" s="1129">
        <f>IFERROR(('12. Разходи'!M81-'12. Разходи'!$K81)/'12. Разходи'!$K81,0)</f>
        <v>8.5000000000000006E-2</v>
      </c>
      <c r="S81" s="907">
        <f>'12. Разходи'!N81-'12. Разходи'!$K81</f>
        <v>2.8148736559913623E-2</v>
      </c>
      <c r="T81" s="1129">
        <f>IFERROR(('12. Разходи'!N81-'12. Разходи'!$K81)/'12. Разходи'!$K81,0)</f>
        <v>8.5000000000000006E-2</v>
      </c>
      <c r="U81" s="907">
        <f>'12. Разходи'!O81-'12. Разходи'!$K81</f>
        <v>2.8148736559913623E-2</v>
      </c>
      <c r="V81" s="1128">
        <f>IFERROR(('12. Разходи'!O81-'12. Разходи'!$K81)/'12. Разходи'!$K81,0)</f>
        <v>8.5000000000000006E-2</v>
      </c>
      <c r="W81" s="1136">
        <f>'12. Разходи'!P81-'12. Разходи'!$K81</f>
        <v>2.8148736559913623E-2</v>
      </c>
      <c r="X81" s="1183">
        <f>IFERROR(('12. Разходи'!P81-'12. Разходи'!$K81)/'12. Разходи'!$K81,0)</f>
        <v>8.5000000000000006E-2</v>
      </c>
      <c r="Y81" s="1177">
        <f>'12. Разходи'!S81</f>
        <v>3.9160206028739886</v>
      </c>
      <c r="Z81" s="1141">
        <f>'12. Разходи'!T81-'12. Разходи'!$S81</f>
        <v>0</v>
      </c>
      <c r="AA81" s="1121">
        <f>IFERROR(('12. Разходи'!T81-'12. Разходи'!$S81)/'12. Разходи'!$S81,0)</f>
        <v>0</v>
      </c>
      <c r="AB81" s="907">
        <f>'12. Разходи'!U81-'12. Разходи'!$S81</f>
        <v>0</v>
      </c>
      <c r="AC81" s="1129">
        <f>IFERROR(('12. Разходи'!U81-'12. Разходи'!$S81)/'12. Разходи'!$S81,0)</f>
        <v>0</v>
      </c>
      <c r="AD81" s="907">
        <f>'12. Разходи'!V81-'12. Разходи'!$S81</f>
        <v>0</v>
      </c>
      <c r="AE81" s="1129">
        <f>IFERROR(('12. Разходи'!V81-'12. Разходи'!$S81)/'12. Разходи'!$S81,0)</f>
        <v>0</v>
      </c>
      <c r="AF81" s="907">
        <f>'12. Разходи'!W81-'12. Разходи'!$S81</f>
        <v>0</v>
      </c>
      <c r="AG81" s="1128">
        <f>IFERROR(('12. Разходи'!W81-'12. Разходи'!$S81)/'12. Разходи'!$S81,0)</f>
        <v>0</v>
      </c>
      <c r="AH81" s="1136">
        <f>'12. Разходи'!X81-'12. Разходи'!$S81</f>
        <v>0</v>
      </c>
      <c r="AI81" s="1183">
        <f>IFERROR(('12. Разходи'!X81-'12. Разходи'!$S81)/'12. Разходи'!$S81,0)</f>
        <v>0</v>
      </c>
      <c r="AJ81" s="1177">
        <f>'12. Разходи'!AA81</f>
        <v>0</v>
      </c>
      <c r="AK81" s="1141">
        <f>'12. Разходи'!AB81-'12. Разходи'!$AA81</f>
        <v>0</v>
      </c>
      <c r="AL81" s="1121">
        <f>IFERROR(('12. Разходи'!AB81-'12. Разходи'!$AA81)/'12. Разходи'!$AA81,0)</f>
        <v>0</v>
      </c>
      <c r="AM81" s="907">
        <f>'12. Разходи'!AC81-'12. Разходи'!$AA81</f>
        <v>0</v>
      </c>
      <c r="AN81" s="1129">
        <f>IFERROR(('12. Разходи'!AC81-'12. Разходи'!$AA81)/'12. Разходи'!$AA81,0)</f>
        <v>0</v>
      </c>
      <c r="AO81" s="907">
        <f>'12. Разходи'!AD81-'12. Разходи'!$AA81</f>
        <v>0</v>
      </c>
      <c r="AP81" s="1129">
        <f>IFERROR(('12. Разходи'!AD81-'12. Разходи'!$AA81)/'12. Разходи'!$AA81,0)</f>
        <v>0</v>
      </c>
      <c r="AQ81" s="907">
        <f>'12. Разходи'!AE81-'12. Разходи'!$AA81</f>
        <v>0</v>
      </c>
      <c r="AR81" s="1128">
        <f>IFERROR(('12. Разходи'!AE81-'12. Разходи'!$AA81)/'12. Разходи'!$AA81,0)</f>
        <v>0</v>
      </c>
      <c r="AS81" s="1136">
        <f>'12. Разходи'!AF81-'12. Разходи'!$AA81</f>
        <v>0</v>
      </c>
      <c r="AT81" s="1183">
        <f>IFERROR(('12. Разходи'!AF81-'12. Разходи'!$AA81)/'12. Разходи'!$AA81,0)</f>
        <v>0</v>
      </c>
      <c r="AU81" s="1177">
        <f>'12. Разходи'!AI81</f>
        <v>2.3288709175429205</v>
      </c>
      <c r="AV81" s="1141">
        <f>'12. Разходи'!AJ81-'12. Разходи'!$AI81</f>
        <v>0.19795402799114825</v>
      </c>
      <c r="AW81" s="1121">
        <f>IFERROR(('12. Разходи'!AJ81-'12. Разходи'!$AI81)/'12. Разходи'!$AI81,0)</f>
        <v>8.5000000000000006E-2</v>
      </c>
      <c r="AX81" s="907">
        <f>'12. Разходи'!AK81-'12. Разходи'!$AI81</f>
        <v>0.19795402799114825</v>
      </c>
      <c r="AY81" s="1129">
        <f>IFERROR(('12. Разходи'!AK81-'12. Разходи'!$AI81)/'12. Разходи'!$AI81,0)</f>
        <v>8.5000000000000006E-2</v>
      </c>
      <c r="AZ81" s="907">
        <f>'12. Разходи'!AL81-'12. Разходи'!$AI81</f>
        <v>0.19795402799114825</v>
      </c>
      <c r="BA81" s="1129">
        <f>IFERROR(('12. Разходи'!AL81-'12. Разходи'!$AI81)/'12. Разходи'!$AI81,0)</f>
        <v>8.5000000000000006E-2</v>
      </c>
      <c r="BB81" s="907">
        <f>'12. Разходи'!AM81-'12. Разходи'!$AI81</f>
        <v>0.19795402799114825</v>
      </c>
      <c r="BC81" s="1128">
        <f>IFERROR(('12. Разходи'!AM81-'12. Разходи'!$AI81)/'12. Разходи'!$AI81,0)</f>
        <v>8.5000000000000006E-2</v>
      </c>
      <c r="BD81" s="1136">
        <f>'12. Разходи'!AN81-'12. Разходи'!$AI81</f>
        <v>0.19795402799114825</v>
      </c>
      <c r="BE81" s="1183">
        <f>IFERROR(('12. Разходи'!AN81-'12. Разходи'!$AI81)/'12. Разходи'!$AI81,0)</f>
        <v>8.5000000000000006E-2</v>
      </c>
      <c r="BF81" s="4488"/>
      <c r="BG81" s="4504">
        <f t="shared" si="31"/>
        <v>8.6557050975850274</v>
      </c>
      <c r="BH81" s="4504">
        <f t="shared" si="32"/>
        <v>0.73573493329472728</v>
      </c>
      <c r="BI81" s="4504">
        <f t="shared" si="33"/>
        <v>0.73573493329472728</v>
      </c>
      <c r="BJ81" s="4504">
        <f t="shared" si="34"/>
        <v>0.73573493329472728</v>
      </c>
      <c r="BK81" s="4504">
        <f t="shared" si="35"/>
        <v>0.73573493329472728</v>
      </c>
      <c r="BL81" s="4504">
        <f t="shared" si="36"/>
        <v>0.73573493329472728</v>
      </c>
      <c r="BM81" s="4504">
        <f t="shared" si="37"/>
        <v>0.16932024081194125</v>
      </c>
      <c r="BN81" s="4504">
        <f t="shared" si="38"/>
        <v>1.4392220469015008E-2</v>
      </c>
      <c r="BO81" s="4504">
        <f t="shared" si="39"/>
        <v>1.4392220469015008E-2</v>
      </c>
      <c r="BP81" s="4504">
        <f t="shared" si="40"/>
        <v>1.4392220469015008E-2</v>
      </c>
      <c r="BQ81" s="4504">
        <f t="shared" si="41"/>
        <v>1.4392220469015008E-2</v>
      </c>
      <c r="BR81" s="4504">
        <f t="shared" si="42"/>
        <v>1.4392220469015008E-2</v>
      </c>
      <c r="BS81" s="4504">
        <f t="shared" si="43"/>
        <v>2.0022295408465913</v>
      </c>
      <c r="BT81" s="4504">
        <f t="shared" si="44"/>
        <v>0</v>
      </c>
      <c r="BU81" s="4504">
        <f t="shared" si="45"/>
        <v>0</v>
      </c>
      <c r="BV81" s="4504">
        <f t="shared" si="46"/>
        <v>0</v>
      </c>
      <c r="BW81" s="4504">
        <f t="shared" si="47"/>
        <v>0</v>
      </c>
      <c r="BX81" s="4504">
        <f t="shared" si="48"/>
        <v>0</v>
      </c>
      <c r="BY81" s="4504">
        <f t="shared" si="49"/>
        <v>0</v>
      </c>
      <c r="BZ81" s="4504">
        <f t="shared" si="50"/>
        <v>0</v>
      </c>
      <c r="CA81" s="4504">
        <f t="shared" si="51"/>
        <v>0</v>
      </c>
      <c r="CB81" s="4504">
        <f t="shared" si="52"/>
        <v>0</v>
      </c>
      <c r="CC81" s="4504">
        <f t="shared" si="53"/>
        <v>0</v>
      </c>
      <c r="CD81" s="4504">
        <f t="shared" si="54"/>
        <v>0</v>
      </c>
      <c r="CE81" s="4504">
        <f t="shared" si="55"/>
        <v>1.1907327924936832</v>
      </c>
      <c r="CF81" s="4504">
        <f t="shared" si="56"/>
        <v>0.10121228736196308</v>
      </c>
      <c r="CG81" s="4504">
        <f t="shared" si="57"/>
        <v>0.10121228736196308</v>
      </c>
      <c r="CH81" s="4504">
        <f t="shared" si="58"/>
        <v>0.10121228736196308</v>
      </c>
      <c r="CI81" s="4504">
        <f t="shared" si="59"/>
        <v>0.10121228736196308</v>
      </c>
      <c r="CJ81" s="4504">
        <f t="shared" si="60"/>
        <v>0.10121228736196308</v>
      </c>
    </row>
    <row r="82" spans="1:88" ht="15.9" customHeight="1">
      <c r="A82" s="108" t="s">
        <v>459</v>
      </c>
      <c r="B82" s="254" t="s">
        <v>261</v>
      </c>
      <c r="C82" s="1118">
        <f>'12. Разходи'!C82</f>
        <v>0.29744638876629725</v>
      </c>
      <c r="D82" s="1141">
        <f>'12. Разходи'!D82-'12. Разходи'!$C82</f>
        <v>0</v>
      </c>
      <c r="E82" s="1121">
        <f>IFERROR(('12. Разходи'!D82-'12. Разходи'!$C82)/'12. Разходи'!$C82,0)</f>
        <v>0</v>
      </c>
      <c r="F82" s="907">
        <f>'12. Разходи'!E82-'12. Разходи'!$C82</f>
        <v>0</v>
      </c>
      <c r="G82" s="1129">
        <f>IFERROR(('12. Разходи'!E82-'12. Разходи'!$C82)/'12. Разходи'!$C82,0)</f>
        <v>0</v>
      </c>
      <c r="H82" s="907">
        <f>'12. Разходи'!F82-'12. Разходи'!$C82</f>
        <v>0</v>
      </c>
      <c r="I82" s="1129">
        <f>IFERROR(('12. Разходи'!F82-'12. Разходи'!$C82)/'12. Разходи'!$C82,0)</f>
        <v>0</v>
      </c>
      <c r="J82" s="907">
        <f>'12. Разходи'!G82-'12. Разходи'!$C82</f>
        <v>0</v>
      </c>
      <c r="K82" s="1128">
        <f>IFERROR(('12. Разходи'!G82-'12. Разходи'!$C82)/'12. Разходи'!$C82,0)</f>
        <v>0</v>
      </c>
      <c r="L82" s="1136">
        <f>'12. Разходи'!H82-'12. Разходи'!$C82</f>
        <v>0</v>
      </c>
      <c r="M82" s="1128">
        <f>IFERROR(('12. Разходи'!H82-'12. Разходи'!$C82)/'12. Разходи'!$C82,0)</f>
        <v>0</v>
      </c>
      <c r="N82" s="1177">
        <f>'12. Разходи'!K82</f>
        <v>3.2867743868319819E-3</v>
      </c>
      <c r="O82" s="1141">
        <f>'12. Разходи'!L82-'12. Разходи'!$K82</f>
        <v>0</v>
      </c>
      <c r="P82" s="1121">
        <f>IFERROR(('12. Разходи'!L82-'12. Разходи'!$K82)/'12. Разходи'!$K82,0)</f>
        <v>0</v>
      </c>
      <c r="Q82" s="907">
        <f>'12. Разходи'!M82-'12. Разходи'!$K82</f>
        <v>0</v>
      </c>
      <c r="R82" s="1129">
        <f>IFERROR(('12. Разходи'!M82-'12. Разходи'!$K82)/'12. Разходи'!$K82,0)</f>
        <v>0</v>
      </c>
      <c r="S82" s="907">
        <f>'12. Разходи'!N82-'12. Разходи'!$K82</f>
        <v>0</v>
      </c>
      <c r="T82" s="1129">
        <f>IFERROR(('12. Разходи'!N82-'12. Разходи'!$K82)/'12. Разходи'!$K82,0)</f>
        <v>0</v>
      </c>
      <c r="U82" s="907">
        <f>'12. Разходи'!O82-'12. Разходи'!$K82</f>
        <v>0</v>
      </c>
      <c r="V82" s="1128">
        <f>IFERROR(('12. Разходи'!O82-'12. Разходи'!$K82)/'12. Разходи'!$K82,0)</f>
        <v>0</v>
      </c>
      <c r="W82" s="1136">
        <f>'12. Разходи'!P82-'12. Разходи'!$K82</f>
        <v>0</v>
      </c>
      <c r="X82" s="1183">
        <f>IFERROR(('12. Разходи'!P82-'12. Разходи'!$K82)/'12. Разходи'!$K82,0)</f>
        <v>0</v>
      </c>
      <c r="Y82" s="1177">
        <f>'12. Разходи'!S82</f>
        <v>2.8329975973546449E-2</v>
      </c>
      <c r="Z82" s="1141">
        <f>'12. Разходи'!T82-'12. Разходи'!$S82</f>
        <v>0</v>
      </c>
      <c r="AA82" s="1121">
        <f>IFERROR(('12. Разходи'!T82-'12. Разходи'!$S82)/'12. Разходи'!$S82,0)</f>
        <v>0</v>
      </c>
      <c r="AB82" s="907">
        <f>'12. Разходи'!U82-'12. Разходи'!$S82</f>
        <v>0</v>
      </c>
      <c r="AC82" s="1129">
        <f>IFERROR(('12. Разходи'!U82-'12. Разходи'!$S82)/'12. Разходи'!$S82,0)</f>
        <v>0</v>
      </c>
      <c r="AD82" s="907">
        <f>'12. Разходи'!V82-'12. Разходи'!$S82</f>
        <v>0</v>
      </c>
      <c r="AE82" s="1129">
        <f>IFERROR(('12. Разходи'!V82-'12. Разходи'!$S82)/'12. Разходи'!$S82,0)</f>
        <v>0</v>
      </c>
      <c r="AF82" s="907">
        <f>'12. Разходи'!W82-'12. Разходи'!$S82</f>
        <v>0</v>
      </c>
      <c r="AG82" s="1128">
        <f>IFERROR(('12. Разходи'!W82-'12. Разходи'!$S82)/'12. Разходи'!$S82,0)</f>
        <v>0</v>
      </c>
      <c r="AH82" s="1136">
        <f>'12. Разходи'!X82-'12. Разходи'!$S82</f>
        <v>0</v>
      </c>
      <c r="AI82" s="1183">
        <f>IFERROR(('12. Разходи'!X82-'12. Разходи'!$S82)/'12. Разходи'!$S82,0)</f>
        <v>0</v>
      </c>
      <c r="AJ82" s="1177">
        <f>'12. Разходи'!AA82</f>
        <v>0</v>
      </c>
      <c r="AK82" s="1141">
        <f>'12. Разходи'!AB82-'12. Разходи'!$AA82</f>
        <v>0</v>
      </c>
      <c r="AL82" s="1121">
        <f>IFERROR(('12. Разходи'!AB82-'12. Разходи'!$AA82)/'12. Разходи'!$AA82,0)</f>
        <v>0</v>
      </c>
      <c r="AM82" s="907">
        <f>'12. Разходи'!AC82-'12. Разходи'!$AA82</f>
        <v>0</v>
      </c>
      <c r="AN82" s="1129">
        <f>IFERROR(('12. Разходи'!AC82-'12. Разходи'!$AA82)/'12. Разходи'!$AA82,0)</f>
        <v>0</v>
      </c>
      <c r="AO82" s="907">
        <f>'12. Разходи'!AD82-'12. Разходи'!$AA82</f>
        <v>0</v>
      </c>
      <c r="AP82" s="1129">
        <f>IFERROR(('12. Разходи'!AD82-'12. Разходи'!$AA82)/'12. Разходи'!$AA82,0)</f>
        <v>0</v>
      </c>
      <c r="AQ82" s="907">
        <f>'12. Разходи'!AE82-'12. Разходи'!$AA82</f>
        <v>0</v>
      </c>
      <c r="AR82" s="1128">
        <f>IFERROR(('12. Разходи'!AE82-'12. Разходи'!$AA82)/'12. Разходи'!$AA82,0)</f>
        <v>0</v>
      </c>
      <c r="AS82" s="1136">
        <f>'12. Разходи'!AF82-'12. Разходи'!$AA82</f>
        <v>0</v>
      </c>
      <c r="AT82" s="1183">
        <f>IFERROR(('12. Разходи'!AF82-'12. Разходи'!$AA82)/'12. Разходи'!$AA82,0)</f>
        <v>0</v>
      </c>
      <c r="AU82" s="1177">
        <f>'12. Разходи'!AI82</f>
        <v>9.3354153434586154E-2</v>
      </c>
      <c r="AV82" s="1141">
        <f>'12. Разходи'!AJ82-'12. Разходи'!$AI82</f>
        <v>0</v>
      </c>
      <c r="AW82" s="1121">
        <f>IFERROR(('12. Разходи'!AJ82-'12. Разходи'!$AI82)/'12. Разходи'!$AI82,0)</f>
        <v>0</v>
      </c>
      <c r="AX82" s="907">
        <f>'12. Разходи'!AK82-'12. Разходи'!$AI82</f>
        <v>0</v>
      </c>
      <c r="AY82" s="1129">
        <f>IFERROR(('12. Разходи'!AK82-'12. Разходи'!$AI82)/'12. Разходи'!$AI82,0)</f>
        <v>0</v>
      </c>
      <c r="AZ82" s="907">
        <f>'12. Разходи'!AL82-'12. Разходи'!$AI82</f>
        <v>0</v>
      </c>
      <c r="BA82" s="1129">
        <f>IFERROR(('12. Разходи'!AL82-'12. Разходи'!$AI82)/'12. Разходи'!$AI82,0)</f>
        <v>0</v>
      </c>
      <c r="BB82" s="907">
        <f>'12. Разходи'!AM82-'12. Разходи'!$AI82</f>
        <v>0</v>
      </c>
      <c r="BC82" s="1128">
        <f>IFERROR(('12. Разходи'!AM82-'12. Разходи'!$AI82)/'12. Разходи'!$AI82,0)</f>
        <v>0</v>
      </c>
      <c r="BD82" s="1136">
        <f>'12. Разходи'!AN82-'12. Разходи'!$AI82</f>
        <v>0</v>
      </c>
      <c r="BE82" s="1183">
        <f>IFERROR(('12. Разходи'!AN82-'12. Разходи'!$AI82)/'12. Разходи'!$AI82,0)</f>
        <v>0</v>
      </c>
      <c r="BF82" s="4488"/>
      <c r="BG82" s="4504">
        <f t="shared" si="31"/>
        <v>0.15208192366734188</v>
      </c>
      <c r="BH82" s="4504">
        <f t="shared" si="32"/>
        <v>0</v>
      </c>
      <c r="BI82" s="4504">
        <f t="shared" si="33"/>
        <v>0</v>
      </c>
      <c r="BJ82" s="4504">
        <f t="shared" si="34"/>
        <v>0</v>
      </c>
      <c r="BK82" s="4504">
        <f t="shared" si="35"/>
        <v>0</v>
      </c>
      <c r="BL82" s="4504">
        <f t="shared" si="36"/>
        <v>0</v>
      </c>
      <c r="BM82" s="4504">
        <f t="shared" si="37"/>
        <v>1.6805010593108716E-3</v>
      </c>
      <c r="BN82" s="4504">
        <f t="shared" si="38"/>
        <v>0</v>
      </c>
      <c r="BO82" s="4504">
        <f t="shared" si="39"/>
        <v>0</v>
      </c>
      <c r="BP82" s="4504">
        <f t="shared" si="40"/>
        <v>0</v>
      </c>
      <c r="BQ82" s="4504">
        <f t="shared" si="41"/>
        <v>0</v>
      </c>
      <c r="BR82" s="4504">
        <f t="shared" si="42"/>
        <v>0</v>
      </c>
      <c r="BS82" s="4504">
        <f t="shared" si="43"/>
        <v>1.4484886709758235E-2</v>
      </c>
      <c r="BT82" s="4504">
        <f t="shared" si="44"/>
        <v>0</v>
      </c>
      <c r="BU82" s="4504">
        <f t="shared" si="45"/>
        <v>0</v>
      </c>
      <c r="BV82" s="4504">
        <f t="shared" si="46"/>
        <v>0</v>
      </c>
      <c r="BW82" s="4504">
        <f t="shared" si="47"/>
        <v>0</v>
      </c>
      <c r="BX82" s="4504">
        <f t="shared" si="48"/>
        <v>0</v>
      </c>
      <c r="BY82" s="4504">
        <f t="shared" si="49"/>
        <v>0</v>
      </c>
      <c r="BZ82" s="4504">
        <f t="shared" si="50"/>
        <v>0</v>
      </c>
      <c r="CA82" s="4504">
        <f t="shared" si="51"/>
        <v>0</v>
      </c>
      <c r="CB82" s="4504">
        <f t="shared" si="52"/>
        <v>0</v>
      </c>
      <c r="CC82" s="4504">
        <f t="shared" si="53"/>
        <v>0</v>
      </c>
      <c r="CD82" s="4504">
        <f t="shared" si="54"/>
        <v>0</v>
      </c>
      <c r="CE82" s="4504">
        <f t="shared" si="55"/>
        <v>4.7731220727049974E-2</v>
      </c>
      <c r="CF82" s="4504">
        <f t="shared" si="56"/>
        <v>0</v>
      </c>
      <c r="CG82" s="4504">
        <f t="shared" si="57"/>
        <v>0</v>
      </c>
      <c r="CH82" s="4504">
        <f t="shared" si="58"/>
        <v>0</v>
      </c>
      <c r="CI82" s="4504">
        <f t="shared" si="59"/>
        <v>0</v>
      </c>
      <c r="CJ82" s="4504">
        <f t="shared" si="60"/>
        <v>0</v>
      </c>
    </row>
    <row r="83" spans="1:88" ht="15.9" customHeight="1">
      <c r="A83" s="108" t="s">
        <v>460</v>
      </c>
      <c r="B83" s="136" t="s">
        <v>238</v>
      </c>
      <c r="C83" s="1185">
        <f>'12. Разходи'!C83</f>
        <v>1.6208012973054673</v>
      </c>
      <c r="D83" s="1142">
        <f>'12. Разходи'!D83-'12. Разходи'!$C83</f>
        <v>0</v>
      </c>
      <c r="E83" s="878">
        <f>IFERROR(('12. Разходи'!D83-'12. Разходи'!$C83)/'12. Разходи'!$C83,0)</f>
        <v>0</v>
      </c>
      <c r="F83" s="1135">
        <f>'12. Разходи'!E83-'12. Разходи'!$C83</f>
        <v>0</v>
      </c>
      <c r="G83" s="878">
        <f>IFERROR(('12. Разходи'!E83-'12. Разходи'!$C83)/'12. Разходи'!$C83,0)</f>
        <v>0</v>
      </c>
      <c r="H83" s="1135">
        <f>'12. Разходи'!F83-'12. Разходи'!$C83</f>
        <v>0</v>
      </c>
      <c r="I83" s="878">
        <f>IFERROR(('12. Разходи'!F83-'12. Разходи'!$C83)/'12. Разходи'!$C83,0)</f>
        <v>0</v>
      </c>
      <c r="J83" s="1135">
        <f>'12. Разходи'!G83-'12. Разходи'!$C83</f>
        <v>0</v>
      </c>
      <c r="K83" s="885">
        <f>IFERROR(('12. Разходи'!G83-'12. Разходи'!$C83)/'12. Разходи'!$C83,0)</f>
        <v>0</v>
      </c>
      <c r="L83" s="1135">
        <f>'12. Разходи'!H83-'12. Разходи'!$C83</f>
        <v>0</v>
      </c>
      <c r="M83" s="885">
        <f>IFERROR(('12. Разходи'!H83-'12. Разходи'!$C83)/'12. Разходи'!$C83,0)</f>
        <v>0</v>
      </c>
      <c r="N83" s="1164">
        <f>'12. Разходи'!K83</f>
        <v>4.4198660127588253E-2</v>
      </c>
      <c r="O83" s="1142">
        <f>'12. Разходи'!L83-'12. Разходи'!$K83</f>
        <v>0</v>
      </c>
      <c r="P83" s="878">
        <f>IFERROR(('12. Разходи'!L83-'12. Разходи'!$K83)/'12. Разходи'!$K83,0)</f>
        <v>0</v>
      </c>
      <c r="Q83" s="1135">
        <f>'12. Разходи'!M83-'12. Разходи'!$K83</f>
        <v>0</v>
      </c>
      <c r="R83" s="878">
        <f>IFERROR(('12. Разходи'!M83-'12. Разходи'!$K83)/'12. Разходи'!$K83,0)</f>
        <v>0</v>
      </c>
      <c r="S83" s="1135">
        <f>'12. Разходи'!N83-'12. Разходи'!$K83</f>
        <v>0</v>
      </c>
      <c r="T83" s="878">
        <f>IFERROR(('12. Разходи'!N83-'12. Разходи'!$K83)/'12. Разходи'!$K83,0)</f>
        <v>0</v>
      </c>
      <c r="U83" s="1135">
        <f>'12. Разходи'!O83-'12. Разходи'!$K83</f>
        <v>0</v>
      </c>
      <c r="V83" s="885">
        <f>IFERROR(('12. Разходи'!O83-'12. Разходи'!$K83)/'12. Разходи'!$K83,0)</f>
        <v>0</v>
      </c>
      <c r="W83" s="1135">
        <f>'12. Разходи'!P83-'12. Разходи'!$K83</f>
        <v>0</v>
      </c>
      <c r="X83" s="711">
        <f>IFERROR(('12. Разходи'!P83-'12. Разходи'!$K83)/'12. Разходи'!$K83,0)</f>
        <v>0</v>
      </c>
      <c r="Y83" s="1164">
        <f>'12. Разходи'!S83</f>
        <v>0.38096529670368573</v>
      </c>
      <c r="Z83" s="1142">
        <f>'12. Разходи'!T83-'12. Разходи'!$S83</f>
        <v>0</v>
      </c>
      <c r="AA83" s="878">
        <f>IFERROR(('12. Разходи'!T83-'12. Разходи'!$S83)/'12. Разходи'!$S83,0)</f>
        <v>0</v>
      </c>
      <c r="AB83" s="1135">
        <f>'12. Разходи'!U83-'12. Разходи'!$S83</f>
        <v>0</v>
      </c>
      <c r="AC83" s="878">
        <f>IFERROR(('12. Разходи'!U83-'12. Разходи'!$S83)/'12. Разходи'!$S83,0)</f>
        <v>0</v>
      </c>
      <c r="AD83" s="1135">
        <f>'12. Разходи'!V83-'12. Разходи'!$S83</f>
        <v>0</v>
      </c>
      <c r="AE83" s="878">
        <f>IFERROR(('12. Разходи'!V83-'12. Разходи'!$S83)/'12. Разходи'!$S83,0)</f>
        <v>0</v>
      </c>
      <c r="AF83" s="1135">
        <f>'12. Разходи'!W83-'12. Разходи'!$S83</f>
        <v>0</v>
      </c>
      <c r="AG83" s="885">
        <f>IFERROR(('12. Разходи'!W83-'12. Разходи'!$S83)/'12. Разходи'!$S83,0)</f>
        <v>0</v>
      </c>
      <c r="AH83" s="1135">
        <f>'12. Разходи'!X83-'12. Разходи'!$S83</f>
        <v>0</v>
      </c>
      <c r="AI83" s="711">
        <f>IFERROR(('12. Разходи'!X83-'12. Разходи'!$S83)/'12. Разходи'!$S83,0)</f>
        <v>0</v>
      </c>
      <c r="AJ83" s="1164">
        <f>'12. Разходи'!AA83</f>
        <v>0</v>
      </c>
      <c r="AK83" s="1142">
        <f>'12. Разходи'!AB83-'12. Разходи'!$AA83</f>
        <v>0</v>
      </c>
      <c r="AL83" s="878">
        <f>IFERROR(('12. Разходи'!AB83-'12. Разходи'!$AA83)/'12. Разходи'!$AA83,0)</f>
        <v>0</v>
      </c>
      <c r="AM83" s="1135">
        <f>'12. Разходи'!AC83-'12. Разходи'!$AA83</f>
        <v>0</v>
      </c>
      <c r="AN83" s="878">
        <f>IFERROR(('12. Разходи'!AC83-'12. Разходи'!$AA83)/'12. Разходи'!$AA83,0)</f>
        <v>0</v>
      </c>
      <c r="AO83" s="1135">
        <f>'12. Разходи'!AD83-'12. Разходи'!$AA83</f>
        <v>0</v>
      </c>
      <c r="AP83" s="878">
        <f>IFERROR(('12. Разходи'!AD83-'12. Разходи'!$AA83)/'12. Разходи'!$AA83,0)</f>
        <v>0</v>
      </c>
      <c r="AQ83" s="1135">
        <f>'12. Разходи'!AE83-'12. Разходи'!$AA83</f>
        <v>0</v>
      </c>
      <c r="AR83" s="885">
        <f>IFERROR(('12. Разходи'!AE83-'12. Разходи'!$AA83)/'12. Разходи'!$AA83,0)</f>
        <v>0</v>
      </c>
      <c r="AS83" s="1135">
        <f>'12. Разходи'!AF83-'12. Разходи'!$AA83</f>
        <v>0</v>
      </c>
      <c r="AT83" s="1187">
        <f>IFERROR(('12. Разходи'!AF83-'12. Разходи'!$AA83)/'12. Разходи'!$AA83,0)</f>
        <v>0</v>
      </c>
      <c r="AU83" s="1164">
        <f>'12. Разходи'!AI83</f>
        <v>0.40707805410241443</v>
      </c>
      <c r="AV83" s="1142">
        <f>'12. Разходи'!AJ83-'12. Разходи'!$AI83</f>
        <v>0</v>
      </c>
      <c r="AW83" s="878">
        <f>IFERROR(('12. Разходи'!AJ83-'12. Разходи'!$AI83)/'12. Разходи'!$AI83,0)</f>
        <v>0</v>
      </c>
      <c r="AX83" s="1135">
        <f>'12. Разходи'!AK83-'12. Разходи'!$AI83</f>
        <v>0</v>
      </c>
      <c r="AY83" s="878">
        <f>IFERROR(('12. Разходи'!AK83-'12. Разходи'!$AI83)/'12. Разходи'!$AI83,0)</f>
        <v>0</v>
      </c>
      <c r="AZ83" s="1135">
        <f>'12. Разходи'!AL83-'12. Разходи'!$AI83</f>
        <v>0</v>
      </c>
      <c r="BA83" s="878">
        <f>IFERROR(('12. Разходи'!AL83-'12. Разходи'!$AI83)/'12. Разходи'!$AI83,0)</f>
        <v>0</v>
      </c>
      <c r="BB83" s="1135">
        <f>'12. Разходи'!AM83-'12. Разходи'!$AI83</f>
        <v>0</v>
      </c>
      <c r="BC83" s="885">
        <f>IFERROR(('12. Разходи'!AM83-'12. Разходи'!$AI83)/'12. Разходи'!$AI83,0)</f>
        <v>0</v>
      </c>
      <c r="BD83" s="1135">
        <f>'12. Разходи'!AN83-'12. Разходи'!$AI83</f>
        <v>0</v>
      </c>
      <c r="BE83" s="1187">
        <f>IFERROR(('12. Разходи'!AN83-'12. Разходи'!$AI83)/'12. Разходи'!$AI83,0)</f>
        <v>0</v>
      </c>
      <c r="BF83" s="4488"/>
      <c r="BG83" s="4504">
        <f t="shared" si="31"/>
        <v>0.82870254434458379</v>
      </c>
      <c r="BH83" s="4504">
        <f t="shared" si="32"/>
        <v>0</v>
      </c>
      <c r="BI83" s="4504">
        <f t="shared" si="33"/>
        <v>0</v>
      </c>
      <c r="BJ83" s="4504">
        <f t="shared" si="34"/>
        <v>0</v>
      </c>
      <c r="BK83" s="4504">
        <f t="shared" si="35"/>
        <v>0</v>
      </c>
      <c r="BL83" s="4504">
        <f t="shared" si="36"/>
        <v>0</v>
      </c>
      <c r="BM83" s="4504">
        <f t="shared" si="37"/>
        <v>2.2598416082986891E-2</v>
      </c>
      <c r="BN83" s="4504">
        <f t="shared" si="38"/>
        <v>0</v>
      </c>
      <c r="BO83" s="4504">
        <f t="shared" si="39"/>
        <v>0</v>
      </c>
      <c r="BP83" s="4504">
        <f t="shared" si="40"/>
        <v>0</v>
      </c>
      <c r="BQ83" s="4504">
        <f t="shared" si="41"/>
        <v>0</v>
      </c>
      <c r="BR83" s="4504">
        <f t="shared" si="42"/>
        <v>0</v>
      </c>
      <c r="BS83" s="4504">
        <f t="shared" si="43"/>
        <v>0.19478446322210302</v>
      </c>
      <c r="BT83" s="4504">
        <f t="shared" si="44"/>
        <v>0</v>
      </c>
      <c r="BU83" s="4504">
        <f t="shared" si="45"/>
        <v>0</v>
      </c>
      <c r="BV83" s="4504">
        <f t="shared" si="46"/>
        <v>0</v>
      </c>
      <c r="BW83" s="4504">
        <f t="shared" si="47"/>
        <v>0</v>
      </c>
      <c r="BX83" s="4504">
        <f t="shared" si="48"/>
        <v>0</v>
      </c>
      <c r="BY83" s="4504">
        <f t="shared" si="49"/>
        <v>0</v>
      </c>
      <c r="BZ83" s="4504">
        <f t="shared" si="50"/>
        <v>0</v>
      </c>
      <c r="CA83" s="4504">
        <f t="shared" si="51"/>
        <v>0</v>
      </c>
      <c r="CB83" s="4504">
        <f t="shared" si="52"/>
        <v>0</v>
      </c>
      <c r="CC83" s="4504">
        <f t="shared" si="53"/>
        <v>0</v>
      </c>
      <c r="CD83" s="4504">
        <f t="shared" si="54"/>
        <v>0</v>
      </c>
      <c r="CE83" s="4504">
        <f t="shared" si="55"/>
        <v>0.20813570407571949</v>
      </c>
      <c r="CF83" s="4504">
        <f t="shared" si="56"/>
        <v>0</v>
      </c>
      <c r="CG83" s="4504">
        <f t="shared" si="57"/>
        <v>0</v>
      </c>
      <c r="CH83" s="4504">
        <f t="shared" si="58"/>
        <v>0</v>
      </c>
      <c r="CI83" s="4504">
        <f t="shared" si="59"/>
        <v>0</v>
      </c>
      <c r="CJ83" s="4504">
        <f t="shared" si="60"/>
        <v>0</v>
      </c>
    </row>
    <row r="84" spans="1:88" s="683" customFormat="1" ht="15.9" customHeight="1">
      <c r="A84" s="839" t="s">
        <v>633</v>
      </c>
      <c r="B84" s="3142" t="str">
        <f>'12. Разходи'!B84</f>
        <v>други</v>
      </c>
      <c r="C84" s="3143">
        <f>'12. Разходи'!C84</f>
        <v>1.6208012973054673</v>
      </c>
      <c r="D84" s="1141">
        <f>'12. Разходи'!D84-'12. Разходи'!$C84</f>
        <v>0</v>
      </c>
      <c r="E84" s="1121">
        <f>IFERROR(('12. Разходи'!D84-'12. Разходи'!$C84)/'12. Разходи'!$C84,0)</f>
        <v>0</v>
      </c>
      <c r="F84" s="907">
        <f>'12. Разходи'!E84-'12. Разходи'!$C84</f>
        <v>0</v>
      </c>
      <c r="G84" s="1129">
        <f>IFERROR(('12. Разходи'!E84-'12. Разходи'!$C84)/'12. Разходи'!$C84,0)</f>
        <v>0</v>
      </c>
      <c r="H84" s="907">
        <f>'12. Разходи'!F84-'12. Разходи'!$C84</f>
        <v>0</v>
      </c>
      <c r="I84" s="1129">
        <f>IFERROR(('12. Разходи'!F84-'12. Разходи'!$C84)/'12. Разходи'!$C84,0)</f>
        <v>0</v>
      </c>
      <c r="J84" s="907">
        <f>'12. Разходи'!G84-'12. Разходи'!$C84</f>
        <v>0</v>
      </c>
      <c r="K84" s="1128">
        <f>IFERROR(('12. Разходи'!G84-'12. Разходи'!$C84)/'12. Разходи'!$C84,0)</f>
        <v>0</v>
      </c>
      <c r="L84" s="1136">
        <f>'12. Разходи'!H84-'12. Разходи'!$C84</f>
        <v>0</v>
      </c>
      <c r="M84" s="1128">
        <f>IFERROR(('12. Разходи'!H84-'12. Разходи'!$C84)/'12. Разходи'!$C84,0)</f>
        <v>0</v>
      </c>
      <c r="N84" s="1177">
        <f>'12. Разходи'!K84</f>
        <v>4.4198660127588253E-2</v>
      </c>
      <c r="O84" s="1141">
        <f>'12. Разходи'!L84-'12. Разходи'!$K84</f>
        <v>0</v>
      </c>
      <c r="P84" s="1121">
        <f>IFERROR(('12. Разходи'!L84-'12. Разходи'!$K84)/'12. Разходи'!$K84,0)</f>
        <v>0</v>
      </c>
      <c r="Q84" s="907">
        <f>'12. Разходи'!M84-'12. Разходи'!$K84</f>
        <v>0</v>
      </c>
      <c r="R84" s="1129">
        <f>IFERROR(('12. Разходи'!M84-'12. Разходи'!$K84)/'12. Разходи'!$K84,0)</f>
        <v>0</v>
      </c>
      <c r="S84" s="907">
        <f>'12. Разходи'!N84-'12. Разходи'!$K84</f>
        <v>0</v>
      </c>
      <c r="T84" s="1129">
        <f>IFERROR(('12. Разходи'!N84-'12. Разходи'!$K84)/'12. Разходи'!$K84,0)</f>
        <v>0</v>
      </c>
      <c r="U84" s="907">
        <f>'12. Разходи'!O84-'12. Разходи'!$K84</f>
        <v>0</v>
      </c>
      <c r="V84" s="1128">
        <f>IFERROR(('12. Разходи'!O84-'12. Разходи'!$K84)/'12. Разходи'!$K84,0)</f>
        <v>0</v>
      </c>
      <c r="W84" s="1136">
        <f>'12. Разходи'!P84-'12. Разходи'!$K84</f>
        <v>0</v>
      </c>
      <c r="X84" s="1183">
        <f>IFERROR(('12. Разходи'!P84-'12. Разходи'!$K84)/'12. Разходи'!$K84,0)</f>
        <v>0</v>
      </c>
      <c r="Y84" s="1177">
        <f>'12. Разходи'!S84</f>
        <v>0.38096529670368573</v>
      </c>
      <c r="Z84" s="1141">
        <f>'12. Разходи'!T84-'12. Разходи'!$S84</f>
        <v>0</v>
      </c>
      <c r="AA84" s="1121">
        <f>IFERROR(('12. Разходи'!T84-'12. Разходи'!$S84)/'12. Разходи'!$S84,0)</f>
        <v>0</v>
      </c>
      <c r="AB84" s="907">
        <f>'12. Разходи'!U84-'12. Разходи'!$S84</f>
        <v>0</v>
      </c>
      <c r="AC84" s="1129">
        <f>IFERROR(('12. Разходи'!U84-'12. Разходи'!$S84)/'12. Разходи'!$S84,0)</f>
        <v>0</v>
      </c>
      <c r="AD84" s="907">
        <f>'12. Разходи'!V84-'12. Разходи'!$S84</f>
        <v>0</v>
      </c>
      <c r="AE84" s="1129">
        <f>IFERROR(('12. Разходи'!V84-'12. Разходи'!$S84)/'12. Разходи'!$S84,0)</f>
        <v>0</v>
      </c>
      <c r="AF84" s="907">
        <f>'12. Разходи'!W84-'12. Разходи'!$S84</f>
        <v>0</v>
      </c>
      <c r="AG84" s="1128">
        <f>IFERROR(('12. Разходи'!W84-'12. Разходи'!$S84)/'12. Разходи'!$S84,0)</f>
        <v>0</v>
      </c>
      <c r="AH84" s="1136">
        <f>'12. Разходи'!X84-'12. Разходи'!$S84</f>
        <v>0</v>
      </c>
      <c r="AI84" s="1183">
        <f>IFERROR(('12. Разходи'!X84-'12. Разходи'!$S84)/'12. Разходи'!$S84,0)</f>
        <v>0</v>
      </c>
      <c r="AJ84" s="1177">
        <f>'12. Разходи'!AA84</f>
        <v>0</v>
      </c>
      <c r="AK84" s="1141">
        <f>'12. Разходи'!AB84-'12. Разходи'!$AA84</f>
        <v>0</v>
      </c>
      <c r="AL84" s="1121">
        <f>IFERROR(('12. Разходи'!AB84-'12. Разходи'!$AA84)/'12. Разходи'!$AA84,0)</f>
        <v>0</v>
      </c>
      <c r="AM84" s="907">
        <f>'12. Разходи'!AC84-'12. Разходи'!$AA84</f>
        <v>0</v>
      </c>
      <c r="AN84" s="1129">
        <f>IFERROR(('12. Разходи'!AC84-'12. Разходи'!$AA84)/'12. Разходи'!$AA84,0)</f>
        <v>0</v>
      </c>
      <c r="AO84" s="907">
        <f>'12. Разходи'!AD84-'12. Разходи'!$AA84</f>
        <v>0</v>
      </c>
      <c r="AP84" s="1129">
        <f>IFERROR(('12. Разходи'!AD84-'12. Разходи'!$AA84)/'12. Разходи'!$AA84,0)</f>
        <v>0</v>
      </c>
      <c r="AQ84" s="907">
        <f>'12. Разходи'!AE84-'12. Разходи'!$AA84</f>
        <v>0</v>
      </c>
      <c r="AR84" s="1128">
        <f>IFERROR(('12. Разходи'!AE84-'12. Разходи'!$AA84)/'12. Разходи'!$AA84,0)</f>
        <v>0</v>
      </c>
      <c r="AS84" s="1136">
        <f>'12. Разходи'!AF84-'12. Разходи'!$AA84</f>
        <v>0</v>
      </c>
      <c r="AT84" s="1183">
        <f>IFERROR(('12. Разходи'!AF84-'12. Разходи'!$AA84)/'12. Разходи'!$AA84,0)</f>
        <v>0</v>
      </c>
      <c r="AU84" s="1177">
        <f>'12. Разходи'!AI84</f>
        <v>0.40707805410241443</v>
      </c>
      <c r="AV84" s="1141">
        <f>'12. Разходи'!AJ84-'12. Разходи'!$AI84</f>
        <v>0</v>
      </c>
      <c r="AW84" s="1121">
        <f>IFERROR(('12. Разходи'!AJ84-'12. Разходи'!$AI84)/'12. Разходи'!$AI84,0)</f>
        <v>0</v>
      </c>
      <c r="AX84" s="907">
        <f>'12. Разходи'!AK84-'12. Разходи'!$AI84</f>
        <v>0</v>
      </c>
      <c r="AY84" s="1129">
        <f>IFERROR(('12. Разходи'!AK84-'12. Разходи'!$AI84)/'12. Разходи'!$AI84,0)</f>
        <v>0</v>
      </c>
      <c r="AZ84" s="907">
        <f>'12. Разходи'!AL84-'12. Разходи'!$AI84</f>
        <v>0</v>
      </c>
      <c r="BA84" s="1129">
        <f>IFERROR(('12. Разходи'!AL84-'12. Разходи'!$AI84)/'12. Разходи'!$AI84,0)</f>
        <v>0</v>
      </c>
      <c r="BB84" s="907">
        <f>'12. Разходи'!AM84-'12. Разходи'!$AI84</f>
        <v>0</v>
      </c>
      <c r="BC84" s="1128">
        <f>IFERROR(('12. Разходи'!AM84-'12. Разходи'!$AI84)/'12. Разходи'!$AI84,0)</f>
        <v>0</v>
      </c>
      <c r="BD84" s="1136">
        <f>'12. Разходи'!AN84-'12. Разходи'!$AI84</f>
        <v>0</v>
      </c>
      <c r="BE84" s="1183">
        <f>IFERROR(('12. Разходи'!AN84-'12. Разходи'!$AI84)/'12. Разходи'!$AI84,0)</f>
        <v>0</v>
      </c>
      <c r="BF84" s="4488"/>
      <c r="BG84" s="4504">
        <f t="shared" si="31"/>
        <v>0.82870254434458379</v>
      </c>
      <c r="BH84" s="4504">
        <f t="shared" si="32"/>
        <v>0</v>
      </c>
      <c r="BI84" s="4504">
        <f t="shared" si="33"/>
        <v>0</v>
      </c>
      <c r="BJ84" s="4504">
        <f t="shared" si="34"/>
        <v>0</v>
      </c>
      <c r="BK84" s="4504">
        <f t="shared" si="35"/>
        <v>0</v>
      </c>
      <c r="BL84" s="4504">
        <f t="shared" si="36"/>
        <v>0</v>
      </c>
      <c r="BM84" s="4504">
        <f t="shared" si="37"/>
        <v>2.2598416082986891E-2</v>
      </c>
      <c r="BN84" s="4504">
        <f t="shared" si="38"/>
        <v>0</v>
      </c>
      <c r="BO84" s="4504">
        <f t="shared" si="39"/>
        <v>0</v>
      </c>
      <c r="BP84" s="4504">
        <f t="shared" si="40"/>
        <v>0</v>
      </c>
      <c r="BQ84" s="4504">
        <f t="shared" si="41"/>
        <v>0</v>
      </c>
      <c r="BR84" s="4504">
        <f t="shared" si="42"/>
        <v>0</v>
      </c>
      <c r="BS84" s="4504">
        <f t="shared" si="43"/>
        <v>0.19478446322210302</v>
      </c>
      <c r="BT84" s="4504">
        <f t="shared" si="44"/>
        <v>0</v>
      </c>
      <c r="BU84" s="4504">
        <f t="shared" si="45"/>
        <v>0</v>
      </c>
      <c r="BV84" s="4504">
        <f t="shared" si="46"/>
        <v>0</v>
      </c>
      <c r="BW84" s="4504">
        <f t="shared" si="47"/>
        <v>0</v>
      </c>
      <c r="BX84" s="4504">
        <f t="shared" si="48"/>
        <v>0</v>
      </c>
      <c r="BY84" s="4504">
        <f t="shared" si="49"/>
        <v>0</v>
      </c>
      <c r="BZ84" s="4504">
        <f t="shared" si="50"/>
        <v>0</v>
      </c>
      <c r="CA84" s="4504">
        <f t="shared" si="51"/>
        <v>0</v>
      </c>
      <c r="CB84" s="4504">
        <f t="shared" si="52"/>
        <v>0</v>
      </c>
      <c r="CC84" s="4504">
        <f t="shared" si="53"/>
        <v>0</v>
      </c>
      <c r="CD84" s="4504">
        <f t="shared" si="54"/>
        <v>0</v>
      </c>
      <c r="CE84" s="4504">
        <f t="shared" si="55"/>
        <v>0.20813570407571949</v>
      </c>
      <c r="CF84" s="4504">
        <f t="shared" si="56"/>
        <v>0</v>
      </c>
      <c r="CG84" s="4504">
        <f t="shared" si="57"/>
        <v>0</v>
      </c>
      <c r="CH84" s="4504">
        <f t="shared" si="58"/>
        <v>0</v>
      </c>
      <c r="CI84" s="4504">
        <f t="shared" si="59"/>
        <v>0</v>
      </c>
      <c r="CJ84" s="4504">
        <f t="shared" si="60"/>
        <v>0</v>
      </c>
    </row>
    <row r="85" spans="1:88" s="683" customFormat="1" ht="15.9" customHeight="1">
      <c r="A85" s="839" t="s">
        <v>634</v>
      </c>
      <c r="B85" s="3142">
        <f>'12. Разходи'!B85</f>
        <v>0</v>
      </c>
      <c r="C85" s="3143">
        <f>'12. Разходи'!C85</f>
        <v>0</v>
      </c>
      <c r="D85" s="1141">
        <f>'12. Разходи'!D85-'12. Разходи'!$C85</f>
        <v>0</v>
      </c>
      <c r="E85" s="1121">
        <f>IFERROR(('12. Разходи'!D85-'12. Разходи'!$C85)/'12. Разходи'!$C85,0)</f>
        <v>0</v>
      </c>
      <c r="F85" s="907">
        <f>'12. Разходи'!E85-'12. Разходи'!$C85</f>
        <v>0</v>
      </c>
      <c r="G85" s="1129">
        <f>IFERROR(('12. Разходи'!E85-'12. Разходи'!$C85)/'12. Разходи'!$C85,0)</f>
        <v>0</v>
      </c>
      <c r="H85" s="907">
        <f>'12. Разходи'!F85-'12. Разходи'!$C85</f>
        <v>0</v>
      </c>
      <c r="I85" s="1129">
        <f>IFERROR(('12. Разходи'!F85-'12. Разходи'!$C85)/'12. Разходи'!$C85,0)</f>
        <v>0</v>
      </c>
      <c r="J85" s="907">
        <f>'12. Разходи'!G85-'12. Разходи'!$C85</f>
        <v>0</v>
      </c>
      <c r="K85" s="1128">
        <f>IFERROR(('12. Разходи'!G85-'12. Разходи'!$C85)/'12. Разходи'!$C85,0)</f>
        <v>0</v>
      </c>
      <c r="L85" s="1136">
        <f>'12. Разходи'!H85-'12. Разходи'!$C85</f>
        <v>0</v>
      </c>
      <c r="M85" s="1128">
        <f>IFERROR(('12. Разходи'!H85-'12. Разходи'!$C85)/'12. Разходи'!$C85,0)</f>
        <v>0</v>
      </c>
      <c r="N85" s="1177">
        <f>'12. Разходи'!K85</f>
        <v>0</v>
      </c>
      <c r="O85" s="1141">
        <f>'12. Разходи'!L85-'12. Разходи'!$K85</f>
        <v>0</v>
      </c>
      <c r="P85" s="1121">
        <f>IFERROR(('12. Разходи'!L85-'12. Разходи'!$K85)/'12. Разходи'!$K85,0)</f>
        <v>0</v>
      </c>
      <c r="Q85" s="907">
        <f>'12. Разходи'!M85-'12. Разходи'!$K85</f>
        <v>0</v>
      </c>
      <c r="R85" s="1129">
        <f>IFERROR(('12. Разходи'!M85-'12. Разходи'!$K85)/'12. Разходи'!$K85,0)</f>
        <v>0</v>
      </c>
      <c r="S85" s="907">
        <f>'12. Разходи'!N85-'12. Разходи'!$K85</f>
        <v>0</v>
      </c>
      <c r="T85" s="1129">
        <f>IFERROR(('12. Разходи'!N85-'12. Разходи'!$K85)/'12. Разходи'!$K85,0)</f>
        <v>0</v>
      </c>
      <c r="U85" s="907">
        <f>'12. Разходи'!O85-'12. Разходи'!$K85</f>
        <v>0</v>
      </c>
      <c r="V85" s="1128">
        <f>IFERROR(('12. Разходи'!O85-'12. Разходи'!$K85)/'12. Разходи'!$K85,0)</f>
        <v>0</v>
      </c>
      <c r="W85" s="1136">
        <f>'12. Разходи'!P85-'12. Разходи'!$K85</f>
        <v>0</v>
      </c>
      <c r="X85" s="1183">
        <f>IFERROR(('12. Разходи'!P85-'12. Разходи'!$K85)/'12. Разходи'!$K85,0)</f>
        <v>0</v>
      </c>
      <c r="Y85" s="1177">
        <f>'12. Разходи'!S85</f>
        <v>0</v>
      </c>
      <c r="Z85" s="1141">
        <f>'12. Разходи'!T85-'12. Разходи'!$S85</f>
        <v>0</v>
      </c>
      <c r="AA85" s="1121">
        <f>IFERROR(('12. Разходи'!T85-'12. Разходи'!$S85)/'12. Разходи'!$S85,0)</f>
        <v>0</v>
      </c>
      <c r="AB85" s="907">
        <f>'12. Разходи'!U85-'12. Разходи'!$S85</f>
        <v>0</v>
      </c>
      <c r="AC85" s="1129">
        <f>IFERROR(('12. Разходи'!U85-'12. Разходи'!$S85)/'12. Разходи'!$S85,0)</f>
        <v>0</v>
      </c>
      <c r="AD85" s="907">
        <f>'12. Разходи'!V85-'12. Разходи'!$S85</f>
        <v>0</v>
      </c>
      <c r="AE85" s="1129">
        <f>IFERROR(('12. Разходи'!V85-'12. Разходи'!$S85)/'12. Разходи'!$S85,0)</f>
        <v>0</v>
      </c>
      <c r="AF85" s="907">
        <f>'12. Разходи'!W85-'12. Разходи'!$S85</f>
        <v>0</v>
      </c>
      <c r="AG85" s="1128">
        <f>IFERROR(('12. Разходи'!W85-'12. Разходи'!$S85)/'12. Разходи'!$S85,0)</f>
        <v>0</v>
      </c>
      <c r="AH85" s="1136">
        <f>'12. Разходи'!X85-'12. Разходи'!$S85</f>
        <v>0</v>
      </c>
      <c r="AI85" s="1183">
        <f>IFERROR(('12. Разходи'!X85-'12. Разходи'!$S85)/'12. Разходи'!$S85,0)</f>
        <v>0</v>
      </c>
      <c r="AJ85" s="1177">
        <f>'12. Разходи'!AA85</f>
        <v>0</v>
      </c>
      <c r="AK85" s="1141">
        <f>'12. Разходи'!AB85-'12. Разходи'!$AA85</f>
        <v>0</v>
      </c>
      <c r="AL85" s="1121">
        <f>IFERROR(('12. Разходи'!AB85-'12. Разходи'!$AA85)/'12. Разходи'!$AA85,0)</f>
        <v>0</v>
      </c>
      <c r="AM85" s="907">
        <f>'12. Разходи'!AC85-'12. Разходи'!$AA85</f>
        <v>0</v>
      </c>
      <c r="AN85" s="1129">
        <f>IFERROR(('12. Разходи'!AC85-'12. Разходи'!$AA85)/'12. Разходи'!$AA85,0)</f>
        <v>0</v>
      </c>
      <c r="AO85" s="907">
        <f>'12. Разходи'!AD85-'12. Разходи'!$AA85</f>
        <v>0</v>
      </c>
      <c r="AP85" s="1129">
        <f>IFERROR(('12. Разходи'!AD85-'12. Разходи'!$AA85)/'12. Разходи'!$AA85,0)</f>
        <v>0</v>
      </c>
      <c r="AQ85" s="907">
        <f>'12. Разходи'!AE85-'12. Разходи'!$AA85</f>
        <v>0</v>
      </c>
      <c r="AR85" s="1128">
        <f>IFERROR(('12. Разходи'!AE85-'12. Разходи'!$AA85)/'12. Разходи'!$AA85,0)</f>
        <v>0</v>
      </c>
      <c r="AS85" s="1136">
        <f>'12. Разходи'!AF85-'12. Разходи'!$AA85</f>
        <v>0</v>
      </c>
      <c r="AT85" s="1183">
        <f>IFERROR(('12. Разходи'!AF85-'12. Разходи'!$AA85)/'12. Разходи'!$AA85,0)</f>
        <v>0</v>
      </c>
      <c r="AU85" s="1177">
        <f>'12. Разходи'!AI85</f>
        <v>0</v>
      </c>
      <c r="AV85" s="1141">
        <f>'12. Разходи'!AJ85-'12. Разходи'!$AI85</f>
        <v>0</v>
      </c>
      <c r="AW85" s="1121">
        <f>IFERROR(('12. Разходи'!AJ85-'12. Разходи'!$AI85)/'12. Разходи'!$AI85,0)</f>
        <v>0</v>
      </c>
      <c r="AX85" s="907">
        <f>'12. Разходи'!AK85-'12. Разходи'!$AI85</f>
        <v>0</v>
      </c>
      <c r="AY85" s="1129">
        <f>IFERROR(('12. Разходи'!AK85-'12. Разходи'!$AI85)/'12. Разходи'!$AI85,0)</f>
        <v>0</v>
      </c>
      <c r="AZ85" s="907">
        <f>'12. Разходи'!AL85-'12. Разходи'!$AI85</f>
        <v>0</v>
      </c>
      <c r="BA85" s="1129">
        <f>IFERROR(('12. Разходи'!AL85-'12. Разходи'!$AI85)/'12. Разходи'!$AI85,0)</f>
        <v>0</v>
      </c>
      <c r="BB85" s="907">
        <f>'12. Разходи'!AM85-'12. Разходи'!$AI85</f>
        <v>0</v>
      </c>
      <c r="BC85" s="1128">
        <f>IFERROR(('12. Разходи'!AM85-'12. Разходи'!$AI85)/'12. Разходи'!$AI85,0)</f>
        <v>0</v>
      </c>
      <c r="BD85" s="1136">
        <f>'12. Разходи'!AN85-'12. Разходи'!$AI85</f>
        <v>0</v>
      </c>
      <c r="BE85" s="1183">
        <f>IFERROR(('12. Разходи'!AN85-'12. Разходи'!$AI85)/'12. Разходи'!$AI85,0)</f>
        <v>0</v>
      </c>
      <c r="BF85" s="4488"/>
      <c r="BG85" s="4504">
        <f t="shared" si="31"/>
        <v>0</v>
      </c>
      <c r="BH85" s="4504">
        <f t="shared" si="32"/>
        <v>0</v>
      </c>
      <c r="BI85" s="4504">
        <f t="shared" si="33"/>
        <v>0</v>
      </c>
      <c r="BJ85" s="4504">
        <f t="shared" si="34"/>
        <v>0</v>
      </c>
      <c r="BK85" s="4504">
        <f t="shared" si="35"/>
        <v>0</v>
      </c>
      <c r="BL85" s="4504">
        <f t="shared" si="36"/>
        <v>0</v>
      </c>
      <c r="BM85" s="4504">
        <f t="shared" si="37"/>
        <v>0</v>
      </c>
      <c r="BN85" s="4504">
        <f t="shared" si="38"/>
        <v>0</v>
      </c>
      <c r="BO85" s="4504">
        <f t="shared" si="39"/>
        <v>0</v>
      </c>
      <c r="BP85" s="4504">
        <f t="shared" si="40"/>
        <v>0</v>
      </c>
      <c r="BQ85" s="4504">
        <f t="shared" si="41"/>
        <v>0</v>
      </c>
      <c r="BR85" s="4504">
        <f t="shared" si="42"/>
        <v>0</v>
      </c>
      <c r="BS85" s="4504">
        <f t="shared" si="43"/>
        <v>0</v>
      </c>
      <c r="BT85" s="4504">
        <f t="shared" si="44"/>
        <v>0</v>
      </c>
      <c r="BU85" s="4504">
        <f t="shared" si="45"/>
        <v>0</v>
      </c>
      <c r="BV85" s="4504">
        <f t="shared" si="46"/>
        <v>0</v>
      </c>
      <c r="BW85" s="4504">
        <f t="shared" si="47"/>
        <v>0</v>
      </c>
      <c r="BX85" s="4504">
        <f t="shared" si="48"/>
        <v>0</v>
      </c>
      <c r="BY85" s="4504">
        <f t="shared" si="49"/>
        <v>0</v>
      </c>
      <c r="BZ85" s="4504">
        <f t="shared" si="50"/>
        <v>0</v>
      </c>
      <c r="CA85" s="4504">
        <f t="shared" si="51"/>
        <v>0</v>
      </c>
      <c r="CB85" s="4504">
        <f t="shared" si="52"/>
        <v>0</v>
      </c>
      <c r="CC85" s="4504">
        <f t="shared" si="53"/>
        <v>0</v>
      </c>
      <c r="CD85" s="4504">
        <f t="shared" si="54"/>
        <v>0</v>
      </c>
      <c r="CE85" s="4504">
        <f t="shared" si="55"/>
        <v>0</v>
      </c>
      <c r="CF85" s="4504">
        <f t="shared" si="56"/>
        <v>0</v>
      </c>
      <c r="CG85" s="4504">
        <f t="shared" si="57"/>
        <v>0</v>
      </c>
      <c r="CH85" s="4504">
        <f t="shared" si="58"/>
        <v>0</v>
      </c>
      <c r="CI85" s="4504">
        <f t="shared" si="59"/>
        <v>0</v>
      </c>
      <c r="CJ85" s="4504">
        <f t="shared" si="60"/>
        <v>0</v>
      </c>
    </row>
    <row r="86" spans="1:88" s="683" customFormat="1" ht="15.9" customHeight="1">
      <c r="A86" s="839" t="s">
        <v>635</v>
      </c>
      <c r="B86" s="3142">
        <f>'12. Разходи'!B86</f>
        <v>0</v>
      </c>
      <c r="C86" s="3143">
        <f>'12. Разходи'!C86</f>
        <v>0</v>
      </c>
      <c r="D86" s="1141">
        <f>'12. Разходи'!D86-'12. Разходи'!$C86</f>
        <v>0</v>
      </c>
      <c r="E86" s="1121">
        <f>IFERROR(('12. Разходи'!D86-'12. Разходи'!$C86)/'12. Разходи'!$C86,0)</f>
        <v>0</v>
      </c>
      <c r="F86" s="907">
        <f>'12. Разходи'!E86-'12. Разходи'!$C86</f>
        <v>0</v>
      </c>
      <c r="G86" s="1129">
        <f>IFERROR(('12. Разходи'!E86-'12. Разходи'!$C86)/'12. Разходи'!$C86,0)</f>
        <v>0</v>
      </c>
      <c r="H86" s="907">
        <f>'12. Разходи'!F86-'12. Разходи'!$C86</f>
        <v>0</v>
      </c>
      <c r="I86" s="1129">
        <f>IFERROR(('12. Разходи'!F86-'12. Разходи'!$C86)/'12. Разходи'!$C86,0)</f>
        <v>0</v>
      </c>
      <c r="J86" s="907">
        <f>'12. Разходи'!G86-'12. Разходи'!$C86</f>
        <v>0</v>
      </c>
      <c r="K86" s="1128">
        <f>IFERROR(('12. Разходи'!G86-'12. Разходи'!$C86)/'12. Разходи'!$C86,0)</f>
        <v>0</v>
      </c>
      <c r="L86" s="1136">
        <f>'12. Разходи'!H86-'12. Разходи'!$C86</f>
        <v>0</v>
      </c>
      <c r="M86" s="1128">
        <f>IFERROR(('12. Разходи'!H86-'12. Разходи'!$C86)/'12. Разходи'!$C86,0)</f>
        <v>0</v>
      </c>
      <c r="N86" s="1177">
        <f>'12. Разходи'!K86</f>
        <v>0</v>
      </c>
      <c r="O86" s="1141">
        <f>'12. Разходи'!L86-'12. Разходи'!$K86</f>
        <v>0</v>
      </c>
      <c r="P86" s="1121">
        <f>IFERROR(('12. Разходи'!L86-'12. Разходи'!$K86)/'12. Разходи'!$K86,0)</f>
        <v>0</v>
      </c>
      <c r="Q86" s="907">
        <f>'12. Разходи'!M86-'12. Разходи'!$K86</f>
        <v>0</v>
      </c>
      <c r="R86" s="1129">
        <f>IFERROR(('12. Разходи'!M86-'12. Разходи'!$K86)/'12. Разходи'!$K86,0)</f>
        <v>0</v>
      </c>
      <c r="S86" s="907">
        <f>'12. Разходи'!N86-'12. Разходи'!$K86</f>
        <v>0</v>
      </c>
      <c r="T86" s="1129">
        <f>IFERROR(('12. Разходи'!N86-'12. Разходи'!$K86)/'12. Разходи'!$K86,0)</f>
        <v>0</v>
      </c>
      <c r="U86" s="907">
        <f>'12. Разходи'!O86-'12. Разходи'!$K86</f>
        <v>0</v>
      </c>
      <c r="V86" s="1128">
        <f>IFERROR(('12. Разходи'!O86-'12. Разходи'!$K86)/'12. Разходи'!$K86,0)</f>
        <v>0</v>
      </c>
      <c r="W86" s="1136">
        <f>'12. Разходи'!P86-'12. Разходи'!$K86</f>
        <v>0</v>
      </c>
      <c r="X86" s="1183">
        <f>IFERROR(('12. Разходи'!P86-'12. Разходи'!$K86)/'12. Разходи'!$K86,0)</f>
        <v>0</v>
      </c>
      <c r="Y86" s="1177">
        <f>'12. Разходи'!S86</f>
        <v>0</v>
      </c>
      <c r="Z86" s="1141">
        <f>'12. Разходи'!T86-'12. Разходи'!$S86</f>
        <v>0</v>
      </c>
      <c r="AA86" s="1121">
        <f>IFERROR(('12. Разходи'!T86-'12. Разходи'!$S86)/'12. Разходи'!$S86,0)</f>
        <v>0</v>
      </c>
      <c r="AB86" s="907">
        <f>'12. Разходи'!U86-'12. Разходи'!$S86</f>
        <v>0</v>
      </c>
      <c r="AC86" s="1129">
        <f>IFERROR(('12. Разходи'!U86-'12. Разходи'!$S86)/'12. Разходи'!$S86,0)</f>
        <v>0</v>
      </c>
      <c r="AD86" s="907">
        <f>'12. Разходи'!V86-'12. Разходи'!$S86</f>
        <v>0</v>
      </c>
      <c r="AE86" s="1129">
        <f>IFERROR(('12. Разходи'!V86-'12. Разходи'!$S86)/'12. Разходи'!$S86,0)</f>
        <v>0</v>
      </c>
      <c r="AF86" s="907">
        <f>'12. Разходи'!W86-'12. Разходи'!$S86</f>
        <v>0</v>
      </c>
      <c r="AG86" s="1128">
        <f>IFERROR(('12. Разходи'!W86-'12. Разходи'!$S86)/'12. Разходи'!$S86,0)</f>
        <v>0</v>
      </c>
      <c r="AH86" s="1136">
        <f>'12. Разходи'!X86-'12. Разходи'!$S86</f>
        <v>0</v>
      </c>
      <c r="AI86" s="1183">
        <f>IFERROR(('12. Разходи'!X86-'12. Разходи'!$S86)/'12. Разходи'!$S86,0)</f>
        <v>0</v>
      </c>
      <c r="AJ86" s="1177">
        <f>'12. Разходи'!AA86</f>
        <v>0</v>
      </c>
      <c r="AK86" s="1141">
        <f>'12. Разходи'!AB86-'12. Разходи'!$AA86</f>
        <v>0</v>
      </c>
      <c r="AL86" s="1121">
        <f>IFERROR(('12. Разходи'!AB86-'12. Разходи'!$AA86)/'12. Разходи'!$AA86,0)</f>
        <v>0</v>
      </c>
      <c r="AM86" s="907">
        <f>'12. Разходи'!AC86-'12. Разходи'!$AA86</f>
        <v>0</v>
      </c>
      <c r="AN86" s="1129">
        <f>IFERROR(('12. Разходи'!AC86-'12. Разходи'!$AA86)/'12. Разходи'!$AA86,0)</f>
        <v>0</v>
      </c>
      <c r="AO86" s="907">
        <f>'12. Разходи'!AD86-'12. Разходи'!$AA86</f>
        <v>0</v>
      </c>
      <c r="AP86" s="1129">
        <f>IFERROR(('12. Разходи'!AD86-'12. Разходи'!$AA86)/'12. Разходи'!$AA86,0)</f>
        <v>0</v>
      </c>
      <c r="AQ86" s="907">
        <f>'12. Разходи'!AE86-'12. Разходи'!$AA86</f>
        <v>0</v>
      </c>
      <c r="AR86" s="1128">
        <f>IFERROR(('12. Разходи'!AE86-'12. Разходи'!$AA86)/'12. Разходи'!$AA86,0)</f>
        <v>0</v>
      </c>
      <c r="AS86" s="1136">
        <f>'12. Разходи'!AF86-'12. Разходи'!$AA86</f>
        <v>0</v>
      </c>
      <c r="AT86" s="1183">
        <f>IFERROR(('12. Разходи'!AF86-'12. Разходи'!$AA86)/'12. Разходи'!$AA86,0)</f>
        <v>0</v>
      </c>
      <c r="AU86" s="1177">
        <f>'12. Разходи'!AI86</f>
        <v>0</v>
      </c>
      <c r="AV86" s="1141">
        <f>'12. Разходи'!AJ86-'12. Разходи'!$AI86</f>
        <v>0</v>
      </c>
      <c r="AW86" s="1121">
        <f>IFERROR(('12. Разходи'!AJ86-'12. Разходи'!$AI86)/'12. Разходи'!$AI86,0)</f>
        <v>0</v>
      </c>
      <c r="AX86" s="907">
        <f>'12. Разходи'!AK86-'12. Разходи'!$AI86</f>
        <v>0</v>
      </c>
      <c r="AY86" s="1129">
        <f>IFERROR(('12. Разходи'!AK86-'12. Разходи'!$AI86)/'12. Разходи'!$AI86,0)</f>
        <v>0</v>
      </c>
      <c r="AZ86" s="907">
        <f>'12. Разходи'!AL86-'12. Разходи'!$AI86</f>
        <v>0</v>
      </c>
      <c r="BA86" s="1129">
        <f>IFERROR(('12. Разходи'!AL86-'12. Разходи'!$AI86)/'12. Разходи'!$AI86,0)</f>
        <v>0</v>
      </c>
      <c r="BB86" s="907">
        <f>'12. Разходи'!AM86-'12. Разходи'!$AI86</f>
        <v>0</v>
      </c>
      <c r="BC86" s="1128">
        <f>IFERROR(('12. Разходи'!AM86-'12. Разходи'!$AI86)/'12. Разходи'!$AI86,0)</f>
        <v>0</v>
      </c>
      <c r="BD86" s="1136">
        <f>'12. Разходи'!AN86-'12. Разходи'!$AI86</f>
        <v>0</v>
      </c>
      <c r="BE86" s="1183">
        <f>IFERROR(('12. Разходи'!AN86-'12. Разходи'!$AI86)/'12. Разходи'!$AI86,0)</f>
        <v>0</v>
      </c>
      <c r="BF86" s="4488"/>
      <c r="BG86" s="4504">
        <f t="shared" si="31"/>
        <v>0</v>
      </c>
      <c r="BH86" s="4504">
        <f t="shared" si="32"/>
        <v>0</v>
      </c>
      <c r="BI86" s="4504">
        <f t="shared" si="33"/>
        <v>0</v>
      </c>
      <c r="BJ86" s="4504">
        <f t="shared" si="34"/>
        <v>0</v>
      </c>
      <c r="BK86" s="4504">
        <f t="shared" si="35"/>
        <v>0</v>
      </c>
      <c r="BL86" s="4504">
        <f t="shared" si="36"/>
        <v>0</v>
      </c>
      <c r="BM86" s="4504">
        <f t="shared" si="37"/>
        <v>0</v>
      </c>
      <c r="BN86" s="4504">
        <f t="shared" si="38"/>
        <v>0</v>
      </c>
      <c r="BO86" s="4504">
        <f t="shared" si="39"/>
        <v>0</v>
      </c>
      <c r="BP86" s="4504">
        <f t="shared" si="40"/>
        <v>0</v>
      </c>
      <c r="BQ86" s="4504">
        <f t="shared" si="41"/>
        <v>0</v>
      </c>
      <c r="BR86" s="4504">
        <f t="shared" si="42"/>
        <v>0</v>
      </c>
      <c r="BS86" s="4504">
        <f t="shared" si="43"/>
        <v>0</v>
      </c>
      <c r="BT86" s="4504">
        <f t="shared" si="44"/>
        <v>0</v>
      </c>
      <c r="BU86" s="4504">
        <f t="shared" si="45"/>
        <v>0</v>
      </c>
      <c r="BV86" s="4504">
        <f t="shared" si="46"/>
        <v>0</v>
      </c>
      <c r="BW86" s="4504">
        <f t="shared" si="47"/>
        <v>0</v>
      </c>
      <c r="BX86" s="4504">
        <f t="shared" si="48"/>
        <v>0</v>
      </c>
      <c r="BY86" s="4504">
        <f t="shared" si="49"/>
        <v>0</v>
      </c>
      <c r="BZ86" s="4504">
        <f t="shared" si="50"/>
        <v>0</v>
      </c>
      <c r="CA86" s="4504">
        <f t="shared" si="51"/>
        <v>0</v>
      </c>
      <c r="CB86" s="4504">
        <f t="shared" si="52"/>
        <v>0</v>
      </c>
      <c r="CC86" s="4504">
        <f t="shared" si="53"/>
        <v>0</v>
      </c>
      <c r="CD86" s="4504">
        <f t="shared" si="54"/>
        <v>0</v>
      </c>
      <c r="CE86" s="4504">
        <f t="shared" si="55"/>
        <v>0</v>
      </c>
      <c r="CF86" s="4504">
        <f t="shared" si="56"/>
        <v>0</v>
      </c>
      <c r="CG86" s="4504">
        <f t="shared" si="57"/>
        <v>0</v>
      </c>
      <c r="CH86" s="4504">
        <f t="shared" si="58"/>
        <v>0</v>
      </c>
      <c r="CI86" s="4504">
        <f t="shared" si="59"/>
        <v>0</v>
      </c>
      <c r="CJ86" s="4504">
        <f t="shared" si="60"/>
        <v>0</v>
      </c>
    </row>
    <row r="87" spans="1:88" s="683" customFormat="1" ht="15.9" customHeight="1" thickBot="1">
      <c r="A87" s="841" t="s">
        <v>636</v>
      </c>
      <c r="B87" s="3142">
        <f>'12. Разходи'!B87</f>
        <v>0</v>
      </c>
      <c r="C87" s="3143">
        <f>'12. Разходи'!C87</f>
        <v>0</v>
      </c>
      <c r="D87" s="1141">
        <f>'12. Разходи'!D87-'12. Разходи'!$C87</f>
        <v>0</v>
      </c>
      <c r="E87" s="1121">
        <f>IFERROR(('12. Разходи'!D87-'12. Разходи'!$C87)/'12. Разходи'!$C87,0)</f>
        <v>0</v>
      </c>
      <c r="F87" s="907">
        <f>'12. Разходи'!E87-'12. Разходи'!$C87</f>
        <v>0</v>
      </c>
      <c r="G87" s="1129">
        <f>IFERROR(('12. Разходи'!E87-'12. Разходи'!$C87)/'12. Разходи'!$C87,0)</f>
        <v>0</v>
      </c>
      <c r="H87" s="907">
        <f>'12. Разходи'!F87-'12. Разходи'!$C87</f>
        <v>0</v>
      </c>
      <c r="I87" s="1129">
        <f>IFERROR(('12. Разходи'!F87-'12. Разходи'!$C87)/'12. Разходи'!$C87,0)</f>
        <v>0</v>
      </c>
      <c r="J87" s="907">
        <f>'12. Разходи'!G87-'12. Разходи'!$C87</f>
        <v>0</v>
      </c>
      <c r="K87" s="1128">
        <f>IFERROR(('12. Разходи'!G87-'12. Разходи'!$C87)/'12. Разходи'!$C87,0)</f>
        <v>0</v>
      </c>
      <c r="L87" s="1136">
        <f>'12. Разходи'!H87-'12. Разходи'!$C87</f>
        <v>0</v>
      </c>
      <c r="M87" s="1128">
        <f>IFERROR(('12. Разходи'!H87-'12. Разходи'!$C87)/'12. Разходи'!$C87,0)</f>
        <v>0</v>
      </c>
      <c r="N87" s="1177">
        <f>'12. Разходи'!K87</f>
        <v>0</v>
      </c>
      <c r="O87" s="1141">
        <f>'12. Разходи'!L87-'12. Разходи'!$K87</f>
        <v>0</v>
      </c>
      <c r="P87" s="1121">
        <f>IFERROR(('12. Разходи'!L87-'12. Разходи'!$K87)/'12. Разходи'!$K87,0)</f>
        <v>0</v>
      </c>
      <c r="Q87" s="907">
        <f>'12. Разходи'!M87-'12. Разходи'!$K87</f>
        <v>0</v>
      </c>
      <c r="R87" s="1129">
        <f>IFERROR(('12. Разходи'!M87-'12. Разходи'!$K87)/'12. Разходи'!$K87,0)</f>
        <v>0</v>
      </c>
      <c r="S87" s="907">
        <f>'12. Разходи'!N87-'12. Разходи'!$K87</f>
        <v>0</v>
      </c>
      <c r="T87" s="1129">
        <f>IFERROR(('12. Разходи'!N87-'12. Разходи'!$K87)/'12. Разходи'!$K87,0)</f>
        <v>0</v>
      </c>
      <c r="U87" s="907">
        <f>'12. Разходи'!O87-'12. Разходи'!$K87</f>
        <v>0</v>
      </c>
      <c r="V87" s="1128">
        <f>IFERROR(('12. Разходи'!O87-'12. Разходи'!$K87)/'12. Разходи'!$K87,0)</f>
        <v>0</v>
      </c>
      <c r="W87" s="1136">
        <f>'12. Разходи'!P87-'12. Разходи'!$K87</f>
        <v>0</v>
      </c>
      <c r="X87" s="1183">
        <f>IFERROR(('12. Разходи'!P87-'12. Разходи'!$K87)/'12. Разходи'!$K87,0)</f>
        <v>0</v>
      </c>
      <c r="Y87" s="1177">
        <f>'12. Разходи'!S87</f>
        <v>0</v>
      </c>
      <c r="Z87" s="1141">
        <f>'12. Разходи'!T87-'12. Разходи'!$S87</f>
        <v>0</v>
      </c>
      <c r="AA87" s="1121">
        <f>IFERROR(('12. Разходи'!T87-'12. Разходи'!$S87)/'12. Разходи'!$S87,0)</f>
        <v>0</v>
      </c>
      <c r="AB87" s="907">
        <f>'12. Разходи'!U87-'12. Разходи'!$S87</f>
        <v>0</v>
      </c>
      <c r="AC87" s="1129">
        <f>IFERROR(('12. Разходи'!U87-'12. Разходи'!$S87)/'12. Разходи'!$S87,0)</f>
        <v>0</v>
      </c>
      <c r="AD87" s="907">
        <f>'12. Разходи'!V87-'12. Разходи'!$S87</f>
        <v>0</v>
      </c>
      <c r="AE87" s="1129">
        <f>IFERROR(('12. Разходи'!V87-'12. Разходи'!$S87)/'12. Разходи'!$S87,0)</f>
        <v>0</v>
      </c>
      <c r="AF87" s="907">
        <f>'12. Разходи'!W87-'12. Разходи'!$S87</f>
        <v>0</v>
      </c>
      <c r="AG87" s="1128">
        <f>IFERROR(('12. Разходи'!W87-'12. Разходи'!$S87)/'12. Разходи'!$S87,0)</f>
        <v>0</v>
      </c>
      <c r="AH87" s="1136">
        <f>'12. Разходи'!X87-'12. Разходи'!$S87</f>
        <v>0</v>
      </c>
      <c r="AI87" s="1183">
        <f>IFERROR(('12. Разходи'!X87-'12. Разходи'!$S87)/'12. Разходи'!$S87,0)</f>
        <v>0</v>
      </c>
      <c r="AJ87" s="1177">
        <f>'12. Разходи'!AA87</f>
        <v>0</v>
      </c>
      <c r="AK87" s="1141">
        <f>'12. Разходи'!AB87-'12. Разходи'!$AA87</f>
        <v>0</v>
      </c>
      <c r="AL87" s="1121">
        <f>IFERROR(('12. Разходи'!AB87-'12. Разходи'!$AA87)/'12. Разходи'!$AA87,0)</f>
        <v>0</v>
      </c>
      <c r="AM87" s="907">
        <f>'12. Разходи'!AC87-'12. Разходи'!$AA87</f>
        <v>0</v>
      </c>
      <c r="AN87" s="1129">
        <f>IFERROR(('12. Разходи'!AC87-'12. Разходи'!$AA87)/'12. Разходи'!$AA87,0)</f>
        <v>0</v>
      </c>
      <c r="AO87" s="907">
        <f>'12. Разходи'!AD87-'12. Разходи'!$AA87</f>
        <v>0</v>
      </c>
      <c r="AP87" s="1129">
        <f>IFERROR(('12. Разходи'!AD87-'12. Разходи'!$AA87)/'12. Разходи'!$AA87,0)</f>
        <v>0</v>
      </c>
      <c r="AQ87" s="907">
        <f>'12. Разходи'!AE87-'12. Разходи'!$AA87</f>
        <v>0</v>
      </c>
      <c r="AR87" s="1128">
        <f>IFERROR(('12. Разходи'!AE87-'12. Разходи'!$AA87)/'12. Разходи'!$AA87,0)</f>
        <v>0</v>
      </c>
      <c r="AS87" s="1136">
        <f>'12. Разходи'!AF87-'12. Разходи'!$AA87</f>
        <v>0</v>
      </c>
      <c r="AT87" s="1183">
        <f>IFERROR(('12. Разходи'!AF87-'12. Разходи'!$AA87)/'12. Разходи'!$AA87,0)</f>
        <v>0</v>
      </c>
      <c r="AU87" s="1177">
        <f>'12. Разходи'!AI87</f>
        <v>0</v>
      </c>
      <c r="AV87" s="1141">
        <f>'12. Разходи'!AJ87-'12. Разходи'!$AI87</f>
        <v>0</v>
      </c>
      <c r="AW87" s="1121">
        <f>IFERROR(('12. Разходи'!AJ87-'12. Разходи'!$AI87)/'12. Разходи'!$AI87,0)</f>
        <v>0</v>
      </c>
      <c r="AX87" s="907">
        <f>'12. Разходи'!AK87-'12. Разходи'!$AI87</f>
        <v>0</v>
      </c>
      <c r="AY87" s="1129">
        <f>IFERROR(('12. Разходи'!AK87-'12. Разходи'!$AI87)/'12. Разходи'!$AI87,0)</f>
        <v>0</v>
      </c>
      <c r="AZ87" s="907">
        <f>'12. Разходи'!AL87-'12. Разходи'!$AI87</f>
        <v>0</v>
      </c>
      <c r="BA87" s="1129">
        <f>IFERROR(('12. Разходи'!AL87-'12. Разходи'!$AI87)/'12. Разходи'!$AI87,0)</f>
        <v>0</v>
      </c>
      <c r="BB87" s="907">
        <f>'12. Разходи'!AM87-'12. Разходи'!$AI87</f>
        <v>0</v>
      </c>
      <c r="BC87" s="1128">
        <f>IFERROR(('12. Разходи'!AM87-'12. Разходи'!$AI87)/'12. Разходи'!$AI87,0)</f>
        <v>0</v>
      </c>
      <c r="BD87" s="1136">
        <f>'12. Разходи'!AN87-'12. Разходи'!$AI87</f>
        <v>0</v>
      </c>
      <c r="BE87" s="1183">
        <f>IFERROR(('12. Разходи'!AN87-'12. Разходи'!$AI87)/'12. Разходи'!$AI87,0)</f>
        <v>0</v>
      </c>
      <c r="BF87" s="4488"/>
      <c r="BG87" s="4504">
        <f t="shared" si="31"/>
        <v>0</v>
      </c>
      <c r="BH87" s="4504">
        <f t="shared" si="32"/>
        <v>0</v>
      </c>
      <c r="BI87" s="4504">
        <f t="shared" si="33"/>
        <v>0</v>
      </c>
      <c r="BJ87" s="4504">
        <f t="shared" si="34"/>
        <v>0</v>
      </c>
      <c r="BK87" s="4504">
        <f t="shared" si="35"/>
        <v>0</v>
      </c>
      <c r="BL87" s="4504">
        <f t="shared" si="36"/>
        <v>0</v>
      </c>
      <c r="BM87" s="4504">
        <f t="shared" si="37"/>
        <v>0</v>
      </c>
      <c r="BN87" s="4504">
        <f t="shared" si="38"/>
        <v>0</v>
      </c>
      <c r="BO87" s="4504">
        <f t="shared" si="39"/>
        <v>0</v>
      </c>
      <c r="BP87" s="4504">
        <f t="shared" si="40"/>
        <v>0</v>
      </c>
      <c r="BQ87" s="4504">
        <f t="shared" si="41"/>
        <v>0</v>
      </c>
      <c r="BR87" s="4504">
        <f t="shared" si="42"/>
        <v>0</v>
      </c>
      <c r="BS87" s="4504">
        <f t="shared" si="43"/>
        <v>0</v>
      </c>
      <c r="BT87" s="4504">
        <f t="shared" si="44"/>
        <v>0</v>
      </c>
      <c r="BU87" s="4504">
        <f t="shared" si="45"/>
        <v>0</v>
      </c>
      <c r="BV87" s="4504">
        <f t="shared" si="46"/>
        <v>0</v>
      </c>
      <c r="BW87" s="4504">
        <f t="shared" si="47"/>
        <v>0</v>
      </c>
      <c r="BX87" s="4504">
        <f t="shared" si="48"/>
        <v>0</v>
      </c>
      <c r="BY87" s="4504">
        <f t="shared" si="49"/>
        <v>0</v>
      </c>
      <c r="BZ87" s="4504">
        <f t="shared" si="50"/>
        <v>0</v>
      </c>
      <c r="CA87" s="4504">
        <f t="shared" si="51"/>
        <v>0</v>
      </c>
      <c r="CB87" s="4504">
        <f t="shared" si="52"/>
        <v>0</v>
      </c>
      <c r="CC87" s="4504">
        <f t="shared" si="53"/>
        <v>0</v>
      </c>
      <c r="CD87" s="4504">
        <f t="shared" si="54"/>
        <v>0</v>
      </c>
      <c r="CE87" s="4504">
        <f t="shared" si="55"/>
        <v>0</v>
      </c>
      <c r="CF87" s="4504">
        <f t="shared" si="56"/>
        <v>0</v>
      </c>
      <c r="CG87" s="4504">
        <f t="shared" si="57"/>
        <v>0</v>
      </c>
      <c r="CH87" s="4504">
        <f t="shared" si="58"/>
        <v>0</v>
      </c>
      <c r="CI87" s="4504">
        <f t="shared" si="59"/>
        <v>0</v>
      </c>
      <c r="CJ87" s="4504">
        <f t="shared" si="60"/>
        <v>0</v>
      </c>
    </row>
    <row r="88" spans="1:88" s="1160" customFormat="1" ht="15.9" customHeight="1" thickBot="1">
      <c r="A88" s="5414" t="s">
        <v>277</v>
      </c>
      <c r="B88" s="5415"/>
      <c r="C88" s="1110">
        <f>'12. Разходи'!C88</f>
        <v>10111.741710707956</v>
      </c>
      <c r="D88" s="1148">
        <f>'12. Разходи'!D88-'12. Разходи'!$C88</f>
        <v>3044.8646928076541</v>
      </c>
      <c r="E88" s="875">
        <f>IFERROR(('12. Разходи'!D88-'12. Разходи'!$C88)/'12. Разходи'!$C88,0)</f>
        <v>0.30112168406984291</v>
      </c>
      <c r="F88" s="1147">
        <f>'12. Разходи'!E88-'12. Разходи'!$C88</f>
        <v>4104.5381706017361</v>
      </c>
      <c r="G88" s="875">
        <f>IFERROR(('12. Разходи'!E88-'12. Разходи'!$C88)/'12. Разходи'!$C88,0)</f>
        <v>0.40591801966768826</v>
      </c>
      <c r="H88" s="1147">
        <f>'12. Разходи'!F88-'12. Разходи'!$C88</f>
        <v>5244.9703016950716</v>
      </c>
      <c r="I88" s="884">
        <f>IFERROR(('12. Разходи'!F88-'12. Разходи'!$C88)/'12. Разходи'!$C88,0)</f>
        <v>0.51870097672103754</v>
      </c>
      <c r="J88" s="1150">
        <f>'12. Разходи'!G88-'12. Разходи'!$C88</f>
        <v>6551.9031606991557</v>
      </c>
      <c r="K88" s="884">
        <f>IFERROR(('12. Разходи'!G88-'12. Разходи'!$C88)/'12. Разходи'!$C88,0)</f>
        <v>0.64795001179281853</v>
      </c>
      <c r="L88" s="1147">
        <f>'12. Разходи'!H88-'12. Разходи'!$C88</f>
        <v>7978.702800710369</v>
      </c>
      <c r="M88" s="888">
        <f>IFERROR(('12. Разходи'!H88-'12. Разходи'!$C88)/'12. Разходи'!$C88,0)</f>
        <v>0.78905326391606911</v>
      </c>
      <c r="N88" s="1161">
        <f>'12. Разходи'!K88</f>
        <v>296.28268639938057</v>
      </c>
      <c r="O88" s="1148">
        <f>'12. Разходи'!L88-'12. Разходи'!$K88</f>
        <v>230.68752623849963</v>
      </c>
      <c r="P88" s="875">
        <f>IFERROR(('12. Разходи'!L88-'12. Разходи'!$K88)/'12. Разходи'!$K88,0)</f>
        <v>0.77860616508498726</v>
      </c>
      <c r="Q88" s="1147">
        <f>'12. Разходи'!M88-'12. Разходи'!$K88</f>
        <v>284.61834944625031</v>
      </c>
      <c r="R88" s="875">
        <f>IFERROR(('12. Разходи'!M88-'12. Разходи'!$K88)/'12. Разходи'!$K88,0)</f>
        <v>0.96063105443357877</v>
      </c>
      <c r="S88" s="1147">
        <f>'12. Разходи'!N88-'12. Разходи'!$K88</f>
        <v>343.09748290333567</v>
      </c>
      <c r="T88" s="884">
        <f>IFERROR(('12. Разходи'!N88-'12. Разходи'!$K88)/'12. Разходи'!$K88,0)</f>
        <v>1.158007196008916</v>
      </c>
      <c r="U88" s="1150">
        <f>'12. Разходи'!O88-'12. Разходи'!$K88</f>
        <v>412.192829301931</v>
      </c>
      <c r="V88" s="884">
        <f>IFERROR(('12. Разходи'!O88-'12. Разходи'!$K88)/'12. Разходи'!$K88,0)</f>
        <v>1.3912147021183239</v>
      </c>
      <c r="W88" s="1147">
        <f>'12. Разходи'!P88-'12. Разходи'!$K88</f>
        <v>485.51887084680692</v>
      </c>
      <c r="X88" s="890">
        <f>IFERROR(('12. Разходи'!P88-'12. Разходи'!$K88)/'12. Разходи'!$K88,0)</f>
        <v>1.638701460241053</v>
      </c>
      <c r="Y88" s="1161">
        <f>'12. Разходи'!S88</f>
        <v>2048.1199194792143</v>
      </c>
      <c r="Z88" s="1148">
        <f>'12. Разходи'!T88-'12. Разходи'!$S88</f>
        <v>889.5441586804709</v>
      </c>
      <c r="AA88" s="875">
        <f>IFERROR(('12. Разходи'!T88-'12. Разходи'!$S88)/'12. Разходи'!$S88,0)</f>
        <v>0.43432230223446083</v>
      </c>
      <c r="AB88" s="1147">
        <f>'12. Разходи'!U88-'12. Разходи'!$S88</f>
        <v>1163.9620585624025</v>
      </c>
      <c r="AC88" s="875">
        <f>IFERROR(('12. Разходи'!U88-'12. Разходи'!$S88)/'12. Разходи'!$S88,0)</f>
        <v>0.56830757197965676</v>
      </c>
      <c r="AD88" s="1147">
        <f>'12. Разходи'!V88-'12. Разходи'!$S88</f>
        <v>1465.548416396211</v>
      </c>
      <c r="AE88" s="884">
        <f>IFERROR(('12. Разходи'!V88-'12. Разходи'!$S88)/'12. Разходи'!$S88,0)</f>
        <v>0.71555791360540222</v>
      </c>
      <c r="AF88" s="1150">
        <f>'12. Разходи'!W88-'12. Разходи'!$S88</f>
        <v>1806.7899907378251</v>
      </c>
      <c r="AG88" s="884">
        <f>IFERROR(('12. Разходи'!W88-'12. Разходи'!$S88)/'12. Разходи'!$S88,0)</f>
        <v>0.88217002019942592</v>
      </c>
      <c r="AH88" s="1147">
        <f>'12. Разходи'!X88-'12. Разходи'!$S88</f>
        <v>2192.5750313785065</v>
      </c>
      <c r="AI88" s="890">
        <f>IFERROR(('12. Разходи'!X88-'12. Разходи'!$S88)/'12. Разходи'!$S88,0)</f>
        <v>1.0705305927281952</v>
      </c>
      <c r="AJ88" s="1161">
        <f>'12. Разходи'!AA88</f>
        <v>0</v>
      </c>
      <c r="AK88" s="1148">
        <f>'12. Разходи'!AB88-'12. Разходи'!$AA88</f>
        <v>0</v>
      </c>
      <c r="AL88" s="875">
        <f>IFERROR(('12. Разходи'!AB88-'12. Разходи'!$AA88)/'12. Разходи'!$AA88,0)</f>
        <v>0</v>
      </c>
      <c r="AM88" s="1147">
        <f>'12. Разходи'!AC88-'12. Разходи'!$AA88</f>
        <v>0</v>
      </c>
      <c r="AN88" s="875">
        <f>IFERROR(('12. Разходи'!AC88-'12. Разходи'!$AA88)/'12. Разходи'!$AA88,0)</f>
        <v>0</v>
      </c>
      <c r="AO88" s="1147">
        <f>'12. Разходи'!AD88-'12. Разходи'!$AA88</f>
        <v>0</v>
      </c>
      <c r="AP88" s="875">
        <f>IFERROR(('12. Разходи'!AD88-'12. Разходи'!$AA88)/'12. Разходи'!$AA88,0)</f>
        <v>0</v>
      </c>
      <c r="AQ88" s="1147">
        <f>'12. Разходи'!AE88-'12. Разходи'!$AA88</f>
        <v>0</v>
      </c>
      <c r="AR88" s="888">
        <f>IFERROR(('12. Разходи'!AE88-'12. Разходи'!$AA88)/'12. Разходи'!$AA88,0)</f>
        <v>0</v>
      </c>
      <c r="AS88" s="1147">
        <f>'12. Разходи'!AF88-'12. Разходи'!$AA88</f>
        <v>0</v>
      </c>
      <c r="AT88" s="890">
        <f>IFERROR(('12. Разходи'!AF88-'12. Разходи'!$AA88)/'12. Разходи'!$AA88,0)</f>
        <v>0</v>
      </c>
      <c r="AU88" s="1161">
        <f>'12. Разходи'!AI88</f>
        <v>1902.8814717557618</v>
      </c>
      <c r="AV88" s="1148">
        <f>'12. Разходи'!AJ88-'12. Разходи'!$AI88</f>
        <v>986.13207666712583</v>
      </c>
      <c r="AW88" s="875">
        <f>IFERROR(('12. Разходи'!AJ88-'12. Разходи'!$AI88)/'12. Разходи'!$AI88,0)</f>
        <v>0.51823095200839586</v>
      </c>
      <c r="AX88" s="1147">
        <f>'12. Разходи'!AK88-'12. Разходи'!$AI88</f>
        <v>1036.6719698965828</v>
      </c>
      <c r="AY88" s="875">
        <f>IFERROR(('12. Разходи'!AK88-'12. Разходи'!$AI88)/'12. Разходи'!$AI88,0)</f>
        <v>0.5447906163803572</v>
      </c>
      <c r="AZ88" s="1147">
        <f>'12. Разходи'!AL88-'12. Разходи'!$AI88</f>
        <v>1263.329601363783</v>
      </c>
      <c r="BA88" s="875">
        <f>IFERROR(('12. Разходи'!AL88-'12. Разходи'!$AI88)/'12. Разходи'!$AI88,0)</f>
        <v>0.66390346435930492</v>
      </c>
      <c r="BB88" s="1147">
        <f>'12. Разходи'!AM88-'12. Разходи'!$AI88</f>
        <v>1546.8441291548827</v>
      </c>
      <c r="BC88" s="888">
        <f>IFERROR(('12. Разходи'!AM88-'12. Разходи'!$AI88)/'12. Разходи'!$AI88,0)</f>
        <v>0.81289568063723461</v>
      </c>
      <c r="BD88" s="1147">
        <f>'12. Разходи'!AN88-'12. Разходи'!$AI88</f>
        <v>1835.5341285469433</v>
      </c>
      <c r="BE88" s="890">
        <f>IFERROR(('12. Разходи'!AN88-'12. Разходи'!$AI88)/'12. Разходи'!$AI88,0)</f>
        <v>0.96460770457411726</v>
      </c>
      <c r="BF88" s="4488"/>
      <c r="BG88" s="4504">
        <f t="shared" si="31"/>
        <v>5170.0514414381396</v>
      </c>
      <c r="BH88" s="4504">
        <f t="shared" si="32"/>
        <v>1556.8145967735713</v>
      </c>
      <c r="BI88" s="4504">
        <f t="shared" si="33"/>
        <v>2098.617042688647</v>
      </c>
      <c r="BJ88" s="4504">
        <f t="shared" si="34"/>
        <v>2681.7107323719711</v>
      </c>
      <c r="BK88" s="4504">
        <f t="shared" si="35"/>
        <v>3349.9348924493211</v>
      </c>
      <c r="BL88" s="4504">
        <f t="shared" si="36"/>
        <v>4079.4459644807416</v>
      </c>
      <c r="BM88" s="4504">
        <f t="shared" si="37"/>
        <v>151.48693209500854</v>
      </c>
      <c r="BN88" s="4504">
        <f t="shared" si="38"/>
        <v>117.94865925898449</v>
      </c>
      <c r="BO88" s="4504">
        <f t="shared" si="39"/>
        <v>145.52305131133602</v>
      </c>
      <c r="BP88" s="4504">
        <f t="shared" si="40"/>
        <v>175.4229574673339</v>
      </c>
      <c r="BQ88" s="4504">
        <f t="shared" si="41"/>
        <v>210.75084710937608</v>
      </c>
      <c r="BR88" s="4504">
        <f t="shared" si="42"/>
        <v>248.24185683152777</v>
      </c>
      <c r="BS88" s="4504">
        <f t="shared" si="43"/>
        <v>1047.187086545975</v>
      </c>
      <c r="BT88" s="4504">
        <f t="shared" si="44"/>
        <v>454.81670629884547</v>
      </c>
      <c r="BU88" s="4504">
        <f t="shared" si="45"/>
        <v>595.12435056339382</v>
      </c>
      <c r="BV88" s="4504">
        <f t="shared" si="46"/>
        <v>749.32300680335766</v>
      </c>
      <c r="BW88" s="4504">
        <f t="shared" si="47"/>
        <v>923.79705329084072</v>
      </c>
      <c r="BX88" s="4504">
        <f t="shared" si="48"/>
        <v>1121.0458124573745</v>
      </c>
      <c r="BY88" s="4504">
        <f t="shared" si="49"/>
        <v>0</v>
      </c>
      <c r="BZ88" s="4504">
        <f t="shared" si="50"/>
        <v>0</v>
      </c>
      <c r="CA88" s="4504">
        <f t="shared" si="51"/>
        <v>0</v>
      </c>
      <c r="CB88" s="4504">
        <f t="shared" si="52"/>
        <v>0</v>
      </c>
      <c r="CC88" s="4504">
        <f t="shared" si="53"/>
        <v>0</v>
      </c>
      <c r="CD88" s="4504">
        <f t="shared" si="54"/>
        <v>0</v>
      </c>
      <c r="CE88" s="4504">
        <f t="shared" si="55"/>
        <v>972.92784738743239</v>
      </c>
      <c r="CF88" s="4504">
        <f t="shared" si="56"/>
        <v>504.20132458706831</v>
      </c>
      <c r="CG88" s="4504">
        <f t="shared" si="57"/>
        <v>530.0419616718134</v>
      </c>
      <c r="CH88" s="4504">
        <f t="shared" si="58"/>
        <v>645.93016845215743</v>
      </c>
      <c r="CI88" s="4504">
        <f t="shared" si="59"/>
        <v>790.88884471292636</v>
      </c>
      <c r="CJ88" s="4504">
        <f t="shared" si="60"/>
        <v>938.49369758462819</v>
      </c>
    </row>
    <row r="89" spans="1:88" s="1215" customFormat="1" ht="15.9" customHeight="1" thickBot="1">
      <c r="A89" s="255"/>
      <c r="B89" s="256" t="s">
        <v>1231</v>
      </c>
      <c r="C89" s="1119">
        <f>'12. Разходи'!C89</f>
        <v>1987.6414943220148</v>
      </c>
      <c r="D89" s="1153">
        <f>'12. Разходи'!D89-'12. Разходи'!$C89</f>
        <v>475.54937100785082</v>
      </c>
      <c r="E89" s="883">
        <f>IFERROR(('12. Разходи'!D89-'12. Разходи'!$C89)/'12. Разходи'!$C89,0)</f>
        <v>0.2392530908447657</v>
      </c>
      <c r="F89" s="1154">
        <f>'12. Разходи'!E89-'12. Разходи'!$C89</f>
        <v>439.70944727656297</v>
      </c>
      <c r="G89" s="883">
        <f>IFERROR(('12. Разходи'!E89-'12. Разходи'!$C89)/'12. Разходи'!$C89,0)</f>
        <v>0.22122170850863024</v>
      </c>
      <c r="H89" s="1154">
        <f>'12. Разходи'!F89-'12. Разходи'!$C89</f>
        <v>392.37852756575239</v>
      </c>
      <c r="I89" s="883">
        <f>IFERROR(('12. Разходи'!F89-'12. Разходи'!$C89)/'12. Разходи'!$C89,0)</f>
        <v>0.197409104552626</v>
      </c>
      <c r="J89" s="1154">
        <f>'12. Разходи'!G89-'12. Разходи'!$C89</f>
        <v>323.57057218723685</v>
      </c>
      <c r="K89" s="889">
        <f>IFERROR(('12. Разходи'!G89-'12. Разходи'!$C89)/'12. Разходи'!$C89,0)</f>
        <v>0.16279121416591621</v>
      </c>
      <c r="L89" s="1154">
        <f>'12. Разходи'!H89-'12. Разходи'!$C89</f>
        <v>230.58051118307367</v>
      </c>
      <c r="M89" s="889">
        <f>IFERROR(('12. Разходи'!H89-'12. Разходи'!$C89)/'12. Разходи'!$C89,0)</f>
        <v>0.11600709274874782</v>
      </c>
      <c r="N89" s="1166">
        <f>'12. Разходи'!K89</f>
        <v>2.1007854810116919</v>
      </c>
      <c r="O89" s="1153">
        <f>'12. Разходи'!L89-'12. Разходи'!$K89</f>
        <v>-0.39968942063118718</v>
      </c>
      <c r="P89" s="883">
        <f>IFERROR(('12. Разходи'!L89-'12. Разходи'!$K89)/'12. Разходи'!$K89,0)</f>
        <v>-0.19025713203173203</v>
      </c>
      <c r="Q89" s="1154">
        <f>'12. Разходи'!M89-'12. Разходи'!$K89</f>
        <v>-0.4122082876965254</v>
      </c>
      <c r="R89" s="883">
        <f>IFERROR(('12. Разходи'!M89-'12. Разходи'!$K89)/'12. Разходи'!$K89,0)</f>
        <v>-0.19621626835407058</v>
      </c>
      <c r="S89" s="1154">
        <f>'12. Разходи'!N89-'12. Разходи'!$K89</f>
        <v>-0.40392675179244897</v>
      </c>
      <c r="T89" s="883">
        <f>IFERROR(('12. Разходи'!N89-'12. Разходи'!$K89)/'12. Разходи'!$K89,0)</f>
        <v>-0.19227415433103942</v>
      </c>
      <c r="U89" s="1154">
        <f>'12. Разходи'!O89-'12. Разходи'!$K89</f>
        <v>-0.38937869197042962</v>
      </c>
      <c r="V89" s="889">
        <f>IFERROR(('12. Разходи'!O89-'12. Разходи'!$K89)/'12. Разходи'!$K89,0)</f>
        <v>-0.18534909703532101</v>
      </c>
      <c r="W89" s="1154">
        <f>'12. Разходи'!P89-'12. Разходи'!$K89</f>
        <v>-0.37178762119673214</v>
      </c>
      <c r="X89" s="827">
        <f>IFERROR(('12. Разходи'!P89-'12. Разходи'!$K89)/'12. Разходи'!$K89,0)</f>
        <v>-0.1769755287044765</v>
      </c>
      <c r="Y89" s="1166">
        <f>'12. Разходи'!S89</f>
        <v>552.65249416140523</v>
      </c>
      <c r="Z89" s="1153">
        <f>'12. Разходи'!T89-'12. Разходи'!$S89</f>
        <v>102.82150323141877</v>
      </c>
      <c r="AA89" s="883">
        <f>IFERROR(('12. Разходи'!T89-'12. Разходи'!$S89)/'12. Разходи'!$S89,0)</f>
        <v>0.1860509168377863</v>
      </c>
      <c r="AB89" s="1154">
        <f>'12. Разходи'!U89-'12. Разходи'!$S89</f>
        <v>100.28948688899914</v>
      </c>
      <c r="AC89" s="883">
        <f>IFERROR(('12. Разходи'!U89-'12. Разходи'!$S89)/'12. Разходи'!$S89,0)</f>
        <v>0.18146934637683737</v>
      </c>
      <c r="AD89" s="1154">
        <f>'12. Разходи'!V89-'12. Разходи'!$S89</f>
        <v>96.162688028339176</v>
      </c>
      <c r="AE89" s="883">
        <f>IFERROR(('12. Разходи'!V89-'12. Разходи'!$S89)/'12. Разходи'!$S89,0)</f>
        <v>0.17400208819152516</v>
      </c>
      <c r="AF89" s="1154">
        <f>'12. Разходи'!W89-'12. Разходи'!$S89</f>
        <v>92.093935297478993</v>
      </c>
      <c r="AG89" s="889">
        <f>IFERROR(('12. Разходи'!W89-'12. Разходи'!$S89)/'12. Разходи'!$S89,0)</f>
        <v>0.16663986188503918</v>
      </c>
      <c r="AH89" s="1154">
        <f>'12. Разходи'!X89-'12. Разходи'!$S89</f>
        <v>90.16264944119655</v>
      </c>
      <c r="AI89" s="827">
        <f>IFERROR(('12. Разходи'!X89-'12. Разходи'!$S89)/'12. Разходи'!$S89,0)</f>
        <v>0.16314528640282233</v>
      </c>
      <c r="AJ89" s="1166">
        <f>'12. Разходи'!AA89</f>
        <v>0</v>
      </c>
      <c r="AK89" s="1153">
        <f>'12. Разходи'!AB89-'12. Разходи'!$AA89</f>
        <v>0</v>
      </c>
      <c r="AL89" s="883">
        <f>IFERROR(('12. Разходи'!AB89-'12. Разходи'!$AA89)/'12. Разходи'!$AA89,0)</f>
        <v>0</v>
      </c>
      <c r="AM89" s="1154">
        <f>'12. Разходи'!AC89-'12. Разходи'!$AA89</f>
        <v>0</v>
      </c>
      <c r="AN89" s="883">
        <f>IFERROR(('12. Разходи'!AC89-'12. Разходи'!$AA89)/'12. Разходи'!$AA89,0)</f>
        <v>0</v>
      </c>
      <c r="AO89" s="1154">
        <f>'12. Разходи'!AD89-'12. Разходи'!$AA89</f>
        <v>0</v>
      </c>
      <c r="AP89" s="883">
        <f>IFERROR(('12. Разходи'!AD89-'12. Разходи'!$AA89)/'12. Разходи'!$AA89,0)</f>
        <v>0</v>
      </c>
      <c r="AQ89" s="1154">
        <f>'12. Разходи'!AE89-'12. Разходи'!$AA89</f>
        <v>0</v>
      </c>
      <c r="AR89" s="889">
        <f>IFERROR(('12. Разходи'!AE89-'12. Разходи'!$AA89)/'12. Разходи'!$AA89,0)</f>
        <v>0</v>
      </c>
      <c r="AS89" s="1154">
        <f>'12. Разходи'!AF89-'12. Разходи'!$AA89</f>
        <v>0</v>
      </c>
      <c r="AT89" s="1214">
        <f>IFERROR(('12. Разходи'!AF89-'12. Разходи'!$AA89)/'12. Разходи'!$AA89,0)</f>
        <v>0</v>
      </c>
      <c r="AU89" s="1166">
        <f>'12. Разходи'!AI89</f>
        <v>664.57386348865384</v>
      </c>
      <c r="AV89" s="1153">
        <f>'12. Разходи'!AJ89-'12. Разходи'!$AI89</f>
        <v>148.29905168906157</v>
      </c>
      <c r="AW89" s="883">
        <f>IFERROR(('12. Разходи'!AJ89-'12. Разходи'!$AI89)/'12. Разходи'!$AI89,0)</f>
        <v>0.22314908821507312</v>
      </c>
      <c r="AX89" s="1154">
        <f>'12. Разходи'!AK89-'12. Разходи'!$AI89</f>
        <v>148.89873662497666</v>
      </c>
      <c r="AY89" s="883">
        <f>IFERROR(('12. Разходи'!AK89-'12. Разходи'!$AI89)/'12. Разходи'!$AI89,0)</f>
        <v>0.22405144831206378</v>
      </c>
      <c r="AZ89" s="1154">
        <f>'12. Разходи'!AL89-'12. Разходи'!$AI89</f>
        <v>149.48377560675544</v>
      </c>
      <c r="BA89" s="883">
        <f>IFERROR(('12. Разходи'!AL89-'12. Разходи'!$AI89)/'12. Разходи'!$AI89,0)</f>
        <v>0.2249317702956995</v>
      </c>
      <c r="BB89" s="1154">
        <f>'12. Разходи'!AM89-'12. Разходи'!$AI89</f>
        <v>150.08009551202599</v>
      </c>
      <c r="BC89" s="889">
        <f>IFERROR(('12. Разходи'!AM89-'12. Разходи'!$AI89)/'12. Разходи'!$AI89,0)</f>
        <v>0.22582906695154478</v>
      </c>
      <c r="BD89" s="1154">
        <f>'12. Разходи'!AN89-'12. Разходи'!$AI89</f>
        <v>150.67534801953616</v>
      </c>
      <c r="BE89" s="1214">
        <f>IFERROR(('12. Разходи'!AN89-'12. Разходи'!$AI89)/'12. Разходи'!$AI89,0)</f>
        <v>0.22672475746875143</v>
      </c>
      <c r="BF89" s="4488"/>
      <c r="BG89" s="4504">
        <f t="shared" si="31"/>
        <v>1016.2649587755658</v>
      </c>
      <c r="BH89" s="4504">
        <f t="shared" si="32"/>
        <v>243.14453250428249</v>
      </c>
      <c r="BI89" s="4504">
        <f t="shared" si="33"/>
        <v>224.81987047778333</v>
      </c>
      <c r="BJ89" s="4504">
        <f t="shared" si="34"/>
        <v>200.61995550009581</v>
      </c>
      <c r="BK89" s="4504">
        <f t="shared" si="35"/>
        <v>165.43900655334915</v>
      </c>
      <c r="BL89" s="4504">
        <f t="shared" si="36"/>
        <v>117.89394332997944</v>
      </c>
      <c r="BM89" s="4504">
        <f t="shared" si="37"/>
        <v>1.0741145605761708</v>
      </c>
      <c r="BN89" s="4504">
        <f t="shared" si="38"/>
        <v>-0.20435795576874635</v>
      </c>
      <c r="BO89" s="4504">
        <f t="shared" si="39"/>
        <v>-0.21075875086102852</v>
      </c>
      <c r="BP89" s="4504">
        <f t="shared" si="40"/>
        <v>-0.20652446878943925</v>
      </c>
      <c r="BQ89" s="4504">
        <f t="shared" si="41"/>
        <v>-0.19908616391528386</v>
      </c>
      <c r="BR89" s="4504">
        <f t="shared" si="42"/>
        <v>-0.19009199224714426</v>
      </c>
      <c r="BS89" s="4504">
        <f t="shared" si="43"/>
        <v>282.56673338756701</v>
      </c>
      <c r="BT89" s="4504">
        <f t="shared" si="44"/>
        <v>52.571799814615161</v>
      </c>
      <c r="BU89" s="4504">
        <f t="shared" si="45"/>
        <v>51.277200415679857</v>
      </c>
      <c r="BV89" s="4504">
        <f t="shared" si="46"/>
        <v>49.16720166289462</v>
      </c>
      <c r="BW89" s="4504">
        <f t="shared" si="47"/>
        <v>47.086881425010866</v>
      </c>
      <c r="BX89" s="4504">
        <f t="shared" si="48"/>
        <v>46.099430646424565</v>
      </c>
      <c r="BY89" s="4504">
        <f t="shared" si="49"/>
        <v>0</v>
      </c>
      <c r="BZ89" s="4504">
        <f t="shared" si="50"/>
        <v>0</v>
      </c>
      <c r="CA89" s="4504">
        <f t="shared" si="51"/>
        <v>0</v>
      </c>
      <c r="CB89" s="4504">
        <f t="shared" si="52"/>
        <v>0</v>
      </c>
      <c r="CC89" s="4504">
        <f t="shared" si="53"/>
        <v>0</v>
      </c>
      <c r="CD89" s="4504">
        <f t="shared" si="54"/>
        <v>0</v>
      </c>
      <c r="CE89" s="4504">
        <f t="shared" si="55"/>
        <v>339.79122085695275</v>
      </c>
      <c r="CF89" s="4504">
        <f t="shared" si="56"/>
        <v>75.824101117715529</v>
      </c>
      <c r="CG89" s="4504">
        <f t="shared" si="57"/>
        <v>76.130715156724591</v>
      </c>
      <c r="CH89" s="4504">
        <f t="shared" si="58"/>
        <v>76.429840838291383</v>
      </c>
      <c r="CI89" s="4504">
        <f t="shared" si="59"/>
        <v>76.734734364451924</v>
      </c>
      <c r="CJ89" s="4504">
        <f t="shared" si="60"/>
        <v>77.039082138803565</v>
      </c>
    </row>
    <row r="90" spans="1:88" s="1216" customFormat="1" ht="15.9" customHeight="1" thickBot="1">
      <c r="A90" s="255"/>
      <c r="B90" s="256" t="s">
        <v>637</v>
      </c>
      <c r="C90" s="1119">
        <f>'12. Разходи'!C90</f>
        <v>1683.7457744091387</v>
      </c>
      <c r="D90" s="1155">
        <f>'12. Разходи'!D90-'12. Разходи'!$C90</f>
        <v>180.45359929353094</v>
      </c>
      <c r="E90" s="883">
        <f>IFERROR(('12. Разходи'!D90-'12. Разходи'!$C90)/'12. Разходи'!$C90,0)</f>
        <v>0.10717389883686916</v>
      </c>
      <c r="F90" s="1156">
        <f>'12. Разходи'!E90-'12. Разходи'!$C90</f>
        <v>298.48787025116758</v>
      </c>
      <c r="G90" s="883">
        <f>IFERROR(('12. Разходи'!E90-'12. Разходи'!$C90)/'12. Разходи'!$C90,0)</f>
        <v>0.17727609166883473</v>
      </c>
      <c r="H90" s="1156">
        <f>'12. Разходи'!F90-'12. Разходи'!$C90</f>
        <v>446.72525421417299</v>
      </c>
      <c r="I90" s="883">
        <f>IFERROR(('12. Разходи'!F90-'12. Разходи'!$C90)/'12. Разходи'!$C90,0)</f>
        <v>0.26531633278838557</v>
      </c>
      <c r="J90" s="1156">
        <f>'12. Разходи'!G90-'12. Разходи'!$C90</f>
        <v>615.45617056859578</v>
      </c>
      <c r="K90" s="889">
        <f>IFERROR(('12. Разходи'!G90-'12. Разходи'!$C90)/'12. Разходи'!$C90,0)</f>
        <v>0.36552796741810512</v>
      </c>
      <c r="L90" s="1156">
        <f>'12. Разходи'!H90-'12. Разходи'!$C90</f>
        <v>791.58681087331775</v>
      </c>
      <c r="M90" s="889">
        <f>IFERROR(('12. Разходи'!H90-'12. Разходи'!$C90)/'12. Разходи'!$C90,0)</f>
        <v>0.47013440087242503</v>
      </c>
      <c r="N90" s="1166">
        <f>'12. Разходи'!K90</f>
        <v>44.438360887186846</v>
      </c>
      <c r="O90" s="1155">
        <f>'12. Разходи'!L90-'12. Разходи'!$K90</f>
        <v>16.058161457067214</v>
      </c>
      <c r="P90" s="883">
        <f>IFERROR(('12. Разходи'!L90-'12. Разходи'!$K90)/'12. Разходи'!$K90,0)</f>
        <v>0.36135809549396208</v>
      </c>
      <c r="Q90" s="1156">
        <f>'12. Разходи'!M90-'12. Разходи'!$K90</f>
        <v>18.879016544748048</v>
      </c>
      <c r="R90" s="883">
        <f>IFERROR(('12. Разходи'!M90-'12. Разходи'!$K90)/'12. Разходи'!$K90,0)</f>
        <v>0.42483602382804214</v>
      </c>
      <c r="S90" s="1156">
        <f>'12. Разходи'!N90-'12. Разходи'!$K90</f>
        <v>18.296872431875506</v>
      </c>
      <c r="T90" s="883">
        <f>IFERROR(('12. Разходи'!N90-'12. Разходи'!$K90)/'12. Разходи'!$K90,0)</f>
        <v>0.41173598815502538</v>
      </c>
      <c r="U90" s="1156">
        <f>'12. Разходи'!O90-'12. Разходи'!$K90</f>
        <v>29.276694487684097</v>
      </c>
      <c r="V90" s="889">
        <f>IFERROR(('12. Разходи'!O90-'12. Разходи'!$K90)/'12. Разходи'!$K90,0)</f>
        <v>0.6588158047054703</v>
      </c>
      <c r="W90" s="1156">
        <f>'12. Разходи'!P90-'12. Разходи'!$K90</f>
        <v>29.868926125282627</v>
      </c>
      <c r="X90" s="827">
        <f>IFERROR(('12. Разходи'!P90-'12. Разходи'!$K90)/'12. Разходи'!$K90,0)</f>
        <v>0.67214284075664221</v>
      </c>
      <c r="Y90" s="1166">
        <f>'12. Разходи'!S90</f>
        <v>38.189003959221701</v>
      </c>
      <c r="Z90" s="1155">
        <f>'12. Разходи'!T90-'12. Разходи'!$S90</f>
        <v>10.329789567547351</v>
      </c>
      <c r="AA90" s="883">
        <f>IFERROR(('12. Разходи'!T90-'12. Разходи'!$S90)/'12. Разходи'!$S90,0)</f>
        <v>0.27049120156622891</v>
      </c>
      <c r="AB90" s="1156">
        <f>'12. Разходи'!U90-'12. Разходи'!$S90</f>
        <v>9.5604275644832555</v>
      </c>
      <c r="AC90" s="883">
        <f>IFERROR(('12. Разходи'!U90-'12. Разходи'!$S90)/'12. Разходи'!$S90,0)</f>
        <v>0.25034503582999706</v>
      </c>
      <c r="AD90" s="1156">
        <f>'12. Разходи'!V90-'12. Разходи'!$S90</f>
        <v>12.772714309076278</v>
      </c>
      <c r="AE90" s="883">
        <f>IFERROR(('12. Разходи'!V90-'12. Разходи'!$S90)/'12. Разходи'!$S90,0)</f>
        <v>0.33446052488603811</v>
      </c>
      <c r="AF90" s="1156">
        <f>'12. Разходи'!W90-'12. Разходи'!$S90</f>
        <v>16.768765204471116</v>
      </c>
      <c r="AG90" s="889">
        <f>IFERROR(('12. Разходи'!W90-'12. Разходи'!$S90)/'12. Разходи'!$S90,0)</f>
        <v>0.43909930781061579</v>
      </c>
      <c r="AH90" s="1156">
        <f>'12. Разходи'!X90-'12. Разходи'!$S90</f>
        <v>20.88053875979773</v>
      </c>
      <c r="AI90" s="827">
        <f>IFERROR(('12. Разходи'!X90-'12. Разходи'!$S90)/'12. Разходи'!$S90,0)</f>
        <v>0.54676835201289919</v>
      </c>
      <c r="AJ90" s="1166">
        <f>'12. Разходи'!AA90</f>
        <v>0</v>
      </c>
      <c r="AK90" s="1155">
        <f>'12. Разходи'!AB90-'12. Разходи'!$AA90</f>
        <v>0</v>
      </c>
      <c r="AL90" s="883">
        <f>IFERROR(('12. Разходи'!AB90-'12. Разходи'!$AA90)/'12. Разходи'!$AA90,0)</f>
        <v>0</v>
      </c>
      <c r="AM90" s="1156">
        <f>'12. Разходи'!AC90-'12. Разходи'!$AA90</f>
        <v>0</v>
      </c>
      <c r="AN90" s="883">
        <f>IFERROR(('12. Разходи'!AC90-'12. Разходи'!$AA90)/'12. Разходи'!$AA90,0)</f>
        <v>0</v>
      </c>
      <c r="AO90" s="1156">
        <f>'12. Разходи'!AD90-'12. Разходи'!$AA90</f>
        <v>0</v>
      </c>
      <c r="AP90" s="883">
        <f>IFERROR(('12. Разходи'!AD90-'12. Разходи'!$AA90)/'12. Разходи'!$AA90,0)</f>
        <v>0</v>
      </c>
      <c r="AQ90" s="1156">
        <f>'12. Разходи'!AE90-'12. Разходи'!$AA90</f>
        <v>0</v>
      </c>
      <c r="AR90" s="889">
        <f>IFERROR(('12. Разходи'!AE90-'12. Разходи'!$AA90)/'12. Разходи'!$AA90,0)</f>
        <v>0</v>
      </c>
      <c r="AS90" s="1156">
        <f>'12. Разходи'!AF90-'12. Разходи'!$AA90</f>
        <v>0</v>
      </c>
      <c r="AT90" s="1214">
        <f>IFERROR(('12. Разходи'!AF90-'12. Разходи'!$AA90)/'12. Разходи'!$AA90,0)</f>
        <v>0</v>
      </c>
      <c r="AU90" s="1166">
        <f>'12. Разходи'!AI90</f>
        <v>126.21190993838351</v>
      </c>
      <c r="AV90" s="1155">
        <f>'12. Разходи'!AJ90-'12. Разходи'!$AI90</f>
        <v>100.68573282772812</v>
      </c>
      <c r="AW90" s="883">
        <f>IFERROR(('12. Разходи'!AJ90-'12. Разходи'!$AI90)/'12. Разходи'!$AI90,0)</f>
        <v>0.79775143943929505</v>
      </c>
      <c r="AX90" s="1156">
        <f>'12. Разходи'!AK90-'12. Разходи'!$AI90</f>
        <v>130.02486291665471</v>
      </c>
      <c r="AY90" s="883">
        <f>IFERROR(('12. Разходи'!AK90-'12. Разходи'!$AI90)/'12. Разходи'!$AI90,0)</f>
        <v>1.0302107224281185</v>
      </c>
      <c r="AZ90" s="1156">
        <f>'12. Разходи'!AL90-'12. Разходи'!$AI90</f>
        <v>164.43528594475404</v>
      </c>
      <c r="BA90" s="883">
        <f>IFERROR(('12. Разходи'!AL90-'12. Разходи'!$AI90)/'12. Разходи'!$AI90,0)</f>
        <v>1.3028507850410562</v>
      </c>
      <c r="BB90" s="1156">
        <f>'12. Разходи'!AM90-'12. Разходи'!$AI90</f>
        <v>202.03657177160895</v>
      </c>
      <c r="BC90" s="889">
        <f>IFERROR(('12. Разходи'!AM90-'12. Разходи'!$AI90)/'12. Разходи'!$AI90,0)</f>
        <v>1.6007726360392054</v>
      </c>
      <c r="BD90" s="1156">
        <f>'12. Разходи'!AN90-'12. Разходи'!$AI90</f>
        <v>248.57187036772896</v>
      </c>
      <c r="BE90" s="1214">
        <f>IFERROR(('12. Разходи'!AN90-'12. Разходи'!$AI90)/'12. Разходи'!$AI90,0)</f>
        <v>1.9694803009405484</v>
      </c>
      <c r="BF90" s="4488"/>
      <c r="BG90" s="4504">
        <f t="shared" si="31"/>
        <v>860.88554445383227</v>
      </c>
      <c r="BH90" s="4504">
        <f t="shared" si="32"/>
        <v>92.264460251418043</v>
      </c>
      <c r="BI90" s="4504">
        <f t="shared" si="33"/>
        <v>152.61442469497226</v>
      </c>
      <c r="BJ90" s="4504">
        <f t="shared" si="34"/>
        <v>228.40699560502344</v>
      </c>
      <c r="BK90" s="4504">
        <f t="shared" si="35"/>
        <v>314.67774324383805</v>
      </c>
      <c r="BL90" s="4504">
        <f t="shared" si="36"/>
        <v>404.73190966153385</v>
      </c>
      <c r="BM90" s="4504">
        <f t="shared" si="37"/>
        <v>22.720973135286219</v>
      </c>
      <c r="BN90" s="4504">
        <f t="shared" si="38"/>
        <v>8.2104075799365059</v>
      </c>
      <c r="BO90" s="4504">
        <f t="shared" si="39"/>
        <v>9.6526878842987625</v>
      </c>
      <c r="BP90" s="4504">
        <f t="shared" si="40"/>
        <v>9.3550423257008575</v>
      </c>
      <c r="BQ90" s="4504">
        <f t="shared" si="41"/>
        <v>14.968936199814962</v>
      </c>
      <c r="BR90" s="4504">
        <f t="shared" si="42"/>
        <v>15.271739427906631</v>
      </c>
      <c r="BS90" s="4504">
        <f t="shared" si="43"/>
        <v>19.525727675320301</v>
      </c>
      <c r="BT90" s="4504">
        <f t="shared" si="44"/>
        <v>5.2815375403523577</v>
      </c>
      <c r="BU90" s="4504">
        <f t="shared" si="45"/>
        <v>4.8881689944848254</v>
      </c>
      <c r="BV90" s="4504">
        <f t="shared" si="46"/>
        <v>6.5305851270694681</v>
      </c>
      <c r="BW90" s="4504">
        <f t="shared" si="47"/>
        <v>8.5737335067317275</v>
      </c>
      <c r="BX90" s="4504">
        <f t="shared" si="48"/>
        <v>10.676049942887536</v>
      </c>
      <c r="BY90" s="4504">
        <f t="shared" si="49"/>
        <v>0</v>
      </c>
      <c r="BZ90" s="4504">
        <f t="shared" si="50"/>
        <v>0</v>
      </c>
      <c r="CA90" s="4504">
        <f t="shared" si="51"/>
        <v>0</v>
      </c>
      <c r="CB90" s="4504">
        <f t="shared" si="52"/>
        <v>0</v>
      </c>
      <c r="CC90" s="4504">
        <f t="shared" si="53"/>
        <v>0</v>
      </c>
      <c r="CD90" s="4504">
        <f t="shared" si="54"/>
        <v>0</v>
      </c>
      <c r="CE90" s="4504">
        <f t="shared" si="55"/>
        <v>64.531124861763814</v>
      </c>
      <c r="CF90" s="4504">
        <f t="shared" si="56"/>
        <v>51.479797747108961</v>
      </c>
      <c r="CG90" s="4504">
        <f t="shared" si="57"/>
        <v>66.480656762936817</v>
      </c>
      <c r="CH90" s="4504">
        <f t="shared" si="58"/>
        <v>84.074426685731396</v>
      </c>
      <c r="CI90" s="4504">
        <f t="shared" si="59"/>
        <v>103.29965885154076</v>
      </c>
      <c r="CJ90" s="4504">
        <f t="shared" si="60"/>
        <v>127.09277921277871</v>
      </c>
    </row>
    <row r="91" spans="1:88" s="1216" customFormat="1" ht="15.9" customHeight="1" thickBot="1">
      <c r="A91" s="255"/>
      <c r="B91" s="256" t="s">
        <v>1229</v>
      </c>
      <c r="C91" s="1119">
        <f>'12. Разходи'!C91</f>
        <v>9204.8491285128366</v>
      </c>
      <c r="D91" s="1153">
        <f>'12. Разходи'!D91-'12. Разходи'!$C91</f>
        <v>3037.5769232814309</v>
      </c>
      <c r="E91" s="883">
        <f>IFERROR(('12. Разходи'!D91-'12. Разходи'!$C91)/'12. Разходи'!$C91,0)</f>
        <v>0.32999746990662421</v>
      </c>
      <c r="F91" s="1154">
        <f>'12. Разходи'!E91-'12. Разходи'!$C91</f>
        <v>4088.4697452920536</v>
      </c>
      <c r="G91" s="883">
        <f>IFERROR(('12. Разходи'!E91-'12. Разходи'!$C91)/'12. Разходи'!$C91,0)</f>
        <v>0.44416477534951182</v>
      </c>
      <c r="H91" s="1154">
        <f>'12. Разходи'!F91-'12. Разходи'!$C91</f>
        <v>5273.353797831558</v>
      </c>
      <c r="I91" s="883">
        <f>IFERROR(('12. Разходи'!F91-'12. Разходи'!$C91)/'12. Разходи'!$C91,0)</f>
        <v>0.57288867250380859</v>
      </c>
      <c r="J91" s="1154">
        <f>'12. Разходи'!G91-'12. Разходи'!$C91</f>
        <v>6589.8577188737072</v>
      </c>
      <c r="K91" s="889">
        <f>IFERROR(('12. Разходи'!G91-'12. Разходи'!$C91)/'12. Разходи'!$C91,0)</f>
        <v>0.71591154041417571</v>
      </c>
      <c r="L91" s="1154">
        <f>'12. Разходи'!H91-'12. Разходи'!$C91</f>
        <v>8024.2095080319559</v>
      </c>
      <c r="M91" s="889">
        <f>IFERROR(('12. Разходи'!H91-'12. Разходи'!$C91)/'12. Разходи'!$C91,0)</f>
        <v>0.87173721111585145</v>
      </c>
      <c r="N91" s="1166">
        <f>'12. Разходи'!K91</f>
        <v>240.37583837882858</v>
      </c>
      <c r="O91" s="1153">
        <f>'12. Разходи'!L91-'12. Разходи'!$K91</f>
        <v>220.31505744453233</v>
      </c>
      <c r="P91" s="883">
        <f>IFERROR(('12. Разходи'!L91-'12. Разходи'!$K91)/'12. Разходи'!$K91,0)</f>
        <v>0.91654410414294318</v>
      </c>
      <c r="Q91" s="1154">
        <f>'12. Разходи'!M91-'12. Разходи'!$K91</f>
        <v>273.86997670602818</v>
      </c>
      <c r="R91" s="883">
        <f>IFERROR(('12. Разходи'!M91-'12. Разходи'!$K91)/'12. Разходи'!$K91,0)</f>
        <v>1.1393407030968452</v>
      </c>
      <c r="S91" s="1154">
        <f>'12. Разходи'!N91-'12. Разходи'!$K91</f>
        <v>331.95827904472117</v>
      </c>
      <c r="T91" s="883">
        <f>IFERROR(('12. Разходи'!N91-'12. Разходи'!$K91)/'12. Разходи'!$K91,0)</f>
        <v>1.3809968642587118</v>
      </c>
      <c r="U91" s="1154">
        <f>'12. Разходи'!O91-'12. Разходи'!$K91</f>
        <v>400.64695867263799</v>
      </c>
      <c r="V91" s="889">
        <f>IFERROR(('12. Разходи'!O91-'12. Разходи'!$K91)/'12. Разходи'!$K91,0)</f>
        <v>1.6667522051081716</v>
      </c>
      <c r="W91" s="1154">
        <f>'12. Разходи'!P91-'12. Разходи'!$K91</f>
        <v>473.59056184251483</v>
      </c>
      <c r="X91" s="827">
        <f>IFERROR(('12. Разходи'!P91-'12. Разходи'!$K91)/'12. Разходи'!$K91,0)</f>
        <v>1.9702086742018701</v>
      </c>
      <c r="Y91" s="1166">
        <f>'12. Разходи'!S91</f>
        <v>1919.496547924218</v>
      </c>
      <c r="Z91" s="1153">
        <f>'12. Разходи'!T91-'12. Разходи'!$S91</f>
        <v>922.05744760534276</v>
      </c>
      <c r="AA91" s="883">
        <f>IFERROR(('12. Разходи'!T91-'12. Разходи'!$S91)/'12. Разходи'!$S91,0)</f>
        <v>0.48036421248190009</v>
      </c>
      <c r="AB91" s="1154">
        <f>'12. Разходи'!U91-'12. Разходи'!$S91</f>
        <v>1196.0119072169884</v>
      </c>
      <c r="AC91" s="883">
        <f>IFERROR(('12. Разходи'!U91-'12. Разходи'!$S91)/'12. Разходи'!$S91,0)</f>
        <v>0.62308625066837431</v>
      </c>
      <c r="AD91" s="1154">
        <f>'12. Разходи'!V91-'12. Разходи'!$S91</f>
        <v>1500.5925463577494</v>
      </c>
      <c r="AE91" s="883">
        <f>IFERROR(('12. Разходи'!V91-'12. Разходи'!$S91)/'12. Разходи'!$S91,0)</f>
        <v>0.78176360774418696</v>
      </c>
      <c r="AF91" s="1154">
        <f>'12. Разходи'!W91-'12. Разходи'!$S91</f>
        <v>1842.4420321826562</v>
      </c>
      <c r="AG91" s="889">
        <f>IFERROR(('12. Разходи'!W91-'12. Разходи'!$S91)/'12. Разходи'!$S91,0)</f>
        <v>0.95985691361368164</v>
      </c>
      <c r="AH91" s="1154">
        <f>'12. Разходи'!X91-'12. Разходи'!$S91</f>
        <v>2227.7373620513026</v>
      </c>
      <c r="AI91" s="827">
        <f>IFERROR(('12. Разходи'!X91-'12. Разходи'!$S91)/'12. Разходи'!$S91,0)</f>
        <v>1.1605841982161533</v>
      </c>
      <c r="AJ91" s="1166">
        <f>'12. Разходи'!AA91</f>
        <v>0</v>
      </c>
      <c r="AK91" s="1153">
        <f>'12. Разходи'!AB91-'12. Разходи'!$AA91</f>
        <v>0</v>
      </c>
      <c r="AL91" s="883">
        <f>IFERROR(('12. Разходи'!AB91-'12. Разходи'!$AA91)/'12. Разходи'!$AA91,0)</f>
        <v>0</v>
      </c>
      <c r="AM91" s="1154">
        <f>'12. Разходи'!AC91-'12. Разходи'!$AA91</f>
        <v>0</v>
      </c>
      <c r="AN91" s="883">
        <f>IFERROR(('12. Разходи'!AC91-'12. Разходи'!$AA91)/'12. Разходи'!$AA91,0)</f>
        <v>0</v>
      </c>
      <c r="AO91" s="1154">
        <f>'12. Разходи'!AD91-'12. Разходи'!$AA91</f>
        <v>0</v>
      </c>
      <c r="AP91" s="883">
        <f>IFERROR(('12. Разходи'!AD91-'12. Разходи'!$AA91)/'12. Разходи'!$AA91,0)</f>
        <v>0</v>
      </c>
      <c r="AQ91" s="1154">
        <f>'12. Разходи'!AE91-'12. Разходи'!$AA91</f>
        <v>0</v>
      </c>
      <c r="AR91" s="889">
        <f>IFERROR(('12. Разходи'!AE91-'12. Разходи'!$AA91)/'12. Разходи'!$AA91,0)</f>
        <v>0</v>
      </c>
      <c r="AS91" s="1154">
        <f>'12. Разходи'!AF91-'12. Разходи'!$AA91</f>
        <v>0</v>
      </c>
      <c r="AT91" s="1214">
        <f>IFERROR(('12. Разходи'!AF91-'12. Разходи'!$AA91)/'12. Разходи'!$AA91,0)</f>
        <v>0</v>
      </c>
      <c r="AU91" s="1166">
        <f>'12. Разходи'!AI91</f>
        <v>1875.4232707322469</v>
      </c>
      <c r="AV91" s="1153">
        <f>'12. Разходи'!AJ91-'12. Разходи'!$AI91</f>
        <v>700.71621982004785</v>
      </c>
      <c r="AW91" s="883">
        <f>IFERROR(('12. Разходи'!AJ91-'12. Разходи'!$AI91)/'12. Разходи'!$AI91,0)</f>
        <v>0.37363097214126906</v>
      </c>
      <c r="AX91" s="1154">
        <f>'12. Разходи'!AK91-'12. Разходи'!$AI91</f>
        <v>905.65611304950494</v>
      </c>
      <c r="AY91" s="883">
        <f>IFERROR(('12. Разходи'!AK91-'12. Разходи'!$AI91)/'12. Разходи'!$AI91,0)</f>
        <v>0.4829075799490839</v>
      </c>
      <c r="AZ91" s="1154">
        <f>'12. Разходи'!AL91-'12. Разходи'!$AI91</f>
        <v>1136.7137445167052</v>
      </c>
      <c r="BA91" s="883">
        <f>IFERROR(('12. Разходи'!AL91-'12. Разходи'!$AI91)/'12. Разходи'!$AI91,0)</f>
        <v>0.60611050436250724</v>
      </c>
      <c r="BB91" s="1154">
        <f>'12. Разходи'!AM91-'12. Разходи'!$AI91</f>
        <v>1394.6282723078045</v>
      </c>
      <c r="BC91" s="889">
        <f>IFERROR(('12. Разходи'!AM91-'12. Разходи'!$AI91)/'12. Разходи'!$AI91,0)</f>
        <v>0.7436338740551518</v>
      </c>
      <c r="BD91" s="1154">
        <f>'12. Разходи'!AN91-'12. Разходи'!$AI91</f>
        <v>1682.7182716998652</v>
      </c>
      <c r="BE91" s="1214">
        <f>IFERROR(('12. Разходи'!AN91-'12. Разходи'!$AI91)/'12. Разходи'!$AI91,0)</f>
        <v>0.89724719638509054</v>
      </c>
      <c r="BF91" s="4488"/>
      <c r="BG91" s="4504">
        <f t="shared" si="31"/>
        <v>4706.3646270447007</v>
      </c>
      <c r="BH91" s="4504">
        <f t="shared" si="32"/>
        <v>1553.0884193827842</v>
      </c>
      <c r="BI91" s="4504">
        <f t="shared" si="33"/>
        <v>2090.4013872841983</v>
      </c>
      <c r="BJ91" s="4504">
        <f t="shared" si="34"/>
        <v>2696.2229835065204</v>
      </c>
      <c r="BK91" s="4504">
        <f t="shared" si="35"/>
        <v>3369.3407498983588</v>
      </c>
      <c r="BL91" s="4504">
        <f t="shared" si="36"/>
        <v>4102.7131744742419</v>
      </c>
      <c r="BM91" s="4504">
        <f t="shared" si="37"/>
        <v>122.90221459882945</v>
      </c>
      <c r="BN91" s="4504">
        <f t="shared" si="38"/>
        <v>112.64530017666787</v>
      </c>
      <c r="BO91" s="4504">
        <f t="shared" si="39"/>
        <v>140.02749559318968</v>
      </c>
      <c r="BP91" s="4504">
        <f t="shared" si="40"/>
        <v>169.72757297143471</v>
      </c>
      <c r="BQ91" s="4504">
        <f t="shared" si="41"/>
        <v>204.84753719527669</v>
      </c>
      <c r="BR91" s="4504">
        <f t="shared" si="42"/>
        <v>242.14300928123347</v>
      </c>
      <c r="BS91" s="4504">
        <f t="shared" si="43"/>
        <v>981.4230009378208</v>
      </c>
      <c r="BT91" s="4504">
        <f t="shared" si="44"/>
        <v>471.44048695711939</v>
      </c>
      <c r="BU91" s="4504">
        <f t="shared" si="45"/>
        <v>611.51117797405118</v>
      </c>
      <c r="BV91" s="4504">
        <f t="shared" si="46"/>
        <v>767.24078593627735</v>
      </c>
      <c r="BW91" s="4504">
        <f t="shared" si="47"/>
        <v>942.02565262965402</v>
      </c>
      <c r="BX91" s="4504">
        <f t="shared" si="48"/>
        <v>1139.0240266543119</v>
      </c>
      <c r="BY91" s="4504">
        <f t="shared" si="49"/>
        <v>0</v>
      </c>
      <c r="BZ91" s="4504">
        <f t="shared" si="50"/>
        <v>0</v>
      </c>
      <c r="CA91" s="4504">
        <f t="shared" si="51"/>
        <v>0</v>
      </c>
      <c r="CB91" s="4504">
        <f t="shared" si="52"/>
        <v>0</v>
      </c>
      <c r="CC91" s="4504">
        <f t="shared" si="53"/>
        <v>0</v>
      </c>
      <c r="CD91" s="4504">
        <f t="shared" si="54"/>
        <v>0</v>
      </c>
      <c r="CE91" s="4504">
        <f t="shared" si="55"/>
        <v>958.88869213185546</v>
      </c>
      <c r="CF91" s="4504">
        <f t="shared" si="56"/>
        <v>358.27051421649526</v>
      </c>
      <c r="CG91" s="4504">
        <f t="shared" si="57"/>
        <v>463.05461775793651</v>
      </c>
      <c r="CH91" s="4504">
        <f t="shared" si="58"/>
        <v>581.19250881554387</v>
      </c>
      <c r="CI91" s="4504">
        <f t="shared" si="59"/>
        <v>713.06211291768943</v>
      </c>
      <c r="CJ91" s="4504">
        <f t="shared" si="60"/>
        <v>860.36019066067365</v>
      </c>
    </row>
    <row r="92" spans="1:88" s="1222" customFormat="1" ht="15.9" customHeight="1">
      <c r="A92" s="786"/>
      <c r="B92" s="787" t="s">
        <v>1514</v>
      </c>
      <c r="C92" s="1120">
        <f>'12. Разходи'!C92</f>
        <v>6284.5752997103846</v>
      </c>
      <c r="D92" s="1157">
        <f>'12. Разходи'!D92-'12. Разходи'!$C92</f>
        <v>2124.8156933425926</v>
      </c>
      <c r="E92" s="1217">
        <f>IFERROR(('12. Разходи'!D92-'12. Разходи'!$C92)/'12. Разходи'!$C92,0)</f>
        <v>0.33810012483111018</v>
      </c>
      <c r="F92" s="1158">
        <f>'12. Разходи'!E92-'12. Разходи'!$C92</f>
        <v>2747.3649639586074</v>
      </c>
      <c r="G92" s="1218">
        <f>IFERROR(('12. Разходи'!E92-'12. Разходи'!$C92)/'12. Разходи'!$C92,0)</f>
        <v>0.43716000412712308</v>
      </c>
      <c r="H92" s="1158">
        <f>'12. Разходи'!F92-'12. Разходи'!$C92</f>
        <v>3422.2825604742684</v>
      </c>
      <c r="I92" s="1218">
        <f>IFERROR(('12. Разходи'!F92-'12. Разходи'!$C92)/'12. Разходи'!$C92,0)</f>
        <v>0.54455271792701399</v>
      </c>
      <c r="J92" s="1158">
        <f>'12. Разходи'!G92-'12. Разходи'!$C92</f>
        <v>4168.0065712459709</v>
      </c>
      <c r="K92" s="1219">
        <f>IFERROR(('12. Разходи'!G92-'12. Разходи'!$C92)/'12. Разходи'!$C92,0)</f>
        <v>0.66321213009223512</v>
      </c>
      <c r="L92" s="1159">
        <f>'12. Разходи'!H92-'12. Разходи'!$C92</f>
        <v>4968.8525672268534</v>
      </c>
      <c r="M92" s="1219">
        <f>IFERROR(('12. Разходи'!H92-'12. Разходи'!$C92)/'12. Разходи'!$C92,0)</f>
        <v>0.790642538320105</v>
      </c>
      <c r="N92" s="1167">
        <f>'12. Разходи'!K92</f>
        <v>171.3780758813059</v>
      </c>
      <c r="O92" s="1157">
        <f>'12. Разходи'!L92-'12. Разходи'!$K92</f>
        <v>132.06998184942643</v>
      </c>
      <c r="P92" s="1217">
        <f>IFERROR(('12. Разходи'!L92-'12. Разходи'!$K92)/'12. Разходи'!$K92,0)</f>
        <v>0.77063522373127979</v>
      </c>
      <c r="Q92" s="1158">
        <f>'12. Разходи'!M92-'12. Разходи'!$K92</f>
        <v>165.04840967120617</v>
      </c>
      <c r="R92" s="1218">
        <f>IFERROR(('12. Разходи'!M92-'12. Разходи'!$K92)/'12. Разходи'!$K92,0)</f>
        <v>0.96306606794626648</v>
      </c>
      <c r="S92" s="1158">
        <f>'12. Разходи'!N92-'12. Разходи'!$K92</f>
        <v>200.33848629797905</v>
      </c>
      <c r="T92" s="1218">
        <f>IFERROR(('12. Разходи'!N92-'12. Разходи'!$K92)/'12. Разходи'!$K92,0)</f>
        <v>1.1689855033541789</v>
      </c>
      <c r="U92" s="1158">
        <f>'12. Разходи'!O92-'12. Разходи'!$K92</f>
        <v>243.37481717862914</v>
      </c>
      <c r="V92" s="1219">
        <f>IFERROR(('12. Разходи'!O92-'12. Разходи'!$K92)/'12. Разходи'!$K92,0)</f>
        <v>1.420104735842566</v>
      </c>
      <c r="W92" s="1159">
        <f>'12. Разходи'!P92-'12. Разходи'!$K92</f>
        <v>287.42600136206232</v>
      </c>
      <c r="X92" s="1220">
        <f>IFERROR(('12. Разходи'!P92-'12. Разходи'!$K92)/'12. Разходи'!$K92,0)</f>
        <v>1.6771456902172808</v>
      </c>
      <c r="Y92" s="1221">
        <f>'12. Разходи'!S92</f>
        <v>1477.1737273971303</v>
      </c>
      <c r="Z92" s="1157">
        <f>'12. Разходи'!T92-'12. Разходи'!$S92</f>
        <v>667.60759581847742</v>
      </c>
      <c r="AA92" s="1217">
        <f>IFERROR(('12. Разходи'!T92-'12. Разходи'!$S92)/'12. Разходи'!$S92,0)</f>
        <v>0.4519492754551237</v>
      </c>
      <c r="AB92" s="1158">
        <f>'12. Разходи'!U92-'12. Разходи'!$S92</f>
        <v>852.60456657665281</v>
      </c>
      <c r="AC92" s="1218">
        <f>IFERROR(('12. Разходи'!U92-'12. Разходи'!$S92)/'12. Разходи'!$S92,0)</f>
        <v>0.57718638692484314</v>
      </c>
      <c r="AD92" s="1158">
        <f>'12. Разходи'!V92-'12. Разходи'!$S92</f>
        <v>1058.4495860146285</v>
      </c>
      <c r="AE92" s="1218">
        <f>IFERROR(('12. Разходи'!V92-'12. Разходи'!$S92)/'12. Разходи'!$S92,0)</f>
        <v>0.71653696947323919</v>
      </c>
      <c r="AF92" s="1158">
        <f>'12. Разходи'!W92-'12. Разходи'!$S92</f>
        <v>1289.1318315280323</v>
      </c>
      <c r="AG92" s="1219">
        <f>IFERROR(('12. Разходи'!W92-'12. Разходи'!$S92)/'12. Разходи'!$S92,0)</f>
        <v>0.87270157031533513</v>
      </c>
      <c r="AH92" s="1159">
        <f>'12. Разходи'!X92-'12. Разходи'!$S92</f>
        <v>1548.7302774212249</v>
      </c>
      <c r="AI92" s="1220">
        <f>IFERROR(('12. Разходи'!X92-'12. Разходи'!$S92)/'12. Разходи'!$S92,0)</f>
        <v>1.04844152633975</v>
      </c>
      <c r="AJ92" s="1221">
        <f>'12. Разходи'!AA92</f>
        <v>0</v>
      </c>
      <c r="AK92" s="1157">
        <f>'12. Разходи'!AB92-'12. Разходи'!$AA92</f>
        <v>0</v>
      </c>
      <c r="AL92" s="1217">
        <f>IFERROR(('12. Разходи'!AB92-'12. Разходи'!$AA92)/'12. Разходи'!$AA92,0)</f>
        <v>0</v>
      </c>
      <c r="AM92" s="1158">
        <f>'12. Разходи'!AC92-'12. Разходи'!$AA92</f>
        <v>0</v>
      </c>
      <c r="AN92" s="1218">
        <f>IFERROR(('12. Разходи'!AC92-'12. Разходи'!$AA92)/'12. Разходи'!$AA92,0)</f>
        <v>0</v>
      </c>
      <c r="AO92" s="1158">
        <f>'12. Разходи'!AD92-'12. Разходи'!$AA92</f>
        <v>0</v>
      </c>
      <c r="AP92" s="1218">
        <f>IFERROR(('12. Разходи'!AD92-'12. Разходи'!$AA92)/'12. Разходи'!$AA92,0)</f>
        <v>0</v>
      </c>
      <c r="AQ92" s="1158">
        <f>'12. Разходи'!AE92-'12. Разходи'!$AA92</f>
        <v>0</v>
      </c>
      <c r="AR92" s="1219">
        <f>IFERROR(('12. Разходи'!AE92-'12. Разходи'!$AA92)/'12. Разходи'!$AA92,0)</f>
        <v>0</v>
      </c>
      <c r="AS92" s="1159">
        <f>'12. Разходи'!AF92-'12. Разходи'!$AA92</f>
        <v>0</v>
      </c>
      <c r="AT92" s="1220">
        <f>IFERROR(('12. Разходи'!AF92-'12. Разходи'!$AA92)/'12. Разходи'!$AA92,0)</f>
        <v>0</v>
      </c>
      <c r="AU92" s="1221">
        <f>'12. Разходи'!AI92</f>
        <v>1578.4246274477432</v>
      </c>
      <c r="AV92" s="1157">
        <f>'12. Разходи'!AJ92-'12. Разходи'!$AI92</f>
        <v>633.57265051590366</v>
      </c>
      <c r="AW92" s="1217">
        <f>IFERROR(('12. Разходи'!AJ92-'12. Разходи'!$AI92)/'12. Разходи'!$AI92,0)</f>
        <v>0.40139556840314145</v>
      </c>
      <c r="AX92" s="1158">
        <f>'12. Разходи'!AK92-'12. Разходи'!$AI92</f>
        <v>798.91840421391635</v>
      </c>
      <c r="AY92" s="1218">
        <f>IFERROR(('12. Разходи'!AK92-'12. Разходи'!$AI92)/'12. Разходи'!$AI92,0)</f>
        <v>0.50614922646369198</v>
      </c>
      <c r="AZ92" s="1158">
        <f>'12. Разходи'!AL92-'12. Разходи'!$AI92</f>
        <v>981.33124543714757</v>
      </c>
      <c r="BA92" s="1218">
        <f>IFERROR(('12. Разходи'!AL92-'12. Разходи'!$AI92)/'12. Разходи'!$AI92,0)</f>
        <v>0.6217156197213709</v>
      </c>
      <c r="BB92" s="1158">
        <f>'12. Разходи'!AM92-'12. Разходи'!$AI92</f>
        <v>1184.278406131958</v>
      </c>
      <c r="BC92" s="1219">
        <f>IFERROR(('12. Разходи'!AM92-'12. Разходи'!$AI92)/'12. Разходи'!$AI92,0)</f>
        <v>0.75029138898250358</v>
      </c>
      <c r="BD92" s="1159">
        <f>'12. Разходи'!AN92-'12. Разходи'!$AI92</f>
        <v>1410.338701461088</v>
      </c>
      <c r="BE92" s="1220">
        <f>IFERROR(('12. Разходи'!AN92-'12. Разходи'!$AI92)/'12. Разходи'!$AI92,0)</f>
        <v>0.89351032474800895</v>
      </c>
      <c r="BF92" s="4488"/>
      <c r="BG92" s="4504">
        <f t="shared" si="31"/>
        <v>3213.2523275082112</v>
      </c>
      <c r="BH92" s="4504">
        <f t="shared" si="32"/>
        <v>1086.4010130443814</v>
      </c>
      <c r="BI92" s="4504">
        <f t="shared" si="33"/>
        <v>1404.7054007549775</v>
      </c>
      <c r="BJ92" s="4504">
        <f t="shared" si="34"/>
        <v>1749.7852883299001</v>
      </c>
      <c r="BK92" s="4504">
        <f t="shared" si="35"/>
        <v>2131.0679206505529</v>
      </c>
      <c r="BL92" s="4504">
        <f t="shared" si="36"/>
        <v>2540.5339764840774</v>
      </c>
      <c r="BM92" s="4504">
        <f t="shared" si="37"/>
        <v>87.624218813141184</v>
      </c>
      <c r="BN92" s="4504">
        <f t="shared" si="38"/>
        <v>67.526309469343673</v>
      </c>
      <c r="BO92" s="4504">
        <f t="shared" si="39"/>
        <v>84.38791186923514</v>
      </c>
      <c r="BP92" s="4504">
        <f t="shared" si="40"/>
        <v>102.43144153529654</v>
      </c>
      <c r="BQ92" s="4504">
        <f t="shared" si="41"/>
        <v>124.43556811104705</v>
      </c>
      <c r="BR92" s="4504">
        <f t="shared" si="42"/>
        <v>146.95858094111571</v>
      </c>
      <c r="BS92" s="4504">
        <f t="shared" si="43"/>
        <v>755.26693393450876</v>
      </c>
      <c r="BT92" s="4504">
        <f t="shared" si="44"/>
        <v>341.342343566914</v>
      </c>
      <c r="BU92" s="4504">
        <f t="shared" si="45"/>
        <v>435.92979276146332</v>
      </c>
      <c r="BV92" s="4504">
        <f t="shared" si="46"/>
        <v>541.17667998477805</v>
      </c>
      <c r="BW92" s="4504">
        <f t="shared" si="47"/>
        <v>659.12263925189427</v>
      </c>
      <c r="BX92" s="4504">
        <f t="shared" si="48"/>
        <v>791.85321700823943</v>
      </c>
      <c r="BY92" s="4504">
        <f t="shared" si="49"/>
        <v>0</v>
      </c>
      <c r="BZ92" s="4504">
        <f t="shared" si="50"/>
        <v>0</v>
      </c>
      <c r="CA92" s="4504">
        <f t="shared" si="51"/>
        <v>0</v>
      </c>
      <c r="CB92" s="4504">
        <f t="shared" si="52"/>
        <v>0</v>
      </c>
      <c r="CC92" s="4504">
        <f t="shared" si="53"/>
        <v>0</v>
      </c>
      <c r="CD92" s="4504">
        <f t="shared" si="54"/>
        <v>0</v>
      </c>
      <c r="CE92" s="4504">
        <f t="shared" si="55"/>
        <v>807.03569709419696</v>
      </c>
      <c r="CF92" s="4504">
        <f t="shared" si="56"/>
        <v>323.94055235675069</v>
      </c>
      <c r="CG92" s="4504">
        <f t="shared" si="57"/>
        <v>408.48049381281419</v>
      </c>
      <c r="CH92" s="4504">
        <f t="shared" si="58"/>
        <v>501.7466985561872</v>
      </c>
      <c r="CI92" s="4504">
        <f t="shared" si="59"/>
        <v>605.51193413126805</v>
      </c>
      <c r="CJ92" s="4504">
        <f t="shared" si="60"/>
        <v>721.0947277938717</v>
      </c>
    </row>
    <row r="93" spans="1:88" s="1223" customFormat="1" ht="15.9" customHeight="1">
      <c r="A93" s="3408"/>
      <c r="B93" s="3407" t="s">
        <v>1516</v>
      </c>
      <c r="C93" s="3409">
        <f>'12. Разходи'!C93</f>
        <v>2920.273828802452</v>
      </c>
      <c r="D93" s="1157">
        <f>'12. Разходи'!D93-'12. Разходи'!$C93</f>
        <v>912.76122993883837</v>
      </c>
      <c r="E93" s="1217">
        <f>IFERROR(('12. Разходи'!D93-'12. Разходи'!$C93)/'12. Разходи'!$C93,0)</f>
        <v>0.31256015135852661</v>
      </c>
      <c r="F93" s="1158">
        <f>'12. Разходи'!E93-'12. Разходи'!$C93</f>
        <v>1341.1047813334462</v>
      </c>
      <c r="G93" s="1218">
        <f>IFERROR(('12. Разходи'!E93-'12. Разходи'!$C93)/'12. Разходи'!$C93,0)</f>
        <v>0.45923939327409152</v>
      </c>
      <c r="H93" s="1158">
        <f>'12. Разходи'!F93-'12. Разходи'!$C93</f>
        <v>1851.0712373572896</v>
      </c>
      <c r="I93" s="1218">
        <f>IFERROR(('12. Разходи'!F93-'12. Разходи'!$C93)/'12. Разходи'!$C93,0)</f>
        <v>0.63386906361324968</v>
      </c>
      <c r="J93" s="1158">
        <f>'12. Разходи'!G93-'12. Разходи'!$C93</f>
        <v>2421.8511476277363</v>
      </c>
      <c r="K93" s="1219">
        <f>IFERROR(('12. Разходи'!G93-'12. Разходи'!$C93)/'12. Разходи'!$C93,0)</f>
        <v>0.82932330651365349</v>
      </c>
      <c r="L93" s="1159">
        <f>'12. Разходи'!H93-'12. Разходи'!$C93</f>
        <v>3055.3569408051026</v>
      </c>
      <c r="M93" s="1219">
        <f>IFERROR(('12. Разходи'!H93-'12. Разходи'!$C93)/'12. Разходи'!$C93,0)</f>
        <v>1.0462570018846642</v>
      </c>
      <c r="N93" s="1167">
        <f>'12. Разходи'!K93</f>
        <v>68.997762497522672</v>
      </c>
      <c r="O93" s="1157">
        <f>'12. Разходи'!L93-'12. Разходи'!$K93</f>
        <v>88.245075595105902</v>
      </c>
      <c r="P93" s="1217">
        <f>IFERROR(('12. Разходи'!L93-'12. Разходи'!$K93)/'12. Разходи'!$K93,0)</f>
        <v>1.2789556124848873</v>
      </c>
      <c r="Q93" s="1158">
        <f>'12. Разходи'!M93-'12. Разходи'!$K93</f>
        <v>108.82156703482201</v>
      </c>
      <c r="R93" s="1218">
        <f>IFERROR(('12. Разходи'!M93-'12. Разходи'!$K93)/'12. Разходи'!$K93,0)</f>
        <v>1.5771753038908933</v>
      </c>
      <c r="S93" s="1158">
        <f>'12. Разходи'!N93-'12. Разходи'!$K93</f>
        <v>131.61979274674212</v>
      </c>
      <c r="T93" s="1218">
        <f>IFERROR(('12. Разходи'!N93-'12. Разходи'!$K93)/'12. Разходи'!$K93,0)</f>
        <v>1.9075950868909388</v>
      </c>
      <c r="U93" s="1158">
        <f>'12. Разходи'!O93-'12. Разходи'!$K93</f>
        <v>157.27214149400885</v>
      </c>
      <c r="V93" s="1219">
        <f>IFERROR(('12. Разходи'!O93-'12. Разходи'!$K93)/'12. Разходи'!$K93,0)</f>
        <v>2.2793803132334274</v>
      </c>
      <c r="W93" s="1159">
        <f>'12. Разходи'!P93-'12. Разходи'!$K93</f>
        <v>186.16456048045251</v>
      </c>
      <c r="X93" s="1220">
        <f>IFERROR(('12. Разходи'!P93-'12. Разходи'!$K93)/'12. Разходи'!$K93,0)</f>
        <v>2.6981246020425176</v>
      </c>
      <c r="Y93" s="1221">
        <f>'12. Разходи'!S93</f>
        <v>442.32282052708774</v>
      </c>
      <c r="Z93" s="1157">
        <f>'12. Разходи'!T93-'12. Разходи'!$S93</f>
        <v>254.44985178686534</v>
      </c>
      <c r="AA93" s="1217">
        <f>IFERROR(('12. Разходи'!T93-'12. Разходи'!$S93)/'12. Разходи'!$S93,0)</f>
        <v>0.57525825026087007</v>
      </c>
      <c r="AB93" s="1158">
        <f>'12. Разходи'!U93-'12. Разходи'!$S93</f>
        <v>343.40734064033563</v>
      </c>
      <c r="AC93" s="1218">
        <f>IFERROR(('12. Разходи'!U93-'12. Разходи'!$S93)/'12. Разходи'!$S93,0)</f>
        <v>0.77637265070592365</v>
      </c>
      <c r="AD93" s="1158">
        <f>'12. Разходи'!V93-'12. Разходи'!$S93</f>
        <v>442.14296034312088</v>
      </c>
      <c r="AE93" s="1218">
        <f>IFERROR(('12. Разходи'!V93-'12. Разходи'!$S93)/'12. Разходи'!$S93,0)</f>
        <v>0.99959337349189326</v>
      </c>
      <c r="AF93" s="1158">
        <f>'12. Разходи'!W93-'12. Разходи'!$S93</f>
        <v>553.31020065462394</v>
      </c>
      <c r="AG93" s="1219">
        <f>IFERROR(('12. Разходи'!W93-'12. Разходи'!$S93)/'12. Разходи'!$S93,0)</f>
        <v>1.2509194076744212</v>
      </c>
      <c r="AH93" s="1159">
        <f>'12. Разходи'!X93-'12. Разходи'!$S93</f>
        <v>679.007084630078</v>
      </c>
      <c r="AI93" s="1220">
        <f>IFERROR(('12. Разходи'!X93-'12. Разходи'!$S93)/'12. Разходи'!$S93,0)</f>
        <v>1.5350939474950644</v>
      </c>
      <c r="AJ93" s="1221">
        <f>'12. Разходи'!AA93</f>
        <v>0</v>
      </c>
      <c r="AK93" s="1157">
        <f>'12. Разходи'!AB93-'12. Разходи'!$AA93</f>
        <v>0</v>
      </c>
      <c r="AL93" s="1217">
        <f>IFERROR(('12. Разходи'!AB93-'12. Разходи'!$AA93)/'12. Разходи'!$AA93,0)</f>
        <v>0</v>
      </c>
      <c r="AM93" s="1158">
        <f>'12. Разходи'!AC93-'12. Разходи'!$AA93</f>
        <v>0</v>
      </c>
      <c r="AN93" s="1218">
        <f>IFERROR(('12. Разходи'!AC93-'12. Разходи'!$AA93)/'12. Разходи'!$AA93,0)</f>
        <v>0</v>
      </c>
      <c r="AO93" s="1158">
        <f>'12. Разходи'!AD93-'12. Разходи'!$AA93</f>
        <v>0</v>
      </c>
      <c r="AP93" s="1218">
        <f>IFERROR(('12. Разходи'!AD93-'12. Разходи'!$AA93)/'12. Разходи'!$AA93,0)</f>
        <v>0</v>
      </c>
      <c r="AQ93" s="1158">
        <f>'12. Разходи'!AE93-'12. Разходи'!$AA93</f>
        <v>0</v>
      </c>
      <c r="AR93" s="1219">
        <f>IFERROR(('12. Разходи'!AE93-'12. Разходи'!$AA93)/'12. Разходи'!$AA93,0)</f>
        <v>0</v>
      </c>
      <c r="AS93" s="1159">
        <f>'12. Разходи'!AF93-'12. Разходи'!$AA93</f>
        <v>0</v>
      </c>
      <c r="AT93" s="1220">
        <f>IFERROR(('12. Разходи'!AF93-'12. Разходи'!$AA93)/'12. Разходи'!$AA93,0)</f>
        <v>0</v>
      </c>
      <c r="AU93" s="1221">
        <f>'12. Разходи'!AI93</f>
        <v>296.99864328450371</v>
      </c>
      <c r="AV93" s="1157">
        <f>'12. Разходи'!AJ93-'12. Разходи'!$AI93</f>
        <v>67.143569304144194</v>
      </c>
      <c r="AW93" s="1217">
        <f>IFERROR(('12. Разходи'!AJ93-'12. Разходи'!$AI93)/'12. Разходи'!$AI93,0)</f>
        <v>0.22607365663898135</v>
      </c>
      <c r="AX93" s="1158">
        <f>'12. Разходи'!AK93-'12. Разходи'!$AI93</f>
        <v>106.73770883558859</v>
      </c>
      <c r="AY93" s="1218">
        <f>IFERROR(('12. Разходи'!AK93-'12. Разходи'!$AI93)/'12. Разходи'!$AI93,0)</f>
        <v>0.35938786674301876</v>
      </c>
      <c r="AZ93" s="1158">
        <f>'12. Разходи'!AL93-'12. Разходи'!$AI93</f>
        <v>155.38249907955765</v>
      </c>
      <c r="BA93" s="1218">
        <f>IFERROR(('12. Разходи'!AL93-'12. Разходи'!$AI93)/'12. Разходи'!$AI93,0)</f>
        <v>0.52317578747560878</v>
      </c>
      <c r="BB93" s="1158">
        <f>'12. Разходи'!AM93-'12. Разходи'!$AI93</f>
        <v>210.3498661758465</v>
      </c>
      <c r="BC93" s="1219">
        <f>IFERROR(('12. Разходи'!AM93-'12. Разходи'!$AI93)/'12. Разходи'!$AI93,0)</f>
        <v>0.70825194300415095</v>
      </c>
      <c r="BD93" s="1159">
        <f>'12. Разходи'!AN93-'12. Разходи'!$AI93</f>
        <v>272.37957023877721</v>
      </c>
      <c r="BE93" s="1220">
        <f>IFERROR(('12. Разходи'!AN93-'12. Разходи'!$AI93)/'12. Разходи'!$AI93,0)</f>
        <v>0.91710711950241752</v>
      </c>
      <c r="BF93" s="4488"/>
      <c r="BG93" s="4504">
        <f t="shared" si="31"/>
        <v>1493.1122995364894</v>
      </c>
      <c r="BH93" s="4504">
        <f t="shared" si="32"/>
        <v>466.68740633840281</v>
      </c>
      <c r="BI93" s="4504">
        <f t="shared" si="33"/>
        <v>685.69598652922093</v>
      </c>
      <c r="BJ93" s="4504">
        <f t="shared" si="34"/>
        <v>946.43769517662054</v>
      </c>
      <c r="BK93" s="4504">
        <f t="shared" si="35"/>
        <v>1238.2728292478059</v>
      </c>
      <c r="BL93" s="4504">
        <f t="shared" si="36"/>
        <v>1562.1791979901641</v>
      </c>
      <c r="BM93" s="4504">
        <f t="shared" si="37"/>
        <v>35.277995785688262</v>
      </c>
      <c r="BN93" s="4504">
        <f t="shared" si="38"/>
        <v>45.118990707324208</v>
      </c>
      <c r="BO93" s="4504">
        <f t="shared" si="39"/>
        <v>55.639583723954544</v>
      </c>
      <c r="BP93" s="4504">
        <f t="shared" si="40"/>
        <v>67.296131436138168</v>
      </c>
      <c r="BQ93" s="4504">
        <f t="shared" si="41"/>
        <v>80.411969084229639</v>
      </c>
      <c r="BR93" s="4504">
        <f t="shared" si="42"/>
        <v>95.184428340117762</v>
      </c>
      <c r="BS93" s="4504">
        <f t="shared" si="43"/>
        <v>226.15606700331202</v>
      </c>
      <c r="BT93" s="4504">
        <f t="shared" si="44"/>
        <v>130.09814339020537</v>
      </c>
      <c r="BU93" s="4504">
        <f t="shared" si="45"/>
        <v>175.58138521258783</v>
      </c>
      <c r="BV93" s="4504">
        <f t="shared" si="46"/>
        <v>226.0641059514993</v>
      </c>
      <c r="BW93" s="4504">
        <f t="shared" si="47"/>
        <v>282.90301337775981</v>
      </c>
      <c r="BX93" s="4504">
        <f t="shared" si="48"/>
        <v>347.17080964607254</v>
      </c>
      <c r="BY93" s="4504">
        <f t="shared" si="49"/>
        <v>0</v>
      </c>
      <c r="BZ93" s="4504">
        <f t="shared" si="50"/>
        <v>0</v>
      </c>
      <c r="CA93" s="4504">
        <f t="shared" si="51"/>
        <v>0</v>
      </c>
      <c r="CB93" s="4504">
        <f t="shared" si="52"/>
        <v>0</v>
      </c>
      <c r="CC93" s="4504">
        <f t="shared" si="53"/>
        <v>0</v>
      </c>
      <c r="CD93" s="4504">
        <f t="shared" si="54"/>
        <v>0</v>
      </c>
      <c r="CE93" s="4504">
        <f t="shared" si="55"/>
        <v>151.85299503765856</v>
      </c>
      <c r="CF93" s="4504">
        <f t="shared" si="56"/>
        <v>34.329961859744557</v>
      </c>
      <c r="CG93" s="4504">
        <f t="shared" si="57"/>
        <v>54.574123945122324</v>
      </c>
      <c r="CH93" s="4504">
        <f t="shared" si="58"/>
        <v>79.445810259356719</v>
      </c>
      <c r="CI93" s="4504">
        <f t="shared" si="59"/>
        <v>107.55017878642137</v>
      </c>
      <c r="CJ93" s="4504">
        <f t="shared" si="60"/>
        <v>139.26546286680193</v>
      </c>
    </row>
    <row r="94" spans="1:88" s="1223" customFormat="1" ht="15.9" customHeight="1" thickBot="1">
      <c r="A94" s="842"/>
      <c r="B94" s="1108" t="s">
        <v>1465</v>
      </c>
      <c r="C94" s="3409">
        <f>'12. Разходи'!C94</f>
        <v>686.45641276112349</v>
      </c>
      <c r="D94" s="1157">
        <f>'12. Разходи'!D94-'12. Разходи'!$C94</f>
        <v>196.8389995203155</v>
      </c>
      <c r="E94" s="1217">
        <f>IFERROR(('12. Разходи'!D94-'12. Разходи'!$C94)/'12. Разходи'!$C94,0)</f>
        <v>0.28674653752387991</v>
      </c>
      <c r="F94" s="1158">
        <f>'12. Разходи'!E94-'12. Разходи'!$C94</f>
        <v>310.91394261221706</v>
      </c>
      <c r="G94" s="1218">
        <f>IFERROR(('12. Разходи'!E94-'12. Разходи'!$C94)/'12. Разходи'!$C94,0)</f>
        <v>0.45292597874005214</v>
      </c>
      <c r="H94" s="1158">
        <f>'12. Разходи'!F94-'12. Разходи'!$C94</f>
        <v>440.90087822605494</v>
      </c>
      <c r="I94" s="1218">
        <f>IFERROR(('12. Разходи'!F94-'12. Разходи'!$C94)/'12. Разходи'!$C94,0)</f>
        <v>0.64228532217016643</v>
      </c>
      <c r="J94" s="1158">
        <f>'12. Разходи'!G94-'12. Разходи'!$C94</f>
        <v>588.27571028874024</v>
      </c>
      <c r="K94" s="1219">
        <f>IFERROR(('12. Разходи'!G94-'12. Разходи'!$C94)/'12. Разходи'!$C94,0)</f>
        <v>0.85697460079443</v>
      </c>
      <c r="L94" s="1159">
        <f>'12. Разходи'!H94-'12. Разходи'!$C94</f>
        <v>755.39072666855316</v>
      </c>
      <c r="M94" s="1219">
        <f>IFERROR(('12. Разходи'!H94-'12. Разходи'!$C94)/'12. Разходи'!$C94,0)</f>
        <v>1.1004205257987993</v>
      </c>
      <c r="N94" s="1167">
        <f>'12. Разходи'!K94</f>
        <v>18.719415964481527</v>
      </c>
      <c r="O94" s="1157">
        <f>'12. Разходи'!L94-'12. Разходи'!$K94</f>
        <v>22.173419373532937</v>
      </c>
      <c r="P94" s="1217">
        <f>IFERROR(('12. Разходи'!L94-'12. Разходи'!$K94)/'12. Разходи'!$K94,0)</f>
        <v>1.1845144856872181</v>
      </c>
      <c r="Q94" s="1158">
        <f>'12. Разходи'!M94-'12. Разходи'!$K94</f>
        <v>27.554491090369268</v>
      </c>
      <c r="R94" s="1218">
        <f>IFERROR(('12. Разходи'!M94-'12. Разходи'!$K94)/'12. Разходи'!$K94,0)</f>
        <v>1.4719738662066986</v>
      </c>
      <c r="S94" s="1158">
        <f>'12. Разходи'!N94-'12. Разходи'!$K94</f>
        <v>33.687073744204554</v>
      </c>
      <c r="T94" s="1218">
        <f>IFERROR(('12. Разходи'!N94-'12. Разходи'!$K94)/'12. Разходи'!$K94,0)</f>
        <v>1.7995793142330327</v>
      </c>
      <c r="U94" s="1158">
        <f>'12. Разходи'!O94-'12. Разходи'!$K94</f>
        <v>40.648522405091512</v>
      </c>
      <c r="V94" s="1219">
        <f>IFERROR(('12. Разходи'!O94-'12. Разходи'!$K94)/'12. Разходи'!$K94,0)</f>
        <v>2.1714631739696668</v>
      </c>
      <c r="W94" s="1159">
        <f>'12. Разходи'!P94-'12. Разходи'!$K94</f>
        <v>48.552272042224928</v>
      </c>
      <c r="X94" s="1220">
        <f>IFERROR(('12. Разходи'!P94-'12. Разходи'!$K94)/'12. Разходи'!$K94,0)</f>
        <v>2.5936851947917963</v>
      </c>
      <c r="Y94" s="1221">
        <f>'12. Разходи'!S94</f>
        <v>161.34986527741043</v>
      </c>
      <c r="Z94" s="1157">
        <f>'12. Разходи'!T94-'12. Разходи'!$S94</f>
        <v>67.953718382107496</v>
      </c>
      <c r="AA94" s="1217">
        <f>IFERROR(('12. Разходи'!T94-'12. Разходи'!$S94)/'12. Разходи'!$S94,0)</f>
        <v>0.42115757744993459</v>
      </c>
      <c r="AB94" s="1158">
        <f>'12. Разходи'!U94-'12. Разходи'!$S94</f>
        <v>98.362084468650352</v>
      </c>
      <c r="AC94" s="1218">
        <f>IFERROR(('12. Разходи'!U94-'12. Разходи'!$S94)/'12. Разходи'!$S94,0)</f>
        <v>0.60961987355573832</v>
      </c>
      <c r="AD94" s="1158">
        <f>'12. Разходи'!V94-'12. Разходи'!$S94</f>
        <v>133.01645369445859</v>
      </c>
      <c r="AE94" s="1218">
        <f>IFERROR(('12. Разходи'!V94-'12. Разходи'!$S94)/'12. Разходи'!$S94,0)</f>
        <v>0.82439767436906175</v>
      </c>
      <c r="AF94" s="1158">
        <f>'12. Разходи'!W94-'12. Разходи'!$S94</f>
        <v>172.36028482411425</v>
      </c>
      <c r="AG94" s="1219">
        <f>IFERROR(('12. Разходи'!W94-'12. Разходи'!$S94)/'12. Разходи'!$S94,0)</f>
        <v>1.0682394096070269</v>
      </c>
      <c r="AH94" s="1159">
        <f>'12. Разходи'!X94-'12. Разходи'!$S94</f>
        <v>217.03669322786905</v>
      </c>
      <c r="AI94" s="1220">
        <f>IFERROR(('12. Разходи'!X94-'12. Разходи'!$S94)/'12. Разходи'!$S94,0)</f>
        <v>1.345130923132261</v>
      </c>
      <c r="AJ94" s="1221">
        <f>'12. Разходи'!AA94</f>
        <v>0</v>
      </c>
      <c r="AK94" s="1157">
        <f>'12. Разходи'!AB94-'12. Разходи'!$AA94</f>
        <v>0</v>
      </c>
      <c r="AL94" s="1217">
        <f>IFERROR(('12. Разходи'!AB94-'12. Разходи'!$AA94)/'12. Разходи'!$AA94,0)</f>
        <v>0</v>
      </c>
      <c r="AM94" s="1158">
        <f>'12. Разходи'!AC94-'12. Разходи'!$AA94</f>
        <v>0</v>
      </c>
      <c r="AN94" s="1218">
        <f>IFERROR(('12. Разходи'!AC94-'12. Разходи'!$AA94)/'12. Разходи'!$AA94,0)</f>
        <v>0</v>
      </c>
      <c r="AO94" s="1158">
        <f>'12. Разходи'!AD94-'12. Разходи'!$AA94</f>
        <v>0</v>
      </c>
      <c r="AP94" s="1218">
        <f>IFERROR(('12. Разходи'!AD94-'12. Разходи'!$AA94)/'12. Разходи'!$AA94,0)</f>
        <v>0</v>
      </c>
      <c r="AQ94" s="1158">
        <f>'12. Разходи'!AE94-'12. Разходи'!$AA94</f>
        <v>0</v>
      </c>
      <c r="AR94" s="1219">
        <f>IFERROR(('12. Разходи'!AE94-'12. Разходи'!$AA94)/'12. Разходи'!$AA94,0)</f>
        <v>0</v>
      </c>
      <c r="AS94" s="1159">
        <f>'12. Разходи'!AF94-'12. Разходи'!$AA94</f>
        <v>0</v>
      </c>
      <c r="AT94" s="1220">
        <f>IFERROR(('12. Разходи'!AF94-'12. Разходи'!$AA94)/'12. Разходи'!$AA94,0)</f>
        <v>0</v>
      </c>
      <c r="AU94" s="1221">
        <f>'12. Разходи'!AI94</f>
        <v>172.40937627424452</v>
      </c>
      <c r="AV94" s="1157">
        <f>'12. Разходи'!AJ94-'12. Разходи'!$AI94</f>
        <v>41.245025545882811</v>
      </c>
      <c r="AW94" s="1217">
        <f>IFERROR(('12. Разходи'!AJ94-'12. Разходи'!$AI94)/'12. Разходи'!$AI94,0)</f>
        <v>0.23922727659704562</v>
      </c>
      <c r="AX94" s="1158">
        <f>'12. Разходи'!AK94-'12. Разходи'!$AI94</f>
        <v>67.301929763330008</v>
      </c>
      <c r="AY94" s="1218">
        <f>IFERROR(('12. Разходи'!AK94-'12. Разходи'!$AI94)/'12. Разходи'!$AI94,0)</f>
        <v>0.39036119274786768</v>
      </c>
      <c r="AZ94" s="1158">
        <f>'12. Разходи'!AL94-'12. Разходи'!$AI94</f>
        <v>97.281775564389562</v>
      </c>
      <c r="BA94" s="1218">
        <f>IFERROR(('12. Разходи'!AL94-'12. Разходи'!$AI94)/'12. Разходи'!$AI94,0)</f>
        <v>0.56424875297760735</v>
      </c>
      <c r="BB94" s="1158">
        <f>'12. Разходи'!AM94-'12. Разходи'!$AI94</f>
        <v>131.32469682972484</v>
      </c>
      <c r="BC94" s="1219">
        <f>IFERROR(('12. Разходи'!AM94-'12. Разходи'!$AI94)/'12. Разходи'!$AI94,0)</f>
        <v>0.76170275461603687</v>
      </c>
      <c r="BD94" s="1159">
        <f>'12. Разходи'!AN94-'12. Разходи'!$AI94</f>
        <v>169.92981070106785</v>
      </c>
      <c r="BE94" s="1220">
        <f>IFERROR(('12. Разходи'!AN94-'12. Разходи'!$AI94)/'12. Разходи'!$AI94,0)</f>
        <v>0.98561815124699181</v>
      </c>
      <c r="BF94" s="4488"/>
      <c r="BG94" s="4504">
        <f t="shared" si="31"/>
        <v>350.97959063984268</v>
      </c>
      <c r="BH94" s="4504">
        <f t="shared" si="32"/>
        <v>100.64218235752367</v>
      </c>
      <c r="BI94" s="4504">
        <f t="shared" si="33"/>
        <v>158.96777460833357</v>
      </c>
      <c r="BJ94" s="4504">
        <f t="shared" si="34"/>
        <v>225.42903944926448</v>
      </c>
      <c r="BK94" s="4504">
        <f t="shared" si="35"/>
        <v>300.78059457557163</v>
      </c>
      <c r="BL94" s="4504">
        <f t="shared" si="36"/>
        <v>386.22514567654304</v>
      </c>
      <c r="BM94" s="4504">
        <f t="shared" si="37"/>
        <v>9.5710854033742851</v>
      </c>
      <c r="BN94" s="4504">
        <f t="shared" si="38"/>
        <v>11.337089304046332</v>
      </c>
      <c r="BO94" s="4504">
        <f t="shared" si="39"/>
        <v>14.088387584999344</v>
      </c>
      <c r="BP94" s="4504">
        <f t="shared" si="40"/>
        <v>17.223927306670085</v>
      </c>
      <c r="BQ94" s="4504">
        <f t="shared" si="41"/>
        <v>20.783259488345877</v>
      </c>
      <c r="BR94" s="4504">
        <f t="shared" si="42"/>
        <v>24.824382508819749</v>
      </c>
      <c r="BS94" s="4504">
        <f t="shared" si="43"/>
        <v>82.49687614844359</v>
      </c>
      <c r="BT94" s="4504">
        <f t="shared" si="44"/>
        <v>34.744184505865796</v>
      </c>
      <c r="BU94" s="4504">
        <f t="shared" si="45"/>
        <v>50.291735206357586</v>
      </c>
      <c r="BV94" s="4504">
        <f t="shared" si="46"/>
        <v>68.010232839489419</v>
      </c>
      <c r="BW94" s="4504">
        <f t="shared" si="47"/>
        <v>88.126414271237408</v>
      </c>
      <c r="BX94" s="4504">
        <f t="shared" si="48"/>
        <v>110.96909916908375</v>
      </c>
      <c r="BY94" s="4504">
        <f t="shared" si="49"/>
        <v>0</v>
      </c>
      <c r="BZ94" s="4504">
        <f t="shared" si="50"/>
        <v>0</v>
      </c>
      <c r="CA94" s="4504">
        <f t="shared" si="51"/>
        <v>0</v>
      </c>
      <c r="CB94" s="4504">
        <f t="shared" si="52"/>
        <v>0</v>
      </c>
      <c r="CC94" s="4504">
        <f t="shared" si="53"/>
        <v>0</v>
      </c>
      <c r="CD94" s="4504">
        <f t="shared" si="54"/>
        <v>0</v>
      </c>
      <c r="CE94" s="4504">
        <f t="shared" si="55"/>
        <v>88.151514331125156</v>
      </c>
      <c r="CF94" s="4504">
        <f t="shared" si="56"/>
        <v>21.088246701340513</v>
      </c>
      <c r="CG94" s="4504">
        <f t="shared" si="57"/>
        <v>34.410930276828765</v>
      </c>
      <c r="CH94" s="4504">
        <f t="shared" si="58"/>
        <v>49.739382034425063</v>
      </c>
      <c r="CI94" s="4504">
        <f t="shared" si="59"/>
        <v>67.145251289593091</v>
      </c>
      <c r="CJ94" s="4504">
        <f t="shared" si="60"/>
        <v>86.883732584666276</v>
      </c>
    </row>
    <row r="95" spans="1:88" s="1216" customFormat="1" ht="23.4" thickBot="1">
      <c r="A95" s="255"/>
      <c r="B95" s="256" t="s">
        <v>1230</v>
      </c>
      <c r="C95" s="1119">
        <f>'12. Разходи'!C95</f>
        <v>9382.0017153433309</v>
      </c>
      <c r="D95" s="1153">
        <f>'12. Разходи'!D95-'12. Разходи'!$C95</f>
        <v>3255.4647918941828</v>
      </c>
      <c r="E95" s="883">
        <f>IFERROR(('12. Разходи'!D95-'12. Разходи'!$C95)/'12. Разходи'!$C95,0)</f>
        <v>0.3469904281268883</v>
      </c>
      <c r="F95" s="1154">
        <f>'12. Разходи'!E95-'12. Разходи'!$C95</f>
        <v>4340.6597458563101</v>
      </c>
      <c r="G95" s="883">
        <f>IFERROR(('12. Разходи'!E95-'12. Разходи'!$C95)/'12. Разходи'!$C95,0)</f>
        <v>0.46265817013842503</v>
      </c>
      <c r="H95" s="1154">
        <f>'12. Разходи'!F95-'12. Разходи'!$C95</f>
        <v>5561.9598304059655</v>
      </c>
      <c r="I95" s="883">
        <f>IFERROR(('12. Разходи'!F95-'12. Разходи'!$C95)/'12. Разходи'!$C95,0)</f>
        <v>0.59283295816392079</v>
      </c>
      <c r="J95" s="1154">
        <f>'12. Разходи'!G95-'12. Разходи'!$C95</f>
        <v>6917.6368519801144</v>
      </c>
      <c r="K95" s="889">
        <f>IFERROR(('12. Разходи'!G95-'12. Разходи'!$C95)/'12. Разходи'!$C95,0)</f>
        <v>0.73733058912865124</v>
      </c>
      <c r="L95" s="1154">
        <f>'12. Разходи'!H95-'12. Разходи'!$C95</f>
        <v>8389.1006935664464</v>
      </c>
      <c r="M95" s="889">
        <f>IFERROR(('12. Разходи'!H95-'12. Разходи'!$C95)/'12. Разходи'!$C95,0)</f>
        <v>0.89416959707510035</v>
      </c>
      <c r="N95" s="1166">
        <f>'12. Разходи'!K95</f>
        <v>256.93349973271393</v>
      </c>
      <c r="O95" s="1153">
        <f>'12. Разходи'!L95-'12. Разходи'!$K95</f>
        <v>223.7358676391936</v>
      </c>
      <c r="P95" s="883">
        <f>IFERROR(('12. Разходи'!L95-'12. Разходи'!$K95)/'12. Разходи'!$K95,0)</f>
        <v>0.87079290116681718</v>
      </c>
      <c r="Q95" s="1154">
        <f>'12. Разходи'!M95-'12. Разходи'!$K95</f>
        <v>277.93916208902226</v>
      </c>
      <c r="R95" s="883">
        <f>IFERROR(('12. Разходи'!M95-'12. Разходи'!$K95)/'12. Разходи'!$K95,0)</f>
        <v>1.0817552494250862</v>
      </c>
      <c r="S95" s="1154">
        <f>'12. Разходи'!N95-'12. Разходи'!$K95</f>
        <v>336.71834587602802</v>
      </c>
      <c r="T95" s="883">
        <f>IFERROR(('12. Разходи'!N95-'12. Разходи'!$K95)/'12. Разходи'!$K95,0)</f>
        <v>1.3105272229052018</v>
      </c>
      <c r="U95" s="1154">
        <f>'12. Разходи'!O95-'12. Разходи'!$K95</f>
        <v>406.12036904677416</v>
      </c>
      <c r="V95" s="889">
        <f>IFERROR(('12. Разходи'!O95-'12. Разходи'!$K95)/'12. Разходи'!$K95,0)</f>
        <v>1.5806438999556627</v>
      </c>
      <c r="W95" s="1154">
        <f>'12. Разходи'!P95-'12. Разходи'!$K95</f>
        <v>479.7605884375231</v>
      </c>
      <c r="X95" s="827">
        <f>IFERROR(('12. Разходи'!P95-'12. Разходи'!$K95)/'12. Разходи'!$K95,0)</f>
        <v>1.8672558811389508</v>
      </c>
      <c r="Y95" s="1166">
        <f>'12. Разходи'!S95</f>
        <v>1969.6614728125476</v>
      </c>
      <c r="Z95" s="1153">
        <f>'12. Разходи'!T95-'12. Разходи'!$S95</f>
        <v>925.75385676026622</v>
      </c>
      <c r="AA95" s="883">
        <f>IFERROR(('12. Разходи'!T95-'12. Разходи'!$S95)/'12. Разходи'!$S95,0)</f>
        <v>0.47000658211502222</v>
      </c>
      <c r="AB95" s="1154">
        <f>'12. Разходи'!U95-'12. Разходи'!$S95</f>
        <v>1201.8678092320736</v>
      </c>
      <c r="AC95" s="883">
        <f>IFERROR(('12. Разходи'!U95-'12. Разходи'!$S95)/'12. Разходи'!$S95,0)</f>
        <v>0.61019003814695383</v>
      </c>
      <c r="AD95" s="1154">
        <f>'12. Разходи'!V95-'12. Разходи'!$S95</f>
        <v>1508.7915349143702</v>
      </c>
      <c r="AE95" s="883">
        <f>IFERROR(('12. Разходи'!V95-'12. Разходи'!$S95)/'12. Разходи'!$S95,0)</f>
        <v>0.76601566093482798</v>
      </c>
      <c r="AF95" s="1154">
        <f>'12. Разходи'!W95-'12. Разходи'!$S95</f>
        <v>1853.0845766644491</v>
      </c>
      <c r="AG95" s="889">
        <f>IFERROR(('12. Разходи'!W95-'12. Разходи'!$S95)/'12. Разходи'!$S95,0)</f>
        <v>0.94081373994606576</v>
      </c>
      <c r="AH95" s="1154">
        <f>'12. Разходи'!X95-'12. Разходи'!$S95</f>
        <v>2240.7912378841384</v>
      </c>
      <c r="AI95" s="827">
        <f>IFERROR(('12. Разходи'!X95-'12. Разходи'!$S95)/'12. Разходи'!$S95,0)</f>
        <v>1.137652976825726</v>
      </c>
      <c r="AJ95" s="1166">
        <f>'12. Разходи'!AA95</f>
        <v>0</v>
      </c>
      <c r="AK95" s="1153">
        <f>'12. Разходи'!AB95-'12. Разходи'!$AA95</f>
        <v>0</v>
      </c>
      <c r="AL95" s="883">
        <f>IFERROR(('12. Разходи'!AB95-'12. Разходи'!$AA95)/'12. Разходи'!$AA95,0)</f>
        <v>0</v>
      </c>
      <c r="AM95" s="1154">
        <f>'12. Разходи'!AC95-'12. Разходи'!$AA95</f>
        <v>0</v>
      </c>
      <c r="AN95" s="883">
        <f>IFERROR(('12. Разходи'!AC95-'12. Разходи'!$AA95)/'12. Разходи'!$AA95,0)</f>
        <v>0</v>
      </c>
      <c r="AO95" s="1154">
        <f>'12. Разходи'!AD95-'12. Разходи'!$AA95</f>
        <v>0</v>
      </c>
      <c r="AP95" s="883">
        <f>IFERROR(('12. Разходи'!AD95-'12. Разходи'!$AA95)/'12. Разходи'!$AA95,0)</f>
        <v>0</v>
      </c>
      <c r="AQ95" s="1154">
        <f>'12. Разходи'!AE95-'12. Разходи'!$AA95</f>
        <v>0</v>
      </c>
      <c r="AR95" s="889">
        <f>IFERROR(('12. Разходи'!AE95-'12. Разходи'!$AA95)/'12. Разходи'!$AA95,0)</f>
        <v>0</v>
      </c>
      <c r="AS95" s="1154">
        <f>'12. Разходи'!AF95-'12. Разходи'!$AA95</f>
        <v>0</v>
      </c>
      <c r="AT95" s="1214">
        <f>IFERROR(('12. Разходи'!AF95-'12. Разходи'!$AA95)/'12. Разходи'!$AA95,0)</f>
        <v>0</v>
      </c>
      <c r="AU95" s="1166">
        <f>'12. Разходи'!AI95</f>
        <v>1894.8586204537205</v>
      </c>
      <c r="AV95" s="1153">
        <f>'12. Разходи'!AJ95-'12. Разходи'!$AI95</f>
        <v>731.88362991470058</v>
      </c>
      <c r="AW95" s="883">
        <f>IFERROR(('12. Разходи'!AJ95-'12. Разходи'!$AI95)/'12. Разходи'!$AI95,0)</f>
        <v>0.38624709095154147</v>
      </c>
      <c r="AX95" s="1154">
        <f>'12. Разходи'!AK95-'12. Разходи'!$AI95</f>
        <v>946.37352314415784</v>
      </c>
      <c r="AY95" s="883">
        <f>IFERROR(('12. Разходи'!AK95-'12. Разходи'!$AI95)/'12. Разходи'!$AI95,0)</f>
        <v>0.49944281485103642</v>
      </c>
      <c r="AZ95" s="1154">
        <f>'12. Разходи'!AL95-'12. Разходи'!$AI95</f>
        <v>1183.8811546113579</v>
      </c>
      <c r="BA95" s="883">
        <f>IFERROR(('12. Разходи'!AL95-'12. Разходи'!$AI95)/'12. Разходи'!$AI95,0)</f>
        <v>0.6247860087460666</v>
      </c>
      <c r="BB95" s="1154">
        <f>'12. Разходи'!AM95-'12. Разходи'!$AI95</f>
        <v>1448.4456824024578</v>
      </c>
      <c r="BC95" s="889">
        <f>IFERROR(('12. Разходи'!AM95-'12. Разходи'!$AI95)/'12. Разходи'!$AI95,0)</f>
        <v>0.76440831351081495</v>
      </c>
      <c r="BD95" s="1154">
        <f>'12. Разходи'!AN95-'12. Разходи'!$AI95</f>
        <v>1743.4356817945181</v>
      </c>
      <c r="BE95" s="1214">
        <f>IFERROR(('12. Разходи'!AN95-'12. Разходи'!$AI95)/'12. Разходи'!$AI95,0)</f>
        <v>0.92008747406023128</v>
      </c>
      <c r="BF95" s="4488"/>
      <c r="BG95" s="4504">
        <f t="shared" si="31"/>
        <v>4796.9413064240407</v>
      </c>
      <c r="BH95" s="4504">
        <f t="shared" si="32"/>
        <v>1664.4927176156327</v>
      </c>
      <c r="BI95" s="4504">
        <f t="shared" si="33"/>
        <v>2219.3440870915724</v>
      </c>
      <c r="BJ95" s="4504">
        <f t="shared" si="34"/>
        <v>2843.7849048260664</v>
      </c>
      <c r="BK95" s="4504">
        <f t="shared" si="35"/>
        <v>3536.9315594811997</v>
      </c>
      <c r="BL95" s="4504">
        <f t="shared" si="36"/>
        <v>4289.2790751580897</v>
      </c>
      <c r="BM95" s="4504">
        <f t="shared" si="37"/>
        <v>131.36801242066741</v>
      </c>
      <c r="BN95" s="4504">
        <f t="shared" si="38"/>
        <v>114.39433265631143</v>
      </c>
      <c r="BO95" s="4504">
        <f t="shared" si="39"/>
        <v>142.10803704259689</v>
      </c>
      <c r="BP95" s="4504">
        <f t="shared" si="40"/>
        <v>172.16135649623334</v>
      </c>
      <c r="BQ95" s="4504">
        <f t="shared" si="41"/>
        <v>207.64604748202765</v>
      </c>
      <c r="BR95" s="4504">
        <f t="shared" si="42"/>
        <v>245.29769378602595</v>
      </c>
      <c r="BS95" s="4504">
        <f t="shared" si="43"/>
        <v>1007.0719197540418</v>
      </c>
      <c r="BT95" s="4504">
        <f t="shared" si="44"/>
        <v>473.33043094761109</v>
      </c>
      <c r="BU95" s="4504">
        <f t="shared" si="45"/>
        <v>614.50525313144476</v>
      </c>
      <c r="BV95" s="4504">
        <f t="shared" si="46"/>
        <v>771.43286221929839</v>
      </c>
      <c r="BW95" s="4504">
        <f t="shared" si="47"/>
        <v>947.46709921846434</v>
      </c>
      <c r="BX95" s="4504">
        <f t="shared" si="48"/>
        <v>1145.6983673857842</v>
      </c>
      <c r="BY95" s="4504">
        <f t="shared" si="49"/>
        <v>0</v>
      </c>
      <c r="BZ95" s="4504">
        <f t="shared" si="50"/>
        <v>0</v>
      </c>
      <c r="CA95" s="4504">
        <f t="shared" si="51"/>
        <v>0</v>
      </c>
      <c r="CB95" s="4504">
        <f t="shared" si="52"/>
        <v>0</v>
      </c>
      <c r="CC95" s="4504">
        <f t="shared" si="53"/>
        <v>0</v>
      </c>
      <c r="CD95" s="4504">
        <f t="shared" si="54"/>
        <v>0</v>
      </c>
      <c r="CE95" s="4504">
        <f t="shared" si="55"/>
        <v>968.8258286526542</v>
      </c>
      <c r="CF95" s="4504">
        <f t="shared" si="56"/>
        <v>374.20615795580426</v>
      </c>
      <c r="CG95" s="4504">
        <f t="shared" si="57"/>
        <v>483.87309896266947</v>
      </c>
      <c r="CH95" s="4504">
        <f t="shared" si="58"/>
        <v>605.30882265399237</v>
      </c>
      <c r="CI95" s="4504">
        <f t="shared" si="59"/>
        <v>740.57851776609311</v>
      </c>
      <c r="CJ95" s="4504">
        <f t="shared" si="60"/>
        <v>891.40450948933096</v>
      </c>
    </row>
    <row r="96" spans="1:88" ht="14.4" thickBot="1">
      <c r="A96" s="1168"/>
      <c r="B96" s="1168"/>
      <c r="C96" s="1168"/>
      <c r="D96" s="1169"/>
      <c r="E96" s="1170"/>
      <c r="F96" s="1169"/>
      <c r="G96" s="1170"/>
      <c r="H96" s="1169"/>
      <c r="I96" s="1170"/>
      <c r="J96" s="1169"/>
      <c r="K96" s="1170"/>
      <c r="L96" s="1169"/>
      <c r="M96" s="1170"/>
      <c r="N96" s="1170"/>
      <c r="O96" s="1171"/>
      <c r="P96" s="1172"/>
      <c r="Q96" s="1171"/>
      <c r="R96" s="1172"/>
      <c r="S96" s="1171"/>
      <c r="T96" s="1172"/>
      <c r="U96" s="1171"/>
      <c r="V96" s="1172"/>
      <c r="W96" s="1171"/>
      <c r="X96" s="1172"/>
      <c r="Y96" s="1172"/>
      <c r="Z96" s="1173"/>
      <c r="AA96" s="1172"/>
      <c r="AB96" s="1173"/>
      <c r="AC96" s="1172"/>
      <c r="AD96" s="1173"/>
      <c r="AE96" s="1172"/>
      <c r="AF96" s="1173"/>
      <c r="AG96" s="1170"/>
      <c r="AH96" s="1174"/>
      <c r="AI96" s="1170"/>
      <c r="AJ96" s="688"/>
      <c r="AK96" s="688"/>
      <c r="AL96" s="688"/>
      <c r="AM96" s="1173"/>
      <c r="AN96" s="1172"/>
      <c r="AO96" s="1173"/>
      <c r="AP96" s="1172"/>
      <c r="AQ96" s="1173"/>
      <c r="AR96" s="1172"/>
      <c r="AS96" s="1174"/>
      <c r="AT96" s="1170"/>
      <c r="AU96" s="1170"/>
      <c r="AV96" s="1173"/>
      <c r="AW96" s="1172"/>
      <c r="AX96" s="1173"/>
      <c r="AY96" s="1172"/>
      <c r="AZ96" s="1173"/>
      <c r="BA96" s="1172"/>
      <c r="BB96" s="1173"/>
      <c r="BC96" s="1172"/>
      <c r="BD96" s="1174"/>
      <c r="BE96" s="1170"/>
      <c r="BF96" s="4488"/>
    </row>
    <row r="97" spans="1:76" s="44" customFormat="1" ht="15" customHeight="1" thickBot="1">
      <c r="A97" s="5340" t="s">
        <v>1425</v>
      </c>
      <c r="B97" s="5343"/>
      <c r="C97" s="5462" t="str">
        <f>C8</f>
        <v>Доставяне на вода на потребителите</v>
      </c>
      <c r="D97" s="5463"/>
      <c r="E97" s="5463"/>
      <c r="F97" s="5463"/>
      <c r="G97" s="5463"/>
      <c r="H97" s="5463"/>
      <c r="I97" s="5463"/>
      <c r="J97" s="5463"/>
      <c r="K97" s="5463"/>
      <c r="L97" s="5463"/>
      <c r="M97" s="5464"/>
      <c r="N97" s="5435" t="s">
        <v>208</v>
      </c>
      <c r="O97" s="5465"/>
      <c r="P97" s="5465"/>
      <c r="Q97" s="5465"/>
      <c r="R97" s="5465"/>
      <c r="S97" s="5465"/>
      <c r="T97" s="5465"/>
      <c r="U97" s="5465"/>
      <c r="V97" s="5465"/>
      <c r="W97" s="5465"/>
      <c r="X97" s="5466"/>
      <c r="Y97" s="5427" t="s">
        <v>209</v>
      </c>
      <c r="Z97" s="5428"/>
      <c r="AA97" s="5428"/>
      <c r="AB97" s="5428"/>
      <c r="AC97" s="5428"/>
      <c r="AD97" s="5428"/>
      <c r="AE97" s="5428"/>
      <c r="AF97" s="5428"/>
      <c r="AG97" s="5428"/>
      <c r="AH97" s="5428"/>
      <c r="AI97" s="5429"/>
      <c r="AJ97" s="688"/>
      <c r="AK97" s="688"/>
      <c r="AL97" s="688"/>
      <c r="AM97" s="1176"/>
      <c r="AN97" s="1175"/>
      <c r="AO97" s="1176"/>
      <c r="AP97" s="1175"/>
      <c r="AQ97" s="1176"/>
      <c r="AR97" s="1175"/>
      <c r="AS97" s="1176"/>
      <c r="AT97" s="1175"/>
      <c r="AU97" s="1175"/>
      <c r="AV97" s="1176"/>
      <c r="AW97" s="1175"/>
      <c r="AX97" s="1176"/>
      <c r="AY97" s="1175"/>
      <c r="AZ97" s="1176"/>
      <c r="BA97" s="1175"/>
      <c r="BB97" s="1176"/>
      <c r="BC97" s="1175"/>
      <c r="BD97" s="1176"/>
      <c r="BE97" s="1175"/>
      <c r="BF97" s="4488"/>
    </row>
    <row r="98" spans="1:76" s="44" customFormat="1" ht="14.4" thickBot="1">
      <c r="A98" s="5449"/>
      <c r="B98" s="5450"/>
      <c r="C98" s="1591"/>
      <c r="D98" s="5441" t="str">
        <f>+D9</f>
        <v>2027 г.</v>
      </c>
      <c r="E98" s="5438"/>
      <c r="F98" s="5438" t="str">
        <f>+F9</f>
        <v>2028 г.</v>
      </c>
      <c r="G98" s="5438"/>
      <c r="H98" s="5438" t="str">
        <f>+H9</f>
        <v>2029 г.</v>
      </c>
      <c r="I98" s="5438"/>
      <c r="J98" s="5439" t="str">
        <f>+J9</f>
        <v>2030 г.</v>
      </c>
      <c r="K98" s="5438"/>
      <c r="L98" s="5439" t="str">
        <f>+L9</f>
        <v>2031 г.</v>
      </c>
      <c r="M98" s="5440"/>
      <c r="N98" s="1592"/>
      <c r="O98" s="5441" t="str">
        <f>+O9</f>
        <v>2027 г.</v>
      </c>
      <c r="P98" s="5438"/>
      <c r="Q98" s="5438" t="str">
        <f>+Q9</f>
        <v>2028 г.</v>
      </c>
      <c r="R98" s="5438"/>
      <c r="S98" s="5438" t="str">
        <f>+S9</f>
        <v>2029 г.</v>
      </c>
      <c r="T98" s="5438"/>
      <c r="U98" s="5439" t="str">
        <f>+U9</f>
        <v>2030 г.</v>
      </c>
      <c r="V98" s="5438"/>
      <c r="W98" s="5439" t="str">
        <f>+W9</f>
        <v>2031 г.</v>
      </c>
      <c r="X98" s="5440"/>
      <c r="Y98" s="1593"/>
      <c r="Z98" s="5441" t="str">
        <f>+Z9</f>
        <v>2027 г.</v>
      </c>
      <c r="AA98" s="5438"/>
      <c r="AB98" s="5438" t="str">
        <f>+AB9</f>
        <v>2028 г.</v>
      </c>
      <c r="AC98" s="5438"/>
      <c r="AD98" s="5438" t="str">
        <f>+AD9</f>
        <v>2029 г.</v>
      </c>
      <c r="AE98" s="5438"/>
      <c r="AF98" s="5439" t="str">
        <f>+AF9</f>
        <v>2030 г.</v>
      </c>
      <c r="AG98" s="5438"/>
      <c r="AH98" s="5439" t="str">
        <f>+AH9</f>
        <v>2031 г.</v>
      </c>
      <c r="AI98" s="5440"/>
      <c r="AJ98" s="688"/>
      <c r="AL98" s="688"/>
      <c r="AM98" s="1176"/>
      <c r="AN98" s="1175"/>
      <c r="AO98" s="1176"/>
      <c r="AP98" s="1175"/>
      <c r="AQ98" s="1176"/>
      <c r="AR98" s="1175"/>
      <c r="AS98" s="1176"/>
      <c r="AT98" s="1175"/>
      <c r="AU98" s="1175"/>
      <c r="AV98" s="1176"/>
      <c r="AW98" s="1175"/>
      <c r="AX98" s="1176"/>
      <c r="AY98" s="1175"/>
      <c r="AZ98" s="1176"/>
      <c r="BA98" s="1175"/>
      <c r="BB98" s="1176"/>
      <c r="BC98" s="1175"/>
      <c r="BD98" s="1176"/>
      <c r="BE98" s="1175"/>
      <c r="BF98" s="4488"/>
    </row>
    <row r="99" spans="1:76" s="44" customFormat="1" ht="60.6" thickBot="1">
      <c r="A99" s="5451"/>
      <c r="B99" s="5452"/>
      <c r="C99" s="1594"/>
      <c r="D99" s="1402" t="s">
        <v>1423</v>
      </c>
      <c r="E99" s="1403" t="s">
        <v>1424</v>
      </c>
      <c r="F99" s="1403" t="s">
        <v>1423</v>
      </c>
      <c r="G99" s="1403" t="s">
        <v>1424</v>
      </c>
      <c r="H99" s="1403" t="s">
        <v>1423</v>
      </c>
      <c r="I99" s="1403" t="s">
        <v>1424</v>
      </c>
      <c r="J99" s="1403" t="s">
        <v>1423</v>
      </c>
      <c r="K99" s="1403" t="s">
        <v>1424</v>
      </c>
      <c r="L99" s="1403" t="s">
        <v>1423</v>
      </c>
      <c r="M99" s="1404" t="s">
        <v>1424</v>
      </c>
      <c r="N99" s="1405"/>
      <c r="O99" s="1402" t="s">
        <v>1423</v>
      </c>
      <c r="P99" s="1403" t="s">
        <v>1424</v>
      </c>
      <c r="Q99" s="1403" t="s">
        <v>1423</v>
      </c>
      <c r="R99" s="1403" t="s">
        <v>1424</v>
      </c>
      <c r="S99" s="1403" t="s">
        <v>1423</v>
      </c>
      <c r="T99" s="1403" t="s">
        <v>1424</v>
      </c>
      <c r="U99" s="1403" t="s">
        <v>1423</v>
      </c>
      <c r="V99" s="1403" t="s">
        <v>1424</v>
      </c>
      <c r="W99" s="1403" t="s">
        <v>1423</v>
      </c>
      <c r="X99" s="1404" t="s">
        <v>1424</v>
      </c>
      <c r="Y99" s="1595"/>
      <c r="Z99" s="1424" t="s">
        <v>1423</v>
      </c>
      <c r="AA99" s="1425" t="s">
        <v>1424</v>
      </c>
      <c r="AB99" s="1425" t="s">
        <v>1423</v>
      </c>
      <c r="AC99" s="1425" t="s">
        <v>1424</v>
      </c>
      <c r="AD99" s="1426" t="s">
        <v>1423</v>
      </c>
      <c r="AE99" s="1425" t="s">
        <v>1424</v>
      </c>
      <c r="AF99" s="1425" t="s">
        <v>1423</v>
      </c>
      <c r="AG99" s="1425" t="s">
        <v>1424</v>
      </c>
      <c r="AH99" s="1423" t="s">
        <v>1423</v>
      </c>
      <c r="AI99" s="1403" t="s">
        <v>1424</v>
      </c>
      <c r="AJ99" s="688"/>
      <c r="AK99" s="688"/>
      <c r="AL99" s="688"/>
      <c r="AM99" s="1176"/>
      <c r="AN99" s="1175"/>
      <c r="AU99" s="1175"/>
      <c r="AV99" s="1176"/>
      <c r="AW99" s="1175"/>
      <c r="AX99" s="1176"/>
      <c r="AY99" s="1175"/>
      <c r="AZ99" s="1176"/>
      <c r="BA99" s="1175"/>
      <c r="BB99" s="1176"/>
      <c r="BC99" s="1175"/>
      <c r="BD99" s="1176"/>
      <c r="BE99" s="1175"/>
      <c r="BF99" s="4488"/>
      <c r="BH99" s="4533" t="s">
        <v>1423</v>
      </c>
      <c r="BI99" s="4533" t="s">
        <v>1423</v>
      </c>
      <c r="BJ99" s="4533" t="s">
        <v>1423</v>
      </c>
      <c r="BK99" s="4533" t="s">
        <v>1423</v>
      </c>
      <c r="BL99" s="4533" t="s">
        <v>1423</v>
      </c>
      <c r="BN99" s="4533" t="s">
        <v>1423</v>
      </c>
      <c r="BO99" s="4533" t="s">
        <v>1423</v>
      </c>
      <c r="BP99" s="4533" t="s">
        <v>1423</v>
      </c>
      <c r="BQ99" s="4533" t="s">
        <v>1423</v>
      </c>
      <c r="BR99" s="4533" t="s">
        <v>1423</v>
      </c>
      <c r="BT99" s="4533" t="s">
        <v>1423</v>
      </c>
      <c r="BU99" s="4533" t="s">
        <v>1423</v>
      </c>
      <c r="BV99" s="4533" t="s">
        <v>1423</v>
      </c>
      <c r="BW99" s="4533" t="s">
        <v>1423</v>
      </c>
      <c r="BX99" s="4533" t="s">
        <v>1423</v>
      </c>
    </row>
    <row r="100" spans="1:76" s="44" customFormat="1">
      <c r="A100" s="5446" t="s">
        <v>1232</v>
      </c>
      <c r="B100" s="1233" t="s">
        <v>226</v>
      </c>
      <c r="C100" s="1237"/>
      <c r="D100" s="906">
        <f>'12.2.Нови дейности или обекти'!C22+'12.2.Нови дейности или обекти'!H22+'12.2.Нови дейности или обекти'!M22+'12.2.Нови дейности или обекти'!R22+'12.2.Нови дейности или обекти'!W22+'12.2.Нови дейности или обекти'!C45+'12.2.Нови дейности или обекти'!H45+'12.2.Нови дейности или обекти'!M45+'12.2.Нови дейности или обекти'!R45+'12.2.Нови дейности или обекти'!W45</f>
        <v>0</v>
      </c>
      <c r="E100" s="906">
        <f>D11-D100</f>
        <v>435.58913991610598</v>
      </c>
      <c r="F100" s="1226">
        <f>'12.2.Нови дейности или обекти'!D22+'12.2.Нови дейности или обекти'!I22+'12.2.Нови дейности или обекти'!N22+'12.2.Нови дейности или обекти'!S22+'12.2.Нови дейности или обекти'!X22++'12.2.Нови дейности или обекти'!D45+'12.2.Нови дейности или обекти'!I45+'12.2.Нови дейности или обекти'!N45+'12.2.Нови дейности или обекти'!S45+'12.2.Нови дейности или обекти'!X45</f>
        <v>0</v>
      </c>
      <c r="G100" s="1226">
        <f>F11-F100</f>
        <v>390.86473621956975</v>
      </c>
      <c r="H100" s="1226">
        <f>'12.2.Нови дейности или обекти'!E22+'12.2.Нови дейности или обекти'!J22+'12.2.Нови дейности или обекти'!O22+'12.2.Нови дейности или обекти'!T22+'12.2.Нови дейности или обекти'!Y22+'12.2.Нови дейности или обекти'!E45+'12.2.Нови дейности или обекти'!J45+'12.2.Нови дейности или обекти'!O45+'12.2.Нови дейности или обекти'!T45+'12.2.Нови дейности или обекти'!Y45</f>
        <v>0</v>
      </c>
      <c r="I100" s="1226">
        <f>H11-H100</f>
        <v>341.23737420069301</v>
      </c>
      <c r="J100" s="1226">
        <f>'12.2.Нови дейности или обекти'!F22+'12.2.Нови дейности или обекти'!K22+'12.2.Нови дейности или обекти'!P22+'12.2.Нови дейности или обекти'!U22+'12.2.Нови дейности или обекти'!Z22+'12.2.Нови дейности или обекти'!F45+'12.2.Нови дейности или обекти'!K45+'12.2.Нови дейности или обекти'!P45+'12.2.Нови дейности или обекти'!U45+'12.2.Нови дейности или обекти'!Z45</f>
        <v>0</v>
      </c>
      <c r="K100" s="1226">
        <f>IF(J100=0,0,J11-J100)</f>
        <v>0</v>
      </c>
      <c r="L100" s="1226">
        <f>'12.2.Нови дейности или обекти'!G22+'12.2.Нови дейности или обекти'!L22+'12.2.Нови дейности или обекти'!Q22+'12.2.Нови дейности или обекти'!V22+'12.2.Нови дейности или обекти'!AA22+'12.2.Нови дейности или обекти'!G45+'12.2.Нови дейности или обекти'!L45+'12.2.Нови дейности или обекти'!Q45+'12.2.Нови дейности или обекти'!V45+'12.2.Нови дейности или обекти'!AA45</f>
        <v>0</v>
      </c>
      <c r="M100" s="1227">
        <f>IF(L100=0,0,L11-L100)</f>
        <v>0</v>
      </c>
      <c r="N100" s="1237"/>
      <c r="O100" s="1232">
        <f>'12.2.Нови дейности или обекти'!C69+'12.2.Нови дейности или обекти'!H69+'12.2.Нови дейности или обекти'!M69+'12.2.Нови дейности или обекти'!R69+'12.2.Нови дейности или обекти'!W69+'12.2.Нови дейности или обекти'!C92+'12.2.Нови дейности или обекти'!H92+'12.2.Нови дейности или обекти'!M92+'12.2.Нови дейности или обекти'!R92+'12.2.Нови дейности или обекти'!W92</f>
        <v>0</v>
      </c>
      <c r="P100" s="1226">
        <f>O11-O100</f>
        <v>3.7235010016364463</v>
      </c>
      <c r="Q100" s="1226">
        <f>'12.2.Нови дейности или обекти'!D69+'12.2.Нови дейности или обекти'!I69+'12.2.Нови дейности или обекти'!N69+'12.2.Нови дейности или обекти'!S69+'12.2.Нови дейности или обекти'!X69+'12.2.Нови дейности или обекти'!D92+'12.2.Нови дейности или обекти'!I92+'12.2.Нови дейности или обекти'!N92+'12.2.Нови дейности или обекти'!S92+'12.2.Нови дейности или обекти'!X92</f>
        <v>0</v>
      </c>
      <c r="R100" s="1226">
        <f>Q11-Q100</f>
        <v>3.2461935275728386</v>
      </c>
      <c r="S100" s="1226">
        <f>'12.2.Нови дейности или обекти'!E69+'12.2.Нови дейности или обекти'!J69+'12.2.Нови дейности или обекти'!O69+'12.2.Нови дейности или обекти'!T69+'12.2.Нови дейности или обекти'!Y69+'12.2.Нови дейности или обекти'!E92+'12.2.Нови дейности или обекти'!J92+'12.2.Нови дейности или обекти'!O92+'12.2.Нови дейности или обекти'!T92+'12.2.Нови дейности или обекти'!Y92</f>
        <v>0</v>
      </c>
      <c r="T100" s="1226">
        <f>S11-S100</f>
        <v>2.3896639758730629</v>
      </c>
      <c r="U100" s="1226">
        <f>'12.2.Нови дейности или обекти'!F69+'12.2.Нови дейности или обекти'!K69+'12.2.Нови дейности или обекти'!P69+'12.2.Нови дейности или обекти'!U69+'12.2.Нови дейности или обекти'!Z69+'12.2.Нови дейности или обекти'!F92+'12.2.Нови дейности или обекти'!K92+'12.2.Нови дейности или обекти'!P92+'12.2.Нови дейности или обекти'!U92+'12.2.Нови дейности или обекти'!Z92</f>
        <v>0</v>
      </c>
      <c r="V100" s="1226">
        <f>IF(U100=0,0,U11-U100)</f>
        <v>0</v>
      </c>
      <c r="W100" s="1226">
        <f>'12.2.Нови дейности или обекти'!G69+'12.2.Нови дейности или обекти'!L69+'12.2.Нови дейности или обекти'!Q69+'12.2.Нови дейности или обекти'!V69+'12.2.Нови дейности или обекти'!AA69+'12.2.Нови дейности или обекти'!G92+'12.2.Нови дейности или обекти'!L92+'12.2.Нови дейности или обекти'!Q92+'12.2.Нови дейности или обекти'!V92+'12.2.Нови дейности или обекти'!AA92</f>
        <v>0</v>
      </c>
      <c r="X100" s="1227">
        <f>IF(W100=0,0,W11-W100)</f>
        <v>0</v>
      </c>
      <c r="Y100" s="1237"/>
      <c r="Z100" s="1232">
        <f>'12.2.Нови дейности или обекти'!C116+'12.2.Нови дейности или обекти'!H116+'12.2.Нови дейности или обекти'!M116+'12.2.Нови дейности или обекти'!R116+'12.2.Нови дейности или обекти'!W116+'12.2.Нови дейности или обекти'!C139+'12.2.Нови дейности или обекти'!H139+'12.2.Нови дейности или обекти'!M139+'12.2.Нови дейности или обекти'!R139+'12.2.Нови дейности или обекти'!W139</f>
        <v>40.336322719004784</v>
      </c>
      <c r="AA100" s="1226">
        <f>Z11-Z100</f>
        <v>73.949895894673659</v>
      </c>
      <c r="AB100" s="1226">
        <f>'12.2.Нови дейности или обекти'!D116+'12.2.Нови дейности или обекти'!I116+'12.2.Нови дейности или обекти'!N116+'12.2.Нови дейности или обекти'!S116+'12.2.Нови дейности или обекти'!X116+'12.2.Нови дейности или обекти'!D139+'12.2.Нови дейности или обекти'!I139+'12.2.Нови дейности или обекти'!N139+'12.2.Нови дейности или обекти'!S139+'12.2.Нови дейности или обекти'!X139</f>
        <v>38.663594761633583</v>
      </c>
      <c r="AC100" s="1226">
        <f>AB11-AB100</f>
        <v>70.429041872258608</v>
      </c>
      <c r="AD100" s="1226">
        <f>'12.2.Нови дейности или обекти'!E116+'12.2.Нови дейности или обекти'!J116+'12.2.Нови дейности или обекти'!O116+'12.2.Нови дейности или обекти'!T116+'12.2.Нови дейности или обекти'!Y116+'12.2.Нови дейности или обекти'!E139+'12.2.Нови дейности или обекти'!J139+'12.2.Нови дейности или обекти'!O139+'12.2.Нови дейности или обекти'!T139+'12.2.Нови дейности или обекти'!Y139</f>
        <v>36.990974258262376</v>
      </c>
      <c r="AE100" s="1226">
        <f>AD11-AD100</f>
        <v>68.687603803194236</v>
      </c>
      <c r="AF100" s="1226">
        <f>'12.2.Нови дейности или обекти'!F116+'12.2.Нови дейности или обекти'!K116+'12.2.Нови дейности или обекти'!P116+'12.2.Нови дейности или обекти'!U116+'12.2.Нови дейности или обекти'!Z116+'12.2.Нови дейности или обекти'!F139+'12.2.Нови дейности или обекти'!K139+'12.2.Нови дейности или обекти'!P139+'12.2.Нови дейности или обекти'!U139+'12.2.Нови дейности или обекти'!Z139</f>
        <v>35.318462283431174</v>
      </c>
      <c r="AG100" s="1226">
        <f>IF(AF100=0,0,AF11-AF100)</f>
        <v>67.165389919713405</v>
      </c>
      <c r="AH100" s="1226">
        <f>'12.2.Нови дейности или обекти'!G116+'12.2.Нови дейности или обекти'!L116+'12.2.Нови дейности или обекти'!Q116+'12.2.Нови дейности или обекти'!V116+'12.2.Нови дейности или обекти'!AA116+'12.2.Нови дейности или обекти'!G139+'12.2.Нови дейности или обекти'!L139+'12.2.Нови дейности или обекти'!Q139+'12.2.Нови дейности или обекти'!V139+'12.2.Нови дейности или обекти'!AA139</f>
        <v>33.646059922425373</v>
      </c>
      <c r="AI100" s="1227">
        <f>IF(AH100=0,0,AH11-AH100)</f>
        <v>67.00355228005742</v>
      </c>
      <c r="AJ100" s="688"/>
      <c r="AK100" s="688"/>
      <c r="AL100" s="688"/>
      <c r="AM100" s="1176"/>
      <c r="AN100" s="1175"/>
      <c r="AO100" s="45"/>
      <c r="AP100" s="45"/>
      <c r="AQ100" s="3159"/>
      <c r="AR100" s="3160"/>
      <c r="AS100" s="32"/>
      <c r="AT100" s="32"/>
      <c r="AU100" s="1175"/>
      <c r="AV100" s="1176"/>
      <c r="AW100" s="1175"/>
      <c r="AX100" s="1176"/>
      <c r="AY100" s="1175"/>
      <c r="AZ100" s="1176"/>
      <c r="BA100" s="1175"/>
      <c r="BB100" s="1176"/>
      <c r="BC100" s="1175"/>
      <c r="BD100" s="1176"/>
      <c r="BE100" s="1175"/>
      <c r="BF100" s="4488"/>
      <c r="BH100" s="4517">
        <f t="shared" ref="BH100:BH106" si="61">IFERROR(D100/$D$1,0)</f>
        <v>0</v>
      </c>
      <c r="BI100" s="4517">
        <f t="shared" ref="BI100:BI106" si="62">IFERROR(F100/$D$1,0)</f>
        <v>0</v>
      </c>
      <c r="BJ100" s="4517">
        <f t="shared" ref="BJ100:BJ106" si="63">IFERROR(H100/$D$1,0)</f>
        <v>0</v>
      </c>
      <c r="BK100" s="4517">
        <f t="shared" ref="BK100:BK106" si="64">IFERROR(J100/$D$1,0)</f>
        <v>0</v>
      </c>
      <c r="BL100" s="4517">
        <f t="shared" ref="BL100:BL106" si="65">IFERROR(L100/$D$1,0)</f>
        <v>0</v>
      </c>
      <c r="BN100" s="4504">
        <f t="shared" ref="BN100:BN106" si="66">IFERROR(O100/$D$1,0)</f>
        <v>0</v>
      </c>
      <c r="BO100" s="4504">
        <f t="shared" ref="BO100:BO106" si="67">IFERROR(Q100/$D$1,0)</f>
        <v>0</v>
      </c>
      <c r="BP100" s="4504">
        <f t="shared" ref="BP100:BP106" si="68">IFERROR(S100/$D$1,0)</f>
        <v>0</v>
      </c>
      <c r="BQ100" s="4504">
        <f t="shared" ref="BQ100:BQ106" si="69">IFERROR(U100/$D$1,0)</f>
        <v>0</v>
      </c>
      <c r="BR100" s="4504">
        <f t="shared" ref="BR100:BR106" si="70">IFERROR(W100/$D$1,0)</f>
        <v>0</v>
      </c>
      <c r="BT100" s="4504">
        <f t="shared" ref="BT100:BT106" si="71">IFERROR(Z100/$D$1,0)</f>
        <v>20.623634323537722</v>
      </c>
      <c r="BU100" s="4504">
        <f t="shared" ref="BU100:BU106" si="72">IFERROR(AB100/$D$1,0)</f>
        <v>19.768382099483894</v>
      </c>
      <c r="BV100" s="4504">
        <f t="shared" ref="BV100:BV106" si="73">IFERROR(AD100/$D$1,0)</f>
        <v>18.913184815787865</v>
      </c>
      <c r="BW100" s="4504">
        <f t="shared" ref="BW100:BW106" si="74">IFERROR(AF100/$D$1,0)</f>
        <v>18.058043021853216</v>
      </c>
      <c r="BX100" s="4504">
        <f t="shared" ref="BX100:BX106" si="75">IFERROR(AH100/$D$1,0)</f>
        <v>17.202957272577564</v>
      </c>
    </row>
    <row r="101" spans="1:76" s="44" customFormat="1">
      <c r="A101" s="5447"/>
      <c r="B101" s="1234" t="s">
        <v>239</v>
      </c>
      <c r="C101" s="1237"/>
      <c r="D101" s="908">
        <f>'12.2.Нови дейности или обекти'!C27+'12.2.Нови дейности или обекти'!H27+'12.2.Нови дейности или обекти'!M27+'12.2.Нови дейности или обекти'!R27+'12.2.Нови дейности или обекти'!W27+'12.2.Нови дейности или обекти'!C50+'12.2.Нови дейности или обекти'!H50+'12.2.Нови дейности или обекти'!M50+'12.2.Нови дейности или обекти'!R50+'12.2.Нови дейности или обекти'!W50</f>
        <v>0</v>
      </c>
      <c r="E101" s="1224">
        <f>D29-D101</f>
        <v>92.914150089935447</v>
      </c>
      <c r="F101" s="1224">
        <f>'12.2.Нови дейности или обекти'!D23+'12.2.Нови дейности или обекти'!I23+'12.2.Нови дейности или обекти'!N23+'12.2.Нови дейности или обекти'!S23+'12.2.Нови дейности или обекти'!X23++'12.2.Нови дейности или обекти'!D46+'12.2.Нови дейности или обекти'!I46+'12.2.Нови дейности или обекти'!N46+'12.2.Нови дейности или обекти'!S46+'12.2.Нови дейности или обекти'!X46</f>
        <v>0</v>
      </c>
      <c r="G101" s="1224">
        <f>F29-F101</f>
        <v>94.392417886301246</v>
      </c>
      <c r="H101" s="1224">
        <f>'12.2.Нови дейности или обекти'!E23+'12.2.Нови дейности или обекти'!J23+'12.2.Нови дейности или обекти'!O23+'12.2.Нови дейности или обекти'!T23+'12.2.Нови дейности или обекти'!Y23+'12.2.Нови дейности или обекти'!E46+'12.2.Нови дейности или обекти'!J46+'12.2.Нови дейности или обекти'!O46+'12.2.Нови дейности или обекти'!T46+'12.2.Нови дейности или обекти'!Y46</f>
        <v>0</v>
      </c>
      <c r="I101" s="1224">
        <f>H29-H101</f>
        <v>88.075790622679278</v>
      </c>
      <c r="J101" s="1224">
        <f>'12.2.Нови дейности или обекти'!F23+'12.2.Нови дейности или обекти'!K23+'12.2.Нови дейности или обекти'!P23+'12.2.Нови дейности или обекти'!U23+'12.2.Нови дейности или обекти'!Z23+'12.2.Нови дейности или обекти'!F46+'12.2.Нови дейности или обекти'!K46+'12.2.Нови дейности или обекти'!P46+'12.2.Нови дейности или обекти'!U46+'12.2.Нови дейности или обекти'!Z46</f>
        <v>0</v>
      </c>
      <c r="K101" s="1224">
        <f>J29-J101</f>
        <v>91.309377764706255</v>
      </c>
      <c r="L101" s="1224">
        <f>'12.2.Нови дейности или обекти'!G23+'12.2.Нови дейности или обекти'!L23+'12.2.Нови дейности или обекти'!Q23+'12.2.Нови дейности или обекти'!V23+'12.2.Нови дейности или обекти'!AA23+'12.2.Нови дейности или обекти'!G46+'12.2.Нови дейности или обекти'!L46+'12.2.Нови дейности или обекти'!Q46+'12.2.Нови дейности или обекти'!V46+'12.2.Нови дейности или обекти'!AA46</f>
        <v>0</v>
      </c>
      <c r="M101" s="1229">
        <f>L29-L101</f>
        <v>84.442618768122543</v>
      </c>
      <c r="N101" s="1237"/>
      <c r="O101" s="1228">
        <f>'12.2.Нови дейности или обекти'!C74+'12.2.Нови дейности или обекти'!H74+'12.2.Нови дейности или обекти'!M74+'12.2.Нови дейности или обекти'!R74+'12.2.Нови дейности или обекти'!W74+'12.2.Нови дейности или обекти'!C97+'12.2.Нови дейности или обекти'!H97+'12.2.Нови дейности или обекти'!M97+'12.2.Нови дейности или обекти'!R97+'12.2.Нови дейности или обекти'!W97</f>
        <v>0</v>
      </c>
      <c r="P101" s="1224">
        <f>O29-O101</f>
        <v>-7.221281659565193E-2</v>
      </c>
      <c r="Q101" s="1224">
        <f>'12.2.Нови дейности или обекти'!D74+'12.2.Нови дейности или обекти'!I74+'12.2.Нови дейности или обекти'!N74+'12.2.Нови дейности или обекти'!S74+'12.2.Нови дейности или обекти'!X74+'12.2.Нови дейности или обекти'!D97+'12.2.Нови дейности или обекти'!I97+'12.2.Нови дейности или обекти'!N97+'12.2.Нови дейности или обекти'!S97+'12.2.Нови дейности или обекти'!X97</f>
        <v>0</v>
      </c>
      <c r="R101" s="1224">
        <f>Q29-Q101</f>
        <v>-0.25041644177901645</v>
      </c>
      <c r="S101" s="1224">
        <f>'12.2.Нови дейности или обекти'!E74+'12.2.Нови дейности или обекти'!J74+'12.2.Нови дейности или обекти'!O74+'12.2.Нови дейности или обекти'!T74+'12.2.Нови дейности или обекти'!Y74+'12.2.Нови дейности или обекти'!E97+'12.2.Нови дейности или обекти'!J97+'12.2.Нови дейности или обекти'!O97+'12.2.Нови дейности или обекти'!T97+'12.2.Нови дейности или обекти'!Y97</f>
        <v>0</v>
      </c>
      <c r="T101" s="1224">
        <f>S29-S101</f>
        <v>-0.98725856904096787</v>
      </c>
      <c r="U101" s="1224">
        <f>'12.2.Нови дейности или обекти'!F74+'12.2.Нови дейности или обекти'!K74+'12.2.Нови дейности или обекти'!P74+'12.2.Нови дейности или обекти'!U74+'12.2.Нови дейности или обекти'!Z74+'12.2.Нови дейности или обекти'!F97+'12.2.Нови дейности или обекти'!K97+'12.2.Нови дейности или обекти'!P97+'12.2.Нови дейности или обекти'!U97+'12.2.Нови дейности или обекти'!Z97</f>
        <v>0</v>
      </c>
      <c r="V101" s="1224">
        <f>U29-U101</f>
        <v>-0.1230196911259327</v>
      </c>
      <c r="W101" s="1224">
        <f>'12.2.Нови дейности или обекти'!G74+'12.2.Нови дейности или обекти'!L74+'12.2.Нови дейности или обекти'!Q74+'12.2.Нови дейности или обекти'!V74+'12.2.Нови дейности или обекти'!AA74+'12.2.Нови дейности или обекти'!G97+'12.2.Нови дейности или обекти'!L97+'12.2.Нови дейности или обекти'!Q97+'12.2.Нови дейности или обекти'!V97+'12.2.Нови дейности или обекти'!AA97</f>
        <v>0</v>
      </c>
      <c r="X101" s="1229">
        <f>W29-W101</f>
        <v>-0.84419401978571074</v>
      </c>
      <c r="Y101" s="1237"/>
      <c r="Z101" s="1228">
        <f>'12.2.Нови дейности или обекти'!C121+'12.2.Нови дейности или обекти'!H121+'12.2.Нови дейности или обекти'!M121+'12.2.Нови дейности или обекти'!R121+'12.2.Нови дейности или обекти'!W121+'12.2.Нови дейности или обекти'!C144+'12.2.Нови дейности или обекти'!H144+'12.2.Нови дейности или обекти'!M144+'12.2.Нови дейности или обекти'!R144+'12.2.Нови дейности или обекти'!W144</f>
        <v>15.3428</v>
      </c>
      <c r="AA101" s="1224">
        <f>Z29-Z101</f>
        <v>1.5500695377841787</v>
      </c>
      <c r="AB101" s="1224">
        <f>'12.2.Нови дейности или обекти'!D121+'12.2.Нови дейности или обекти'!I121+'12.2.Нови дейности или обекти'!N121+'12.2.Нови дейности или обекти'!S121+'12.2.Нови дейности или обекти'!X121+'12.2.Нови дейности или обекти'!D144+'12.2.Нови дейности или обекти'!I144+'12.2.Нови дейности или обекти'!N144+'12.2.Нови дейности или обекти'!S144+'12.2.Нови дейности или обекти'!X144</f>
        <v>15.4428</v>
      </c>
      <c r="AC101" s="1224">
        <f>AB29-AB101</f>
        <v>2.1036012105996402</v>
      </c>
      <c r="AD101" s="1224">
        <f>'12.2.Нови дейности или обекти'!E121+'12.2.Нови дейности или обекти'!J121+'12.2.Нови дейности или обекти'!O121+'12.2.Нови дейности или обекти'!T121+'12.2.Нови дейности или обекти'!Y121+'12.2.Нови дейности или обекти'!E144+'12.2.Нови дейности или обекти'!J144+'12.2.Нови дейности или обекти'!O144+'12.2.Нови дейности или обекти'!T144+'12.2.Нови дейности или обекти'!Y144</f>
        <v>15.602399999999999</v>
      </c>
      <c r="AE101" s="1224">
        <f>AD29-AD101</f>
        <v>2.7146644320949243</v>
      </c>
      <c r="AF101" s="1224">
        <f>'12.2.Нови дейности или обекти'!F121+'12.2.Нови дейности или обекти'!K121+'12.2.Нови дейности или обекти'!P121+'12.2.Нови дейности или обекти'!U121+'12.2.Нови дейности или обекти'!Z121+'12.2.Нови дейности или обекти'!F144+'12.2.Нови дейности или обекти'!K144+'12.2.Нови дейности или обекти'!P144+'12.2.Нови дейности или обекти'!U144+'12.2.Нови дейности или обекти'!Z144</f>
        <v>15.702400000000001</v>
      </c>
      <c r="AG101" s="1224">
        <f>AF29-AF101</f>
        <v>3.9169885953290411</v>
      </c>
      <c r="AH101" s="1224">
        <f>'12.2.Нови дейности или обекти'!G121+'12.2.Нови дейности или обекти'!L121+'12.2.Нови дейности или обекти'!Q121+'12.2.Нови дейности или обекти'!V121+'12.2.Нови дейности или обекти'!AA121+'12.2.Нови дейности или обекти'!G144+'12.2.Нови дейности или обекти'!L144+'12.2.Нови дейности или обекти'!Q144+'12.2.Нови дейности или обекти'!V144+'12.2.Нови дейности или обекти'!AA144</f>
        <v>15.865039999999999</v>
      </c>
      <c r="AI101" s="1229">
        <f>AH29-AH101</f>
        <v>5.4617808676954613</v>
      </c>
      <c r="AJ101" s="688"/>
      <c r="AK101" s="688"/>
      <c r="AL101" s="688"/>
      <c r="AM101" s="1176"/>
      <c r="AN101" s="1175"/>
      <c r="AO101" s="45"/>
      <c r="AP101" s="45"/>
      <c r="AQ101" s="3159"/>
      <c r="AR101" s="3162"/>
      <c r="AS101" s="691"/>
      <c r="AT101" s="692"/>
      <c r="AU101" s="1175"/>
      <c r="AV101" s="1176"/>
      <c r="AW101" s="1175"/>
      <c r="AX101" s="1176"/>
      <c r="AY101" s="1175"/>
      <c r="AZ101" s="1176"/>
      <c r="BA101" s="1175"/>
      <c r="BB101" s="1176"/>
      <c r="BC101" s="1175"/>
      <c r="BD101" s="1176"/>
      <c r="BE101" s="1175"/>
      <c r="BF101" s="4488"/>
      <c r="BH101" s="4504">
        <f t="shared" si="61"/>
        <v>0</v>
      </c>
      <c r="BI101" s="4504">
        <f t="shared" si="62"/>
        <v>0</v>
      </c>
      <c r="BJ101" s="4504">
        <f t="shared" si="63"/>
        <v>0</v>
      </c>
      <c r="BK101" s="4504">
        <f t="shared" si="64"/>
        <v>0</v>
      </c>
      <c r="BL101" s="4504">
        <f t="shared" si="65"/>
        <v>0</v>
      </c>
      <c r="BN101" s="4504">
        <f t="shared" si="66"/>
        <v>0</v>
      </c>
      <c r="BO101" s="4504">
        <f t="shared" si="67"/>
        <v>0</v>
      </c>
      <c r="BP101" s="4504">
        <f t="shared" si="68"/>
        <v>0</v>
      </c>
      <c r="BQ101" s="4504">
        <f t="shared" si="69"/>
        <v>0</v>
      </c>
      <c r="BR101" s="4504">
        <f t="shared" si="70"/>
        <v>0</v>
      </c>
      <c r="BT101" s="4504">
        <f t="shared" si="71"/>
        <v>7.8446490748173412</v>
      </c>
      <c r="BU101" s="4504">
        <f t="shared" si="72"/>
        <v>7.8957782629369628</v>
      </c>
      <c r="BV101" s="4504">
        <f t="shared" si="73"/>
        <v>7.9773804471758796</v>
      </c>
      <c r="BW101" s="4504">
        <f t="shared" si="74"/>
        <v>8.0285096352955012</v>
      </c>
      <c r="BX101" s="4504">
        <f t="shared" si="75"/>
        <v>8.1116661468532545</v>
      </c>
    </row>
    <row r="102" spans="1:76" s="44" customFormat="1">
      <c r="A102" s="5447"/>
      <c r="B102" s="1234" t="s">
        <v>448</v>
      </c>
      <c r="C102" s="1237"/>
      <c r="D102" s="908">
        <f>'12.2.Нови дейности или обекти'!C28+'12.2.Нови дейности или обекти'!H28+'12.2.Нови дейности или обекти'!M28+'12.2.Нови дейности или обекти'!R28+'12.2.Нови дейности или обекти'!W28+'12.2.Нови дейности или обекти'!C51+'12.2.Нови дейности или обекти'!H51+'12.2.Нови дейности или обекти'!M51+'12.2.Нови дейности или обекти'!R51+'12.2.Нови дейности или обекти'!W51</f>
        <v>0</v>
      </c>
      <c r="E102" s="1224">
        <f>D59-D102</f>
        <v>1922.9487670588196</v>
      </c>
      <c r="F102" s="1224">
        <f>'12.2.Нови дейности или обекти'!D24+'12.2.Нови дейности или обекти'!I24+'12.2.Нови дейности или обекти'!N24+'12.2.Нови дейности или обекти'!S24+'12.2.Нови дейности или обекти'!X24++'12.2.Нови дейности или обекти'!D47+'12.2.Нови дейности или обекти'!I47+'12.2.Нови дейности или обекти'!N47+'12.2.Нови дейности или обекти'!S47+'12.2.Нови дейности или обекти'!X47</f>
        <v>0</v>
      </c>
      <c r="G102" s="1224">
        <f>F59-F102</f>
        <v>2758.7060818264008</v>
      </c>
      <c r="H102" s="1224">
        <f>'12.2.Нови дейности или обекти'!E24+'12.2.Нови дейности или обекти'!J24+'12.2.Нови дейности или обекти'!O24+'12.2.Нови дейности или обекти'!T24+'12.2.Нови дейности или обекти'!Y24+'12.2.Нови дейности или обекти'!E47+'12.2.Нови дейности или обекти'!J47+'12.2.Нови дейности или обекти'!O47+'12.2.Нови дейности или обекти'!T47+'12.2.Нови дейности или обекти'!Y47</f>
        <v>0</v>
      </c>
      <c r="I102" s="1224">
        <f>H59-H102</f>
        <v>3742.5346917490606</v>
      </c>
      <c r="J102" s="1224">
        <f>'12.2.Нови дейности или обекти'!F24+'12.2.Нови дейности или обекти'!K24+'12.2.Нови дейности или обекти'!P24+'12.2.Нови дейности или обекти'!U24+'12.2.Нови дейности или обекти'!Z24+'12.2.Нови дейности или обекти'!F47+'12.2.Нови дейности или обекти'!K47+'12.2.Нови дейности или обекти'!P47+'12.2.Нови дейности или обекти'!U47+'12.2.Нови дейности или обекти'!Z47</f>
        <v>0</v>
      </c>
      <c r="K102" s="1224">
        <f>J59-J102</f>
        <v>4866.8648449139409</v>
      </c>
      <c r="L102" s="1224">
        <f>'12.2.Нови дейности или обекти'!G24+'12.2.Нови дейности или обекти'!L24+'12.2.Нови дейности или обекти'!Q24+'12.2.Нови дейности или обекти'!V24+'12.2.Нови дейности или обекти'!AA24+'12.2.Нови дейности или обекти'!G47+'12.2.Нови дейности или обекти'!L47+'12.2.Нови дейности или обекти'!Q47+'12.2.Нови дейности или обекти'!V47+'12.2.Нови дейности или обекти'!AA47</f>
        <v>0</v>
      </c>
      <c r="M102" s="1229">
        <f>L59-L102</f>
        <v>6146.6166769628171</v>
      </c>
      <c r="N102" s="1237"/>
      <c r="O102" s="1228">
        <f>'12.2.Нови дейности или обекти'!C75+'12.2.Нови дейности или обекти'!H75+'12.2.Нови дейности или обекти'!M75+'12.2.Нови дейности или обекти'!R75+'12.2.Нови дейности или обекти'!W75+'12.2.Нови дейности или обекти'!C98+'12.2.Нови дейности или обекти'!H98+'12.2.Нови дейности или обекти'!M98+'12.2.Нови дейности или обекти'!R98+'12.2.Нови дейности или обекти'!W98</f>
        <v>0</v>
      </c>
      <c r="P102" s="1224">
        <f>O59-O102</f>
        <v>168.48033699390871</v>
      </c>
      <c r="Q102" s="1224">
        <f>'12.2.Нови дейности или обекти'!D75+'12.2.Нови дейности или обекти'!I75+'12.2.Нови дейности или обекти'!N75+'12.2.Нови дейности или обекти'!S75+'12.2.Нови дейности или обекти'!X75+'12.2.Нови дейности или обекти'!D98+'12.2.Нови дейности или обекти'!I98+'12.2.Нови дейности или обекти'!N98+'12.2.Нови дейности или обекти'!S98+'12.2.Нови дейности или обекти'!X98</f>
        <v>0</v>
      </c>
      <c r="R102" s="1224">
        <f>Q59-Q102</f>
        <v>208.92429595638313</v>
      </c>
      <c r="S102" s="1224">
        <f>'12.2.Нови дейности или обекти'!E75+'12.2.Нови дейности или обекти'!J75+'12.2.Нови дейности или обекти'!O75+'12.2.Нови дейности или обекти'!T75+'12.2.Нови дейности или обекти'!Y75+'12.2.Нови дейности или обекти'!E98+'12.2.Нови дейности или обекти'!J98+'12.2.Нови дейности или обекти'!O98+'12.2.Нови дейности или обекти'!T98+'12.2.Нови дейности или обекти'!Y98</f>
        <v>0</v>
      </c>
      <c r="T102" s="1224">
        <f>S59-S102</f>
        <v>255.20282239818167</v>
      </c>
      <c r="U102" s="1224">
        <f>'12.2.Нови дейности или обекти'!F75+'12.2.Нови дейности или обекти'!K75+'12.2.Нови дейности или обекти'!P75+'12.2.Нови дейности или обекти'!U75+'12.2.Нови дейности или обекти'!Z75+'12.2.Нови дейности или обекти'!F98+'12.2.Нови дейности или обекти'!K98+'12.2.Нови дейности или обекти'!P98+'12.2.Нови дейности или обекти'!U98+'12.2.Нови дейности или обекти'!Z98</f>
        <v>0</v>
      </c>
      <c r="V102" s="1224">
        <f>U59-U102</f>
        <v>308.15612192491847</v>
      </c>
      <c r="W102" s="1224">
        <f>'12.2.Нови дейности или обекти'!G75+'12.2.Нови дейности или обекти'!L75+'12.2.Нови дейности или обекти'!Q75+'12.2.Нови дейности или обекти'!V75+'12.2.Нови дейности или обекти'!AA75+'12.2.Нови дейности или обекти'!G98+'12.2.Нови дейности или обекти'!L98+'12.2.Нови дейности или обекти'!Q98+'12.2.Нови дейности или обекти'!V98+'12.2.Нови дейности или обекти'!AA98</f>
        <v>0</v>
      </c>
      <c r="X102" s="1229">
        <f>W59-W102</f>
        <v>368.7451075229045</v>
      </c>
      <c r="Y102" s="1237"/>
      <c r="Z102" s="1228">
        <f>'12.2.Нови дейности или обекти'!C122+'12.2.Нови дейности или обекти'!H122+'12.2.Нови дейности или обекти'!M122+'12.2.Нови дейности или обекти'!R122+'12.2.Нови дейности или обекти'!W122+'12.2.Нови дейности или обекти'!C145+'12.2.Нови дейности или обекти'!H145+'12.2.Нови дейности или обекти'!M145+'12.2.Нови дейности или обекти'!R145+'12.2.Нови дейности или обекти'!W145</f>
        <v>166.17049</v>
      </c>
      <c r="AA102" s="1224">
        <f>Z59-Z102</f>
        <v>443.02226217413966</v>
      </c>
      <c r="AB102" s="1224">
        <f>'12.2.Нови дейности или обекти'!D122+'12.2.Нови дейности или обекти'!I122+'12.2.Нови дейности или обекти'!N122+'12.2.Нови дейности или обекти'!S122+'12.2.Нови дейности или обекти'!X122+'12.2.Нови дейности или обекти'!D145+'12.2.Нови дейности или обекти'!I145+'12.2.Нови дейности или обекти'!N145+'12.2.Нови дейности или обекти'!S145+'12.2.Нови дейности или обекти'!X145</f>
        <v>190.01060999999999</v>
      </c>
      <c r="AC102" s="1224">
        <f>AB59-AB102</f>
        <v>631.85640318828291</v>
      </c>
      <c r="AD102" s="1224">
        <f>'12.2.Нови дейности или обекти'!E122+'12.2.Нови дейности или обекти'!J122+'12.2.Нови дейности или обекти'!O122+'12.2.Нови дейности или обекти'!T122+'12.2.Нови дейности или обекти'!Y122+'12.2.Нови дейности или обекти'!E145+'12.2.Нови дейности или обекти'!J145+'12.2.Нови дейности или обекти'!O145+'12.2.Нови дейности или обекти'!T145+'12.2.Нови дейности или обекти'!Y145</f>
        <v>217.27826999999999</v>
      </c>
      <c r="AE102" s="1224">
        <f>AD59-AD102</f>
        <v>847.87355345161745</v>
      </c>
      <c r="AF102" s="1224">
        <f>'12.2.Нови дейности или обекти'!F122+'12.2.Нови дейности или обекти'!K122+'12.2.Нови дейности или обекти'!P122+'12.2.Нови дейности или обекти'!U122+'12.2.Нови дейности или обекти'!Z122+'12.2.Нови дейности или обекти'!F145+'12.2.Нови дейности или обекти'!K145+'12.2.Нови дейности или обекти'!P145+'12.2.Нови дейности или обекти'!U145+'12.2.Нови дейности или обекти'!Z145</f>
        <v>248.46436</v>
      </c>
      <c r="AG102" s="1224">
        <f>AF59-AF102</f>
        <v>1095.2638401004147</v>
      </c>
      <c r="AH102" s="1224">
        <f>'12.2.Нови дейности или обекти'!G122+'12.2.Нови дейности или обекти'!L122+'12.2.Нови дейности или обекти'!Q122+'12.2.Нови дейности или обекти'!V122+'12.2.Нови дейности или обекти'!AA122+'12.2.Нови дейности или обекти'!G145+'12.2.Нови дейности или обекти'!L145+'12.2.Нови дейности или обекти'!Q145+'12.2.Нови дейности или обекти'!V145+'12.2.Нови дейности или обекти'!AA145</f>
        <v>284.12995000000001</v>
      </c>
      <c r="AI102" s="1229">
        <f>AH59-AH102</f>
        <v>1378.8900378589046</v>
      </c>
      <c r="AJ102" s="688"/>
      <c r="AK102" s="688"/>
      <c r="AL102" s="688"/>
      <c r="AM102" s="1176"/>
      <c r="AN102" s="1175"/>
      <c r="AO102" s="45"/>
      <c r="AP102" s="45"/>
      <c r="AQ102" s="3159"/>
      <c r="AR102" s="3160"/>
      <c r="AS102" s="691"/>
      <c r="AT102" s="692"/>
      <c r="AU102" s="1175"/>
      <c r="AV102" s="1176"/>
      <c r="AW102" s="1175"/>
      <c r="AX102" s="1176"/>
      <c r="AY102" s="1175"/>
      <c r="AZ102" s="1176"/>
      <c r="BA102" s="1175"/>
      <c r="BB102" s="1176"/>
      <c r="BC102" s="1175"/>
      <c r="BD102" s="1176"/>
      <c r="BE102" s="1175"/>
      <c r="BF102" s="4488"/>
      <c r="BH102" s="4504">
        <f t="shared" si="61"/>
        <v>0</v>
      </c>
      <c r="BI102" s="4504">
        <f t="shared" si="62"/>
        <v>0</v>
      </c>
      <c r="BJ102" s="4504">
        <f t="shared" si="63"/>
        <v>0</v>
      </c>
      <c r="BK102" s="4504">
        <f t="shared" si="64"/>
        <v>0</v>
      </c>
      <c r="BL102" s="4504">
        <f t="shared" si="65"/>
        <v>0</v>
      </c>
      <c r="BN102" s="4504">
        <f t="shared" si="66"/>
        <v>0</v>
      </c>
      <c r="BO102" s="4504">
        <f t="shared" si="67"/>
        <v>0</v>
      </c>
      <c r="BP102" s="4504">
        <f t="shared" si="68"/>
        <v>0</v>
      </c>
      <c r="BQ102" s="4504">
        <f t="shared" si="69"/>
        <v>0</v>
      </c>
      <c r="BR102" s="4504">
        <f t="shared" si="70"/>
        <v>0</v>
      </c>
      <c r="BT102" s="4504">
        <f t="shared" si="71"/>
        <v>84.961622431397416</v>
      </c>
      <c r="BU102" s="4504">
        <f t="shared" si="72"/>
        <v>97.150882234140994</v>
      </c>
      <c r="BV102" s="4504">
        <f t="shared" si="73"/>
        <v>111.09261541135989</v>
      </c>
      <c r="BW102" s="4504">
        <f t="shared" si="74"/>
        <v>127.03781003461447</v>
      </c>
      <c r="BX102" s="4504">
        <f t="shared" si="75"/>
        <v>145.2733366396875</v>
      </c>
    </row>
    <row r="103" spans="1:76" s="44" customFormat="1">
      <c r="A103" s="5447"/>
      <c r="B103" s="1234" t="s">
        <v>449</v>
      </c>
      <c r="C103" s="1237"/>
      <c r="D103" s="908">
        <f>'12.2.Нови дейности или обекти'!C29+'12.2.Нови дейности или обекти'!H29+'12.2.Нови дейности или обекти'!M29+'12.2.Нови дейности или обекти'!R29+'12.2.Нови дейности или обекти'!W29+'12.2.Нови дейности или обекти'!C52+'12.2.Нови дейности или обекти'!H52+'12.2.Нови дейности или обекти'!M52+'12.2.Нови дейности или обекти'!R52+'12.2.Нови дейности или обекти'!W52</f>
        <v>0</v>
      </c>
      <c r="E103" s="1224">
        <f>D63-D103</f>
        <v>574.50324277023856</v>
      </c>
      <c r="F103" s="1224">
        <f>'12.2.Нови дейности или обекти'!D25+'12.2.Нови дейности или обекти'!I25+'12.2.Нови дейности или обекти'!N25+'12.2.Нови дейности или обекти'!S25+'12.2.Нови дейности или обекти'!X25++'12.2.Нови дейности или обекти'!D48+'12.2.Нови дейности или обекти'!I48+'12.2.Нови дейности или обекти'!N48+'12.2.Нови дейности или обекти'!S48+'12.2.Нови дейности или обекти'!X48</f>
        <v>0</v>
      </c>
      <c r="G103" s="1224">
        <f>F63-F103</f>
        <v>835.08985286586085</v>
      </c>
      <c r="H103" s="1224">
        <f>'12.2.Нови дейности или обекти'!E25+'12.2.Нови дейности или обекти'!J25+'12.2.Нови дейности или обекти'!O25+'12.2.Нови дейности или обекти'!T25+'12.2.Нови дейности или обекти'!Y25+'12.2.Нови дейности или обекти'!E48+'12.2.Нови дейности или обекти'!J48+'12.2.Нови дейности или обекти'!O48+'12.2.Нови дейности или обекти'!T48+'12.2.Нови дейности или обекти'!Y48</f>
        <v>0</v>
      </c>
      <c r="I103" s="1224">
        <f>H63-H103</f>
        <v>1094.887089662577</v>
      </c>
      <c r="J103" s="1224">
        <f>'12.2.Нови дейности или обекти'!F25+'12.2.Нови дейности или обекти'!K25+'12.2.Нови дейности или обекти'!P25+'12.2.Нови дейности или обекти'!U25+'12.2.Нови дейности или обекти'!Z25+'12.2.Нови дейности или обекти'!F48+'12.2.Нови дейности или обекти'!K48+'12.2.Нови дейности или обекти'!P48+'12.2.Нови дейности или обекти'!U48+'12.2.Нови дейности или обекти'!Z48</f>
        <v>0</v>
      </c>
      <c r="K103" s="1224">
        <f>J63-J103</f>
        <v>1357.0825725643269</v>
      </c>
      <c r="L103" s="1224">
        <f>'12.2.Нови дейности или обекти'!G25+'12.2.Нови дейности или обекти'!L25+'12.2.Нови дейности или обекти'!Q25+'12.2.Нови дейности или обекти'!V25+'12.2.Нови дейности или обекти'!AA25+'12.2.Нови дейности или обекти'!G48+'12.2.Нови дейности или обекти'!L48+'12.2.Нови дейности или обекти'!Q48+'12.2.Нови дейности или обекти'!V48+'12.2.Нови дейности или обекти'!AA48</f>
        <v>0</v>
      </c>
      <c r="M103" s="1229">
        <f>L63-L103</f>
        <v>1618.9289495463393</v>
      </c>
      <c r="N103" s="1237"/>
      <c r="O103" s="1228">
        <f>'12.2.Нови дейности или обекти'!C76+'12.2.Нови дейности или обекти'!H76+'12.2.Нови дейности или обекти'!M76+'12.2.Нови дейности или обекти'!R76+'12.2.Нови дейности или обекти'!W76+'12.2.Нови дейности или обекти'!C99+'12.2.Нови дейности или обекти'!H99+'12.2.Нови дейности или обекти'!M99+'12.2.Нови дейности или обекти'!R99+'12.2.Нови дейности или обекти'!W99</f>
        <v>0</v>
      </c>
      <c r="P103" s="1224">
        <f>O63-O103</f>
        <v>48.537673816574028</v>
      </c>
      <c r="Q103" s="1224">
        <f>'12.2.Нови дейности или обекти'!D76+'12.2.Нови дейности или обекти'!I76+'12.2.Нови дейности или обекти'!N76+'12.2.Нови дейности или обекти'!S76+'12.2.Нови дейности или обекти'!X76+'12.2.Нови дейности или обекти'!D99+'12.2.Нови дейности или обекти'!I99+'12.2.Нови дейности или обекти'!N99+'12.2.Нови дейности или обекти'!S99+'12.2.Нови дейности или обекти'!X99</f>
        <v>0</v>
      </c>
      <c r="R103" s="1224">
        <f>Q63-Q103</f>
        <v>62.316664081907831</v>
      </c>
      <c r="S103" s="1224">
        <f>'12.2.Нови дейности или обекти'!E76+'12.2.Нови дейности или обекти'!J76+'12.2.Нови дейности или обекти'!O76+'12.2.Нови дейности или обекти'!T76+'12.2.Нови дейности или обекти'!Y76+'12.2.Нови дейности или обекти'!E99+'12.2.Нови дейности или обекти'!J99+'12.2.Нови дейности или обекти'!O99+'12.2.Нови дейности или обекти'!T99+'12.2.Нови дейности или обекти'!Y99</f>
        <v>0</v>
      </c>
      <c r="T103" s="1224">
        <f>S63-S103</f>
        <v>75.711530121859809</v>
      </c>
      <c r="U103" s="1224">
        <f>'12.2.Нови дейности или обекти'!F76+'12.2.Нови дейности или обекти'!K76+'12.2.Нови дейности или обекти'!P76+'12.2.Нови дейности или обекти'!U76+'12.2.Нови дейности или обекти'!Z76+'12.2.Нови дейности или обекти'!F99+'12.2.Нови дейности или обекти'!K99+'12.2.Нови дейности или обекти'!P99+'12.2.Нови дейности или обекти'!U99+'12.2.Нови дейности или обекти'!Z99</f>
        <v>0</v>
      </c>
      <c r="V103" s="1224">
        <f>U63-U103</f>
        <v>89.608623099255524</v>
      </c>
      <c r="W103" s="1224">
        <f>'12.2.Нови дейности или обекти'!G76+'12.2.Нови дейности или обекти'!L76+'12.2.Нови дейности или обекти'!Q76+'12.2.Нови дейности или обекти'!V76+'12.2.Нови дейности или обекти'!AA76+'12.2.Нови дейности или обекти'!G99+'12.2.Нови дейности или обекти'!L99+'12.2.Нови дейности или обекти'!Q99+'12.2.Нови дейности или обекти'!V99+'12.2.Нови дейности или обекти'!AA99</f>
        <v>0</v>
      </c>
      <c r="X103" s="1229">
        <f>W63-W103</f>
        <v>103.990237730288</v>
      </c>
      <c r="Y103" s="1237"/>
      <c r="Z103" s="1228">
        <f>'12.2.Нови дейности или обекти'!C123+'12.2.Нови дейности или обекти'!H123+'12.2.Нови дейности или обекти'!M123+'12.2.Нови дейности или обекти'!R123+'12.2.Нови дейности или обекти'!W123+'12.2.Нови дейности или обекти'!C146+'12.2.Нови дейности или обекти'!H146+'12.2.Нови дейности или обекти'!M146+'12.2.Нови дейности или обекти'!R146+'12.2.Нови дейности или обекти'!W146</f>
        <v>47.067940000000007</v>
      </c>
      <c r="AA103" s="1224">
        <f>Z63-Z103</f>
        <v>127.09433319229349</v>
      </c>
      <c r="AB103" s="1224">
        <f>'12.2.Нови дейности или обекти'!D123+'12.2.Нови дейности или обекти'!I123+'12.2.Нови дейности или обекти'!N123+'12.2.Нови дейности или обекти'!S123+'12.2.Нови дейности или обекти'!X123+'12.2.Нови дейности или обекти'!D146+'12.2.Нови дейности или обекти'!I146+'12.2.Нови дейности или обекти'!N146+'12.2.Нови дейности или обекти'!S146+'12.2.Нови дейности или обекти'!X146</f>
        <v>54.697150000000001</v>
      </c>
      <c r="AC103" s="1224">
        <f>AB63-AB103</f>
        <v>185.19424561629029</v>
      </c>
      <c r="AD103" s="1224">
        <f>'12.2.Нови дейности или обекти'!E123+'12.2.Нови дейности или обекти'!J123+'12.2.Нови дейности или обекти'!O123+'12.2.Нови дейности или обекти'!T123+'12.2.Нови дейности или обекти'!Y123+'12.2.Нови дейности или обекти'!E146+'12.2.Нови дейности или обекти'!J146+'12.2.Нови дейности или обекти'!O146+'12.2.Нови дейности или обекти'!T146+'12.2.Нови дейности или обекти'!Y146</f>
        <v>62.105300000000007</v>
      </c>
      <c r="AE103" s="1224">
        <f>AD63-AD103</f>
        <v>241.65833521091014</v>
      </c>
      <c r="AF103" s="1224">
        <f>'12.2.Нови дейности или обекти'!F123+'12.2.Нови дейности или обекти'!K123+'12.2.Нови дейности или обекти'!P123+'12.2.Нови дейности или обекти'!U123+'12.2.Нови дейности или обекти'!Z123+'12.2.Нови дейности или обекти'!F146+'12.2.Нови дейности или обекти'!K146+'12.2.Нови дейности или обекти'!P146+'12.2.Нови дейности или обекти'!U146+'12.2.Нови дейности или обекти'!Z146</f>
        <v>69.597940000000008</v>
      </c>
      <c r="AG103" s="1224">
        <f>AF63-AF103</f>
        <v>299.24479379775596</v>
      </c>
      <c r="AH103" s="1224">
        <f>'12.2.Нови дейности или обекти'!G123+'12.2.Нови дейности или обекти'!L123+'12.2.Нови дейности или обекти'!Q123+'12.2.Нови дейности или обекти'!V123+'12.2.Нови дейности или обекти'!AA123+'12.2.Нови дейности или обекти'!G146+'12.2.Нови дейности или обекти'!L146+'12.2.Нови дейности или обекти'!Q146+'12.2.Нови дейности или обекти'!V146+'12.2.Нови дейности или обекти'!AA146</f>
        <v>77.125360000000001</v>
      </c>
      <c r="AI103" s="1229">
        <f>AH63-AH103</f>
        <v>357.75602816518858</v>
      </c>
      <c r="AJ103" s="688"/>
      <c r="AK103" s="688"/>
      <c r="AL103" s="688"/>
      <c r="AM103" s="1176"/>
      <c r="AN103" s="1175"/>
      <c r="AO103" s="1176"/>
      <c r="AP103" s="1175"/>
      <c r="AQ103" s="1176"/>
      <c r="AR103" s="1175"/>
      <c r="AS103" s="1176"/>
      <c r="AT103" s="1175"/>
      <c r="AU103" s="1175"/>
      <c r="AV103" s="1176"/>
      <c r="AW103" s="1175"/>
      <c r="AX103" s="1176"/>
      <c r="AY103" s="1175"/>
      <c r="AZ103" s="1176"/>
      <c r="BA103" s="1175"/>
      <c r="BB103" s="1176"/>
      <c r="BC103" s="1175"/>
      <c r="BD103" s="1176"/>
      <c r="BE103" s="1175"/>
      <c r="BF103" s="4488"/>
      <c r="BH103" s="4504">
        <f t="shared" si="61"/>
        <v>0</v>
      </c>
      <c r="BI103" s="4504">
        <f t="shared" si="62"/>
        <v>0</v>
      </c>
      <c r="BJ103" s="4504">
        <f t="shared" si="63"/>
        <v>0</v>
      </c>
      <c r="BK103" s="4504">
        <f t="shared" si="64"/>
        <v>0</v>
      </c>
      <c r="BL103" s="4504">
        <f t="shared" si="65"/>
        <v>0</v>
      </c>
      <c r="BN103" s="4504">
        <f t="shared" si="66"/>
        <v>0</v>
      </c>
      <c r="BO103" s="4504">
        <f t="shared" si="67"/>
        <v>0</v>
      </c>
      <c r="BP103" s="4504">
        <f t="shared" si="68"/>
        <v>0</v>
      </c>
      <c r="BQ103" s="4504">
        <f t="shared" si="69"/>
        <v>0</v>
      </c>
      <c r="BR103" s="4504">
        <f t="shared" si="70"/>
        <v>0</v>
      </c>
      <c r="BT103" s="4504">
        <f t="shared" si="71"/>
        <v>24.065455586630744</v>
      </c>
      <c r="BU103" s="4504">
        <f t="shared" si="72"/>
        <v>27.966208719571743</v>
      </c>
      <c r="BV103" s="4504">
        <f t="shared" si="73"/>
        <v>31.753935669255512</v>
      </c>
      <c r="BW103" s="4504">
        <f t="shared" si="74"/>
        <v>35.584861669981549</v>
      </c>
      <c r="BX103" s="4504">
        <f t="shared" si="75"/>
        <v>39.433570402335583</v>
      </c>
    </row>
    <row r="104" spans="1:76" s="44" customFormat="1">
      <c r="A104" s="5447"/>
      <c r="B104" s="1234" t="s">
        <v>450</v>
      </c>
      <c r="C104" s="1237"/>
      <c r="D104" s="908">
        <f>'12.2.Нови дейности или обекти'!C30+'12.2.Нови дейности или обекти'!H30+'12.2.Нови дейности или обекти'!M30+'12.2.Нови дейности или обекти'!R30+'12.2.Нови дейности или обекти'!W30+'12.2.Нови дейности или обекти'!C53+'12.2.Нови дейности или обекти'!H53+'12.2.Нови дейности или обекти'!M53+'12.2.Нови дейности или обекти'!R53+'12.2.Нови дейности или обекти'!W53</f>
        <v>0</v>
      </c>
      <c r="E104" s="1224">
        <f>D70-D104</f>
        <v>7.0619136801719549</v>
      </c>
      <c r="F104" s="1224">
        <f>'12.2.Нови дейности или обекти'!D26+'12.2.Нови дейности или обекти'!I26+'12.2.Нови дейности или обекти'!N26+'12.2.Нови дейности или обекти'!S26+'12.2.Нови дейности или обекти'!X26++'12.2.Нови дейности или обекти'!D49+'12.2.Нови дейности или обекти'!I49+'12.2.Нови дейности или обекти'!N49+'12.2.Нови дейности или обекти'!S49+'12.2.Нови дейности или обекти'!X49</f>
        <v>0</v>
      </c>
      <c r="G104" s="1224">
        <f>F70-F104</f>
        <v>4.8569467277607998</v>
      </c>
      <c r="H104" s="1224">
        <f>'12.2.Нови дейности или обекти'!E26+'12.2.Нови дейности или обекти'!J26+'12.2.Нови дейности или обекти'!O26+'12.2.Нови дейности или обекти'!T26+'12.2.Нови дейности или обекти'!Y26+'12.2.Нови дейности или обекти'!E49+'12.2.Нови дейности или обекти'!J49+'12.2.Нови дейности или обекти'!O49+'12.2.Нови дейности или обекти'!T49+'12.2.Нови дейности или обекти'!Y49</f>
        <v>0</v>
      </c>
      <c r="I104" s="1224">
        <f>H70-H104</f>
        <v>2.0591418303873184</v>
      </c>
      <c r="J104" s="1224">
        <f>'12.2.Нови дейности или обекти'!F26+'12.2.Нови дейности или обекти'!K26+'12.2.Нови дейности или обекти'!P26+'12.2.Нови дейности или обекти'!U26+'12.2.Нови дейности или обекти'!Z26+'12.2.Нови дейности или обекти'!F49+'12.2.Нови дейности или обекти'!K49+'12.2.Нови дейности или обекти'!P49+'12.2.Нови дейности или обекти'!U49+'12.2.Нови дейности или обекти'!Z49</f>
        <v>0</v>
      </c>
      <c r="K104" s="1224">
        <f>J70-J104</f>
        <v>-1.759103954265214</v>
      </c>
      <c r="L104" s="1224">
        <f>'12.2.Нови дейности или обекти'!G26+'12.2.Нови дейности или обекти'!L26+'12.2.Нови дейности или обекти'!Q26+'12.2.Нови дейности или обекти'!V26+'12.2.Нови дейности или обекти'!AA26+'12.2.Нови дейности или обекти'!G49+'12.2.Нови дейности или обекти'!L49+'12.2.Нови дейности или обекти'!Q49+'12.2.Нови дейности или обекти'!V49+'12.2.Нови дейности или обекти'!AA49</f>
        <v>0</v>
      </c>
      <c r="M104" s="1229">
        <f>L70-L104</f>
        <v>-7.2774582022924506</v>
      </c>
      <c r="N104" s="1237"/>
      <c r="O104" s="1228">
        <f>'12.2.Нови дейности или обекти'!C77+'12.2.Нови дейности или обекти'!H77+'12.2.Нови дейности или обекти'!M77+'12.2.Нови дейности или обекти'!R77+'12.2.Нови дейности или обекти'!W77+'12.2.Нови дейности или обекти'!C100+'12.2.Нови дейности или обекти'!H100+'12.2.Нови дейности или обекти'!M100+'12.2.Нови дейности или обекти'!R100+'12.2.Нови дейности или обекти'!W100</f>
        <v>0</v>
      </c>
      <c r="P104" s="1224">
        <f>O70-O104</f>
        <v>-0.45901601714088613</v>
      </c>
      <c r="Q104" s="1224">
        <f>'12.2.Нови дейности или обекти'!D77+'12.2.Нови дейности или обекти'!I77+'12.2.Нови дейности или обекти'!N77+'12.2.Нови дейности или обекти'!S77+'12.2.Нови дейности или обекти'!X77+'12.2.Нови дейности или обекти'!D100+'12.2.Нови дейности или обекти'!I100+'12.2.Нови дейности или обекти'!N100+'12.2.Нови дейности или обекти'!S100+'12.2.Нови дейности или обекти'!X100</f>
        <v>0</v>
      </c>
      <c r="R104" s="1224">
        <f>Q70-Q104</f>
        <v>-0.47153488420622391</v>
      </c>
      <c r="S104" s="1224">
        <f>'12.2.Нови дейности или обекти'!E77+'12.2.Нови дейности или обекти'!J77+'12.2.Нови дейности или обекти'!O77+'12.2.Нови дейности или обекти'!T77+'12.2.Нови дейности или обекти'!Y77+'12.2.Нови дейности или обекти'!E100+'12.2.Нови дейности или обекти'!J100+'12.2.Нови дейности или обекти'!O100+'12.2.Нови дейности или обекти'!T100+'12.2.Нови дейности или обекти'!Y100</f>
        <v>0</v>
      </c>
      <c r="T104" s="1224">
        <f>S70-S104</f>
        <v>-0.46325334830214793</v>
      </c>
      <c r="U104" s="1224">
        <f>'12.2.Нови дейности или обекти'!F77+'12.2.Нови дейности или обекти'!K77+'12.2.Нови дейности или обекти'!P77+'12.2.Нови дейности или обекти'!U77+'12.2.Нови дейности или обекти'!Z77+'12.2.Нови дейности или обекти'!F100+'12.2.Нови дейности или обекти'!K100+'12.2.Нови дейности или обекти'!P100+'12.2.Нови дейности или обекти'!U100+'12.2.Нови дейности или обекти'!Z100</f>
        <v>0</v>
      </c>
      <c r="V104" s="1224">
        <f>U70-U104</f>
        <v>-0.44870528848012814</v>
      </c>
      <c r="W104" s="1224">
        <f>'12.2.Нови дейности или обекти'!G77+'12.2.Нови дейности или обекти'!L77+'12.2.Нови дейности или обекти'!Q77+'12.2.Нови дейности или обекти'!V77+'12.2.Нови дейности или обекти'!AA77+'12.2.Нови дейности или обекти'!G100+'12.2.Нови дейности или обекти'!L100+'12.2.Нови дейности или обекти'!Q100+'12.2.Нови дейности или обекти'!V100+'12.2.Нови дейности или обекти'!AA100</f>
        <v>0</v>
      </c>
      <c r="X104" s="1229">
        <f>W70-W104</f>
        <v>-0.43111421770643066</v>
      </c>
      <c r="Y104" s="1237"/>
      <c r="Z104" s="1228">
        <f>'12.2.Нови дейности или обекти'!C124+'12.2.Нови дейности или обекти'!H124+'12.2.Нови дейности или обекти'!M124+'12.2.Нови дейности или обекти'!R124+'12.2.Нови дейности или обекти'!W124+'12.2.Нови дейности или обекти'!C147+'12.2.Нови дейности или обекти'!H147+'12.2.Нови дейности или обекти'!M147+'12.2.Нови дейности или обекти'!R147+'12.2.Нови дейности или обекти'!W147</f>
        <v>2.821061598702125</v>
      </c>
      <c r="AA104" s="1224">
        <f>Z70-Z104</f>
        <v>0.70227248874460946</v>
      </c>
      <c r="AB104" s="1224">
        <f>'12.2.Нови дейности или обекти'!D124+'12.2.Нови дейности или обекти'!I124+'12.2.Нови дейности или обекти'!N124+'12.2.Нови дейности или обекти'!S124+'12.2.Нови дейности или обекти'!X124+'12.2.Нови дейности или обекти'!D147+'12.2.Нови дейности или обекти'!I147+'12.2.Нови дейности или обекти'!N147+'12.2.Нови дейности или обекти'!S147+'12.2.Нови дейности или обекти'!X147</f>
        <v>2.8294720447234827</v>
      </c>
      <c r="AC104" s="1224">
        <f>AB70-AB104</f>
        <v>0.78498852319975221</v>
      </c>
      <c r="AD104" s="1224">
        <f>'12.2.Нови дейности или обекти'!E124+'12.2.Нови дейности или обекти'!J124+'12.2.Нови дейности или обекти'!O124+'12.2.Нови дейности или обекти'!T124+'12.2.Нови дейности или обекти'!Y124+'12.2.Нови дейности или обекти'!E147+'12.2.Нови дейности или обекти'!J147+'12.2.Нови дейности или обекти'!O147+'12.2.Нови дейности или обекти'!T147+'12.2.Нови дейности или обекти'!Y147</f>
        <v>2.8283489610515664</v>
      </c>
      <c r="AE104" s="1224">
        <f>AD70-AD104</f>
        <v>0.8530962406182967</v>
      </c>
      <c r="AF104" s="1224">
        <f>'12.2.Нови дейности или обекти'!F124+'12.2.Нови дейности или обекти'!K124+'12.2.Нови дейности или обекти'!P124+'12.2.Нови дейности или обекти'!U124+'12.2.Нови дейности или обекти'!Z124+'12.2.Нови дейности или обекти'!F147+'12.2.Нови дейности или обекти'!K147+'12.2.Нови дейности или обекти'!P147+'12.2.Нови дейности или обекти'!U147+'12.2.Нови дейности или обекти'!Z147</f>
        <v>2.8272764706250002</v>
      </c>
      <c r="AG104" s="1224">
        <f>AF70-AF104</f>
        <v>0.94058101538677041</v>
      </c>
      <c r="AH104" s="1224">
        <f>'12.2.Нови дейности или обекти'!G124+'12.2.Нови дейности или обекти'!L124+'12.2.Нови дейности или обекти'!Q124+'12.2.Нови дейности или обекти'!V124+'12.2.Нови дейности или обекти'!AA124+'12.2.Нови дейности или обекти'!G147+'12.2.Нови дейности или обекти'!L147+'12.2.Нови дейности или обекти'!Q147+'12.2.Нови дейности или обекти'!V147+'12.2.Нови дейности или обекти'!AA147</f>
        <v>2.8251541538375</v>
      </c>
      <c r="AI104" s="1229">
        <f>AH70-AH104</f>
        <v>1.0343988031944336</v>
      </c>
      <c r="AJ104" s="688"/>
      <c r="AK104" s="688"/>
      <c r="AL104" s="688"/>
      <c r="AM104" s="1176"/>
      <c r="AN104" s="1175"/>
      <c r="AO104" s="1176"/>
      <c r="AP104" s="1175"/>
      <c r="AQ104" s="1176"/>
      <c r="AR104" s="1175"/>
      <c r="AS104" s="1176"/>
      <c r="AT104" s="1175"/>
      <c r="AU104" s="1175"/>
      <c r="AV104" s="1176"/>
      <c r="AW104" s="1175"/>
      <c r="AX104" s="1176"/>
      <c r="AY104" s="1175"/>
      <c r="AZ104" s="1176"/>
      <c r="BA104" s="1175"/>
      <c r="BB104" s="1176"/>
      <c r="BC104" s="1175"/>
      <c r="BD104" s="1176"/>
      <c r="BE104" s="1175"/>
      <c r="BF104" s="4488"/>
      <c r="BH104" s="4504">
        <f t="shared" si="61"/>
        <v>0</v>
      </c>
      <c r="BI104" s="4504">
        <f t="shared" si="62"/>
        <v>0</v>
      </c>
      <c r="BJ104" s="4504">
        <f t="shared" si="63"/>
        <v>0</v>
      </c>
      <c r="BK104" s="4504">
        <f t="shared" si="64"/>
        <v>0</v>
      </c>
      <c r="BL104" s="4504">
        <f t="shared" si="65"/>
        <v>0</v>
      </c>
      <c r="BN104" s="4504">
        <f t="shared" si="66"/>
        <v>0</v>
      </c>
      <c r="BO104" s="4504">
        <f t="shared" si="67"/>
        <v>0</v>
      </c>
      <c r="BP104" s="4504">
        <f t="shared" si="68"/>
        <v>0</v>
      </c>
      <c r="BQ104" s="4504">
        <f t="shared" si="69"/>
        <v>0</v>
      </c>
      <c r="BR104" s="4504">
        <f t="shared" si="70"/>
        <v>0</v>
      </c>
      <c r="BT104" s="4504">
        <f t="shared" si="71"/>
        <v>1.4423858917708212</v>
      </c>
      <c r="BU104" s="4504">
        <f t="shared" si="72"/>
        <v>1.4466860845387803</v>
      </c>
      <c r="BV104" s="4504">
        <f t="shared" si="73"/>
        <v>1.4461118609754255</v>
      </c>
      <c r="BW104" s="4504">
        <f t="shared" si="74"/>
        <v>1.4455635053276616</v>
      </c>
      <c r="BX104" s="4504">
        <f t="shared" si="75"/>
        <v>1.4444783819848863</v>
      </c>
    </row>
    <row r="105" spans="1:76" s="44" customFormat="1">
      <c r="A105" s="5447"/>
      <c r="B105" s="1234" t="s">
        <v>267</v>
      </c>
      <c r="C105" s="1237"/>
      <c r="D105" s="908">
        <f>'12.2.Нови дейности или обекти'!C31+'12.2.Нови дейности или обекти'!H31+'12.2.Нови дейности или обекти'!M31+'12.2.Нови дейности или обекти'!R31+'12.2.Нови дейности или обекти'!W31+'12.2.Нови дейности или обекти'!C54+'12.2.Нови дейности или обекти'!H54+'12.2.Нови дейности или обекти'!M54+'12.2.Нови дейности или обекти'!R54+'12.2.Нови дейности или обекти'!W54</f>
        <v>0</v>
      </c>
      <c r="E105" s="1224">
        <f>D76-D105</f>
        <v>4.5597097661589245</v>
      </c>
      <c r="F105" s="1224">
        <f>'12.2.Нови дейности или обекти'!D27+'12.2.Нови дейности или обекти'!I27+'12.2.Нови дейности или обекти'!N27+'12.2.Нови дейности или обекти'!S27+'12.2.Нови дейности или обекти'!X27++'12.2.Нови дейности или обекти'!D50+'12.2.Нови дейности или обекти'!I50+'12.2.Нови дейности или обекти'!N50+'12.2.Нови дейности или обекти'!S50+'12.2.Нови дейности или обекти'!X50</f>
        <v>0</v>
      </c>
      <c r="G105" s="1224">
        <f>F76-F105</f>
        <v>4.5597097661589245</v>
      </c>
      <c r="H105" s="1224">
        <f>'12.2.Нови дейности или обекти'!E27+'12.2.Нови дейности или обекти'!J27+'12.2.Нови дейности или обекти'!O27+'12.2.Нови дейности или обекти'!T27+'12.2.Нови дейности или обекти'!Y27+'12.2.Нови дейности или обекти'!E50+'12.2.Нови дейности или обекти'!J50+'12.2.Нови дейности или обекти'!O50+'12.2.Нови дейности или обекти'!T50+'12.2.Нови дейности или обекти'!Y50</f>
        <v>0</v>
      </c>
      <c r="I105" s="1224">
        <f>H76-H105</f>
        <v>4.5597097661589245</v>
      </c>
      <c r="J105" s="1224">
        <f>'12.2.Нови дейности или обекти'!F27+'12.2.Нови дейности или обекти'!K27+'12.2.Нови дейности или обекти'!P27+'12.2.Нови дейности или обекти'!U27+'12.2.Нови дейности или обекти'!Z27+'12.2.Нови дейности или обекти'!F50+'12.2.Нови дейности или обекти'!K50+'12.2.Нови дейности или обекти'!P50+'12.2.Нови дейности или обекти'!U50+'12.2.Нови дейности или обекти'!Z50</f>
        <v>0</v>
      </c>
      <c r="K105" s="1224">
        <f>J76-J105</f>
        <v>4.5597097661589245</v>
      </c>
      <c r="L105" s="1224">
        <f>'12.2.Нови дейности или обекти'!G27+'12.2.Нови дейности или обекти'!L27+'12.2.Нови дейности или обекти'!Q27+'12.2.Нови дейности или обекти'!V27+'12.2.Нови дейности или обекти'!AA27+'12.2.Нови дейности или обекти'!G50+'12.2.Нови дейности или обекти'!L50+'12.2.Нови дейности или обекти'!Q50+'12.2.Нови дейности или обекти'!V50+'12.2.Нови дейности или обекти'!AA50</f>
        <v>0</v>
      </c>
      <c r="M105" s="1229">
        <f>L76-L105</f>
        <v>4.5597097661589245</v>
      </c>
      <c r="N105" s="1237"/>
      <c r="O105" s="1228">
        <f>'12.2.Нови дейности или обекти'!C78+'12.2.Нови дейности или обекти'!H78+'12.2.Нови дейности или обекти'!M78+'12.2.Нови дейности или обекти'!R78+'12.2.Нови дейности или обекти'!W78+'12.2.Нови дейности или обекти'!C101+'12.2.Нови дейности или обекти'!H101+'12.2.Нови дейности или обекти'!M101+'12.2.Нови дейности или обекти'!R101+'12.2.Нови дейности или обекти'!W101</f>
        <v>0</v>
      </c>
      <c r="P105" s="1224">
        <f>O76-O105</f>
        <v>0.10477446614969743</v>
      </c>
      <c r="Q105" s="1224">
        <f>'12.2.Нови дейности или обекти'!D78+'12.2.Нови дейности или обекти'!I78+'12.2.Нови дейности или обекти'!N78+'12.2.Нови дейности или обекти'!S78+'12.2.Нови дейности или обекти'!X78+'12.2.Нови дейности или обекти'!D101+'12.2.Нови дейности или обекти'!I101+'12.2.Нови дейности или обекти'!N101+'12.2.Нови дейности или обекти'!S101+'12.2.Нови дейности или обекти'!X101</f>
        <v>0</v>
      </c>
      <c r="R105" s="1224">
        <f>Q76-Q105</f>
        <v>0.10477446614969743</v>
      </c>
      <c r="S105" s="1224">
        <f>'12.2.Нови дейности или обекти'!E78+'12.2.Нови дейности или обекти'!J78+'12.2.Нови дейности или обекти'!O78+'12.2.Нови дейности или обекти'!T78+'12.2.Нови дейности или обекти'!Y78+'12.2.Нови дейности или обекти'!E101+'12.2.Нови дейности или обекти'!J101+'12.2.Нови дейности или обекти'!O101+'12.2.Нови дейности или обекти'!T101+'12.2.Нови дейности или обекти'!Y101</f>
        <v>0</v>
      </c>
      <c r="T105" s="1224">
        <f>S76-S105</f>
        <v>0.10477446614969743</v>
      </c>
      <c r="U105" s="1224">
        <f>'12.2.Нови дейности или обекти'!F78+'12.2.Нови дейности или обекти'!K78+'12.2.Нови дейности или обекти'!P78+'12.2.Нови дейности или обекти'!U78+'12.2.Нови дейности или обекти'!Z78+'12.2.Нови дейности или обекти'!F101+'12.2.Нови дейности или обекти'!K101+'12.2.Нови дейности или обекти'!P101+'12.2.Нови дейности или обекти'!U101+'12.2.Нови дейности или обекти'!Z101</f>
        <v>0</v>
      </c>
      <c r="V105" s="1224">
        <f>U76-U105</f>
        <v>0.10477446614969743</v>
      </c>
      <c r="W105" s="1224">
        <f>'12.2.Нови дейности или обекти'!G78+'12.2.Нови дейности или обекти'!L78+'12.2.Нови дейности или обекти'!Q78+'12.2.Нови дейности или обекти'!V78+'12.2.Нови дейности или обекти'!AA78+'12.2.Нови дейности или обекти'!G101+'12.2.Нови дейности или обекти'!L101+'12.2.Нови дейности или обекти'!Q101+'12.2.Нови дейности или обекти'!V101+'12.2.Нови дейности или обекти'!AA101</f>
        <v>0</v>
      </c>
      <c r="X105" s="1229">
        <f>W76-W105</f>
        <v>0.10477446614969743</v>
      </c>
      <c r="Y105" s="1237"/>
      <c r="Z105" s="1228">
        <f>'12.2.Нови дейности или обекти'!C125+'12.2.Нови дейности или обекти'!H125+'12.2.Нови дейности или обекти'!M125+'12.2.Нови дейности или обекти'!R125+'12.2.Нови дейности или обекти'!W125+'12.2.Нови дейности или обекти'!C148+'12.2.Нови дейности или обекти'!H148+'12.2.Нови дейности или обекти'!M148+'12.2.Нови дейности или обекти'!R148+'12.2.Нови дейности или обекти'!W148</f>
        <v>4</v>
      </c>
      <c r="AA105" s="1224">
        <f>Z76-Z105</f>
        <v>0</v>
      </c>
      <c r="AB105" s="1224">
        <f>'12.2.Нови дейности или обекти'!D125+'12.2.Нови дейности или обекти'!I125+'12.2.Нови дейности или обекти'!N125+'12.2.Нови дейности или обекти'!S125+'12.2.Нови дейности или обекти'!X125+'12.2.Нови дейности или обекти'!D148+'12.2.Нови дейности или обекти'!I148+'12.2.Нови дейности или обекти'!N148+'12.2.Нови дейности или обекти'!S148+'12.2.Нови дейности или обекти'!X148</f>
        <v>4</v>
      </c>
      <c r="AC105" s="1224">
        <f>AB76-AB105</f>
        <v>0</v>
      </c>
      <c r="AD105" s="1224">
        <f>'12.2.Нови дейности или обекти'!E125+'12.2.Нови дейности или обекти'!J125+'12.2.Нови дейности или обекти'!O125+'12.2.Нови дейности или обекти'!T125+'12.2.Нови дейности или обекти'!Y125+'12.2.Нови дейности или обекти'!E148+'12.2.Нови дейности или обекти'!J148+'12.2.Нови дейности или обекти'!O148+'12.2.Нови дейности или обекти'!T148+'12.2.Нови дейности или обекти'!Y148</f>
        <v>4</v>
      </c>
      <c r="AE105" s="1224">
        <f>AD76-AD105</f>
        <v>0</v>
      </c>
      <c r="AF105" s="1224">
        <f>'12.2.Нови дейности или обекти'!F125+'12.2.Нови дейности или обекти'!K125+'12.2.Нови дейности или обекти'!P125+'12.2.Нови дейности или обекти'!U125+'12.2.Нови дейности или обекти'!Z125+'12.2.Нови дейности или обекти'!F148+'12.2.Нови дейности или обекти'!K148+'12.2.Нови дейности или обекти'!P148+'12.2.Нови дейности или обекти'!U148+'12.2.Нови дейности или обекти'!Z148</f>
        <v>4</v>
      </c>
      <c r="AG105" s="1224">
        <f>AF76-AF105</f>
        <v>0</v>
      </c>
      <c r="AH105" s="1224">
        <f>'12.2.Нови дейности или обекти'!G125+'12.2.Нови дейности или обекти'!L125+'12.2.Нови дейности или обекти'!Q125+'12.2.Нови дейности или обекти'!V125+'12.2.Нови дейности или обекти'!AA125+'12.2.Нови дейности или обекти'!G148+'12.2.Нови дейности или обекти'!L148+'12.2.Нови дейности или обекти'!Q148+'12.2.Нови дейности или обекти'!V148+'12.2.Нови дейности или обекти'!AA148</f>
        <v>4</v>
      </c>
      <c r="AI105" s="1229">
        <f>AH76-AH105</f>
        <v>0</v>
      </c>
      <c r="AJ105" s="688"/>
      <c r="AK105" s="688"/>
      <c r="AL105" s="688"/>
      <c r="AM105" s="1176"/>
      <c r="AN105" s="1175"/>
      <c r="AO105" s="1176"/>
      <c r="AP105" s="1175"/>
      <c r="AQ105" s="1176"/>
      <c r="AR105" s="1175"/>
      <c r="AS105" s="1176"/>
      <c r="AT105" s="1175"/>
      <c r="AU105" s="1175"/>
      <c r="AV105" s="1176"/>
      <c r="AW105" s="1175"/>
      <c r="AX105" s="1176"/>
      <c r="AY105" s="1175"/>
      <c r="AZ105" s="1176"/>
      <c r="BA105" s="1175"/>
      <c r="BB105" s="1176"/>
      <c r="BC105" s="1175"/>
      <c r="BD105" s="1176"/>
      <c r="BE105" s="1175"/>
      <c r="BF105" s="4488"/>
      <c r="BH105" s="4504">
        <f t="shared" si="61"/>
        <v>0</v>
      </c>
      <c r="BI105" s="4504">
        <f t="shared" si="62"/>
        <v>0</v>
      </c>
      <c r="BJ105" s="4504">
        <f t="shared" si="63"/>
        <v>0</v>
      </c>
      <c r="BK105" s="4504">
        <f t="shared" si="64"/>
        <v>0</v>
      </c>
      <c r="BL105" s="4504">
        <f t="shared" si="65"/>
        <v>0</v>
      </c>
      <c r="BN105" s="4504">
        <f t="shared" si="66"/>
        <v>0</v>
      </c>
      <c r="BO105" s="4504">
        <f t="shared" si="67"/>
        <v>0</v>
      </c>
      <c r="BP105" s="4504">
        <f t="shared" si="68"/>
        <v>0</v>
      </c>
      <c r="BQ105" s="4504">
        <f t="shared" si="69"/>
        <v>0</v>
      </c>
      <c r="BR105" s="4504">
        <f t="shared" si="70"/>
        <v>0</v>
      </c>
      <c r="BT105" s="4504">
        <f t="shared" si="71"/>
        <v>2.045167524784874</v>
      </c>
      <c r="BU105" s="4504">
        <f t="shared" si="72"/>
        <v>2.045167524784874</v>
      </c>
      <c r="BV105" s="4504">
        <f t="shared" si="73"/>
        <v>2.045167524784874</v>
      </c>
      <c r="BW105" s="4504">
        <f t="shared" si="74"/>
        <v>2.045167524784874</v>
      </c>
      <c r="BX105" s="4504">
        <f t="shared" si="75"/>
        <v>2.045167524784874</v>
      </c>
    </row>
    <row r="106" spans="1:76" s="44" customFormat="1" ht="14.4" thickBot="1">
      <c r="A106" s="5448"/>
      <c r="B106" s="1235" t="s">
        <v>1233</v>
      </c>
      <c r="C106" s="1238"/>
      <c r="D106" s="1236">
        <f>'12.2.Нови дейности или обекти'!C21+'12.2.Нови дейности или обекти'!H21+'12.2.Нови дейности или обекти'!M21+'12.2.Нови дейности или обекти'!R21+'12.2.Нови дейности или обекти'!W21+'12.2.Нови дейности или обекти'!C44+'12.2.Нови дейности или обекти'!H44+'12.2.Нови дейности или обекти'!M44+'12.2.Нови дейности или обекти'!R44+'12.2.Нови дейности или обекти'!W44</f>
        <v>0</v>
      </c>
      <c r="E106" s="1225">
        <f>D88-D106</f>
        <v>3044.8646928076541</v>
      </c>
      <c r="F106" s="1225">
        <f>'12.2.Нови дейности или обекти'!D28+'12.2.Нови дейности или обекти'!I28+'12.2.Нови дейности или обекти'!N28+'12.2.Нови дейности или обекти'!S28+'12.2.Нови дейности или обекти'!X28++'12.2.Нови дейности или обекти'!D51+'12.2.Нови дейности или обекти'!I51+'12.2.Нови дейности или обекти'!N51+'12.2.Нови дейности или обекти'!S51+'12.2.Нови дейности или обекти'!X51</f>
        <v>0</v>
      </c>
      <c r="G106" s="1225">
        <f>F88-F106</f>
        <v>4104.5381706017361</v>
      </c>
      <c r="H106" s="1225">
        <f>'12.2.Нови дейности или обекти'!E28+'12.2.Нови дейности или обекти'!J28+'12.2.Нови дейности или обекти'!O28+'12.2.Нови дейности или обекти'!T28+'12.2.Нови дейности или обекти'!Y28+'12.2.Нови дейности или обекти'!E51+'12.2.Нови дейности или обекти'!J51+'12.2.Нови дейности или обекти'!O51+'12.2.Нови дейности или обекти'!T51+'12.2.Нови дейности или обекти'!Y51</f>
        <v>0</v>
      </c>
      <c r="I106" s="1225">
        <f>H88-H106</f>
        <v>5244.9703016950716</v>
      </c>
      <c r="J106" s="1225">
        <f>'12.2.Нови дейности или обекти'!F28+'12.2.Нови дейности или обекти'!K28+'12.2.Нови дейности или обекти'!P28+'12.2.Нови дейности или обекти'!U28+'12.2.Нови дейности или обекти'!Z28+'12.2.Нови дейности или обекти'!F51+'12.2.Нови дейности или обекти'!K51+'12.2.Нови дейности или обекти'!P51+'12.2.Нови дейности или обекти'!U51+'12.2.Нови дейности или обекти'!Z51</f>
        <v>0</v>
      </c>
      <c r="K106" s="1225">
        <f>J88-J106</f>
        <v>6551.9031606991557</v>
      </c>
      <c r="L106" s="1225">
        <f>'12.2.Нови дейности или обекти'!G28+'12.2.Нови дейности или обекти'!L28+'12.2.Нови дейности или обекти'!Q28+'12.2.Нови дейности или обекти'!V28+'12.2.Нови дейности или обекти'!AA28+'12.2.Нови дейности или обекти'!G51+'12.2.Нови дейности или обекти'!L51+'12.2.Нови дейности или обекти'!Q51+'12.2.Нови дейности или обекти'!V51+'12.2.Нови дейности или обекти'!AA51</f>
        <v>0</v>
      </c>
      <c r="M106" s="1231">
        <f>L88-L106</f>
        <v>7978.702800710369</v>
      </c>
      <c r="N106" s="1238"/>
      <c r="O106" s="1230">
        <f>'12.2.Нови дейности или обекти'!C68+'12.2.Нови дейности или обекти'!H68+'12.2.Нови дейности или обекти'!M68+'12.2.Нови дейности или обекти'!R68+'12.2.Нови дейности или обекти'!W68+'12.2.Нови дейности или обекти'!C91+'12.2.Нови дейности или обекти'!H91+'12.2.Нови дейности или обекти'!M91+'12.2.Нови дейности или обекти'!R91+'12.2.Нови дейности или обекти'!W91</f>
        <v>0</v>
      </c>
      <c r="P106" s="1225">
        <f>O88-O106</f>
        <v>230.68752623849963</v>
      </c>
      <c r="Q106" s="1225">
        <f>'12.2.Нови дейности или обекти'!D68+'12.2.Нови дейности или обекти'!I68+'12.2.Нови дейности или обекти'!N68+'12.2.Нови дейности или обекти'!S68+'12.2.Нови дейности или обекти'!X68+'12.2.Нови дейности или обекти'!D91+'12.2.Нови дейности или обекти'!I91+'12.2.Нови дейности или обекти'!N91+'12.2.Нови дейности или обекти'!S91+'12.2.Нови дейности или обекти'!X91</f>
        <v>0</v>
      </c>
      <c r="R106" s="1225">
        <f>Q88-Q106</f>
        <v>284.61834944625031</v>
      </c>
      <c r="S106" s="1225">
        <f>'12.2.Нови дейности или обекти'!E68+'12.2.Нови дейности или обекти'!J68+'12.2.Нови дейности или обекти'!O68+'12.2.Нови дейности или обекти'!T68+'12.2.Нови дейности или обекти'!Y68+'12.2.Нови дейности или обекти'!E91+'12.2.Нови дейности или обекти'!J91+'12.2.Нови дейности или обекти'!O91+'12.2.Нови дейности или обекти'!T91+'12.2.Нови дейности или обекти'!Y91</f>
        <v>0</v>
      </c>
      <c r="T106" s="1225">
        <f>S88-S106</f>
        <v>343.09748290333567</v>
      </c>
      <c r="U106" s="1225">
        <f>'12.2.Нови дейности или обекти'!F68+'12.2.Нови дейности или обекти'!K68+'12.2.Нови дейности или обекти'!P68+'12.2.Нови дейности или обекти'!U68+'12.2.Нови дейности или обекти'!Z68+'12.2.Нови дейности или обекти'!F91+'12.2.Нови дейности или обекти'!K91+'12.2.Нови дейности или обекти'!P91+'12.2.Нови дейности или обекти'!U91+'12.2.Нови дейности или обекти'!Z91</f>
        <v>0</v>
      </c>
      <c r="V106" s="1225">
        <f>U88-U106</f>
        <v>412.192829301931</v>
      </c>
      <c r="W106" s="1225">
        <f>'12.2.Нови дейности или обекти'!G68+'12.2.Нови дейности или обекти'!L68+'12.2.Нови дейности или обекти'!Q68+'12.2.Нови дейности или обекти'!V68+'12.2.Нови дейности или обекти'!AA68+'12.2.Нови дейности или обекти'!G91+'12.2.Нови дейности или обекти'!L91+'12.2.Нови дейности или обекти'!Q91+'12.2.Нови дейности или обекти'!V91+'12.2.Нови дейности или обекти'!AA91</f>
        <v>0</v>
      </c>
      <c r="X106" s="1231">
        <f>W88-W106</f>
        <v>485.51887084680692</v>
      </c>
      <c r="Y106" s="1238"/>
      <c r="Z106" s="1230">
        <f>'12.2.Нови дейности или обекти'!C115+'12.2.Нови дейности или обекти'!H115+'12.2.Нови дейности или обекти'!M115+'12.2.Нови дейности или обекти'!R115+'12.2.Нови дейности или обекти'!W115+'12.2.Нови дейности или обекти'!C138+'12.2.Нови дейности или обекти'!H138+'12.2.Нови дейности или обекти'!M138+'12.2.Нови дейности или обекти'!R138+'12.2.Нови дейности или обекти'!W138</f>
        <v>275.73861431770689</v>
      </c>
      <c r="AA106" s="1225">
        <f>Z88-Z106</f>
        <v>613.80554436276407</v>
      </c>
      <c r="AB106" s="1225">
        <f>'12.2.Нови дейности или обекти'!D115+'12.2.Нови дейности или обекти'!I115+'12.2.Нови дейности или обекти'!N115+'12.2.Нови дейности или обекти'!S115+'12.2.Нови дейности или обекти'!X115+'12.2.Нови дейности или обекти'!D138+'12.2.Нови дейности или обекти'!I138+'12.2.Нови дейности или обекти'!N138+'12.2.Нови дейности или обекти'!S138+'12.2.Нови дейности или обекти'!X138</f>
        <v>305.64362680635708</v>
      </c>
      <c r="AC106" s="1225">
        <f>AB88-AB106</f>
        <v>858.31843175604536</v>
      </c>
      <c r="AD106" s="1225">
        <f>'12.2.Нови дейности или обекти'!E115+'12.2.Нови дейности или обекти'!J115+'12.2.Нови дейности или обекти'!O115+'12.2.Нови дейности или обекти'!T115+'12.2.Нови дейности или обекти'!Y115+'12.2.Нови дейности или обекти'!E138+'12.2.Нови дейности или обекти'!J138+'12.2.Нови дейности или обекти'!O138+'12.2.Нови дейности или обекти'!T138+'12.2.Нови дейности или обекти'!Y138</f>
        <v>338.80529321931391</v>
      </c>
      <c r="AE106" s="1225">
        <f>AD88-AD106</f>
        <v>1126.7431231768971</v>
      </c>
      <c r="AF106" s="1225">
        <f>'12.2.Нови дейности или обекти'!F115+'12.2.Нови дейности или обекти'!K115+'12.2.Нови дейности или обекти'!P115+'12.2.Нови дейности или обекти'!U115+'12.2.Нови дейности или обекти'!Z115+'12.2.Нови дейности или обекти'!F138+'12.2.Нови дейности или обекти'!K138+'12.2.Нови дейности или обекти'!P138+'12.2.Нови дейности или обекти'!U138+'12.2.Нови дейности или обекти'!Z138</f>
        <v>375.9104387540562</v>
      </c>
      <c r="AG106" s="1225">
        <f>AF88-AF106</f>
        <v>1430.8795519837688</v>
      </c>
      <c r="AH106" s="1225">
        <f>'12.2.Нови дейности или обекти'!G115+'12.2.Нови дейности или обекти'!L115+'12.2.Нови дейности или обекти'!Q115+'12.2.Нови дейности или обекти'!V115+'12.2.Нови дейности или обекти'!AA115+'12.2.Нови дейности или обекти'!G138+'12.2.Нови дейности или обекти'!L138+'12.2.Нови дейности или обекти'!Q138+'12.2.Нови дейности или обекти'!V138+'12.2.Нови дейности или обекти'!AA138</f>
        <v>417.5915640762629</v>
      </c>
      <c r="AI106" s="1231">
        <f>AH88-AH106</f>
        <v>1774.9834673022438</v>
      </c>
      <c r="AJ106" s="688"/>
      <c r="AK106" s="688"/>
      <c r="AL106" s="688"/>
      <c r="AM106" s="1176"/>
      <c r="AN106" s="1175"/>
      <c r="AO106" s="45"/>
      <c r="AP106" s="45"/>
      <c r="AQ106" s="3159"/>
      <c r="AR106" s="3160"/>
      <c r="AS106" s="691"/>
      <c r="AT106" s="692"/>
      <c r="AU106" s="1175"/>
      <c r="AV106" s="1176"/>
      <c r="AW106" s="1175"/>
      <c r="AX106" s="1176"/>
      <c r="AY106" s="1175"/>
      <c r="AZ106" s="1176"/>
      <c r="BA106" s="1175"/>
      <c r="BB106" s="1176"/>
      <c r="BC106" s="1175"/>
      <c r="BD106" s="1176"/>
      <c r="BE106" s="1175"/>
      <c r="BF106" s="4488"/>
      <c r="BH106" s="4504">
        <f t="shared" si="61"/>
        <v>0</v>
      </c>
      <c r="BI106" s="4504">
        <f t="shared" si="62"/>
        <v>0</v>
      </c>
      <c r="BJ106" s="4504">
        <f t="shared" si="63"/>
        <v>0</v>
      </c>
      <c r="BK106" s="4504">
        <f t="shared" si="64"/>
        <v>0</v>
      </c>
      <c r="BL106" s="4504">
        <f t="shared" si="65"/>
        <v>0</v>
      </c>
      <c r="BN106" s="4504">
        <f t="shared" si="66"/>
        <v>0</v>
      </c>
      <c r="BO106" s="4504">
        <f t="shared" si="67"/>
        <v>0</v>
      </c>
      <c r="BP106" s="4504">
        <f t="shared" si="68"/>
        <v>0</v>
      </c>
      <c r="BQ106" s="4504">
        <f t="shared" si="69"/>
        <v>0</v>
      </c>
      <c r="BR106" s="4504">
        <f t="shared" si="70"/>
        <v>0</v>
      </c>
      <c r="BT106" s="4504">
        <f t="shared" si="71"/>
        <v>140.98291483293892</v>
      </c>
      <c r="BU106" s="4504">
        <f t="shared" si="72"/>
        <v>156.27310492545726</v>
      </c>
      <c r="BV106" s="4504">
        <f t="shared" si="73"/>
        <v>173.22839572933941</v>
      </c>
      <c r="BW106" s="4504">
        <f t="shared" si="74"/>
        <v>192.19995539185726</v>
      </c>
      <c r="BX106" s="4504">
        <f t="shared" si="75"/>
        <v>213.51117636822369</v>
      </c>
    </row>
    <row r="107" spans="1:76" s="686" customFormat="1">
      <c r="A107" s="4409"/>
      <c r="B107" s="4410"/>
      <c r="C107" s="4411"/>
      <c r="D107" s="4412"/>
      <c r="E107" s="4412"/>
      <c r="F107" s="4412"/>
      <c r="G107" s="4412"/>
      <c r="H107" s="4412"/>
      <c r="I107" s="4412"/>
      <c r="J107" s="4412"/>
      <c r="K107" s="4412"/>
      <c r="L107" s="4412"/>
      <c r="M107" s="4412"/>
      <c r="N107" s="4411"/>
      <c r="O107" s="4412"/>
      <c r="P107" s="4412"/>
      <c r="Q107" s="4412"/>
      <c r="R107" s="4412"/>
      <c r="S107" s="4412"/>
      <c r="T107" s="4412"/>
      <c r="U107" s="4412"/>
      <c r="V107" s="4412"/>
      <c r="W107" s="4412"/>
      <c r="X107" s="4412"/>
      <c r="Y107" s="4411"/>
      <c r="Z107" s="4412"/>
      <c r="AA107" s="4412"/>
      <c r="AB107" s="4412"/>
      <c r="AC107" s="4412"/>
      <c r="AD107" s="4412"/>
      <c r="AE107" s="4412"/>
      <c r="AF107" s="4412"/>
      <c r="AG107" s="4412"/>
      <c r="AH107" s="4412"/>
      <c r="AI107" s="4412"/>
      <c r="AJ107" s="4413"/>
      <c r="AK107" s="4413"/>
      <c r="AL107" s="4413"/>
      <c r="AM107" s="4414"/>
      <c r="AN107" s="4415"/>
      <c r="AO107" s="4416"/>
      <c r="AP107" s="4416"/>
      <c r="AQ107" s="4417"/>
      <c r="AR107" s="2434"/>
      <c r="AS107" s="4016"/>
      <c r="AT107" s="4418"/>
      <c r="AU107" s="4415"/>
      <c r="AV107" s="4414"/>
      <c r="AW107" s="4415"/>
      <c r="AX107" s="4414"/>
      <c r="AY107" s="4415"/>
      <c r="AZ107" s="4414"/>
      <c r="BA107" s="4415"/>
      <c r="BB107" s="4414"/>
      <c r="BC107" s="4415"/>
      <c r="BD107" s="4414"/>
      <c r="BE107" s="4415"/>
    </row>
    <row r="108" spans="1:76" s="686" customFormat="1">
      <c r="A108" s="4409"/>
      <c r="B108" s="4410"/>
      <c r="C108" s="3156" t="str">
        <f>'Приложение '!B82</f>
        <v>Дата: 16.03.2026</v>
      </c>
      <c r="D108" s="4412"/>
      <c r="E108" s="4412"/>
      <c r="F108" s="4412"/>
      <c r="G108" s="4412"/>
      <c r="H108" s="4412"/>
      <c r="I108" s="4412"/>
      <c r="J108" s="4412"/>
      <c r="K108" s="4412"/>
      <c r="L108" s="4412"/>
      <c r="M108" s="4412"/>
      <c r="N108" s="4411"/>
      <c r="O108" s="4412"/>
      <c r="P108" s="4412"/>
      <c r="Q108" s="4412"/>
      <c r="R108" s="4412"/>
      <c r="S108" s="4412"/>
      <c r="T108" s="4412"/>
      <c r="U108" s="4412"/>
      <c r="V108" s="4412"/>
      <c r="W108" s="4412"/>
      <c r="X108" s="4412"/>
      <c r="Y108" s="4411"/>
      <c r="Z108" s="4412"/>
      <c r="AA108" s="4412"/>
      <c r="AB108" s="4412"/>
      <c r="AC108" s="4412"/>
      <c r="AD108" s="4412"/>
      <c r="AE108" s="4412"/>
      <c r="AF108" s="4412"/>
      <c r="AG108" s="4412"/>
      <c r="AH108" s="4412"/>
      <c r="AI108" s="4412"/>
      <c r="AJ108" s="4413"/>
      <c r="AK108" s="4413"/>
      <c r="AL108" s="4413"/>
      <c r="AM108" s="4414"/>
      <c r="AN108" s="4415"/>
      <c r="AO108" s="4416"/>
      <c r="AP108" s="4416"/>
      <c r="AQ108" s="4417"/>
      <c r="AR108" s="2434"/>
      <c r="AS108" s="4016"/>
      <c r="AT108" s="4418"/>
      <c r="AU108" s="4415"/>
      <c r="AV108" s="4414"/>
      <c r="AW108" s="4415"/>
      <c r="AX108" s="4414"/>
      <c r="AY108" s="4415"/>
      <c r="AZ108" s="4414"/>
      <c r="BA108" s="4415"/>
      <c r="BB108" s="4414"/>
      <c r="BC108" s="4415"/>
      <c r="BD108" s="4414"/>
      <c r="BE108" s="4415"/>
    </row>
    <row r="109" spans="1:76" s="686" customFormat="1">
      <c r="A109" s="4409"/>
      <c r="B109" s="4410"/>
      <c r="C109" s="3156"/>
      <c r="D109" s="4412"/>
      <c r="E109" s="4412"/>
      <c r="F109" s="4412"/>
      <c r="G109" s="4412"/>
      <c r="H109" s="4412"/>
      <c r="I109" s="4412"/>
      <c r="J109" s="4412"/>
      <c r="K109" s="4412"/>
      <c r="L109" s="4412"/>
      <c r="M109" s="4412"/>
      <c r="N109" s="4411"/>
      <c r="O109" s="4412"/>
      <c r="P109" s="4412"/>
      <c r="Q109" s="4412"/>
      <c r="R109" s="4412"/>
      <c r="S109" s="4412"/>
      <c r="T109" s="4412"/>
      <c r="U109" s="4412"/>
      <c r="V109" s="4412"/>
      <c r="W109" s="4412"/>
      <c r="X109" s="4412"/>
      <c r="Y109" s="4411"/>
      <c r="Z109" s="4412"/>
      <c r="AA109" s="4412"/>
      <c r="AB109" s="4412"/>
      <c r="AC109" s="4412"/>
      <c r="AD109" s="4412"/>
      <c r="AE109" s="4412"/>
      <c r="AF109" s="4412"/>
      <c r="AG109" s="4412"/>
      <c r="AH109" s="4412"/>
      <c r="AI109" s="4412"/>
      <c r="AJ109" s="4413"/>
      <c r="AK109" s="4413"/>
      <c r="AL109" s="4413"/>
      <c r="AM109" s="4414"/>
      <c r="AN109" s="4415"/>
      <c r="AO109" s="4416"/>
      <c r="AP109" s="4416"/>
      <c r="AQ109" s="4417"/>
      <c r="AR109" s="2434"/>
      <c r="AS109" s="4016"/>
      <c r="AT109" s="4418"/>
      <c r="AU109" s="4415"/>
      <c r="AV109" s="4414"/>
      <c r="AW109" s="4415"/>
      <c r="AX109" s="4414"/>
      <c r="AY109" s="4415"/>
      <c r="AZ109" s="4414"/>
      <c r="BA109" s="4415"/>
      <c r="BB109" s="4414"/>
      <c r="BC109" s="4415"/>
      <c r="BD109" s="4414"/>
      <c r="BE109" s="4415"/>
    </row>
    <row r="110" spans="1:76" s="686" customFormat="1">
      <c r="A110" s="4409"/>
      <c r="B110" s="4410"/>
      <c r="C110" s="4411"/>
      <c r="D110" s="4412"/>
      <c r="E110" s="4412"/>
      <c r="F110" s="4412"/>
      <c r="G110" s="4412"/>
      <c r="H110" s="4412"/>
      <c r="I110" s="4412"/>
      <c r="J110" s="4412"/>
      <c r="K110" s="4412"/>
      <c r="L110" s="4412"/>
      <c r="M110" s="4412"/>
      <c r="N110" s="4411"/>
      <c r="O110" s="4412"/>
      <c r="P110" s="4412"/>
      <c r="Q110" s="4412"/>
      <c r="R110" s="4412"/>
      <c r="S110" s="4412"/>
      <c r="T110" s="4412"/>
      <c r="U110" s="4412"/>
      <c r="V110" s="4412"/>
      <c r="W110" s="4412"/>
      <c r="X110" s="4412"/>
      <c r="Y110" s="4411"/>
      <c r="Z110" s="4412"/>
      <c r="AA110" s="4412"/>
      <c r="AB110" s="4412"/>
      <c r="AC110" s="4412"/>
      <c r="AD110" s="4412"/>
      <c r="AE110" s="4412"/>
      <c r="AF110" s="4412"/>
      <c r="AG110" s="4412"/>
      <c r="AH110" s="4412"/>
      <c r="AI110" s="4412"/>
      <c r="AJ110" s="4413"/>
      <c r="AK110" s="4413"/>
      <c r="AL110" s="4413"/>
      <c r="AM110" s="4414"/>
      <c r="AN110" s="4415"/>
      <c r="AO110" s="4416"/>
      <c r="AP110" s="4416"/>
      <c r="AQ110" s="4417"/>
      <c r="AR110" s="2434"/>
      <c r="AS110" s="4016"/>
      <c r="AT110" s="4418"/>
      <c r="AU110" s="4415"/>
      <c r="AV110" s="4414"/>
      <c r="AW110" s="4415"/>
      <c r="AX110" s="4414"/>
      <c r="AY110" s="4415"/>
      <c r="AZ110" s="4414"/>
      <c r="BA110" s="4415"/>
      <c r="BB110" s="4414"/>
      <c r="BC110" s="4415"/>
      <c r="BD110" s="4414"/>
      <c r="BE110" s="4415"/>
    </row>
    <row r="111" spans="1:76" s="686" customFormat="1">
      <c r="A111" s="4419"/>
      <c r="B111" s="4419"/>
      <c r="C111" s="4420" t="s">
        <v>187</v>
      </c>
      <c r="D111" s="4421"/>
      <c r="E111" s="4422"/>
      <c r="F111" s="4421"/>
      <c r="G111" s="4422"/>
      <c r="H111" s="4421"/>
      <c r="I111" s="4422"/>
      <c r="J111" s="4421"/>
      <c r="K111" s="4422"/>
      <c r="L111" s="4421"/>
      <c r="M111" s="4422"/>
      <c r="N111" s="4422"/>
      <c r="O111" s="4421"/>
      <c r="P111" s="4422"/>
      <c r="Q111" s="4421"/>
      <c r="R111" s="4422"/>
      <c r="S111" s="4421"/>
      <c r="T111" s="4422"/>
      <c r="U111" s="4421"/>
      <c r="V111" s="4422"/>
      <c r="W111" s="4421"/>
      <c r="X111" s="4422"/>
      <c r="Y111" s="4422"/>
      <c r="Z111" s="4423"/>
      <c r="AA111" s="4422"/>
      <c r="AB111" s="4423"/>
      <c r="AC111" s="4422"/>
      <c r="AD111" s="4423"/>
      <c r="AE111" s="4422"/>
      <c r="AF111" s="4423"/>
      <c r="AG111" s="4422"/>
      <c r="AH111" s="4423"/>
      <c r="AI111" s="4422"/>
      <c r="AJ111" s="4413"/>
      <c r="AK111" s="4413"/>
      <c r="AL111" s="4413"/>
      <c r="AM111" s="4423"/>
      <c r="AN111" s="4422"/>
      <c r="AO111" s="4416"/>
      <c r="AP111" s="4416"/>
      <c r="AQ111" s="4417"/>
      <c r="AR111" s="4424"/>
      <c r="AS111" s="4425"/>
      <c r="AT111" s="4425"/>
      <c r="AU111" s="4426"/>
      <c r="AV111" s="4426"/>
      <c r="AW111" s="4427"/>
      <c r="AX111" s="4426"/>
      <c r="AY111" s="4427"/>
      <c r="AZ111" s="4426"/>
      <c r="BA111" s="4427"/>
      <c r="BB111" s="4426"/>
      <c r="BC111" s="4422"/>
      <c r="BD111" s="4423"/>
      <c r="BE111" s="4422"/>
    </row>
    <row r="112" spans="1:76" s="44" customFormat="1" ht="34.5" customHeight="1">
      <c r="A112" s="700"/>
      <c r="B112" s="700"/>
      <c r="C112" s="5461" t="str">
        <f>"1. Справка №12.1. е резултативна от справка 12. и справка 12.2. и показва ефект за "&amp;D9&amp;" - "&amp;L9&amp;" от планираните разходи за нови обекти и/или дейности, вкл. в коефициента Qр, и ефективност на разходите  спрямо "&amp;C9</f>
        <v>1. Справка №12.1. е резултативна от справка 12. и справка 12.2. и показва ефект за 2027 г. - 2031 г. от планираните разходи за нови обекти и/или дейности, вкл. в коефициента Qр, и ефективност на разходите  спрямо 2024 г.</v>
      </c>
      <c r="D112" s="5461"/>
      <c r="E112" s="5461"/>
      <c r="F112" s="5461"/>
      <c r="G112" s="5461"/>
      <c r="H112" s="5461"/>
      <c r="I112" s="5461"/>
      <c r="J112" s="5461"/>
      <c r="K112" s="5461"/>
      <c r="L112" s="5461"/>
      <c r="M112" s="5461"/>
      <c r="N112" s="5461"/>
      <c r="O112" s="5461"/>
      <c r="P112" s="5461"/>
      <c r="Q112" s="5461"/>
      <c r="R112" s="5461"/>
      <c r="S112" s="5461"/>
      <c r="T112" s="5461"/>
      <c r="U112" s="5461"/>
      <c r="V112" s="5461"/>
      <c r="W112" s="5461"/>
      <c r="X112" s="5461"/>
      <c r="Y112" s="696"/>
      <c r="Z112" s="713"/>
      <c r="AA112" s="696"/>
      <c r="AB112" s="713"/>
      <c r="AC112" s="696"/>
      <c r="AD112" s="713"/>
      <c r="AE112" s="696"/>
      <c r="AF112" s="713"/>
      <c r="AG112" s="696"/>
      <c r="AH112" s="713"/>
      <c r="AI112" s="696"/>
      <c r="AJ112" s="696"/>
      <c r="AK112" s="713"/>
      <c r="AL112" s="696"/>
      <c r="AM112" s="713"/>
      <c r="AN112" s="696"/>
      <c r="AO112" s="713"/>
      <c r="AP112" s="696"/>
      <c r="AQ112" s="713"/>
      <c r="AR112" s="696"/>
      <c r="BB112" s="688"/>
      <c r="BC112" s="696"/>
      <c r="BD112" s="713"/>
      <c r="BE112" s="696"/>
    </row>
    <row r="113" spans="1:57">
      <c r="O113" s="849"/>
      <c r="P113" s="687"/>
      <c r="Q113" s="849"/>
      <c r="R113" s="687"/>
      <c r="S113" s="849"/>
      <c r="T113" s="687"/>
      <c r="U113" s="849"/>
      <c r="V113" s="687"/>
      <c r="AF113" s="3156"/>
      <c r="AK113" s="3156"/>
      <c r="AL113" s="687"/>
      <c r="AM113" s="3156"/>
      <c r="AN113" s="687"/>
      <c r="AO113" s="3156"/>
      <c r="AP113" s="687"/>
      <c r="AQ113" s="3156"/>
      <c r="AR113" s="687"/>
      <c r="BB113" s="688"/>
      <c r="BC113" s="687"/>
    </row>
    <row r="114" spans="1:57">
      <c r="B114" s="3157"/>
      <c r="C114" s="3157"/>
      <c r="AF114" s="696"/>
      <c r="AG114" s="41"/>
      <c r="AH114" s="3158"/>
      <c r="AI114" s="41"/>
      <c r="AJ114" s="41"/>
      <c r="AS114" s="713"/>
      <c r="AT114" s="844"/>
      <c r="BA114" s="32"/>
      <c r="BB114" s="688"/>
      <c r="BD114" s="3158"/>
      <c r="BE114" s="41"/>
    </row>
    <row r="115" spans="1:57">
      <c r="AF115" s="696"/>
      <c r="AG115" s="688"/>
      <c r="AH115" s="3161"/>
      <c r="AI115" s="688"/>
      <c r="AJ115" s="688"/>
      <c r="AT115" s="844"/>
      <c r="BA115" s="32"/>
      <c r="BB115" s="688"/>
      <c r="BD115" s="3161"/>
      <c r="BE115" s="688"/>
    </row>
    <row r="116" spans="1:57">
      <c r="AF116" s="696"/>
      <c r="AG116" s="688"/>
      <c r="AH116" s="3161"/>
      <c r="AI116" s="688"/>
      <c r="AJ116" s="688"/>
      <c r="AS116" s="3158"/>
      <c r="AT116" s="844"/>
      <c r="BA116" s="32"/>
      <c r="BB116" s="688"/>
      <c r="BD116" s="3161"/>
      <c r="BE116" s="688"/>
    </row>
    <row r="117" spans="1:57">
      <c r="AF117" s="696"/>
      <c r="AG117" s="688"/>
      <c r="AH117" s="3161"/>
      <c r="AI117" s="688"/>
      <c r="AJ117" s="688"/>
      <c r="AS117" s="3161"/>
      <c r="AT117" s="844"/>
      <c r="AV117" s="45"/>
      <c r="AW117" s="3159"/>
      <c r="AX117" s="3160"/>
      <c r="AY117" s="691"/>
      <c r="AZ117" s="692"/>
      <c r="BA117" s="32"/>
      <c r="BB117" s="688"/>
      <c r="BD117" s="3161"/>
      <c r="BE117" s="688"/>
    </row>
    <row r="118" spans="1:57">
      <c r="AF118" s="696"/>
      <c r="AG118" s="688"/>
      <c r="AH118" s="3161"/>
      <c r="AI118" s="688"/>
      <c r="AJ118" s="688"/>
      <c r="AS118" s="3161"/>
      <c r="AT118" s="844"/>
      <c r="BA118" s="32"/>
      <c r="BB118" s="688"/>
      <c r="BD118" s="3161"/>
      <c r="BE118" s="688"/>
    </row>
    <row r="119" spans="1:57" s="44" customFormat="1">
      <c r="D119" s="844"/>
      <c r="E119" s="45"/>
      <c r="F119" s="844"/>
      <c r="G119" s="45"/>
      <c r="H119" s="844"/>
      <c r="I119" s="45"/>
      <c r="J119" s="844"/>
      <c r="K119" s="45"/>
      <c r="L119" s="844"/>
      <c r="M119" s="45"/>
      <c r="N119" s="45"/>
      <c r="O119" s="844"/>
      <c r="P119" s="45"/>
      <c r="Q119" s="844"/>
      <c r="R119" s="45"/>
      <c r="S119" s="844"/>
      <c r="T119" s="45"/>
      <c r="U119" s="844"/>
      <c r="V119" s="45"/>
      <c r="AF119" s="696"/>
      <c r="AG119" s="688"/>
      <c r="AH119" s="3161"/>
      <c r="AI119" s="688"/>
      <c r="AJ119" s="688"/>
      <c r="AK119" s="712"/>
      <c r="AL119" s="45"/>
      <c r="AM119" s="712"/>
      <c r="AN119" s="45"/>
      <c r="AO119" s="712"/>
      <c r="AP119" s="45"/>
      <c r="AQ119" s="712"/>
      <c r="AR119" s="45"/>
      <c r="AS119" s="3161"/>
      <c r="AT119" s="844"/>
      <c r="BA119" s="32"/>
      <c r="BB119" s="45"/>
      <c r="BC119" s="45"/>
      <c r="BD119" s="3161"/>
      <c r="BE119" s="688"/>
    </row>
    <row r="120" spans="1:57" s="44" customFormat="1">
      <c r="D120" s="844"/>
      <c r="E120" s="693"/>
      <c r="F120" s="844"/>
      <c r="G120" s="693"/>
      <c r="H120" s="844"/>
      <c r="I120" s="693"/>
      <c r="J120" s="844"/>
      <c r="K120" s="693"/>
      <c r="L120" s="844"/>
      <c r="M120" s="693"/>
      <c r="N120" s="693"/>
      <c r="O120" s="844"/>
      <c r="P120" s="693"/>
      <c r="Q120" s="844"/>
      <c r="R120" s="693"/>
      <c r="S120" s="844"/>
      <c r="T120" s="693"/>
      <c r="U120" s="844"/>
      <c r="V120" s="693"/>
      <c r="AF120" s="696"/>
      <c r="AG120" s="688"/>
      <c r="AH120" s="3161"/>
      <c r="AI120" s="688"/>
      <c r="AJ120" s="688"/>
      <c r="AK120" s="712"/>
      <c r="AL120" s="693"/>
      <c r="AM120" s="712"/>
      <c r="AN120" s="693"/>
      <c r="AO120" s="712"/>
      <c r="AP120" s="693"/>
      <c r="AQ120" s="712"/>
      <c r="AR120" s="45"/>
      <c r="AS120" s="3161"/>
      <c r="AT120" s="844"/>
      <c r="AU120" s="693"/>
      <c r="AV120" s="693"/>
      <c r="AX120" s="695"/>
      <c r="AY120" s="691"/>
      <c r="AZ120" s="692"/>
      <c r="BA120" s="32"/>
      <c r="BB120" s="712"/>
      <c r="BC120" s="45"/>
      <c r="BD120" s="3161"/>
      <c r="BE120" s="688"/>
    </row>
    <row r="121" spans="1:57" s="44" customFormat="1">
      <c r="A121" s="23"/>
      <c r="C121" s="3163"/>
      <c r="D121" s="844"/>
      <c r="E121" s="45"/>
      <c r="F121" s="844"/>
      <c r="G121" s="45"/>
      <c r="H121" s="844"/>
      <c r="I121" s="45"/>
      <c r="J121" s="844"/>
      <c r="K121" s="45"/>
      <c r="L121" s="844"/>
      <c r="M121" s="45"/>
      <c r="N121" s="45"/>
      <c r="O121" s="844"/>
      <c r="P121" s="45"/>
      <c r="Q121" s="844"/>
      <c r="R121" s="45"/>
      <c r="S121" s="844"/>
      <c r="T121" s="45"/>
      <c r="U121" s="844"/>
      <c r="V121" s="45"/>
      <c r="AF121" s="712"/>
      <c r="AG121" s="688"/>
      <c r="AH121" s="3161"/>
      <c r="AI121" s="688"/>
      <c r="AJ121" s="688"/>
      <c r="AK121" s="712"/>
      <c r="AL121" s="45"/>
      <c r="AM121" s="712"/>
      <c r="AN121" s="45"/>
      <c r="AO121" s="712"/>
      <c r="AP121" s="45"/>
      <c r="AQ121" s="712"/>
      <c r="AR121" s="45"/>
      <c r="AS121" s="3161"/>
      <c r="AT121" s="688"/>
      <c r="AU121" s="688"/>
      <c r="AV121" s="712"/>
      <c r="AW121" s="45"/>
      <c r="AX121" s="712"/>
      <c r="AY121" s="45"/>
      <c r="AZ121" s="712"/>
      <c r="BA121" s="45"/>
      <c r="BB121" s="712"/>
      <c r="BC121" s="45"/>
      <c r="BD121" s="3161"/>
      <c r="BE121" s="688"/>
    </row>
    <row r="122" spans="1:57" s="44" customFormat="1">
      <c r="C122" s="387"/>
      <c r="D122" s="844"/>
      <c r="E122" s="45"/>
      <c r="F122" s="844"/>
      <c r="G122" s="45"/>
      <c r="H122" s="844"/>
      <c r="I122" s="45"/>
      <c r="J122" s="844"/>
      <c r="K122" s="45"/>
      <c r="L122" s="844"/>
      <c r="M122" s="45"/>
      <c r="N122" s="45"/>
      <c r="O122" s="844"/>
      <c r="P122" s="45"/>
      <c r="Q122" s="844"/>
      <c r="R122" s="45"/>
      <c r="S122" s="844"/>
      <c r="T122" s="45"/>
      <c r="U122" s="844"/>
      <c r="V122" s="45"/>
      <c r="W122" s="844"/>
      <c r="X122" s="45"/>
      <c r="Y122" s="45"/>
      <c r="Z122" s="712"/>
      <c r="AA122" s="45"/>
      <c r="AB122" s="712"/>
      <c r="AC122" s="45"/>
      <c r="AD122" s="712"/>
      <c r="AE122" s="45"/>
      <c r="AF122" s="712"/>
      <c r="AG122" s="45"/>
      <c r="AH122" s="712"/>
      <c r="AI122" s="45"/>
      <c r="AJ122" s="45"/>
      <c r="AK122" s="712"/>
      <c r="AL122" s="45"/>
      <c r="AM122" s="712"/>
      <c r="AN122" s="45"/>
      <c r="AO122" s="712"/>
      <c r="AP122" s="45"/>
      <c r="AQ122" s="712"/>
      <c r="AR122" s="45"/>
      <c r="AS122" s="712"/>
      <c r="AT122" s="45"/>
      <c r="AU122" s="45"/>
      <c r="AV122" s="712"/>
      <c r="AW122" s="45"/>
      <c r="AX122" s="712"/>
      <c r="AY122" s="45"/>
      <c r="AZ122" s="712"/>
      <c r="BA122" s="45"/>
      <c r="BB122" s="712"/>
      <c r="BC122" s="45"/>
      <c r="BD122" s="712"/>
      <c r="BE122" s="45"/>
    </row>
    <row r="123" spans="1:57" s="44" customFormat="1">
      <c r="A123" s="700"/>
      <c r="B123" s="700"/>
      <c r="C123" s="700"/>
      <c r="D123" s="845"/>
      <c r="E123" s="676"/>
      <c r="F123" s="845"/>
      <c r="G123" s="676"/>
      <c r="H123" s="845"/>
      <c r="I123" s="676"/>
      <c r="J123" s="847"/>
      <c r="K123" s="696"/>
      <c r="L123" s="847"/>
      <c r="M123" s="696"/>
      <c r="N123" s="696"/>
      <c r="O123" s="847"/>
      <c r="P123" s="696"/>
      <c r="Q123" s="847"/>
      <c r="R123" s="696"/>
      <c r="S123" s="847"/>
      <c r="T123" s="696"/>
      <c r="U123" s="847"/>
      <c r="V123" s="696"/>
      <c r="W123" s="847"/>
      <c r="X123" s="696"/>
      <c r="Y123" s="696"/>
      <c r="Z123" s="713"/>
      <c r="AA123" s="696"/>
      <c r="AB123" s="713"/>
      <c r="AC123" s="696"/>
      <c r="AD123" s="713"/>
      <c r="AE123" s="696"/>
      <c r="AF123" s="713"/>
      <c r="AG123" s="696"/>
      <c r="AH123" s="713"/>
      <c r="AI123" s="696"/>
      <c r="AJ123" s="696"/>
      <c r="AK123" s="713"/>
      <c r="AL123" s="696"/>
      <c r="AM123" s="713"/>
      <c r="AN123" s="696"/>
      <c r="AO123" s="713"/>
      <c r="AP123" s="696"/>
      <c r="AQ123" s="713"/>
      <c r="AR123" s="696"/>
      <c r="AS123" s="713"/>
      <c r="AT123" s="696"/>
      <c r="AU123" s="696"/>
      <c r="AV123" s="713"/>
      <c r="AW123" s="696"/>
      <c r="AX123" s="713"/>
      <c r="AY123" s="696"/>
      <c r="AZ123" s="713"/>
      <c r="BA123" s="696"/>
      <c r="BB123" s="713"/>
      <c r="BC123" s="696"/>
      <c r="BD123" s="713"/>
      <c r="BE123" s="696"/>
    </row>
    <row r="124" spans="1:57" s="44" customFormat="1">
      <c r="A124" s="700"/>
      <c r="B124" s="700"/>
      <c r="C124" s="700"/>
      <c r="D124" s="847"/>
      <c r="E124" s="696"/>
      <c r="F124" s="847"/>
      <c r="G124" s="696"/>
      <c r="H124" s="847"/>
      <c r="I124" s="696"/>
      <c r="J124" s="847"/>
      <c r="K124" s="696"/>
      <c r="L124" s="847"/>
      <c r="M124" s="696"/>
      <c r="N124" s="696"/>
      <c r="O124" s="847"/>
      <c r="P124" s="696"/>
      <c r="Q124" s="847"/>
      <c r="R124" s="696"/>
      <c r="S124" s="847"/>
      <c r="T124" s="696"/>
      <c r="U124" s="847"/>
      <c r="V124" s="696"/>
      <c r="W124" s="847"/>
      <c r="X124" s="696"/>
      <c r="Y124" s="696"/>
      <c r="Z124" s="713"/>
      <c r="AA124" s="696"/>
      <c r="AB124" s="713"/>
      <c r="AC124" s="696"/>
      <c r="AD124" s="713"/>
      <c r="AE124" s="696"/>
      <c r="AF124" s="713"/>
      <c r="AG124" s="696"/>
      <c r="AH124" s="713"/>
      <c r="AI124" s="696"/>
      <c r="AJ124" s="696"/>
      <c r="AK124" s="713"/>
      <c r="AL124" s="696"/>
      <c r="AM124" s="713"/>
      <c r="AN124" s="696"/>
      <c r="AO124" s="713"/>
      <c r="AP124" s="696"/>
      <c r="AQ124" s="713"/>
      <c r="AR124" s="696"/>
      <c r="AS124" s="713"/>
      <c r="AT124" s="696"/>
      <c r="AU124" s="696"/>
      <c r="AV124" s="713"/>
      <c r="AW124" s="696"/>
      <c r="AX124" s="713"/>
      <c r="AY124" s="696"/>
      <c r="AZ124" s="713"/>
      <c r="BA124" s="696"/>
      <c r="BB124" s="713"/>
      <c r="BC124" s="696"/>
      <c r="BD124" s="713"/>
      <c r="BE124" s="696"/>
    </row>
    <row r="125" spans="1:57" s="44" customFormat="1">
      <c r="A125" s="700"/>
      <c r="B125" s="700"/>
      <c r="C125" s="700"/>
      <c r="D125" s="847"/>
      <c r="E125" s="696"/>
      <c r="F125" s="847"/>
      <c r="G125" s="696"/>
      <c r="H125" s="847"/>
      <c r="I125" s="696"/>
      <c r="J125" s="847"/>
      <c r="K125" s="696"/>
      <c r="L125" s="847"/>
      <c r="M125" s="696"/>
      <c r="N125" s="696"/>
      <c r="O125" s="847"/>
      <c r="P125" s="696"/>
      <c r="Q125" s="847"/>
      <c r="R125" s="696"/>
      <c r="S125" s="847"/>
      <c r="T125" s="696"/>
      <c r="U125" s="847"/>
      <c r="V125" s="696"/>
      <c r="W125" s="847"/>
      <c r="X125" s="696"/>
      <c r="Y125" s="696"/>
      <c r="Z125" s="713"/>
      <c r="AA125" s="696"/>
      <c r="AB125" s="713"/>
      <c r="AC125" s="696"/>
      <c r="AD125" s="713"/>
      <c r="AE125" s="696"/>
      <c r="AF125" s="713"/>
      <c r="AG125" s="696"/>
      <c r="AH125" s="713"/>
      <c r="AI125" s="696"/>
      <c r="AJ125" s="696"/>
      <c r="AK125" s="713"/>
      <c r="AL125" s="696"/>
      <c r="AM125" s="713"/>
      <c r="AN125" s="696"/>
      <c r="AO125" s="713"/>
      <c r="AP125" s="696"/>
      <c r="AQ125" s="713"/>
      <c r="AR125" s="696"/>
      <c r="AS125" s="713"/>
      <c r="AT125" s="696"/>
      <c r="AU125" s="696"/>
      <c r="AV125" s="713"/>
      <c r="AW125" s="696"/>
      <c r="AX125" s="713"/>
      <c r="AY125" s="696"/>
      <c r="AZ125" s="713"/>
      <c r="BA125" s="696"/>
      <c r="BB125" s="713"/>
      <c r="BC125" s="696"/>
      <c r="BD125" s="713"/>
      <c r="BE125" s="696"/>
    </row>
    <row r="126" spans="1:57" s="44" customFormat="1">
      <c r="A126" s="700"/>
      <c r="B126" s="700"/>
      <c r="C126" s="700"/>
      <c r="D126" s="847"/>
      <c r="E126" s="696"/>
      <c r="F126" s="847"/>
      <c r="G126" s="696"/>
      <c r="H126" s="847"/>
      <c r="I126" s="696"/>
      <c r="J126" s="847"/>
      <c r="K126" s="696"/>
      <c r="L126" s="847"/>
      <c r="M126" s="696"/>
      <c r="N126" s="696"/>
      <c r="O126" s="847"/>
      <c r="P126" s="696"/>
      <c r="Q126" s="847"/>
      <c r="R126" s="696"/>
      <c r="S126" s="847"/>
      <c r="T126" s="696"/>
      <c r="U126" s="847"/>
      <c r="V126" s="696"/>
      <c r="W126" s="847"/>
      <c r="X126" s="696"/>
      <c r="Y126" s="696"/>
      <c r="Z126" s="713"/>
      <c r="AA126" s="696"/>
      <c r="AB126" s="713"/>
      <c r="AC126" s="696"/>
      <c r="AD126" s="713"/>
      <c r="AE126" s="696"/>
      <c r="AF126" s="713"/>
      <c r="AG126" s="696"/>
      <c r="AH126" s="713"/>
      <c r="AI126" s="696"/>
      <c r="AJ126" s="696"/>
      <c r="AK126" s="713"/>
      <c r="AL126" s="696"/>
      <c r="AM126" s="713"/>
      <c r="AN126" s="696"/>
      <c r="AO126" s="713"/>
      <c r="AP126" s="696"/>
      <c r="AQ126" s="713"/>
      <c r="AR126" s="696"/>
      <c r="AS126" s="713"/>
      <c r="AT126" s="696"/>
      <c r="AU126" s="696"/>
      <c r="AV126" s="713"/>
      <c r="AW126" s="696"/>
      <c r="AX126" s="713"/>
      <c r="AY126" s="696"/>
      <c r="AZ126" s="713"/>
      <c r="BA126" s="696"/>
      <c r="BB126" s="713"/>
      <c r="BC126" s="696"/>
      <c r="BD126" s="713"/>
      <c r="BE126" s="696"/>
    </row>
    <row r="127" spans="1:57" s="44" customFormat="1">
      <c r="A127" s="700"/>
      <c r="B127" s="700"/>
      <c r="C127" s="700"/>
      <c r="D127" s="847"/>
      <c r="E127" s="696"/>
      <c r="F127" s="847"/>
      <c r="G127" s="696"/>
      <c r="H127" s="847"/>
      <c r="I127" s="696"/>
      <c r="J127" s="847"/>
      <c r="K127" s="696"/>
      <c r="L127" s="847"/>
      <c r="M127" s="696"/>
      <c r="N127" s="696"/>
      <c r="O127" s="847"/>
      <c r="P127" s="696"/>
      <c r="Q127" s="847"/>
      <c r="R127" s="696"/>
      <c r="S127" s="847"/>
      <c r="T127" s="696"/>
      <c r="U127" s="847"/>
      <c r="V127" s="696"/>
      <c r="W127" s="847"/>
      <c r="X127" s="696"/>
      <c r="Y127" s="696"/>
      <c r="Z127" s="713"/>
      <c r="AA127" s="696"/>
      <c r="AB127" s="713"/>
      <c r="AC127" s="696"/>
      <c r="AD127" s="713"/>
      <c r="AE127" s="696"/>
      <c r="AF127" s="713"/>
      <c r="AG127" s="696"/>
      <c r="AH127" s="713"/>
      <c r="AI127" s="696"/>
      <c r="AJ127" s="696"/>
      <c r="AK127" s="713"/>
      <c r="AL127" s="696"/>
      <c r="AM127" s="713"/>
      <c r="AN127" s="696"/>
      <c r="AO127" s="713"/>
      <c r="AP127" s="696"/>
      <c r="AQ127" s="713"/>
      <c r="AR127" s="696"/>
      <c r="AS127" s="713"/>
      <c r="AT127" s="696"/>
      <c r="AU127" s="696"/>
      <c r="AV127" s="713"/>
      <c r="AW127" s="696"/>
      <c r="AX127" s="713"/>
      <c r="AY127" s="696"/>
      <c r="AZ127" s="713"/>
      <c r="BA127" s="696"/>
      <c r="BB127" s="713"/>
      <c r="BC127" s="696"/>
      <c r="BD127" s="713"/>
      <c r="BE127" s="696"/>
    </row>
    <row r="128" spans="1:57" s="44" customFormat="1">
      <c r="A128" s="700"/>
      <c r="B128" s="700"/>
      <c r="C128" s="700"/>
      <c r="D128" s="847"/>
      <c r="E128" s="696"/>
      <c r="F128" s="847"/>
      <c r="G128" s="696"/>
      <c r="H128" s="847"/>
      <c r="I128" s="696"/>
      <c r="J128" s="847"/>
      <c r="K128" s="696"/>
      <c r="L128" s="847"/>
      <c r="M128" s="696"/>
      <c r="N128" s="696"/>
      <c r="O128" s="847"/>
      <c r="P128" s="696"/>
      <c r="Q128" s="847"/>
      <c r="R128" s="696"/>
      <c r="S128" s="847"/>
      <c r="T128" s="696"/>
      <c r="U128" s="847"/>
      <c r="V128" s="696"/>
      <c r="W128" s="847"/>
      <c r="X128" s="696"/>
      <c r="Y128" s="696"/>
      <c r="Z128" s="713"/>
      <c r="AA128" s="696"/>
      <c r="AB128" s="713"/>
      <c r="AC128" s="696"/>
      <c r="AD128" s="713"/>
      <c r="AE128" s="696"/>
      <c r="AF128" s="713"/>
      <c r="AG128" s="696"/>
      <c r="AH128" s="713"/>
      <c r="AI128" s="696"/>
      <c r="AJ128" s="696"/>
      <c r="AK128" s="713"/>
      <c r="AL128" s="696"/>
      <c r="AM128" s="713"/>
      <c r="AN128" s="696"/>
      <c r="AO128" s="713"/>
      <c r="AP128" s="696"/>
      <c r="AQ128" s="713"/>
      <c r="AR128" s="696"/>
      <c r="AS128" s="713"/>
      <c r="AT128" s="696"/>
      <c r="AU128" s="696"/>
      <c r="AV128" s="713"/>
      <c r="AW128" s="696"/>
      <c r="AX128" s="713"/>
      <c r="AY128" s="696"/>
      <c r="AZ128" s="713"/>
      <c r="BA128" s="696"/>
      <c r="BB128" s="713"/>
      <c r="BC128" s="696"/>
      <c r="BD128" s="713"/>
      <c r="BE128" s="696"/>
    </row>
    <row r="129" spans="1:57" s="44" customFormat="1">
      <c r="A129" s="700"/>
      <c r="B129" s="700"/>
      <c r="C129" s="700"/>
      <c r="D129" s="847"/>
      <c r="E129" s="696"/>
      <c r="F129" s="847"/>
      <c r="G129" s="696"/>
      <c r="H129" s="847"/>
      <c r="I129" s="696"/>
      <c r="J129" s="847"/>
      <c r="K129" s="696"/>
      <c r="L129" s="847"/>
      <c r="M129" s="696"/>
      <c r="N129" s="696"/>
      <c r="O129" s="847"/>
      <c r="P129" s="696"/>
      <c r="Q129" s="847"/>
      <c r="R129" s="696"/>
      <c r="S129" s="847"/>
      <c r="T129" s="696"/>
      <c r="U129" s="847"/>
      <c r="V129" s="696"/>
      <c r="W129" s="847"/>
      <c r="X129" s="696"/>
      <c r="Y129" s="696"/>
      <c r="Z129" s="713"/>
      <c r="AA129" s="696"/>
      <c r="AB129" s="713"/>
      <c r="AC129" s="696"/>
      <c r="AD129" s="713"/>
      <c r="AE129" s="696"/>
      <c r="AF129" s="713"/>
      <c r="AG129" s="696"/>
      <c r="AH129" s="713"/>
      <c r="AI129" s="696"/>
      <c r="AJ129" s="696"/>
      <c r="AK129" s="713"/>
      <c r="AL129" s="696"/>
      <c r="AM129" s="713"/>
      <c r="AN129" s="696"/>
      <c r="AO129" s="713"/>
      <c r="AP129" s="696"/>
      <c r="AQ129" s="713"/>
      <c r="AR129" s="696"/>
      <c r="AS129" s="713"/>
      <c r="AT129" s="696"/>
      <c r="AU129" s="696"/>
      <c r="AV129" s="713"/>
      <c r="AW129" s="696"/>
      <c r="AX129" s="713"/>
      <c r="AY129" s="696"/>
      <c r="AZ129" s="713"/>
      <c r="BA129" s="696"/>
      <c r="BB129" s="713"/>
      <c r="BC129" s="696"/>
      <c r="BD129" s="713"/>
      <c r="BE129" s="696"/>
    </row>
    <row r="130" spans="1:57" s="44" customFormat="1">
      <c r="A130" s="700"/>
      <c r="B130" s="700"/>
      <c r="C130" s="700"/>
      <c r="D130" s="847"/>
      <c r="E130" s="696"/>
      <c r="F130" s="847"/>
      <c r="G130" s="696"/>
      <c r="H130" s="847"/>
      <c r="I130" s="696"/>
      <c r="J130" s="847"/>
      <c r="K130" s="696"/>
      <c r="L130" s="847"/>
      <c r="M130" s="696"/>
      <c r="N130" s="696"/>
      <c r="O130" s="847"/>
      <c r="P130" s="696"/>
      <c r="Q130" s="847"/>
      <c r="R130" s="696"/>
      <c r="S130" s="847"/>
      <c r="T130" s="696"/>
      <c r="U130" s="847"/>
      <c r="V130" s="696"/>
      <c r="W130" s="847"/>
      <c r="X130" s="696"/>
      <c r="Y130" s="696"/>
      <c r="Z130" s="713"/>
      <c r="AA130" s="696"/>
      <c r="AB130" s="713"/>
      <c r="AC130" s="696"/>
      <c r="AD130" s="713"/>
      <c r="AE130" s="696"/>
      <c r="AF130" s="713"/>
      <c r="AG130" s="696"/>
      <c r="AH130" s="713"/>
      <c r="AI130" s="696"/>
      <c r="AJ130" s="696"/>
      <c r="AK130" s="713"/>
      <c r="AL130" s="696"/>
      <c r="AM130" s="713"/>
      <c r="AN130" s="696"/>
      <c r="AO130" s="713"/>
      <c r="AP130" s="696"/>
      <c r="AQ130" s="713"/>
      <c r="AR130" s="696"/>
      <c r="AS130" s="713"/>
      <c r="AT130" s="696"/>
      <c r="AU130" s="696"/>
      <c r="AV130" s="713"/>
      <c r="AW130" s="696"/>
      <c r="AX130" s="713"/>
      <c r="AY130" s="696"/>
      <c r="AZ130" s="713"/>
      <c r="BA130" s="696"/>
      <c r="BB130" s="713"/>
      <c r="BC130" s="696"/>
      <c r="BD130" s="713"/>
      <c r="BE130" s="696"/>
    </row>
    <row r="131" spans="1:57" s="44" customFormat="1">
      <c r="A131" s="700"/>
      <c r="B131" s="700"/>
      <c r="C131" s="700"/>
      <c r="D131" s="847"/>
      <c r="E131" s="696"/>
      <c r="F131" s="847"/>
      <c r="G131" s="696"/>
      <c r="H131" s="847"/>
      <c r="I131" s="696"/>
      <c r="J131" s="847"/>
      <c r="K131" s="696"/>
      <c r="L131" s="847"/>
      <c r="M131" s="696"/>
      <c r="N131" s="696"/>
      <c r="O131" s="847"/>
      <c r="P131" s="696"/>
      <c r="Q131" s="847"/>
      <c r="R131" s="696"/>
      <c r="S131" s="847"/>
      <c r="T131" s="696"/>
      <c r="U131" s="847"/>
      <c r="V131" s="696"/>
      <c r="W131" s="847"/>
      <c r="X131" s="696"/>
      <c r="Y131" s="696"/>
      <c r="Z131" s="713"/>
      <c r="AA131" s="696"/>
      <c r="AB131" s="713"/>
      <c r="AC131" s="696"/>
      <c r="AD131" s="713"/>
      <c r="AE131" s="696"/>
      <c r="AF131" s="713"/>
      <c r="AG131" s="696"/>
      <c r="AH131" s="713"/>
      <c r="AI131" s="696"/>
      <c r="AJ131" s="696"/>
      <c r="AK131" s="713"/>
      <c r="AL131" s="696"/>
      <c r="AM131" s="713"/>
      <c r="AN131" s="696"/>
      <c r="AO131" s="713"/>
      <c r="AP131" s="696"/>
      <c r="AQ131" s="713"/>
      <c r="AR131" s="696"/>
      <c r="AS131" s="713"/>
      <c r="AT131" s="696"/>
      <c r="AU131" s="696"/>
      <c r="AV131" s="713"/>
      <c r="AW131" s="696"/>
      <c r="AX131" s="713"/>
      <c r="AY131" s="696"/>
      <c r="AZ131" s="713"/>
      <c r="BA131" s="696"/>
      <c r="BB131" s="713"/>
      <c r="BC131" s="696"/>
      <c r="BD131" s="713"/>
      <c r="BE131" s="696"/>
    </row>
    <row r="132" spans="1:57" s="44" customFormat="1">
      <c r="A132" s="700"/>
      <c r="B132" s="700"/>
      <c r="C132" s="700"/>
      <c r="D132" s="847"/>
      <c r="E132" s="696"/>
      <c r="F132" s="847"/>
      <c r="G132" s="696"/>
      <c r="H132" s="847"/>
      <c r="I132" s="696"/>
      <c r="J132" s="847"/>
      <c r="K132" s="696"/>
      <c r="L132" s="847"/>
      <c r="M132" s="696"/>
      <c r="N132" s="696"/>
      <c r="O132" s="847"/>
      <c r="P132" s="696"/>
      <c r="Q132" s="847"/>
      <c r="R132" s="696"/>
      <c r="S132" s="847"/>
      <c r="T132" s="696"/>
      <c r="U132" s="847"/>
      <c r="V132" s="696"/>
      <c r="W132" s="847"/>
      <c r="X132" s="696"/>
      <c r="Y132" s="696"/>
      <c r="Z132" s="713"/>
      <c r="AA132" s="696"/>
      <c r="AB132" s="713"/>
      <c r="AC132" s="696"/>
      <c r="AD132" s="713"/>
      <c r="AE132" s="696"/>
      <c r="AF132" s="713"/>
      <c r="AG132" s="696"/>
      <c r="AH132" s="713"/>
      <c r="AI132" s="696"/>
      <c r="AJ132" s="696"/>
      <c r="AK132" s="713"/>
      <c r="AL132" s="696"/>
      <c r="AM132" s="713"/>
      <c r="AN132" s="696"/>
      <c r="AO132" s="713"/>
      <c r="AP132" s="696"/>
      <c r="AQ132" s="713"/>
      <c r="AR132" s="696"/>
      <c r="AS132" s="713"/>
      <c r="AT132" s="696"/>
      <c r="AU132" s="696"/>
      <c r="AV132" s="713"/>
      <c r="AW132" s="696"/>
      <c r="AX132" s="713"/>
      <c r="AY132" s="696"/>
      <c r="AZ132" s="713"/>
      <c r="BA132" s="696"/>
      <c r="BB132" s="713"/>
      <c r="BC132" s="696"/>
      <c r="BD132" s="713"/>
      <c r="BE132" s="696"/>
    </row>
    <row r="133" spans="1:57" s="44" customFormat="1">
      <c r="A133" s="700"/>
      <c r="B133" s="700"/>
      <c r="C133" s="700"/>
      <c r="D133" s="847"/>
      <c r="E133" s="696"/>
      <c r="F133" s="847"/>
      <c r="G133" s="696"/>
      <c r="H133" s="847"/>
      <c r="I133" s="696"/>
      <c r="J133" s="847"/>
      <c r="K133" s="696"/>
      <c r="L133" s="847"/>
      <c r="M133" s="696"/>
      <c r="N133" s="696"/>
      <c r="O133" s="847"/>
      <c r="P133" s="696"/>
      <c r="Q133" s="847"/>
      <c r="R133" s="696"/>
      <c r="S133" s="847"/>
      <c r="T133" s="696"/>
      <c r="U133" s="847"/>
      <c r="V133" s="696"/>
      <c r="W133" s="847"/>
      <c r="X133" s="696"/>
      <c r="Y133" s="696"/>
      <c r="Z133" s="713"/>
      <c r="AA133" s="696"/>
      <c r="AB133" s="713"/>
      <c r="AC133" s="696"/>
      <c r="AD133" s="713"/>
      <c r="AE133" s="696"/>
      <c r="AF133" s="713"/>
      <c r="AG133" s="696"/>
      <c r="AH133" s="713"/>
      <c r="AI133" s="696"/>
      <c r="AJ133" s="696"/>
      <c r="AK133" s="713"/>
      <c r="AL133" s="696"/>
      <c r="AM133" s="713"/>
      <c r="AN133" s="696"/>
      <c r="AO133" s="713"/>
      <c r="AP133" s="696"/>
      <c r="AQ133" s="713"/>
      <c r="AR133" s="696"/>
      <c r="AS133" s="713"/>
      <c r="AT133" s="696"/>
      <c r="AU133" s="696"/>
      <c r="AV133" s="713"/>
      <c r="AW133" s="696"/>
      <c r="AX133" s="713"/>
      <c r="AY133" s="696"/>
      <c r="AZ133" s="713"/>
      <c r="BA133" s="696"/>
      <c r="BB133" s="713"/>
      <c r="BC133" s="696"/>
      <c r="BD133" s="713"/>
      <c r="BE133" s="696"/>
    </row>
    <row r="134" spans="1:57" s="44" customFormat="1">
      <c r="A134" s="700"/>
      <c r="B134" s="700"/>
      <c r="C134" s="700"/>
      <c r="D134" s="847"/>
      <c r="E134" s="696"/>
      <c r="F134" s="847"/>
      <c r="G134" s="696"/>
      <c r="H134" s="847"/>
      <c r="I134" s="696"/>
      <c r="J134" s="847"/>
      <c r="K134" s="696"/>
      <c r="L134" s="847"/>
      <c r="M134" s="696"/>
      <c r="N134" s="696"/>
      <c r="O134" s="847"/>
      <c r="P134" s="696"/>
      <c r="Q134" s="847"/>
      <c r="R134" s="696"/>
      <c r="S134" s="847"/>
      <c r="T134" s="696"/>
      <c r="U134" s="847"/>
      <c r="V134" s="696"/>
      <c r="W134" s="847"/>
      <c r="X134" s="696"/>
      <c r="Y134" s="696"/>
      <c r="Z134" s="713"/>
      <c r="AA134" s="696"/>
      <c r="AB134" s="713"/>
      <c r="AC134" s="696"/>
      <c r="AD134" s="713"/>
      <c r="AE134" s="696"/>
      <c r="AF134" s="713"/>
      <c r="AG134" s="696"/>
      <c r="AH134" s="713"/>
      <c r="AI134" s="696"/>
      <c r="AJ134" s="696"/>
      <c r="AK134" s="713"/>
      <c r="AL134" s="696"/>
      <c r="AM134" s="713"/>
      <c r="AN134" s="696"/>
      <c r="AO134" s="713"/>
      <c r="AP134" s="696"/>
      <c r="AQ134" s="713"/>
      <c r="AR134" s="696"/>
      <c r="AS134" s="713"/>
      <c r="AT134" s="696"/>
      <c r="AU134" s="696"/>
      <c r="AV134" s="713"/>
      <c r="AW134" s="696"/>
      <c r="AX134" s="713"/>
      <c r="AY134" s="696"/>
      <c r="AZ134" s="713"/>
      <c r="BA134" s="696"/>
      <c r="BB134" s="713"/>
      <c r="BC134" s="696"/>
      <c r="BD134" s="713"/>
      <c r="BE134" s="696"/>
    </row>
    <row r="135" spans="1:57" s="44" customFormat="1">
      <c r="A135" s="700"/>
      <c r="B135" s="700"/>
      <c r="C135" s="700"/>
      <c r="D135" s="847"/>
      <c r="E135" s="696"/>
      <c r="F135" s="847"/>
      <c r="G135" s="696"/>
      <c r="H135" s="847"/>
      <c r="I135" s="696"/>
      <c r="J135" s="847"/>
      <c r="K135" s="696"/>
      <c r="L135" s="847"/>
      <c r="M135" s="696"/>
      <c r="N135" s="696"/>
      <c r="O135" s="847"/>
      <c r="P135" s="696"/>
      <c r="Q135" s="847"/>
      <c r="R135" s="696"/>
      <c r="S135" s="847"/>
      <c r="T135" s="696"/>
      <c r="U135" s="847"/>
      <c r="V135" s="696"/>
      <c r="W135" s="847"/>
      <c r="X135" s="696"/>
      <c r="Y135" s="696"/>
      <c r="Z135" s="713"/>
      <c r="AA135" s="696"/>
      <c r="AB135" s="713"/>
      <c r="AC135" s="696"/>
      <c r="AD135" s="713"/>
      <c r="AE135" s="696"/>
      <c r="AF135" s="713"/>
      <c r="AG135" s="696"/>
      <c r="AH135" s="713"/>
      <c r="AI135" s="696"/>
      <c r="AJ135" s="696"/>
      <c r="AK135" s="713"/>
      <c r="AL135" s="696"/>
      <c r="AM135" s="713"/>
      <c r="AN135" s="696"/>
      <c r="AO135" s="713"/>
      <c r="AP135" s="696"/>
      <c r="AQ135" s="713"/>
      <c r="AR135" s="696"/>
      <c r="AS135" s="713"/>
      <c r="AT135" s="696"/>
      <c r="AU135" s="696"/>
      <c r="AV135" s="713"/>
      <c r="AW135" s="696"/>
      <c r="AX135" s="713"/>
      <c r="AY135" s="696"/>
      <c r="AZ135" s="713"/>
      <c r="BA135" s="696"/>
      <c r="BB135" s="713"/>
      <c r="BC135" s="696"/>
      <c r="BD135" s="713"/>
      <c r="BE135" s="696"/>
    </row>
    <row r="136" spans="1:57" s="44" customFormat="1">
      <c r="A136" s="700"/>
      <c r="B136" s="700"/>
      <c r="C136" s="700"/>
      <c r="D136" s="847"/>
      <c r="E136" s="696"/>
      <c r="F136" s="847"/>
      <c r="G136" s="696"/>
      <c r="H136" s="847"/>
      <c r="I136" s="696"/>
      <c r="J136" s="847"/>
      <c r="K136" s="696"/>
      <c r="L136" s="847"/>
      <c r="M136" s="696"/>
      <c r="N136" s="696"/>
      <c r="O136" s="847"/>
      <c r="P136" s="696"/>
      <c r="Q136" s="847"/>
      <c r="R136" s="696"/>
      <c r="S136" s="847"/>
      <c r="T136" s="696"/>
      <c r="U136" s="847"/>
      <c r="V136" s="696"/>
      <c r="W136" s="847"/>
      <c r="X136" s="696"/>
      <c r="Y136" s="696"/>
      <c r="Z136" s="713"/>
      <c r="AA136" s="696"/>
      <c r="AB136" s="713"/>
      <c r="AC136" s="696"/>
      <c r="AD136" s="713"/>
      <c r="AE136" s="696"/>
      <c r="AF136" s="713"/>
      <c r="AG136" s="696"/>
      <c r="AH136" s="713"/>
      <c r="AI136" s="696"/>
      <c r="AJ136" s="696"/>
      <c r="AK136" s="713"/>
      <c r="AL136" s="696"/>
      <c r="AM136" s="713"/>
      <c r="AN136" s="696"/>
      <c r="AO136" s="713"/>
      <c r="AP136" s="696"/>
      <c r="AQ136" s="713"/>
      <c r="AR136" s="696"/>
      <c r="AS136" s="713"/>
      <c r="AT136" s="696"/>
      <c r="AU136" s="696"/>
      <c r="AV136" s="713"/>
      <c r="AW136" s="696"/>
      <c r="AX136" s="713"/>
      <c r="AY136" s="696"/>
      <c r="AZ136" s="713"/>
      <c r="BA136" s="696"/>
      <c r="BB136" s="713"/>
      <c r="BC136" s="696"/>
      <c r="BD136" s="713"/>
      <c r="BE136" s="696"/>
    </row>
    <row r="137" spans="1:57" s="44" customFormat="1">
      <c r="A137" s="700"/>
      <c r="B137" s="700"/>
      <c r="C137" s="700"/>
      <c r="D137" s="847"/>
      <c r="E137" s="696"/>
      <c r="F137" s="847"/>
      <c r="G137" s="696"/>
      <c r="H137" s="847"/>
      <c r="I137" s="696"/>
      <c r="J137" s="847"/>
      <c r="K137" s="696"/>
      <c r="L137" s="847"/>
      <c r="M137" s="696"/>
      <c r="N137" s="696"/>
      <c r="O137" s="847"/>
      <c r="P137" s="696"/>
      <c r="Q137" s="847"/>
      <c r="R137" s="696"/>
      <c r="S137" s="847"/>
      <c r="T137" s="696"/>
      <c r="U137" s="847"/>
      <c r="V137" s="696"/>
      <c r="W137" s="847"/>
      <c r="X137" s="696"/>
      <c r="Y137" s="696"/>
      <c r="Z137" s="713"/>
      <c r="AA137" s="696"/>
      <c r="AB137" s="713"/>
      <c r="AC137" s="696"/>
      <c r="AD137" s="713"/>
      <c r="AE137" s="696"/>
      <c r="AF137" s="713"/>
      <c r="AG137" s="696"/>
      <c r="AH137" s="713"/>
      <c r="AI137" s="696"/>
      <c r="AJ137" s="696"/>
      <c r="AK137" s="713"/>
      <c r="AL137" s="696"/>
      <c r="AM137" s="713"/>
      <c r="AN137" s="696"/>
      <c r="AO137" s="713"/>
      <c r="AP137" s="696"/>
      <c r="AQ137" s="713"/>
      <c r="AR137" s="696"/>
      <c r="AS137" s="713"/>
      <c r="AT137" s="696"/>
      <c r="AU137" s="696"/>
      <c r="AV137" s="713"/>
      <c r="AW137" s="696"/>
      <c r="AX137" s="713"/>
      <c r="AY137" s="696"/>
      <c r="AZ137" s="713"/>
      <c r="BA137" s="696"/>
      <c r="BB137" s="713"/>
      <c r="BC137" s="696"/>
      <c r="BD137" s="713"/>
      <c r="BE137" s="696"/>
    </row>
    <row r="138" spans="1:57" s="44" customFormat="1">
      <c r="A138" s="700"/>
      <c r="B138" s="700"/>
      <c r="C138" s="700"/>
      <c r="D138" s="847"/>
      <c r="E138" s="696"/>
      <c r="F138" s="847"/>
      <c r="G138" s="696"/>
      <c r="H138" s="847"/>
      <c r="I138" s="696"/>
      <c r="J138" s="847"/>
      <c r="K138" s="696"/>
      <c r="L138" s="847"/>
      <c r="M138" s="696"/>
      <c r="N138" s="696"/>
      <c r="O138" s="847"/>
      <c r="P138" s="696"/>
      <c r="Q138" s="847"/>
      <c r="R138" s="696"/>
      <c r="S138" s="847"/>
      <c r="T138" s="696"/>
      <c r="U138" s="847"/>
      <c r="V138" s="696"/>
      <c r="W138" s="847"/>
      <c r="X138" s="696"/>
      <c r="Y138" s="696"/>
      <c r="Z138" s="713"/>
      <c r="AA138" s="696"/>
      <c r="AB138" s="713"/>
      <c r="AC138" s="696"/>
      <c r="AD138" s="713"/>
      <c r="AE138" s="696"/>
      <c r="AF138" s="713"/>
      <c r="AG138" s="696"/>
      <c r="AH138" s="713"/>
      <c r="AI138" s="696"/>
      <c r="AJ138" s="696"/>
      <c r="AK138" s="713"/>
      <c r="AL138" s="696"/>
      <c r="AM138" s="713"/>
      <c r="AN138" s="696"/>
      <c r="AO138" s="713"/>
      <c r="AP138" s="696"/>
      <c r="AQ138" s="713"/>
      <c r="AR138" s="696"/>
      <c r="AS138" s="713"/>
      <c r="AT138" s="696"/>
      <c r="AU138" s="696"/>
      <c r="AV138" s="713"/>
      <c r="AW138" s="696"/>
      <c r="AX138" s="713"/>
      <c r="AY138" s="696"/>
      <c r="AZ138" s="713"/>
      <c r="BA138" s="696"/>
      <c r="BB138" s="713"/>
      <c r="BC138" s="696"/>
      <c r="BD138" s="713"/>
      <c r="BE138" s="696"/>
    </row>
    <row r="139" spans="1:57" s="44" customFormat="1">
      <c r="A139" s="700"/>
      <c r="B139" s="700"/>
      <c r="C139" s="700"/>
      <c r="D139" s="847"/>
      <c r="E139" s="696"/>
      <c r="F139" s="847"/>
      <c r="G139" s="696"/>
      <c r="H139" s="847"/>
      <c r="I139" s="696"/>
      <c r="J139" s="847"/>
      <c r="K139" s="696"/>
      <c r="L139" s="847"/>
      <c r="M139" s="696"/>
      <c r="N139" s="696"/>
      <c r="O139" s="847"/>
      <c r="P139" s="696"/>
      <c r="Q139" s="847"/>
      <c r="R139" s="696"/>
      <c r="S139" s="847"/>
      <c r="T139" s="696"/>
      <c r="U139" s="847"/>
      <c r="V139" s="696"/>
      <c r="W139" s="847"/>
      <c r="X139" s="696"/>
      <c r="Y139" s="696"/>
      <c r="Z139" s="713"/>
      <c r="AA139" s="696"/>
      <c r="AB139" s="713"/>
      <c r="AC139" s="696"/>
      <c r="AD139" s="713"/>
      <c r="AE139" s="696"/>
      <c r="AF139" s="713"/>
      <c r="AG139" s="696"/>
      <c r="AH139" s="713"/>
      <c r="AI139" s="696"/>
      <c r="AJ139" s="696"/>
      <c r="AK139" s="713"/>
      <c r="AL139" s="696"/>
      <c r="AM139" s="713"/>
      <c r="AN139" s="696"/>
      <c r="AO139" s="713"/>
      <c r="AP139" s="696"/>
      <c r="AQ139" s="713"/>
      <c r="AR139" s="696"/>
      <c r="AS139" s="713"/>
      <c r="AT139" s="696"/>
      <c r="AU139" s="696"/>
      <c r="AV139" s="713"/>
      <c r="AW139" s="696"/>
      <c r="AX139" s="713"/>
      <c r="AY139" s="696"/>
      <c r="AZ139" s="713"/>
      <c r="BA139" s="696"/>
      <c r="BB139" s="713"/>
      <c r="BC139" s="696"/>
      <c r="BD139" s="713"/>
      <c r="BE139" s="696"/>
    </row>
    <row r="140" spans="1:57" s="44" customFormat="1">
      <c r="A140" s="700"/>
      <c r="B140" s="700"/>
      <c r="C140" s="700"/>
      <c r="D140" s="847"/>
      <c r="E140" s="696"/>
      <c r="F140" s="847"/>
      <c r="G140" s="696"/>
      <c r="H140" s="847"/>
      <c r="I140" s="696"/>
      <c r="J140" s="847"/>
      <c r="K140" s="696"/>
      <c r="L140" s="847"/>
      <c r="M140" s="696"/>
      <c r="N140" s="696"/>
      <c r="O140" s="847"/>
      <c r="P140" s="696"/>
      <c r="Q140" s="847"/>
      <c r="R140" s="696"/>
      <c r="S140" s="847"/>
      <c r="T140" s="696"/>
      <c r="U140" s="847"/>
      <c r="V140" s="696"/>
      <c r="W140" s="847"/>
      <c r="X140" s="696"/>
      <c r="Y140" s="696"/>
      <c r="Z140" s="713"/>
      <c r="AA140" s="696"/>
      <c r="AB140" s="713"/>
      <c r="AC140" s="696"/>
      <c r="AD140" s="713"/>
      <c r="AE140" s="696"/>
      <c r="AF140" s="713"/>
      <c r="AG140" s="696"/>
      <c r="AH140" s="713"/>
      <c r="AI140" s="696"/>
      <c r="AJ140" s="696"/>
      <c r="AK140" s="713"/>
      <c r="AL140" s="696"/>
      <c r="AM140" s="713"/>
      <c r="AN140" s="696"/>
      <c r="AO140" s="713"/>
      <c r="AP140" s="696"/>
      <c r="AQ140" s="713"/>
      <c r="AR140" s="696"/>
      <c r="AS140" s="713"/>
      <c r="AT140" s="696"/>
      <c r="AU140" s="696"/>
      <c r="AV140" s="713"/>
      <c r="AW140" s="696"/>
      <c r="AX140" s="713"/>
      <c r="AY140" s="696"/>
      <c r="AZ140" s="713"/>
      <c r="BA140" s="696"/>
      <c r="BB140" s="713"/>
      <c r="BC140" s="696"/>
      <c r="BD140" s="713"/>
      <c r="BE140" s="696"/>
    </row>
    <row r="141" spans="1:57" s="44" customFormat="1">
      <c r="A141" s="700"/>
      <c r="B141" s="700"/>
      <c r="C141" s="700"/>
      <c r="D141" s="847"/>
      <c r="E141" s="696"/>
      <c r="F141" s="847"/>
      <c r="G141" s="696"/>
      <c r="H141" s="847"/>
      <c r="I141" s="696"/>
      <c r="J141" s="847"/>
      <c r="K141" s="696"/>
      <c r="L141" s="847"/>
      <c r="M141" s="696"/>
      <c r="N141" s="696"/>
      <c r="O141" s="847"/>
      <c r="P141" s="696"/>
      <c r="Q141" s="847"/>
      <c r="R141" s="696"/>
      <c r="S141" s="847"/>
      <c r="T141" s="696"/>
      <c r="U141" s="847"/>
      <c r="V141" s="696"/>
      <c r="W141" s="847"/>
      <c r="X141" s="696"/>
      <c r="Y141" s="696"/>
      <c r="Z141" s="713"/>
      <c r="AA141" s="696"/>
      <c r="AB141" s="713"/>
      <c r="AC141" s="696"/>
      <c r="AD141" s="713"/>
      <c r="AE141" s="696"/>
      <c r="AF141" s="713"/>
      <c r="AG141" s="696"/>
      <c r="AH141" s="713"/>
      <c r="AI141" s="696"/>
      <c r="AJ141" s="696"/>
      <c r="AK141" s="713"/>
      <c r="AL141" s="696"/>
      <c r="AM141" s="713"/>
      <c r="AN141" s="696"/>
      <c r="AO141" s="713"/>
      <c r="AP141" s="696"/>
      <c r="AQ141" s="713"/>
      <c r="AR141" s="696"/>
      <c r="AS141" s="713"/>
      <c r="AT141" s="696"/>
      <c r="AU141" s="696"/>
      <c r="AV141" s="713"/>
      <c r="AW141" s="696"/>
      <c r="AX141" s="713"/>
      <c r="AY141" s="696"/>
      <c r="AZ141" s="713"/>
      <c r="BA141" s="696"/>
      <c r="BB141" s="713"/>
      <c r="BC141" s="696"/>
      <c r="BD141" s="713"/>
      <c r="BE141" s="696"/>
    </row>
    <row r="142" spans="1:57" s="44" customFormat="1">
      <c r="A142" s="700"/>
      <c r="B142" s="700"/>
      <c r="C142" s="700"/>
      <c r="D142" s="847"/>
      <c r="E142" s="696"/>
      <c r="F142" s="847"/>
      <c r="G142" s="696"/>
      <c r="H142" s="847"/>
      <c r="I142" s="696"/>
      <c r="J142" s="847"/>
      <c r="K142" s="696"/>
      <c r="L142" s="847"/>
      <c r="M142" s="696"/>
      <c r="N142" s="696"/>
      <c r="O142" s="847"/>
      <c r="P142" s="696"/>
      <c r="Q142" s="847"/>
      <c r="R142" s="696"/>
      <c r="S142" s="847"/>
      <c r="T142" s="696"/>
      <c r="U142" s="847"/>
      <c r="V142" s="696"/>
      <c r="W142" s="847"/>
      <c r="X142" s="696"/>
      <c r="Y142" s="696"/>
      <c r="Z142" s="713"/>
      <c r="AA142" s="696"/>
      <c r="AB142" s="713"/>
      <c r="AC142" s="696"/>
      <c r="AD142" s="713"/>
      <c r="AE142" s="696"/>
      <c r="AF142" s="713"/>
      <c r="AG142" s="696"/>
      <c r="AH142" s="713"/>
      <c r="AI142" s="696"/>
      <c r="AJ142" s="696"/>
      <c r="AK142" s="713"/>
      <c r="AL142" s="696"/>
      <c r="AM142" s="713"/>
      <c r="AN142" s="696"/>
      <c r="AO142" s="713"/>
      <c r="AP142" s="696"/>
      <c r="AQ142" s="713"/>
      <c r="AR142" s="696"/>
      <c r="AS142" s="713"/>
      <c r="AT142" s="696"/>
      <c r="AU142" s="696"/>
      <c r="AV142" s="713"/>
      <c r="AW142" s="696"/>
      <c r="AX142" s="713"/>
      <c r="AY142" s="696"/>
      <c r="AZ142" s="713"/>
      <c r="BA142" s="696"/>
      <c r="BB142" s="713"/>
      <c r="BC142" s="696"/>
      <c r="BD142" s="713"/>
      <c r="BE142" s="696"/>
    </row>
    <row r="143" spans="1:57" s="44" customFormat="1">
      <c r="A143" s="700"/>
      <c r="B143" s="700"/>
      <c r="C143" s="700"/>
      <c r="D143" s="847"/>
      <c r="E143" s="696"/>
      <c r="F143" s="847"/>
      <c r="G143" s="696"/>
      <c r="H143" s="847"/>
      <c r="I143" s="696"/>
      <c r="J143" s="847"/>
      <c r="K143" s="696"/>
      <c r="L143" s="847"/>
      <c r="M143" s="696"/>
      <c r="N143" s="696"/>
      <c r="O143" s="847"/>
      <c r="P143" s="696"/>
      <c r="Q143" s="847"/>
      <c r="R143" s="696"/>
      <c r="S143" s="847"/>
      <c r="T143" s="696"/>
      <c r="U143" s="847"/>
      <c r="V143" s="696"/>
      <c r="W143" s="847"/>
      <c r="X143" s="696"/>
      <c r="Y143" s="696"/>
      <c r="Z143" s="713"/>
      <c r="AA143" s="696"/>
      <c r="AB143" s="713"/>
      <c r="AC143" s="696"/>
      <c r="AD143" s="713"/>
      <c r="AE143" s="696"/>
      <c r="AF143" s="713"/>
      <c r="AG143" s="696"/>
      <c r="AH143" s="713"/>
      <c r="AI143" s="696"/>
      <c r="AJ143" s="696"/>
      <c r="AK143" s="713"/>
      <c r="AL143" s="696"/>
      <c r="AM143" s="713"/>
      <c r="AN143" s="696"/>
      <c r="AO143" s="713"/>
      <c r="AP143" s="696"/>
      <c r="AQ143" s="713"/>
      <c r="AR143" s="696"/>
      <c r="AS143" s="713"/>
      <c r="AT143" s="696"/>
      <c r="AU143" s="696"/>
      <c r="AV143" s="713"/>
      <c r="AW143" s="696"/>
      <c r="AX143" s="713"/>
      <c r="AY143" s="696"/>
      <c r="AZ143" s="713"/>
      <c r="BA143" s="696"/>
      <c r="BB143" s="713"/>
      <c r="BC143" s="696"/>
      <c r="BD143" s="713"/>
      <c r="BE143" s="696"/>
    </row>
    <row r="144" spans="1:57" s="44" customFormat="1">
      <c r="A144" s="700"/>
      <c r="B144" s="700"/>
      <c r="C144" s="700"/>
      <c r="D144" s="847"/>
      <c r="E144" s="696"/>
      <c r="F144" s="847"/>
      <c r="G144" s="696"/>
      <c r="H144" s="847"/>
      <c r="I144" s="696"/>
      <c r="J144" s="847"/>
      <c r="K144" s="696"/>
      <c r="L144" s="847"/>
      <c r="M144" s="696"/>
      <c r="N144" s="696"/>
      <c r="O144" s="847"/>
      <c r="P144" s="696"/>
      <c r="Q144" s="847"/>
      <c r="R144" s="696"/>
      <c r="S144" s="847"/>
      <c r="T144" s="696"/>
      <c r="U144" s="847"/>
      <c r="V144" s="696"/>
      <c r="W144" s="847"/>
      <c r="X144" s="696"/>
      <c r="Y144" s="696"/>
      <c r="Z144" s="713"/>
      <c r="AA144" s="696"/>
      <c r="AB144" s="713"/>
      <c r="AC144" s="696"/>
      <c r="AD144" s="713"/>
      <c r="AE144" s="696"/>
      <c r="AF144" s="713"/>
      <c r="AG144" s="696"/>
      <c r="AH144" s="713"/>
      <c r="AI144" s="696"/>
      <c r="AJ144" s="696"/>
      <c r="AK144" s="713"/>
      <c r="AL144" s="696"/>
      <c r="AM144" s="713"/>
      <c r="AN144" s="696"/>
      <c r="AO144" s="713"/>
      <c r="AP144" s="696"/>
      <c r="AQ144" s="713"/>
      <c r="AR144" s="696"/>
      <c r="AS144" s="713"/>
      <c r="AT144" s="696"/>
      <c r="AU144" s="696"/>
      <c r="AV144" s="713"/>
      <c r="AW144" s="696"/>
      <c r="AX144" s="713"/>
      <c r="AY144" s="696"/>
      <c r="AZ144" s="713"/>
      <c r="BA144" s="696"/>
      <c r="BB144" s="713"/>
      <c r="BC144" s="696"/>
      <c r="BD144" s="713"/>
      <c r="BE144" s="696"/>
    </row>
    <row r="145" spans="1:57" s="44" customFormat="1">
      <c r="A145" s="700"/>
      <c r="B145" s="700"/>
      <c r="C145" s="700"/>
      <c r="D145" s="847"/>
      <c r="E145" s="696"/>
      <c r="F145" s="847"/>
      <c r="G145" s="696"/>
      <c r="H145" s="847"/>
      <c r="I145" s="696"/>
      <c r="J145" s="847"/>
      <c r="K145" s="696"/>
      <c r="L145" s="847"/>
      <c r="M145" s="696"/>
      <c r="N145" s="696"/>
      <c r="O145" s="847"/>
      <c r="P145" s="696"/>
      <c r="Q145" s="847"/>
      <c r="R145" s="696"/>
      <c r="S145" s="847"/>
      <c r="T145" s="696"/>
      <c r="U145" s="847"/>
      <c r="V145" s="696"/>
      <c r="W145" s="847"/>
      <c r="X145" s="696"/>
      <c r="Y145" s="696"/>
      <c r="Z145" s="713"/>
      <c r="AA145" s="696"/>
      <c r="AB145" s="713"/>
      <c r="AC145" s="696"/>
      <c r="AD145" s="713"/>
      <c r="AE145" s="696"/>
      <c r="AF145" s="713"/>
      <c r="AG145" s="696"/>
      <c r="AH145" s="713"/>
      <c r="AI145" s="696"/>
      <c r="AJ145" s="696"/>
      <c r="AK145" s="713"/>
      <c r="AL145" s="696"/>
      <c r="AM145" s="713"/>
      <c r="AN145" s="696"/>
      <c r="AO145" s="713"/>
      <c r="AP145" s="696"/>
      <c r="AQ145" s="713"/>
      <c r="AR145" s="696"/>
      <c r="AS145" s="713"/>
      <c r="AT145" s="696"/>
      <c r="AU145" s="696"/>
      <c r="AV145" s="713"/>
      <c r="AW145" s="696"/>
      <c r="AX145" s="713"/>
      <c r="AY145" s="696"/>
      <c r="AZ145" s="713"/>
      <c r="BA145" s="696"/>
      <c r="BB145" s="713"/>
      <c r="BC145" s="696"/>
      <c r="BD145" s="713"/>
      <c r="BE145" s="696"/>
    </row>
    <row r="146" spans="1:57" s="44" customFormat="1">
      <c r="A146" s="700"/>
      <c r="B146" s="700"/>
      <c r="C146" s="700"/>
      <c r="D146" s="847"/>
      <c r="E146" s="696"/>
      <c r="F146" s="847"/>
      <c r="G146" s="696"/>
      <c r="H146" s="847"/>
      <c r="I146" s="696"/>
      <c r="J146" s="847"/>
      <c r="K146" s="696"/>
      <c r="L146" s="847"/>
      <c r="M146" s="696"/>
      <c r="N146" s="696"/>
      <c r="O146" s="847"/>
      <c r="P146" s="696"/>
      <c r="Q146" s="847"/>
      <c r="R146" s="696"/>
      <c r="S146" s="847"/>
      <c r="T146" s="696"/>
      <c r="U146" s="847"/>
      <c r="V146" s="696"/>
      <c r="W146" s="847"/>
      <c r="X146" s="696"/>
      <c r="Y146" s="696"/>
      <c r="Z146" s="713"/>
      <c r="AA146" s="696"/>
      <c r="AB146" s="713"/>
      <c r="AC146" s="696"/>
      <c r="AD146" s="713"/>
      <c r="AE146" s="696"/>
      <c r="AF146" s="713"/>
      <c r="AG146" s="696"/>
      <c r="AH146" s="713"/>
      <c r="AI146" s="696"/>
      <c r="AJ146" s="696"/>
      <c r="AK146" s="713"/>
      <c r="AL146" s="696"/>
      <c r="AM146" s="713"/>
      <c r="AN146" s="696"/>
      <c r="AO146" s="713"/>
      <c r="AP146" s="696"/>
      <c r="AQ146" s="713"/>
      <c r="AR146" s="696"/>
      <c r="AS146" s="713"/>
      <c r="AT146" s="696"/>
      <c r="AU146" s="696"/>
      <c r="AV146" s="713"/>
      <c r="AW146" s="696"/>
      <c r="AX146" s="713"/>
      <c r="AY146" s="696"/>
      <c r="AZ146" s="713"/>
      <c r="BA146" s="696"/>
      <c r="BB146" s="713"/>
      <c r="BC146" s="696"/>
      <c r="BD146" s="713"/>
      <c r="BE146" s="696"/>
    </row>
    <row r="147" spans="1:57" s="44" customFormat="1">
      <c r="A147" s="700"/>
      <c r="B147" s="700"/>
      <c r="C147" s="700"/>
      <c r="D147" s="847"/>
      <c r="E147" s="696"/>
      <c r="F147" s="847"/>
      <c r="G147" s="696"/>
      <c r="H147" s="847"/>
      <c r="I147" s="696"/>
      <c r="J147" s="847"/>
      <c r="K147" s="696"/>
      <c r="L147" s="847"/>
      <c r="M147" s="696"/>
      <c r="N147" s="696"/>
      <c r="O147" s="847"/>
      <c r="P147" s="696"/>
      <c r="Q147" s="847"/>
      <c r="R147" s="696"/>
      <c r="S147" s="847"/>
      <c r="T147" s="696"/>
      <c r="U147" s="847"/>
      <c r="V147" s="696"/>
      <c r="W147" s="847"/>
      <c r="X147" s="696"/>
      <c r="Y147" s="696"/>
      <c r="Z147" s="713"/>
      <c r="AA147" s="696"/>
      <c r="AB147" s="713"/>
      <c r="AC147" s="696"/>
      <c r="AD147" s="713"/>
      <c r="AE147" s="696"/>
      <c r="AF147" s="713"/>
      <c r="AG147" s="696"/>
      <c r="AH147" s="713"/>
      <c r="AI147" s="696"/>
      <c r="AJ147" s="696"/>
      <c r="AK147" s="713"/>
      <c r="AL147" s="696"/>
      <c r="AM147" s="713"/>
      <c r="AN147" s="696"/>
      <c r="AO147" s="713"/>
      <c r="AP147" s="696"/>
      <c r="AQ147" s="713"/>
      <c r="AR147" s="696"/>
      <c r="AS147" s="713"/>
      <c r="AT147" s="696"/>
      <c r="AU147" s="696"/>
      <c r="AV147" s="713"/>
      <c r="AW147" s="696"/>
      <c r="AX147" s="713"/>
      <c r="AY147" s="696"/>
      <c r="AZ147" s="713"/>
      <c r="BA147" s="696"/>
      <c r="BB147" s="713"/>
      <c r="BC147" s="696"/>
      <c r="BD147" s="713"/>
      <c r="BE147" s="696"/>
    </row>
    <row r="148" spans="1:57" s="44" customFormat="1">
      <c r="A148" s="700"/>
      <c r="B148" s="700"/>
      <c r="C148" s="700"/>
      <c r="D148" s="847"/>
      <c r="E148" s="696"/>
      <c r="F148" s="847"/>
      <c r="G148" s="696"/>
      <c r="H148" s="847"/>
      <c r="I148" s="696"/>
      <c r="J148" s="847"/>
      <c r="K148" s="696"/>
      <c r="L148" s="847"/>
      <c r="M148" s="696"/>
      <c r="N148" s="696"/>
      <c r="O148" s="847"/>
      <c r="P148" s="696"/>
      <c r="Q148" s="847"/>
      <c r="R148" s="696"/>
      <c r="S148" s="847"/>
      <c r="T148" s="696"/>
      <c r="U148" s="847"/>
      <c r="V148" s="696"/>
      <c r="W148" s="847"/>
      <c r="X148" s="696"/>
      <c r="Y148" s="696"/>
      <c r="Z148" s="713"/>
      <c r="AA148" s="696"/>
      <c r="AB148" s="713"/>
      <c r="AC148" s="696"/>
      <c r="AD148" s="713"/>
      <c r="AE148" s="696"/>
      <c r="AF148" s="713"/>
      <c r="AG148" s="696"/>
      <c r="AH148" s="713"/>
      <c r="AI148" s="696"/>
      <c r="AJ148" s="696"/>
      <c r="AK148" s="713"/>
      <c r="AL148" s="696"/>
      <c r="AM148" s="713"/>
      <c r="AN148" s="696"/>
      <c r="AO148" s="713"/>
      <c r="AP148" s="696"/>
      <c r="AQ148" s="713"/>
      <c r="AR148" s="696"/>
      <c r="AS148" s="713"/>
      <c r="AT148" s="696"/>
      <c r="AU148" s="696"/>
      <c r="AV148" s="713"/>
      <c r="AW148" s="696"/>
      <c r="AX148" s="713"/>
      <c r="AY148" s="696"/>
      <c r="AZ148" s="713"/>
      <c r="BA148" s="696"/>
      <c r="BB148" s="713"/>
      <c r="BC148" s="696"/>
      <c r="BD148" s="713"/>
      <c r="BE148" s="696"/>
    </row>
    <row r="149" spans="1:57" s="44" customFormat="1">
      <c r="A149" s="700"/>
      <c r="B149" s="700"/>
      <c r="C149" s="700"/>
      <c r="D149" s="847"/>
      <c r="E149" s="696"/>
      <c r="F149" s="847"/>
      <c r="G149" s="696"/>
      <c r="H149" s="847"/>
      <c r="I149" s="696"/>
      <c r="J149" s="847"/>
      <c r="K149" s="696"/>
      <c r="L149" s="847"/>
      <c r="M149" s="696"/>
      <c r="N149" s="696"/>
      <c r="O149" s="847"/>
      <c r="P149" s="696"/>
      <c r="Q149" s="847"/>
      <c r="R149" s="696"/>
      <c r="S149" s="847"/>
      <c r="T149" s="696"/>
      <c r="U149" s="847"/>
      <c r="V149" s="696"/>
      <c r="W149" s="847"/>
      <c r="X149" s="696"/>
      <c r="Y149" s="696"/>
      <c r="Z149" s="713"/>
      <c r="AA149" s="696"/>
      <c r="AB149" s="713"/>
      <c r="AC149" s="696"/>
      <c r="AD149" s="713"/>
      <c r="AE149" s="696"/>
      <c r="AF149" s="713"/>
      <c r="AG149" s="696"/>
      <c r="AH149" s="713"/>
      <c r="AI149" s="696"/>
      <c r="AJ149" s="696"/>
      <c r="AK149" s="713"/>
      <c r="AL149" s="696"/>
      <c r="AM149" s="713"/>
      <c r="AN149" s="696"/>
      <c r="AO149" s="713"/>
      <c r="AP149" s="696"/>
      <c r="AQ149" s="713"/>
      <c r="AR149" s="696"/>
      <c r="AS149" s="713"/>
      <c r="AT149" s="696"/>
      <c r="AU149" s="696"/>
      <c r="AV149" s="713"/>
      <c r="AW149" s="696"/>
      <c r="AX149" s="713"/>
      <c r="AY149" s="696"/>
      <c r="AZ149" s="713"/>
      <c r="BA149" s="696"/>
      <c r="BB149" s="713"/>
      <c r="BC149" s="696"/>
      <c r="BD149" s="713"/>
      <c r="BE149" s="696"/>
    </row>
    <row r="150" spans="1:57" s="44" customFormat="1">
      <c r="A150" s="700"/>
      <c r="B150" s="700"/>
      <c r="C150" s="700"/>
      <c r="D150" s="847"/>
      <c r="E150" s="696"/>
      <c r="F150" s="847"/>
      <c r="G150" s="696"/>
      <c r="H150" s="847"/>
      <c r="I150" s="696"/>
      <c r="J150" s="847"/>
      <c r="K150" s="696"/>
      <c r="L150" s="847"/>
      <c r="M150" s="696"/>
      <c r="N150" s="696"/>
      <c r="O150" s="847"/>
      <c r="P150" s="696"/>
      <c r="Q150" s="847"/>
      <c r="R150" s="696"/>
      <c r="S150" s="847"/>
      <c r="T150" s="696"/>
      <c r="U150" s="847"/>
      <c r="V150" s="696"/>
      <c r="W150" s="847"/>
      <c r="X150" s="696"/>
      <c r="Y150" s="696"/>
      <c r="Z150" s="713"/>
      <c r="AA150" s="696"/>
      <c r="AB150" s="713"/>
      <c r="AC150" s="696"/>
      <c r="AD150" s="713"/>
      <c r="AE150" s="696"/>
      <c r="AF150" s="713"/>
      <c r="AG150" s="696"/>
      <c r="AH150" s="713"/>
      <c r="AI150" s="696"/>
      <c r="AJ150" s="696"/>
      <c r="AK150" s="713"/>
      <c r="AL150" s="696"/>
      <c r="AM150" s="713"/>
      <c r="AN150" s="696"/>
      <c r="AO150" s="713"/>
      <c r="AP150" s="696"/>
      <c r="AQ150" s="713"/>
      <c r="AR150" s="696"/>
      <c r="AS150" s="713"/>
      <c r="AT150" s="696"/>
      <c r="AU150" s="696"/>
      <c r="AV150" s="713"/>
      <c r="AW150" s="696"/>
      <c r="AX150" s="713"/>
      <c r="AY150" s="696"/>
      <c r="AZ150" s="713"/>
      <c r="BA150" s="696"/>
      <c r="BB150" s="713"/>
      <c r="BC150" s="696"/>
      <c r="BD150" s="713"/>
      <c r="BE150" s="696"/>
    </row>
    <row r="151" spans="1:57" s="44" customFormat="1">
      <c r="A151" s="700"/>
      <c r="B151" s="700"/>
      <c r="C151" s="700"/>
      <c r="D151" s="847"/>
      <c r="E151" s="696"/>
      <c r="F151" s="847"/>
      <c r="G151" s="696"/>
      <c r="H151" s="847"/>
      <c r="I151" s="696"/>
      <c r="J151" s="847"/>
      <c r="K151" s="696"/>
      <c r="L151" s="847"/>
      <c r="M151" s="696"/>
      <c r="N151" s="696"/>
      <c r="O151" s="847"/>
      <c r="P151" s="696"/>
      <c r="Q151" s="847"/>
      <c r="R151" s="696"/>
      <c r="S151" s="847"/>
      <c r="T151" s="696"/>
      <c r="U151" s="847"/>
      <c r="V151" s="696"/>
      <c r="W151" s="847"/>
      <c r="X151" s="696"/>
      <c r="Y151" s="696"/>
      <c r="Z151" s="713"/>
      <c r="AA151" s="696"/>
      <c r="AB151" s="713"/>
      <c r="AC151" s="696"/>
      <c r="AD151" s="713"/>
      <c r="AE151" s="696"/>
      <c r="AF151" s="713"/>
      <c r="AG151" s="696"/>
      <c r="AH151" s="713"/>
      <c r="AI151" s="696"/>
      <c r="AJ151" s="696"/>
      <c r="AK151" s="713"/>
      <c r="AL151" s="696"/>
      <c r="AM151" s="713"/>
      <c r="AN151" s="696"/>
      <c r="AO151" s="713"/>
      <c r="AP151" s="696"/>
      <c r="AQ151" s="713"/>
      <c r="AR151" s="696"/>
      <c r="AS151" s="713"/>
      <c r="AT151" s="696"/>
      <c r="AU151" s="696"/>
      <c r="AV151" s="713"/>
      <c r="AW151" s="696"/>
      <c r="AX151" s="713"/>
      <c r="AY151" s="696"/>
      <c r="AZ151" s="713"/>
      <c r="BA151" s="696"/>
      <c r="BB151" s="713"/>
      <c r="BC151" s="696"/>
      <c r="BD151" s="713"/>
      <c r="BE151" s="696"/>
    </row>
    <row r="152" spans="1:57" s="44" customFormat="1">
      <c r="A152" s="700"/>
      <c r="B152" s="700"/>
      <c r="C152" s="700"/>
      <c r="D152" s="847"/>
      <c r="E152" s="696"/>
      <c r="F152" s="847"/>
      <c r="G152" s="696"/>
      <c r="H152" s="847"/>
      <c r="I152" s="696"/>
      <c r="J152" s="847"/>
      <c r="K152" s="696"/>
      <c r="L152" s="847"/>
      <c r="M152" s="696"/>
      <c r="N152" s="696"/>
      <c r="O152" s="847"/>
      <c r="P152" s="696"/>
      <c r="Q152" s="847"/>
      <c r="R152" s="696"/>
      <c r="S152" s="847"/>
      <c r="T152" s="696"/>
      <c r="U152" s="847"/>
      <c r="V152" s="696"/>
      <c r="W152" s="847"/>
      <c r="X152" s="696"/>
      <c r="Y152" s="696"/>
      <c r="Z152" s="713"/>
      <c r="AA152" s="696"/>
      <c r="AB152" s="713"/>
      <c r="AC152" s="696"/>
      <c r="AD152" s="713"/>
      <c r="AE152" s="696"/>
      <c r="AF152" s="713"/>
      <c r="AG152" s="696"/>
      <c r="AH152" s="713"/>
      <c r="AI152" s="696"/>
      <c r="AJ152" s="696"/>
      <c r="AK152" s="713"/>
      <c r="AL152" s="696"/>
      <c r="AM152" s="713"/>
      <c r="AN152" s="696"/>
      <c r="AO152" s="713"/>
      <c r="AP152" s="696"/>
      <c r="AQ152" s="713"/>
      <c r="AR152" s="696"/>
      <c r="AS152" s="713"/>
      <c r="AT152" s="696"/>
      <c r="AU152" s="696"/>
      <c r="AV152" s="713"/>
      <c r="AW152" s="696"/>
      <c r="AX152" s="713"/>
      <c r="AY152" s="696"/>
      <c r="AZ152" s="713"/>
      <c r="BA152" s="696"/>
      <c r="BB152" s="713"/>
      <c r="BC152" s="696"/>
      <c r="BD152" s="713"/>
      <c r="BE152" s="696"/>
    </row>
    <row r="153" spans="1:57" s="44" customFormat="1">
      <c r="A153" s="700"/>
      <c r="B153" s="700"/>
      <c r="C153" s="700"/>
      <c r="D153" s="847"/>
      <c r="E153" s="696"/>
      <c r="F153" s="847"/>
      <c r="G153" s="696"/>
      <c r="H153" s="847"/>
      <c r="I153" s="696"/>
      <c r="J153" s="847"/>
      <c r="K153" s="696"/>
      <c r="L153" s="847"/>
      <c r="M153" s="696"/>
      <c r="N153" s="696"/>
      <c r="O153" s="847"/>
      <c r="P153" s="696"/>
      <c r="Q153" s="847"/>
      <c r="R153" s="696"/>
      <c r="S153" s="847"/>
      <c r="T153" s="696"/>
      <c r="U153" s="847"/>
      <c r="V153" s="696"/>
      <c r="W153" s="847"/>
      <c r="X153" s="696"/>
      <c r="Y153" s="696"/>
      <c r="Z153" s="713"/>
      <c r="AA153" s="696"/>
      <c r="AB153" s="713"/>
      <c r="AC153" s="696"/>
      <c r="AD153" s="713"/>
      <c r="AE153" s="696"/>
      <c r="AF153" s="713"/>
      <c r="AG153" s="696"/>
      <c r="AH153" s="713"/>
      <c r="AI153" s="696"/>
      <c r="AJ153" s="696"/>
      <c r="AK153" s="713"/>
      <c r="AL153" s="696"/>
      <c r="AM153" s="713"/>
      <c r="AN153" s="696"/>
      <c r="AO153" s="713"/>
      <c r="AP153" s="696"/>
      <c r="AQ153" s="713"/>
      <c r="AR153" s="696"/>
      <c r="AS153" s="713"/>
      <c r="AT153" s="696"/>
      <c r="AU153" s="696"/>
      <c r="AV153" s="713"/>
      <c r="AW153" s="696"/>
      <c r="AX153" s="713"/>
      <c r="AY153" s="696"/>
      <c r="AZ153" s="713"/>
      <c r="BA153" s="696"/>
      <c r="BB153" s="713"/>
      <c r="BC153" s="696"/>
      <c r="BD153" s="713"/>
      <c r="BE153" s="696"/>
    </row>
    <row r="154" spans="1:57" s="44" customFormat="1">
      <c r="A154" s="700"/>
      <c r="B154" s="700"/>
      <c r="C154" s="700"/>
      <c r="D154" s="847"/>
      <c r="E154" s="696"/>
      <c r="F154" s="847"/>
      <c r="G154" s="696"/>
      <c r="H154" s="847"/>
      <c r="I154" s="696"/>
      <c r="J154" s="847"/>
      <c r="K154" s="696"/>
      <c r="L154" s="847"/>
      <c r="M154" s="696"/>
      <c r="N154" s="696"/>
      <c r="O154" s="847"/>
      <c r="P154" s="696"/>
      <c r="Q154" s="847"/>
      <c r="R154" s="696"/>
      <c r="S154" s="847"/>
      <c r="T154" s="696"/>
      <c r="U154" s="847"/>
      <c r="V154" s="696"/>
      <c r="W154" s="847"/>
      <c r="X154" s="696"/>
      <c r="Y154" s="696"/>
      <c r="Z154" s="713"/>
      <c r="AA154" s="696"/>
      <c r="AB154" s="713"/>
      <c r="AC154" s="696"/>
      <c r="AD154" s="713"/>
      <c r="AE154" s="696"/>
      <c r="AF154" s="713"/>
      <c r="AG154" s="696"/>
      <c r="AH154" s="713"/>
      <c r="AI154" s="696"/>
      <c r="AJ154" s="696"/>
      <c r="AK154" s="713"/>
      <c r="AL154" s="696"/>
      <c r="AM154" s="713"/>
      <c r="AN154" s="696"/>
      <c r="AO154" s="713"/>
      <c r="AP154" s="696"/>
      <c r="AQ154" s="713"/>
      <c r="AR154" s="696"/>
      <c r="AS154" s="713"/>
      <c r="AT154" s="696"/>
      <c r="AU154" s="696"/>
      <c r="AV154" s="713"/>
      <c r="AW154" s="696"/>
      <c r="AX154" s="713"/>
      <c r="AY154" s="696"/>
      <c r="AZ154" s="713"/>
      <c r="BA154" s="696"/>
      <c r="BB154" s="713"/>
      <c r="BC154" s="696"/>
      <c r="BD154" s="713"/>
      <c r="BE154" s="696"/>
    </row>
    <row r="155" spans="1:57" s="44" customFormat="1">
      <c r="A155" s="700"/>
      <c r="B155" s="700"/>
      <c r="C155" s="700"/>
      <c r="D155" s="847"/>
      <c r="E155" s="696"/>
      <c r="F155" s="847"/>
      <c r="G155" s="696"/>
      <c r="H155" s="847"/>
      <c r="I155" s="696"/>
      <c r="J155" s="847"/>
      <c r="K155" s="696"/>
      <c r="L155" s="847"/>
      <c r="M155" s="696"/>
      <c r="N155" s="696"/>
      <c r="O155" s="847"/>
      <c r="P155" s="696"/>
      <c r="Q155" s="847"/>
      <c r="R155" s="696"/>
      <c r="S155" s="847"/>
      <c r="T155" s="696"/>
      <c r="U155" s="847"/>
      <c r="V155" s="696"/>
      <c r="W155" s="847"/>
      <c r="X155" s="696"/>
      <c r="Y155" s="696"/>
      <c r="Z155" s="713"/>
      <c r="AA155" s="696"/>
      <c r="AB155" s="713"/>
      <c r="AC155" s="696"/>
      <c r="AD155" s="713"/>
      <c r="AE155" s="696"/>
      <c r="AF155" s="713"/>
      <c r="AG155" s="696"/>
      <c r="AH155" s="713"/>
      <c r="AI155" s="696"/>
      <c r="AJ155" s="696"/>
      <c r="AK155" s="713"/>
      <c r="AL155" s="696"/>
      <c r="AM155" s="713"/>
      <c r="AN155" s="696"/>
      <c r="AO155" s="713"/>
      <c r="AP155" s="696"/>
      <c r="AQ155" s="713"/>
      <c r="AR155" s="696"/>
      <c r="AS155" s="713"/>
      <c r="AT155" s="696"/>
      <c r="AU155" s="696"/>
      <c r="AV155" s="713"/>
      <c r="AW155" s="696"/>
      <c r="AX155" s="713"/>
      <c r="AY155" s="696"/>
      <c r="AZ155" s="713"/>
      <c r="BA155" s="696"/>
      <c r="BB155" s="713"/>
      <c r="BC155" s="696"/>
      <c r="BD155" s="713"/>
      <c r="BE155" s="696"/>
    </row>
    <row r="156" spans="1:57" s="44" customFormat="1">
      <c r="A156" s="700"/>
      <c r="B156" s="700"/>
      <c r="C156" s="700"/>
      <c r="D156" s="847"/>
      <c r="E156" s="696"/>
      <c r="F156" s="847"/>
      <c r="G156" s="696"/>
      <c r="H156" s="847"/>
      <c r="I156" s="696"/>
      <c r="J156" s="847"/>
      <c r="K156" s="696"/>
      <c r="L156" s="847"/>
      <c r="M156" s="696"/>
      <c r="N156" s="696"/>
      <c r="O156" s="847"/>
      <c r="P156" s="696"/>
      <c r="Q156" s="847"/>
      <c r="R156" s="696"/>
      <c r="S156" s="847"/>
      <c r="T156" s="696"/>
      <c r="U156" s="847"/>
      <c r="V156" s="696"/>
      <c r="W156" s="847"/>
      <c r="X156" s="696"/>
      <c r="Y156" s="696"/>
      <c r="Z156" s="713"/>
      <c r="AA156" s="696"/>
      <c r="AB156" s="713"/>
      <c r="AC156" s="696"/>
      <c r="AD156" s="713"/>
      <c r="AE156" s="696"/>
      <c r="AF156" s="713"/>
      <c r="AG156" s="696"/>
      <c r="AH156" s="713"/>
      <c r="AI156" s="696"/>
      <c r="AJ156" s="696"/>
      <c r="AK156" s="713"/>
      <c r="AL156" s="696"/>
      <c r="AM156" s="713"/>
      <c r="AN156" s="696"/>
      <c r="AO156" s="713"/>
      <c r="AP156" s="696"/>
      <c r="AQ156" s="713"/>
      <c r="AR156" s="696"/>
      <c r="AS156" s="713"/>
      <c r="AT156" s="696"/>
      <c r="AU156" s="696"/>
      <c r="AV156" s="713"/>
      <c r="AW156" s="696"/>
      <c r="AX156" s="713"/>
      <c r="AY156" s="696"/>
      <c r="AZ156" s="713"/>
      <c r="BA156" s="696"/>
      <c r="BB156" s="713"/>
      <c r="BC156" s="696"/>
      <c r="BD156" s="713"/>
      <c r="BE156" s="696"/>
    </row>
    <row r="157" spans="1:57" s="44" customFormat="1">
      <c r="A157" s="700"/>
      <c r="B157" s="700"/>
      <c r="C157" s="700"/>
      <c r="D157" s="847"/>
      <c r="E157" s="696"/>
      <c r="F157" s="847"/>
      <c r="G157" s="696"/>
      <c r="H157" s="847"/>
      <c r="I157" s="696"/>
      <c r="J157" s="847"/>
      <c r="K157" s="696"/>
      <c r="L157" s="847"/>
      <c r="M157" s="696"/>
      <c r="N157" s="696"/>
      <c r="O157" s="847"/>
      <c r="P157" s="696"/>
      <c r="Q157" s="847"/>
      <c r="R157" s="696"/>
      <c r="S157" s="847"/>
      <c r="T157" s="696"/>
      <c r="U157" s="847"/>
      <c r="V157" s="696"/>
      <c r="W157" s="847"/>
      <c r="X157" s="696"/>
      <c r="Y157" s="696"/>
      <c r="Z157" s="713"/>
      <c r="AA157" s="696"/>
      <c r="AB157" s="713"/>
      <c r="AC157" s="696"/>
      <c r="AD157" s="713"/>
      <c r="AE157" s="696"/>
      <c r="AF157" s="713"/>
      <c r="AG157" s="696"/>
      <c r="AH157" s="713"/>
      <c r="AI157" s="696"/>
      <c r="AJ157" s="696"/>
      <c r="AK157" s="713"/>
      <c r="AL157" s="696"/>
      <c r="AM157" s="713"/>
      <c r="AN157" s="696"/>
      <c r="AO157" s="713"/>
      <c r="AP157" s="696"/>
      <c r="AQ157" s="713"/>
      <c r="AR157" s="696"/>
      <c r="AS157" s="713"/>
      <c r="AT157" s="696"/>
      <c r="AU157" s="696"/>
      <c r="AV157" s="713"/>
      <c r="AW157" s="696"/>
      <c r="AX157" s="713"/>
      <c r="AY157" s="696"/>
      <c r="AZ157" s="713"/>
      <c r="BA157" s="696"/>
      <c r="BB157" s="713"/>
      <c r="BC157" s="696"/>
      <c r="BD157" s="713"/>
      <c r="BE157" s="696"/>
    </row>
    <row r="158" spans="1:57" s="44" customFormat="1">
      <c r="A158" s="700"/>
      <c r="B158" s="700"/>
      <c r="C158" s="700"/>
      <c r="D158" s="847"/>
      <c r="E158" s="696"/>
      <c r="F158" s="847"/>
      <c r="G158" s="696"/>
      <c r="H158" s="847"/>
      <c r="I158" s="696"/>
      <c r="J158" s="847"/>
      <c r="K158" s="696"/>
      <c r="L158" s="847"/>
      <c r="M158" s="696"/>
      <c r="N158" s="696"/>
      <c r="O158" s="847"/>
      <c r="P158" s="696"/>
      <c r="Q158" s="847"/>
      <c r="R158" s="696"/>
      <c r="S158" s="847"/>
      <c r="T158" s="696"/>
      <c r="U158" s="847"/>
      <c r="V158" s="696"/>
      <c r="W158" s="847"/>
      <c r="X158" s="696"/>
      <c r="Y158" s="696"/>
      <c r="Z158" s="713"/>
      <c r="AA158" s="696"/>
      <c r="AB158" s="713"/>
      <c r="AC158" s="696"/>
      <c r="AD158" s="713"/>
      <c r="AE158" s="696"/>
      <c r="AF158" s="713"/>
      <c r="AG158" s="696"/>
      <c r="AH158" s="713"/>
      <c r="AI158" s="696"/>
      <c r="AJ158" s="696"/>
      <c r="AK158" s="713"/>
      <c r="AL158" s="696"/>
      <c r="AM158" s="713"/>
      <c r="AN158" s="696"/>
      <c r="AO158" s="713"/>
      <c r="AP158" s="696"/>
      <c r="AQ158" s="713"/>
      <c r="AR158" s="696"/>
      <c r="AS158" s="713"/>
      <c r="AT158" s="696"/>
      <c r="AU158" s="696"/>
      <c r="AV158" s="713"/>
      <c r="AW158" s="696"/>
      <c r="AX158" s="713"/>
      <c r="AY158" s="696"/>
      <c r="AZ158" s="713"/>
      <c r="BA158" s="696"/>
      <c r="BB158" s="713"/>
      <c r="BC158" s="696"/>
      <c r="BD158" s="713"/>
      <c r="BE158" s="696"/>
    </row>
    <row r="159" spans="1:57" s="44" customFormat="1">
      <c r="A159" s="700"/>
      <c r="B159" s="700"/>
      <c r="C159" s="700"/>
      <c r="D159" s="847"/>
      <c r="E159" s="696"/>
      <c r="F159" s="847"/>
      <c r="G159" s="696"/>
      <c r="H159" s="847"/>
      <c r="I159" s="696"/>
      <c r="J159" s="847"/>
      <c r="K159" s="696"/>
      <c r="L159" s="847"/>
      <c r="M159" s="696"/>
      <c r="N159" s="696"/>
      <c r="O159" s="847"/>
      <c r="P159" s="696"/>
      <c r="Q159" s="847"/>
      <c r="R159" s="696"/>
      <c r="S159" s="847"/>
      <c r="T159" s="696"/>
      <c r="U159" s="847"/>
      <c r="V159" s="696"/>
      <c r="W159" s="847"/>
      <c r="X159" s="696"/>
      <c r="Y159" s="696"/>
      <c r="Z159" s="713"/>
      <c r="AA159" s="696"/>
      <c r="AB159" s="713"/>
      <c r="AC159" s="696"/>
      <c r="AD159" s="713"/>
      <c r="AE159" s="696"/>
      <c r="AF159" s="713"/>
      <c r="AG159" s="696"/>
      <c r="AH159" s="713"/>
      <c r="AI159" s="696"/>
      <c r="AJ159" s="696"/>
      <c r="AK159" s="713"/>
      <c r="AL159" s="696"/>
      <c r="AM159" s="713"/>
      <c r="AN159" s="696"/>
      <c r="AO159" s="713"/>
      <c r="AP159" s="696"/>
      <c r="AQ159" s="713"/>
      <c r="AR159" s="696"/>
      <c r="AS159" s="713"/>
      <c r="AT159" s="696"/>
      <c r="AU159" s="696"/>
      <c r="AV159" s="713"/>
      <c r="AW159" s="696"/>
      <c r="AX159" s="713"/>
      <c r="AY159" s="696"/>
      <c r="AZ159" s="713"/>
      <c r="BA159" s="696"/>
      <c r="BB159" s="713"/>
      <c r="BC159" s="696"/>
      <c r="BD159" s="713"/>
      <c r="BE159" s="696"/>
    </row>
    <row r="160" spans="1:57" s="44" customFormat="1">
      <c r="A160" s="700"/>
      <c r="B160" s="700"/>
      <c r="C160" s="700"/>
      <c r="D160" s="847"/>
      <c r="E160" s="696"/>
      <c r="F160" s="847"/>
      <c r="G160" s="696"/>
      <c r="H160" s="847"/>
      <c r="I160" s="696"/>
      <c r="J160" s="847"/>
      <c r="K160" s="696"/>
      <c r="L160" s="847"/>
      <c r="M160" s="696"/>
      <c r="N160" s="696"/>
      <c r="O160" s="847"/>
      <c r="P160" s="696"/>
      <c r="Q160" s="847"/>
      <c r="R160" s="696"/>
      <c r="S160" s="847"/>
      <c r="T160" s="696"/>
      <c r="U160" s="847"/>
      <c r="V160" s="696"/>
      <c r="W160" s="847"/>
      <c r="X160" s="696"/>
      <c r="Y160" s="696"/>
      <c r="Z160" s="713"/>
      <c r="AA160" s="696"/>
      <c r="AB160" s="713"/>
      <c r="AC160" s="696"/>
      <c r="AD160" s="713"/>
      <c r="AE160" s="696"/>
      <c r="AF160" s="713"/>
      <c r="AG160" s="696"/>
      <c r="AH160" s="713"/>
      <c r="AI160" s="696"/>
      <c r="AJ160" s="696"/>
      <c r="AK160" s="713"/>
      <c r="AL160" s="696"/>
      <c r="AM160" s="713"/>
      <c r="AN160" s="696"/>
      <c r="AO160" s="713"/>
      <c r="AP160" s="696"/>
      <c r="AQ160" s="713"/>
      <c r="AR160" s="696"/>
      <c r="AS160" s="713"/>
      <c r="AT160" s="696"/>
      <c r="AU160" s="696"/>
      <c r="AV160" s="713"/>
      <c r="AW160" s="696"/>
      <c r="AX160" s="713"/>
      <c r="AY160" s="696"/>
      <c r="AZ160" s="713"/>
      <c r="BA160" s="696"/>
      <c r="BB160" s="713"/>
      <c r="BC160" s="696"/>
      <c r="BD160" s="713"/>
      <c r="BE160" s="696"/>
    </row>
    <row r="161" spans="1:57" s="44" customFormat="1">
      <c r="A161" s="700"/>
      <c r="B161" s="700"/>
      <c r="C161" s="700"/>
      <c r="D161" s="847"/>
      <c r="E161" s="696"/>
      <c r="F161" s="847"/>
      <c r="G161" s="696"/>
      <c r="H161" s="847"/>
      <c r="I161" s="696"/>
      <c r="J161" s="847"/>
      <c r="K161" s="696"/>
      <c r="L161" s="847"/>
      <c r="M161" s="696"/>
      <c r="N161" s="696"/>
      <c r="O161" s="847"/>
      <c r="P161" s="696"/>
      <c r="Q161" s="847"/>
      <c r="R161" s="696"/>
      <c r="S161" s="847"/>
      <c r="T161" s="696"/>
      <c r="U161" s="847"/>
      <c r="V161" s="696"/>
      <c r="W161" s="847"/>
      <c r="X161" s="696"/>
      <c r="Y161" s="696"/>
      <c r="Z161" s="713"/>
      <c r="AA161" s="696"/>
      <c r="AB161" s="713"/>
      <c r="AC161" s="696"/>
      <c r="AD161" s="713"/>
      <c r="AE161" s="696"/>
      <c r="AF161" s="713"/>
      <c r="AG161" s="696"/>
      <c r="AH161" s="713"/>
      <c r="AI161" s="696"/>
      <c r="AJ161" s="696"/>
      <c r="AK161" s="713"/>
      <c r="AL161" s="696"/>
      <c r="AM161" s="713"/>
      <c r="AN161" s="696"/>
      <c r="AO161" s="713"/>
      <c r="AP161" s="696"/>
      <c r="AQ161" s="713"/>
      <c r="AR161" s="696"/>
      <c r="AS161" s="713"/>
      <c r="AT161" s="696"/>
      <c r="AU161" s="696"/>
      <c r="AV161" s="713"/>
      <c r="AW161" s="696"/>
      <c r="AX161" s="713"/>
      <c r="AY161" s="696"/>
      <c r="AZ161" s="713"/>
      <c r="BA161" s="696"/>
      <c r="BB161" s="713"/>
      <c r="BC161" s="696"/>
      <c r="BD161" s="713"/>
      <c r="BE161" s="696"/>
    </row>
    <row r="162" spans="1:57" s="44" customFormat="1">
      <c r="A162" s="700"/>
      <c r="B162" s="700"/>
      <c r="C162" s="700"/>
      <c r="D162" s="847"/>
      <c r="E162" s="696"/>
      <c r="F162" s="847"/>
      <c r="G162" s="696"/>
      <c r="H162" s="847"/>
      <c r="I162" s="696"/>
      <c r="J162" s="847"/>
      <c r="K162" s="696"/>
      <c r="L162" s="847"/>
      <c r="M162" s="696"/>
      <c r="N162" s="696"/>
      <c r="O162" s="847"/>
      <c r="P162" s="696"/>
      <c r="Q162" s="847"/>
      <c r="R162" s="696"/>
      <c r="S162" s="847"/>
      <c r="T162" s="696"/>
      <c r="U162" s="847"/>
      <c r="V162" s="696"/>
      <c r="W162" s="847"/>
      <c r="X162" s="696"/>
      <c r="Y162" s="696"/>
      <c r="Z162" s="713"/>
      <c r="AA162" s="696"/>
      <c r="AB162" s="713"/>
      <c r="AC162" s="696"/>
      <c r="AD162" s="713"/>
      <c r="AE162" s="696"/>
      <c r="AF162" s="713"/>
      <c r="AG162" s="696"/>
      <c r="AH162" s="713"/>
      <c r="AI162" s="696"/>
      <c r="AJ162" s="696"/>
      <c r="AK162" s="713"/>
      <c r="AL162" s="696"/>
      <c r="AM162" s="713"/>
      <c r="AN162" s="696"/>
      <c r="AO162" s="713"/>
      <c r="AP162" s="696"/>
      <c r="AQ162" s="713"/>
      <c r="AR162" s="696"/>
      <c r="AS162" s="713"/>
      <c r="AT162" s="696"/>
      <c r="AU162" s="696"/>
      <c r="AV162" s="713"/>
      <c r="AW162" s="696"/>
      <c r="AX162" s="713"/>
      <c r="AY162" s="696"/>
      <c r="AZ162" s="713"/>
      <c r="BA162" s="696"/>
      <c r="BB162" s="713"/>
      <c r="BC162" s="696"/>
      <c r="BD162" s="713"/>
      <c r="BE162" s="696"/>
    </row>
    <row r="163" spans="1:57" s="44" customFormat="1">
      <c r="A163" s="700"/>
      <c r="B163" s="700"/>
      <c r="C163" s="700"/>
      <c r="D163" s="847"/>
      <c r="E163" s="696"/>
      <c r="F163" s="847"/>
      <c r="G163" s="696"/>
      <c r="H163" s="847"/>
      <c r="I163" s="696"/>
      <c r="J163" s="847"/>
      <c r="K163" s="696"/>
      <c r="L163" s="847"/>
      <c r="M163" s="696"/>
      <c r="N163" s="696"/>
      <c r="O163" s="847"/>
      <c r="P163" s="696"/>
      <c r="Q163" s="847"/>
      <c r="R163" s="696"/>
      <c r="S163" s="847"/>
      <c r="T163" s="696"/>
      <c r="U163" s="847"/>
      <c r="V163" s="696"/>
      <c r="W163" s="847"/>
      <c r="X163" s="696"/>
      <c r="Y163" s="696"/>
      <c r="Z163" s="713"/>
      <c r="AA163" s="696"/>
      <c r="AB163" s="713"/>
      <c r="AC163" s="696"/>
      <c r="AD163" s="713"/>
      <c r="AE163" s="696"/>
      <c r="AF163" s="713"/>
      <c r="AG163" s="696"/>
      <c r="AH163" s="713"/>
      <c r="AI163" s="696"/>
      <c r="AJ163" s="696"/>
      <c r="AK163" s="713"/>
      <c r="AL163" s="696"/>
      <c r="AM163" s="713"/>
      <c r="AN163" s="696"/>
      <c r="AO163" s="713"/>
      <c r="AP163" s="696"/>
      <c r="AQ163" s="713"/>
      <c r="AR163" s="696"/>
      <c r="AS163" s="713"/>
      <c r="AT163" s="696"/>
      <c r="AU163" s="696"/>
      <c r="AV163" s="713"/>
      <c r="AW163" s="696"/>
      <c r="AX163" s="713"/>
      <c r="AY163" s="696"/>
      <c r="AZ163" s="713"/>
      <c r="BA163" s="696"/>
      <c r="BB163" s="713"/>
      <c r="BC163" s="696"/>
      <c r="BD163" s="713"/>
      <c r="BE163" s="696"/>
    </row>
    <row r="164" spans="1:57" s="44" customFormat="1">
      <c r="A164" s="700"/>
      <c r="B164" s="700"/>
      <c r="C164" s="700"/>
      <c r="D164" s="847"/>
      <c r="E164" s="696"/>
      <c r="F164" s="847"/>
      <c r="G164" s="696"/>
      <c r="H164" s="847"/>
      <c r="I164" s="696"/>
      <c r="J164" s="847"/>
      <c r="K164" s="696"/>
      <c r="L164" s="847"/>
      <c r="M164" s="696"/>
      <c r="N164" s="696"/>
      <c r="O164" s="847"/>
      <c r="P164" s="696"/>
      <c r="Q164" s="847"/>
      <c r="R164" s="696"/>
      <c r="S164" s="847"/>
      <c r="T164" s="696"/>
      <c r="U164" s="847"/>
      <c r="V164" s="696"/>
      <c r="W164" s="847"/>
      <c r="X164" s="696"/>
      <c r="Y164" s="696"/>
      <c r="Z164" s="713"/>
      <c r="AA164" s="696"/>
      <c r="AB164" s="713"/>
      <c r="AC164" s="696"/>
      <c r="AD164" s="713"/>
      <c r="AE164" s="696"/>
      <c r="AF164" s="713"/>
      <c r="AG164" s="696"/>
      <c r="AH164" s="713"/>
      <c r="AI164" s="696"/>
      <c r="AJ164" s="696"/>
      <c r="AK164" s="713"/>
      <c r="AL164" s="696"/>
      <c r="AM164" s="713"/>
      <c r="AN164" s="696"/>
      <c r="AO164" s="713"/>
      <c r="AP164" s="696"/>
      <c r="AQ164" s="713"/>
      <c r="AR164" s="696"/>
      <c r="AS164" s="713"/>
      <c r="AT164" s="696"/>
      <c r="AU164" s="696"/>
      <c r="AV164" s="713"/>
      <c r="AW164" s="696"/>
      <c r="AX164" s="713"/>
      <c r="AY164" s="696"/>
      <c r="AZ164" s="713"/>
      <c r="BA164" s="696"/>
      <c r="BB164" s="713"/>
      <c r="BC164" s="696"/>
      <c r="BD164" s="713"/>
      <c r="BE164" s="696"/>
    </row>
    <row r="165" spans="1:57" s="44" customFormat="1">
      <c r="A165" s="700"/>
      <c r="B165" s="700"/>
      <c r="C165" s="700"/>
      <c r="D165" s="847"/>
      <c r="E165" s="696"/>
      <c r="F165" s="847"/>
      <c r="G165" s="696"/>
      <c r="H165" s="847"/>
      <c r="I165" s="696"/>
      <c r="J165" s="847"/>
      <c r="K165" s="696"/>
      <c r="L165" s="847"/>
      <c r="M165" s="696"/>
      <c r="N165" s="696"/>
      <c r="O165" s="847"/>
      <c r="P165" s="696"/>
      <c r="Q165" s="847"/>
      <c r="R165" s="696"/>
      <c r="S165" s="847"/>
      <c r="T165" s="696"/>
      <c r="U165" s="847"/>
      <c r="V165" s="696"/>
      <c r="W165" s="847"/>
      <c r="X165" s="696"/>
      <c r="Y165" s="696"/>
      <c r="Z165" s="713"/>
      <c r="AA165" s="696"/>
      <c r="AB165" s="713"/>
      <c r="AC165" s="696"/>
      <c r="AD165" s="713"/>
      <c r="AE165" s="696"/>
      <c r="AF165" s="713"/>
      <c r="AG165" s="696"/>
      <c r="AH165" s="713"/>
      <c r="AI165" s="696"/>
      <c r="AJ165" s="696"/>
      <c r="AK165" s="713"/>
      <c r="AL165" s="696"/>
      <c r="AM165" s="713"/>
      <c r="AN165" s="696"/>
      <c r="AO165" s="713"/>
      <c r="AP165" s="696"/>
      <c r="AQ165" s="713"/>
      <c r="AR165" s="696"/>
      <c r="AS165" s="713"/>
      <c r="AT165" s="696"/>
      <c r="AU165" s="696"/>
      <c r="AV165" s="713"/>
      <c r="AW165" s="696"/>
      <c r="AX165" s="713"/>
      <c r="AY165" s="696"/>
      <c r="AZ165" s="713"/>
      <c r="BA165" s="696"/>
      <c r="BB165" s="713"/>
      <c r="BC165" s="696"/>
      <c r="BD165" s="713"/>
      <c r="BE165" s="696"/>
    </row>
    <row r="166" spans="1:57" s="44" customFormat="1">
      <c r="A166" s="700"/>
      <c r="B166" s="700"/>
      <c r="C166" s="700"/>
      <c r="D166" s="847"/>
      <c r="E166" s="696"/>
      <c r="F166" s="847"/>
      <c r="G166" s="696"/>
      <c r="H166" s="847"/>
      <c r="I166" s="696"/>
      <c r="J166" s="847"/>
      <c r="K166" s="696"/>
      <c r="L166" s="847"/>
      <c r="M166" s="696"/>
      <c r="N166" s="696"/>
      <c r="O166" s="847"/>
      <c r="P166" s="696"/>
      <c r="Q166" s="847"/>
      <c r="R166" s="696"/>
      <c r="S166" s="847"/>
      <c r="T166" s="696"/>
      <c r="U166" s="847"/>
      <c r="V166" s="696"/>
      <c r="W166" s="847"/>
      <c r="X166" s="696"/>
      <c r="Y166" s="696"/>
      <c r="Z166" s="713"/>
      <c r="AA166" s="696"/>
      <c r="AB166" s="713"/>
      <c r="AC166" s="696"/>
      <c r="AD166" s="713"/>
      <c r="AE166" s="696"/>
      <c r="AF166" s="713"/>
      <c r="AG166" s="696"/>
      <c r="AH166" s="713"/>
      <c r="AI166" s="696"/>
      <c r="AJ166" s="696"/>
      <c r="AK166" s="713"/>
      <c r="AL166" s="696"/>
      <c r="AM166" s="713"/>
      <c r="AN166" s="696"/>
      <c r="AO166" s="713"/>
      <c r="AP166" s="696"/>
      <c r="AQ166" s="713"/>
      <c r="AR166" s="696"/>
      <c r="AS166" s="713"/>
      <c r="AT166" s="696"/>
      <c r="AU166" s="696"/>
      <c r="AV166" s="713"/>
      <c r="AW166" s="696"/>
      <c r="AX166" s="713"/>
      <c r="AY166" s="696"/>
      <c r="AZ166" s="713"/>
      <c r="BA166" s="696"/>
      <c r="BB166" s="713"/>
      <c r="BC166" s="696"/>
      <c r="BD166" s="713"/>
      <c r="BE166" s="696"/>
    </row>
    <row r="167" spans="1:57" s="44" customFormat="1">
      <c r="A167" s="700"/>
      <c r="B167" s="700"/>
      <c r="C167" s="700"/>
      <c r="D167" s="847"/>
      <c r="E167" s="696"/>
      <c r="F167" s="847"/>
      <c r="G167" s="696"/>
      <c r="H167" s="847"/>
      <c r="I167" s="696"/>
      <c r="J167" s="847"/>
      <c r="K167" s="696"/>
      <c r="L167" s="847"/>
      <c r="M167" s="696"/>
      <c r="N167" s="696"/>
      <c r="O167" s="847"/>
      <c r="P167" s="696"/>
      <c r="Q167" s="847"/>
      <c r="R167" s="696"/>
      <c r="S167" s="847"/>
      <c r="T167" s="696"/>
      <c r="U167" s="847"/>
      <c r="V167" s="696"/>
      <c r="W167" s="847"/>
      <c r="X167" s="696"/>
      <c r="Y167" s="696"/>
      <c r="Z167" s="713"/>
      <c r="AA167" s="696"/>
      <c r="AB167" s="713"/>
      <c r="AC167" s="696"/>
      <c r="AD167" s="713"/>
      <c r="AE167" s="696"/>
      <c r="AF167" s="713"/>
      <c r="AG167" s="696"/>
      <c r="AH167" s="713"/>
      <c r="AI167" s="696"/>
      <c r="AJ167" s="696"/>
      <c r="AK167" s="713"/>
      <c r="AL167" s="696"/>
      <c r="AM167" s="713"/>
      <c r="AN167" s="696"/>
      <c r="AO167" s="713"/>
      <c r="AP167" s="696"/>
      <c r="AQ167" s="713"/>
      <c r="AR167" s="696"/>
      <c r="AS167" s="713"/>
      <c r="AT167" s="696"/>
      <c r="AU167" s="696"/>
      <c r="AV167" s="713"/>
      <c r="AW167" s="696"/>
      <c r="AX167" s="713"/>
      <c r="AY167" s="696"/>
      <c r="AZ167" s="713"/>
      <c r="BA167" s="696"/>
      <c r="BB167" s="713"/>
      <c r="BC167" s="696"/>
      <c r="BD167" s="713"/>
      <c r="BE167" s="696"/>
    </row>
    <row r="168" spans="1:57" s="44" customFormat="1">
      <c r="A168" s="700"/>
      <c r="B168" s="700"/>
      <c r="C168" s="700"/>
      <c r="D168" s="847"/>
      <c r="E168" s="696"/>
      <c r="F168" s="847"/>
      <c r="G168" s="696"/>
      <c r="H168" s="847"/>
      <c r="I168" s="696"/>
      <c r="J168" s="847"/>
      <c r="K168" s="696"/>
      <c r="L168" s="847"/>
      <c r="M168" s="696"/>
      <c r="N168" s="696"/>
      <c r="O168" s="847"/>
      <c r="P168" s="696"/>
      <c r="Q168" s="847"/>
      <c r="R168" s="696"/>
      <c r="S168" s="847"/>
      <c r="T168" s="696"/>
      <c r="U168" s="847"/>
      <c r="V168" s="696"/>
      <c r="W168" s="847"/>
      <c r="X168" s="696"/>
      <c r="Y168" s="696"/>
      <c r="Z168" s="713"/>
      <c r="AA168" s="696"/>
      <c r="AB168" s="713"/>
      <c r="AC168" s="696"/>
      <c r="AD168" s="713"/>
      <c r="AE168" s="696"/>
      <c r="AF168" s="713"/>
      <c r="AG168" s="696"/>
      <c r="AH168" s="713"/>
      <c r="AI168" s="696"/>
      <c r="AJ168" s="696"/>
      <c r="AK168" s="713"/>
      <c r="AL168" s="696"/>
      <c r="AM168" s="713"/>
      <c r="AN168" s="696"/>
      <c r="AO168" s="713"/>
      <c r="AP168" s="696"/>
      <c r="AQ168" s="713"/>
      <c r="AR168" s="696"/>
      <c r="AS168" s="713"/>
      <c r="AT168" s="696"/>
      <c r="AU168" s="696"/>
      <c r="AV168" s="713"/>
      <c r="AW168" s="696"/>
      <c r="AX168" s="713"/>
      <c r="AY168" s="696"/>
      <c r="AZ168" s="713"/>
      <c r="BA168" s="696"/>
      <c r="BB168" s="713"/>
      <c r="BC168" s="696"/>
      <c r="BD168" s="713"/>
      <c r="BE168" s="696"/>
    </row>
    <row r="169" spans="1:57" s="44" customFormat="1">
      <c r="A169" s="700"/>
      <c r="B169" s="700"/>
      <c r="C169" s="700"/>
      <c r="D169" s="847"/>
      <c r="E169" s="696"/>
      <c r="F169" s="847"/>
      <c r="G169" s="696"/>
      <c r="H169" s="847"/>
      <c r="I169" s="696"/>
      <c r="J169" s="847"/>
      <c r="K169" s="696"/>
      <c r="L169" s="847"/>
      <c r="M169" s="696"/>
      <c r="N169" s="696"/>
      <c r="O169" s="847"/>
      <c r="P169" s="696"/>
      <c r="Q169" s="847"/>
      <c r="R169" s="696"/>
      <c r="S169" s="847"/>
      <c r="T169" s="696"/>
      <c r="U169" s="847"/>
      <c r="V169" s="696"/>
      <c r="W169" s="847"/>
      <c r="X169" s="696"/>
      <c r="Y169" s="696"/>
      <c r="Z169" s="713"/>
      <c r="AA169" s="696"/>
      <c r="AB169" s="713"/>
      <c r="AC169" s="696"/>
      <c r="AD169" s="713"/>
      <c r="AE169" s="696"/>
      <c r="AF169" s="713"/>
      <c r="AG169" s="696"/>
      <c r="AH169" s="713"/>
      <c r="AI169" s="696"/>
      <c r="AJ169" s="696"/>
      <c r="AK169" s="713"/>
      <c r="AL169" s="696"/>
      <c r="AM169" s="713"/>
      <c r="AN169" s="696"/>
      <c r="AO169" s="713"/>
      <c r="AP169" s="696"/>
      <c r="AQ169" s="713"/>
      <c r="AR169" s="696"/>
      <c r="AS169" s="713"/>
      <c r="AT169" s="696"/>
      <c r="AU169" s="696"/>
      <c r="AV169" s="713"/>
      <c r="AW169" s="696"/>
      <c r="AX169" s="713"/>
      <c r="AY169" s="696"/>
      <c r="AZ169" s="713"/>
      <c r="BA169" s="696"/>
      <c r="BB169" s="713"/>
      <c r="BC169" s="696"/>
      <c r="BD169" s="713"/>
      <c r="BE169" s="696"/>
    </row>
    <row r="170" spans="1:57" s="44" customFormat="1">
      <c r="A170" s="700"/>
      <c r="B170" s="700"/>
      <c r="C170" s="700"/>
      <c r="D170" s="847"/>
      <c r="E170" s="696"/>
      <c r="F170" s="847"/>
      <c r="G170" s="696"/>
      <c r="H170" s="847"/>
      <c r="I170" s="696"/>
      <c r="J170" s="847"/>
      <c r="K170" s="696"/>
      <c r="L170" s="847"/>
      <c r="M170" s="696"/>
      <c r="N170" s="696"/>
      <c r="O170" s="847"/>
      <c r="P170" s="696"/>
      <c r="Q170" s="847"/>
      <c r="R170" s="696"/>
      <c r="S170" s="847"/>
      <c r="T170" s="696"/>
      <c r="U170" s="847"/>
      <c r="V170" s="696"/>
      <c r="W170" s="847"/>
      <c r="X170" s="696"/>
      <c r="Y170" s="696"/>
      <c r="Z170" s="713"/>
      <c r="AA170" s="696"/>
      <c r="AB170" s="713"/>
      <c r="AC170" s="696"/>
      <c r="AD170" s="713"/>
      <c r="AE170" s="696"/>
      <c r="AF170" s="713"/>
      <c r="AG170" s="696"/>
      <c r="AH170" s="713"/>
      <c r="AI170" s="696"/>
      <c r="AJ170" s="696"/>
      <c r="AK170" s="713"/>
      <c r="AL170" s="696"/>
      <c r="AM170" s="713"/>
      <c r="AN170" s="696"/>
      <c r="AO170" s="713"/>
      <c r="AP170" s="696"/>
      <c r="AQ170" s="713"/>
      <c r="AR170" s="696"/>
      <c r="AS170" s="713"/>
      <c r="AT170" s="696"/>
      <c r="AU170" s="696"/>
      <c r="AV170" s="713"/>
      <c r="AW170" s="696"/>
      <c r="AX170" s="713"/>
      <c r="AY170" s="696"/>
      <c r="AZ170" s="713"/>
      <c r="BA170" s="696"/>
      <c r="BB170" s="713"/>
      <c r="BC170" s="696"/>
      <c r="BD170" s="713"/>
      <c r="BE170" s="696"/>
    </row>
    <row r="171" spans="1:57" s="44" customFormat="1">
      <c r="A171" s="700"/>
      <c r="B171" s="700"/>
      <c r="C171" s="700"/>
      <c r="D171" s="847"/>
      <c r="E171" s="696"/>
      <c r="F171" s="847"/>
      <c r="G171" s="696"/>
      <c r="H171" s="847"/>
      <c r="I171" s="696"/>
      <c r="J171" s="847"/>
      <c r="K171" s="696"/>
      <c r="L171" s="847"/>
      <c r="M171" s="696"/>
      <c r="N171" s="696"/>
      <c r="O171" s="847"/>
      <c r="P171" s="696"/>
      <c r="Q171" s="847"/>
      <c r="R171" s="696"/>
      <c r="S171" s="847"/>
      <c r="T171" s="696"/>
      <c r="U171" s="847"/>
      <c r="V171" s="696"/>
      <c r="W171" s="847"/>
      <c r="X171" s="696"/>
      <c r="Y171" s="696"/>
      <c r="Z171" s="713"/>
      <c r="AA171" s="696"/>
      <c r="AB171" s="713"/>
      <c r="AC171" s="696"/>
      <c r="AD171" s="713"/>
      <c r="AE171" s="696"/>
      <c r="AF171" s="713"/>
      <c r="AG171" s="696"/>
      <c r="AH171" s="713"/>
      <c r="AI171" s="696"/>
      <c r="AJ171" s="696"/>
      <c r="AK171" s="713"/>
      <c r="AL171" s="696"/>
      <c r="AM171" s="713"/>
      <c r="AN171" s="696"/>
      <c r="AO171" s="713"/>
      <c r="AP171" s="696"/>
      <c r="AQ171" s="713"/>
      <c r="AR171" s="696"/>
      <c r="AS171" s="713"/>
      <c r="AT171" s="696"/>
      <c r="AU171" s="696"/>
      <c r="AV171" s="713"/>
      <c r="AW171" s="696"/>
      <c r="AX171" s="713"/>
      <c r="AY171" s="696"/>
      <c r="AZ171" s="713"/>
      <c r="BA171" s="696"/>
      <c r="BB171" s="713"/>
      <c r="BC171" s="696"/>
      <c r="BD171" s="713"/>
      <c r="BE171" s="696"/>
    </row>
    <row r="172" spans="1:57" s="44" customFormat="1">
      <c r="A172" s="700"/>
      <c r="B172" s="700"/>
      <c r="C172" s="700"/>
      <c r="D172" s="847"/>
      <c r="E172" s="696"/>
      <c r="F172" s="847"/>
      <c r="G172" s="696"/>
      <c r="H172" s="847"/>
      <c r="I172" s="696"/>
      <c r="J172" s="847"/>
      <c r="K172" s="696"/>
      <c r="L172" s="847"/>
      <c r="M172" s="696"/>
      <c r="N172" s="696"/>
      <c r="O172" s="847"/>
      <c r="P172" s="696"/>
      <c r="Q172" s="847"/>
      <c r="R172" s="696"/>
      <c r="S172" s="847"/>
      <c r="T172" s="696"/>
      <c r="U172" s="847"/>
      <c r="V172" s="696"/>
      <c r="W172" s="847"/>
      <c r="X172" s="696"/>
      <c r="Y172" s="696"/>
      <c r="Z172" s="713"/>
      <c r="AA172" s="696"/>
      <c r="AB172" s="713"/>
      <c r="AC172" s="696"/>
      <c r="AD172" s="713"/>
      <c r="AE172" s="696"/>
      <c r="AF172" s="713"/>
      <c r="AG172" s="696"/>
      <c r="AH172" s="713"/>
      <c r="AI172" s="696"/>
      <c r="AJ172" s="696"/>
      <c r="AK172" s="713"/>
      <c r="AL172" s="696"/>
      <c r="AM172" s="713"/>
      <c r="AN172" s="696"/>
      <c r="AO172" s="713"/>
      <c r="AP172" s="696"/>
      <c r="AQ172" s="713"/>
      <c r="AR172" s="696"/>
      <c r="AS172" s="713"/>
      <c r="AT172" s="696"/>
      <c r="AU172" s="696"/>
      <c r="AV172" s="713"/>
      <c r="AW172" s="696"/>
      <c r="AX172" s="713"/>
      <c r="AY172" s="696"/>
      <c r="AZ172" s="713"/>
      <c r="BA172" s="696"/>
      <c r="BB172" s="713"/>
      <c r="BC172" s="696"/>
      <c r="BD172" s="713"/>
      <c r="BE172" s="696"/>
    </row>
    <row r="173" spans="1:57" s="44" customFormat="1">
      <c r="A173" s="700"/>
      <c r="B173" s="700"/>
      <c r="C173" s="700"/>
      <c r="D173" s="847"/>
      <c r="E173" s="696"/>
      <c r="F173" s="847"/>
      <c r="G173" s="696"/>
      <c r="H173" s="847"/>
      <c r="I173" s="696"/>
      <c r="J173" s="847"/>
      <c r="K173" s="696"/>
      <c r="L173" s="847"/>
      <c r="M173" s="696"/>
      <c r="N173" s="696"/>
      <c r="O173" s="847"/>
      <c r="P173" s="696"/>
      <c r="Q173" s="847"/>
      <c r="R173" s="696"/>
      <c r="S173" s="847"/>
      <c r="T173" s="696"/>
      <c r="U173" s="847"/>
      <c r="V173" s="696"/>
      <c r="W173" s="847"/>
      <c r="X173" s="696"/>
      <c r="Y173" s="696"/>
      <c r="Z173" s="713"/>
      <c r="AA173" s="696"/>
      <c r="AB173" s="713"/>
      <c r="AC173" s="696"/>
      <c r="AD173" s="713"/>
      <c r="AE173" s="696"/>
      <c r="AF173" s="713"/>
      <c r="AG173" s="696"/>
      <c r="AH173" s="713"/>
      <c r="AI173" s="696"/>
      <c r="AJ173" s="696"/>
      <c r="AK173" s="713"/>
      <c r="AL173" s="696"/>
      <c r="AM173" s="713"/>
      <c r="AN173" s="696"/>
      <c r="AO173" s="713"/>
      <c r="AP173" s="696"/>
      <c r="AQ173" s="713"/>
      <c r="AR173" s="696"/>
      <c r="AS173" s="713"/>
      <c r="AT173" s="696"/>
      <c r="AU173" s="696"/>
      <c r="AV173" s="713"/>
      <c r="AW173" s="696"/>
      <c r="AX173" s="713"/>
      <c r="AY173" s="696"/>
      <c r="AZ173" s="713"/>
      <c r="BA173" s="696"/>
      <c r="BB173" s="713"/>
      <c r="BC173" s="696"/>
      <c r="BD173" s="713"/>
      <c r="BE173" s="696"/>
    </row>
    <row r="174" spans="1:57" s="44" customFormat="1">
      <c r="A174" s="700"/>
      <c r="B174" s="700"/>
      <c r="C174" s="700"/>
      <c r="D174" s="847"/>
      <c r="E174" s="696"/>
      <c r="F174" s="847"/>
      <c r="G174" s="696"/>
      <c r="H174" s="847"/>
      <c r="I174" s="696"/>
      <c r="J174" s="847"/>
      <c r="K174" s="696"/>
      <c r="L174" s="847"/>
      <c r="M174" s="696"/>
      <c r="N174" s="696"/>
      <c r="O174" s="847"/>
      <c r="P174" s="696"/>
      <c r="Q174" s="847"/>
      <c r="R174" s="696"/>
      <c r="S174" s="847"/>
      <c r="T174" s="696"/>
      <c r="U174" s="847"/>
      <c r="V174" s="696"/>
      <c r="W174" s="847"/>
      <c r="X174" s="696"/>
      <c r="Y174" s="696"/>
      <c r="Z174" s="713"/>
      <c r="AA174" s="696"/>
      <c r="AB174" s="713"/>
      <c r="AC174" s="696"/>
      <c r="AD174" s="713"/>
      <c r="AE174" s="696"/>
      <c r="AF174" s="713"/>
      <c r="AG174" s="696"/>
      <c r="AH174" s="713"/>
      <c r="AI174" s="696"/>
      <c r="AJ174" s="696"/>
      <c r="AK174" s="713"/>
      <c r="AL174" s="696"/>
      <c r="AM174" s="713"/>
      <c r="AN174" s="696"/>
      <c r="AO174" s="713"/>
      <c r="AP174" s="696"/>
      <c r="AQ174" s="713"/>
      <c r="AR174" s="696"/>
      <c r="AS174" s="713"/>
      <c r="AT174" s="696"/>
      <c r="AU174" s="696"/>
      <c r="AV174" s="713"/>
      <c r="AW174" s="696"/>
      <c r="AX174" s="713"/>
      <c r="AY174" s="696"/>
      <c r="AZ174" s="713"/>
      <c r="BA174" s="696"/>
      <c r="BB174" s="713"/>
      <c r="BC174" s="696"/>
      <c r="BD174" s="713"/>
      <c r="BE174" s="696"/>
    </row>
    <row r="175" spans="1:57" s="44" customFormat="1">
      <c r="A175" s="700"/>
      <c r="B175" s="700"/>
      <c r="C175" s="700"/>
      <c r="D175" s="847"/>
      <c r="E175" s="696"/>
      <c r="F175" s="847"/>
      <c r="G175" s="696"/>
      <c r="H175" s="847"/>
      <c r="I175" s="696"/>
      <c r="J175" s="847"/>
      <c r="K175" s="696"/>
      <c r="L175" s="847"/>
      <c r="M175" s="696"/>
      <c r="N175" s="696"/>
      <c r="O175" s="847"/>
      <c r="P175" s="696"/>
      <c r="Q175" s="847"/>
      <c r="R175" s="696"/>
      <c r="S175" s="847"/>
      <c r="T175" s="696"/>
      <c r="U175" s="847"/>
      <c r="V175" s="696"/>
      <c r="W175" s="847"/>
      <c r="X175" s="696"/>
      <c r="Y175" s="696"/>
      <c r="Z175" s="713"/>
      <c r="AA175" s="696"/>
      <c r="AB175" s="713"/>
      <c r="AC175" s="696"/>
      <c r="AD175" s="713"/>
      <c r="AE175" s="696"/>
      <c r="AF175" s="713"/>
      <c r="AG175" s="696"/>
      <c r="AH175" s="713"/>
      <c r="AI175" s="696"/>
      <c r="AJ175" s="696"/>
      <c r="AK175" s="713"/>
      <c r="AL175" s="696"/>
      <c r="AM175" s="713"/>
      <c r="AN175" s="696"/>
      <c r="AO175" s="713"/>
      <c r="AP175" s="696"/>
      <c r="AQ175" s="713"/>
      <c r="AR175" s="696"/>
      <c r="AS175" s="713"/>
      <c r="AT175" s="696"/>
      <c r="AU175" s="696"/>
      <c r="AV175" s="713"/>
      <c r="AW175" s="696"/>
      <c r="AX175" s="713"/>
      <c r="AY175" s="696"/>
      <c r="AZ175" s="713"/>
      <c r="BA175" s="696"/>
      <c r="BB175" s="713"/>
      <c r="BC175" s="696"/>
      <c r="BD175" s="713"/>
      <c r="BE175" s="696"/>
    </row>
    <row r="176" spans="1:57" s="44" customFormat="1">
      <c r="A176" s="700"/>
      <c r="B176" s="700"/>
      <c r="C176" s="700"/>
      <c r="D176" s="847"/>
      <c r="E176" s="696"/>
      <c r="F176" s="847"/>
      <c r="G176" s="696"/>
      <c r="H176" s="847"/>
      <c r="I176" s="696"/>
      <c r="J176" s="847"/>
      <c r="K176" s="696"/>
      <c r="L176" s="847"/>
      <c r="M176" s="696"/>
      <c r="N176" s="696"/>
      <c r="O176" s="847"/>
      <c r="P176" s="696"/>
      <c r="Q176" s="847"/>
      <c r="R176" s="696"/>
      <c r="S176" s="847"/>
      <c r="T176" s="696"/>
      <c r="U176" s="847"/>
      <c r="V176" s="696"/>
      <c r="W176" s="847"/>
      <c r="X176" s="696"/>
      <c r="Y176" s="696"/>
      <c r="Z176" s="713"/>
      <c r="AA176" s="696"/>
      <c r="AB176" s="713"/>
      <c r="AC176" s="696"/>
      <c r="AD176" s="713"/>
      <c r="AE176" s="696"/>
      <c r="AF176" s="713"/>
      <c r="AG176" s="696"/>
      <c r="AH176" s="713"/>
      <c r="AI176" s="696"/>
      <c r="AJ176" s="696"/>
      <c r="AK176" s="713"/>
      <c r="AL176" s="696"/>
      <c r="AM176" s="713"/>
      <c r="AN176" s="696"/>
      <c r="AO176" s="713"/>
      <c r="AP176" s="696"/>
      <c r="AQ176" s="713"/>
      <c r="AR176" s="696"/>
      <c r="AS176" s="713"/>
      <c r="AT176" s="696"/>
      <c r="AU176" s="696"/>
      <c r="AV176" s="713"/>
      <c r="AW176" s="696"/>
      <c r="AX176" s="713"/>
      <c r="AY176" s="696"/>
      <c r="AZ176" s="713"/>
      <c r="BA176" s="696"/>
      <c r="BB176" s="713"/>
      <c r="BC176" s="696"/>
      <c r="BD176" s="713"/>
      <c r="BE176" s="696"/>
    </row>
    <row r="177" spans="1:57" s="44" customFormat="1">
      <c r="A177" s="700"/>
      <c r="B177" s="700"/>
      <c r="C177" s="700"/>
      <c r="D177" s="847"/>
      <c r="E177" s="696"/>
      <c r="F177" s="847"/>
      <c r="G177" s="696"/>
      <c r="H177" s="847"/>
      <c r="I177" s="696"/>
      <c r="J177" s="847"/>
      <c r="K177" s="696"/>
      <c r="L177" s="847"/>
      <c r="M177" s="696"/>
      <c r="N177" s="696"/>
      <c r="O177" s="847"/>
      <c r="P177" s="696"/>
      <c r="Q177" s="847"/>
      <c r="R177" s="696"/>
      <c r="S177" s="847"/>
      <c r="T177" s="696"/>
      <c r="U177" s="847"/>
      <c r="V177" s="696"/>
      <c r="W177" s="847"/>
      <c r="X177" s="696"/>
      <c r="Y177" s="696"/>
      <c r="Z177" s="713"/>
      <c r="AA177" s="696"/>
      <c r="AB177" s="713"/>
      <c r="AC177" s="696"/>
      <c r="AD177" s="713"/>
      <c r="AE177" s="696"/>
      <c r="AF177" s="713"/>
      <c r="AG177" s="696"/>
      <c r="AH177" s="713"/>
      <c r="AI177" s="696"/>
      <c r="AJ177" s="696"/>
      <c r="AK177" s="713"/>
      <c r="AL177" s="696"/>
      <c r="AM177" s="713"/>
      <c r="AN177" s="696"/>
      <c r="AO177" s="713"/>
      <c r="AP177" s="696"/>
      <c r="AQ177" s="713"/>
      <c r="AR177" s="696"/>
      <c r="AS177" s="713"/>
      <c r="AT177" s="696"/>
      <c r="AU177" s="696"/>
      <c r="AV177" s="713"/>
      <c r="AW177" s="696"/>
      <c r="AX177" s="713"/>
      <c r="AY177" s="696"/>
      <c r="AZ177" s="713"/>
      <c r="BA177" s="696"/>
      <c r="BB177" s="713"/>
      <c r="BC177" s="696"/>
      <c r="BD177" s="713"/>
      <c r="BE177" s="696"/>
    </row>
    <row r="178" spans="1:57" s="44" customFormat="1">
      <c r="A178" s="700"/>
      <c r="B178" s="700"/>
      <c r="C178" s="700"/>
      <c r="D178" s="847"/>
      <c r="E178" s="696"/>
      <c r="F178" s="847"/>
      <c r="G178" s="696"/>
      <c r="H178" s="847"/>
      <c r="I178" s="696"/>
      <c r="J178" s="847"/>
      <c r="K178" s="696"/>
      <c r="L178" s="847"/>
      <c r="M178" s="696"/>
      <c r="N178" s="696"/>
      <c r="O178" s="847"/>
      <c r="P178" s="696"/>
      <c r="Q178" s="847"/>
      <c r="R178" s="696"/>
      <c r="S178" s="847"/>
      <c r="T178" s="696"/>
      <c r="U178" s="847"/>
      <c r="V178" s="696"/>
      <c r="W178" s="847"/>
      <c r="X178" s="696"/>
      <c r="Y178" s="696"/>
      <c r="Z178" s="713"/>
      <c r="AA178" s="696"/>
      <c r="AB178" s="713"/>
      <c r="AC178" s="696"/>
      <c r="AD178" s="713"/>
      <c r="AE178" s="696"/>
      <c r="AF178" s="713"/>
      <c r="AG178" s="696"/>
      <c r="AH178" s="713"/>
      <c r="AI178" s="696"/>
      <c r="AJ178" s="696"/>
      <c r="AK178" s="713"/>
      <c r="AL178" s="696"/>
      <c r="AM178" s="713"/>
      <c r="AN178" s="696"/>
      <c r="AO178" s="713"/>
      <c r="AP178" s="696"/>
      <c r="AQ178" s="713"/>
      <c r="AR178" s="696"/>
      <c r="AS178" s="713"/>
      <c r="AT178" s="696"/>
      <c r="AU178" s="696"/>
      <c r="AV178" s="713"/>
      <c r="AW178" s="696"/>
      <c r="AX178" s="713"/>
      <c r="AY178" s="696"/>
      <c r="AZ178" s="713"/>
      <c r="BA178" s="696"/>
      <c r="BB178" s="713"/>
      <c r="BC178" s="696"/>
      <c r="BD178" s="713"/>
      <c r="BE178" s="696"/>
    </row>
    <row r="179" spans="1:57" s="44" customFormat="1">
      <c r="A179" s="700"/>
      <c r="B179" s="700"/>
      <c r="C179" s="700"/>
      <c r="D179" s="847"/>
      <c r="E179" s="696"/>
      <c r="F179" s="847"/>
      <c r="G179" s="696"/>
      <c r="H179" s="847"/>
      <c r="I179" s="696"/>
      <c r="J179" s="847"/>
      <c r="K179" s="696"/>
      <c r="L179" s="847"/>
      <c r="M179" s="696"/>
      <c r="N179" s="696"/>
      <c r="O179" s="847"/>
      <c r="P179" s="696"/>
      <c r="Q179" s="847"/>
      <c r="R179" s="696"/>
      <c r="S179" s="847"/>
      <c r="T179" s="696"/>
      <c r="U179" s="847"/>
      <c r="V179" s="696"/>
      <c r="W179" s="847"/>
      <c r="X179" s="696"/>
      <c r="Y179" s="696"/>
      <c r="Z179" s="713"/>
      <c r="AA179" s="696"/>
      <c r="AB179" s="713"/>
      <c r="AC179" s="696"/>
      <c r="AD179" s="713"/>
      <c r="AE179" s="696"/>
      <c r="AF179" s="713"/>
      <c r="AG179" s="696"/>
      <c r="AH179" s="713"/>
      <c r="AI179" s="696"/>
      <c r="AJ179" s="696"/>
      <c r="AK179" s="713"/>
      <c r="AL179" s="696"/>
      <c r="AM179" s="713"/>
      <c r="AN179" s="696"/>
      <c r="AO179" s="713"/>
      <c r="AP179" s="696"/>
      <c r="AQ179" s="713"/>
      <c r="AR179" s="696"/>
      <c r="AS179" s="713"/>
      <c r="AT179" s="696"/>
      <c r="AU179" s="696"/>
      <c r="AV179" s="713"/>
      <c r="AW179" s="696"/>
      <c r="AX179" s="713"/>
      <c r="AY179" s="696"/>
      <c r="AZ179" s="713"/>
      <c r="BA179" s="696"/>
      <c r="BB179" s="713"/>
      <c r="BC179" s="696"/>
      <c r="BD179" s="713"/>
      <c r="BE179" s="696"/>
    </row>
    <row r="180" spans="1:57" s="44" customFormat="1">
      <c r="A180" s="700"/>
      <c r="B180" s="700"/>
      <c r="C180" s="700"/>
      <c r="D180" s="847"/>
      <c r="E180" s="696"/>
      <c r="F180" s="847"/>
      <c r="G180" s="696"/>
      <c r="H180" s="847"/>
      <c r="I180" s="696"/>
      <c r="J180" s="847"/>
      <c r="K180" s="696"/>
      <c r="L180" s="847"/>
      <c r="M180" s="696"/>
      <c r="N180" s="696"/>
      <c r="O180" s="847"/>
      <c r="P180" s="696"/>
      <c r="Q180" s="847"/>
      <c r="R180" s="696"/>
      <c r="S180" s="847"/>
      <c r="T180" s="696"/>
      <c r="U180" s="847"/>
      <c r="V180" s="696"/>
      <c r="W180" s="847"/>
      <c r="X180" s="696"/>
      <c r="Y180" s="696"/>
      <c r="Z180" s="713"/>
      <c r="AA180" s="696"/>
      <c r="AB180" s="713"/>
      <c r="AC180" s="696"/>
      <c r="AD180" s="713"/>
      <c r="AE180" s="696"/>
      <c r="AF180" s="713"/>
      <c r="AG180" s="696"/>
      <c r="AH180" s="713"/>
      <c r="AI180" s="696"/>
      <c r="AJ180" s="696"/>
      <c r="AK180" s="713"/>
      <c r="AL180" s="696"/>
      <c r="AM180" s="713"/>
      <c r="AN180" s="696"/>
      <c r="AO180" s="713"/>
      <c r="AP180" s="696"/>
      <c r="AQ180" s="713"/>
      <c r="AR180" s="696"/>
      <c r="AS180" s="713"/>
      <c r="AT180" s="696"/>
      <c r="AU180" s="696"/>
      <c r="AV180" s="713"/>
      <c r="AW180" s="696"/>
      <c r="AX180" s="713"/>
      <c r="AY180" s="696"/>
      <c r="AZ180" s="713"/>
      <c r="BA180" s="696"/>
      <c r="BB180" s="713"/>
      <c r="BC180" s="696"/>
      <c r="BD180" s="713"/>
      <c r="BE180" s="696"/>
    </row>
    <row r="181" spans="1:57" s="44" customFormat="1">
      <c r="A181" s="700"/>
      <c r="B181" s="700"/>
      <c r="C181" s="700"/>
      <c r="D181" s="847"/>
      <c r="E181" s="696"/>
      <c r="F181" s="847"/>
      <c r="G181" s="696"/>
      <c r="H181" s="847"/>
      <c r="I181" s="696"/>
      <c r="J181" s="847"/>
      <c r="K181" s="696"/>
      <c r="L181" s="847"/>
      <c r="M181" s="696"/>
      <c r="N181" s="696"/>
      <c r="O181" s="847"/>
      <c r="P181" s="696"/>
      <c r="Q181" s="847"/>
      <c r="R181" s="696"/>
      <c r="S181" s="847"/>
      <c r="T181" s="696"/>
      <c r="U181" s="847"/>
      <c r="V181" s="696"/>
      <c r="W181" s="847"/>
      <c r="X181" s="696"/>
      <c r="Y181" s="696"/>
      <c r="Z181" s="713"/>
      <c r="AA181" s="696"/>
      <c r="AB181" s="713"/>
      <c r="AC181" s="696"/>
      <c r="AD181" s="713"/>
      <c r="AE181" s="696"/>
      <c r="AF181" s="713"/>
      <c r="AG181" s="696"/>
      <c r="AH181" s="713"/>
      <c r="AI181" s="696"/>
      <c r="AJ181" s="696"/>
      <c r="AK181" s="713"/>
      <c r="AL181" s="696"/>
      <c r="AM181" s="713"/>
      <c r="AN181" s="696"/>
      <c r="AO181" s="713"/>
      <c r="AP181" s="696"/>
      <c r="AQ181" s="713"/>
      <c r="AR181" s="696"/>
      <c r="AS181" s="713"/>
      <c r="AT181" s="696"/>
      <c r="AU181" s="696"/>
      <c r="AV181" s="713"/>
      <c r="AW181" s="696"/>
      <c r="AX181" s="713"/>
      <c r="AY181" s="696"/>
      <c r="AZ181" s="713"/>
      <c r="BA181" s="696"/>
      <c r="BB181" s="713"/>
      <c r="BC181" s="696"/>
      <c r="BD181" s="713"/>
      <c r="BE181" s="696"/>
    </row>
    <row r="182" spans="1:57" s="44" customFormat="1">
      <c r="A182" s="700"/>
      <c r="B182" s="700"/>
      <c r="C182" s="700"/>
      <c r="D182" s="847"/>
      <c r="E182" s="696"/>
      <c r="F182" s="847"/>
      <c r="G182" s="696"/>
      <c r="H182" s="847"/>
      <c r="I182" s="696"/>
      <c r="J182" s="847"/>
      <c r="K182" s="696"/>
      <c r="L182" s="847"/>
      <c r="M182" s="696"/>
      <c r="N182" s="696"/>
      <c r="O182" s="847"/>
      <c r="P182" s="696"/>
      <c r="Q182" s="847"/>
      <c r="R182" s="696"/>
      <c r="S182" s="847"/>
      <c r="T182" s="696"/>
      <c r="U182" s="847"/>
      <c r="V182" s="696"/>
      <c r="W182" s="847"/>
      <c r="X182" s="696"/>
      <c r="Y182" s="696"/>
      <c r="Z182" s="713"/>
      <c r="AA182" s="696"/>
      <c r="AB182" s="713"/>
      <c r="AC182" s="696"/>
      <c r="AD182" s="713"/>
      <c r="AE182" s="696"/>
      <c r="AF182" s="713"/>
      <c r="AG182" s="696"/>
      <c r="AH182" s="713"/>
      <c r="AI182" s="696"/>
      <c r="AJ182" s="696"/>
      <c r="AK182" s="713"/>
      <c r="AL182" s="696"/>
      <c r="AM182" s="713"/>
      <c r="AN182" s="696"/>
      <c r="AO182" s="713"/>
      <c r="AP182" s="696"/>
      <c r="AQ182" s="713"/>
      <c r="AR182" s="696"/>
      <c r="AS182" s="713"/>
      <c r="AT182" s="696"/>
      <c r="AU182" s="696"/>
      <c r="AV182" s="713"/>
      <c r="AW182" s="696"/>
      <c r="AX182" s="713"/>
      <c r="AY182" s="696"/>
      <c r="AZ182" s="713"/>
      <c r="BA182" s="696"/>
      <c r="BB182" s="713"/>
      <c r="BC182" s="696"/>
      <c r="BD182" s="713"/>
      <c r="BE182" s="696"/>
    </row>
    <row r="183" spans="1:57" s="44" customFormat="1">
      <c r="A183" s="700"/>
      <c r="B183" s="700"/>
      <c r="C183" s="700"/>
      <c r="D183" s="847"/>
      <c r="E183" s="696"/>
      <c r="F183" s="847"/>
      <c r="G183" s="696"/>
      <c r="H183" s="847"/>
      <c r="I183" s="696"/>
      <c r="J183" s="847"/>
      <c r="K183" s="696"/>
      <c r="L183" s="847"/>
      <c r="M183" s="696"/>
      <c r="N183" s="696"/>
      <c r="O183" s="847"/>
      <c r="P183" s="696"/>
      <c r="Q183" s="847"/>
      <c r="R183" s="696"/>
      <c r="S183" s="847"/>
      <c r="T183" s="696"/>
      <c r="U183" s="847"/>
      <c r="V183" s="696"/>
      <c r="W183" s="847"/>
      <c r="X183" s="696"/>
      <c r="Y183" s="696"/>
      <c r="Z183" s="713"/>
      <c r="AA183" s="696"/>
      <c r="AB183" s="713"/>
      <c r="AC183" s="696"/>
      <c r="AD183" s="713"/>
      <c r="AE183" s="696"/>
      <c r="AF183" s="713"/>
      <c r="AG183" s="696"/>
      <c r="AH183" s="713"/>
      <c r="AI183" s="696"/>
      <c r="AJ183" s="696"/>
      <c r="AK183" s="713"/>
      <c r="AL183" s="696"/>
      <c r="AM183" s="713"/>
      <c r="AN183" s="696"/>
      <c r="AO183" s="713"/>
      <c r="AP183" s="696"/>
      <c r="AQ183" s="713"/>
      <c r="AR183" s="696"/>
      <c r="AS183" s="713"/>
      <c r="AT183" s="696"/>
      <c r="AU183" s="696"/>
      <c r="AV183" s="713"/>
      <c r="AW183" s="696"/>
      <c r="AX183" s="713"/>
      <c r="AY183" s="696"/>
      <c r="AZ183" s="713"/>
      <c r="BA183" s="696"/>
      <c r="BB183" s="713"/>
      <c r="BC183" s="696"/>
      <c r="BD183" s="713"/>
      <c r="BE183" s="696"/>
    </row>
    <row r="184" spans="1:57" s="44" customFormat="1">
      <c r="A184" s="700"/>
      <c r="B184" s="700"/>
      <c r="C184" s="700"/>
      <c r="D184" s="847"/>
      <c r="E184" s="696"/>
      <c r="F184" s="847"/>
      <c r="G184" s="696"/>
      <c r="H184" s="847"/>
      <c r="I184" s="696"/>
      <c r="J184" s="847"/>
      <c r="K184" s="696"/>
      <c r="L184" s="847"/>
      <c r="M184" s="696"/>
      <c r="N184" s="696"/>
      <c r="O184" s="847"/>
      <c r="P184" s="696"/>
      <c r="Q184" s="847"/>
      <c r="R184" s="696"/>
      <c r="S184" s="847"/>
      <c r="T184" s="696"/>
      <c r="U184" s="847"/>
      <c r="V184" s="696"/>
      <c r="W184" s="847"/>
      <c r="X184" s="696"/>
      <c r="Y184" s="696"/>
      <c r="Z184" s="713"/>
      <c r="AA184" s="696"/>
      <c r="AB184" s="713"/>
      <c r="AC184" s="696"/>
      <c r="AD184" s="713"/>
      <c r="AE184" s="696"/>
      <c r="AF184" s="713"/>
      <c r="AG184" s="696"/>
      <c r="AH184" s="713"/>
      <c r="AI184" s="696"/>
      <c r="AJ184" s="696"/>
      <c r="AK184" s="713"/>
      <c r="AL184" s="696"/>
      <c r="AM184" s="713"/>
      <c r="AN184" s="696"/>
      <c r="AO184" s="713"/>
      <c r="AP184" s="696"/>
      <c r="AQ184" s="713"/>
      <c r="AR184" s="696"/>
      <c r="AS184" s="713"/>
      <c r="AT184" s="696"/>
      <c r="AU184" s="696"/>
      <c r="AV184" s="713"/>
      <c r="AW184" s="696"/>
      <c r="AX184" s="713"/>
      <c r="AY184" s="696"/>
      <c r="AZ184" s="713"/>
      <c r="BA184" s="696"/>
      <c r="BB184" s="713"/>
      <c r="BC184" s="696"/>
      <c r="BD184" s="713"/>
      <c r="BE184" s="696"/>
    </row>
    <row r="185" spans="1:57" s="44" customFormat="1">
      <c r="A185" s="700"/>
      <c r="B185" s="700"/>
      <c r="C185" s="700"/>
      <c r="D185" s="847"/>
      <c r="E185" s="696"/>
      <c r="F185" s="847"/>
      <c r="G185" s="696"/>
      <c r="H185" s="847"/>
      <c r="I185" s="696"/>
      <c r="J185" s="847"/>
      <c r="K185" s="696"/>
      <c r="L185" s="847"/>
      <c r="M185" s="696"/>
      <c r="N185" s="696"/>
      <c r="O185" s="847"/>
      <c r="P185" s="696"/>
      <c r="Q185" s="847"/>
      <c r="R185" s="696"/>
      <c r="S185" s="847"/>
      <c r="T185" s="696"/>
      <c r="U185" s="847"/>
      <c r="V185" s="696"/>
      <c r="W185" s="847"/>
      <c r="X185" s="696"/>
      <c r="Y185" s="696"/>
      <c r="Z185" s="713"/>
      <c r="AA185" s="696"/>
      <c r="AB185" s="713"/>
      <c r="AC185" s="696"/>
      <c r="AD185" s="713"/>
      <c r="AE185" s="696"/>
      <c r="AF185" s="713"/>
      <c r="AG185" s="696"/>
      <c r="AH185" s="713"/>
      <c r="AI185" s="696"/>
      <c r="AJ185" s="696"/>
      <c r="AK185" s="713"/>
      <c r="AL185" s="696"/>
      <c r="AM185" s="713"/>
      <c r="AN185" s="696"/>
      <c r="AO185" s="713"/>
      <c r="AP185" s="696"/>
      <c r="AQ185" s="713"/>
      <c r="AR185" s="696"/>
      <c r="AS185" s="713"/>
      <c r="AT185" s="696"/>
      <c r="AU185" s="696"/>
      <c r="AV185" s="713"/>
      <c r="AW185" s="696"/>
      <c r="AX185" s="713"/>
      <c r="AY185" s="696"/>
      <c r="AZ185" s="713"/>
      <c r="BA185" s="696"/>
      <c r="BB185" s="713"/>
      <c r="BC185" s="696"/>
      <c r="BD185" s="713"/>
      <c r="BE185" s="696"/>
    </row>
    <row r="186" spans="1:57" s="44" customFormat="1">
      <c r="A186" s="700"/>
      <c r="B186" s="700"/>
      <c r="C186" s="700"/>
      <c r="D186" s="847"/>
      <c r="E186" s="696"/>
      <c r="F186" s="847"/>
      <c r="G186" s="696"/>
      <c r="H186" s="847"/>
      <c r="I186" s="696"/>
      <c r="J186" s="847"/>
      <c r="K186" s="696"/>
      <c r="L186" s="847"/>
      <c r="M186" s="696"/>
      <c r="N186" s="696"/>
      <c r="O186" s="847"/>
      <c r="P186" s="696"/>
      <c r="Q186" s="847"/>
      <c r="R186" s="696"/>
      <c r="S186" s="847"/>
      <c r="T186" s="696"/>
      <c r="U186" s="847"/>
      <c r="V186" s="696"/>
      <c r="W186" s="847"/>
      <c r="X186" s="696"/>
      <c r="Y186" s="696"/>
      <c r="Z186" s="713"/>
      <c r="AA186" s="696"/>
      <c r="AB186" s="713"/>
      <c r="AC186" s="696"/>
      <c r="AD186" s="713"/>
      <c r="AE186" s="696"/>
      <c r="AF186" s="713"/>
      <c r="AG186" s="696"/>
      <c r="AH186" s="713"/>
      <c r="AI186" s="696"/>
      <c r="AJ186" s="696"/>
      <c r="AK186" s="713"/>
      <c r="AL186" s="696"/>
      <c r="AM186" s="713"/>
      <c r="AN186" s="696"/>
      <c r="AO186" s="713"/>
      <c r="AP186" s="696"/>
      <c r="AQ186" s="713"/>
      <c r="AR186" s="696"/>
      <c r="AS186" s="713"/>
      <c r="AT186" s="696"/>
      <c r="AU186" s="696"/>
      <c r="AV186" s="713"/>
      <c r="AW186" s="696"/>
      <c r="AX186" s="713"/>
      <c r="AY186" s="696"/>
      <c r="AZ186" s="713"/>
      <c r="BA186" s="696"/>
      <c r="BB186" s="713"/>
      <c r="BC186" s="696"/>
      <c r="BD186" s="713"/>
      <c r="BE186" s="696"/>
    </row>
    <row r="187" spans="1:57" s="44" customFormat="1">
      <c r="A187" s="700"/>
      <c r="B187" s="700"/>
      <c r="C187" s="700"/>
      <c r="D187" s="847"/>
      <c r="E187" s="696"/>
      <c r="F187" s="847"/>
      <c r="G187" s="696"/>
      <c r="H187" s="847"/>
      <c r="I187" s="696"/>
      <c r="J187" s="847"/>
      <c r="K187" s="696"/>
      <c r="L187" s="847"/>
      <c r="M187" s="696"/>
      <c r="N187" s="696"/>
      <c r="O187" s="847"/>
      <c r="P187" s="696"/>
      <c r="Q187" s="847"/>
      <c r="R187" s="696"/>
      <c r="S187" s="847"/>
      <c r="T187" s="696"/>
      <c r="U187" s="847"/>
      <c r="V187" s="696"/>
      <c r="W187" s="847"/>
      <c r="X187" s="696"/>
      <c r="Y187" s="696"/>
      <c r="Z187" s="713"/>
      <c r="AA187" s="696"/>
      <c r="AB187" s="713"/>
      <c r="AC187" s="696"/>
      <c r="AD187" s="713"/>
      <c r="AE187" s="696"/>
      <c r="AF187" s="713"/>
      <c r="AG187" s="696"/>
      <c r="AH187" s="713"/>
      <c r="AI187" s="696"/>
      <c r="AJ187" s="696"/>
      <c r="AK187" s="713"/>
      <c r="AL187" s="696"/>
      <c r="AM187" s="713"/>
      <c r="AN187" s="696"/>
      <c r="AO187" s="713"/>
      <c r="AP187" s="696"/>
      <c r="AQ187" s="713"/>
      <c r="AR187" s="696"/>
      <c r="AS187" s="713"/>
      <c r="AT187" s="696"/>
      <c r="AU187" s="696"/>
      <c r="AV187" s="713"/>
      <c r="AW187" s="696"/>
      <c r="AX187" s="713"/>
      <c r="AY187" s="696"/>
      <c r="AZ187" s="713"/>
      <c r="BA187" s="696"/>
      <c r="BB187" s="713"/>
      <c r="BC187" s="696"/>
      <c r="BD187" s="713"/>
      <c r="BE187" s="696"/>
    </row>
    <row r="188" spans="1:57" s="44" customFormat="1">
      <c r="A188" s="700"/>
      <c r="B188" s="700"/>
      <c r="C188" s="700"/>
      <c r="D188" s="847"/>
      <c r="E188" s="696"/>
      <c r="F188" s="847"/>
      <c r="G188" s="696"/>
      <c r="H188" s="847"/>
      <c r="I188" s="696"/>
      <c r="J188" s="847"/>
      <c r="K188" s="696"/>
      <c r="L188" s="847"/>
      <c r="M188" s="696"/>
      <c r="N188" s="696"/>
      <c r="O188" s="847"/>
      <c r="P188" s="696"/>
      <c r="Q188" s="847"/>
      <c r="R188" s="696"/>
      <c r="S188" s="847"/>
      <c r="T188" s="696"/>
      <c r="U188" s="847"/>
      <c r="V188" s="696"/>
      <c r="W188" s="847"/>
      <c r="X188" s="696"/>
      <c r="Y188" s="696"/>
      <c r="Z188" s="713"/>
      <c r="AA188" s="696"/>
      <c r="AB188" s="713"/>
      <c r="AC188" s="696"/>
      <c r="AD188" s="713"/>
      <c r="AE188" s="696"/>
      <c r="AF188" s="713"/>
      <c r="AG188" s="696"/>
      <c r="AH188" s="713"/>
      <c r="AI188" s="696"/>
      <c r="AJ188" s="696"/>
      <c r="AK188" s="713"/>
      <c r="AL188" s="696"/>
      <c r="AM188" s="713"/>
      <c r="AN188" s="696"/>
      <c r="AO188" s="713"/>
      <c r="AP188" s="696"/>
      <c r="AQ188" s="713"/>
      <c r="AR188" s="696"/>
      <c r="AS188" s="713"/>
      <c r="AT188" s="696"/>
      <c r="AU188" s="696"/>
      <c r="AV188" s="713"/>
      <c r="AW188" s="696"/>
      <c r="AX188" s="713"/>
      <c r="AY188" s="696"/>
      <c r="AZ188" s="713"/>
      <c r="BA188" s="696"/>
      <c r="BB188" s="713"/>
      <c r="BC188" s="696"/>
      <c r="BD188" s="713"/>
      <c r="BE188" s="696"/>
    </row>
    <row r="189" spans="1:57" s="44" customFormat="1">
      <c r="A189" s="700"/>
      <c r="B189" s="700"/>
      <c r="C189" s="700"/>
      <c r="D189" s="847"/>
      <c r="E189" s="696"/>
      <c r="F189" s="847"/>
      <c r="G189" s="696"/>
      <c r="H189" s="847"/>
      <c r="I189" s="696"/>
      <c r="J189" s="847"/>
      <c r="K189" s="696"/>
      <c r="L189" s="847"/>
      <c r="M189" s="696"/>
      <c r="N189" s="696"/>
      <c r="O189" s="847"/>
      <c r="P189" s="696"/>
      <c r="Q189" s="847"/>
      <c r="R189" s="696"/>
      <c r="S189" s="847"/>
      <c r="T189" s="696"/>
      <c r="U189" s="847"/>
      <c r="V189" s="696"/>
      <c r="W189" s="847"/>
      <c r="X189" s="696"/>
      <c r="Y189" s="696"/>
      <c r="Z189" s="713"/>
      <c r="AA189" s="696"/>
      <c r="AB189" s="713"/>
      <c r="AC189" s="696"/>
      <c r="AD189" s="713"/>
      <c r="AE189" s="696"/>
      <c r="AF189" s="713"/>
      <c r="AG189" s="696"/>
      <c r="AH189" s="713"/>
      <c r="AI189" s="696"/>
      <c r="AJ189" s="696"/>
      <c r="AK189" s="713"/>
      <c r="AL189" s="696"/>
      <c r="AM189" s="713"/>
      <c r="AN189" s="696"/>
      <c r="AO189" s="713"/>
      <c r="AP189" s="696"/>
      <c r="AQ189" s="713"/>
      <c r="AR189" s="696"/>
      <c r="AS189" s="713"/>
      <c r="AT189" s="696"/>
      <c r="AU189" s="696"/>
      <c r="AV189" s="713"/>
      <c r="AW189" s="696"/>
      <c r="AX189" s="713"/>
      <c r="AY189" s="696"/>
      <c r="AZ189" s="713"/>
      <c r="BA189" s="696"/>
      <c r="BB189" s="713"/>
      <c r="BC189" s="696"/>
      <c r="BD189" s="713"/>
      <c r="BE189" s="696"/>
    </row>
    <row r="190" spans="1:57" s="44" customFormat="1">
      <c r="A190" s="700"/>
      <c r="B190" s="700"/>
      <c r="C190" s="700"/>
      <c r="D190" s="847"/>
      <c r="E190" s="696"/>
      <c r="F190" s="847"/>
      <c r="G190" s="696"/>
      <c r="H190" s="847"/>
      <c r="I190" s="696"/>
      <c r="J190" s="847"/>
      <c r="K190" s="696"/>
      <c r="L190" s="847"/>
      <c r="M190" s="696"/>
      <c r="N190" s="696"/>
      <c r="O190" s="847"/>
      <c r="P190" s="696"/>
      <c r="Q190" s="847"/>
      <c r="R190" s="696"/>
      <c r="S190" s="847"/>
      <c r="T190" s="696"/>
      <c r="U190" s="847"/>
      <c r="V190" s="696"/>
      <c r="W190" s="847"/>
      <c r="X190" s="696"/>
      <c r="Y190" s="696"/>
      <c r="Z190" s="713"/>
      <c r="AA190" s="696"/>
      <c r="AB190" s="713"/>
      <c r="AC190" s="696"/>
      <c r="AD190" s="713"/>
      <c r="AE190" s="696"/>
      <c r="AF190" s="713"/>
      <c r="AG190" s="696"/>
      <c r="AH190" s="713"/>
      <c r="AI190" s="696"/>
      <c r="AJ190" s="696"/>
      <c r="AK190" s="713"/>
      <c r="AL190" s="696"/>
      <c r="AM190" s="713"/>
      <c r="AN190" s="696"/>
      <c r="AO190" s="713"/>
      <c r="AP190" s="696"/>
      <c r="AQ190" s="713"/>
      <c r="AR190" s="696"/>
      <c r="AS190" s="713"/>
      <c r="AT190" s="696"/>
      <c r="AU190" s="696"/>
      <c r="AV190" s="713"/>
      <c r="AW190" s="696"/>
      <c r="AX190" s="713"/>
      <c r="AY190" s="696"/>
      <c r="AZ190" s="713"/>
      <c r="BA190" s="696"/>
      <c r="BB190" s="713"/>
      <c r="BC190" s="696"/>
      <c r="BD190" s="713"/>
      <c r="BE190" s="696"/>
    </row>
    <row r="191" spans="1:57" s="44" customFormat="1">
      <c r="A191" s="700"/>
      <c r="B191" s="700"/>
      <c r="C191" s="700"/>
      <c r="D191" s="847"/>
      <c r="E191" s="696"/>
      <c r="F191" s="847"/>
      <c r="G191" s="696"/>
      <c r="H191" s="847"/>
      <c r="I191" s="696"/>
      <c r="J191" s="847"/>
      <c r="K191" s="696"/>
      <c r="L191" s="847"/>
      <c r="M191" s="696"/>
      <c r="N191" s="696"/>
      <c r="O191" s="847"/>
      <c r="P191" s="696"/>
      <c r="Q191" s="847"/>
      <c r="R191" s="696"/>
      <c r="S191" s="847"/>
      <c r="T191" s="696"/>
      <c r="U191" s="847"/>
      <c r="V191" s="696"/>
      <c r="W191" s="847"/>
      <c r="X191" s="696"/>
      <c r="Y191" s="696"/>
      <c r="Z191" s="713"/>
      <c r="AA191" s="696"/>
      <c r="AB191" s="713"/>
      <c r="AC191" s="696"/>
      <c r="AD191" s="713"/>
      <c r="AE191" s="696"/>
      <c r="AF191" s="713"/>
      <c r="AG191" s="696"/>
      <c r="AH191" s="713"/>
      <c r="AI191" s="696"/>
      <c r="AJ191" s="696"/>
      <c r="AK191" s="713"/>
      <c r="AL191" s="696"/>
      <c r="AM191" s="713"/>
      <c r="AN191" s="696"/>
      <c r="AO191" s="713"/>
      <c r="AP191" s="696"/>
      <c r="AQ191" s="713"/>
      <c r="AR191" s="696"/>
      <c r="AS191" s="713"/>
      <c r="AT191" s="696"/>
      <c r="AU191" s="696"/>
      <c r="AV191" s="713"/>
      <c r="AW191" s="696"/>
      <c r="AX191" s="713"/>
      <c r="AY191" s="696"/>
      <c r="AZ191" s="713"/>
      <c r="BA191" s="696"/>
      <c r="BB191" s="713"/>
      <c r="BC191" s="696"/>
      <c r="BD191" s="713"/>
      <c r="BE191" s="696"/>
    </row>
    <row r="192" spans="1:57" s="44" customFormat="1">
      <c r="A192" s="700"/>
      <c r="B192" s="700"/>
      <c r="C192" s="700"/>
      <c r="D192" s="847"/>
      <c r="E192" s="696"/>
      <c r="F192" s="847"/>
      <c r="G192" s="696"/>
      <c r="H192" s="847"/>
      <c r="I192" s="696"/>
      <c r="J192" s="847"/>
      <c r="K192" s="696"/>
      <c r="L192" s="847"/>
      <c r="M192" s="696"/>
      <c r="N192" s="696"/>
      <c r="O192" s="847"/>
      <c r="P192" s="696"/>
      <c r="Q192" s="847"/>
      <c r="R192" s="696"/>
      <c r="S192" s="847"/>
      <c r="T192" s="696"/>
      <c r="U192" s="847"/>
      <c r="V192" s="696"/>
      <c r="W192" s="847"/>
      <c r="X192" s="696"/>
      <c r="Y192" s="696"/>
      <c r="Z192" s="713"/>
      <c r="AA192" s="696"/>
      <c r="AB192" s="713"/>
      <c r="AC192" s="696"/>
      <c r="AD192" s="713"/>
      <c r="AE192" s="696"/>
      <c r="AF192" s="713"/>
      <c r="AG192" s="696"/>
      <c r="AH192" s="713"/>
      <c r="AI192" s="696"/>
      <c r="AJ192" s="696"/>
      <c r="AK192" s="713"/>
      <c r="AL192" s="696"/>
      <c r="AM192" s="713"/>
      <c r="AN192" s="696"/>
      <c r="AO192" s="713"/>
      <c r="AP192" s="696"/>
      <c r="AQ192" s="713"/>
      <c r="AR192" s="696"/>
      <c r="AS192" s="713"/>
      <c r="AT192" s="696"/>
      <c r="AU192" s="696"/>
      <c r="AV192" s="713"/>
      <c r="AW192" s="696"/>
      <c r="AX192" s="713"/>
      <c r="AY192" s="696"/>
      <c r="AZ192" s="713"/>
      <c r="BA192" s="696"/>
      <c r="BB192" s="713"/>
      <c r="BC192" s="696"/>
      <c r="BD192" s="713"/>
      <c r="BE192" s="696"/>
    </row>
    <row r="193" spans="1:57" s="44" customFormat="1">
      <c r="A193" s="700"/>
      <c r="B193" s="700"/>
      <c r="C193" s="700"/>
      <c r="D193" s="847"/>
      <c r="E193" s="696"/>
      <c r="F193" s="847"/>
      <c r="G193" s="696"/>
      <c r="H193" s="847"/>
      <c r="I193" s="696"/>
      <c r="J193" s="847"/>
      <c r="K193" s="696"/>
      <c r="L193" s="847"/>
      <c r="M193" s="696"/>
      <c r="N193" s="696"/>
      <c r="O193" s="847"/>
      <c r="P193" s="696"/>
      <c r="Q193" s="847"/>
      <c r="R193" s="696"/>
      <c r="S193" s="847"/>
      <c r="T193" s="696"/>
      <c r="U193" s="847"/>
      <c r="V193" s="696"/>
      <c r="W193" s="847"/>
      <c r="X193" s="696"/>
      <c r="Y193" s="696"/>
      <c r="Z193" s="713"/>
      <c r="AA193" s="696"/>
      <c r="AB193" s="713"/>
      <c r="AC193" s="696"/>
      <c r="AD193" s="713"/>
      <c r="AE193" s="696"/>
      <c r="AF193" s="713"/>
      <c r="AG193" s="696"/>
      <c r="AH193" s="713"/>
      <c r="AI193" s="696"/>
      <c r="AJ193" s="696"/>
      <c r="AK193" s="713"/>
      <c r="AL193" s="696"/>
      <c r="AM193" s="713"/>
      <c r="AN193" s="696"/>
      <c r="AO193" s="713"/>
      <c r="AP193" s="696"/>
      <c r="AQ193" s="713"/>
      <c r="AR193" s="696"/>
      <c r="AS193" s="713"/>
      <c r="AT193" s="696"/>
      <c r="AU193" s="696"/>
      <c r="AV193" s="713"/>
      <c r="AW193" s="696"/>
      <c r="AX193" s="713"/>
      <c r="AY193" s="696"/>
      <c r="AZ193" s="713"/>
      <c r="BA193" s="696"/>
      <c r="BB193" s="713"/>
      <c r="BC193" s="696"/>
      <c r="BD193" s="713"/>
      <c r="BE193" s="696"/>
    </row>
    <row r="194" spans="1:57" s="44" customFormat="1">
      <c r="A194" s="700"/>
      <c r="B194" s="700"/>
      <c r="C194" s="700"/>
      <c r="D194" s="847"/>
      <c r="E194" s="696"/>
      <c r="F194" s="847"/>
      <c r="G194" s="696"/>
      <c r="H194" s="847"/>
      <c r="I194" s="696"/>
      <c r="J194" s="847"/>
      <c r="K194" s="696"/>
      <c r="L194" s="847"/>
      <c r="M194" s="696"/>
      <c r="N194" s="696"/>
      <c r="O194" s="847"/>
      <c r="P194" s="696"/>
      <c r="Q194" s="847"/>
      <c r="R194" s="696"/>
      <c r="S194" s="847"/>
      <c r="T194" s="696"/>
      <c r="U194" s="847"/>
      <c r="V194" s="696"/>
      <c r="W194" s="847"/>
      <c r="X194" s="696"/>
      <c r="Y194" s="696"/>
      <c r="Z194" s="713"/>
      <c r="AA194" s="696"/>
      <c r="AB194" s="713"/>
      <c r="AC194" s="696"/>
      <c r="AD194" s="713"/>
      <c r="AE194" s="696"/>
      <c r="AF194" s="713"/>
      <c r="AG194" s="696"/>
      <c r="AH194" s="713"/>
      <c r="AI194" s="696"/>
      <c r="AJ194" s="696"/>
      <c r="AK194" s="713"/>
      <c r="AL194" s="696"/>
      <c r="AM194" s="713"/>
      <c r="AN194" s="696"/>
      <c r="AO194" s="713"/>
      <c r="AP194" s="696"/>
      <c r="AQ194" s="713"/>
      <c r="AR194" s="696"/>
      <c r="AS194" s="713"/>
      <c r="AT194" s="696"/>
      <c r="AU194" s="696"/>
      <c r="AV194" s="713"/>
      <c r="AW194" s="696"/>
      <c r="AX194" s="713"/>
      <c r="AY194" s="696"/>
      <c r="AZ194" s="713"/>
      <c r="BA194" s="696"/>
      <c r="BB194" s="713"/>
      <c r="BC194" s="696"/>
      <c r="BD194" s="713"/>
      <c r="BE194" s="696"/>
    </row>
    <row r="195" spans="1:57" s="44" customFormat="1">
      <c r="A195" s="700"/>
      <c r="B195" s="700"/>
      <c r="C195" s="700"/>
      <c r="D195" s="847"/>
      <c r="E195" s="696"/>
      <c r="F195" s="847"/>
      <c r="G195" s="696"/>
      <c r="H195" s="847"/>
      <c r="I195" s="696"/>
      <c r="J195" s="847"/>
      <c r="K195" s="696"/>
      <c r="L195" s="847"/>
      <c r="M195" s="696"/>
      <c r="N195" s="696"/>
      <c r="O195" s="847"/>
      <c r="P195" s="696"/>
      <c r="Q195" s="847"/>
      <c r="R195" s="696"/>
      <c r="S195" s="847"/>
      <c r="T195" s="696"/>
      <c r="U195" s="847"/>
      <c r="V195" s="696"/>
      <c r="W195" s="847"/>
      <c r="X195" s="696"/>
      <c r="Y195" s="696"/>
      <c r="Z195" s="713"/>
      <c r="AA195" s="696"/>
      <c r="AB195" s="713"/>
      <c r="AC195" s="696"/>
      <c r="AD195" s="713"/>
      <c r="AE195" s="696"/>
      <c r="AF195" s="713"/>
      <c r="AG195" s="696"/>
      <c r="AH195" s="713"/>
      <c r="AI195" s="696"/>
      <c r="AJ195" s="696"/>
      <c r="AK195" s="713"/>
      <c r="AL195" s="696"/>
      <c r="AM195" s="713"/>
      <c r="AN195" s="696"/>
      <c r="AO195" s="713"/>
      <c r="AP195" s="696"/>
      <c r="AQ195" s="713"/>
      <c r="AR195" s="696"/>
      <c r="AS195" s="713"/>
      <c r="AT195" s="696"/>
      <c r="AU195" s="696"/>
      <c r="AV195" s="713"/>
      <c r="AW195" s="696"/>
      <c r="AX195" s="713"/>
      <c r="AY195" s="696"/>
      <c r="AZ195" s="713"/>
      <c r="BA195" s="696"/>
      <c r="BB195" s="713"/>
      <c r="BC195" s="696"/>
      <c r="BD195" s="713"/>
      <c r="BE195" s="696"/>
    </row>
    <row r="196" spans="1:57" s="44" customFormat="1">
      <c r="A196" s="700"/>
      <c r="B196" s="700"/>
      <c r="C196" s="700"/>
      <c r="D196" s="847"/>
      <c r="E196" s="696"/>
      <c r="F196" s="847"/>
      <c r="G196" s="696"/>
      <c r="H196" s="847"/>
      <c r="I196" s="696"/>
      <c r="J196" s="847"/>
      <c r="K196" s="696"/>
      <c r="L196" s="847"/>
      <c r="M196" s="696"/>
      <c r="N196" s="696"/>
      <c r="O196" s="847"/>
      <c r="P196" s="696"/>
      <c r="Q196" s="847"/>
      <c r="R196" s="696"/>
      <c r="S196" s="847"/>
      <c r="T196" s="696"/>
      <c r="U196" s="847"/>
      <c r="V196" s="696"/>
      <c r="W196" s="847"/>
      <c r="X196" s="696"/>
      <c r="Y196" s="696"/>
      <c r="Z196" s="713"/>
      <c r="AA196" s="696"/>
      <c r="AB196" s="713"/>
      <c r="AC196" s="696"/>
      <c r="AD196" s="713"/>
      <c r="AE196" s="696"/>
      <c r="AF196" s="713"/>
      <c r="AG196" s="696"/>
      <c r="AH196" s="713"/>
      <c r="AI196" s="696"/>
      <c r="AJ196" s="696"/>
      <c r="AK196" s="713"/>
      <c r="AL196" s="696"/>
      <c r="AM196" s="713"/>
      <c r="AN196" s="696"/>
      <c r="AO196" s="713"/>
      <c r="AP196" s="696"/>
      <c r="AQ196" s="713"/>
      <c r="AR196" s="696"/>
      <c r="AS196" s="713"/>
      <c r="AT196" s="696"/>
      <c r="AU196" s="696"/>
      <c r="AV196" s="713"/>
      <c r="AW196" s="696"/>
      <c r="AX196" s="713"/>
      <c r="AY196" s="696"/>
      <c r="AZ196" s="713"/>
      <c r="BA196" s="696"/>
      <c r="BB196" s="713"/>
      <c r="BC196" s="696"/>
      <c r="BD196" s="713"/>
      <c r="BE196" s="696"/>
    </row>
    <row r="197" spans="1:57" s="44" customFormat="1">
      <c r="A197" s="700"/>
      <c r="B197" s="700"/>
      <c r="C197" s="700"/>
      <c r="D197" s="847"/>
      <c r="E197" s="696"/>
      <c r="F197" s="847"/>
      <c r="G197" s="696"/>
      <c r="H197" s="847"/>
      <c r="I197" s="696"/>
      <c r="J197" s="847"/>
      <c r="K197" s="696"/>
      <c r="L197" s="847"/>
      <c r="M197" s="696"/>
      <c r="N197" s="696"/>
      <c r="O197" s="847"/>
      <c r="P197" s="696"/>
      <c r="Q197" s="847"/>
      <c r="R197" s="696"/>
      <c r="S197" s="847"/>
      <c r="T197" s="696"/>
      <c r="U197" s="847"/>
      <c r="V197" s="696"/>
      <c r="W197" s="847"/>
      <c r="X197" s="696"/>
      <c r="Y197" s="696"/>
      <c r="Z197" s="713"/>
      <c r="AA197" s="696"/>
      <c r="AB197" s="713"/>
      <c r="AC197" s="696"/>
      <c r="AD197" s="713"/>
      <c r="AE197" s="696"/>
      <c r="AF197" s="713"/>
      <c r="AG197" s="696"/>
      <c r="AH197" s="713"/>
      <c r="AI197" s="696"/>
      <c r="AJ197" s="696"/>
      <c r="AK197" s="713"/>
      <c r="AL197" s="696"/>
      <c r="AM197" s="713"/>
      <c r="AN197" s="696"/>
      <c r="AO197" s="713"/>
      <c r="AP197" s="696"/>
      <c r="AQ197" s="713"/>
      <c r="AR197" s="696"/>
      <c r="AS197" s="713"/>
      <c r="AT197" s="696"/>
      <c r="AU197" s="696"/>
      <c r="AV197" s="713"/>
      <c r="AW197" s="696"/>
      <c r="AX197" s="713"/>
      <c r="AY197" s="696"/>
      <c r="AZ197" s="713"/>
      <c r="BA197" s="696"/>
      <c r="BB197" s="713"/>
      <c r="BC197" s="696"/>
      <c r="BD197" s="713"/>
      <c r="BE197" s="696"/>
    </row>
    <row r="198" spans="1:57" s="44" customFormat="1">
      <c r="A198" s="700"/>
      <c r="B198" s="700"/>
      <c r="C198" s="700"/>
      <c r="D198" s="847"/>
      <c r="E198" s="696"/>
      <c r="F198" s="847"/>
      <c r="G198" s="696"/>
      <c r="H198" s="847"/>
      <c r="I198" s="696"/>
      <c r="J198" s="847"/>
      <c r="K198" s="696"/>
      <c r="L198" s="847"/>
      <c r="M198" s="696"/>
      <c r="N198" s="696"/>
      <c r="O198" s="847"/>
      <c r="P198" s="696"/>
      <c r="Q198" s="847"/>
      <c r="R198" s="696"/>
      <c r="S198" s="847"/>
      <c r="T198" s="696"/>
      <c r="U198" s="847"/>
      <c r="V198" s="696"/>
      <c r="W198" s="847"/>
      <c r="X198" s="696"/>
      <c r="Y198" s="696"/>
      <c r="Z198" s="713"/>
      <c r="AA198" s="696"/>
      <c r="AB198" s="713"/>
      <c r="AC198" s="696"/>
      <c r="AD198" s="713"/>
      <c r="AE198" s="696"/>
      <c r="AF198" s="713"/>
      <c r="AG198" s="696"/>
      <c r="AH198" s="713"/>
      <c r="AI198" s="696"/>
      <c r="AJ198" s="696"/>
      <c r="AK198" s="713"/>
      <c r="AL198" s="696"/>
      <c r="AM198" s="713"/>
      <c r="AN198" s="696"/>
      <c r="AO198" s="713"/>
      <c r="AP198" s="696"/>
      <c r="AQ198" s="713"/>
      <c r="AR198" s="696"/>
      <c r="AS198" s="713"/>
      <c r="AT198" s="696"/>
      <c r="AU198" s="696"/>
      <c r="AV198" s="713"/>
      <c r="AW198" s="696"/>
      <c r="AX198" s="713"/>
      <c r="AY198" s="696"/>
      <c r="AZ198" s="713"/>
      <c r="BA198" s="696"/>
      <c r="BB198" s="713"/>
      <c r="BC198" s="696"/>
      <c r="BD198" s="713"/>
      <c r="BE198" s="696"/>
    </row>
    <row r="199" spans="1:57" s="44" customFormat="1">
      <c r="A199" s="700"/>
      <c r="B199" s="700"/>
      <c r="C199" s="700"/>
      <c r="D199" s="847"/>
      <c r="E199" s="696"/>
      <c r="F199" s="847"/>
      <c r="G199" s="696"/>
      <c r="H199" s="847"/>
      <c r="I199" s="696"/>
      <c r="J199" s="847"/>
      <c r="K199" s="696"/>
      <c r="L199" s="847"/>
      <c r="M199" s="696"/>
      <c r="N199" s="696"/>
      <c r="O199" s="847"/>
      <c r="P199" s="696"/>
      <c r="Q199" s="847"/>
      <c r="R199" s="696"/>
      <c r="S199" s="847"/>
      <c r="T199" s="696"/>
      <c r="U199" s="847"/>
      <c r="V199" s="696"/>
      <c r="W199" s="847"/>
      <c r="X199" s="696"/>
      <c r="Y199" s="696"/>
      <c r="Z199" s="713"/>
      <c r="AA199" s="696"/>
      <c r="AB199" s="713"/>
      <c r="AC199" s="696"/>
      <c r="AD199" s="713"/>
      <c r="AE199" s="696"/>
      <c r="AF199" s="713"/>
      <c r="AG199" s="696"/>
      <c r="AH199" s="713"/>
      <c r="AI199" s="696"/>
      <c r="AJ199" s="696"/>
      <c r="AK199" s="713"/>
      <c r="AL199" s="696"/>
      <c r="AM199" s="713"/>
      <c r="AN199" s="696"/>
      <c r="AO199" s="713"/>
      <c r="AP199" s="696"/>
      <c r="AQ199" s="713"/>
      <c r="AR199" s="696"/>
      <c r="AS199" s="713"/>
      <c r="AT199" s="696"/>
      <c r="AU199" s="696"/>
      <c r="AV199" s="713"/>
      <c r="AW199" s="696"/>
      <c r="AX199" s="713"/>
      <c r="AY199" s="696"/>
      <c r="AZ199" s="713"/>
      <c r="BA199" s="696"/>
      <c r="BB199" s="713"/>
      <c r="BC199" s="696"/>
      <c r="BD199" s="713"/>
      <c r="BE199" s="696"/>
    </row>
    <row r="200" spans="1:57" s="44" customFormat="1">
      <c r="A200" s="700"/>
      <c r="B200" s="700"/>
      <c r="C200" s="700"/>
      <c r="D200" s="847"/>
      <c r="E200" s="696"/>
      <c r="F200" s="847"/>
      <c r="G200" s="696"/>
      <c r="H200" s="847"/>
      <c r="I200" s="696"/>
      <c r="J200" s="847"/>
      <c r="K200" s="696"/>
      <c r="L200" s="847"/>
      <c r="M200" s="696"/>
      <c r="N200" s="696"/>
      <c r="O200" s="847"/>
      <c r="P200" s="696"/>
      <c r="Q200" s="847"/>
      <c r="R200" s="696"/>
      <c r="S200" s="847"/>
      <c r="T200" s="696"/>
      <c r="U200" s="847"/>
      <c r="V200" s="696"/>
      <c r="W200" s="847"/>
      <c r="X200" s="696"/>
      <c r="Y200" s="696"/>
      <c r="Z200" s="713"/>
      <c r="AA200" s="696"/>
      <c r="AB200" s="713"/>
      <c r="AC200" s="696"/>
      <c r="AD200" s="713"/>
      <c r="AE200" s="696"/>
      <c r="AF200" s="713"/>
      <c r="AG200" s="696"/>
      <c r="AH200" s="713"/>
      <c r="AI200" s="696"/>
      <c r="AJ200" s="696"/>
      <c r="AK200" s="713"/>
      <c r="AL200" s="696"/>
      <c r="AM200" s="713"/>
      <c r="AN200" s="696"/>
      <c r="AO200" s="713"/>
      <c r="AP200" s="696"/>
      <c r="AQ200" s="713"/>
      <c r="AR200" s="696"/>
      <c r="AS200" s="713"/>
      <c r="AT200" s="696"/>
      <c r="AU200" s="696"/>
      <c r="AV200" s="713"/>
      <c r="AW200" s="696"/>
      <c r="AX200" s="713"/>
      <c r="AY200" s="696"/>
      <c r="AZ200" s="713"/>
      <c r="BA200" s="696"/>
      <c r="BB200" s="713"/>
      <c r="BC200" s="696"/>
      <c r="BD200" s="713"/>
      <c r="BE200" s="696"/>
    </row>
    <row r="201" spans="1:57" s="44" customFormat="1">
      <c r="A201" s="700"/>
      <c r="B201" s="700"/>
      <c r="C201" s="700"/>
      <c r="D201" s="847"/>
      <c r="E201" s="696"/>
      <c r="F201" s="847"/>
      <c r="G201" s="696"/>
      <c r="H201" s="847"/>
      <c r="I201" s="696"/>
      <c r="J201" s="847"/>
      <c r="K201" s="696"/>
      <c r="L201" s="847"/>
      <c r="M201" s="696"/>
      <c r="N201" s="696"/>
      <c r="O201" s="847"/>
      <c r="P201" s="696"/>
      <c r="Q201" s="847"/>
      <c r="R201" s="696"/>
      <c r="S201" s="847"/>
      <c r="T201" s="696"/>
      <c r="U201" s="847"/>
      <c r="V201" s="696"/>
      <c r="W201" s="847"/>
      <c r="X201" s="696"/>
      <c r="Y201" s="696"/>
      <c r="Z201" s="713"/>
      <c r="AA201" s="696"/>
      <c r="AB201" s="713"/>
      <c r="AC201" s="696"/>
      <c r="AD201" s="713"/>
      <c r="AE201" s="696"/>
      <c r="AF201" s="713"/>
      <c r="AG201" s="696"/>
      <c r="AH201" s="713"/>
      <c r="AI201" s="696"/>
      <c r="AJ201" s="696"/>
      <c r="AK201" s="713"/>
      <c r="AL201" s="696"/>
      <c r="AM201" s="713"/>
      <c r="AN201" s="696"/>
      <c r="AO201" s="713"/>
      <c r="AP201" s="696"/>
      <c r="AQ201" s="713"/>
      <c r="AR201" s="696"/>
      <c r="AS201" s="713"/>
      <c r="AT201" s="696"/>
      <c r="AU201" s="696"/>
      <c r="AV201" s="713"/>
      <c r="AW201" s="696"/>
      <c r="AX201" s="713"/>
      <c r="AY201" s="696"/>
      <c r="AZ201" s="713"/>
      <c r="BA201" s="696"/>
      <c r="BB201" s="713"/>
      <c r="BC201" s="696"/>
      <c r="BD201" s="713"/>
      <c r="BE201" s="696"/>
    </row>
    <row r="202" spans="1:57" s="44" customFormat="1">
      <c r="A202" s="700"/>
      <c r="B202" s="700"/>
      <c r="C202" s="700"/>
      <c r="D202" s="847"/>
      <c r="E202" s="696"/>
      <c r="F202" s="847"/>
      <c r="G202" s="696"/>
      <c r="H202" s="847"/>
      <c r="I202" s="696"/>
      <c r="J202" s="847"/>
      <c r="K202" s="696"/>
      <c r="L202" s="847"/>
      <c r="M202" s="696"/>
      <c r="N202" s="696"/>
      <c r="O202" s="847"/>
      <c r="P202" s="696"/>
      <c r="Q202" s="847"/>
      <c r="R202" s="696"/>
      <c r="S202" s="847"/>
      <c r="T202" s="696"/>
      <c r="U202" s="847"/>
      <c r="V202" s="696"/>
      <c r="W202" s="847"/>
      <c r="X202" s="696"/>
      <c r="Y202" s="696"/>
      <c r="Z202" s="713"/>
      <c r="AA202" s="696"/>
      <c r="AB202" s="713"/>
      <c r="AC202" s="696"/>
      <c r="AD202" s="713"/>
      <c r="AE202" s="696"/>
      <c r="AF202" s="713"/>
      <c r="AG202" s="696"/>
      <c r="AH202" s="713"/>
      <c r="AI202" s="696"/>
      <c r="AJ202" s="696"/>
      <c r="AK202" s="713"/>
      <c r="AL202" s="696"/>
      <c r="AM202" s="713"/>
      <c r="AN202" s="696"/>
      <c r="AO202" s="713"/>
      <c r="AP202" s="696"/>
      <c r="AQ202" s="713"/>
      <c r="AR202" s="696"/>
      <c r="AS202" s="713"/>
      <c r="AT202" s="696"/>
      <c r="AU202" s="696"/>
      <c r="AV202" s="713"/>
      <c r="AW202" s="696"/>
      <c r="AX202" s="713"/>
      <c r="AY202" s="696"/>
      <c r="AZ202" s="713"/>
      <c r="BA202" s="696"/>
      <c r="BB202" s="713"/>
      <c r="BC202" s="696"/>
      <c r="BD202" s="713"/>
      <c r="BE202" s="696"/>
    </row>
    <row r="203" spans="1:57" s="44" customFormat="1">
      <c r="A203" s="700"/>
      <c r="B203" s="700"/>
      <c r="C203" s="700"/>
      <c r="D203" s="847"/>
      <c r="E203" s="696"/>
      <c r="F203" s="847"/>
      <c r="G203" s="696"/>
      <c r="H203" s="847"/>
      <c r="I203" s="696"/>
      <c r="J203" s="847"/>
      <c r="K203" s="696"/>
      <c r="L203" s="847"/>
      <c r="M203" s="696"/>
      <c r="N203" s="696"/>
      <c r="O203" s="847"/>
      <c r="P203" s="696"/>
      <c r="Q203" s="847"/>
      <c r="R203" s="696"/>
      <c r="S203" s="847"/>
      <c r="T203" s="696"/>
      <c r="U203" s="847"/>
      <c r="V203" s="696"/>
      <c r="W203" s="847"/>
      <c r="X203" s="696"/>
      <c r="Y203" s="696"/>
      <c r="Z203" s="713"/>
      <c r="AA203" s="696"/>
      <c r="AB203" s="713"/>
      <c r="AC203" s="696"/>
      <c r="AD203" s="713"/>
      <c r="AE203" s="696"/>
      <c r="AF203" s="713"/>
      <c r="AG203" s="696"/>
      <c r="AH203" s="713"/>
      <c r="AI203" s="696"/>
      <c r="AJ203" s="696"/>
      <c r="AK203" s="713"/>
      <c r="AL203" s="696"/>
      <c r="AM203" s="713"/>
      <c r="AN203" s="696"/>
      <c r="AO203" s="713"/>
      <c r="AP203" s="696"/>
      <c r="AQ203" s="713"/>
      <c r="AR203" s="696"/>
      <c r="AS203" s="713"/>
      <c r="AT203" s="696"/>
      <c r="AU203" s="696"/>
      <c r="AV203" s="713"/>
      <c r="AW203" s="696"/>
      <c r="AX203" s="713"/>
      <c r="AY203" s="696"/>
      <c r="AZ203" s="713"/>
      <c r="BA203" s="696"/>
      <c r="BB203" s="713"/>
      <c r="BC203" s="696"/>
      <c r="BD203" s="713"/>
      <c r="BE203" s="696"/>
    </row>
    <row r="204" spans="1:57" s="44" customFormat="1">
      <c r="A204" s="700"/>
      <c r="B204" s="700"/>
      <c r="C204" s="700"/>
      <c r="D204" s="847"/>
      <c r="E204" s="696"/>
      <c r="F204" s="847"/>
      <c r="G204" s="696"/>
      <c r="H204" s="847"/>
      <c r="I204" s="696"/>
      <c r="J204" s="847"/>
      <c r="K204" s="696"/>
      <c r="L204" s="847"/>
      <c r="M204" s="696"/>
      <c r="N204" s="696"/>
      <c r="O204" s="847"/>
      <c r="P204" s="696"/>
      <c r="Q204" s="847"/>
      <c r="R204" s="696"/>
      <c r="S204" s="847"/>
      <c r="T204" s="696"/>
      <c r="U204" s="847"/>
      <c r="V204" s="696"/>
      <c r="W204" s="847"/>
      <c r="X204" s="696"/>
      <c r="Y204" s="696"/>
      <c r="Z204" s="713"/>
      <c r="AA204" s="696"/>
      <c r="AB204" s="713"/>
      <c r="AC204" s="696"/>
      <c r="AD204" s="713"/>
      <c r="AE204" s="696"/>
      <c r="AF204" s="713"/>
      <c r="AG204" s="696"/>
      <c r="AH204" s="713"/>
      <c r="AI204" s="696"/>
      <c r="AJ204" s="696"/>
      <c r="AK204" s="713"/>
      <c r="AL204" s="696"/>
      <c r="AM204" s="713"/>
      <c r="AN204" s="696"/>
      <c r="AO204" s="713"/>
      <c r="AP204" s="696"/>
      <c r="AQ204" s="713"/>
      <c r="AR204" s="696"/>
      <c r="AS204" s="713"/>
      <c r="AT204" s="696"/>
      <c r="AU204" s="696"/>
      <c r="AV204" s="713"/>
      <c r="AW204" s="696"/>
      <c r="AX204" s="713"/>
      <c r="AY204" s="696"/>
      <c r="AZ204" s="713"/>
      <c r="BA204" s="696"/>
      <c r="BB204" s="713"/>
      <c r="BC204" s="696"/>
      <c r="BD204" s="713"/>
      <c r="BE204" s="696"/>
    </row>
    <row r="205" spans="1:57" s="44" customFormat="1">
      <c r="A205" s="700"/>
      <c r="B205" s="700"/>
      <c r="C205" s="700"/>
      <c r="D205" s="847"/>
      <c r="E205" s="696"/>
      <c r="F205" s="847"/>
      <c r="G205" s="696"/>
      <c r="H205" s="847"/>
      <c r="I205" s="696"/>
      <c r="J205" s="847"/>
      <c r="K205" s="696"/>
      <c r="L205" s="847"/>
      <c r="M205" s="696"/>
      <c r="N205" s="696"/>
      <c r="O205" s="847"/>
      <c r="P205" s="696"/>
      <c r="Q205" s="847"/>
      <c r="R205" s="696"/>
      <c r="S205" s="847"/>
      <c r="T205" s="696"/>
      <c r="U205" s="847"/>
      <c r="V205" s="696"/>
      <c r="W205" s="847"/>
      <c r="X205" s="696"/>
      <c r="Y205" s="696"/>
      <c r="Z205" s="713"/>
      <c r="AA205" s="696"/>
      <c r="AB205" s="713"/>
      <c r="AC205" s="696"/>
      <c r="AD205" s="713"/>
      <c r="AE205" s="696"/>
      <c r="AF205" s="713"/>
      <c r="AG205" s="696"/>
      <c r="AH205" s="713"/>
      <c r="AI205" s="696"/>
      <c r="AJ205" s="696"/>
      <c r="AK205" s="713"/>
      <c r="AL205" s="696"/>
      <c r="AM205" s="713"/>
      <c r="AN205" s="696"/>
      <c r="AO205" s="713"/>
      <c r="AP205" s="696"/>
      <c r="AQ205" s="713"/>
      <c r="AR205" s="696"/>
      <c r="AS205" s="713"/>
      <c r="AT205" s="696"/>
      <c r="AU205" s="696"/>
      <c r="AV205" s="713"/>
      <c r="AW205" s="696"/>
      <c r="AX205" s="713"/>
      <c r="AY205" s="696"/>
      <c r="AZ205" s="713"/>
      <c r="BA205" s="696"/>
      <c r="BB205" s="713"/>
      <c r="BC205" s="696"/>
      <c r="BD205" s="713"/>
      <c r="BE205" s="696"/>
    </row>
    <row r="206" spans="1:57" s="44" customFormat="1">
      <c r="A206" s="700"/>
      <c r="B206" s="700"/>
      <c r="C206" s="700"/>
      <c r="D206" s="847"/>
      <c r="E206" s="696"/>
      <c r="F206" s="847"/>
      <c r="G206" s="696"/>
      <c r="H206" s="847"/>
      <c r="I206" s="696"/>
      <c r="J206" s="847"/>
      <c r="K206" s="696"/>
      <c r="L206" s="847"/>
      <c r="M206" s="696"/>
      <c r="N206" s="696"/>
      <c r="O206" s="847"/>
      <c r="P206" s="696"/>
      <c r="Q206" s="847"/>
      <c r="R206" s="696"/>
      <c r="S206" s="847"/>
      <c r="T206" s="696"/>
      <c r="U206" s="847"/>
      <c r="V206" s="696"/>
      <c r="W206" s="847"/>
      <c r="X206" s="696"/>
      <c r="Y206" s="696"/>
      <c r="Z206" s="713"/>
      <c r="AA206" s="696"/>
      <c r="AB206" s="713"/>
      <c r="AC206" s="696"/>
      <c r="AD206" s="713"/>
      <c r="AE206" s="696"/>
      <c r="AF206" s="713"/>
      <c r="AG206" s="696"/>
      <c r="AH206" s="713"/>
      <c r="AI206" s="696"/>
      <c r="AJ206" s="696"/>
      <c r="AK206" s="713"/>
      <c r="AL206" s="696"/>
      <c r="AM206" s="713"/>
      <c r="AN206" s="696"/>
      <c r="AO206" s="713"/>
      <c r="AP206" s="696"/>
      <c r="AQ206" s="713"/>
      <c r="AR206" s="696"/>
      <c r="AS206" s="713"/>
      <c r="AT206" s="696"/>
      <c r="AU206" s="696"/>
      <c r="AV206" s="713"/>
      <c r="AW206" s="696"/>
      <c r="AX206" s="713"/>
      <c r="AY206" s="696"/>
      <c r="AZ206" s="713"/>
      <c r="BA206" s="696"/>
      <c r="BB206" s="713"/>
      <c r="BC206" s="696"/>
      <c r="BD206" s="713"/>
      <c r="BE206" s="696"/>
    </row>
    <row r="207" spans="1:57" s="44" customFormat="1">
      <c r="A207" s="700"/>
      <c r="B207" s="700"/>
      <c r="C207" s="700"/>
      <c r="D207" s="847"/>
      <c r="E207" s="696"/>
      <c r="F207" s="847"/>
      <c r="G207" s="696"/>
      <c r="H207" s="847"/>
      <c r="I207" s="696"/>
      <c r="J207" s="847"/>
      <c r="K207" s="696"/>
      <c r="L207" s="847"/>
      <c r="M207" s="696"/>
      <c r="N207" s="696"/>
      <c r="O207" s="847"/>
      <c r="P207" s="696"/>
      <c r="Q207" s="847"/>
      <c r="R207" s="696"/>
      <c r="S207" s="847"/>
      <c r="T207" s="696"/>
      <c r="U207" s="847"/>
      <c r="V207" s="696"/>
      <c r="W207" s="847"/>
      <c r="X207" s="696"/>
      <c r="Y207" s="696"/>
      <c r="Z207" s="713"/>
      <c r="AA207" s="696"/>
      <c r="AB207" s="713"/>
      <c r="AC207" s="696"/>
      <c r="AD207" s="713"/>
      <c r="AE207" s="696"/>
      <c r="AF207" s="713"/>
      <c r="AG207" s="696"/>
      <c r="AH207" s="713"/>
      <c r="AI207" s="696"/>
      <c r="AJ207" s="696"/>
      <c r="AK207" s="713"/>
      <c r="AL207" s="696"/>
      <c r="AM207" s="713"/>
      <c r="AN207" s="696"/>
      <c r="AO207" s="713"/>
      <c r="AP207" s="696"/>
      <c r="AQ207" s="713"/>
      <c r="AR207" s="696"/>
      <c r="AS207" s="713"/>
      <c r="AT207" s="696"/>
      <c r="AU207" s="696"/>
      <c r="AV207" s="713"/>
      <c r="AW207" s="696"/>
      <c r="AX207" s="713"/>
      <c r="AY207" s="696"/>
      <c r="AZ207" s="713"/>
      <c r="BA207" s="696"/>
      <c r="BB207" s="713"/>
      <c r="BC207" s="696"/>
      <c r="BD207" s="713"/>
      <c r="BE207" s="696"/>
    </row>
    <row r="208" spans="1:57" s="44" customFormat="1">
      <c r="A208" s="700"/>
      <c r="B208" s="700"/>
      <c r="C208" s="700"/>
      <c r="D208" s="847"/>
      <c r="E208" s="696"/>
      <c r="F208" s="847"/>
      <c r="G208" s="696"/>
      <c r="H208" s="847"/>
      <c r="I208" s="696"/>
      <c r="J208" s="847"/>
      <c r="K208" s="696"/>
      <c r="L208" s="847"/>
      <c r="M208" s="696"/>
      <c r="N208" s="696"/>
      <c r="O208" s="847"/>
      <c r="P208" s="696"/>
      <c r="Q208" s="847"/>
      <c r="R208" s="696"/>
      <c r="S208" s="847"/>
      <c r="T208" s="696"/>
      <c r="U208" s="847"/>
      <c r="V208" s="696"/>
      <c r="W208" s="847"/>
      <c r="X208" s="696"/>
      <c r="Y208" s="696"/>
      <c r="Z208" s="713"/>
      <c r="AA208" s="696"/>
      <c r="AB208" s="713"/>
      <c r="AC208" s="696"/>
      <c r="AD208" s="713"/>
      <c r="AE208" s="696"/>
      <c r="AF208" s="713"/>
      <c r="AG208" s="696"/>
      <c r="AH208" s="713"/>
      <c r="AI208" s="696"/>
      <c r="AJ208" s="696"/>
      <c r="AK208" s="713"/>
      <c r="AL208" s="696"/>
      <c r="AM208" s="713"/>
      <c r="AN208" s="696"/>
      <c r="AO208" s="713"/>
      <c r="AP208" s="696"/>
      <c r="AQ208" s="713"/>
      <c r="AR208" s="696"/>
      <c r="AS208" s="713"/>
      <c r="AT208" s="696"/>
      <c r="AU208" s="696"/>
      <c r="AV208" s="713"/>
      <c r="AW208" s="696"/>
      <c r="AX208" s="713"/>
      <c r="AY208" s="696"/>
      <c r="AZ208" s="713"/>
      <c r="BA208" s="696"/>
      <c r="BB208" s="713"/>
      <c r="BC208" s="696"/>
      <c r="BD208" s="713"/>
      <c r="BE208" s="696"/>
    </row>
    <row r="209" spans="1:57" s="44" customFormat="1">
      <c r="A209" s="700"/>
      <c r="B209" s="700"/>
      <c r="C209" s="700"/>
      <c r="D209" s="847"/>
      <c r="E209" s="696"/>
      <c r="F209" s="847"/>
      <c r="G209" s="696"/>
      <c r="H209" s="847"/>
      <c r="I209" s="696"/>
      <c r="J209" s="847"/>
      <c r="K209" s="696"/>
      <c r="L209" s="847"/>
      <c r="M209" s="696"/>
      <c r="N209" s="696"/>
      <c r="O209" s="847"/>
      <c r="P209" s="696"/>
      <c r="Q209" s="847"/>
      <c r="R209" s="696"/>
      <c r="S209" s="847"/>
      <c r="T209" s="696"/>
      <c r="U209" s="847"/>
      <c r="V209" s="696"/>
      <c r="W209" s="847"/>
      <c r="X209" s="696"/>
      <c r="Y209" s="696"/>
      <c r="Z209" s="713"/>
      <c r="AA209" s="696"/>
      <c r="AB209" s="713"/>
      <c r="AC209" s="696"/>
      <c r="AD209" s="713"/>
      <c r="AE209" s="696"/>
      <c r="AF209" s="713"/>
      <c r="AG209" s="696"/>
      <c r="AH209" s="713"/>
      <c r="AI209" s="696"/>
      <c r="AJ209" s="696"/>
      <c r="AK209" s="713"/>
      <c r="AL209" s="696"/>
      <c r="AM209" s="713"/>
      <c r="AN209" s="696"/>
      <c r="AO209" s="713"/>
      <c r="AP209" s="696"/>
      <c r="AQ209" s="713"/>
      <c r="AR209" s="696"/>
      <c r="AS209" s="713"/>
      <c r="AT209" s="696"/>
      <c r="AU209" s="696"/>
      <c r="AV209" s="713"/>
      <c r="AW209" s="696"/>
      <c r="AX209" s="713"/>
      <c r="AY209" s="696"/>
      <c r="AZ209" s="713"/>
      <c r="BA209" s="696"/>
      <c r="BB209" s="713"/>
      <c r="BC209" s="696"/>
      <c r="BD209" s="713"/>
      <c r="BE209" s="696"/>
    </row>
    <row r="210" spans="1:57" s="44" customFormat="1">
      <c r="A210" s="700"/>
      <c r="B210" s="700"/>
      <c r="C210" s="700"/>
      <c r="D210" s="847"/>
      <c r="E210" s="696"/>
      <c r="F210" s="847"/>
      <c r="G210" s="696"/>
      <c r="H210" s="847"/>
      <c r="I210" s="696"/>
      <c r="J210" s="847"/>
      <c r="K210" s="696"/>
      <c r="L210" s="847"/>
      <c r="M210" s="696"/>
      <c r="N210" s="696"/>
      <c r="O210" s="847"/>
      <c r="P210" s="696"/>
      <c r="Q210" s="847"/>
      <c r="R210" s="696"/>
      <c r="S210" s="847"/>
      <c r="T210" s="696"/>
      <c r="U210" s="847"/>
      <c r="V210" s="696"/>
      <c r="W210" s="847"/>
      <c r="X210" s="696"/>
      <c r="Y210" s="696"/>
      <c r="Z210" s="713"/>
      <c r="AA210" s="696"/>
      <c r="AB210" s="713"/>
      <c r="AC210" s="696"/>
      <c r="AD210" s="713"/>
      <c r="AE210" s="696"/>
      <c r="AF210" s="713"/>
      <c r="AG210" s="696"/>
      <c r="AH210" s="713"/>
      <c r="AI210" s="696"/>
      <c r="AJ210" s="696"/>
      <c r="AK210" s="713"/>
      <c r="AL210" s="696"/>
      <c r="AM210" s="713"/>
      <c r="AN210" s="696"/>
      <c r="AO210" s="713"/>
      <c r="AP210" s="696"/>
      <c r="AQ210" s="713"/>
      <c r="AR210" s="696"/>
      <c r="AS210" s="713"/>
      <c r="AT210" s="696"/>
      <c r="AU210" s="696"/>
      <c r="AV210" s="713"/>
      <c r="AW210" s="696"/>
      <c r="AX210" s="713"/>
      <c r="AY210" s="696"/>
      <c r="AZ210" s="713"/>
      <c r="BA210" s="696"/>
      <c r="BB210" s="713"/>
      <c r="BC210" s="696"/>
      <c r="BD210" s="713"/>
      <c r="BE210" s="696"/>
    </row>
    <row r="211" spans="1:57" s="44" customFormat="1">
      <c r="A211" s="700"/>
      <c r="B211" s="700"/>
      <c r="C211" s="700"/>
      <c r="D211" s="847"/>
      <c r="E211" s="696"/>
      <c r="F211" s="847"/>
      <c r="G211" s="696"/>
      <c r="H211" s="847"/>
      <c r="I211" s="696"/>
      <c r="J211" s="847"/>
      <c r="K211" s="696"/>
      <c r="L211" s="847"/>
      <c r="M211" s="696"/>
      <c r="N211" s="696"/>
      <c r="O211" s="847"/>
      <c r="P211" s="696"/>
      <c r="Q211" s="847"/>
      <c r="R211" s="696"/>
      <c r="S211" s="847"/>
      <c r="T211" s="696"/>
      <c r="U211" s="847"/>
      <c r="V211" s="696"/>
      <c r="W211" s="847"/>
      <c r="X211" s="696"/>
      <c r="Y211" s="696"/>
      <c r="Z211" s="713"/>
      <c r="AA211" s="696"/>
      <c r="AB211" s="713"/>
      <c r="AC211" s="696"/>
      <c r="AD211" s="713"/>
      <c r="AE211" s="696"/>
      <c r="AF211" s="713"/>
      <c r="AG211" s="696"/>
      <c r="AH211" s="713"/>
      <c r="AI211" s="696"/>
      <c r="AJ211" s="696"/>
      <c r="AK211" s="713"/>
      <c r="AL211" s="696"/>
      <c r="AM211" s="713"/>
      <c r="AN211" s="696"/>
      <c r="AO211" s="713"/>
      <c r="AP211" s="696"/>
      <c r="AQ211" s="713"/>
      <c r="AR211" s="696"/>
      <c r="AS211" s="713"/>
      <c r="AT211" s="696"/>
      <c r="AU211" s="696"/>
      <c r="AV211" s="713"/>
      <c r="AW211" s="696"/>
      <c r="AX211" s="713"/>
      <c r="AY211" s="696"/>
      <c r="AZ211" s="713"/>
      <c r="BA211" s="696"/>
      <c r="BB211" s="713"/>
      <c r="BC211" s="696"/>
      <c r="BD211" s="713"/>
      <c r="BE211" s="696"/>
    </row>
    <row r="212" spans="1:57" s="44" customFormat="1">
      <c r="A212" s="700"/>
      <c r="B212" s="700"/>
      <c r="C212" s="700"/>
      <c r="D212" s="847"/>
      <c r="E212" s="696"/>
      <c r="F212" s="847"/>
      <c r="G212" s="696"/>
      <c r="H212" s="847"/>
      <c r="I212" s="696"/>
      <c r="J212" s="847"/>
      <c r="K212" s="696"/>
      <c r="L212" s="847"/>
      <c r="M212" s="696"/>
      <c r="N212" s="696"/>
      <c r="O212" s="847"/>
      <c r="P212" s="696"/>
      <c r="Q212" s="847"/>
      <c r="R212" s="696"/>
      <c r="S212" s="847"/>
      <c r="T212" s="696"/>
      <c r="U212" s="847"/>
      <c r="V212" s="696"/>
      <c r="W212" s="847"/>
      <c r="X212" s="696"/>
      <c r="Y212" s="696"/>
      <c r="Z212" s="713"/>
      <c r="AA212" s="696"/>
      <c r="AB212" s="713"/>
      <c r="AC212" s="696"/>
      <c r="AD212" s="713"/>
      <c r="AE212" s="696"/>
      <c r="AF212" s="713"/>
      <c r="AG212" s="696"/>
      <c r="AH212" s="713"/>
      <c r="AI212" s="696"/>
      <c r="AJ212" s="696"/>
      <c r="AK212" s="713"/>
      <c r="AL212" s="696"/>
      <c r="AM212" s="713"/>
      <c r="AN212" s="696"/>
      <c r="AO212" s="713"/>
      <c r="AP212" s="696"/>
      <c r="AQ212" s="713"/>
      <c r="AR212" s="696"/>
      <c r="AS212" s="713"/>
      <c r="AT212" s="696"/>
      <c r="AU212" s="696"/>
      <c r="AV212" s="713"/>
      <c r="AW212" s="696"/>
      <c r="AX212" s="713"/>
      <c r="AY212" s="696"/>
      <c r="AZ212" s="713"/>
      <c r="BA212" s="696"/>
      <c r="BB212" s="713"/>
      <c r="BC212" s="696"/>
      <c r="BD212" s="713"/>
      <c r="BE212" s="696"/>
    </row>
    <row r="213" spans="1:57" s="44" customFormat="1">
      <c r="A213" s="700"/>
      <c r="B213" s="700"/>
      <c r="C213" s="700"/>
      <c r="D213" s="847"/>
      <c r="E213" s="696"/>
      <c r="F213" s="847"/>
      <c r="G213" s="696"/>
      <c r="H213" s="847"/>
      <c r="I213" s="696"/>
      <c r="J213" s="847"/>
      <c r="K213" s="696"/>
      <c r="L213" s="847"/>
      <c r="M213" s="696"/>
      <c r="N213" s="696"/>
      <c r="O213" s="847"/>
      <c r="P213" s="696"/>
      <c r="Q213" s="847"/>
      <c r="R213" s="696"/>
      <c r="S213" s="847"/>
      <c r="T213" s="696"/>
      <c r="U213" s="847"/>
      <c r="V213" s="696"/>
      <c r="W213" s="847"/>
      <c r="X213" s="696"/>
      <c r="Y213" s="696"/>
      <c r="Z213" s="713"/>
      <c r="AA213" s="696"/>
      <c r="AB213" s="713"/>
      <c r="AC213" s="696"/>
      <c r="AD213" s="713"/>
      <c r="AE213" s="696"/>
      <c r="AF213" s="713"/>
      <c r="AG213" s="696"/>
      <c r="AH213" s="713"/>
      <c r="AI213" s="696"/>
      <c r="AJ213" s="696"/>
      <c r="AK213" s="713"/>
      <c r="AL213" s="696"/>
      <c r="AM213" s="713"/>
      <c r="AN213" s="696"/>
      <c r="AO213" s="713"/>
      <c r="AP213" s="696"/>
      <c r="AQ213" s="713"/>
      <c r="AR213" s="696"/>
      <c r="AS213" s="713"/>
      <c r="AT213" s="696"/>
      <c r="AU213" s="696"/>
      <c r="AV213" s="713"/>
      <c r="AW213" s="696"/>
      <c r="AX213" s="713"/>
      <c r="AY213" s="696"/>
      <c r="AZ213" s="713"/>
      <c r="BA213" s="696"/>
      <c r="BB213" s="713"/>
      <c r="BC213" s="696"/>
      <c r="BD213" s="713"/>
      <c r="BE213" s="696"/>
    </row>
    <row r="214" spans="1:57" s="44" customFormat="1">
      <c r="A214" s="700"/>
      <c r="B214" s="700"/>
      <c r="C214" s="700"/>
      <c r="D214" s="847"/>
      <c r="E214" s="696"/>
      <c r="F214" s="847"/>
      <c r="G214" s="696"/>
      <c r="H214" s="847"/>
      <c r="I214" s="696"/>
      <c r="J214" s="847"/>
      <c r="K214" s="696"/>
      <c r="L214" s="847"/>
      <c r="M214" s="696"/>
      <c r="N214" s="696"/>
      <c r="O214" s="847"/>
      <c r="P214" s="696"/>
      <c r="Q214" s="847"/>
      <c r="R214" s="696"/>
      <c r="S214" s="847"/>
      <c r="T214" s="696"/>
      <c r="U214" s="847"/>
      <c r="V214" s="696"/>
      <c r="W214" s="847"/>
      <c r="X214" s="696"/>
      <c r="Y214" s="696"/>
      <c r="Z214" s="713"/>
      <c r="AA214" s="696"/>
      <c r="AB214" s="713"/>
      <c r="AC214" s="696"/>
      <c r="AD214" s="713"/>
      <c r="AE214" s="696"/>
      <c r="AF214" s="713"/>
      <c r="AG214" s="696"/>
      <c r="AH214" s="713"/>
      <c r="AI214" s="696"/>
      <c r="AJ214" s="696"/>
      <c r="AK214" s="713"/>
      <c r="AL214" s="696"/>
      <c r="AM214" s="713"/>
      <c r="AN214" s="696"/>
      <c r="AO214" s="713"/>
      <c r="AP214" s="696"/>
      <c r="AQ214" s="713"/>
      <c r="AR214" s="696"/>
      <c r="AS214" s="713"/>
      <c r="AT214" s="696"/>
      <c r="AU214" s="696"/>
      <c r="AV214" s="713"/>
      <c r="AW214" s="696"/>
      <c r="AX214" s="713"/>
      <c r="AY214" s="696"/>
      <c r="AZ214" s="713"/>
      <c r="BA214" s="696"/>
      <c r="BB214" s="713"/>
      <c r="BC214" s="696"/>
      <c r="BD214" s="713"/>
      <c r="BE214" s="696"/>
    </row>
    <row r="215" spans="1:57" s="44" customFormat="1">
      <c r="A215" s="700"/>
      <c r="B215" s="700"/>
      <c r="C215" s="700"/>
      <c r="D215" s="847"/>
      <c r="E215" s="696"/>
      <c r="F215" s="847"/>
      <c r="G215" s="696"/>
      <c r="H215" s="847"/>
      <c r="I215" s="696"/>
      <c r="J215" s="847"/>
      <c r="K215" s="696"/>
      <c r="L215" s="847"/>
      <c r="M215" s="696"/>
      <c r="N215" s="696"/>
      <c r="O215" s="847"/>
      <c r="P215" s="696"/>
      <c r="Q215" s="847"/>
      <c r="R215" s="696"/>
      <c r="S215" s="847"/>
      <c r="T215" s="696"/>
      <c r="U215" s="847"/>
      <c r="V215" s="696"/>
      <c r="W215" s="847"/>
      <c r="X215" s="696"/>
      <c r="Y215" s="696"/>
      <c r="Z215" s="713"/>
      <c r="AA215" s="696"/>
      <c r="AB215" s="713"/>
      <c r="AC215" s="696"/>
      <c r="AD215" s="713"/>
      <c r="AE215" s="696"/>
      <c r="AF215" s="713"/>
      <c r="AG215" s="696"/>
      <c r="AH215" s="713"/>
      <c r="AI215" s="696"/>
      <c r="AJ215" s="696"/>
      <c r="AK215" s="713"/>
      <c r="AL215" s="696"/>
      <c r="AM215" s="713"/>
      <c r="AN215" s="696"/>
      <c r="AO215" s="713"/>
      <c r="AP215" s="696"/>
      <c r="AQ215" s="713"/>
      <c r="AR215" s="696"/>
      <c r="AS215" s="713"/>
      <c r="AT215" s="696"/>
      <c r="AU215" s="696"/>
      <c r="AV215" s="713"/>
      <c r="AW215" s="696"/>
      <c r="AX215" s="713"/>
      <c r="AY215" s="696"/>
      <c r="AZ215" s="713"/>
      <c r="BA215" s="696"/>
      <c r="BB215" s="713"/>
      <c r="BC215" s="696"/>
      <c r="BD215" s="713"/>
      <c r="BE215" s="696"/>
    </row>
    <row r="216" spans="1:57" s="44" customFormat="1">
      <c r="A216" s="700"/>
      <c r="B216" s="700"/>
      <c r="C216" s="700"/>
      <c r="D216" s="847"/>
      <c r="E216" s="696"/>
      <c r="F216" s="847"/>
      <c r="G216" s="696"/>
      <c r="H216" s="847"/>
      <c r="I216" s="696"/>
      <c r="J216" s="847"/>
      <c r="K216" s="696"/>
      <c r="L216" s="847"/>
      <c r="M216" s="696"/>
      <c r="N216" s="696"/>
      <c r="O216" s="847"/>
      <c r="P216" s="696"/>
      <c r="Q216" s="847"/>
      <c r="R216" s="696"/>
      <c r="S216" s="847"/>
      <c r="T216" s="696"/>
      <c r="U216" s="847"/>
      <c r="V216" s="696"/>
      <c r="W216" s="847"/>
      <c r="X216" s="696"/>
      <c r="Y216" s="696"/>
      <c r="Z216" s="713"/>
      <c r="AA216" s="696"/>
      <c r="AB216" s="713"/>
      <c r="AC216" s="696"/>
      <c r="AD216" s="713"/>
      <c r="AE216" s="696"/>
      <c r="AF216" s="713"/>
      <c r="AG216" s="696"/>
      <c r="AH216" s="713"/>
      <c r="AI216" s="696"/>
      <c r="AJ216" s="696"/>
      <c r="AK216" s="713"/>
      <c r="AL216" s="696"/>
      <c r="AM216" s="713"/>
      <c r="AN216" s="696"/>
      <c r="AO216" s="713"/>
      <c r="AP216" s="696"/>
      <c r="AQ216" s="713"/>
      <c r="AR216" s="696"/>
      <c r="AS216" s="713"/>
      <c r="AT216" s="696"/>
      <c r="AU216" s="696"/>
      <c r="AV216" s="713"/>
      <c r="AW216" s="696"/>
      <c r="AX216" s="713"/>
      <c r="AY216" s="696"/>
      <c r="AZ216" s="713"/>
      <c r="BA216" s="696"/>
      <c r="BB216" s="713"/>
      <c r="BC216" s="696"/>
      <c r="BD216" s="713"/>
      <c r="BE216" s="696"/>
    </row>
    <row r="217" spans="1:57" s="44" customFormat="1">
      <c r="A217" s="700"/>
      <c r="B217" s="700"/>
      <c r="C217" s="700"/>
      <c r="D217" s="847"/>
      <c r="E217" s="696"/>
      <c r="F217" s="847"/>
      <c r="G217" s="696"/>
      <c r="H217" s="847"/>
      <c r="I217" s="696"/>
      <c r="J217" s="847"/>
      <c r="K217" s="696"/>
      <c r="L217" s="847"/>
      <c r="M217" s="696"/>
      <c r="N217" s="696"/>
      <c r="O217" s="847"/>
      <c r="P217" s="696"/>
      <c r="Q217" s="847"/>
      <c r="R217" s="696"/>
      <c r="S217" s="847"/>
      <c r="T217" s="696"/>
      <c r="U217" s="847"/>
      <c r="V217" s="696"/>
      <c r="W217" s="847"/>
      <c r="X217" s="696"/>
      <c r="Y217" s="696"/>
      <c r="Z217" s="713"/>
      <c r="AA217" s="696"/>
      <c r="AB217" s="713"/>
      <c r="AC217" s="696"/>
      <c r="AD217" s="713"/>
      <c r="AE217" s="696"/>
      <c r="AF217" s="713"/>
      <c r="AG217" s="696"/>
      <c r="AH217" s="713"/>
      <c r="AI217" s="696"/>
      <c r="AJ217" s="696"/>
      <c r="AK217" s="713"/>
      <c r="AL217" s="696"/>
      <c r="AM217" s="713"/>
      <c r="AN217" s="696"/>
      <c r="AO217" s="713"/>
      <c r="AP217" s="696"/>
      <c r="AQ217" s="713"/>
      <c r="AR217" s="696"/>
      <c r="AS217" s="713"/>
      <c r="AT217" s="696"/>
      <c r="AU217" s="696"/>
      <c r="AV217" s="713"/>
      <c r="AW217" s="696"/>
      <c r="AX217" s="713"/>
      <c r="AY217" s="696"/>
      <c r="AZ217" s="713"/>
      <c r="BA217" s="696"/>
      <c r="BB217" s="713"/>
      <c r="BC217" s="696"/>
      <c r="BD217" s="713"/>
      <c r="BE217" s="696"/>
    </row>
    <row r="218" spans="1:57" s="44" customFormat="1">
      <c r="A218" s="700"/>
      <c r="B218" s="700"/>
      <c r="C218" s="700"/>
      <c r="D218" s="847"/>
      <c r="E218" s="696"/>
      <c r="F218" s="847"/>
      <c r="G218" s="696"/>
      <c r="H218" s="847"/>
      <c r="I218" s="696"/>
      <c r="J218" s="847"/>
      <c r="K218" s="696"/>
      <c r="L218" s="847"/>
      <c r="M218" s="696"/>
      <c r="N218" s="696"/>
      <c r="O218" s="847"/>
      <c r="P218" s="696"/>
      <c r="Q218" s="847"/>
      <c r="R218" s="696"/>
      <c r="S218" s="847"/>
      <c r="T218" s="696"/>
      <c r="U218" s="847"/>
      <c r="V218" s="696"/>
      <c r="W218" s="847"/>
      <c r="X218" s="696"/>
      <c r="Y218" s="696"/>
      <c r="Z218" s="713"/>
      <c r="AA218" s="696"/>
      <c r="AB218" s="713"/>
      <c r="AC218" s="696"/>
      <c r="AD218" s="713"/>
      <c r="AE218" s="696"/>
      <c r="AF218" s="713"/>
      <c r="AG218" s="696"/>
      <c r="AH218" s="713"/>
      <c r="AI218" s="696"/>
      <c r="AJ218" s="696"/>
      <c r="AK218" s="713"/>
      <c r="AL218" s="696"/>
      <c r="AM218" s="713"/>
      <c r="AN218" s="696"/>
      <c r="AO218" s="713"/>
      <c r="AP218" s="696"/>
      <c r="AQ218" s="713"/>
      <c r="AR218" s="696"/>
      <c r="AS218" s="713"/>
      <c r="AT218" s="696"/>
      <c r="AU218" s="696"/>
      <c r="AV218" s="713"/>
      <c r="AW218" s="696"/>
      <c r="AX218" s="713"/>
      <c r="AY218" s="696"/>
      <c r="AZ218" s="713"/>
      <c r="BA218" s="696"/>
      <c r="BB218" s="713"/>
      <c r="BC218" s="696"/>
      <c r="BD218" s="713"/>
      <c r="BE218" s="696"/>
    </row>
    <row r="219" spans="1:57" s="44" customFormat="1">
      <c r="A219" s="700"/>
      <c r="B219" s="700"/>
      <c r="C219" s="700"/>
      <c r="D219" s="847"/>
      <c r="E219" s="696"/>
      <c r="F219" s="847"/>
      <c r="G219" s="696"/>
      <c r="H219" s="847"/>
      <c r="I219" s="696"/>
      <c r="J219" s="847"/>
      <c r="K219" s="696"/>
      <c r="L219" s="847"/>
      <c r="M219" s="696"/>
      <c r="N219" s="696"/>
      <c r="O219" s="847"/>
      <c r="P219" s="696"/>
      <c r="Q219" s="847"/>
      <c r="R219" s="696"/>
      <c r="S219" s="847"/>
      <c r="T219" s="696"/>
      <c r="U219" s="847"/>
      <c r="V219" s="696"/>
      <c r="W219" s="847"/>
      <c r="X219" s="696"/>
      <c r="Y219" s="696"/>
      <c r="Z219" s="713"/>
      <c r="AA219" s="696"/>
      <c r="AB219" s="713"/>
      <c r="AC219" s="696"/>
      <c r="AD219" s="713"/>
      <c r="AE219" s="696"/>
      <c r="AF219" s="713"/>
      <c r="AG219" s="696"/>
      <c r="AH219" s="713"/>
      <c r="AI219" s="696"/>
      <c r="AJ219" s="696"/>
      <c r="AK219" s="713"/>
      <c r="AL219" s="696"/>
      <c r="AM219" s="713"/>
      <c r="AN219" s="696"/>
      <c r="AO219" s="713"/>
      <c r="AP219" s="696"/>
      <c r="AQ219" s="713"/>
      <c r="AR219" s="696"/>
      <c r="AS219" s="713"/>
      <c r="AT219" s="696"/>
      <c r="AU219" s="696"/>
      <c r="AV219" s="713"/>
      <c r="AW219" s="696"/>
      <c r="AX219" s="713"/>
      <c r="AY219" s="696"/>
      <c r="AZ219" s="713"/>
      <c r="BA219" s="696"/>
      <c r="BB219" s="713"/>
      <c r="BC219" s="696"/>
      <c r="BD219" s="713"/>
      <c r="BE219" s="696"/>
    </row>
    <row r="220" spans="1:57" s="44" customFormat="1">
      <c r="A220" s="700"/>
      <c r="B220" s="700"/>
      <c r="C220" s="700"/>
      <c r="D220" s="847"/>
      <c r="E220" s="696"/>
      <c r="F220" s="847"/>
      <c r="G220" s="696"/>
      <c r="H220" s="847"/>
      <c r="I220" s="696"/>
      <c r="J220" s="847"/>
      <c r="K220" s="696"/>
      <c r="L220" s="847"/>
      <c r="M220" s="696"/>
      <c r="N220" s="696"/>
      <c r="O220" s="847"/>
      <c r="P220" s="696"/>
      <c r="Q220" s="847"/>
      <c r="R220" s="696"/>
      <c r="S220" s="847"/>
      <c r="T220" s="696"/>
      <c r="U220" s="847"/>
      <c r="V220" s="696"/>
      <c r="W220" s="847"/>
      <c r="X220" s="696"/>
      <c r="Y220" s="696"/>
      <c r="Z220" s="713"/>
      <c r="AA220" s="696"/>
      <c r="AB220" s="713"/>
      <c r="AC220" s="696"/>
      <c r="AD220" s="713"/>
      <c r="AE220" s="696"/>
      <c r="AF220" s="713"/>
      <c r="AG220" s="696"/>
      <c r="AH220" s="713"/>
      <c r="AI220" s="696"/>
      <c r="AJ220" s="696"/>
      <c r="AK220" s="713"/>
      <c r="AL220" s="696"/>
      <c r="AM220" s="713"/>
      <c r="AN220" s="696"/>
      <c r="AO220" s="713"/>
      <c r="AP220" s="696"/>
      <c r="AQ220" s="713"/>
      <c r="AR220" s="696"/>
      <c r="AS220" s="713"/>
      <c r="AT220" s="696"/>
      <c r="AU220" s="696"/>
      <c r="AV220" s="713"/>
      <c r="AW220" s="696"/>
      <c r="AX220" s="713"/>
      <c r="AY220" s="696"/>
      <c r="AZ220" s="713"/>
      <c r="BA220" s="696"/>
      <c r="BB220" s="713"/>
      <c r="BC220" s="696"/>
      <c r="BD220" s="713"/>
      <c r="BE220" s="696"/>
    </row>
    <row r="221" spans="1:57" s="44" customFormat="1">
      <c r="A221" s="700"/>
      <c r="B221" s="700"/>
      <c r="C221" s="700"/>
      <c r="D221" s="847"/>
      <c r="E221" s="696"/>
      <c r="F221" s="847"/>
      <c r="G221" s="696"/>
      <c r="H221" s="847"/>
      <c r="I221" s="696"/>
      <c r="J221" s="847"/>
      <c r="K221" s="696"/>
      <c r="L221" s="847"/>
      <c r="M221" s="696"/>
      <c r="N221" s="696"/>
      <c r="O221" s="847"/>
      <c r="P221" s="696"/>
      <c r="Q221" s="847"/>
      <c r="R221" s="696"/>
      <c r="S221" s="847"/>
      <c r="T221" s="696"/>
      <c r="U221" s="847"/>
      <c r="V221" s="696"/>
      <c r="W221" s="847"/>
      <c r="X221" s="696"/>
      <c r="Y221" s="696"/>
      <c r="Z221" s="713"/>
      <c r="AA221" s="696"/>
      <c r="AB221" s="713"/>
      <c r="AC221" s="696"/>
      <c r="AD221" s="713"/>
      <c r="AE221" s="696"/>
      <c r="AF221" s="713"/>
      <c r="AG221" s="696"/>
      <c r="AH221" s="713"/>
      <c r="AI221" s="696"/>
      <c r="AJ221" s="696"/>
      <c r="AK221" s="713"/>
      <c r="AL221" s="696"/>
      <c r="AM221" s="713"/>
      <c r="AN221" s="696"/>
      <c r="AO221" s="713"/>
      <c r="AP221" s="696"/>
      <c r="AQ221" s="713"/>
      <c r="AR221" s="696"/>
      <c r="AS221" s="713"/>
      <c r="AT221" s="696"/>
      <c r="AU221" s="696"/>
      <c r="AV221" s="713"/>
      <c r="AW221" s="696"/>
      <c r="AX221" s="713"/>
      <c r="AY221" s="696"/>
      <c r="AZ221" s="713"/>
      <c r="BA221" s="696"/>
      <c r="BB221" s="713"/>
      <c r="BC221" s="696"/>
      <c r="BD221" s="713"/>
      <c r="BE221" s="696"/>
    </row>
    <row r="222" spans="1:57" s="44" customFormat="1">
      <c r="A222" s="700"/>
      <c r="B222" s="700"/>
      <c r="C222" s="700"/>
      <c r="D222" s="847"/>
      <c r="E222" s="696"/>
      <c r="F222" s="847"/>
      <c r="G222" s="696"/>
      <c r="H222" s="847"/>
      <c r="I222" s="696"/>
      <c r="J222" s="847"/>
      <c r="K222" s="696"/>
      <c r="L222" s="847"/>
      <c r="M222" s="696"/>
      <c r="N222" s="696"/>
      <c r="O222" s="847"/>
      <c r="P222" s="696"/>
      <c r="Q222" s="847"/>
      <c r="R222" s="696"/>
      <c r="S222" s="847"/>
      <c r="T222" s="696"/>
      <c r="U222" s="847"/>
      <c r="V222" s="696"/>
      <c r="W222" s="847"/>
      <c r="X222" s="696"/>
      <c r="Y222" s="696"/>
      <c r="Z222" s="713"/>
      <c r="AA222" s="696"/>
      <c r="AB222" s="713"/>
      <c r="AC222" s="696"/>
      <c r="AD222" s="713"/>
      <c r="AE222" s="696"/>
      <c r="AF222" s="713"/>
      <c r="AG222" s="696"/>
      <c r="AH222" s="713"/>
      <c r="AI222" s="696"/>
      <c r="AJ222" s="696"/>
      <c r="AK222" s="713"/>
      <c r="AL222" s="696"/>
      <c r="AM222" s="713"/>
      <c r="AN222" s="696"/>
      <c r="AO222" s="713"/>
      <c r="AP222" s="696"/>
      <c r="AQ222" s="713"/>
      <c r="AR222" s="696"/>
      <c r="AS222" s="713"/>
      <c r="AT222" s="696"/>
      <c r="AU222" s="696"/>
      <c r="AV222" s="713"/>
      <c r="AW222" s="696"/>
      <c r="AX222" s="713"/>
      <c r="AY222" s="696"/>
      <c r="AZ222" s="713"/>
      <c r="BA222" s="696"/>
      <c r="BB222" s="713"/>
      <c r="BC222" s="696"/>
      <c r="BD222" s="713"/>
      <c r="BE222" s="696"/>
    </row>
    <row r="223" spans="1:57" s="44" customFormat="1">
      <c r="A223" s="700"/>
      <c r="B223" s="700"/>
      <c r="C223" s="700"/>
      <c r="D223" s="847"/>
      <c r="E223" s="696"/>
      <c r="F223" s="847"/>
      <c r="G223" s="696"/>
      <c r="H223" s="847"/>
      <c r="I223" s="696"/>
      <c r="J223" s="847"/>
      <c r="K223" s="696"/>
      <c r="L223" s="847"/>
      <c r="M223" s="696"/>
      <c r="N223" s="696"/>
      <c r="O223" s="847"/>
      <c r="P223" s="696"/>
      <c r="Q223" s="847"/>
      <c r="R223" s="696"/>
      <c r="S223" s="847"/>
      <c r="T223" s="696"/>
      <c r="U223" s="847"/>
      <c r="V223" s="696"/>
      <c r="W223" s="847"/>
      <c r="X223" s="696"/>
      <c r="Y223" s="696"/>
      <c r="Z223" s="713"/>
      <c r="AA223" s="696"/>
      <c r="AB223" s="713"/>
      <c r="AC223" s="696"/>
      <c r="AD223" s="713"/>
      <c r="AE223" s="696"/>
      <c r="AF223" s="713"/>
      <c r="AG223" s="696"/>
      <c r="AH223" s="713"/>
      <c r="AI223" s="696"/>
      <c r="AJ223" s="696"/>
      <c r="AK223" s="713"/>
      <c r="AL223" s="696"/>
      <c r="AM223" s="713"/>
      <c r="AN223" s="696"/>
      <c r="AO223" s="713"/>
      <c r="AP223" s="696"/>
      <c r="AQ223" s="713"/>
      <c r="AR223" s="696"/>
      <c r="AS223" s="713"/>
      <c r="AT223" s="696"/>
      <c r="AU223" s="696"/>
      <c r="AV223" s="713"/>
      <c r="AW223" s="696"/>
      <c r="AX223" s="713"/>
      <c r="AY223" s="696"/>
      <c r="AZ223" s="713"/>
      <c r="BA223" s="696"/>
      <c r="BB223" s="713"/>
      <c r="BC223" s="696"/>
      <c r="BD223" s="713"/>
      <c r="BE223" s="696"/>
    </row>
    <row r="224" spans="1:57" s="44" customFormat="1">
      <c r="A224" s="700"/>
      <c r="B224" s="700"/>
      <c r="C224" s="700"/>
      <c r="D224" s="847"/>
      <c r="E224" s="696"/>
      <c r="F224" s="847"/>
      <c r="G224" s="696"/>
      <c r="H224" s="847"/>
      <c r="I224" s="696"/>
      <c r="J224" s="847"/>
      <c r="K224" s="696"/>
      <c r="L224" s="847"/>
      <c r="M224" s="696"/>
      <c r="N224" s="696"/>
      <c r="O224" s="847"/>
      <c r="P224" s="696"/>
      <c r="Q224" s="847"/>
      <c r="R224" s="696"/>
      <c r="S224" s="847"/>
      <c r="T224" s="696"/>
      <c r="U224" s="847"/>
      <c r="V224" s="696"/>
      <c r="W224" s="847"/>
      <c r="X224" s="696"/>
      <c r="Y224" s="696"/>
      <c r="Z224" s="713"/>
      <c r="AA224" s="696"/>
      <c r="AB224" s="713"/>
      <c r="AC224" s="696"/>
      <c r="AD224" s="713"/>
      <c r="AE224" s="696"/>
      <c r="AF224" s="713"/>
      <c r="AG224" s="696"/>
      <c r="AH224" s="713"/>
      <c r="AI224" s="696"/>
      <c r="AJ224" s="696"/>
      <c r="AK224" s="713"/>
      <c r="AL224" s="696"/>
      <c r="AM224" s="713"/>
      <c r="AN224" s="696"/>
      <c r="AO224" s="713"/>
      <c r="AP224" s="696"/>
      <c r="AQ224" s="713"/>
      <c r="AR224" s="696"/>
      <c r="AS224" s="713"/>
      <c r="AT224" s="696"/>
      <c r="AU224" s="696"/>
      <c r="AV224" s="713"/>
      <c r="AW224" s="696"/>
      <c r="AX224" s="713"/>
      <c r="AY224" s="696"/>
      <c r="AZ224" s="713"/>
      <c r="BA224" s="696"/>
      <c r="BB224" s="713"/>
      <c r="BC224" s="696"/>
      <c r="BD224" s="713"/>
      <c r="BE224" s="696"/>
    </row>
    <row r="225" spans="1:57" s="44" customFormat="1">
      <c r="A225" s="700"/>
      <c r="B225" s="700"/>
      <c r="C225" s="700"/>
      <c r="D225" s="847"/>
      <c r="E225" s="696"/>
      <c r="F225" s="847"/>
      <c r="G225" s="696"/>
      <c r="H225" s="847"/>
      <c r="I225" s="696"/>
      <c r="J225" s="847"/>
      <c r="K225" s="696"/>
      <c r="L225" s="847"/>
      <c r="M225" s="696"/>
      <c r="N225" s="696"/>
      <c r="O225" s="847"/>
      <c r="P225" s="696"/>
      <c r="Q225" s="847"/>
      <c r="R225" s="696"/>
      <c r="S225" s="847"/>
      <c r="T225" s="696"/>
      <c r="U225" s="847"/>
      <c r="V225" s="696"/>
      <c r="W225" s="847"/>
      <c r="X225" s="696"/>
      <c r="Y225" s="696"/>
      <c r="Z225" s="713"/>
      <c r="AA225" s="696"/>
      <c r="AB225" s="713"/>
      <c r="AC225" s="696"/>
      <c r="AD225" s="713"/>
      <c r="AE225" s="696"/>
      <c r="AF225" s="713"/>
      <c r="AG225" s="696"/>
      <c r="AH225" s="713"/>
      <c r="AI225" s="696"/>
      <c r="AJ225" s="696"/>
      <c r="AK225" s="713"/>
      <c r="AL225" s="696"/>
      <c r="AM225" s="713"/>
      <c r="AN225" s="696"/>
      <c r="AO225" s="713"/>
      <c r="AP225" s="696"/>
      <c r="AQ225" s="713"/>
      <c r="AR225" s="696"/>
      <c r="AS225" s="713"/>
      <c r="AT225" s="696"/>
      <c r="AU225" s="696"/>
      <c r="AV225" s="713"/>
      <c r="AW225" s="696"/>
      <c r="AX225" s="713"/>
      <c r="AY225" s="696"/>
      <c r="AZ225" s="713"/>
      <c r="BA225" s="696"/>
      <c r="BB225" s="713"/>
      <c r="BC225" s="696"/>
      <c r="BD225" s="713"/>
      <c r="BE225" s="696"/>
    </row>
    <row r="226" spans="1:57" s="44" customFormat="1">
      <c r="A226" s="700"/>
      <c r="B226" s="700"/>
      <c r="C226" s="700"/>
      <c r="D226" s="847"/>
      <c r="E226" s="696"/>
      <c r="F226" s="847"/>
      <c r="G226" s="696"/>
      <c r="H226" s="847"/>
      <c r="I226" s="696"/>
      <c r="J226" s="847"/>
      <c r="K226" s="696"/>
      <c r="L226" s="847"/>
      <c r="M226" s="696"/>
      <c r="N226" s="696"/>
      <c r="O226" s="847"/>
      <c r="P226" s="696"/>
      <c r="Q226" s="847"/>
      <c r="R226" s="696"/>
      <c r="S226" s="847"/>
      <c r="T226" s="696"/>
      <c r="U226" s="847"/>
      <c r="V226" s="696"/>
      <c r="W226" s="847"/>
      <c r="X226" s="696"/>
      <c r="Y226" s="696"/>
      <c r="Z226" s="713"/>
      <c r="AA226" s="696"/>
      <c r="AB226" s="713"/>
      <c r="AC226" s="696"/>
      <c r="AD226" s="713"/>
      <c r="AE226" s="696"/>
      <c r="AF226" s="713"/>
      <c r="AG226" s="696"/>
      <c r="AH226" s="713"/>
      <c r="AI226" s="696"/>
      <c r="AJ226" s="696"/>
      <c r="AK226" s="713"/>
      <c r="AL226" s="696"/>
      <c r="AM226" s="713"/>
      <c r="AN226" s="696"/>
      <c r="AO226" s="713"/>
      <c r="AP226" s="696"/>
      <c r="AQ226" s="713"/>
      <c r="AR226" s="696"/>
      <c r="AS226" s="713"/>
      <c r="AT226" s="696"/>
      <c r="AU226" s="696"/>
      <c r="AV226" s="713"/>
      <c r="AW226" s="696"/>
      <c r="AX226" s="713"/>
      <c r="AY226" s="696"/>
      <c r="AZ226" s="713"/>
      <c r="BA226" s="696"/>
      <c r="BB226" s="713"/>
      <c r="BC226" s="696"/>
      <c r="BD226" s="713"/>
      <c r="BE226" s="696"/>
    </row>
    <row r="227" spans="1:57" s="44" customFormat="1">
      <c r="A227" s="700"/>
      <c r="B227" s="700"/>
      <c r="C227" s="700"/>
      <c r="D227" s="847"/>
      <c r="E227" s="696"/>
      <c r="F227" s="847"/>
      <c r="G227" s="696"/>
      <c r="H227" s="847"/>
      <c r="I227" s="696"/>
      <c r="J227" s="847"/>
      <c r="K227" s="696"/>
      <c r="L227" s="847"/>
      <c r="M227" s="696"/>
      <c r="N227" s="696"/>
      <c r="O227" s="847"/>
      <c r="P227" s="696"/>
      <c r="Q227" s="847"/>
      <c r="R227" s="696"/>
      <c r="S227" s="847"/>
      <c r="T227" s="696"/>
      <c r="U227" s="847"/>
      <c r="V227" s="696"/>
      <c r="W227" s="847"/>
      <c r="X227" s="696"/>
      <c r="Y227" s="696"/>
      <c r="Z227" s="713"/>
      <c r="AA227" s="696"/>
      <c r="AB227" s="713"/>
      <c r="AC227" s="696"/>
      <c r="AD227" s="713"/>
      <c r="AE227" s="696"/>
      <c r="AF227" s="713"/>
      <c r="AG227" s="696"/>
      <c r="AH227" s="713"/>
      <c r="AI227" s="696"/>
      <c r="AJ227" s="696"/>
      <c r="AK227" s="713"/>
      <c r="AL227" s="696"/>
      <c r="AM227" s="713"/>
      <c r="AN227" s="696"/>
      <c r="AO227" s="713"/>
      <c r="AP227" s="696"/>
      <c r="AQ227" s="713"/>
      <c r="AR227" s="696"/>
      <c r="AS227" s="713"/>
      <c r="AT227" s="696"/>
      <c r="AU227" s="696"/>
      <c r="AV227" s="713"/>
      <c r="AW227" s="696"/>
      <c r="AX227" s="713"/>
      <c r="AY227" s="696"/>
      <c r="AZ227" s="713"/>
      <c r="BA227" s="696"/>
      <c r="BB227" s="713"/>
      <c r="BC227" s="696"/>
      <c r="BD227" s="713"/>
      <c r="BE227" s="696"/>
    </row>
    <row r="228" spans="1:57" s="44" customFormat="1">
      <c r="A228" s="700"/>
      <c r="B228" s="700"/>
      <c r="C228" s="700"/>
      <c r="D228" s="847"/>
      <c r="E228" s="696"/>
      <c r="F228" s="847"/>
      <c r="G228" s="696"/>
      <c r="H228" s="847"/>
      <c r="I228" s="696"/>
      <c r="J228" s="847"/>
      <c r="K228" s="696"/>
      <c r="L228" s="847"/>
      <c r="M228" s="696"/>
      <c r="N228" s="696"/>
      <c r="O228" s="847"/>
      <c r="P228" s="696"/>
      <c r="Q228" s="847"/>
      <c r="R228" s="696"/>
      <c r="S228" s="847"/>
      <c r="T228" s="696"/>
      <c r="U228" s="847"/>
      <c r="V228" s="696"/>
      <c r="W228" s="847"/>
      <c r="X228" s="696"/>
      <c r="Y228" s="696"/>
      <c r="Z228" s="713"/>
      <c r="AA228" s="696"/>
      <c r="AB228" s="713"/>
      <c r="AC228" s="696"/>
      <c r="AD228" s="713"/>
      <c r="AE228" s="696"/>
      <c r="AF228" s="713"/>
      <c r="AG228" s="696"/>
      <c r="AH228" s="713"/>
      <c r="AI228" s="696"/>
      <c r="AJ228" s="696"/>
      <c r="AK228" s="713"/>
      <c r="AL228" s="696"/>
      <c r="AM228" s="713"/>
      <c r="AN228" s="696"/>
      <c r="AO228" s="713"/>
      <c r="AP228" s="696"/>
      <c r="AQ228" s="713"/>
      <c r="AR228" s="696"/>
      <c r="AS228" s="713"/>
      <c r="AT228" s="696"/>
      <c r="AU228" s="696"/>
      <c r="AV228" s="713"/>
      <c r="AW228" s="696"/>
      <c r="AX228" s="713"/>
      <c r="AY228" s="696"/>
      <c r="AZ228" s="713"/>
      <c r="BA228" s="696"/>
      <c r="BB228" s="713"/>
      <c r="BC228" s="696"/>
      <c r="BD228" s="713"/>
      <c r="BE228" s="696"/>
    </row>
    <row r="229" spans="1:57" s="44" customFormat="1">
      <c r="A229" s="700"/>
      <c r="B229" s="700"/>
      <c r="C229" s="700"/>
      <c r="D229" s="847"/>
      <c r="E229" s="696"/>
      <c r="F229" s="847"/>
      <c r="G229" s="696"/>
      <c r="H229" s="847"/>
      <c r="I229" s="696"/>
      <c r="J229" s="847"/>
      <c r="K229" s="696"/>
      <c r="L229" s="847"/>
      <c r="M229" s="696"/>
      <c r="N229" s="696"/>
      <c r="O229" s="847"/>
      <c r="P229" s="696"/>
      <c r="Q229" s="847"/>
      <c r="R229" s="696"/>
      <c r="S229" s="847"/>
      <c r="T229" s="696"/>
      <c r="U229" s="847"/>
      <c r="V229" s="696"/>
      <c r="W229" s="847"/>
      <c r="X229" s="696"/>
      <c r="Y229" s="696"/>
      <c r="Z229" s="713"/>
      <c r="AA229" s="696"/>
      <c r="AB229" s="713"/>
      <c r="AC229" s="696"/>
      <c r="AD229" s="713"/>
      <c r="AE229" s="696"/>
      <c r="AF229" s="713"/>
      <c r="AG229" s="696"/>
      <c r="AH229" s="713"/>
      <c r="AI229" s="696"/>
      <c r="AJ229" s="696"/>
      <c r="AK229" s="713"/>
      <c r="AL229" s="696"/>
      <c r="AM229" s="713"/>
      <c r="AN229" s="696"/>
      <c r="AO229" s="713"/>
      <c r="AP229" s="696"/>
      <c r="AQ229" s="713"/>
      <c r="AR229" s="696"/>
      <c r="AS229" s="713"/>
      <c r="AT229" s="696"/>
      <c r="AU229" s="696"/>
      <c r="AV229" s="713"/>
      <c r="AW229" s="696"/>
      <c r="AX229" s="713"/>
      <c r="AY229" s="696"/>
      <c r="AZ229" s="713"/>
      <c r="BA229" s="696"/>
      <c r="BB229" s="713"/>
      <c r="BC229" s="696"/>
      <c r="BD229" s="713"/>
      <c r="BE229" s="696"/>
    </row>
    <row r="230" spans="1:57" s="44" customFormat="1">
      <c r="A230" s="700"/>
      <c r="B230" s="700"/>
      <c r="C230" s="700"/>
      <c r="D230" s="847"/>
      <c r="E230" s="696"/>
      <c r="F230" s="847"/>
      <c r="G230" s="696"/>
      <c r="H230" s="847"/>
      <c r="I230" s="696"/>
      <c r="J230" s="847"/>
      <c r="K230" s="696"/>
      <c r="L230" s="847"/>
      <c r="M230" s="696"/>
      <c r="N230" s="696"/>
      <c r="O230" s="847"/>
      <c r="P230" s="696"/>
      <c r="Q230" s="847"/>
      <c r="R230" s="696"/>
      <c r="S230" s="847"/>
      <c r="T230" s="696"/>
      <c r="U230" s="847"/>
      <c r="V230" s="696"/>
      <c r="W230" s="847"/>
      <c r="X230" s="696"/>
      <c r="Y230" s="696"/>
      <c r="Z230" s="713"/>
      <c r="AA230" s="696"/>
      <c r="AB230" s="713"/>
      <c r="AC230" s="696"/>
      <c r="AD230" s="713"/>
      <c r="AE230" s="696"/>
      <c r="AF230" s="713"/>
      <c r="AG230" s="696"/>
      <c r="AH230" s="713"/>
      <c r="AI230" s="696"/>
      <c r="AJ230" s="696"/>
      <c r="AK230" s="713"/>
      <c r="AL230" s="696"/>
      <c r="AM230" s="713"/>
      <c r="AN230" s="696"/>
      <c r="AO230" s="713"/>
      <c r="AP230" s="696"/>
      <c r="AQ230" s="713"/>
      <c r="AR230" s="696"/>
      <c r="AS230" s="713"/>
      <c r="AT230" s="696"/>
      <c r="AU230" s="696"/>
      <c r="AV230" s="713"/>
      <c r="AW230" s="696"/>
      <c r="AX230" s="713"/>
      <c r="AY230" s="696"/>
      <c r="AZ230" s="713"/>
      <c r="BA230" s="696"/>
      <c r="BB230" s="713"/>
      <c r="BC230" s="696"/>
      <c r="BD230" s="713"/>
      <c r="BE230" s="696"/>
    </row>
    <row r="231" spans="1:57" s="44" customFormat="1">
      <c r="A231" s="700"/>
      <c r="B231" s="700"/>
      <c r="C231" s="700"/>
      <c r="D231" s="847"/>
      <c r="E231" s="696"/>
      <c r="F231" s="847"/>
      <c r="G231" s="696"/>
      <c r="H231" s="847"/>
      <c r="I231" s="696"/>
      <c r="J231" s="847"/>
      <c r="K231" s="696"/>
      <c r="L231" s="847"/>
      <c r="M231" s="696"/>
      <c r="N231" s="696"/>
      <c r="O231" s="847"/>
      <c r="P231" s="696"/>
      <c r="Q231" s="847"/>
      <c r="R231" s="696"/>
      <c r="S231" s="847"/>
      <c r="T231" s="696"/>
      <c r="U231" s="847"/>
      <c r="V231" s="696"/>
      <c r="W231" s="847"/>
      <c r="X231" s="696"/>
      <c r="Y231" s="696"/>
      <c r="Z231" s="713"/>
      <c r="AA231" s="696"/>
      <c r="AB231" s="713"/>
      <c r="AC231" s="696"/>
      <c r="AD231" s="713"/>
      <c r="AE231" s="696"/>
      <c r="AF231" s="713"/>
      <c r="AG231" s="696"/>
      <c r="AH231" s="713"/>
      <c r="AI231" s="696"/>
      <c r="AJ231" s="696"/>
      <c r="AK231" s="713"/>
      <c r="AL231" s="696"/>
      <c r="AM231" s="713"/>
      <c r="AN231" s="696"/>
      <c r="AO231" s="713"/>
      <c r="AP231" s="696"/>
      <c r="AQ231" s="713"/>
      <c r="AR231" s="696"/>
      <c r="AS231" s="713"/>
      <c r="AT231" s="696"/>
      <c r="AU231" s="696"/>
      <c r="AV231" s="713"/>
      <c r="AW231" s="696"/>
      <c r="AX231" s="713"/>
      <c r="AY231" s="696"/>
      <c r="AZ231" s="713"/>
      <c r="BA231" s="696"/>
      <c r="BB231" s="713"/>
      <c r="BC231" s="696"/>
      <c r="BD231" s="713"/>
      <c r="BE231" s="696"/>
    </row>
    <row r="232" spans="1:57" s="44" customFormat="1">
      <c r="A232" s="700"/>
      <c r="B232" s="700"/>
      <c r="C232" s="700"/>
      <c r="D232" s="847"/>
      <c r="E232" s="696"/>
      <c r="F232" s="847"/>
      <c r="G232" s="696"/>
      <c r="H232" s="847"/>
      <c r="I232" s="696"/>
      <c r="J232" s="847"/>
      <c r="K232" s="696"/>
      <c r="L232" s="847"/>
      <c r="M232" s="696"/>
      <c r="N232" s="696"/>
      <c r="O232" s="847"/>
      <c r="P232" s="696"/>
      <c r="Q232" s="847"/>
      <c r="R232" s="696"/>
      <c r="S232" s="847"/>
      <c r="T232" s="696"/>
      <c r="U232" s="847"/>
      <c r="V232" s="696"/>
      <c r="W232" s="847"/>
      <c r="X232" s="696"/>
      <c r="Y232" s="696"/>
      <c r="Z232" s="713"/>
      <c r="AA232" s="696"/>
      <c r="AB232" s="713"/>
      <c r="AC232" s="696"/>
      <c r="AD232" s="713"/>
      <c r="AE232" s="696"/>
      <c r="AF232" s="713"/>
      <c r="AG232" s="696"/>
      <c r="AH232" s="713"/>
      <c r="AI232" s="696"/>
      <c r="AJ232" s="696"/>
      <c r="AK232" s="713"/>
      <c r="AL232" s="696"/>
      <c r="AM232" s="713"/>
      <c r="AN232" s="696"/>
      <c r="AO232" s="713"/>
      <c r="AP232" s="696"/>
      <c r="AQ232" s="713"/>
      <c r="AR232" s="696"/>
      <c r="AS232" s="713"/>
      <c r="AT232" s="696"/>
      <c r="AU232" s="696"/>
      <c r="AV232" s="713"/>
      <c r="AW232" s="696"/>
      <c r="AX232" s="713"/>
      <c r="AY232" s="696"/>
      <c r="AZ232" s="713"/>
      <c r="BA232" s="696"/>
      <c r="BB232" s="713"/>
      <c r="BC232" s="696"/>
      <c r="BD232" s="713"/>
      <c r="BE232" s="696"/>
    </row>
    <row r="233" spans="1:57" s="44" customFormat="1">
      <c r="A233" s="700"/>
      <c r="B233" s="700"/>
      <c r="C233" s="700"/>
      <c r="D233" s="847"/>
      <c r="E233" s="696"/>
      <c r="F233" s="847"/>
      <c r="G233" s="696"/>
      <c r="H233" s="847"/>
      <c r="I233" s="696"/>
      <c r="J233" s="847"/>
      <c r="K233" s="696"/>
      <c r="L233" s="847"/>
      <c r="M233" s="696"/>
      <c r="N233" s="696"/>
      <c r="O233" s="847"/>
      <c r="P233" s="696"/>
      <c r="Q233" s="847"/>
      <c r="R233" s="696"/>
      <c r="S233" s="847"/>
      <c r="T233" s="696"/>
      <c r="U233" s="847"/>
      <c r="V233" s="696"/>
      <c r="W233" s="847"/>
      <c r="X233" s="696"/>
      <c r="Y233" s="696"/>
      <c r="Z233" s="713"/>
      <c r="AA233" s="696"/>
      <c r="AB233" s="713"/>
      <c r="AC233" s="696"/>
      <c r="AD233" s="713"/>
      <c r="AE233" s="696"/>
      <c r="AF233" s="713"/>
      <c r="AG233" s="696"/>
      <c r="AH233" s="713"/>
      <c r="AI233" s="696"/>
      <c r="AJ233" s="696"/>
      <c r="AK233" s="713"/>
      <c r="AL233" s="696"/>
      <c r="AM233" s="713"/>
      <c r="AN233" s="696"/>
      <c r="AO233" s="713"/>
      <c r="AP233" s="696"/>
      <c r="AQ233" s="713"/>
      <c r="AR233" s="696"/>
      <c r="AS233" s="713"/>
      <c r="AT233" s="696"/>
      <c r="AU233" s="696"/>
      <c r="AV233" s="713"/>
      <c r="AW233" s="696"/>
      <c r="AX233" s="713"/>
      <c r="AY233" s="696"/>
      <c r="AZ233" s="713"/>
      <c r="BA233" s="696"/>
      <c r="BB233" s="713"/>
      <c r="BC233" s="696"/>
      <c r="BD233" s="713"/>
      <c r="BE233" s="696"/>
    </row>
    <row r="234" spans="1:57" s="44" customFormat="1">
      <c r="A234" s="700"/>
      <c r="B234" s="700"/>
      <c r="C234" s="700"/>
      <c r="D234" s="847"/>
      <c r="E234" s="696"/>
      <c r="F234" s="847"/>
      <c r="G234" s="696"/>
      <c r="H234" s="847"/>
      <c r="I234" s="696"/>
      <c r="J234" s="847"/>
      <c r="K234" s="696"/>
      <c r="L234" s="847"/>
      <c r="M234" s="696"/>
      <c r="N234" s="696"/>
      <c r="O234" s="847"/>
      <c r="P234" s="696"/>
      <c r="Q234" s="847"/>
      <c r="R234" s="696"/>
      <c r="S234" s="847"/>
      <c r="T234" s="696"/>
      <c r="U234" s="847"/>
      <c r="V234" s="696"/>
      <c r="W234" s="847"/>
      <c r="X234" s="696"/>
      <c r="Y234" s="696"/>
      <c r="Z234" s="713"/>
      <c r="AA234" s="696"/>
      <c r="AB234" s="713"/>
      <c r="AC234" s="696"/>
      <c r="AD234" s="713"/>
      <c r="AE234" s="696"/>
      <c r="AF234" s="713"/>
      <c r="AG234" s="696"/>
      <c r="AH234" s="713"/>
      <c r="AI234" s="696"/>
      <c r="AJ234" s="696"/>
      <c r="AK234" s="713"/>
      <c r="AL234" s="696"/>
      <c r="AM234" s="713"/>
      <c r="AN234" s="696"/>
      <c r="AO234" s="713"/>
      <c r="AP234" s="696"/>
      <c r="AQ234" s="713"/>
      <c r="AR234" s="696"/>
      <c r="AS234" s="713"/>
      <c r="AT234" s="696"/>
      <c r="AU234" s="696"/>
      <c r="AV234" s="713"/>
      <c r="AW234" s="696"/>
      <c r="AX234" s="713"/>
      <c r="AY234" s="696"/>
      <c r="AZ234" s="713"/>
      <c r="BA234" s="696"/>
      <c r="BB234" s="713"/>
      <c r="BC234" s="696"/>
      <c r="BD234" s="713"/>
      <c r="BE234" s="696"/>
    </row>
    <row r="235" spans="1:57" s="44" customFormat="1">
      <c r="A235" s="700"/>
      <c r="B235" s="700"/>
      <c r="C235" s="700"/>
      <c r="D235" s="847"/>
      <c r="E235" s="696"/>
      <c r="F235" s="847"/>
      <c r="G235" s="696"/>
      <c r="H235" s="847"/>
      <c r="I235" s="696"/>
      <c r="J235" s="847"/>
      <c r="K235" s="696"/>
      <c r="L235" s="847"/>
      <c r="M235" s="696"/>
      <c r="N235" s="696"/>
      <c r="O235" s="847"/>
      <c r="P235" s="696"/>
      <c r="Q235" s="847"/>
      <c r="R235" s="696"/>
      <c r="S235" s="847"/>
      <c r="T235" s="696"/>
      <c r="U235" s="847"/>
      <c r="V235" s="696"/>
      <c r="W235" s="847"/>
      <c r="X235" s="696"/>
      <c r="Y235" s="696"/>
      <c r="Z235" s="713"/>
      <c r="AA235" s="696"/>
      <c r="AB235" s="713"/>
      <c r="AC235" s="696"/>
      <c r="AD235" s="713"/>
      <c r="AE235" s="696"/>
      <c r="AF235" s="713"/>
      <c r="AG235" s="696"/>
      <c r="AH235" s="713"/>
      <c r="AI235" s="696"/>
      <c r="AJ235" s="696"/>
      <c r="AK235" s="713"/>
      <c r="AL235" s="696"/>
      <c r="AM235" s="713"/>
      <c r="AN235" s="696"/>
      <c r="AO235" s="713"/>
      <c r="AP235" s="696"/>
      <c r="AQ235" s="713"/>
      <c r="AR235" s="696"/>
      <c r="AS235" s="713"/>
      <c r="AT235" s="696"/>
      <c r="AU235" s="696"/>
      <c r="AV235" s="713"/>
      <c r="AW235" s="696"/>
      <c r="AX235" s="713"/>
      <c r="AY235" s="696"/>
      <c r="AZ235" s="713"/>
      <c r="BA235" s="696"/>
      <c r="BB235" s="713"/>
      <c r="BC235" s="696"/>
      <c r="BD235" s="713"/>
      <c r="BE235" s="696"/>
    </row>
    <row r="236" spans="1:57" s="44" customFormat="1">
      <c r="A236" s="700"/>
      <c r="B236" s="700"/>
      <c r="C236" s="700"/>
      <c r="D236" s="847"/>
      <c r="E236" s="696"/>
      <c r="F236" s="847"/>
      <c r="G236" s="696"/>
      <c r="H236" s="847"/>
      <c r="I236" s="696"/>
      <c r="J236" s="847"/>
      <c r="K236" s="696"/>
      <c r="L236" s="847"/>
      <c r="M236" s="696"/>
      <c r="N236" s="696"/>
      <c r="O236" s="847"/>
      <c r="P236" s="696"/>
      <c r="Q236" s="847"/>
      <c r="R236" s="696"/>
      <c r="S236" s="847"/>
      <c r="T236" s="696"/>
      <c r="U236" s="847"/>
      <c r="V236" s="696"/>
      <c r="W236" s="847"/>
      <c r="X236" s="696"/>
      <c r="Y236" s="696"/>
      <c r="Z236" s="713"/>
      <c r="AA236" s="696"/>
      <c r="AB236" s="713"/>
      <c r="AC236" s="696"/>
      <c r="AD236" s="713"/>
      <c r="AE236" s="696"/>
      <c r="AF236" s="713"/>
      <c r="AG236" s="696"/>
      <c r="AH236" s="713"/>
      <c r="AI236" s="696"/>
      <c r="AJ236" s="696"/>
      <c r="AK236" s="713"/>
      <c r="AL236" s="696"/>
      <c r="AM236" s="713"/>
      <c r="AN236" s="696"/>
      <c r="AO236" s="713"/>
      <c r="AP236" s="696"/>
      <c r="AQ236" s="713"/>
      <c r="AR236" s="696"/>
      <c r="AS236" s="713"/>
      <c r="AT236" s="696"/>
      <c r="AU236" s="696"/>
      <c r="AV236" s="713"/>
      <c r="AW236" s="696"/>
      <c r="AX236" s="713"/>
      <c r="AY236" s="696"/>
      <c r="AZ236" s="713"/>
      <c r="BA236" s="696"/>
      <c r="BB236" s="713"/>
      <c r="BC236" s="696"/>
      <c r="BD236" s="713"/>
      <c r="BE236" s="696"/>
    </row>
    <row r="237" spans="1:57" s="44" customFormat="1">
      <c r="A237" s="700"/>
      <c r="B237" s="700"/>
      <c r="C237" s="700"/>
      <c r="D237" s="847"/>
      <c r="E237" s="696"/>
      <c r="F237" s="847"/>
      <c r="G237" s="696"/>
      <c r="H237" s="847"/>
      <c r="I237" s="696"/>
      <c r="J237" s="847"/>
      <c r="K237" s="696"/>
      <c r="L237" s="847"/>
      <c r="M237" s="696"/>
      <c r="N237" s="696"/>
      <c r="O237" s="847"/>
      <c r="P237" s="696"/>
      <c r="Q237" s="847"/>
      <c r="R237" s="696"/>
      <c r="S237" s="847"/>
      <c r="T237" s="696"/>
      <c r="U237" s="847"/>
      <c r="V237" s="696"/>
      <c r="W237" s="847"/>
      <c r="X237" s="696"/>
      <c r="Y237" s="696"/>
      <c r="Z237" s="713"/>
      <c r="AA237" s="696"/>
      <c r="AB237" s="713"/>
      <c r="AC237" s="696"/>
      <c r="AD237" s="713"/>
      <c r="AE237" s="696"/>
      <c r="AF237" s="713"/>
      <c r="AG237" s="696"/>
      <c r="AH237" s="713"/>
      <c r="AI237" s="696"/>
      <c r="AJ237" s="696"/>
      <c r="AK237" s="713"/>
      <c r="AL237" s="696"/>
      <c r="AM237" s="713"/>
      <c r="AN237" s="696"/>
      <c r="AO237" s="713"/>
      <c r="AP237" s="696"/>
      <c r="AQ237" s="713"/>
      <c r="AR237" s="696"/>
      <c r="AS237" s="713"/>
      <c r="AT237" s="696"/>
      <c r="AU237" s="696"/>
      <c r="AV237" s="713"/>
      <c r="AW237" s="696"/>
      <c r="AX237" s="713"/>
      <c r="AY237" s="696"/>
      <c r="AZ237" s="713"/>
      <c r="BA237" s="696"/>
      <c r="BB237" s="713"/>
      <c r="BC237" s="696"/>
      <c r="BD237" s="713"/>
      <c r="BE237" s="696"/>
    </row>
    <row r="238" spans="1:57" s="44" customFormat="1">
      <c r="A238" s="700"/>
      <c r="B238" s="700"/>
      <c r="C238" s="700"/>
      <c r="D238" s="847"/>
      <c r="E238" s="696"/>
      <c r="F238" s="847"/>
      <c r="G238" s="696"/>
      <c r="H238" s="847"/>
      <c r="I238" s="696"/>
      <c r="J238" s="847"/>
      <c r="K238" s="696"/>
      <c r="L238" s="847"/>
      <c r="M238" s="696"/>
      <c r="N238" s="696"/>
      <c r="O238" s="847"/>
      <c r="P238" s="696"/>
      <c r="Q238" s="847"/>
      <c r="R238" s="696"/>
      <c r="S238" s="847"/>
      <c r="T238" s="696"/>
      <c r="U238" s="847"/>
      <c r="V238" s="696"/>
      <c r="W238" s="847"/>
      <c r="X238" s="696"/>
      <c r="Y238" s="696"/>
      <c r="Z238" s="713"/>
      <c r="AA238" s="696"/>
      <c r="AB238" s="713"/>
      <c r="AC238" s="696"/>
      <c r="AD238" s="713"/>
      <c r="AE238" s="696"/>
      <c r="AF238" s="713"/>
      <c r="AG238" s="696"/>
      <c r="AH238" s="713"/>
      <c r="AI238" s="696"/>
      <c r="AJ238" s="696"/>
      <c r="AK238" s="713"/>
      <c r="AL238" s="696"/>
      <c r="AM238" s="713"/>
      <c r="AN238" s="696"/>
      <c r="AO238" s="713"/>
      <c r="AP238" s="696"/>
      <c r="AQ238" s="713"/>
      <c r="AR238" s="696"/>
      <c r="AS238" s="713"/>
      <c r="AT238" s="696"/>
      <c r="AU238" s="696"/>
      <c r="AV238" s="713"/>
      <c r="AW238" s="696"/>
      <c r="AX238" s="713"/>
      <c r="AY238" s="696"/>
      <c r="AZ238" s="713"/>
      <c r="BA238" s="696"/>
      <c r="BB238" s="713"/>
      <c r="BC238" s="696"/>
      <c r="BD238" s="713"/>
      <c r="BE238" s="696"/>
    </row>
    <row r="239" spans="1:57" s="44" customFormat="1">
      <c r="A239" s="700"/>
      <c r="B239" s="700"/>
      <c r="C239" s="700"/>
      <c r="D239" s="847"/>
      <c r="E239" s="696"/>
      <c r="F239" s="847"/>
      <c r="G239" s="696"/>
      <c r="H239" s="847"/>
      <c r="I239" s="696"/>
      <c r="J239" s="847"/>
      <c r="K239" s="696"/>
      <c r="L239" s="847"/>
      <c r="M239" s="696"/>
      <c r="N239" s="696"/>
      <c r="O239" s="847"/>
      <c r="P239" s="696"/>
      <c r="Q239" s="847"/>
      <c r="R239" s="696"/>
      <c r="S239" s="847"/>
      <c r="T239" s="696"/>
      <c r="U239" s="847"/>
      <c r="V239" s="696"/>
      <c r="W239" s="847"/>
      <c r="X239" s="696"/>
      <c r="Y239" s="696"/>
      <c r="Z239" s="713"/>
      <c r="AA239" s="696"/>
      <c r="AB239" s="713"/>
      <c r="AC239" s="696"/>
      <c r="AD239" s="713"/>
      <c r="AE239" s="696"/>
      <c r="AF239" s="713"/>
      <c r="AG239" s="696"/>
      <c r="AH239" s="713"/>
      <c r="AI239" s="696"/>
      <c r="AJ239" s="696"/>
      <c r="AK239" s="713"/>
      <c r="AL239" s="696"/>
      <c r="AM239" s="713"/>
      <c r="AN239" s="696"/>
      <c r="AO239" s="713"/>
      <c r="AP239" s="696"/>
      <c r="AQ239" s="713"/>
      <c r="AR239" s="696"/>
      <c r="AS239" s="713"/>
      <c r="AT239" s="696"/>
      <c r="AU239" s="696"/>
      <c r="AV239" s="713"/>
      <c r="AW239" s="696"/>
      <c r="AX239" s="713"/>
      <c r="AY239" s="696"/>
      <c r="AZ239" s="713"/>
      <c r="BA239" s="696"/>
      <c r="BB239" s="713"/>
      <c r="BC239" s="696"/>
      <c r="BD239" s="713"/>
      <c r="BE239" s="696"/>
    </row>
    <row r="240" spans="1:57" s="44" customFormat="1">
      <c r="A240" s="700"/>
      <c r="B240" s="700"/>
      <c r="C240" s="700"/>
      <c r="D240" s="847"/>
      <c r="E240" s="696"/>
      <c r="F240" s="847"/>
      <c r="G240" s="696"/>
      <c r="H240" s="847"/>
      <c r="I240" s="696"/>
      <c r="J240" s="847"/>
      <c r="K240" s="696"/>
      <c r="L240" s="847"/>
      <c r="M240" s="696"/>
      <c r="N240" s="696"/>
      <c r="O240" s="847"/>
      <c r="P240" s="696"/>
      <c r="Q240" s="847"/>
      <c r="R240" s="696"/>
      <c r="S240" s="847"/>
      <c r="T240" s="696"/>
      <c r="U240" s="847"/>
      <c r="V240" s="696"/>
      <c r="W240" s="847"/>
      <c r="X240" s="696"/>
      <c r="Y240" s="696"/>
      <c r="Z240" s="713"/>
      <c r="AA240" s="696"/>
      <c r="AB240" s="713"/>
      <c r="AC240" s="696"/>
      <c r="AD240" s="713"/>
      <c r="AE240" s="696"/>
      <c r="AF240" s="713"/>
      <c r="AG240" s="696"/>
      <c r="AH240" s="713"/>
      <c r="AI240" s="696"/>
      <c r="AJ240" s="696"/>
      <c r="AK240" s="713"/>
      <c r="AL240" s="696"/>
      <c r="AM240" s="713"/>
      <c r="AN240" s="696"/>
      <c r="AO240" s="713"/>
      <c r="AP240" s="696"/>
      <c r="AQ240" s="713"/>
      <c r="AR240" s="696"/>
      <c r="AS240" s="713"/>
      <c r="AT240" s="696"/>
      <c r="AU240" s="696"/>
      <c r="AV240" s="713"/>
      <c r="AW240" s="696"/>
      <c r="AX240" s="713"/>
      <c r="AY240" s="696"/>
      <c r="AZ240" s="713"/>
      <c r="BA240" s="696"/>
      <c r="BB240" s="713"/>
      <c r="BC240" s="696"/>
      <c r="BD240" s="713"/>
      <c r="BE240" s="696"/>
    </row>
    <row r="241" spans="1:57" s="44" customFormat="1">
      <c r="A241" s="700"/>
      <c r="B241" s="700"/>
      <c r="C241" s="700"/>
      <c r="D241" s="847"/>
      <c r="E241" s="696"/>
      <c r="F241" s="847"/>
      <c r="G241" s="696"/>
      <c r="H241" s="847"/>
      <c r="I241" s="696"/>
      <c r="J241" s="847"/>
      <c r="K241" s="696"/>
      <c r="L241" s="847"/>
      <c r="M241" s="696"/>
      <c r="N241" s="696"/>
      <c r="O241" s="847"/>
      <c r="P241" s="696"/>
      <c r="Q241" s="847"/>
      <c r="R241" s="696"/>
      <c r="S241" s="847"/>
      <c r="T241" s="696"/>
      <c r="U241" s="847"/>
      <c r="V241" s="696"/>
      <c r="W241" s="847"/>
      <c r="X241" s="696"/>
      <c r="Y241" s="696"/>
      <c r="Z241" s="713"/>
      <c r="AA241" s="696"/>
      <c r="AB241" s="713"/>
      <c r="AC241" s="696"/>
      <c r="AD241" s="713"/>
      <c r="AE241" s="696"/>
      <c r="AF241" s="713"/>
      <c r="AG241" s="696"/>
      <c r="AH241" s="713"/>
      <c r="AI241" s="696"/>
      <c r="AJ241" s="696"/>
      <c r="AK241" s="713"/>
      <c r="AL241" s="696"/>
      <c r="AM241" s="713"/>
      <c r="AN241" s="696"/>
      <c r="AO241" s="713"/>
      <c r="AP241" s="696"/>
      <c r="AQ241" s="713"/>
      <c r="AR241" s="696"/>
      <c r="AS241" s="713"/>
      <c r="AT241" s="696"/>
      <c r="AU241" s="696"/>
      <c r="AV241" s="713"/>
      <c r="AW241" s="696"/>
      <c r="AX241" s="713"/>
      <c r="AY241" s="696"/>
      <c r="AZ241" s="713"/>
      <c r="BA241" s="696"/>
      <c r="BB241" s="713"/>
      <c r="BC241" s="696"/>
      <c r="BD241" s="713"/>
      <c r="BE241" s="696"/>
    </row>
    <row r="242" spans="1:57" s="44" customFormat="1">
      <c r="A242" s="700"/>
      <c r="B242" s="700"/>
      <c r="C242" s="700"/>
      <c r="D242" s="847"/>
      <c r="E242" s="696"/>
      <c r="F242" s="847"/>
      <c r="G242" s="696"/>
      <c r="H242" s="847"/>
      <c r="I242" s="696"/>
      <c r="J242" s="847"/>
      <c r="K242" s="696"/>
      <c r="L242" s="847"/>
      <c r="M242" s="696"/>
      <c r="N242" s="696"/>
      <c r="O242" s="847"/>
      <c r="P242" s="696"/>
      <c r="Q242" s="847"/>
      <c r="R242" s="696"/>
      <c r="S242" s="847"/>
      <c r="T242" s="696"/>
      <c r="U242" s="847"/>
      <c r="V242" s="696"/>
      <c r="W242" s="847"/>
      <c r="X242" s="696"/>
      <c r="Y242" s="696"/>
      <c r="Z242" s="713"/>
      <c r="AA242" s="696"/>
      <c r="AB242" s="713"/>
      <c r="AC242" s="696"/>
      <c r="AD242" s="713"/>
      <c r="AE242" s="696"/>
      <c r="AF242" s="713"/>
      <c r="AG242" s="696"/>
      <c r="AH242" s="713"/>
      <c r="AI242" s="696"/>
      <c r="AJ242" s="696"/>
      <c r="AK242" s="713"/>
      <c r="AL242" s="696"/>
      <c r="AM242" s="713"/>
      <c r="AN242" s="696"/>
      <c r="AO242" s="713"/>
      <c r="AP242" s="696"/>
      <c r="AQ242" s="713"/>
      <c r="AR242" s="696"/>
      <c r="AS242" s="713"/>
      <c r="AT242" s="696"/>
      <c r="AU242" s="696"/>
      <c r="AV242" s="713"/>
      <c r="AW242" s="696"/>
      <c r="AX242" s="713"/>
      <c r="AY242" s="696"/>
      <c r="AZ242" s="713"/>
      <c r="BA242" s="696"/>
      <c r="BB242" s="713"/>
      <c r="BC242" s="696"/>
      <c r="BD242" s="713"/>
      <c r="BE242" s="696"/>
    </row>
    <row r="243" spans="1:57" s="44" customFormat="1">
      <c r="A243" s="700"/>
      <c r="B243" s="700"/>
      <c r="C243" s="700"/>
      <c r="D243" s="847"/>
      <c r="E243" s="696"/>
      <c r="F243" s="847"/>
      <c r="G243" s="696"/>
      <c r="H243" s="847"/>
      <c r="I243" s="696"/>
      <c r="J243" s="847"/>
      <c r="K243" s="696"/>
      <c r="L243" s="847"/>
      <c r="M243" s="696"/>
      <c r="N243" s="696"/>
      <c r="O243" s="847"/>
      <c r="P243" s="696"/>
      <c r="Q243" s="847"/>
      <c r="R243" s="696"/>
      <c r="S243" s="847"/>
      <c r="T243" s="696"/>
      <c r="U243" s="847"/>
      <c r="V243" s="696"/>
      <c r="W243" s="847"/>
      <c r="X243" s="696"/>
      <c r="Y243" s="696"/>
      <c r="Z243" s="713"/>
      <c r="AA243" s="696"/>
      <c r="AB243" s="713"/>
      <c r="AC243" s="696"/>
      <c r="AD243" s="713"/>
      <c r="AE243" s="696"/>
      <c r="AF243" s="713"/>
      <c r="AG243" s="696"/>
      <c r="AH243" s="713"/>
      <c r="AI243" s="696"/>
      <c r="AJ243" s="696"/>
      <c r="AK243" s="713"/>
      <c r="AL243" s="696"/>
      <c r="AM243" s="713"/>
      <c r="AN243" s="696"/>
      <c r="AO243" s="713"/>
      <c r="AP243" s="696"/>
      <c r="AQ243" s="713"/>
      <c r="AR243" s="696"/>
      <c r="AS243" s="713"/>
      <c r="AT243" s="696"/>
      <c r="AU243" s="696"/>
      <c r="AV243" s="713"/>
      <c r="AW243" s="696"/>
      <c r="AX243" s="713"/>
      <c r="AY243" s="696"/>
      <c r="AZ243" s="713"/>
      <c r="BA243" s="696"/>
      <c r="BB243" s="713"/>
      <c r="BC243" s="696"/>
      <c r="BD243" s="713"/>
      <c r="BE243" s="696"/>
    </row>
    <row r="244" spans="1:57" s="44" customFormat="1">
      <c r="A244" s="700"/>
      <c r="B244" s="700"/>
      <c r="C244" s="700"/>
      <c r="D244" s="847"/>
      <c r="E244" s="696"/>
      <c r="F244" s="847"/>
      <c r="G244" s="696"/>
      <c r="H244" s="847"/>
      <c r="I244" s="696"/>
      <c r="J244" s="847"/>
      <c r="K244" s="696"/>
      <c r="L244" s="847"/>
      <c r="M244" s="696"/>
      <c r="N244" s="696"/>
      <c r="O244" s="847"/>
      <c r="P244" s="696"/>
      <c r="Q244" s="847"/>
      <c r="R244" s="696"/>
      <c r="S244" s="847"/>
      <c r="T244" s="696"/>
      <c r="U244" s="847"/>
      <c r="V244" s="696"/>
      <c r="W244" s="847"/>
      <c r="X244" s="696"/>
      <c r="Y244" s="696"/>
      <c r="Z244" s="713"/>
      <c r="AA244" s="696"/>
      <c r="AB244" s="713"/>
      <c r="AC244" s="696"/>
      <c r="AD244" s="713"/>
      <c r="AE244" s="696"/>
      <c r="AF244" s="713"/>
      <c r="AG244" s="696"/>
      <c r="AH244" s="713"/>
      <c r="AI244" s="696"/>
      <c r="AJ244" s="696"/>
      <c r="AK244" s="713"/>
      <c r="AL244" s="696"/>
      <c r="AM244" s="713"/>
      <c r="AN244" s="696"/>
      <c r="AO244" s="713"/>
      <c r="AP244" s="696"/>
      <c r="AQ244" s="713"/>
      <c r="AR244" s="696"/>
      <c r="AS244" s="713"/>
      <c r="AT244" s="696"/>
      <c r="AU244" s="696"/>
      <c r="AV244" s="713"/>
      <c r="AW244" s="696"/>
      <c r="AX244" s="713"/>
      <c r="AY244" s="696"/>
      <c r="AZ244" s="713"/>
      <c r="BA244" s="696"/>
      <c r="BB244" s="713"/>
      <c r="BC244" s="696"/>
      <c r="BD244" s="713"/>
      <c r="BE244" s="696"/>
    </row>
    <row r="245" spans="1:57" s="44" customFormat="1">
      <c r="A245" s="700"/>
      <c r="B245" s="700"/>
      <c r="C245" s="700"/>
      <c r="D245" s="847"/>
      <c r="E245" s="696"/>
      <c r="F245" s="847"/>
      <c r="G245" s="696"/>
      <c r="H245" s="847"/>
      <c r="I245" s="696"/>
      <c r="J245" s="847"/>
      <c r="K245" s="696"/>
      <c r="L245" s="847"/>
      <c r="M245" s="696"/>
      <c r="N245" s="696"/>
      <c r="O245" s="847"/>
      <c r="P245" s="696"/>
      <c r="Q245" s="847"/>
      <c r="R245" s="696"/>
      <c r="S245" s="847"/>
      <c r="T245" s="696"/>
      <c r="U245" s="847"/>
      <c r="V245" s="696"/>
      <c r="W245" s="847"/>
      <c r="X245" s="696"/>
      <c r="Y245" s="696"/>
      <c r="Z245" s="713"/>
      <c r="AA245" s="696"/>
      <c r="AB245" s="713"/>
      <c r="AC245" s="696"/>
      <c r="AD245" s="713"/>
      <c r="AE245" s="696"/>
      <c r="AF245" s="713"/>
      <c r="AG245" s="696"/>
      <c r="AH245" s="713"/>
      <c r="AI245" s="696"/>
      <c r="AJ245" s="696"/>
      <c r="AK245" s="713"/>
      <c r="AL245" s="696"/>
      <c r="AM245" s="713"/>
      <c r="AN245" s="696"/>
      <c r="AO245" s="713"/>
      <c r="AP245" s="696"/>
      <c r="AQ245" s="713"/>
      <c r="AR245" s="696"/>
      <c r="AS245" s="713"/>
      <c r="AT245" s="696"/>
      <c r="AU245" s="696"/>
      <c r="AV245" s="713"/>
      <c r="AW245" s="696"/>
      <c r="AX245" s="713"/>
      <c r="AY245" s="696"/>
      <c r="AZ245" s="713"/>
      <c r="BA245" s="696"/>
      <c r="BB245" s="713"/>
      <c r="BC245" s="696"/>
      <c r="BD245" s="713"/>
      <c r="BE245" s="696"/>
    </row>
    <row r="246" spans="1:57" s="44" customFormat="1">
      <c r="A246" s="700"/>
      <c r="B246" s="700"/>
      <c r="C246" s="700"/>
      <c r="D246" s="847"/>
      <c r="E246" s="696"/>
      <c r="F246" s="847"/>
      <c r="G246" s="696"/>
      <c r="H246" s="847"/>
      <c r="I246" s="696"/>
      <c r="J246" s="847"/>
      <c r="K246" s="696"/>
      <c r="L246" s="847"/>
      <c r="M246" s="696"/>
      <c r="N246" s="696"/>
      <c r="O246" s="847"/>
      <c r="P246" s="696"/>
      <c r="Q246" s="847"/>
      <c r="R246" s="696"/>
      <c r="S246" s="847"/>
      <c r="T246" s="696"/>
      <c r="U246" s="847"/>
      <c r="V246" s="696"/>
      <c r="W246" s="847"/>
      <c r="X246" s="696"/>
      <c r="Y246" s="696"/>
      <c r="Z246" s="713"/>
      <c r="AA246" s="696"/>
      <c r="AB246" s="713"/>
      <c r="AC246" s="696"/>
      <c r="AD246" s="713"/>
      <c r="AE246" s="696"/>
      <c r="AF246" s="713"/>
      <c r="AG246" s="696"/>
      <c r="AH246" s="713"/>
      <c r="AI246" s="696"/>
      <c r="AJ246" s="696"/>
      <c r="AK246" s="713"/>
      <c r="AL246" s="696"/>
      <c r="AM246" s="713"/>
      <c r="AN246" s="696"/>
      <c r="AO246" s="713"/>
      <c r="AP246" s="696"/>
      <c r="AQ246" s="713"/>
      <c r="AR246" s="696"/>
      <c r="AS246" s="713"/>
      <c r="AT246" s="696"/>
      <c r="AU246" s="696"/>
      <c r="AV246" s="713"/>
      <c r="AW246" s="696"/>
      <c r="AX246" s="713"/>
      <c r="AY246" s="696"/>
      <c r="AZ246" s="713"/>
      <c r="BA246" s="696"/>
      <c r="BB246" s="713"/>
      <c r="BC246" s="696"/>
      <c r="BD246" s="713"/>
      <c r="BE246" s="696"/>
    </row>
    <row r="247" spans="1:57" s="44" customFormat="1">
      <c r="A247" s="700"/>
      <c r="B247" s="700"/>
      <c r="C247" s="700"/>
      <c r="D247" s="847"/>
      <c r="E247" s="696"/>
      <c r="F247" s="847"/>
      <c r="G247" s="696"/>
      <c r="H247" s="847"/>
      <c r="I247" s="696"/>
      <c r="J247" s="847"/>
      <c r="K247" s="696"/>
      <c r="L247" s="847"/>
      <c r="M247" s="696"/>
      <c r="N247" s="696"/>
      <c r="O247" s="847"/>
      <c r="P247" s="696"/>
      <c r="Q247" s="847"/>
      <c r="R247" s="696"/>
      <c r="S247" s="847"/>
      <c r="T247" s="696"/>
      <c r="U247" s="847"/>
      <c r="V247" s="696"/>
      <c r="W247" s="847"/>
      <c r="X247" s="696"/>
      <c r="Y247" s="696"/>
      <c r="Z247" s="713"/>
      <c r="AA247" s="696"/>
      <c r="AB247" s="713"/>
      <c r="AC247" s="696"/>
      <c r="AD247" s="713"/>
      <c r="AE247" s="696"/>
      <c r="AF247" s="713"/>
      <c r="AG247" s="696"/>
      <c r="AH247" s="713"/>
      <c r="AI247" s="696"/>
      <c r="AJ247" s="696"/>
      <c r="AK247" s="713"/>
      <c r="AL247" s="696"/>
      <c r="AM247" s="713"/>
      <c r="AN247" s="696"/>
      <c r="AO247" s="713"/>
      <c r="AP247" s="696"/>
      <c r="AQ247" s="713"/>
      <c r="AR247" s="696"/>
      <c r="AS247" s="713"/>
      <c r="AT247" s="696"/>
      <c r="AU247" s="696"/>
      <c r="AV247" s="713"/>
      <c r="AW247" s="696"/>
      <c r="AX247" s="713"/>
      <c r="AY247" s="696"/>
      <c r="AZ247" s="713"/>
      <c r="BA247" s="696"/>
      <c r="BB247" s="713"/>
      <c r="BC247" s="696"/>
      <c r="BD247" s="713"/>
      <c r="BE247" s="696"/>
    </row>
    <row r="248" spans="1:57" s="44" customFormat="1">
      <c r="A248" s="700"/>
      <c r="B248" s="700"/>
      <c r="C248" s="700"/>
      <c r="D248" s="847"/>
      <c r="E248" s="696"/>
      <c r="F248" s="847"/>
      <c r="G248" s="696"/>
      <c r="H248" s="847"/>
      <c r="I248" s="696"/>
      <c r="J248" s="847"/>
      <c r="K248" s="696"/>
      <c r="L248" s="847"/>
      <c r="M248" s="696"/>
      <c r="N248" s="696"/>
      <c r="O248" s="847"/>
      <c r="P248" s="696"/>
      <c r="Q248" s="847"/>
      <c r="R248" s="696"/>
      <c r="S248" s="847"/>
      <c r="T248" s="696"/>
      <c r="U248" s="847"/>
      <c r="V248" s="696"/>
      <c r="W248" s="847"/>
      <c r="X248" s="696"/>
      <c r="Y248" s="696"/>
      <c r="Z248" s="713"/>
      <c r="AA248" s="696"/>
      <c r="AB248" s="713"/>
      <c r="AC248" s="696"/>
      <c r="AD248" s="713"/>
      <c r="AE248" s="696"/>
      <c r="AF248" s="713"/>
      <c r="AG248" s="696"/>
      <c r="AH248" s="713"/>
      <c r="AI248" s="696"/>
      <c r="AJ248" s="696"/>
      <c r="AK248" s="713"/>
      <c r="AL248" s="696"/>
      <c r="AM248" s="713"/>
      <c r="AN248" s="696"/>
      <c r="AO248" s="713"/>
      <c r="AP248" s="696"/>
      <c r="AQ248" s="713"/>
      <c r="AR248" s="696"/>
      <c r="AS248" s="713"/>
      <c r="AT248" s="696"/>
      <c r="AU248" s="696"/>
      <c r="AV248" s="713"/>
      <c r="AW248" s="696"/>
      <c r="AX248" s="713"/>
      <c r="AY248" s="696"/>
      <c r="AZ248" s="713"/>
      <c r="BA248" s="696"/>
      <c r="BB248" s="713"/>
      <c r="BC248" s="696"/>
      <c r="BD248" s="713"/>
      <c r="BE248" s="696"/>
    </row>
    <row r="249" spans="1:57" s="44" customFormat="1">
      <c r="A249" s="700"/>
      <c r="B249" s="700"/>
      <c r="C249" s="700"/>
      <c r="D249" s="847"/>
      <c r="E249" s="696"/>
      <c r="F249" s="847"/>
      <c r="G249" s="696"/>
      <c r="H249" s="847"/>
      <c r="I249" s="696"/>
      <c r="J249" s="847"/>
      <c r="K249" s="696"/>
      <c r="L249" s="847"/>
      <c r="M249" s="696"/>
      <c r="N249" s="696"/>
      <c r="O249" s="847"/>
      <c r="P249" s="696"/>
      <c r="Q249" s="847"/>
      <c r="R249" s="696"/>
      <c r="S249" s="847"/>
      <c r="T249" s="696"/>
      <c r="U249" s="847"/>
      <c r="V249" s="696"/>
      <c r="W249" s="847"/>
      <c r="X249" s="696"/>
      <c r="Y249" s="696"/>
      <c r="Z249" s="713"/>
      <c r="AA249" s="696"/>
      <c r="AB249" s="713"/>
      <c r="AC249" s="696"/>
      <c r="AD249" s="713"/>
      <c r="AE249" s="696"/>
      <c r="AF249" s="713"/>
      <c r="AG249" s="696"/>
      <c r="AH249" s="713"/>
      <c r="AI249" s="696"/>
      <c r="AJ249" s="696"/>
      <c r="AK249" s="713"/>
      <c r="AL249" s="696"/>
      <c r="AM249" s="713"/>
      <c r="AN249" s="696"/>
      <c r="AO249" s="713"/>
      <c r="AP249" s="696"/>
      <c r="AQ249" s="713"/>
      <c r="AR249" s="696"/>
      <c r="AS249" s="713"/>
      <c r="AT249" s="696"/>
      <c r="AU249" s="696"/>
      <c r="AV249" s="713"/>
      <c r="AW249" s="696"/>
      <c r="AX249" s="713"/>
      <c r="AY249" s="696"/>
      <c r="AZ249" s="713"/>
      <c r="BA249" s="696"/>
      <c r="BB249" s="713"/>
      <c r="BC249" s="696"/>
      <c r="BD249" s="713"/>
      <c r="BE249" s="696"/>
    </row>
    <row r="250" spans="1:57" s="44" customFormat="1">
      <c r="A250" s="700"/>
      <c r="B250" s="700"/>
      <c r="C250" s="700"/>
      <c r="D250" s="847"/>
      <c r="E250" s="696"/>
      <c r="F250" s="847"/>
      <c r="G250" s="696"/>
      <c r="H250" s="847"/>
      <c r="I250" s="696"/>
      <c r="J250" s="847"/>
      <c r="K250" s="696"/>
      <c r="L250" s="847"/>
      <c r="M250" s="696"/>
      <c r="N250" s="696"/>
      <c r="O250" s="847"/>
      <c r="P250" s="696"/>
      <c r="Q250" s="847"/>
      <c r="R250" s="696"/>
      <c r="S250" s="847"/>
      <c r="T250" s="696"/>
      <c r="U250" s="847"/>
      <c r="V250" s="696"/>
      <c r="W250" s="847"/>
      <c r="X250" s="696"/>
      <c r="Y250" s="696"/>
      <c r="Z250" s="713"/>
      <c r="AA250" s="696"/>
      <c r="AB250" s="713"/>
      <c r="AC250" s="696"/>
      <c r="AD250" s="713"/>
      <c r="AE250" s="696"/>
      <c r="AF250" s="713"/>
      <c r="AG250" s="696"/>
      <c r="AH250" s="713"/>
      <c r="AI250" s="696"/>
      <c r="AJ250" s="696"/>
      <c r="AK250" s="713"/>
      <c r="AL250" s="696"/>
      <c r="AM250" s="713"/>
      <c r="AN250" s="696"/>
      <c r="AO250" s="713"/>
      <c r="AP250" s="696"/>
      <c r="AQ250" s="713"/>
      <c r="AR250" s="696"/>
      <c r="AS250" s="713"/>
      <c r="AT250" s="696"/>
      <c r="AU250" s="696"/>
      <c r="AV250" s="713"/>
      <c r="AW250" s="696"/>
      <c r="AX250" s="713"/>
      <c r="AY250" s="696"/>
      <c r="AZ250" s="713"/>
      <c r="BA250" s="696"/>
      <c r="BB250" s="713"/>
      <c r="BC250" s="696"/>
      <c r="BD250" s="713"/>
      <c r="BE250" s="696"/>
    </row>
    <row r="251" spans="1:57" s="44" customFormat="1">
      <c r="A251" s="700"/>
      <c r="B251" s="700"/>
      <c r="C251" s="700"/>
      <c r="D251" s="847"/>
      <c r="E251" s="696"/>
      <c r="F251" s="847"/>
      <c r="G251" s="696"/>
      <c r="H251" s="847"/>
      <c r="I251" s="696"/>
      <c r="J251" s="847"/>
      <c r="K251" s="696"/>
      <c r="L251" s="847"/>
      <c r="M251" s="696"/>
      <c r="N251" s="696"/>
      <c r="O251" s="847"/>
      <c r="P251" s="696"/>
      <c r="Q251" s="847"/>
      <c r="R251" s="696"/>
      <c r="S251" s="847"/>
      <c r="T251" s="696"/>
      <c r="U251" s="847"/>
      <c r="V251" s="696"/>
      <c r="W251" s="847"/>
      <c r="X251" s="696"/>
      <c r="Y251" s="696"/>
      <c r="Z251" s="713"/>
      <c r="AA251" s="696"/>
      <c r="AB251" s="713"/>
      <c r="AC251" s="696"/>
      <c r="AD251" s="713"/>
      <c r="AE251" s="696"/>
      <c r="AF251" s="713"/>
      <c r="AG251" s="696"/>
      <c r="AH251" s="713"/>
      <c r="AI251" s="696"/>
      <c r="AJ251" s="696"/>
      <c r="AK251" s="713"/>
      <c r="AL251" s="696"/>
      <c r="AM251" s="713"/>
      <c r="AN251" s="696"/>
      <c r="AO251" s="713"/>
      <c r="AP251" s="696"/>
      <c r="AQ251" s="713"/>
      <c r="AR251" s="696"/>
      <c r="AS251" s="713"/>
      <c r="AT251" s="696"/>
      <c r="AU251" s="696"/>
      <c r="AV251" s="713"/>
      <c r="AW251" s="696"/>
      <c r="AX251" s="713"/>
      <c r="AY251" s="696"/>
      <c r="AZ251" s="713"/>
      <c r="BA251" s="696"/>
      <c r="BB251" s="713"/>
      <c r="BC251" s="696"/>
      <c r="BD251" s="713"/>
      <c r="BE251" s="696"/>
    </row>
    <row r="252" spans="1:57" s="44" customFormat="1">
      <c r="A252" s="700"/>
      <c r="B252" s="700"/>
      <c r="C252" s="700"/>
      <c r="D252" s="847"/>
      <c r="E252" s="696"/>
      <c r="F252" s="847"/>
      <c r="G252" s="696"/>
      <c r="H252" s="847"/>
      <c r="I252" s="696"/>
      <c r="J252" s="847"/>
      <c r="K252" s="696"/>
      <c r="L252" s="847"/>
      <c r="M252" s="696"/>
      <c r="N252" s="696"/>
      <c r="O252" s="847"/>
      <c r="P252" s="696"/>
      <c r="Q252" s="847"/>
      <c r="R252" s="696"/>
      <c r="S252" s="847"/>
      <c r="T252" s="696"/>
      <c r="U252" s="847"/>
      <c r="V252" s="696"/>
      <c r="W252" s="847"/>
      <c r="X252" s="696"/>
      <c r="Y252" s="696"/>
      <c r="Z252" s="713"/>
      <c r="AA252" s="696"/>
      <c r="AB252" s="713"/>
      <c r="AC252" s="696"/>
      <c r="AD252" s="713"/>
      <c r="AE252" s="696"/>
      <c r="AF252" s="713"/>
      <c r="AG252" s="696"/>
      <c r="AH252" s="713"/>
      <c r="AI252" s="696"/>
      <c r="AJ252" s="696"/>
      <c r="AK252" s="713"/>
      <c r="AL252" s="696"/>
      <c r="AM252" s="713"/>
      <c r="AN252" s="696"/>
      <c r="AO252" s="713"/>
      <c r="AP252" s="696"/>
      <c r="AQ252" s="713"/>
      <c r="AR252" s="696"/>
      <c r="AS252" s="713"/>
      <c r="AT252" s="696"/>
      <c r="AU252" s="696"/>
      <c r="AV252" s="713"/>
      <c r="AW252" s="696"/>
      <c r="AX252" s="713"/>
      <c r="AY252" s="696"/>
      <c r="AZ252" s="713"/>
      <c r="BA252" s="696"/>
      <c r="BB252" s="713"/>
      <c r="BC252" s="696"/>
      <c r="BD252" s="713"/>
      <c r="BE252" s="696"/>
    </row>
    <row r="253" spans="1:57" s="44" customFormat="1">
      <c r="A253" s="700"/>
      <c r="B253" s="700"/>
      <c r="C253" s="700"/>
      <c r="D253" s="847"/>
      <c r="E253" s="696"/>
      <c r="F253" s="847"/>
      <c r="G253" s="696"/>
      <c r="H253" s="847"/>
      <c r="I253" s="696"/>
      <c r="J253" s="847"/>
      <c r="K253" s="696"/>
      <c r="L253" s="847"/>
      <c r="M253" s="696"/>
      <c r="N253" s="696"/>
      <c r="O253" s="847"/>
      <c r="P253" s="696"/>
      <c r="Q253" s="847"/>
      <c r="R253" s="696"/>
      <c r="S253" s="847"/>
      <c r="T253" s="696"/>
      <c r="U253" s="847"/>
      <c r="V253" s="696"/>
      <c r="W253" s="847"/>
      <c r="X253" s="696"/>
      <c r="Y253" s="696"/>
      <c r="Z253" s="713"/>
      <c r="AA253" s="696"/>
      <c r="AB253" s="713"/>
      <c r="AC253" s="696"/>
      <c r="AD253" s="713"/>
      <c r="AE253" s="696"/>
      <c r="AF253" s="713"/>
      <c r="AG253" s="696"/>
      <c r="AH253" s="713"/>
      <c r="AI253" s="696"/>
      <c r="AJ253" s="696"/>
      <c r="AK253" s="713"/>
      <c r="AL253" s="696"/>
      <c r="AM253" s="713"/>
      <c r="AN253" s="696"/>
      <c r="AO253" s="713"/>
      <c r="AP253" s="696"/>
      <c r="AQ253" s="713"/>
      <c r="AR253" s="696"/>
      <c r="AS253" s="713"/>
      <c r="AT253" s="696"/>
      <c r="AU253" s="696"/>
      <c r="AV253" s="713"/>
      <c r="AW253" s="696"/>
      <c r="AX253" s="713"/>
      <c r="AY253" s="696"/>
      <c r="AZ253" s="713"/>
      <c r="BA253" s="696"/>
      <c r="BB253" s="713"/>
      <c r="BC253" s="696"/>
      <c r="BD253" s="713"/>
      <c r="BE253" s="696"/>
    </row>
    <row r="254" spans="1:57" s="44" customFormat="1">
      <c r="A254" s="700"/>
      <c r="B254" s="700"/>
      <c r="C254" s="700"/>
      <c r="D254" s="847"/>
      <c r="E254" s="696"/>
      <c r="F254" s="847"/>
      <c r="G254" s="696"/>
      <c r="H254" s="847"/>
      <c r="I254" s="696"/>
      <c r="J254" s="847"/>
      <c r="K254" s="696"/>
      <c r="L254" s="847"/>
      <c r="M254" s="696"/>
      <c r="N254" s="696"/>
      <c r="O254" s="847"/>
      <c r="P254" s="696"/>
      <c r="Q254" s="847"/>
      <c r="R254" s="696"/>
      <c r="S254" s="847"/>
      <c r="T254" s="696"/>
      <c r="U254" s="847"/>
      <c r="V254" s="696"/>
      <c r="W254" s="847"/>
      <c r="X254" s="696"/>
      <c r="Y254" s="696"/>
      <c r="Z254" s="713"/>
      <c r="AA254" s="696"/>
      <c r="AB254" s="713"/>
      <c r="AC254" s="696"/>
      <c r="AD254" s="713"/>
      <c r="AE254" s="696"/>
      <c r="AF254" s="713"/>
      <c r="AG254" s="696"/>
      <c r="AH254" s="713"/>
      <c r="AI254" s="696"/>
      <c r="AJ254" s="696"/>
      <c r="AK254" s="713"/>
      <c r="AL254" s="696"/>
      <c r="AM254" s="713"/>
      <c r="AN254" s="696"/>
      <c r="AO254" s="713"/>
      <c r="AP254" s="696"/>
      <c r="AQ254" s="713"/>
      <c r="AR254" s="696"/>
      <c r="AS254" s="713"/>
      <c r="AT254" s="696"/>
      <c r="AU254" s="696"/>
      <c r="AV254" s="713"/>
      <c r="AW254" s="696"/>
      <c r="AX254" s="713"/>
      <c r="AY254" s="696"/>
      <c r="AZ254" s="713"/>
      <c r="BA254" s="696"/>
      <c r="BB254" s="713"/>
      <c r="BC254" s="696"/>
      <c r="BD254" s="713"/>
      <c r="BE254" s="696"/>
    </row>
    <row r="255" spans="1:57" s="44" customFormat="1">
      <c r="A255" s="700"/>
      <c r="B255" s="700"/>
      <c r="C255" s="700"/>
      <c r="D255" s="847"/>
      <c r="E255" s="696"/>
      <c r="F255" s="847"/>
      <c r="G255" s="696"/>
      <c r="H255" s="847"/>
      <c r="I255" s="696"/>
      <c r="J255" s="847"/>
      <c r="K255" s="696"/>
      <c r="L255" s="847"/>
      <c r="M255" s="696"/>
      <c r="N255" s="696"/>
      <c r="O255" s="847"/>
      <c r="P255" s="696"/>
      <c r="Q255" s="847"/>
      <c r="R255" s="696"/>
      <c r="S255" s="847"/>
      <c r="T255" s="696"/>
      <c r="U255" s="847"/>
      <c r="V255" s="696"/>
      <c r="W255" s="847"/>
      <c r="X255" s="696"/>
      <c r="Y255" s="696"/>
      <c r="Z255" s="713"/>
      <c r="AA255" s="696"/>
      <c r="AB255" s="713"/>
      <c r="AC255" s="696"/>
      <c r="AD255" s="713"/>
      <c r="AE255" s="696"/>
      <c r="AF255" s="713"/>
      <c r="AG255" s="696"/>
      <c r="AH255" s="713"/>
      <c r="AI255" s="696"/>
      <c r="AJ255" s="696"/>
      <c r="AK255" s="713"/>
      <c r="AL255" s="696"/>
      <c r="AM255" s="713"/>
      <c r="AN255" s="696"/>
      <c r="AO255" s="713"/>
      <c r="AP255" s="696"/>
      <c r="AQ255" s="713"/>
      <c r="AR255" s="696"/>
      <c r="AS255" s="713"/>
      <c r="AT255" s="696"/>
      <c r="AU255" s="696"/>
      <c r="AV255" s="713"/>
      <c r="AW255" s="696"/>
      <c r="AX255" s="713"/>
      <c r="AY255" s="696"/>
      <c r="AZ255" s="713"/>
      <c r="BA255" s="696"/>
      <c r="BB255" s="713"/>
      <c r="BC255" s="696"/>
      <c r="BD255" s="713"/>
      <c r="BE255" s="696"/>
    </row>
    <row r="256" spans="1:57" s="44" customFormat="1">
      <c r="A256" s="700"/>
      <c r="B256" s="700"/>
      <c r="C256" s="700"/>
      <c r="D256" s="847"/>
      <c r="E256" s="696"/>
      <c r="F256" s="847"/>
      <c r="G256" s="696"/>
      <c r="H256" s="847"/>
      <c r="I256" s="696"/>
      <c r="J256" s="847"/>
      <c r="K256" s="696"/>
      <c r="L256" s="847"/>
      <c r="M256" s="696"/>
      <c r="N256" s="696"/>
      <c r="O256" s="847"/>
      <c r="P256" s="696"/>
      <c r="Q256" s="847"/>
      <c r="R256" s="696"/>
      <c r="S256" s="847"/>
      <c r="T256" s="696"/>
      <c r="U256" s="847"/>
      <c r="V256" s="696"/>
      <c r="W256" s="847"/>
      <c r="X256" s="696"/>
      <c r="Y256" s="696"/>
      <c r="Z256" s="713"/>
      <c r="AA256" s="696"/>
      <c r="AB256" s="713"/>
      <c r="AC256" s="696"/>
      <c r="AD256" s="713"/>
      <c r="AE256" s="696"/>
      <c r="AF256" s="713"/>
      <c r="AG256" s="696"/>
      <c r="AH256" s="713"/>
      <c r="AI256" s="696"/>
      <c r="AJ256" s="696"/>
      <c r="AK256" s="713"/>
      <c r="AL256" s="696"/>
      <c r="AM256" s="713"/>
      <c r="AN256" s="696"/>
      <c r="AO256" s="713"/>
      <c r="AP256" s="696"/>
      <c r="AQ256" s="713"/>
      <c r="AR256" s="696"/>
      <c r="AS256" s="713"/>
      <c r="AT256" s="696"/>
      <c r="AU256" s="696"/>
      <c r="AV256" s="713"/>
      <c r="AW256" s="696"/>
      <c r="AX256" s="713"/>
      <c r="AY256" s="696"/>
      <c r="AZ256" s="713"/>
      <c r="BA256" s="696"/>
      <c r="BB256" s="713"/>
      <c r="BC256" s="696"/>
      <c r="BD256" s="713"/>
      <c r="BE256" s="696"/>
    </row>
    <row r="257" spans="1:57" s="44" customFormat="1">
      <c r="A257" s="700"/>
      <c r="B257" s="700"/>
      <c r="C257" s="700"/>
      <c r="D257" s="847"/>
      <c r="E257" s="696"/>
      <c r="F257" s="847"/>
      <c r="G257" s="696"/>
      <c r="H257" s="847"/>
      <c r="I257" s="696"/>
      <c r="J257" s="847"/>
      <c r="K257" s="696"/>
      <c r="L257" s="847"/>
      <c r="M257" s="696"/>
      <c r="N257" s="696"/>
      <c r="O257" s="847"/>
      <c r="P257" s="696"/>
      <c r="Q257" s="847"/>
      <c r="R257" s="696"/>
      <c r="S257" s="847"/>
      <c r="T257" s="696"/>
      <c r="U257" s="847"/>
      <c r="V257" s="696"/>
      <c r="W257" s="847"/>
      <c r="X257" s="696"/>
      <c r="Y257" s="696"/>
      <c r="Z257" s="713"/>
      <c r="AA257" s="696"/>
      <c r="AB257" s="713"/>
      <c r="AC257" s="696"/>
      <c r="AD257" s="713"/>
      <c r="AE257" s="696"/>
      <c r="AF257" s="713"/>
      <c r="AG257" s="696"/>
      <c r="AH257" s="713"/>
      <c r="AI257" s="696"/>
      <c r="AJ257" s="696"/>
      <c r="AK257" s="713"/>
      <c r="AL257" s="696"/>
      <c r="AM257" s="713"/>
      <c r="AN257" s="696"/>
      <c r="AO257" s="713"/>
      <c r="AP257" s="696"/>
      <c r="AQ257" s="713"/>
      <c r="AR257" s="696"/>
      <c r="AS257" s="713"/>
      <c r="AT257" s="696"/>
      <c r="AU257" s="696"/>
      <c r="AV257" s="713"/>
      <c r="AW257" s="696"/>
      <c r="AX257" s="713"/>
      <c r="AY257" s="696"/>
      <c r="AZ257" s="713"/>
      <c r="BA257" s="696"/>
      <c r="BB257" s="713"/>
      <c r="BC257" s="696"/>
      <c r="BD257" s="713"/>
      <c r="BE257" s="696"/>
    </row>
    <row r="258" spans="1:57" s="44" customFormat="1">
      <c r="A258" s="700"/>
      <c r="B258" s="700"/>
      <c r="C258" s="700"/>
      <c r="D258" s="847"/>
      <c r="E258" s="696"/>
      <c r="F258" s="847"/>
      <c r="G258" s="696"/>
      <c r="H258" s="847"/>
      <c r="I258" s="696"/>
      <c r="J258" s="847"/>
      <c r="K258" s="696"/>
      <c r="L258" s="847"/>
      <c r="M258" s="696"/>
      <c r="N258" s="696"/>
      <c r="O258" s="847"/>
      <c r="P258" s="696"/>
      <c r="Q258" s="847"/>
      <c r="R258" s="696"/>
      <c r="S258" s="847"/>
      <c r="T258" s="696"/>
      <c r="U258" s="847"/>
      <c r="V258" s="696"/>
      <c r="W258" s="847"/>
      <c r="X258" s="696"/>
      <c r="Y258" s="696"/>
      <c r="Z258" s="713"/>
      <c r="AA258" s="696"/>
      <c r="AB258" s="713"/>
      <c r="AC258" s="696"/>
      <c r="AD258" s="713"/>
      <c r="AE258" s="696"/>
      <c r="AF258" s="713"/>
      <c r="AG258" s="696"/>
      <c r="AH258" s="713"/>
      <c r="AI258" s="696"/>
      <c r="AJ258" s="696"/>
      <c r="AK258" s="713"/>
      <c r="AL258" s="696"/>
      <c r="AM258" s="713"/>
      <c r="AN258" s="696"/>
      <c r="AO258" s="713"/>
      <c r="AP258" s="696"/>
      <c r="AQ258" s="713"/>
      <c r="AR258" s="696"/>
      <c r="AS258" s="713"/>
      <c r="AT258" s="696"/>
      <c r="AU258" s="696"/>
      <c r="AV258" s="713"/>
      <c r="AW258" s="696"/>
      <c r="AX258" s="713"/>
      <c r="AY258" s="696"/>
      <c r="AZ258" s="713"/>
      <c r="BA258" s="696"/>
      <c r="BB258" s="713"/>
      <c r="BC258" s="696"/>
      <c r="BD258" s="713"/>
      <c r="BE258" s="696"/>
    </row>
    <row r="259" spans="1:57" s="44" customFormat="1">
      <c r="A259" s="700"/>
      <c r="B259" s="700"/>
      <c r="C259" s="700"/>
      <c r="D259" s="847"/>
      <c r="E259" s="696"/>
      <c r="F259" s="847"/>
      <c r="G259" s="696"/>
      <c r="H259" s="847"/>
      <c r="I259" s="696"/>
      <c r="J259" s="847"/>
      <c r="K259" s="696"/>
      <c r="L259" s="847"/>
      <c r="M259" s="696"/>
      <c r="N259" s="696"/>
      <c r="O259" s="847"/>
      <c r="P259" s="696"/>
      <c r="Q259" s="847"/>
      <c r="R259" s="696"/>
      <c r="S259" s="847"/>
      <c r="T259" s="696"/>
      <c r="U259" s="847"/>
      <c r="V259" s="696"/>
      <c r="W259" s="847"/>
      <c r="X259" s="696"/>
      <c r="Y259" s="696"/>
      <c r="Z259" s="713"/>
      <c r="AA259" s="696"/>
      <c r="AB259" s="713"/>
      <c r="AC259" s="696"/>
      <c r="AD259" s="713"/>
      <c r="AE259" s="696"/>
      <c r="AF259" s="713"/>
      <c r="AG259" s="696"/>
      <c r="AH259" s="713"/>
      <c r="AI259" s="696"/>
      <c r="AJ259" s="696"/>
      <c r="AK259" s="713"/>
      <c r="AL259" s="696"/>
      <c r="AM259" s="713"/>
      <c r="AN259" s="696"/>
      <c r="AO259" s="713"/>
      <c r="AP259" s="696"/>
      <c r="AQ259" s="713"/>
      <c r="AR259" s="696"/>
      <c r="AS259" s="713"/>
      <c r="AT259" s="696"/>
      <c r="AU259" s="696"/>
      <c r="AV259" s="713"/>
      <c r="AW259" s="696"/>
      <c r="AX259" s="713"/>
      <c r="AY259" s="696"/>
      <c r="AZ259" s="713"/>
      <c r="BA259" s="696"/>
      <c r="BB259" s="713"/>
      <c r="BC259" s="696"/>
      <c r="BD259" s="713"/>
      <c r="BE259" s="696"/>
    </row>
    <row r="260" spans="1:57" s="44" customFormat="1">
      <c r="A260" s="700"/>
      <c r="B260" s="700"/>
      <c r="C260" s="700"/>
      <c r="D260" s="847"/>
      <c r="E260" s="696"/>
      <c r="F260" s="847"/>
      <c r="G260" s="696"/>
      <c r="H260" s="847"/>
      <c r="I260" s="696"/>
      <c r="J260" s="847"/>
      <c r="K260" s="696"/>
      <c r="L260" s="847"/>
      <c r="M260" s="696"/>
      <c r="N260" s="696"/>
      <c r="O260" s="847"/>
      <c r="P260" s="696"/>
      <c r="Q260" s="847"/>
      <c r="R260" s="696"/>
      <c r="S260" s="847"/>
      <c r="T260" s="696"/>
      <c r="U260" s="847"/>
      <c r="V260" s="696"/>
      <c r="W260" s="847"/>
      <c r="X260" s="696"/>
      <c r="Y260" s="696"/>
      <c r="Z260" s="713"/>
      <c r="AA260" s="696"/>
      <c r="AB260" s="713"/>
      <c r="AC260" s="696"/>
      <c r="AD260" s="713"/>
      <c r="AE260" s="696"/>
      <c r="AF260" s="713"/>
      <c r="AG260" s="696"/>
      <c r="AH260" s="713"/>
      <c r="AI260" s="696"/>
      <c r="AJ260" s="696"/>
      <c r="AK260" s="713"/>
      <c r="AL260" s="696"/>
      <c r="AM260" s="713"/>
      <c r="AN260" s="696"/>
      <c r="AO260" s="713"/>
      <c r="AP260" s="696"/>
      <c r="AQ260" s="713"/>
      <c r="AR260" s="696"/>
      <c r="AS260" s="713"/>
      <c r="AT260" s="696"/>
      <c r="AU260" s="696"/>
      <c r="AV260" s="713"/>
      <c r="AW260" s="696"/>
      <c r="AX260" s="713"/>
      <c r="AY260" s="696"/>
      <c r="AZ260" s="713"/>
      <c r="BA260" s="696"/>
      <c r="BB260" s="713"/>
      <c r="BC260" s="696"/>
      <c r="BD260" s="713"/>
      <c r="BE260" s="696"/>
    </row>
    <row r="261" spans="1:57" s="44" customFormat="1">
      <c r="A261" s="700"/>
      <c r="B261" s="700"/>
      <c r="C261" s="700"/>
      <c r="D261" s="847"/>
      <c r="E261" s="696"/>
      <c r="F261" s="847"/>
      <c r="G261" s="696"/>
      <c r="H261" s="847"/>
      <c r="I261" s="696"/>
      <c r="J261" s="847"/>
      <c r="K261" s="696"/>
      <c r="L261" s="847"/>
      <c r="M261" s="696"/>
      <c r="N261" s="696"/>
      <c r="O261" s="847"/>
      <c r="P261" s="696"/>
      <c r="Q261" s="847"/>
      <c r="R261" s="696"/>
      <c r="S261" s="847"/>
      <c r="T261" s="696"/>
      <c r="U261" s="847"/>
      <c r="V261" s="696"/>
      <c r="W261" s="847"/>
      <c r="X261" s="696"/>
      <c r="Y261" s="696"/>
      <c r="Z261" s="713"/>
      <c r="AA261" s="696"/>
      <c r="AB261" s="713"/>
      <c r="AC261" s="696"/>
      <c r="AD261" s="713"/>
      <c r="AE261" s="696"/>
      <c r="AF261" s="713"/>
      <c r="AG261" s="696"/>
      <c r="AH261" s="713"/>
      <c r="AI261" s="696"/>
      <c r="AJ261" s="696"/>
      <c r="AK261" s="713"/>
      <c r="AL261" s="696"/>
      <c r="AM261" s="713"/>
      <c r="AN261" s="696"/>
      <c r="AO261" s="713"/>
      <c r="AP261" s="696"/>
      <c r="AQ261" s="713"/>
      <c r="AR261" s="696"/>
      <c r="AS261" s="713"/>
      <c r="AT261" s="696"/>
      <c r="AU261" s="696"/>
      <c r="AV261" s="713"/>
      <c r="AW261" s="696"/>
      <c r="AX261" s="713"/>
      <c r="AY261" s="696"/>
      <c r="AZ261" s="713"/>
      <c r="BA261" s="696"/>
      <c r="BB261" s="713"/>
      <c r="BC261" s="696"/>
      <c r="BD261" s="713"/>
      <c r="BE261" s="696"/>
    </row>
    <row r="262" spans="1:57" s="44" customFormat="1">
      <c r="A262" s="700"/>
      <c r="B262" s="700"/>
      <c r="C262" s="700"/>
      <c r="D262" s="847"/>
      <c r="E262" s="696"/>
      <c r="F262" s="847"/>
      <c r="G262" s="696"/>
      <c r="H262" s="847"/>
      <c r="I262" s="696"/>
      <c r="J262" s="847"/>
      <c r="K262" s="696"/>
      <c r="L262" s="847"/>
      <c r="M262" s="696"/>
      <c r="N262" s="696"/>
      <c r="O262" s="847"/>
      <c r="P262" s="696"/>
      <c r="Q262" s="847"/>
      <c r="R262" s="696"/>
      <c r="S262" s="847"/>
      <c r="T262" s="696"/>
      <c r="U262" s="847"/>
      <c r="V262" s="696"/>
      <c r="W262" s="847"/>
      <c r="X262" s="696"/>
      <c r="Y262" s="696"/>
      <c r="Z262" s="713"/>
      <c r="AA262" s="696"/>
      <c r="AB262" s="713"/>
      <c r="AC262" s="696"/>
      <c r="AD262" s="713"/>
      <c r="AE262" s="696"/>
      <c r="AF262" s="713"/>
      <c r="AG262" s="696"/>
      <c r="AH262" s="713"/>
      <c r="AI262" s="696"/>
      <c r="AJ262" s="696"/>
      <c r="AK262" s="713"/>
      <c r="AL262" s="696"/>
      <c r="AM262" s="713"/>
      <c r="AN262" s="696"/>
      <c r="AO262" s="713"/>
      <c r="AP262" s="696"/>
      <c r="AQ262" s="713"/>
      <c r="AR262" s="696"/>
      <c r="AS262" s="713"/>
      <c r="AT262" s="696"/>
      <c r="AU262" s="696"/>
      <c r="AV262" s="713"/>
      <c r="AW262" s="696"/>
      <c r="AX262" s="713"/>
      <c r="AY262" s="696"/>
      <c r="AZ262" s="713"/>
      <c r="BA262" s="696"/>
      <c r="BB262" s="713"/>
      <c r="BC262" s="696"/>
      <c r="BD262" s="713"/>
      <c r="BE262" s="696"/>
    </row>
    <row r="263" spans="1:57" s="44" customFormat="1">
      <c r="A263" s="700"/>
      <c r="B263" s="700"/>
      <c r="C263" s="700"/>
      <c r="D263" s="847"/>
      <c r="E263" s="696"/>
      <c r="F263" s="847"/>
      <c r="G263" s="696"/>
      <c r="H263" s="847"/>
      <c r="I263" s="696"/>
      <c r="J263" s="847"/>
      <c r="K263" s="696"/>
      <c r="L263" s="847"/>
      <c r="M263" s="696"/>
      <c r="N263" s="696"/>
      <c r="O263" s="847"/>
      <c r="P263" s="696"/>
      <c r="Q263" s="847"/>
      <c r="R263" s="696"/>
      <c r="S263" s="847"/>
      <c r="T263" s="696"/>
      <c r="U263" s="847"/>
      <c r="V263" s="696"/>
      <c r="W263" s="847"/>
      <c r="X263" s="696"/>
      <c r="Y263" s="696"/>
      <c r="Z263" s="713"/>
      <c r="AA263" s="696"/>
      <c r="AB263" s="713"/>
      <c r="AC263" s="696"/>
      <c r="AD263" s="713"/>
      <c r="AE263" s="696"/>
      <c r="AF263" s="713"/>
      <c r="AG263" s="696"/>
      <c r="AH263" s="713"/>
      <c r="AI263" s="696"/>
      <c r="AJ263" s="696"/>
      <c r="AK263" s="713"/>
      <c r="AL263" s="696"/>
      <c r="AM263" s="713"/>
      <c r="AN263" s="696"/>
      <c r="AO263" s="713"/>
      <c r="AP263" s="696"/>
      <c r="AQ263" s="713"/>
      <c r="AR263" s="696"/>
      <c r="AS263" s="713"/>
      <c r="AT263" s="696"/>
      <c r="AU263" s="696"/>
      <c r="AV263" s="713"/>
      <c r="AW263" s="696"/>
      <c r="AX263" s="713"/>
      <c r="AY263" s="696"/>
      <c r="AZ263" s="713"/>
      <c r="BA263" s="696"/>
      <c r="BB263" s="713"/>
      <c r="BC263" s="696"/>
      <c r="BD263" s="713"/>
      <c r="BE263" s="696"/>
    </row>
    <row r="264" spans="1:57" s="44" customFormat="1">
      <c r="A264" s="700"/>
      <c r="B264" s="700"/>
      <c r="C264" s="700"/>
      <c r="D264" s="847"/>
      <c r="E264" s="696"/>
      <c r="F264" s="847"/>
      <c r="G264" s="696"/>
      <c r="H264" s="847"/>
      <c r="I264" s="696"/>
      <c r="J264" s="847"/>
      <c r="K264" s="696"/>
      <c r="L264" s="847"/>
      <c r="M264" s="696"/>
      <c r="N264" s="696"/>
      <c r="O264" s="847"/>
      <c r="P264" s="696"/>
      <c r="Q264" s="847"/>
      <c r="R264" s="696"/>
      <c r="S264" s="847"/>
      <c r="T264" s="696"/>
      <c r="U264" s="847"/>
      <c r="V264" s="696"/>
      <c r="W264" s="847"/>
      <c r="X264" s="696"/>
      <c r="Y264" s="696"/>
      <c r="Z264" s="713"/>
      <c r="AA264" s="696"/>
      <c r="AB264" s="713"/>
      <c r="AC264" s="696"/>
      <c r="AD264" s="713"/>
      <c r="AE264" s="696"/>
      <c r="AF264" s="713"/>
      <c r="AG264" s="696"/>
      <c r="AH264" s="713"/>
      <c r="AI264" s="696"/>
      <c r="AJ264" s="696"/>
      <c r="AK264" s="713"/>
      <c r="AL264" s="696"/>
      <c r="AM264" s="713"/>
      <c r="AN264" s="696"/>
      <c r="AO264" s="713"/>
      <c r="AP264" s="696"/>
      <c r="AQ264" s="713"/>
      <c r="AR264" s="696"/>
      <c r="AS264" s="713"/>
      <c r="AT264" s="696"/>
      <c r="AU264" s="696"/>
      <c r="AV264" s="713"/>
      <c r="AW264" s="696"/>
      <c r="AX264" s="713"/>
      <c r="AY264" s="696"/>
      <c r="AZ264" s="713"/>
      <c r="BA264" s="696"/>
      <c r="BB264" s="713"/>
      <c r="BC264" s="696"/>
      <c r="BD264" s="713"/>
      <c r="BE264" s="696"/>
    </row>
    <row r="265" spans="1:57" s="44" customFormat="1">
      <c r="A265" s="700"/>
      <c r="B265" s="700"/>
      <c r="C265" s="700"/>
      <c r="D265" s="847"/>
      <c r="E265" s="696"/>
      <c r="F265" s="847"/>
      <c r="G265" s="696"/>
      <c r="H265" s="847"/>
      <c r="I265" s="696"/>
      <c r="J265" s="847"/>
      <c r="K265" s="696"/>
      <c r="L265" s="847"/>
      <c r="M265" s="696"/>
      <c r="N265" s="696"/>
      <c r="O265" s="847"/>
      <c r="P265" s="696"/>
      <c r="Q265" s="847"/>
      <c r="R265" s="696"/>
      <c r="S265" s="847"/>
      <c r="T265" s="696"/>
      <c r="U265" s="847"/>
      <c r="V265" s="696"/>
      <c r="W265" s="847"/>
      <c r="X265" s="696"/>
      <c r="Y265" s="696"/>
      <c r="Z265" s="713"/>
      <c r="AA265" s="696"/>
      <c r="AB265" s="713"/>
      <c r="AC265" s="696"/>
      <c r="AD265" s="713"/>
      <c r="AE265" s="696"/>
      <c r="AF265" s="713"/>
      <c r="AG265" s="696"/>
      <c r="AH265" s="713"/>
      <c r="AI265" s="696"/>
      <c r="AJ265" s="696"/>
      <c r="AK265" s="713"/>
      <c r="AL265" s="696"/>
      <c r="AM265" s="713"/>
      <c r="AN265" s="696"/>
      <c r="AO265" s="713"/>
      <c r="AP265" s="696"/>
      <c r="AQ265" s="713"/>
      <c r="AR265" s="696"/>
      <c r="AS265" s="713"/>
      <c r="AT265" s="696"/>
      <c r="AU265" s="696"/>
      <c r="AV265" s="713"/>
      <c r="AW265" s="696"/>
      <c r="AX265" s="713"/>
      <c r="AY265" s="696"/>
      <c r="AZ265" s="713"/>
      <c r="BA265" s="696"/>
      <c r="BB265" s="713"/>
      <c r="BC265" s="696"/>
      <c r="BD265" s="713"/>
      <c r="BE265" s="696"/>
    </row>
    <row r="266" spans="1:57" s="44" customFormat="1">
      <c r="A266" s="700"/>
      <c r="B266" s="700"/>
      <c r="C266" s="700"/>
      <c r="D266" s="847"/>
      <c r="E266" s="696"/>
      <c r="F266" s="847"/>
      <c r="G266" s="696"/>
      <c r="H266" s="847"/>
      <c r="I266" s="696"/>
      <c r="J266" s="847"/>
      <c r="K266" s="696"/>
      <c r="L266" s="847"/>
      <c r="M266" s="696"/>
      <c r="N266" s="696"/>
      <c r="O266" s="847"/>
      <c r="P266" s="696"/>
      <c r="Q266" s="847"/>
      <c r="R266" s="696"/>
      <c r="S266" s="847"/>
      <c r="T266" s="696"/>
      <c r="U266" s="847"/>
      <c r="V266" s="696"/>
      <c r="W266" s="847"/>
      <c r="X266" s="696"/>
      <c r="Y266" s="696"/>
      <c r="Z266" s="713"/>
      <c r="AA266" s="696"/>
      <c r="AB266" s="713"/>
      <c r="AC266" s="696"/>
      <c r="AD266" s="713"/>
      <c r="AE266" s="696"/>
      <c r="AF266" s="713"/>
      <c r="AG266" s="696"/>
      <c r="AH266" s="713"/>
      <c r="AI266" s="696"/>
      <c r="AJ266" s="696"/>
      <c r="AK266" s="713"/>
      <c r="AL266" s="696"/>
      <c r="AM266" s="713"/>
      <c r="AN266" s="696"/>
      <c r="AO266" s="713"/>
      <c r="AP266" s="696"/>
      <c r="AQ266" s="713"/>
      <c r="AR266" s="696"/>
      <c r="AS266" s="713"/>
      <c r="AT266" s="696"/>
      <c r="AU266" s="696"/>
      <c r="AV266" s="713"/>
      <c r="AW266" s="696"/>
      <c r="AX266" s="713"/>
      <c r="AY266" s="696"/>
      <c r="AZ266" s="713"/>
      <c r="BA266" s="696"/>
      <c r="BB266" s="713"/>
      <c r="BC266" s="696"/>
      <c r="BD266" s="713"/>
      <c r="BE266" s="696"/>
    </row>
    <row r="267" spans="1:57" s="44" customFormat="1">
      <c r="A267" s="700"/>
      <c r="B267" s="700"/>
      <c r="C267" s="700"/>
      <c r="D267" s="847"/>
      <c r="E267" s="696"/>
      <c r="F267" s="847"/>
      <c r="G267" s="696"/>
      <c r="H267" s="847"/>
      <c r="I267" s="696"/>
      <c r="J267" s="847"/>
      <c r="K267" s="696"/>
      <c r="L267" s="847"/>
      <c r="M267" s="696"/>
      <c r="N267" s="696"/>
      <c r="O267" s="847"/>
      <c r="P267" s="696"/>
      <c r="Q267" s="847"/>
      <c r="R267" s="696"/>
      <c r="S267" s="847"/>
      <c r="T267" s="696"/>
      <c r="U267" s="847"/>
      <c r="V267" s="696"/>
      <c r="W267" s="847"/>
      <c r="X267" s="696"/>
      <c r="Y267" s="696"/>
      <c r="Z267" s="713"/>
      <c r="AA267" s="696"/>
      <c r="AB267" s="713"/>
      <c r="AC267" s="696"/>
      <c r="AD267" s="713"/>
      <c r="AE267" s="696"/>
      <c r="AF267" s="713"/>
      <c r="AG267" s="696"/>
      <c r="AH267" s="713"/>
      <c r="AI267" s="696"/>
      <c r="AJ267" s="696"/>
      <c r="AK267" s="713"/>
      <c r="AL267" s="696"/>
      <c r="AM267" s="713"/>
      <c r="AN267" s="696"/>
      <c r="AO267" s="713"/>
      <c r="AP267" s="696"/>
      <c r="AQ267" s="713"/>
      <c r="AR267" s="696"/>
      <c r="AS267" s="713"/>
      <c r="AT267" s="696"/>
      <c r="AU267" s="696"/>
      <c r="AV267" s="713"/>
      <c r="AW267" s="696"/>
      <c r="AX267" s="713"/>
      <c r="AY267" s="696"/>
      <c r="AZ267" s="713"/>
      <c r="BA267" s="696"/>
      <c r="BB267" s="713"/>
      <c r="BC267" s="696"/>
      <c r="BD267" s="713"/>
      <c r="BE267" s="696"/>
    </row>
    <row r="268" spans="1:57" s="44" customFormat="1">
      <c r="A268" s="700"/>
      <c r="B268" s="700"/>
      <c r="C268" s="700"/>
      <c r="D268" s="847"/>
      <c r="E268" s="696"/>
      <c r="F268" s="847"/>
      <c r="G268" s="696"/>
      <c r="H268" s="847"/>
      <c r="I268" s="696"/>
      <c r="J268" s="847"/>
      <c r="K268" s="696"/>
      <c r="L268" s="847"/>
      <c r="M268" s="696"/>
      <c r="N268" s="696"/>
      <c r="O268" s="847"/>
      <c r="P268" s="696"/>
      <c r="Q268" s="847"/>
      <c r="R268" s="696"/>
      <c r="S268" s="847"/>
      <c r="T268" s="696"/>
      <c r="U268" s="847"/>
      <c r="V268" s="696"/>
      <c r="W268" s="847"/>
      <c r="X268" s="696"/>
      <c r="Y268" s="696"/>
      <c r="Z268" s="713"/>
      <c r="AA268" s="696"/>
      <c r="AB268" s="713"/>
      <c r="AC268" s="696"/>
      <c r="AD268" s="713"/>
      <c r="AE268" s="696"/>
      <c r="AF268" s="713"/>
      <c r="AG268" s="696"/>
      <c r="AH268" s="713"/>
      <c r="AI268" s="696"/>
      <c r="AJ268" s="696"/>
      <c r="AK268" s="713"/>
      <c r="AL268" s="696"/>
      <c r="AM268" s="713"/>
      <c r="AN268" s="696"/>
      <c r="AO268" s="713"/>
      <c r="AP268" s="696"/>
      <c r="AQ268" s="713"/>
      <c r="AR268" s="696"/>
      <c r="AS268" s="713"/>
      <c r="AT268" s="696"/>
      <c r="AU268" s="696"/>
      <c r="AV268" s="713"/>
      <c r="AW268" s="696"/>
      <c r="AX268" s="713"/>
      <c r="AY268" s="696"/>
      <c r="AZ268" s="713"/>
      <c r="BA268" s="696"/>
      <c r="BB268" s="713"/>
      <c r="BC268" s="696"/>
      <c r="BD268" s="713"/>
      <c r="BE268" s="696"/>
    </row>
    <row r="269" spans="1:57" s="44" customFormat="1">
      <c r="A269" s="700"/>
      <c r="B269" s="700"/>
      <c r="C269" s="700"/>
      <c r="D269" s="847"/>
      <c r="E269" s="696"/>
      <c r="F269" s="847"/>
      <c r="G269" s="696"/>
      <c r="H269" s="847"/>
      <c r="I269" s="696"/>
      <c r="J269" s="847"/>
      <c r="K269" s="696"/>
      <c r="L269" s="847"/>
      <c r="M269" s="696"/>
      <c r="N269" s="696"/>
      <c r="O269" s="847"/>
      <c r="P269" s="696"/>
      <c r="Q269" s="847"/>
      <c r="R269" s="696"/>
      <c r="S269" s="847"/>
      <c r="T269" s="696"/>
      <c r="U269" s="847"/>
      <c r="V269" s="696"/>
      <c r="W269" s="847"/>
      <c r="X269" s="696"/>
      <c r="Y269" s="696"/>
      <c r="Z269" s="713"/>
      <c r="AA269" s="696"/>
      <c r="AB269" s="713"/>
      <c r="AC269" s="696"/>
      <c r="AD269" s="713"/>
      <c r="AE269" s="696"/>
      <c r="AF269" s="713"/>
      <c r="AG269" s="696"/>
      <c r="AH269" s="713"/>
      <c r="AI269" s="696"/>
      <c r="AJ269" s="696"/>
      <c r="AK269" s="713"/>
      <c r="AL269" s="696"/>
      <c r="AM269" s="713"/>
      <c r="AN269" s="696"/>
      <c r="AO269" s="713"/>
      <c r="AP269" s="696"/>
      <c r="AQ269" s="713"/>
      <c r="AR269" s="696"/>
      <c r="AS269" s="713"/>
      <c r="AT269" s="696"/>
      <c r="AU269" s="696"/>
      <c r="AV269" s="713"/>
      <c r="AW269" s="696"/>
      <c r="AX269" s="713"/>
      <c r="AY269" s="696"/>
      <c r="AZ269" s="713"/>
      <c r="BA269" s="696"/>
      <c r="BB269" s="713"/>
      <c r="BC269" s="696"/>
      <c r="BD269" s="713"/>
      <c r="BE269" s="696"/>
    </row>
    <row r="270" spans="1:57" s="44" customFormat="1">
      <c r="A270" s="700"/>
      <c r="B270" s="700"/>
      <c r="C270" s="700"/>
      <c r="D270" s="847"/>
      <c r="E270" s="696"/>
      <c r="F270" s="847"/>
      <c r="G270" s="696"/>
      <c r="H270" s="847"/>
      <c r="I270" s="696"/>
      <c r="J270" s="847"/>
      <c r="K270" s="696"/>
      <c r="L270" s="847"/>
      <c r="M270" s="696"/>
      <c r="N270" s="696"/>
      <c r="O270" s="847"/>
      <c r="P270" s="696"/>
      <c r="Q270" s="847"/>
      <c r="R270" s="696"/>
      <c r="S270" s="847"/>
      <c r="T270" s="696"/>
      <c r="U270" s="847"/>
      <c r="V270" s="696"/>
      <c r="W270" s="847"/>
      <c r="X270" s="696"/>
      <c r="Y270" s="696"/>
      <c r="Z270" s="713"/>
      <c r="AA270" s="696"/>
      <c r="AB270" s="713"/>
      <c r="AC270" s="696"/>
      <c r="AD270" s="713"/>
      <c r="AE270" s="696"/>
      <c r="AF270" s="713"/>
      <c r="AG270" s="696"/>
      <c r="AH270" s="713"/>
      <c r="AI270" s="696"/>
      <c r="AJ270" s="696"/>
      <c r="AK270" s="713"/>
      <c r="AL270" s="696"/>
      <c r="AM270" s="713"/>
      <c r="AN270" s="696"/>
      <c r="AO270" s="713"/>
      <c r="AP270" s="696"/>
      <c r="AQ270" s="713"/>
      <c r="AR270" s="696"/>
      <c r="AS270" s="713"/>
      <c r="AT270" s="696"/>
      <c r="AU270" s="696"/>
      <c r="AV270" s="713"/>
      <c r="AW270" s="696"/>
      <c r="AX270" s="713"/>
      <c r="AY270" s="696"/>
      <c r="AZ270" s="713"/>
      <c r="BA270" s="696"/>
      <c r="BB270" s="713"/>
      <c r="BC270" s="696"/>
      <c r="BD270" s="713"/>
      <c r="BE270" s="696"/>
    </row>
    <row r="271" spans="1:57" s="44" customFormat="1">
      <c r="A271" s="700"/>
      <c r="B271" s="700"/>
      <c r="C271" s="700"/>
      <c r="D271" s="847"/>
      <c r="E271" s="696"/>
      <c r="F271" s="847"/>
      <c r="G271" s="696"/>
      <c r="H271" s="847"/>
      <c r="I271" s="696"/>
      <c r="J271" s="847"/>
      <c r="K271" s="696"/>
      <c r="L271" s="847"/>
      <c r="M271" s="696"/>
      <c r="N271" s="696"/>
      <c r="O271" s="847"/>
      <c r="P271" s="696"/>
      <c r="Q271" s="847"/>
      <c r="R271" s="696"/>
      <c r="S271" s="847"/>
      <c r="T271" s="696"/>
      <c r="U271" s="847"/>
      <c r="V271" s="696"/>
      <c r="W271" s="847"/>
      <c r="X271" s="696"/>
      <c r="Y271" s="696"/>
      <c r="Z271" s="713"/>
      <c r="AA271" s="696"/>
      <c r="AB271" s="713"/>
      <c r="AC271" s="696"/>
      <c r="AD271" s="713"/>
      <c r="AE271" s="696"/>
      <c r="AF271" s="713"/>
      <c r="AG271" s="696"/>
      <c r="AH271" s="713"/>
      <c r="AI271" s="696"/>
      <c r="AJ271" s="696"/>
      <c r="AK271" s="713"/>
      <c r="AL271" s="696"/>
      <c r="AM271" s="713"/>
      <c r="AN271" s="696"/>
      <c r="AO271" s="713"/>
      <c r="AP271" s="696"/>
      <c r="AQ271" s="713"/>
      <c r="AR271" s="696"/>
      <c r="AS271" s="713"/>
      <c r="AT271" s="696"/>
      <c r="AU271" s="696"/>
      <c r="AV271" s="713"/>
      <c r="AW271" s="696"/>
      <c r="AX271" s="713"/>
      <c r="AY271" s="696"/>
      <c r="AZ271" s="713"/>
      <c r="BA271" s="696"/>
      <c r="BB271" s="713"/>
      <c r="BC271" s="696"/>
      <c r="BD271" s="713"/>
      <c r="BE271" s="696"/>
    </row>
    <row r="272" spans="1:57" s="44" customFormat="1">
      <c r="A272" s="700"/>
      <c r="B272" s="700"/>
      <c r="C272" s="700"/>
      <c r="D272" s="847"/>
      <c r="E272" s="696"/>
      <c r="F272" s="847"/>
      <c r="G272" s="696"/>
      <c r="H272" s="847"/>
      <c r="I272" s="696"/>
      <c r="J272" s="847"/>
      <c r="K272" s="696"/>
      <c r="L272" s="847"/>
      <c r="M272" s="696"/>
      <c r="N272" s="696"/>
      <c r="O272" s="847"/>
      <c r="P272" s="696"/>
      <c r="Q272" s="847"/>
      <c r="R272" s="696"/>
      <c r="S272" s="847"/>
      <c r="T272" s="696"/>
      <c r="U272" s="847"/>
      <c r="V272" s="696"/>
      <c r="W272" s="847"/>
      <c r="X272" s="696"/>
      <c r="Y272" s="696"/>
      <c r="Z272" s="713"/>
      <c r="AA272" s="696"/>
      <c r="AB272" s="713"/>
      <c r="AC272" s="696"/>
      <c r="AD272" s="713"/>
      <c r="AE272" s="696"/>
      <c r="AF272" s="713"/>
      <c r="AG272" s="696"/>
      <c r="AH272" s="713"/>
      <c r="AI272" s="696"/>
      <c r="AJ272" s="696"/>
      <c r="AK272" s="713"/>
      <c r="AL272" s="696"/>
      <c r="AM272" s="713"/>
      <c r="AN272" s="696"/>
      <c r="AO272" s="713"/>
      <c r="AP272" s="696"/>
      <c r="AQ272" s="713"/>
      <c r="AR272" s="696"/>
      <c r="AS272" s="713"/>
      <c r="AT272" s="696"/>
      <c r="AU272" s="696"/>
      <c r="AV272" s="713"/>
      <c r="AW272" s="696"/>
      <c r="AX272" s="713"/>
      <c r="AY272" s="696"/>
      <c r="AZ272" s="713"/>
      <c r="BA272" s="696"/>
      <c r="BB272" s="713"/>
      <c r="BC272" s="696"/>
      <c r="BD272" s="713"/>
      <c r="BE272" s="696"/>
    </row>
    <row r="273" spans="1:57" s="44" customFormat="1">
      <c r="A273" s="700"/>
      <c r="B273" s="700"/>
      <c r="C273" s="700"/>
      <c r="D273" s="847"/>
      <c r="E273" s="696"/>
      <c r="F273" s="847"/>
      <c r="G273" s="696"/>
      <c r="H273" s="847"/>
      <c r="I273" s="696"/>
      <c r="J273" s="847"/>
      <c r="K273" s="696"/>
      <c r="L273" s="847"/>
      <c r="M273" s="696"/>
      <c r="N273" s="696"/>
      <c r="O273" s="847"/>
      <c r="P273" s="696"/>
      <c r="Q273" s="847"/>
      <c r="R273" s="696"/>
      <c r="S273" s="847"/>
      <c r="T273" s="696"/>
      <c r="U273" s="847"/>
      <c r="V273" s="696"/>
      <c r="W273" s="847"/>
      <c r="X273" s="696"/>
      <c r="Y273" s="696"/>
      <c r="Z273" s="713"/>
      <c r="AA273" s="696"/>
      <c r="AB273" s="713"/>
      <c r="AC273" s="696"/>
      <c r="AD273" s="713"/>
      <c r="AE273" s="696"/>
      <c r="AF273" s="713"/>
      <c r="AG273" s="696"/>
      <c r="AH273" s="713"/>
      <c r="AI273" s="696"/>
      <c r="AJ273" s="696"/>
      <c r="AK273" s="713"/>
      <c r="AL273" s="696"/>
      <c r="AM273" s="713"/>
      <c r="AN273" s="696"/>
      <c r="AO273" s="713"/>
      <c r="AP273" s="696"/>
      <c r="AQ273" s="713"/>
      <c r="AR273" s="696"/>
      <c r="AS273" s="713"/>
      <c r="AT273" s="696"/>
      <c r="AU273" s="696"/>
      <c r="AV273" s="713"/>
      <c r="AW273" s="696"/>
      <c r="AX273" s="713"/>
      <c r="AY273" s="696"/>
      <c r="AZ273" s="713"/>
      <c r="BA273" s="696"/>
      <c r="BB273" s="713"/>
      <c r="BC273" s="696"/>
      <c r="BD273" s="713"/>
      <c r="BE273" s="696"/>
    </row>
    <row r="274" spans="1:57" s="44" customFormat="1">
      <c r="A274" s="700"/>
      <c r="B274" s="700"/>
      <c r="C274" s="700"/>
      <c r="D274" s="847"/>
      <c r="E274" s="696"/>
      <c r="F274" s="847"/>
      <c r="G274" s="696"/>
      <c r="H274" s="847"/>
      <c r="I274" s="696"/>
      <c r="J274" s="847"/>
      <c r="K274" s="696"/>
      <c r="L274" s="847"/>
      <c r="M274" s="696"/>
      <c r="N274" s="696"/>
      <c r="O274" s="847"/>
      <c r="P274" s="696"/>
      <c r="Q274" s="847"/>
      <c r="R274" s="696"/>
      <c r="S274" s="847"/>
      <c r="T274" s="696"/>
      <c r="U274" s="847"/>
      <c r="V274" s="696"/>
      <c r="W274" s="847"/>
      <c r="X274" s="696"/>
      <c r="Y274" s="696"/>
      <c r="Z274" s="713"/>
      <c r="AA274" s="696"/>
      <c r="AB274" s="713"/>
      <c r="AC274" s="696"/>
      <c r="AD274" s="713"/>
      <c r="AE274" s="696"/>
      <c r="AF274" s="713"/>
      <c r="AG274" s="696"/>
      <c r="AH274" s="713"/>
      <c r="AI274" s="696"/>
      <c r="AJ274" s="696"/>
      <c r="AK274" s="713"/>
      <c r="AL274" s="696"/>
      <c r="AM274" s="713"/>
      <c r="AN274" s="696"/>
      <c r="AO274" s="713"/>
      <c r="AP274" s="696"/>
      <c r="AQ274" s="713"/>
      <c r="AR274" s="696"/>
      <c r="AS274" s="713"/>
      <c r="AT274" s="696"/>
      <c r="AU274" s="696"/>
      <c r="AV274" s="713"/>
      <c r="AW274" s="696"/>
      <c r="AX274" s="713"/>
      <c r="AY274" s="696"/>
      <c r="AZ274" s="713"/>
      <c r="BA274" s="696"/>
      <c r="BB274" s="713"/>
      <c r="BC274" s="696"/>
      <c r="BD274" s="713"/>
      <c r="BE274" s="696"/>
    </row>
    <row r="275" spans="1:57" s="44" customFormat="1">
      <c r="A275" s="700"/>
      <c r="B275" s="700"/>
      <c r="C275" s="700"/>
      <c r="D275" s="847"/>
      <c r="E275" s="696"/>
      <c r="F275" s="847"/>
      <c r="G275" s="696"/>
      <c r="H275" s="847"/>
      <c r="I275" s="696"/>
      <c r="J275" s="847"/>
      <c r="K275" s="696"/>
      <c r="L275" s="847"/>
      <c r="M275" s="696"/>
      <c r="N275" s="696"/>
      <c r="O275" s="847"/>
      <c r="P275" s="696"/>
      <c r="Q275" s="847"/>
      <c r="R275" s="696"/>
      <c r="S275" s="847"/>
      <c r="T275" s="696"/>
      <c r="U275" s="847"/>
      <c r="V275" s="696"/>
      <c r="W275" s="847"/>
      <c r="X275" s="696"/>
      <c r="Y275" s="696"/>
      <c r="Z275" s="713"/>
      <c r="AA275" s="696"/>
      <c r="AB275" s="713"/>
      <c r="AC275" s="696"/>
      <c r="AD275" s="713"/>
      <c r="AE275" s="696"/>
      <c r="AF275" s="713"/>
      <c r="AG275" s="696"/>
      <c r="AH275" s="713"/>
      <c r="AI275" s="696"/>
      <c r="AJ275" s="696"/>
      <c r="AK275" s="713"/>
      <c r="AL275" s="696"/>
      <c r="AM275" s="713"/>
      <c r="AN275" s="696"/>
      <c r="AO275" s="713"/>
      <c r="AP275" s="696"/>
      <c r="AQ275" s="713"/>
      <c r="AR275" s="696"/>
      <c r="AS275" s="713"/>
      <c r="AT275" s="696"/>
      <c r="AU275" s="696"/>
      <c r="AV275" s="713"/>
      <c r="AW275" s="696"/>
      <c r="AX275" s="713"/>
      <c r="AY275" s="696"/>
      <c r="AZ275" s="713"/>
      <c r="BA275" s="696"/>
      <c r="BB275" s="713"/>
      <c r="BC275" s="696"/>
      <c r="BD275" s="713"/>
      <c r="BE275" s="696"/>
    </row>
    <row r="276" spans="1:57" s="44" customFormat="1">
      <c r="A276" s="700"/>
      <c r="B276" s="700"/>
      <c r="C276" s="700"/>
      <c r="D276" s="847"/>
      <c r="E276" s="696"/>
      <c r="F276" s="847"/>
      <c r="G276" s="696"/>
      <c r="H276" s="847"/>
      <c r="I276" s="696"/>
      <c r="J276" s="847"/>
      <c r="K276" s="696"/>
      <c r="L276" s="847"/>
      <c r="M276" s="696"/>
      <c r="N276" s="696"/>
      <c r="O276" s="847"/>
      <c r="P276" s="696"/>
      <c r="Q276" s="847"/>
      <c r="R276" s="696"/>
      <c r="S276" s="847"/>
      <c r="T276" s="696"/>
      <c r="U276" s="847"/>
      <c r="V276" s="696"/>
      <c r="W276" s="847"/>
      <c r="X276" s="696"/>
      <c r="Y276" s="696"/>
      <c r="Z276" s="713"/>
      <c r="AA276" s="696"/>
      <c r="AB276" s="713"/>
      <c r="AC276" s="696"/>
      <c r="AD276" s="713"/>
      <c r="AE276" s="696"/>
      <c r="AF276" s="713"/>
      <c r="AG276" s="696"/>
      <c r="AH276" s="713"/>
      <c r="AI276" s="696"/>
      <c r="AJ276" s="696"/>
      <c r="AK276" s="713"/>
      <c r="AL276" s="696"/>
      <c r="AM276" s="713"/>
      <c r="AN276" s="696"/>
      <c r="AO276" s="713"/>
      <c r="AP276" s="696"/>
      <c r="AQ276" s="713"/>
      <c r="AR276" s="696"/>
      <c r="AS276" s="713"/>
      <c r="AT276" s="696"/>
      <c r="AU276" s="696"/>
      <c r="AV276" s="713"/>
      <c r="AW276" s="696"/>
      <c r="AX276" s="713"/>
      <c r="AY276" s="696"/>
      <c r="AZ276" s="713"/>
      <c r="BA276" s="696"/>
      <c r="BB276" s="713"/>
      <c r="BC276" s="696"/>
      <c r="BD276" s="713"/>
      <c r="BE276" s="696"/>
    </row>
    <row r="277" spans="1:57" s="44" customFormat="1">
      <c r="A277" s="700"/>
      <c r="B277" s="700"/>
      <c r="C277" s="700"/>
      <c r="D277" s="847"/>
      <c r="E277" s="696"/>
      <c r="F277" s="847"/>
      <c r="G277" s="696"/>
      <c r="H277" s="847"/>
      <c r="I277" s="696"/>
      <c r="J277" s="847"/>
      <c r="K277" s="696"/>
      <c r="L277" s="847"/>
      <c r="M277" s="696"/>
      <c r="N277" s="696"/>
      <c r="O277" s="847"/>
      <c r="P277" s="696"/>
      <c r="Q277" s="847"/>
      <c r="R277" s="696"/>
      <c r="S277" s="847"/>
      <c r="T277" s="696"/>
      <c r="U277" s="847"/>
      <c r="V277" s="696"/>
      <c r="W277" s="847"/>
      <c r="X277" s="696"/>
      <c r="Y277" s="696"/>
      <c r="Z277" s="713"/>
      <c r="AA277" s="696"/>
      <c r="AB277" s="713"/>
      <c r="AC277" s="696"/>
      <c r="AD277" s="713"/>
      <c r="AE277" s="696"/>
      <c r="AF277" s="713"/>
      <c r="AG277" s="696"/>
      <c r="AH277" s="713"/>
      <c r="AI277" s="696"/>
      <c r="AJ277" s="696"/>
      <c r="AK277" s="713"/>
      <c r="AL277" s="696"/>
      <c r="AM277" s="713"/>
      <c r="AN277" s="696"/>
      <c r="AO277" s="713"/>
      <c r="AP277" s="696"/>
      <c r="AQ277" s="713"/>
      <c r="AR277" s="696"/>
      <c r="AS277" s="713"/>
      <c r="AT277" s="696"/>
      <c r="AU277" s="696"/>
      <c r="AV277" s="713"/>
      <c r="AW277" s="696"/>
      <c r="AX277" s="713"/>
      <c r="AY277" s="696"/>
      <c r="AZ277" s="713"/>
      <c r="BA277" s="696"/>
      <c r="BB277" s="713"/>
      <c r="BC277" s="696"/>
      <c r="BD277" s="713"/>
      <c r="BE277" s="696"/>
    </row>
    <row r="278" spans="1:57" s="44" customFormat="1">
      <c r="A278" s="700"/>
      <c r="B278" s="700"/>
      <c r="C278" s="700"/>
      <c r="D278" s="847"/>
      <c r="E278" s="696"/>
      <c r="F278" s="847"/>
      <c r="G278" s="696"/>
      <c r="H278" s="847"/>
      <c r="I278" s="696"/>
      <c r="J278" s="847"/>
      <c r="K278" s="696"/>
      <c r="L278" s="847"/>
      <c r="M278" s="696"/>
      <c r="N278" s="696"/>
      <c r="O278" s="847"/>
      <c r="P278" s="696"/>
      <c r="Q278" s="847"/>
      <c r="R278" s="696"/>
      <c r="S278" s="847"/>
      <c r="T278" s="696"/>
      <c r="U278" s="847"/>
      <c r="V278" s="696"/>
      <c r="W278" s="847"/>
      <c r="X278" s="696"/>
      <c r="Y278" s="696"/>
      <c r="Z278" s="713"/>
      <c r="AA278" s="696"/>
      <c r="AB278" s="713"/>
      <c r="AC278" s="696"/>
      <c r="AD278" s="713"/>
      <c r="AE278" s="696"/>
      <c r="AF278" s="713"/>
      <c r="AG278" s="696"/>
      <c r="AH278" s="713"/>
      <c r="AI278" s="696"/>
      <c r="AJ278" s="696"/>
      <c r="AK278" s="713"/>
      <c r="AL278" s="696"/>
      <c r="AM278" s="713"/>
      <c r="AN278" s="696"/>
      <c r="AO278" s="713"/>
      <c r="AP278" s="696"/>
      <c r="AQ278" s="713"/>
      <c r="AR278" s="696"/>
      <c r="AS278" s="713"/>
      <c r="AT278" s="696"/>
      <c r="AU278" s="696"/>
      <c r="AV278" s="713"/>
      <c r="AW278" s="696"/>
      <c r="AX278" s="713"/>
      <c r="AY278" s="696"/>
      <c r="AZ278" s="713"/>
      <c r="BA278" s="696"/>
      <c r="BB278" s="713"/>
      <c r="BC278" s="696"/>
      <c r="BD278" s="713"/>
      <c r="BE278" s="696"/>
    </row>
    <row r="279" spans="1:57" s="44" customFormat="1">
      <c r="A279" s="700"/>
      <c r="B279" s="700"/>
      <c r="C279" s="700"/>
      <c r="D279" s="847"/>
      <c r="E279" s="696"/>
      <c r="F279" s="847"/>
      <c r="G279" s="696"/>
      <c r="H279" s="847"/>
      <c r="I279" s="696"/>
      <c r="J279" s="847"/>
      <c r="K279" s="696"/>
      <c r="L279" s="847"/>
      <c r="M279" s="696"/>
      <c r="N279" s="696"/>
      <c r="O279" s="847"/>
      <c r="P279" s="696"/>
      <c r="Q279" s="847"/>
      <c r="R279" s="696"/>
      <c r="S279" s="847"/>
      <c r="T279" s="696"/>
      <c r="U279" s="847"/>
      <c r="V279" s="696"/>
      <c r="W279" s="847"/>
      <c r="X279" s="696"/>
      <c r="Y279" s="696"/>
      <c r="Z279" s="713"/>
      <c r="AA279" s="696"/>
      <c r="AB279" s="713"/>
      <c r="AC279" s="696"/>
      <c r="AD279" s="713"/>
      <c r="AE279" s="696"/>
      <c r="AF279" s="713"/>
      <c r="AG279" s="696"/>
      <c r="AH279" s="713"/>
      <c r="AI279" s="696"/>
      <c r="AJ279" s="696"/>
      <c r="AK279" s="713"/>
      <c r="AL279" s="696"/>
      <c r="AM279" s="713"/>
      <c r="AN279" s="696"/>
      <c r="AO279" s="713"/>
      <c r="AP279" s="696"/>
      <c r="AQ279" s="713"/>
      <c r="AR279" s="696"/>
      <c r="AS279" s="713"/>
      <c r="AT279" s="696"/>
      <c r="AU279" s="696"/>
      <c r="AV279" s="713"/>
      <c r="AW279" s="696"/>
      <c r="AX279" s="713"/>
      <c r="AY279" s="696"/>
      <c r="AZ279" s="713"/>
      <c r="BA279" s="696"/>
      <c r="BB279" s="713"/>
      <c r="BC279" s="696"/>
      <c r="BD279" s="713"/>
      <c r="BE279" s="696"/>
    </row>
    <row r="280" spans="1:57" s="44" customFormat="1">
      <c r="A280" s="700"/>
      <c r="B280" s="700"/>
      <c r="C280" s="700"/>
      <c r="D280" s="847"/>
      <c r="E280" s="696"/>
      <c r="F280" s="847"/>
      <c r="G280" s="696"/>
      <c r="H280" s="847"/>
      <c r="I280" s="696"/>
      <c r="J280" s="847"/>
      <c r="K280" s="696"/>
      <c r="L280" s="847"/>
      <c r="M280" s="696"/>
      <c r="N280" s="696"/>
      <c r="O280" s="847"/>
      <c r="P280" s="696"/>
      <c r="Q280" s="847"/>
      <c r="R280" s="696"/>
      <c r="S280" s="847"/>
      <c r="T280" s="696"/>
      <c r="U280" s="847"/>
      <c r="V280" s="696"/>
      <c r="W280" s="847"/>
      <c r="X280" s="696"/>
      <c r="Y280" s="696"/>
      <c r="Z280" s="713"/>
      <c r="AA280" s="696"/>
      <c r="AB280" s="713"/>
      <c r="AC280" s="696"/>
      <c r="AD280" s="713"/>
      <c r="AE280" s="696"/>
      <c r="AF280" s="713"/>
      <c r="AG280" s="696"/>
      <c r="AH280" s="713"/>
      <c r="AI280" s="696"/>
      <c r="AJ280" s="696"/>
      <c r="AK280" s="713"/>
      <c r="AL280" s="696"/>
      <c r="AM280" s="713"/>
      <c r="AN280" s="696"/>
      <c r="AO280" s="713"/>
      <c r="AP280" s="696"/>
      <c r="AQ280" s="713"/>
      <c r="AR280" s="696"/>
      <c r="AS280" s="713"/>
      <c r="AT280" s="696"/>
      <c r="AU280" s="696"/>
      <c r="AV280" s="713"/>
      <c r="AW280" s="696"/>
      <c r="AX280" s="713"/>
      <c r="AY280" s="696"/>
      <c r="AZ280" s="713"/>
      <c r="BA280" s="696"/>
      <c r="BB280" s="713"/>
      <c r="BC280" s="696"/>
      <c r="BD280" s="713"/>
      <c r="BE280" s="696"/>
    </row>
    <row r="281" spans="1:57" s="44" customFormat="1">
      <c r="A281" s="700"/>
      <c r="B281" s="700"/>
      <c r="C281" s="700"/>
      <c r="D281" s="847"/>
      <c r="E281" s="696"/>
      <c r="F281" s="847"/>
      <c r="G281" s="696"/>
      <c r="H281" s="847"/>
      <c r="I281" s="696"/>
      <c r="J281" s="847"/>
      <c r="K281" s="696"/>
      <c r="L281" s="847"/>
      <c r="M281" s="696"/>
      <c r="N281" s="696"/>
      <c r="O281" s="847"/>
      <c r="P281" s="696"/>
      <c r="Q281" s="847"/>
      <c r="R281" s="696"/>
      <c r="S281" s="847"/>
      <c r="T281" s="696"/>
      <c r="U281" s="847"/>
      <c r="V281" s="696"/>
      <c r="W281" s="847"/>
      <c r="X281" s="696"/>
      <c r="Y281" s="696"/>
      <c r="Z281" s="713"/>
      <c r="AA281" s="696"/>
      <c r="AB281" s="713"/>
      <c r="AC281" s="696"/>
      <c r="AD281" s="713"/>
      <c r="AE281" s="696"/>
      <c r="AF281" s="713"/>
      <c r="AG281" s="696"/>
      <c r="AH281" s="713"/>
      <c r="AI281" s="696"/>
      <c r="AJ281" s="696"/>
      <c r="AK281" s="713"/>
      <c r="AL281" s="696"/>
      <c r="AM281" s="713"/>
      <c r="AN281" s="696"/>
      <c r="AO281" s="713"/>
      <c r="AP281" s="696"/>
      <c r="AQ281" s="713"/>
      <c r="AR281" s="696"/>
      <c r="AS281" s="713"/>
      <c r="AT281" s="696"/>
      <c r="AU281" s="696"/>
      <c r="AV281" s="713"/>
      <c r="AW281" s="696"/>
      <c r="AX281" s="713"/>
      <c r="AY281" s="696"/>
      <c r="AZ281" s="713"/>
      <c r="BA281" s="696"/>
      <c r="BB281" s="713"/>
      <c r="BC281" s="696"/>
      <c r="BD281" s="713"/>
      <c r="BE281" s="696"/>
    </row>
    <row r="282" spans="1:57" s="44" customFormat="1">
      <c r="A282" s="700"/>
      <c r="B282" s="700"/>
      <c r="C282" s="700"/>
      <c r="D282" s="847"/>
      <c r="E282" s="696"/>
      <c r="F282" s="847"/>
      <c r="G282" s="696"/>
      <c r="H282" s="847"/>
      <c r="I282" s="696"/>
      <c r="J282" s="847"/>
      <c r="K282" s="696"/>
      <c r="L282" s="847"/>
      <c r="M282" s="696"/>
      <c r="N282" s="696"/>
      <c r="O282" s="847"/>
      <c r="P282" s="696"/>
      <c r="Q282" s="847"/>
      <c r="R282" s="696"/>
      <c r="S282" s="847"/>
      <c r="T282" s="696"/>
      <c r="U282" s="847"/>
      <c r="V282" s="696"/>
      <c r="W282" s="847"/>
      <c r="X282" s="696"/>
      <c r="Y282" s="696"/>
      <c r="Z282" s="713"/>
      <c r="AA282" s="696"/>
      <c r="AB282" s="713"/>
      <c r="AC282" s="696"/>
      <c r="AD282" s="713"/>
      <c r="AE282" s="696"/>
      <c r="AF282" s="713"/>
      <c r="AG282" s="696"/>
      <c r="AH282" s="713"/>
      <c r="AI282" s="696"/>
      <c r="AJ282" s="696"/>
      <c r="AK282" s="713"/>
      <c r="AL282" s="696"/>
      <c r="AM282" s="713"/>
      <c r="AN282" s="696"/>
      <c r="AO282" s="713"/>
      <c r="AP282" s="696"/>
      <c r="AQ282" s="713"/>
      <c r="AR282" s="696"/>
      <c r="AS282" s="713"/>
      <c r="AT282" s="696"/>
      <c r="AU282" s="696"/>
      <c r="AV282" s="713"/>
      <c r="AW282" s="696"/>
      <c r="AX282" s="713"/>
      <c r="AY282" s="696"/>
      <c r="AZ282" s="713"/>
      <c r="BA282" s="696"/>
      <c r="BB282" s="713"/>
      <c r="BC282" s="696"/>
      <c r="BD282" s="713"/>
      <c r="BE282" s="696"/>
    </row>
    <row r="283" spans="1:57" s="44" customFormat="1">
      <c r="A283" s="700"/>
      <c r="B283" s="700"/>
      <c r="C283" s="700"/>
      <c r="D283" s="847"/>
      <c r="E283" s="696"/>
      <c r="F283" s="847"/>
      <c r="G283" s="696"/>
      <c r="H283" s="847"/>
      <c r="I283" s="696"/>
      <c r="J283" s="847"/>
      <c r="K283" s="696"/>
      <c r="L283" s="847"/>
      <c r="M283" s="696"/>
      <c r="N283" s="696"/>
      <c r="O283" s="847"/>
      <c r="P283" s="696"/>
      <c r="Q283" s="847"/>
      <c r="R283" s="696"/>
      <c r="S283" s="847"/>
      <c r="T283" s="696"/>
      <c r="U283" s="847"/>
      <c r="V283" s="696"/>
      <c r="W283" s="847"/>
      <c r="X283" s="696"/>
      <c r="Y283" s="696"/>
      <c r="Z283" s="713"/>
      <c r="AA283" s="696"/>
      <c r="AB283" s="713"/>
      <c r="AC283" s="696"/>
      <c r="AD283" s="713"/>
      <c r="AE283" s="696"/>
      <c r="AF283" s="713"/>
      <c r="AG283" s="696"/>
      <c r="AH283" s="713"/>
      <c r="AI283" s="696"/>
      <c r="AJ283" s="696"/>
      <c r="AK283" s="713"/>
      <c r="AL283" s="696"/>
      <c r="AM283" s="713"/>
      <c r="AN283" s="696"/>
      <c r="AO283" s="713"/>
      <c r="AP283" s="696"/>
      <c r="AQ283" s="713"/>
      <c r="AR283" s="696"/>
      <c r="AS283" s="713"/>
      <c r="AT283" s="696"/>
      <c r="AU283" s="696"/>
      <c r="AV283" s="713"/>
      <c r="AW283" s="696"/>
      <c r="AX283" s="713"/>
      <c r="AY283" s="696"/>
      <c r="AZ283" s="713"/>
      <c r="BA283" s="696"/>
      <c r="BB283" s="713"/>
      <c r="BC283" s="696"/>
      <c r="BD283" s="713"/>
      <c r="BE283" s="696"/>
    </row>
    <row r="284" spans="1:57" s="44" customFormat="1">
      <c r="A284" s="700"/>
      <c r="B284" s="700"/>
      <c r="C284" s="700"/>
      <c r="D284" s="847"/>
      <c r="E284" s="696"/>
      <c r="F284" s="847"/>
      <c r="G284" s="696"/>
      <c r="H284" s="847"/>
      <c r="I284" s="696"/>
      <c r="J284" s="847"/>
      <c r="K284" s="696"/>
      <c r="L284" s="847"/>
      <c r="M284" s="696"/>
      <c r="N284" s="696"/>
      <c r="O284" s="847"/>
      <c r="P284" s="696"/>
      <c r="Q284" s="847"/>
      <c r="R284" s="696"/>
      <c r="S284" s="847"/>
      <c r="T284" s="696"/>
      <c r="U284" s="847"/>
      <c r="V284" s="696"/>
      <c r="W284" s="847"/>
      <c r="X284" s="696"/>
      <c r="Y284" s="696"/>
      <c r="Z284" s="713"/>
      <c r="AA284" s="696"/>
      <c r="AB284" s="713"/>
      <c r="AC284" s="696"/>
      <c r="AD284" s="713"/>
      <c r="AE284" s="696"/>
      <c r="AF284" s="713"/>
      <c r="AG284" s="696"/>
      <c r="AH284" s="713"/>
      <c r="AI284" s="696"/>
      <c r="AJ284" s="696"/>
      <c r="AK284" s="713"/>
      <c r="AL284" s="696"/>
      <c r="AM284" s="713"/>
      <c r="AN284" s="696"/>
      <c r="AO284" s="713"/>
      <c r="AP284" s="696"/>
      <c r="AQ284" s="713"/>
      <c r="AR284" s="696"/>
      <c r="AS284" s="713"/>
      <c r="AT284" s="696"/>
      <c r="AU284" s="696"/>
      <c r="AV284" s="713"/>
      <c r="AW284" s="696"/>
      <c r="AX284" s="713"/>
      <c r="AY284" s="696"/>
      <c r="AZ284" s="713"/>
      <c r="BA284" s="696"/>
      <c r="BB284" s="713"/>
      <c r="BC284" s="696"/>
      <c r="BD284" s="713"/>
      <c r="BE284" s="696"/>
    </row>
    <row r="285" spans="1:57" s="44" customFormat="1">
      <c r="A285" s="700"/>
      <c r="B285" s="700"/>
      <c r="C285" s="700"/>
      <c r="D285" s="847"/>
      <c r="E285" s="696"/>
      <c r="F285" s="847"/>
      <c r="G285" s="696"/>
      <c r="H285" s="847"/>
      <c r="I285" s="696"/>
      <c r="J285" s="847"/>
      <c r="K285" s="696"/>
      <c r="L285" s="847"/>
      <c r="M285" s="696"/>
      <c r="N285" s="696"/>
      <c r="O285" s="847"/>
      <c r="P285" s="696"/>
      <c r="Q285" s="847"/>
      <c r="R285" s="696"/>
      <c r="S285" s="847"/>
      <c r="T285" s="696"/>
      <c r="U285" s="847"/>
      <c r="V285" s="696"/>
      <c r="W285" s="847"/>
      <c r="X285" s="696"/>
      <c r="Y285" s="696"/>
      <c r="Z285" s="713"/>
      <c r="AA285" s="696"/>
      <c r="AB285" s="713"/>
      <c r="AC285" s="696"/>
      <c r="AD285" s="713"/>
      <c r="AE285" s="696"/>
      <c r="AF285" s="713"/>
      <c r="AG285" s="696"/>
      <c r="AH285" s="713"/>
      <c r="AI285" s="696"/>
      <c r="AJ285" s="696"/>
      <c r="AK285" s="713"/>
      <c r="AL285" s="696"/>
      <c r="AM285" s="713"/>
      <c r="AN285" s="696"/>
      <c r="AO285" s="713"/>
      <c r="AP285" s="696"/>
      <c r="AQ285" s="713"/>
      <c r="AR285" s="696"/>
      <c r="AS285" s="713"/>
      <c r="AT285" s="696"/>
      <c r="AU285" s="696"/>
      <c r="AV285" s="713"/>
      <c r="AW285" s="696"/>
      <c r="AX285" s="713"/>
      <c r="AY285" s="696"/>
      <c r="AZ285" s="713"/>
      <c r="BA285" s="696"/>
      <c r="BB285" s="713"/>
      <c r="BC285" s="696"/>
      <c r="BD285" s="713"/>
      <c r="BE285" s="696"/>
    </row>
    <row r="286" spans="1:57" s="44" customFormat="1">
      <c r="A286" s="700"/>
      <c r="B286" s="700"/>
      <c r="C286" s="700"/>
      <c r="D286" s="847"/>
      <c r="E286" s="696"/>
      <c r="F286" s="847"/>
      <c r="G286" s="696"/>
      <c r="H286" s="847"/>
      <c r="I286" s="696"/>
      <c r="J286" s="847"/>
      <c r="K286" s="696"/>
      <c r="L286" s="847"/>
      <c r="M286" s="696"/>
      <c r="N286" s="696"/>
      <c r="O286" s="847"/>
      <c r="P286" s="696"/>
      <c r="Q286" s="847"/>
      <c r="R286" s="696"/>
      <c r="S286" s="847"/>
      <c r="T286" s="696"/>
      <c r="U286" s="847"/>
      <c r="V286" s="696"/>
      <c r="W286" s="847"/>
      <c r="X286" s="696"/>
      <c r="Y286" s="696"/>
      <c r="Z286" s="713"/>
      <c r="AA286" s="696"/>
      <c r="AB286" s="713"/>
      <c r="AC286" s="696"/>
      <c r="AD286" s="713"/>
      <c r="AE286" s="696"/>
      <c r="AF286" s="713"/>
      <c r="AG286" s="696"/>
      <c r="AH286" s="713"/>
      <c r="AI286" s="696"/>
      <c r="AJ286" s="696"/>
      <c r="AK286" s="713"/>
      <c r="AL286" s="696"/>
      <c r="AM286" s="713"/>
      <c r="AN286" s="696"/>
      <c r="AO286" s="713"/>
      <c r="AP286" s="696"/>
      <c r="AQ286" s="713"/>
      <c r="AR286" s="696"/>
      <c r="AS286" s="713"/>
      <c r="AT286" s="696"/>
      <c r="AU286" s="696"/>
      <c r="AV286" s="713"/>
      <c r="AW286" s="696"/>
      <c r="AX286" s="713"/>
      <c r="AY286" s="696"/>
      <c r="AZ286" s="713"/>
      <c r="BA286" s="696"/>
      <c r="BB286" s="713"/>
      <c r="BC286" s="696"/>
      <c r="BD286" s="713"/>
      <c r="BE286" s="696"/>
    </row>
    <row r="287" spans="1:57" s="44" customFormat="1">
      <c r="A287" s="700"/>
      <c r="B287" s="700"/>
      <c r="C287" s="700"/>
      <c r="D287" s="847"/>
      <c r="E287" s="696"/>
      <c r="F287" s="847"/>
      <c r="G287" s="696"/>
      <c r="H287" s="847"/>
      <c r="I287" s="696"/>
      <c r="J287" s="847"/>
      <c r="K287" s="696"/>
      <c r="L287" s="847"/>
      <c r="M287" s="696"/>
      <c r="N287" s="696"/>
      <c r="O287" s="847"/>
      <c r="P287" s="696"/>
      <c r="Q287" s="847"/>
      <c r="R287" s="696"/>
      <c r="S287" s="847"/>
      <c r="T287" s="696"/>
      <c r="U287" s="847"/>
      <c r="V287" s="696"/>
      <c r="W287" s="847"/>
      <c r="X287" s="696"/>
      <c r="Y287" s="696"/>
      <c r="Z287" s="713"/>
      <c r="AA287" s="696"/>
      <c r="AB287" s="713"/>
      <c r="AC287" s="696"/>
      <c r="AD287" s="713"/>
      <c r="AE287" s="696"/>
      <c r="AF287" s="713"/>
      <c r="AG287" s="696"/>
      <c r="AH287" s="713"/>
      <c r="AI287" s="696"/>
      <c r="AJ287" s="696"/>
      <c r="AK287" s="713"/>
      <c r="AL287" s="696"/>
      <c r="AM287" s="713"/>
      <c r="AN287" s="696"/>
      <c r="AO287" s="713"/>
      <c r="AP287" s="696"/>
      <c r="AQ287" s="713"/>
      <c r="AR287" s="696"/>
      <c r="AS287" s="713"/>
      <c r="AT287" s="696"/>
      <c r="AU287" s="696"/>
      <c r="AV287" s="713"/>
      <c r="AW287" s="696"/>
      <c r="AX287" s="713"/>
      <c r="AY287" s="696"/>
      <c r="AZ287" s="713"/>
      <c r="BA287" s="696"/>
      <c r="BB287" s="713"/>
      <c r="BC287" s="696"/>
      <c r="BD287" s="713"/>
      <c r="BE287" s="696"/>
    </row>
    <row r="288" spans="1:57" s="44" customFormat="1">
      <c r="A288" s="700"/>
      <c r="B288" s="700"/>
      <c r="C288" s="700"/>
      <c r="D288" s="847"/>
      <c r="E288" s="696"/>
      <c r="F288" s="847"/>
      <c r="G288" s="696"/>
      <c r="H288" s="847"/>
      <c r="I288" s="696"/>
      <c r="J288" s="847"/>
      <c r="K288" s="696"/>
      <c r="L288" s="847"/>
      <c r="M288" s="696"/>
      <c r="N288" s="696"/>
      <c r="O288" s="847"/>
      <c r="P288" s="696"/>
      <c r="Q288" s="847"/>
      <c r="R288" s="696"/>
      <c r="S288" s="847"/>
      <c r="T288" s="696"/>
      <c r="U288" s="847"/>
      <c r="V288" s="696"/>
      <c r="W288" s="847"/>
      <c r="X288" s="696"/>
      <c r="Y288" s="696"/>
      <c r="Z288" s="713"/>
      <c r="AA288" s="696"/>
      <c r="AB288" s="713"/>
      <c r="AC288" s="696"/>
      <c r="AD288" s="713"/>
      <c r="AE288" s="696"/>
      <c r="AF288" s="713"/>
      <c r="AG288" s="696"/>
      <c r="AH288" s="713"/>
      <c r="AI288" s="696"/>
      <c r="AJ288" s="696"/>
      <c r="AK288" s="713"/>
      <c r="AL288" s="696"/>
      <c r="AM288" s="713"/>
      <c r="AN288" s="696"/>
      <c r="AO288" s="713"/>
      <c r="AP288" s="696"/>
      <c r="AQ288" s="713"/>
      <c r="AR288" s="696"/>
      <c r="AS288" s="713"/>
      <c r="AT288" s="696"/>
      <c r="AU288" s="696"/>
      <c r="AV288" s="713"/>
      <c r="AW288" s="696"/>
      <c r="AX288" s="713"/>
      <c r="AY288" s="696"/>
      <c r="AZ288" s="713"/>
      <c r="BA288" s="696"/>
      <c r="BB288" s="713"/>
      <c r="BC288" s="696"/>
      <c r="BD288" s="713"/>
      <c r="BE288" s="696"/>
    </row>
    <row r="289" spans="1:57" s="44" customFormat="1">
      <c r="A289" s="700"/>
      <c r="B289" s="700"/>
      <c r="C289" s="700"/>
      <c r="D289" s="847"/>
      <c r="E289" s="696"/>
      <c r="F289" s="847"/>
      <c r="G289" s="696"/>
      <c r="H289" s="847"/>
      <c r="I289" s="696"/>
      <c r="J289" s="847"/>
      <c r="K289" s="696"/>
      <c r="L289" s="847"/>
      <c r="M289" s="696"/>
      <c r="N289" s="696"/>
      <c r="O289" s="847"/>
      <c r="P289" s="696"/>
      <c r="Q289" s="847"/>
      <c r="R289" s="696"/>
      <c r="S289" s="847"/>
      <c r="T289" s="696"/>
      <c r="U289" s="847"/>
      <c r="V289" s="696"/>
      <c r="W289" s="847"/>
      <c r="X289" s="696"/>
      <c r="Y289" s="696"/>
      <c r="Z289" s="713"/>
      <c r="AA289" s="696"/>
      <c r="AB289" s="713"/>
      <c r="AC289" s="696"/>
      <c r="AD289" s="713"/>
      <c r="AE289" s="696"/>
      <c r="AF289" s="713"/>
      <c r="AG289" s="696"/>
      <c r="AH289" s="713"/>
      <c r="AI289" s="696"/>
      <c r="AJ289" s="696"/>
      <c r="AK289" s="713"/>
      <c r="AL289" s="696"/>
      <c r="AM289" s="713"/>
      <c r="AN289" s="696"/>
      <c r="AO289" s="713"/>
      <c r="AP289" s="696"/>
      <c r="AQ289" s="713"/>
      <c r="AR289" s="696"/>
      <c r="AS289" s="713"/>
      <c r="AT289" s="696"/>
      <c r="AU289" s="696"/>
      <c r="AV289" s="713"/>
      <c r="AW289" s="696"/>
      <c r="AX289" s="713"/>
      <c r="AY289" s="696"/>
      <c r="AZ289" s="713"/>
      <c r="BA289" s="696"/>
      <c r="BB289" s="713"/>
      <c r="BC289" s="696"/>
      <c r="BD289" s="713"/>
      <c r="BE289" s="696"/>
    </row>
    <row r="290" spans="1:57" s="44" customFormat="1">
      <c r="A290" s="700"/>
      <c r="B290" s="700"/>
      <c r="C290" s="700"/>
      <c r="D290" s="847"/>
      <c r="E290" s="696"/>
      <c r="F290" s="847"/>
      <c r="G290" s="696"/>
      <c r="H290" s="847"/>
      <c r="I290" s="696"/>
      <c r="J290" s="847"/>
      <c r="K290" s="696"/>
      <c r="L290" s="847"/>
      <c r="M290" s="696"/>
      <c r="N290" s="696"/>
      <c r="O290" s="847"/>
      <c r="P290" s="696"/>
      <c r="Q290" s="847"/>
      <c r="R290" s="696"/>
      <c r="S290" s="847"/>
      <c r="T290" s="696"/>
      <c r="U290" s="847"/>
      <c r="V290" s="696"/>
      <c r="W290" s="847"/>
      <c r="X290" s="696"/>
      <c r="Y290" s="696"/>
      <c r="Z290" s="713"/>
      <c r="AA290" s="696"/>
      <c r="AB290" s="713"/>
      <c r="AC290" s="696"/>
      <c r="AD290" s="713"/>
      <c r="AE290" s="696"/>
      <c r="AF290" s="713"/>
      <c r="AG290" s="696"/>
      <c r="AH290" s="713"/>
      <c r="AI290" s="696"/>
      <c r="AJ290" s="696"/>
      <c r="AK290" s="713"/>
      <c r="AL290" s="696"/>
      <c r="AM290" s="713"/>
      <c r="AN290" s="696"/>
      <c r="AO290" s="713"/>
      <c r="AP290" s="696"/>
      <c r="AQ290" s="713"/>
      <c r="AR290" s="696"/>
      <c r="AS290" s="713"/>
      <c r="AT290" s="696"/>
      <c r="AU290" s="696"/>
      <c r="AV290" s="713"/>
      <c r="AW290" s="696"/>
      <c r="AX290" s="713"/>
      <c r="AY290" s="696"/>
      <c r="AZ290" s="713"/>
      <c r="BA290" s="696"/>
      <c r="BB290" s="713"/>
      <c r="BC290" s="696"/>
      <c r="BD290" s="713"/>
      <c r="BE290" s="696"/>
    </row>
    <row r="291" spans="1:57" s="44" customFormat="1">
      <c r="A291" s="700"/>
      <c r="B291" s="700"/>
      <c r="C291" s="700"/>
      <c r="D291" s="847"/>
      <c r="E291" s="696"/>
      <c r="F291" s="847"/>
      <c r="G291" s="696"/>
      <c r="H291" s="847"/>
      <c r="I291" s="696"/>
      <c r="J291" s="847"/>
      <c r="K291" s="696"/>
      <c r="L291" s="847"/>
      <c r="M291" s="696"/>
      <c r="N291" s="696"/>
      <c r="O291" s="847"/>
      <c r="P291" s="696"/>
      <c r="Q291" s="847"/>
      <c r="R291" s="696"/>
      <c r="S291" s="847"/>
      <c r="T291" s="696"/>
      <c r="U291" s="847"/>
      <c r="V291" s="696"/>
      <c r="W291" s="847"/>
      <c r="X291" s="696"/>
      <c r="Y291" s="696"/>
      <c r="Z291" s="713"/>
      <c r="AA291" s="696"/>
      <c r="AB291" s="713"/>
      <c r="AC291" s="696"/>
      <c r="AD291" s="713"/>
      <c r="AE291" s="696"/>
      <c r="AF291" s="713"/>
      <c r="AG291" s="696"/>
      <c r="AH291" s="713"/>
      <c r="AI291" s="696"/>
      <c r="AJ291" s="696"/>
      <c r="AK291" s="713"/>
      <c r="AL291" s="696"/>
      <c r="AM291" s="713"/>
      <c r="AN291" s="696"/>
      <c r="AO291" s="713"/>
      <c r="AP291" s="696"/>
      <c r="AQ291" s="713"/>
      <c r="AR291" s="696"/>
      <c r="AS291" s="713"/>
      <c r="AT291" s="696"/>
      <c r="AU291" s="696"/>
      <c r="AV291" s="713"/>
      <c r="AW291" s="696"/>
      <c r="AX291" s="713"/>
      <c r="AY291" s="696"/>
      <c r="AZ291" s="713"/>
      <c r="BA291" s="696"/>
      <c r="BB291" s="713"/>
      <c r="BC291" s="696"/>
      <c r="BD291" s="713"/>
      <c r="BE291" s="696"/>
    </row>
    <row r="292" spans="1:57" s="44" customFormat="1">
      <c r="A292" s="700"/>
      <c r="B292" s="700"/>
      <c r="C292" s="700"/>
      <c r="D292" s="847"/>
      <c r="E292" s="696"/>
      <c r="F292" s="847"/>
      <c r="G292" s="696"/>
      <c r="H292" s="847"/>
      <c r="I292" s="696"/>
      <c r="J292" s="847"/>
      <c r="K292" s="696"/>
      <c r="L292" s="847"/>
      <c r="M292" s="696"/>
      <c r="N292" s="696"/>
      <c r="O292" s="847"/>
      <c r="P292" s="696"/>
      <c r="Q292" s="847"/>
      <c r="R292" s="696"/>
      <c r="S292" s="847"/>
      <c r="T292" s="696"/>
      <c r="U292" s="847"/>
      <c r="V292" s="696"/>
      <c r="W292" s="847"/>
      <c r="X292" s="696"/>
      <c r="Y292" s="696"/>
      <c r="Z292" s="713"/>
      <c r="AA292" s="696"/>
      <c r="AB292" s="713"/>
      <c r="AC292" s="696"/>
      <c r="AD292" s="713"/>
      <c r="AE292" s="696"/>
      <c r="AF292" s="713"/>
      <c r="AG292" s="696"/>
      <c r="AH292" s="713"/>
      <c r="AI292" s="696"/>
      <c r="AJ292" s="696"/>
      <c r="AK292" s="713"/>
      <c r="AL292" s="696"/>
      <c r="AM292" s="713"/>
      <c r="AN292" s="696"/>
      <c r="AO292" s="713"/>
      <c r="AP292" s="696"/>
      <c r="AQ292" s="713"/>
      <c r="AR292" s="696"/>
      <c r="AS292" s="713"/>
      <c r="AT292" s="696"/>
      <c r="AU292" s="696"/>
      <c r="AV292" s="713"/>
      <c r="AW292" s="696"/>
      <c r="AX292" s="713"/>
      <c r="AY292" s="696"/>
      <c r="AZ292" s="713"/>
      <c r="BA292" s="696"/>
      <c r="BB292" s="713"/>
      <c r="BC292" s="696"/>
      <c r="BD292" s="713"/>
      <c r="BE292" s="696"/>
    </row>
    <row r="293" spans="1:57" s="44" customFormat="1">
      <c r="A293" s="700"/>
      <c r="B293" s="700"/>
      <c r="C293" s="700"/>
      <c r="D293" s="847"/>
      <c r="E293" s="696"/>
      <c r="F293" s="847"/>
      <c r="G293" s="696"/>
      <c r="H293" s="847"/>
      <c r="I293" s="696"/>
      <c r="J293" s="847"/>
      <c r="K293" s="696"/>
      <c r="L293" s="847"/>
      <c r="M293" s="696"/>
      <c r="N293" s="696"/>
      <c r="O293" s="847"/>
      <c r="P293" s="696"/>
      <c r="Q293" s="847"/>
      <c r="R293" s="696"/>
      <c r="S293" s="847"/>
      <c r="T293" s="696"/>
      <c r="U293" s="847"/>
      <c r="V293" s="696"/>
      <c r="W293" s="847"/>
      <c r="X293" s="696"/>
      <c r="Y293" s="696"/>
      <c r="Z293" s="713"/>
      <c r="AA293" s="696"/>
      <c r="AB293" s="713"/>
      <c r="AC293" s="696"/>
      <c r="AD293" s="713"/>
      <c r="AE293" s="696"/>
      <c r="AF293" s="713"/>
      <c r="AG293" s="696"/>
      <c r="AH293" s="713"/>
      <c r="AI293" s="696"/>
      <c r="AJ293" s="696"/>
      <c r="AK293" s="713"/>
      <c r="AL293" s="696"/>
      <c r="AM293" s="713"/>
      <c r="AN293" s="696"/>
      <c r="AO293" s="713"/>
      <c r="AP293" s="696"/>
      <c r="AQ293" s="713"/>
      <c r="AR293" s="696"/>
      <c r="AS293" s="713"/>
      <c r="AT293" s="696"/>
      <c r="AU293" s="696"/>
      <c r="AV293" s="713"/>
      <c r="AW293" s="696"/>
      <c r="AX293" s="713"/>
      <c r="AY293" s="696"/>
      <c r="AZ293" s="713"/>
      <c r="BA293" s="696"/>
      <c r="BB293" s="713"/>
      <c r="BC293" s="696"/>
      <c r="BD293" s="713"/>
      <c r="BE293" s="696"/>
    </row>
    <row r="294" spans="1:57" s="44" customFormat="1">
      <c r="A294" s="700"/>
      <c r="B294" s="700"/>
      <c r="C294" s="700"/>
      <c r="D294" s="847"/>
      <c r="E294" s="696"/>
      <c r="F294" s="847"/>
      <c r="G294" s="696"/>
      <c r="H294" s="847"/>
      <c r="I294" s="696"/>
      <c r="J294" s="847"/>
      <c r="K294" s="696"/>
      <c r="L294" s="847"/>
      <c r="M294" s="696"/>
      <c r="N294" s="696"/>
      <c r="O294" s="847"/>
      <c r="P294" s="696"/>
      <c r="Q294" s="847"/>
      <c r="R294" s="696"/>
      <c r="S294" s="847"/>
      <c r="T294" s="696"/>
      <c r="U294" s="847"/>
      <c r="V294" s="696"/>
      <c r="W294" s="847"/>
      <c r="X294" s="696"/>
      <c r="Y294" s="696"/>
      <c r="Z294" s="713"/>
      <c r="AA294" s="696"/>
      <c r="AB294" s="713"/>
      <c r="AC294" s="696"/>
      <c r="AD294" s="713"/>
      <c r="AE294" s="696"/>
      <c r="AF294" s="713"/>
      <c r="AG294" s="696"/>
      <c r="AH294" s="713"/>
      <c r="AI294" s="696"/>
      <c r="AJ294" s="696"/>
      <c r="AK294" s="713"/>
      <c r="AL294" s="696"/>
      <c r="AM294" s="713"/>
      <c r="AN294" s="696"/>
      <c r="AO294" s="713"/>
      <c r="AP294" s="696"/>
      <c r="AQ294" s="713"/>
      <c r="AR294" s="696"/>
      <c r="AS294" s="713"/>
      <c r="AT294" s="696"/>
      <c r="AU294" s="696"/>
      <c r="AV294" s="713"/>
      <c r="AW294" s="696"/>
      <c r="AX294" s="713"/>
      <c r="AY294" s="696"/>
      <c r="AZ294" s="713"/>
      <c r="BA294" s="696"/>
      <c r="BB294" s="713"/>
      <c r="BC294" s="696"/>
      <c r="BD294" s="713"/>
      <c r="BE294" s="696"/>
    </row>
    <row r="295" spans="1:57" s="44" customFormat="1">
      <c r="A295" s="700"/>
      <c r="B295" s="700"/>
      <c r="C295" s="700"/>
      <c r="D295" s="847"/>
      <c r="E295" s="696"/>
      <c r="F295" s="847"/>
      <c r="G295" s="696"/>
      <c r="H295" s="847"/>
      <c r="I295" s="696"/>
      <c r="J295" s="847"/>
      <c r="K295" s="696"/>
      <c r="L295" s="847"/>
      <c r="M295" s="696"/>
      <c r="N295" s="696"/>
      <c r="O295" s="847"/>
      <c r="P295" s="696"/>
      <c r="Q295" s="847"/>
      <c r="R295" s="696"/>
      <c r="S295" s="847"/>
      <c r="T295" s="696"/>
      <c r="U295" s="847"/>
      <c r="V295" s="696"/>
      <c r="W295" s="847"/>
      <c r="X295" s="696"/>
      <c r="Y295" s="696"/>
      <c r="Z295" s="713"/>
      <c r="AA295" s="696"/>
      <c r="AB295" s="713"/>
      <c r="AC295" s="696"/>
      <c r="AD295" s="713"/>
      <c r="AE295" s="696"/>
      <c r="AF295" s="713"/>
      <c r="AG295" s="696"/>
      <c r="AH295" s="713"/>
      <c r="AI295" s="696"/>
      <c r="AJ295" s="696"/>
      <c r="AK295" s="713"/>
      <c r="AL295" s="696"/>
      <c r="AM295" s="713"/>
      <c r="AN295" s="696"/>
      <c r="AO295" s="713"/>
      <c r="AP295" s="696"/>
      <c r="AQ295" s="713"/>
      <c r="AR295" s="696"/>
      <c r="AS295" s="713"/>
      <c r="AT295" s="696"/>
      <c r="AU295" s="696"/>
      <c r="AV295" s="713"/>
      <c r="AW295" s="696"/>
      <c r="AX295" s="713"/>
      <c r="AY295" s="696"/>
      <c r="AZ295" s="713"/>
      <c r="BA295" s="696"/>
      <c r="BB295" s="713"/>
      <c r="BC295" s="696"/>
      <c r="BD295" s="713"/>
      <c r="BE295" s="696"/>
    </row>
    <row r="296" spans="1:57" s="44" customFormat="1">
      <c r="A296" s="700"/>
      <c r="B296" s="700"/>
      <c r="C296" s="700"/>
      <c r="D296" s="847"/>
      <c r="E296" s="696"/>
      <c r="F296" s="847"/>
      <c r="G296" s="696"/>
      <c r="H296" s="847"/>
      <c r="I296" s="696"/>
      <c r="J296" s="847"/>
      <c r="K296" s="696"/>
      <c r="L296" s="847"/>
      <c r="M296" s="696"/>
      <c r="N296" s="696"/>
      <c r="O296" s="847"/>
      <c r="P296" s="696"/>
      <c r="Q296" s="847"/>
      <c r="R296" s="696"/>
      <c r="S296" s="847"/>
      <c r="T296" s="696"/>
      <c r="U296" s="847"/>
      <c r="V296" s="696"/>
      <c r="W296" s="847"/>
      <c r="X296" s="696"/>
      <c r="Y296" s="696"/>
      <c r="Z296" s="713"/>
      <c r="AA296" s="696"/>
      <c r="AB296" s="713"/>
      <c r="AC296" s="696"/>
      <c r="AD296" s="713"/>
      <c r="AE296" s="696"/>
      <c r="AF296" s="713"/>
      <c r="AG296" s="696"/>
      <c r="AH296" s="713"/>
      <c r="AI296" s="696"/>
      <c r="AJ296" s="696"/>
      <c r="AK296" s="713"/>
      <c r="AL296" s="696"/>
      <c r="AM296" s="713"/>
      <c r="AN296" s="696"/>
      <c r="AO296" s="713"/>
      <c r="AP296" s="696"/>
      <c r="AQ296" s="713"/>
      <c r="AR296" s="696"/>
      <c r="AS296" s="713"/>
      <c r="AT296" s="696"/>
      <c r="AU296" s="696"/>
      <c r="AV296" s="713"/>
      <c r="AW296" s="696"/>
      <c r="AX296" s="713"/>
      <c r="AY296" s="696"/>
      <c r="AZ296" s="713"/>
      <c r="BA296" s="696"/>
      <c r="BB296" s="713"/>
      <c r="BC296" s="696"/>
      <c r="BD296" s="713"/>
      <c r="BE296" s="696"/>
    </row>
    <row r="297" spans="1:57" s="44" customFormat="1">
      <c r="A297" s="700"/>
      <c r="B297" s="700"/>
      <c r="C297" s="700"/>
      <c r="D297" s="847"/>
      <c r="E297" s="696"/>
      <c r="F297" s="847"/>
      <c r="G297" s="696"/>
      <c r="H297" s="847"/>
      <c r="I297" s="696"/>
      <c r="J297" s="847"/>
      <c r="K297" s="696"/>
      <c r="L297" s="847"/>
      <c r="M297" s="696"/>
      <c r="N297" s="696"/>
      <c r="O297" s="847"/>
      <c r="P297" s="696"/>
      <c r="Q297" s="847"/>
      <c r="R297" s="696"/>
      <c r="S297" s="847"/>
      <c r="T297" s="696"/>
      <c r="U297" s="847"/>
      <c r="V297" s="696"/>
      <c r="W297" s="847"/>
      <c r="X297" s="696"/>
      <c r="Y297" s="696"/>
      <c r="Z297" s="713"/>
      <c r="AA297" s="696"/>
      <c r="AB297" s="713"/>
      <c r="AC297" s="696"/>
      <c r="AD297" s="713"/>
      <c r="AE297" s="696"/>
      <c r="AF297" s="713"/>
      <c r="AG297" s="696"/>
      <c r="AH297" s="713"/>
      <c r="AI297" s="696"/>
      <c r="AJ297" s="696"/>
      <c r="AK297" s="713"/>
      <c r="AL297" s="696"/>
      <c r="AM297" s="713"/>
      <c r="AN297" s="696"/>
      <c r="AO297" s="713"/>
      <c r="AP297" s="696"/>
      <c r="AQ297" s="713"/>
      <c r="AR297" s="696"/>
      <c r="AS297" s="713"/>
      <c r="AT297" s="696"/>
      <c r="AU297" s="696"/>
      <c r="AV297" s="713"/>
      <c r="AW297" s="696"/>
      <c r="AX297" s="713"/>
      <c r="AY297" s="696"/>
      <c r="AZ297" s="713"/>
      <c r="BA297" s="696"/>
      <c r="BB297" s="713"/>
      <c r="BC297" s="696"/>
      <c r="BD297" s="713"/>
      <c r="BE297" s="696"/>
    </row>
    <row r="298" spans="1:57" s="44" customFormat="1">
      <c r="A298" s="700"/>
      <c r="B298" s="700"/>
      <c r="C298" s="700"/>
      <c r="D298" s="847"/>
      <c r="E298" s="696"/>
      <c r="F298" s="847"/>
      <c r="G298" s="696"/>
      <c r="H298" s="847"/>
      <c r="I298" s="696"/>
      <c r="J298" s="847"/>
      <c r="K298" s="696"/>
      <c r="L298" s="847"/>
      <c r="M298" s="696"/>
      <c r="N298" s="696"/>
      <c r="O298" s="847"/>
      <c r="P298" s="696"/>
      <c r="Q298" s="847"/>
      <c r="R298" s="696"/>
      <c r="S298" s="847"/>
      <c r="T298" s="696"/>
      <c r="U298" s="847"/>
      <c r="V298" s="696"/>
      <c r="W298" s="847"/>
      <c r="X298" s="696"/>
      <c r="Y298" s="696"/>
      <c r="Z298" s="713"/>
      <c r="AA298" s="696"/>
      <c r="AB298" s="713"/>
      <c r="AC298" s="696"/>
      <c r="AD298" s="713"/>
      <c r="AE298" s="696"/>
      <c r="AF298" s="713"/>
      <c r="AG298" s="696"/>
      <c r="AH298" s="713"/>
      <c r="AI298" s="696"/>
      <c r="AJ298" s="696"/>
      <c r="AK298" s="713"/>
      <c r="AL298" s="696"/>
      <c r="AM298" s="713"/>
      <c r="AN298" s="696"/>
      <c r="AO298" s="713"/>
      <c r="AP298" s="696"/>
      <c r="AQ298" s="713"/>
      <c r="AR298" s="696"/>
      <c r="AS298" s="713"/>
      <c r="AT298" s="696"/>
      <c r="AU298" s="696"/>
      <c r="AV298" s="713"/>
      <c r="AW298" s="696"/>
      <c r="AX298" s="713"/>
      <c r="AY298" s="696"/>
      <c r="AZ298" s="713"/>
      <c r="BA298" s="696"/>
      <c r="BB298" s="713"/>
      <c r="BC298" s="696"/>
      <c r="BD298" s="713"/>
      <c r="BE298" s="696"/>
    </row>
    <row r="299" spans="1:57" s="44" customFormat="1">
      <c r="A299" s="700"/>
      <c r="B299" s="700"/>
      <c r="C299" s="700"/>
      <c r="D299" s="847"/>
      <c r="E299" s="696"/>
      <c r="F299" s="847"/>
      <c r="G299" s="696"/>
      <c r="H299" s="847"/>
      <c r="I299" s="696"/>
      <c r="J299" s="847"/>
      <c r="K299" s="696"/>
      <c r="L299" s="847"/>
      <c r="M299" s="696"/>
      <c r="N299" s="696"/>
      <c r="O299" s="847"/>
      <c r="P299" s="696"/>
      <c r="Q299" s="847"/>
      <c r="R299" s="696"/>
      <c r="S299" s="847"/>
      <c r="T299" s="696"/>
      <c r="U299" s="847"/>
      <c r="V299" s="696"/>
      <c r="W299" s="847"/>
      <c r="X299" s="696"/>
      <c r="Y299" s="696"/>
      <c r="Z299" s="713"/>
      <c r="AA299" s="696"/>
      <c r="AB299" s="713"/>
      <c r="AC299" s="696"/>
      <c r="AD299" s="713"/>
      <c r="AE299" s="696"/>
      <c r="AF299" s="713"/>
      <c r="AG299" s="696"/>
      <c r="AH299" s="713"/>
      <c r="AI299" s="696"/>
      <c r="AJ299" s="696"/>
      <c r="AK299" s="713"/>
      <c r="AL299" s="696"/>
      <c r="AM299" s="713"/>
      <c r="AN299" s="696"/>
      <c r="AO299" s="713"/>
      <c r="AP299" s="696"/>
      <c r="AQ299" s="713"/>
      <c r="AR299" s="696"/>
      <c r="AS299" s="713"/>
      <c r="AT299" s="696"/>
      <c r="AU299" s="696"/>
      <c r="AV299" s="713"/>
      <c r="AW299" s="696"/>
      <c r="AX299" s="713"/>
      <c r="AY299" s="696"/>
      <c r="AZ299" s="713"/>
      <c r="BA299" s="696"/>
      <c r="BB299" s="713"/>
      <c r="BC299" s="696"/>
      <c r="BD299" s="713"/>
      <c r="BE299" s="696"/>
    </row>
    <row r="300" spans="1:57" s="44" customFormat="1">
      <c r="A300" s="700"/>
      <c r="B300" s="700"/>
      <c r="C300" s="700"/>
      <c r="D300" s="847"/>
      <c r="E300" s="696"/>
      <c r="F300" s="847"/>
      <c r="G300" s="696"/>
      <c r="H300" s="847"/>
      <c r="I300" s="696"/>
      <c r="J300" s="847"/>
      <c r="K300" s="696"/>
      <c r="L300" s="847"/>
      <c r="M300" s="696"/>
      <c r="N300" s="696"/>
      <c r="O300" s="847"/>
      <c r="P300" s="696"/>
      <c r="Q300" s="847"/>
      <c r="R300" s="696"/>
      <c r="S300" s="847"/>
      <c r="T300" s="696"/>
      <c r="U300" s="847"/>
      <c r="V300" s="696"/>
      <c r="W300" s="847"/>
      <c r="X300" s="696"/>
      <c r="Y300" s="696"/>
      <c r="Z300" s="713"/>
      <c r="AA300" s="696"/>
      <c r="AB300" s="713"/>
      <c r="AC300" s="696"/>
      <c r="AD300" s="713"/>
      <c r="AE300" s="696"/>
      <c r="AF300" s="713"/>
      <c r="AG300" s="696"/>
      <c r="AH300" s="713"/>
      <c r="AI300" s="696"/>
      <c r="AJ300" s="696"/>
      <c r="AK300" s="713"/>
      <c r="AL300" s="696"/>
      <c r="AM300" s="713"/>
      <c r="AN300" s="696"/>
      <c r="AO300" s="713"/>
      <c r="AP300" s="696"/>
      <c r="AQ300" s="713"/>
      <c r="AR300" s="696"/>
      <c r="AS300" s="713"/>
      <c r="AT300" s="696"/>
      <c r="AU300" s="696"/>
      <c r="AV300" s="713"/>
      <c r="AW300" s="696"/>
      <c r="AX300" s="713"/>
      <c r="AY300" s="696"/>
      <c r="AZ300" s="713"/>
      <c r="BA300" s="696"/>
      <c r="BB300" s="713"/>
      <c r="BC300" s="696"/>
      <c r="BD300" s="713"/>
      <c r="BE300" s="696"/>
    </row>
    <row r="301" spans="1:57" s="44" customFormat="1">
      <c r="A301" s="700"/>
      <c r="B301" s="700"/>
      <c r="C301" s="700"/>
      <c r="D301" s="847"/>
      <c r="E301" s="696"/>
      <c r="F301" s="847"/>
      <c r="G301" s="696"/>
      <c r="H301" s="847"/>
      <c r="I301" s="696"/>
      <c r="J301" s="847"/>
      <c r="K301" s="696"/>
      <c r="L301" s="847"/>
      <c r="M301" s="696"/>
      <c r="N301" s="696"/>
      <c r="O301" s="847"/>
      <c r="P301" s="696"/>
      <c r="Q301" s="847"/>
      <c r="R301" s="696"/>
      <c r="S301" s="847"/>
      <c r="T301" s="696"/>
      <c r="U301" s="847"/>
      <c r="V301" s="696"/>
      <c r="W301" s="847"/>
      <c r="X301" s="696"/>
      <c r="Y301" s="696"/>
      <c r="Z301" s="713"/>
      <c r="AA301" s="696"/>
      <c r="AB301" s="713"/>
      <c r="AC301" s="696"/>
      <c r="AD301" s="713"/>
      <c r="AE301" s="696"/>
      <c r="AF301" s="713"/>
      <c r="AG301" s="696"/>
      <c r="AH301" s="713"/>
      <c r="AI301" s="696"/>
      <c r="AJ301" s="696"/>
      <c r="AK301" s="713"/>
      <c r="AL301" s="696"/>
      <c r="AM301" s="713"/>
      <c r="AN301" s="696"/>
      <c r="AO301" s="713"/>
      <c r="AP301" s="696"/>
      <c r="AQ301" s="713"/>
      <c r="AR301" s="696"/>
      <c r="AS301" s="713"/>
      <c r="AT301" s="696"/>
      <c r="AU301" s="696"/>
      <c r="AV301" s="713"/>
      <c r="AW301" s="696"/>
      <c r="AX301" s="713"/>
      <c r="AY301" s="696"/>
      <c r="AZ301" s="713"/>
      <c r="BA301" s="696"/>
      <c r="BB301" s="713"/>
      <c r="BC301" s="696"/>
      <c r="BD301" s="713"/>
      <c r="BE301" s="696"/>
    </row>
    <row r="302" spans="1:57" s="44" customFormat="1">
      <c r="A302" s="700"/>
      <c r="B302" s="700"/>
      <c r="C302" s="700"/>
      <c r="D302" s="847"/>
      <c r="E302" s="696"/>
      <c r="F302" s="847"/>
      <c r="G302" s="696"/>
      <c r="H302" s="847"/>
      <c r="I302" s="696"/>
      <c r="J302" s="847"/>
      <c r="K302" s="696"/>
      <c r="L302" s="847"/>
      <c r="M302" s="696"/>
      <c r="N302" s="696"/>
      <c r="O302" s="847"/>
      <c r="P302" s="696"/>
      <c r="Q302" s="847"/>
      <c r="R302" s="696"/>
      <c r="S302" s="847"/>
      <c r="T302" s="696"/>
      <c r="U302" s="847"/>
      <c r="V302" s="696"/>
      <c r="W302" s="847"/>
      <c r="X302" s="696"/>
      <c r="Y302" s="696"/>
      <c r="Z302" s="713"/>
      <c r="AA302" s="696"/>
      <c r="AB302" s="713"/>
      <c r="AC302" s="696"/>
      <c r="AD302" s="713"/>
      <c r="AE302" s="696"/>
      <c r="AF302" s="713"/>
      <c r="AG302" s="696"/>
      <c r="AH302" s="713"/>
      <c r="AI302" s="696"/>
      <c r="AJ302" s="696"/>
      <c r="AK302" s="713"/>
      <c r="AL302" s="696"/>
      <c r="AM302" s="713"/>
      <c r="AN302" s="696"/>
      <c r="AO302" s="713"/>
      <c r="AP302" s="696"/>
      <c r="AQ302" s="713"/>
      <c r="AR302" s="696"/>
      <c r="AS302" s="713"/>
      <c r="AT302" s="696"/>
      <c r="AU302" s="696"/>
      <c r="AV302" s="713"/>
      <c r="AW302" s="696"/>
      <c r="AX302" s="713"/>
      <c r="AY302" s="696"/>
      <c r="AZ302" s="713"/>
      <c r="BA302" s="696"/>
      <c r="BB302" s="713"/>
      <c r="BC302" s="696"/>
      <c r="BD302" s="713"/>
      <c r="BE302" s="696"/>
    </row>
    <row r="303" spans="1:57" s="44" customFormat="1">
      <c r="A303" s="700"/>
      <c r="B303" s="700"/>
      <c r="C303" s="700"/>
      <c r="D303" s="847"/>
      <c r="E303" s="696"/>
      <c r="F303" s="847"/>
      <c r="G303" s="696"/>
      <c r="H303" s="847"/>
      <c r="I303" s="696"/>
      <c r="J303" s="847"/>
      <c r="K303" s="696"/>
      <c r="L303" s="847"/>
      <c r="M303" s="696"/>
      <c r="N303" s="696"/>
      <c r="O303" s="847"/>
      <c r="P303" s="696"/>
      <c r="Q303" s="847"/>
      <c r="R303" s="696"/>
      <c r="S303" s="847"/>
      <c r="T303" s="696"/>
      <c r="U303" s="847"/>
      <c r="V303" s="696"/>
      <c r="W303" s="847"/>
      <c r="X303" s="696"/>
      <c r="Y303" s="696"/>
      <c r="Z303" s="713"/>
      <c r="AA303" s="696"/>
      <c r="AB303" s="713"/>
      <c r="AC303" s="696"/>
      <c r="AD303" s="713"/>
      <c r="AE303" s="696"/>
      <c r="AF303" s="713"/>
      <c r="AG303" s="696"/>
      <c r="AH303" s="713"/>
      <c r="AI303" s="696"/>
      <c r="AJ303" s="696"/>
      <c r="AK303" s="713"/>
      <c r="AL303" s="696"/>
      <c r="AM303" s="713"/>
      <c r="AN303" s="696"/>
      <c r="AO303" s="713"/>
      <c r="AP303" s="696"/>
      <c r="AQ303" s="713"/>
      <c r="AR303" s="696"/>
      <c r="AS303" s="713"/>
      <c r="AT303" s="696"/>
      <c r="AU303" s="696"/>
      <c r="AV303" s="713"/>
      <c r="AW303" s="696"/>
      <c r="AX303" s="713"/>
      <c r="AY303" s="696"/>
      <c r="AZ303" s="713"/>
      <c r="BA303" s="696"/>
      <c r="BB303" s="713"/>
      <c r="BC303" s="696"/>
      <c r="BD303" s="713"/>
      <c r="BE303" s="696"/>
    </row>
    <row r="304" spans="1:57" s="44" customFormat="1">
      <c r="A304" s="700"/>
      <c r="B304" s="700"/>
      <c r="C304" s="700"/>
      <c r="D304" s="847"/>
      <c r="E304" s="696"/>
      <c r="F304" s="847"/>
      <c r="G304" s="696"/>
      <c r="H304" s="847"/>
      <c r="I304" s="696"/>
      <c r="J304" s="847"/>
      <c r="K304" s="696"/>
      <c r="L304" s="847"/>
      <c r="M304" s="696"/>
      <c r="N304" s="696"/>
      <c r="O304" s="847"/>
      <c r="P304" s="696"/>
      <c r="Q304" s="847"/>
      <c r="R304" s="696"/>
      <c r="S304" s="847"/>
      <c r="T304" s="696"/>
      <c r="U304" s="847"/>
      <c r="V304" s="696"/>
      <c r="W304" s="847"/>
      <c r="X304" s="696"/>
      <c r="Y304" s="696"/>
      <c r="Z304" s="713"/>
      <c r="AA304" s="696"/>
      <c r="AB304" s="713"/>
      <c r="AC304" s="696"/>
      <c r="AD304" s="713"/>
      <c r="AE304" s="696"/>
      <c r="AF304" s="713"/>
      <c r="AG304" s="696"/>
      <c r="AH304" s="713"/>
      <c r="AI304" s="696"/>
      <c r="AJ304" s="696"/>
      <c r="AK304" s="713"/>
      <c r="AL304" s="696"/>
      <c r="AM304" s="713"/>
      <c r="AN304" s="696"/>
      <c r="AO304" s="713"/>
      <c r="AP304" s="696"/>
      <c r="AQ304" s="713"/>
      <c r="AR304" s="696"/>
      <c r="AS304" s="713"/>
      <c r="AT304" s="696"/>
      <c r="AU304" s="696"/>
      <c r="AV304" s="713"/>
      <c r="AW304" s="696"/>
      <c r="AX304" s="713"/>
      <c r="AY304" s="696"/>
      <c r="AZ304" s="713"/>
      <c r="BA304" s="696"/>
      <c r="BB304" s="713"/>
      <c r="BC304" s="696"/>
      <c r="BD304" s="713"/>
      <c r="BE304" s="696"/>
    </row>
    <row r="305" spans="1:57" s="44" customFormat="1">
      <c r="A305" s="700"/>
      <c r="B305" s="700"/>
      <c r="C305" s="700"/>
      <c r="D305" s="847"/>
      <c r="E305" s="696"/>
      <c r="F305" s="847"/>
      <c r="G305" s="696"/>
      <c r="H305" s="847"/>
      <c r="I305" s="696"/>
      <c r="J305" s="847"/>
      <c r="K305" s="696"/>
      <c r="L305" s="847"/>
      <c r="M305" s="696"/>
      <c r="N305" s="696"/>
      <c r="O305" s="847"/>
      <c r="P305" s="696"/>
      <c r="Q305" s="847"/>
      <c r="R305" s="696"/>
      <c r="S305" s="847"/>
      <c r="T305" s="696"/>
      <c r="U305" s="847"/>
      <c r="V305" s="696"/>
      <c r="W305" s="847"/>
      <c r="X305" s="696"/>
      <c r="Y305" s="696"/>
      <c r="Z305" s="713"/>
      <c r="AA305" s="696"/>
      <c r="AB305" s="713"/>
      <c r="AC305" s="696"/>
      <c r="AD305" s="713"/>
      <c r="AE305" s="696"/>
      <c r="AF305" s="713"/>
      <c r="AG305" s="696"/>
      <c r="AH305" s="713"/>
      <c r="AI305" s="696"/>
      <c r="AJ305" s="696"/>
      <c r="AK305" s="713"/>
      <c r="AL305" s="696"/>
      <c r="AM305" s="713"/>
      <c r="AN305" s="696"/>
      <c r="AO305" s="713"/>
      <c r="AP305" s="696"/>
      <c r="AQ305" s="713"/>
      <c r="AR305" s="696"/>
      <c r="AS305" s="713"/>
      <c r="AT305" s="696"/>
      <c r="AU305" s="696"/>
      <c r="AV305" s="713"/>
      <c r="AW305" s="696"/>
      <c r="AX305" s="713"/>
      <c r="AY305" s="696"/>
      <c r="AZ305" s="713"/>
      <c r="BA305" s="696"/>
      <c r="BB305" s="713"/>
      <c r="BC305" s="696"/>
      <c r="BD305" s="713"/>
      <c r="BE305" s="696"/>
    </row>
    <row r="306" spans="1:57" s="44" customFormat="1">
      <c r="A306" s="700"/>
      <c r="B306" s="700"/>
      <c r="C306" s="700"/>
      <c r="D306" s="847"/>
      <c r="E306" s="696"/>
      <c r="F306" s="847"/>
      <c r="G306" s="696"/>
      <c r="H306" s="847"/>
      <c r="I306" s="696"/>
      <c r="J306" s="847"/>
      <c r="K306" s="696"/>
      <c r="L306" s="847"/>
      <c r="M306" s="696"/>
      <c r="N306" s="696"/>
      <c r="O306" s="847"/>
      <c r="P306" s="696"/>
      <c r="Q306" s="847"/>
      <c r="R306" s="696"/>
      <c r="S306" s="847"/>
      <c r="T306" s="696"/>
      <c r="U306" s="847"/>
      <c r="V306" s="696"/>
      <c r="W306" s="847"/>
      <c r="X306" s="696"/>
      <c r="Y306" s="696"/>
      <c r="Z306" s="713"/>
      <c r="AA306" s="696"/>
      <c r="AB306" s="713"/>
      <c r="AC306" s="696"/>
      <c r="AD306" s="713"/>
      <c r="AE306" s="696"/>
      <c r="AF306" s="713"/>
      <c r="AG306" s="696"/>
      <c r="AH306" s="713"/>
      <c r="AI306" s="696"/>
      <c r="AJ306" s="696"/>
      <c r="AK306" s="713"/>
      <c r="AL306" s="696"/>
      <c r="AM306" s="713"/>
      <c r="AN306" s="696"/>
      <c r="AO306" s="713"/>
      <c r="AP306" s="696"/>
      <c r="AQ306" s="713"/>
      <c r="AR306" s="696"/>
      <c r="AS306" s="713"/>
      <c r="AT306" s="696"/>
      <c r="AU306" s="696"/>
      <c r="AV306" s="713"/>
      <c r="AW306" s="696"/>
      <c r="AX306" s="713"/>
      <c r="AY306" s="696"/>
      <c r="AZ306" s="713"/>
      <c r="BA306" s="696"/>
      <c r="BB306" s="713"/>
      <c r="BC306" s="696"/>
      <c r="BD306" s="713"/>
      <c r="BE306" s="696"/>
    </row>
    <row r="307" spans="1:57" s="44" customFormat="1">
      <c r="A307" s="700"/>
      <c r="B307" s="700"/>
      <c r="C307" s="700"/>
      <c r="D307" s="847"/>
      <c r="E307" s="696"/>
      <c r="F307" s="847"/>
      <c r="G307" s="696"/>
      <c r="H307" s="847"/>
      <c r="I307" s="696"/>
      <c r="J307" s="847"/>
      <c r="K307" s="696"/>
      <c r="L307" s="847"/>
      <c r="M307" s="696"/>
      <c r="N307" s="696"/>
      <c r="O307" s="847"/>
      <c r="P307" s="696"/>
      <c r="Q307" s="847"/>
      <c r="R307" s="696"/>
      <c r="S307" s="847"/>
      <c r="T307" s="696"/>
      <c r="U307" s="847"/>
      <c r="V307" s="696"/>
      <c r="W307" s="847"/>
      <c r="X307" s="696"/>
      <c r="Y307" s="696"/>
      <c r="Z307" s="713"/>
      <c r="AA307" s="696"/>
      <c r="AB307" s="713"/>
      <c r="AC307" s="696"/>
      <c r="AD307" s="713"/>
      <c r="AE307" s="696"/>
      <c r="AF307" s="713"/>
      <c r="AG307" s="696"/>
      <c r="AH307" s="713"/>
      <c r="AI307" s="696"/>
      <c r="AJ307" s="696"/>
      <c r="AK307" s="713"/>
      <c r="AL307" s="696"/>
      <c r="AM307" s="713"/>
      <c r="AN307" s="696"/>
      <c r="AO307" s="713"/>
      <c r="AP307" s="696"/>
      <c r="AQ307" s="713"/>
      <c r="AR307" s="696"/>
      <c r="AS307" s="713"/>
      <c r="AT307" s="696"/>
      <c r="AU307" s="696"/>
      <c r="AV307" s="713"/>
      <c r="AW307" s="696"/>
      <c r="AX307" s="713"/>
      <c r="AY307" s="696"/>
      <c r="AZ307" s="713"/>
      <c r="BA307" s="696"/>
      <c r="BB307" s="713"/>
      <c r="BC307" s="696"/>
      <c r="BD307" s="713"/>
      <c r="BE307" s="696"/>
    </row>
    <row r="308" spans="1:57" s="44" customFormat="1">
      <c r="A308" s="700"/>
      <c r="B308" s="700"/>
      <c r="C308" s="700"/>
      <c r="D308" s="847"/>
      <c r="E308" s="696"/>
      <c r="F308" s="847"/>
      <c r="G308" s="696"/>
      <c r="H308" s="847"/>
      <c r="I308" s="696"/>
      <c r="J308" s="847"/>
      <c r="K308" s="696"/>
      <c r="L308" s="847"/>
      <c r="M308" s="696"/>
      <c r="N308" s="696"/>
      <c r="O308" s="847"/>
      <c r="P308" s="696"/>
      <c r="Q308" s="847"/>
      <c r="R308" s="696"/>
      <c r="S308" s="847"/>
      <c r="T308" s="696"/>
      <c r="U308" s="847"/>
      <c r="V308" s="696"/>
      <c r="W308" s="847"/>
      <c r="X308" s="696"/>
      <c r="Y308" s="696"/>
      <c r="Z308" s="713"/>
      <c r="AA308" s="696"/>
      <c r="AB308" s="713"/>
      <c r="AC308" s="696"/>
      <c r="AD308" s="713"/>
      <c r="AE308" s="696"/>
      <c r="AF308" s="713"/>
      <c r="AG308" s="696"/>
      <c r="AH308" s="713"/>
      <c r="AI308" s="696"/>
      <c r="AJ308" s="696"/>
      <c r="AK308" s="713"/>
      <c r="AL308" s="696"/>
      <c r="AM308" s="713"/>
      <c r="AN308" s="696"/>
      <c r="AO308" s="713"/>
      <c r="AP308" s="696"/>
      <c r="AQ308" s="713"/>
      <c r="AR308" s="696"/>
      <c r="AS308" s="713"/>
      <c r="AT308" s="696"/>
      <c r="AU308" s="696"/>
      <c r="AV308" s="713"/>
      <c r="AW308" s="696"/>
      <c r="AX308" s="713"/>
      <c r="AY308" s="696"/>
      <c r="AZ308" s="713"/>
      <c r="BA308" s="696"/>
      <c r="BB308" s="713"/>
      <c r="BC308" s="696"/>
      <c r="BD308" s="713"/>
      <c r="BE308" s="696"/>
    </row>
    <row r="309" spans="1:57" s="44" customFormat="1">
      <c r="A309" s="700"/>
      <c r="B309" s="700"/>
      <c r="C309" s="700"/>
      <c r="D309" s="847"/>
      <c r="E309" s="696"/>
      <c r="F309" s="847"/>
      <c r="G309" s="696"/>
      <c r="H309" s="847"/>
      <c r="I309" s="696"/>
      <c r="J309" s="847"/>
      <c r="K309" s="696"/>
      <c r="L309" s="847"/>
      <c r="M309" s="696"/>
      <c r="N309" s="696"/>
      <c r="O309" s="847"/>
      <c r="P309" s="696"/>
      <c r="Q309" s="847"/>
      <c r="R309" s="696"/>
      <c r="S309" s="847"/>
      <c r="T309" s="696"/>
      <c r="U309" s="847"/>
      <c r="V309" s="696"/>
      <c r="W309" s="847"/>
      <c r="X309" s="696"/>
      <c r="Y309" s="696"/>
      <c r="Z309" s="713"/>
      <c r="AA309" s="696"/>
      <c r="AB309" s="713"/>
      <c r="AC309" s="696"/>
      <c r="AD309" s="713"/>
      <c r="AE309" s="696"/>
      <c r="AF309" s="713"/>
      <c r="AG309" s="696"/>
      <c r="AH309" s="713"/>
      <c r="AI309" s="696"/>
      <c r="AJ309" s="696"/>
      <c r="AK309" s="713"/>
      <c r="AL309" s="696"/>
      <c r="AM309" s="713"/>
      <c r="AN309" s="696"/>
      <c r="AO309" s="713"/>
      <c r="AP309" s="696"/>
      <c r="AQ309" s="713"/>
      <c r="AR309" s="696"/>
      <c r="AS309" s="713"/>
      <c r="AT309" s="696"/>
      <c r="AU309" s="696"/>
      <c r="AV309" s="713"/>
      <c r="AW309" s="696"/>
      <c r="AX309" s="713"/>
      <c r="AY309" s="696"/>
      <c r="AZ309" s="713"/>
      <c r="BA309" s="696"/>
      <c r="BB309" s="713"/>
      <c r="BC309" s="696"/>
      <c r="BD309" s="713"/>
      <c r="BE309" s="696"/>
    </row>
    <row r="310" spans="1:57" s="44" customFormat="1">
      <c r="A310" s="700"/>
      <c r="B310" s="700"/>
      <c r="C310" s="700"/>
      <c r="D310" s="847"/>
      <c r="E310" s="696"/>
      <c r="F310" s="847"/>
      <c r="G310" s="696"/>
      <c r="H310" s="847"/>
      <c r="I310" s="696"/>
      <c r="J310" s="847"/>
      <c r="K310" s="696"/>
      <c r="L310" s="847"/>
      <c r="M310" s="696"/>
      <c r="N310" s="696"/>
      <c r="O310" s="847"/>
      <c r="P310" s="696"/>
      <c r="Q310" s="847"/>
      <c r="R310" s="696"/>
      <c r="S310" s="847"/>
      <c r="T310" s="696"/>
      <c r="U310" s="847"/>
      <c r="V310" s="696"/>
      <c r="W310" s="847"/>
      <c r="X310" s="696"/>
      <c r="Y310" s="696"/>
      <c r="Z310" s="713"/>
      <c r="AA310" s="696"/>
      <c r="AB310" s="713"/>
      <c r="AC310" s="696"/>
      <c r="AD310" s="713"/>
      <c r="AE310" s="696"/>
      <c r="AF310" s="713"/>
      <c r="AG310" s="696"/>
      <c r="AH310" s="713"/>
      <c r="AI310" s="696"/>
      <c r="AJ310" s="696"/>
      <c r="AK310" s="713"/>
      <c r="AL310" s="696"/>
      <c r="AM310" s="713"/>
      <c r="AN310" s="696"/>
      <c r="AO310" s="713"/>
      <c r="AP310" s="696"/>
      <c r="AQ310" s="713"/>
      <c r="AR310" s="696"/>
      <c r="AS310" s="713"/>
      <c r="AT310" s="696"/>
      <c r="AU310" s="696"/>
      <c r="AV310" s="713"/>
      <c r="AW310" s="696"/>
      <c r="AX310" s="713"/>
      <c r="AY310" s="696"/>
      <c r="AZ310" s="713"/>
      <c r="BA310" s="696"/>
      <c r="BB310" s="713"/>
      <c r="BC310" s="696"/>
      <c r="BD310" s="713"/>
      <c r="BE310" s="696"/>
    </row>
    <row r="311" spans="1:57" s="44" customFormat="1">
      <c r="A311" s="700"/>
      <c r="B311" s="700"/>
      <c r="C311" s="700"/>
      <c r="D311" s="847"/>
      <c r="E311" s="696"/>
      <c r="F311" s="847"/>
      <c r="G311" s="696"/>
      <c r="H311" s="847"/>
      <c r="I311" s="696"/>
      <c r="J311" s="847"/>
      <c r="K311" s="696"/>
      <c r="L311" s="847"/>
      <c r="M311" s="696"/>
      <c r="N311" s="696"/>
      <c r="O311" s="847"/>
      <c r="P311" s="696"/>
      <c r="Q311" s="847"/>
      <c r="R311" s="696"/>
      <c r="S311" s="847"/>
      <c r="T311" s="696"/>
      <c r="U311" s="847"/>
      <c r="V311" s="696"/>
      <c r="W311" s="847"/>
      <c r="X311" s="696"/>
      <c r="Y311" s="696"/>
      <c r="Z311" s="713"/>
      <c r="AA311" s="696"/>
      <c r="AB311" s="713"/>
      <c r="AC311" s="696"/>
      <c r="AD311" s="713"/>
      <c r="AE311" s="696"/>
      <c r="AF311" s="713"/>
      <c r="AG311" s="696"/>
      <c r="AH311" s="713"/>
      <c r="AI311" s="696"/>
      <c r="AJ311" s="696"/>
      <c r="AK311" s="713"/>
      <c r="AL311" s="696"/>
      <c r="AM311" s="713"/>
      <c r="AN311" s="696"/>
      <c r="AO311" s="713"/>
      <c r="AP311" s="696"/>
      <c r="AQ311" s="713"/>
      <c r="AR311" s="696"/>
      <c r="AS311" s="713"/>
      <c r="AT311" s="696"/>
      <c r="AU311" s="696"/>
      <c r="AV311" s="713"/>
      <c r="AW311" s="696"/>
      <c r="AX311" s="713"/>
      <c r="AY311" s="696"/>
      <c r="AZ311" s="713"/>
      <c r="BA311" s="696"/>
      <c r="BB311" s="713"/>
      <c r="BC311" s="696"/>
      <c r="BD311" s="713"/>
      <c r="BE311" s="696"/>
    </row>
    <row r="312" spans="1:57" s="44" customFormat="1">
      <c r="A312" s="700"/>
      <c r="B312" s="700"/>
      <c r="C312" s="700"/>
      <c r="D312" s="847"/>
      <c r="E312" s="696"/>
      <c r="F312" s="847"/>
      <c r="G312" s="696"/>
      <c r="H312" s="847"/>
      <c r="I312" s="696"/>
      <c r="J312" s="847"/>
      <c r="K312" s="696"/>
      <c r="L312" s="847"/>
      <c r="M312" s="696"/>
      <c r="N312" s="696"/>
      <c r="O312" s="847"/>
      <c r="P312" s="696"/>
      <c r="Q312" s="847"/>
      <c r="R312" s="696"/>
      <c r="S312" s="847"/>
      <c r="T312" s="696"/>
      <c r="U312" s="847"/>
      <c r="V312" s="696"/>
      <c r="W312" s="847"/>
      <c r="X312" s="696"/>
      <c r="Y312" s="696"/>
      <c r="Z312" s="713"/>
      <c r="AA312" s="696"/>
      <c r="AB312" s="713"/>
      <c r="AC312" s="696"/>
      <c r="AD312" s="713"/>
      <c r="AE312" s="696"/>
      <c r="AF312" s="713"/>
      <c r="AG312" s="696"/>
      <c r="AH312" s="713"/>
      <c r="AI312" s="696"/>
      <c r="AJ312" s="696"/>
      <c r="AK312" s="713"/>
      <c r="AL312" s="696"/>
      <c r="AM312" s="713"/>
      <c r="AN312" s="696"/>
      <c r="AO312" s="713"/>
      <c r="AP312" s="696"/>
      <c r="AQ312" s="713"/>
      <c r="AR312" s="696"/>
      <c r="AS312" s="713"/>
      <c r="AT312" s="696"/>
      <c r="AU312" s="696"/>
      <c r="AV312" s="713"/>
      <c r="AW312" s="696"/>
      <c r="AX312" s="713"/>
      <c r="AY312" s="696"/>
      <c r="AZ312" s="713"/>
      <c r="BA312" s="696"/>
      <c r="BB312" s="713"/>
      <c r="BC312" s="696"/>
      <c r="BD312" s="713"/>
      <c r="BE312" s="696"/>
    </row>
    <row r="313" spans="1:57" s="44" customFormat="1">
      <c r="A313" s="700"/>
      <c r="B313" s="700"/>
      <c r="C313" s="700"/>
      <c r="D313" s="847"/>
      <c r="E313" s="696"/>
      <c r="F313" s="847"/>
      <c r="G313" s="696"/>
      <c r="H313" s="847"/>
      <c r="I313" s="696"/>
      <c r="J313" s="847"/>
      <c r="K313" s="696"/>
      <c r="L313" s="847"/>
      <c r="M313" s="696"/>
      <c r="N313" s="696"/>
      <c r="O313" s="847"/>
      <c r="P313" s="696"/>
      <c r="Q313" s="847"/>
      <c r="R313" s="696"/>
      <c r="S313" s="847"/>
      <c r="T313" s="696"/>
      <c r="U313" s="847"/>
      <c r="V313" s="696"/>
      <c r="W313" s="847"/>
      <c r="X313" s="696"/>
      <c r="Y313" s="696"/>
      <c r="Z313" s="713"/>
      <c r="AA313" s="696"/>
      <c r="AB313" s="713"/>
      <c r="AC313" s="696"/>
      <c r="AD313" s="713"/>
      <c r="AE313" s="696"/>
      <c r="AF313" s="713"/>
      <c r="AG313" s="696"/>
      <c r="AH313" s="713"/>
      <c r="AI313" s="696"/>
      <c r="AJ313" s="696"/>
      <c r="AK313" s="713"/>
      <c r="AL313" s="696"/>
      <c r="AM313" s="713"/>
      <c r="AN313" s="696"/>
      <c r="AO313" s="713"/>
      <c r="AP313" s="696"/>
      <c r="AQ313" s="713"/>
      <c r="AR313" s="696"/>
      <c r="AS313" s="713"/>
      <c r="AT313" s="696"/>
      <c r="AU313" s="696"/>
      <c r="AV313" s="713"/>
      <c r="AW313" s="696"/>
      <c r="AX313" s="713"/>
      <c r="AY313" s="696"/>
      <c r="AZ313" s="713"/>
      <c r="BA313" s="696"/>
      <c r="BB313" s="713"/>
      <c r="BC313" s="696"/>
      <c r="BD313" s="713"/>
      <c r="BE313" s="696"/>
    </row>
    <row r="314" spans="1:57" s="44" customFormat="1">
      <c r="A314" s="700"/>
      <c r="B314" s="700"/>
      <c r="C314" s="700"/>
      <c r="D314" s="847"/>
      <c r="E314" s="696"/>
      <c r="F314" s="847"/>
      <c r="G314" s="696"/>
      <c r="H314" s="847"/>
      <c r="I314" s="696"/>
      <c r="J314" s="847"/>
      <c r="K314" s="696"/>
      <c r="L314" s="847"/>
      <c r="M314" s="696"/>
      <c r="N314" s="696"/>
      <c r="O314" s="847"/>
      <c r="P314" s="696"/>
      <c r="Q314" s="847"/>
      <c r="R314" s="696"/>
      <c r="S314" s="847"/>
      <c r="T314" s="696"/>
      <c r="U314" s="847"/>
      <c r="V314" s="696"/>
      <c r="W314" s="847"/>
      <c r="X314" s="696"/>
      <c r="Y314" s="696"/>
      <c r="Z314" s="713"/>
      <c r="AA314" s="696"/>
      <c r="AB314" s="713"/>
      <c r="AC314" s="696"/>
      <c r="AD314" s="713"/>
      <c r="AE314" s="696"/>
      <c r="AF314" s="713"/>
      <c r="AG314" s="696"/>
      <c r="AH314" s="713"/>
      <c r="AI314" s="696"/>
      <c r="AJ314" s="696"/>
      <c r="AK314" s="713"/>
      <c r="AL314" s="696"/>
      <c r="AM314" s="713"/>
      <c r="AN314" s="696"/>
      <c r="AO314" s="713"/>
      <c r="AP314" s="696"/>
      <c r="AQ314" s="713"/>
      <c r="AR314" s="696"/>
      <c r="AS314" s="713"/>
      <c r="AT314" s="696"/>
      <c r="AU314" s="696"/>
      <c r="AV314" s="713"/>
      <c r="AW314" s="696"/>
      <c r="AX314" s="713"/>
      <c r="AY314" s="696"/>
      <c r="AZ314" s="713"/>
      <c r="BA314" s="696"/>
      <c r="BB314" s="713"/>
      <c r="BC314" s="696"/>
      <c r="BD314" s="713"/>
      <c r="BE314" s="696"/>
    </row>
    <row r="315" spans="1:57" s="44" customFormat="1">
      <c r="A315" s="700"/>
      <c r="B315" s="700"/>
      <c r="C315" s="700"/>
      <c r="D315" s="847"/>
      <c r="E315" s="696"/>
      <c r="F315" s="847"/>
      <c r="G315" s="696"/>
      <c r="H315" s="847"/>
      <c r="I315" s="696"/>
      <c r="J315" s="847"/>
      <c r="K315" s="696"/>
      <c r="L315" s="847"/>
      <c r="M315" s="696"/>
      <c r="N315" s="696"/>
      <c r="O315" s="847"/>
      <c r="P315" s="696"/>
      <c r="Q315" s="847"/>
      <c r="R315" s="696"/>
      <c r="S315" s="847"/>
      <c r="T315" s="696"/>
      <c r="U315" s="847"/>
      <c r="V315" s="696"/>
      <c r="W315" s="847"/>
      <c r="X315" s="696"/>
      <c r="Y315" s="696"/>
      <c r="Z315" s="713"/>
      <c r="AA315" s="696"/>
      <c r="AB315" s="713"/>
      <c r="AC315" s="696"/>
      <c r="AD315" s="713"/>
      <c r="AE315" s="696"/>
      <c r="AF315" s="713"/>
      <c r="AG315" s="696"/>
      <c r="AH315" s="713"/>
      <c r="AI315" s="696"/>
      <c r="AJ315" s="696"/>
      <c r="AK315" s="713"/>
      <c r="AL315" s="696"/>
      <c r="AM315" s="713"/>
      <c r="AN315" s="696"/>
      <c r="AO315" s="713"/>
      <c r="AP315" s="696"/>
      <c r="AQ315" s="713"/>
      <c r="AR315" s="696"/>
      <c r="AS315" s="713"/>
      <c r="AT315" s="696"/>
      <c r="AU315" s="696"/>
      <c r="AV315" s="713"/>
      <c r="AW315" s="696"/>
      <c r="AX315" s="713"/>
      <c r="AY315" s="696"/>
      <c r="AZ315" s="713"/>
      <c r="BA315" s="696"/>
      <c r="BB315" s="713"/>
      <c r="BC315" s="696"/>
      <c r="BD315" s="713"/>
      <c r="BE315" s="696"/>
    </row>
    <row r="316" spans="1:57" s="44" customFormat="1">
      <c r="A316" s="700"/>
      <c r="B316" s="700"/>
      <c r="C316" s="700"/>
      <c r="D316" s="847"/>
      <c r="E316" s="696"/>
      <c r="F316" s="847"/>
      <c r="G316" s="696"/>
      <c r="H316" s="847"/>
      <c r="I316" s="696"/>
      <c r="J316" s="847"/>
      <c r="K316" s="696"/>
      <c r="L316" s="847"/>
      <c r="M316" s="696"/>
      <c r="N316" s="696"/>
      <c r="O316" s="847"/>
      <c r="P316" s="696"/>
      <c r="Q316" s="847"/>
      <c r="R316" s="696"/>
      <c r="S316" s="847"/>
      <c r="T316" s="696"/>
      <c r="U316" s="847"/>
      <c r="V316" s="696"/>
      <c r="W316" s="847"/>
      <c r="X316" s="696"/>
      <c r="Y316" s="696"/>
      <c r="Z316" s="713"/>
      <c r="AA316" s="696"/>
      <c r="AB316" s="713"/>
      <c r="AC316" s="696"/>
      <c r="AD316" s="713"/>
      <c r="AE316" s="696"/>
      <c r="AF316" s="713"/>
      <c r="AG316" s="696"/>
      <c r="AH316" s="713"/>
      <c r="AI316" s="696"/>
      <c r="AJ316" s="696"/>
      <c r="AK316" s="713"/>
      <c r="AL316" s="696"/>
      <c r="AM316" s="713"/>
      <c r="AN316" s="696"/>
      <c r="AO316" s="713"/>
      <c r="AP316" s="696"/>
      <c r="AQ316" s="713"/>
      <c r="AR316" s="696"/>
      <c r="AS316" s="713"/>
      <c r="AT316" s="696"/>
      <c r="AU316" s="696"/>
      <c r="AV316" s="713"/>
      <c r="AW316" s="696"/>
      <c r="AX316" s="713"/>
      <c r="AY316" s="696"/>
      <c r="AZ316" s="713"/>
      <c r="BA316" s="696"/>
      <c r="BB316" s="713"/>
      <c r="BC316" s="696"/>
      <c r="BD316" s="713"/>
      <c r="BE316" s="696"/>
    </row>
    <row r="317" spans="1:57" s="44" customFormat="1">
      <c r="A317" s="700"/>
      <c r="B317" s="700"/>
      <c r="C317" s="700"/>
      <c r="D317" s="847"/>
      <c r="E317" s="696"/>
      <c r="F317" s="847"/>
      <c r="G317" s="696"/>
      <c r="H317" s="847"/>
      <c r="I317" s="696"/>
      <c r="J317" s="847"/>
      <c r="K317" s="696"/>
      <c r="L317" s="847"/>
      <c r="M317" s="696"/>
      <c r="N317" s="696"/>
      <c r="O317" s="847"/>
      <c r="P317" s="696"/>
      <c r="Q317" s="847"/>
      <c r="R317" s="696"/>
      <c r="S317" s="847"/>
      <c r="T317" s="696"/>
      <c r="U317" s="847"/>
      <c r="V317" s="696"/>
      <c r="W317" s="847"/>
      <c r="X317" s="696"/>
      <c r="Y317" s="696"/>
      <c r="Z317" s="713"/>
      <c r="AA317" s="696"/>
      <c r="AB317" s="713"/>
      <c r="AC317" s="696"/>
      <c r="AD317" s="713"/>
      <c r="AE317" s="696"/>
      <c r="AF317" s="713"/>
      <c r="AG317" s="696"/>
      <c r="AH317" s="713"/>
      <c r="AI317" s="696"/>
      <c r="AJ317" s="696"/>
      <c r="AK317" s="713"/>
      <c r="AL317" s="696"/>
      <c r="AM317" s="713"/>
      <c r="AN317" s="696"/>
      <c r="AO317" s="713"/>
      <c r="AP317" s="696"/>
      <c r="AQ317" s="713"/>
      <c r="AR317" s="696"/>
      <c r="AS317" s="713"/>
      <c r="AT317" s="696"/>
      <c r="AU317" s="696"/>
      <c r="AV317" s="713"/>
      <c r="AW317" s="696"/>
      <c r="AX317" s="713"/>
      <c r="AY317" s="696"/>
      <c r="AZ317" s="713"/>
      <c r="BA317" s="696"/>
      <c r="BB317" s="713"/>
      <c r="BC317" s="696"/>
      <c r="BD317" s="713"/>
      <c r="BE317" s="696"/>
    </row>
    <row r="318" spans="1:57" s="44" customFormat="1">
      <c r="A318" s="700"/>
      <c r="B318" s="700"/>
      <c r="C318" s="700"/>
      <c r="D318" s="847"/>
      <c r="E318" s="696"/>
      <c r="F318" s="847"/>
      <c r="G318" s="696"/>
      <c r="H318" s="847"/>
      <c r="I318" s="696"/>
      <c r="J318" s="847"/>
      <c r="K318" s="696"/>
      <c r="L318" s="847"/>
      <c r="M318" s="696"/>
      <c r="N318" s="696"/>
      <c r="O318" s="847"/>
      <c r="P318" s="696"/>
      <c r="Q318" s="847"/>
      <c r="R318" s="696"/>
      <c r="S318" s="847"/>
      <c r="T318" s="696"/>
      <c r="U318" s="847"/>
      <c r="V318" s="696"/>
      <c r="W318" s="847"/>
      <c r="X318" s="696"/>
      <c r="Y318" s="696"/>
      <c r="Z318" s="713"/>
      <c r="AA318" s="696"/>
      <c r="AB318" s="713"/>
      <c r="AC318" s="696"/>
      <c r="AD318" s="713"/>
      <c r="AE318" s="696"/>
      <c r="AF318" s="713"/>
      <c r="AG318" s="696"/>
      <c r="AH318" s="713"/>
      <c r="AI318" s="696"/>
      <c r="AJ318" s="696"/>
      <c r="AK318" s="713"/>
      <c r="AL318" s="696"/>
      <c r="AM318" s="713"/>
      <c r="AN318" s="696"/>
      <c r="AO318" s="713"/>
      <c r="AP318" s="696"/>
      <c r="AQ318" s="713"/>
      <c r="AR318" s="696"/>
      <c r="AS318" s="713"/>
      <c r="AT318" s="696"/>
      <c r="AU318" s="696"/>
      <c r="AV318" s="713"/>
      <c r="AW318" s="696"/>
      <c r="AX318" s="713"/>
      <c r="AY318" s="696"/>
      <c r="AZ318" s="713"/>
      <c r="BA318" s="696"/>
      <c r="BB318" s="713"/>
      <c r="BC318" s="696"/>
      <c r="BD318" s="713"/>
      <c r="BE318" s="696"/>
    </row>
    <row r="319" spans="1:57" s="44" customFormat="1">
      <c r="A319" s="700"/>
      <c r="B319" s="700"/>
      <c r="C319" s="700"/>
      <c r="D319" s="847"/>
      <c r="E319" s="696"/>
      <c r="F319" s="847"/>
      <c r="G319" s="696"/>
      <c r="H319" s="847"/>
      <c r="I319" s="696"/>
      <c r="J319" s="847"/>
      <c r="K319" s="696"/>
      <c r="L319" s="847"/>
      <c r="M319" s="696"/>
      <c r="N319" s="696"/>
      <c r="O319" s="847"/>
      <c r="P319" s="696"/>
      <c r="Q319" s="847"/>
      <c r="R319" s="696"/>
      <c r="S319" s="847"/>
      <c r="T319" s="696"/>
      <c r="U319" s="847"/>
      <c r="V319" s="696"/>
      <c r="W319" s="847"/>
      <c r="X319" s="696"/>
      <c r="Y319" s="696"/>
      <c r="Z319" s="713"/>
      <c r="AA319" s="696"/>
      <c r="AB319" s="713"/>
      <c r="AC319" s="696"/>
      <c r="AD319" s="713"/>
      <c r="AE319" s="696"/>
      <c r="AF319" s="713"/>
      <c r="AG319" s="696"/>
      <c r="AH319" s="713"/>
      <c r="AI319" s="696"/>
      <c r="AJ319" s="696"/>
      <c r="AK319" s="713"/>
      <c r="AL319" s="696"/>
      <c r="AM319" s="713"/>
      <c r="AN319" s="696"/>
      <c r="AO319" s="713"/>
      <c r="AP319" s="696"/>
      <c r="AQ319" s="713"/>
      <c r="AR319" s="696"/>
      <c r="AS319" s="713"/>
      <c r="AT319" s="696"/>
      <c r="AU319" s="696"/>
      <c r="AV319" s="713"/>
      <c r="AW319" s="696"/>
      <c r="AX319" s="713"/>
      <c r="AY319" s="696"/>
      <c r="AZ319" s="713"/>
      <c r="BA319" s="696"/>
      <c r="BB319" s="713"/>
      <c r="BC319" s="696"/>
      <c r="BD319" s="713"/>
      <c r="BE319" s="696"/>
    </row>
    <row r="320" spans="1:57" s="44" customFormat="1">
      <c r="A320" s="700"/>
      <c r="B320" s="700"/>
      <c r="C320" s="700"/>
      <c r="D320" s="847"/>
      <c r="E320" s="696"/>
      <c r="F320" s="847"/>
      <c r="G320" s="696"/>
      <c r="H320" s="847"/>
      <c r="I320" s="696"/>
      <c r="J320" s="847"/>
      <c r="K320" s="696"/>
      <c r="L320" s="847"/>
      <c r="M320" s="696"/>
      <c r="N320" s="696"/>
      <c r="O320" s="847"/>
      <c r="P320" s="696"/>
      <c r="Q320" s="847"/>
      <c r="R320" s="696"/>
      <c r="S320" s="847"/>
      <c r="T320" s="696"/>
      <c r="U320" s="847"/>
      <c r="V320" s="696"/>
      <c r="W320" s="847"/>
      <c r="X320" s="696"/>
      <c r="Y320" s="696"/>
      <c r="Z320" s="713"/>
      <c r="AA320" s="696"/>
      <c r="AB320" s="713"/>
      <c r="AC320" s="696"/>
      <c r="AD320" s="713"/>
      <c r="AE320" s="696"/>
      <c r="AF320" s="713"/>
      <c r="AG320" s="696"/>
      <c r="AH320" s="713"/>
      <c r="AI320" s="696"/>
      <c r="AJ320" s="696"/>
      <c r="AK320" s="713"/>
      <c r="AL320" s="696"/>
      <c r="AM320" s="713"/>
      <c r="AN320" s="696"/>
      <c r="AO320" s="713"/>
      <c r="AP320" s="696"/>
      <c r="AQ320" s="713"/>
      <c r="AR320" s="696"/>
      <c r="AS320" s="713"/>
      <c r="AT320" s="696"/>
      <c r="AU320" s="696"/>
      <c r="AV320" s="713"/>
      <c r="AW320" s="696"/>
      <c r="AX320" s="713"/>
      <c r="AY320" s="696"/>
      <c r="AZ320" s="713"/>
      <c r="BA320" s="696"/>
      <c r="BB320" s="713"/>
      <c r="BC320" s="696"/>
      <c r="BD320" s="713"/>
      <c r="BE320" s="696"/>
    </row>
    <row r="321" spans="1:57" s="44" customFormat="1">
      <c r="A321" s="700"/>
      <c r="B321" s="700"/>
      <c r="C321" s="700"/>
      <c r="D321" s="847"/>
      <c r="E321" s="696"/>
      <c r="F321" s="847"/>
      <c r="G321" s="696"/>
      <c r="H321" s="847"/>
      <c r="I321" s="696"/>
      <c r="J321" s="847"/>
      <c r="K321" s="696"/>
      <c r="L321" s="847"/>
      <c r="M321" s="696"/>
      <c r="N321" s="696"/>
      <c r="O321" s="847"/>
      <c r="P321" s="696"/>
      <c r="Q321" s="847"/>
      <c r="R321" s="696"/>
      <c r="S321" s="847"/>
      <c r="T321" s="696"/>
      <c r="U321" s="847"/>
      <c r="V321" s="696"/>
      <c r="W321" s="847"/>
      <c r="X321" s="696"/>
      <c r="Y321" s="696"/>
      <c r="Z321" s="713"/>
      <c r="AA321" s="696"/>
      <c r="AB321" s="713"/>
      <c r="AC321" s="696"/>
      <c r="AD321" s="713"/>
      <c r="AE321" s="696"/>
      <c r="AF321" s="713"/>
      <c r="AG321" s="696"/>
      <c r="AH321" s="713"/>
      <c r="AI321" s="696"/>
      <c r="AJ321" s="696"/>
      <c r="AK321" s="713"/>
      <c r="AL321" s="696"/>
      <c r="AM321" s="713"/>
      <c r="AN321" s="696"/>
      <c r="AO321" s="713"/>
      <c r="AP321" s="696"/>
      <c r="AQ321" s="713"/>
      <c r="AR321" s="696"/>
      <c r="AS321" s="713"/>
      <c r="AT321" s="696"/>
      <c r="AU321" s="696"/>
      <c r="AV321" s="713"/>
      <c r="AW321" s="696"/>
      <c r="AX321" s="713"/>
      <c r="AY321" s="696"/>
      <c r="AZ321" s="713"/>
      <c r="BA321" s="696"/>
      <c r="BB321" s="713"/>
      <c r="BC321" s="696"/>
      <c r="BD321" s="713"/>
      <c r="BE321" s="696"/>
    </row>
    <row r="322" spans="1:57" s="44" customFormat="1">
      <c r="A322" s="700"/>
      <c r="B322" s="700"/>
      <c r="C322" s="700"/>
      <c r="D322" s="847"/>
      <c r="E322" s="696"/>
      <c r="F322" s="847"/>
      <c r="G322" s="696"/>
      <c r="H322" s="847"/>
      <c r="I322" s="696"/>
      <c r="J322" s="847"/>
      <c r="K322" s="696"/>
      <c r="L322" s="847"/>
      <c r="M322" s="696"/>
      <c r="N322" s="696"/>
      <c r="O322" s="847"/>
      <c r="P322" s="696"/>
      <c r="Q322" s="847"/>
      <c r="R322" s="696"/>
      <c r="S322" s="847"/>
      <c r="T322" s="696"/>
      <c r="U322" s="847"/>
      <c r="V322" s="696"/>
      <c r="W322" s="847"/>
      <c r="X322" s="696"/>
      <c r="Y322" s="696"/>
      <c r="Z322" s="713"/>
      <c r="AA322" s="696"/>
      <c r="AB322" s="713"/>
      <c r="AC322" s="696"/>
      <c r="AD322" s="713"/>
      <c r="AE322" s="696"/>
      <c r="AF322" s="713"/>
      <c r="AG322" s="696"/>
      <c r="AH322" s="713"/>
      <c r="AI322" s="696"/>
      <c r="AJ322" s="696"/>
      <c r="AK322" s="713"/>
      <c r="AL322" s="696"/>
      <c r="AM322" s="713"/>
      <c r="AN322" s="696"/>
      <c r="AO322" s="713"/>
      <c r="AP322" s="696"/>
      <c r="AQ322" s="713"/>
      <c r="AR322" s="696"/>
      <c r="AS322" s="713"/>
      <c r="AT322" s="696"/>
      <c r="AU322" s="696"/>
      <c r="AV322" s="713"/>
      <c r="AW322" s="696"/>
      <c r="AX322" s="713"/>
      <c r="AY322" s="696"/>
      <c r="AZ322" s="713"/>
      <c r="BA322" s="696"/>
      <c r="BB322" s="713"/>
      <c r="BC322" s="696"/>
      <c r="BD322" s="713"/>
      <c r="BE322" s="696"/>
    </row>
    <row r="323" spans="1:57" s="44" customFormat="1">
      <c r="A323" s="700"/>
      <c r="B323" s="700"/>
      <c r="C323" s="700"/>
      <c r="D323" s="847"/>
      <c r="E323" s="696"/>
      <c r="F323" s="847"/>
      <c r="G323" s="696"/>
      <c r="H323" s="847"/>
      <c r="I323" s="696"/>
      <c r="J323" s="847"/>
      <c r="K323" s="696"/>
      <c r="L323" s="847"/>
      <c r="M323" s="696"/>
      <c r="N323" s="696"/>
      <c r="O323" s="847"/>
      <c r="P323" s="696"/>
      <c r="Q323" s="847"/>
      <c r="R323" s="696"/>
      <c r="S323" s="847"/>
      <c r="T323" s="696"/>
      <c r="U323" s="847"/>
      <c r="V323" s="696"/>
      <c r="W323" s="847"/>
      <c r="X323" s="696"/>
      <c r="Y323" s="696"/>
      <c r="Z323" s="713"/>
      <c r="AA323" s="696"/>
      <c r="AB323" s="713"/>
      <c r="AC323" s="696"/>
      <c r="AD323" s="713"/>
      <c r="AE323" s="696"/>
      <c r="AF323" s="713"/>
      <c r="AG323" s="696"/>
      <c r="AH323" s="713"/>
      <c r="AI323" s="696"/>
      <c r="AJ323" s="696"/>
      <c r="AK323" s="713"/>
      <c r="AL323" s="696"/>
      <c r="AM323" s="713"/>
      <c r="AN323" s="696"/>
      <c r="AO323" s="713"/>
      <c r="AP323" s="696"/>
      <c r="AQ323" s="713"/>
      <c r="AR323" s="696"/>
      <c r="AS323" s="713"/>
      <c r="AT323" s="696"/>
      <c r="AU323" s="696"/>
      <c r="AV323" s="713"/>
      <c r="AW323" s="696"/>
      <c r="AX323" s="713"/>
      <c r="AY323" s="696"/>
      <c r="AZ323" s="713"/>
      <c r="BA323" s="696"/>
      <c r="BB323" s="713"/>
      <c r="BC323" s="696"/>
      <c r="BD323" s="713"/>
      <c r="BE323" s="696"/>
    </row>
    <row r="324" spans="1:57" s="44" customFormat="1">
      <c r="A324" s="700"/>
      <c r="B324" s="700"/>
      <c r="C324" s="700"/>
      <c r="D324" s="847"/>
      <c r="E324" s="696"/>
      <c r="F324" s="847"/>
      <c r="G324" s="696"/>
      <c r="H324" s="847"/>
      <c r="I324" s="696"/>
      <c r="J324" s="847"/>
      <c r="K324" s="696"/>
      <c r="L324" s="847"/>
      <c r="M324" s="696"/>
      <c r="N324" s="696"/>
      <c r="O324" s="847"/>
      <c r="P324" s="696"/>
      <c r="Q324" s="847"/>
      <c r="R324" s="696"/>
      <c r="S324" s="847"/>
      <c r="T324" s="696"/>
      <c r="U324" s="847"/>
      <c r="V324" s="696"/>
      <c r="W324" s="847"/>
      <c r="X324" s="696"/>
      <c r="Y324" s="696"/>
      <c r="Z324" s="713"/>
      <c r="AA324" s="696"/>
      <c r="AB324" s="713"/>
      <c r="AC324" s="696"/>
      <c r="AD324" s="713"/>
      <c r="AE324" s="696"/>
      <c r="AF324" s="713"/>
      <c r="AG324" s="696"/>
      <c r="AH324" s="713"/>
      <c r="AI324" s="696"/>
      <c r="AJ324" s="696"/>
      <c r="AK324" s="713"/>
      <c r="AL324" s="696"/>
      <c r="AM324" s="713"/>
      <c r="AN324" s="696"/>
      <c r="AO324" s="713"/>
      <c r="AP324" s="696"/>
      <c r="AQ324" s="713"/>
      <c r="AR324" s="696"/>
      <c r="AS324" s="713"/>
      <c r="AT324" s="696"/>
      <c r="AU324" s="696"/>
      <c r="AV324" s="713"/>
      <c r="AW324" s="696"/>
      <c r="AX324" s="713"/>
      <c r="AY324" s="696"/>
      <c r="AZ324" s="713"/>
      <c r="BA324" s="696"/>
      <c r="BB324" s="713"/>
      <c r="BC324" s="696"/>
      <c r="BD324" s="713"/>
      <c r="BE324" s="696"/>
    </row>
    <row r="325" spans="1:57" s="44" customFormat="1">
      <c r="A325" s="700"/>
      <c r="B325" s="700"/>
      <c r="C325" s="700"/>
      <c r="D325" s="847"/>
      <c r="E325" s="696"/>
      <c r="F325" s="847"/>
      <c r="G325" s="696"/>
      <c r="H325" s="847"/>
      <c r="I325" s="696"/>
      <c r="J325" s="847"/>
      <c r="K325" s="696"/>
      <c r="L325" s="847"/>
      <c r="M325" s="696"/>
      <c r="N325" s="696"/>
      <c r="O325" s="847"/>
      <c r="P325" s="696"/>
      <c r="Q325" s="847"/>
      <c r="R325" s="696"/>
      <c r="S325" s="847"/>
      <c r="T325" s="696"/>
      <c r="U325" s="847"/>
      <c r="V325" s="696"/>
      <c r="W325" s="847"/>
      <c r="X325" s="696"/>
      <c r="Y325" s="696"/>
      <c r="Z325" s="713"/>
      <c r="AA325" s="696"/>
      <c r="AB325" s="713"/>
      <c r="AC325" s="696"/>
      <c r="AD325" s="713"/>
      <c r="AE325" s="696"/>
      <c r="AF325" s="713"/>
      <c r="AG325" s="696"/>
      <c r="AH325" s="713"/>
      <c r="AI325" s="696"/>
      <c r="AJ325" s="696"/>
      <c r="AK325" s="713"/>
      <c r="AL325" s="696"/>
      <c r="AM325" s="713"/>
      <c r="AN325" s="696"/>
      <c r="AO325" s="713"/>
      <c r="AP325" s="696"/>
      <c r="AQ325" s="713"/>
      <c r="AR325" s="696"/>
      <c r="AS325" s="713"/>
      <c r="AT325" s="696"/>
      <c r="AU325" s="696"/>
      <c r="AV325" s="713"/>
      <c r="AW325" s="696"/>
      <c r="AX325" s="713"/>
      <c r="AY325" s="696"/>
      <c r="AZ325" s="713"/>
      <c r="BA325" s="696"/>
      <c r="BB325" s="713"/>
      <c r="BC325" s="696"/>
      <c r="BD325" s="713"/>
      <c r="BE325" s="696"/>
    </row>
    <row r="326" spans="1:57" s="44" customFormat="1">
      <c r="A326" s="700"/>
      <c r="B326" s="700"/>
      <c r="C326" s="700"/>
      <c r="D326" s="847"/>
      <c r="E326" s="696"/>
      <c r="F326" s="847"/>
      <c r="G326" s="696"/>
      <c r="H326" s="847"/>
      <c r="I326" s="696"/>
      <c r="J326" s="847"/>
      <c r="K326" s="696"/>
      <c r="L326" s="847"/>
      <c r="M326" s="696"/>
      <c r="N326" s="696"/>
      <c r="O326" s="847"/>
      <c r="P326" s="696"/>
      <c r="Q326" s="847"/>
      <c r="R326" s="696"/>
      <c r="S326" s="847"/>
      <c r="T326" s="696"/>
      <c r="U326" s="847"/>
      <c r="V326" s="696"/>
      <c r="W326" s="847"/>
      <c r="X326" s="696"/>
      <c r="Y326" s="696"/>
      <c r="Z326" s="713"/>
      <c r="AA326" s="696"/>
      <c r="AB326" s="713"/>
      <c r="AC326" s="696"/>
      <c r="AD326" s="713"/>
      <c r="AE326" s="696"/>
      <c r="AF326" s="713"/>
      <c r="AG326" s="696"/>
      <c r="AH326" s="713"/>
      <c r="AI326" s="696"/>
      <c r="AJ326" s="696"/>
      <c r="AK326" s="713"/>
      <c r="AL326" s="696"/>
      <c r="AM326" s="713"/>
      <c r="AN326" s="696"/>
      <c r="AO326" s="713"/>
      <c r="AP326" s="696"/>
      <c r="AQ326" s="713"/>
      <c r="AR326" s="696"/>
      <c r="AS326" s="713"/>
      <c r="AT326" s="696"/>
      <c r="AU326" s="696"/>
      <c r="AV326" s="713"/>
      <c r="AW326" s="696"/>
      <c r="AX326" s="713"/>
      <c r="AY326" s="696"/>
      <c r="AZ326" s="713"/>
      <c r="BA326" s="696"/>
      <c r="BB326" s="713"/>
      <c r="BC326" s="696"/>
      <c r="BD326" s="713"/>
      <c r="BE326" s="696"/>
    </row>
    <row r="327" spans="1:57" s="44" customFormat="1">
      <c r="A327" s="700"/>
      <c r="B327" s="700"/>
      <c r="C327" s="700"/>
      <c r="D327" s="847"/>
      <c r="E327" s="696"/>
      <c r="F327" s="847"/>
      <c r="G327" s="696"/>
      <c r="H327" s="847"/>
      <c r="I327" s="696"/>
      <c r="J327" s="847"/>
      <c r="K327" s="696"/>
      <c r="L327" s="847"/>
      <c r="M327" s="696"/>
      <c r="N327" s="696"/>
      <c r="O327" s="847"/>
      <c r="P327" s="696"/>
      <c r="Q327" s="847"/>
      <c r="R327" s="696"/>
      <c r="S327" s="847"/>
      <c r="T327" s="696"/>
      <c r="U327" s="847"/>
      <c r="V327" s="696"/>
      <c r="W327" s="847"/>
      <c r="X327" s="696"/>
      <c r="Y327" s="696"/>
      <c r="Z327" s="713"/>
      <c r="AA327" s="696"/>
      <c r="AB327" s="713"/>
      <c r="AC327" s="696"/>
      <c r="AD327" s="713"/>
      <c r="AE327" s="696"/>
      <c r="AF327" s="713"/>
      <c r="AG327" s="696"/>
      <c r="AH327" s="713"/>
      <c r="AI327" s="696"/>
      <c r="AJ327" s="696"/>
      <c r="AK327" s="713"/>
      <c r="AL327" s="696"/>
      <c r="AM327" s="713"/>
      <c r="AN327" s="696"/>
      <c r="AO327" s="713"/>
      <c r="AP327" s="696"/>
      <c r="AQ327" s="713"/>
      <c r="AR327" s="696"/>
      <c r="AS327" s="713"/>
      <c r="AT327" s="696"/>
      <c r="AU327" s="696"/>
      <c r="AV327" s="713"/>
      <c r="AW327" s="696"/>
      <c r="AX327" s="713"/>
      <c r="AY327" s="696"/>
      <c r="AZ327" s="713"/>
      <c r="BA327" s="696"/>
      <c r="BB327" s="713"/>
      <c r="BC327" s="696"/>
      <c r="BD327" s="713"/>
      <c r="BE327" s="696"/>
    </row>
    <row r="328" spans="1:57" s="44" customFormat="1">
      <c r="A328" s="700"/>
      <c r="B328" s="700"/>
      <c r="C328" s="700"/>
      <c r="D328" s="847"/>
      <c r="E328" s="696"/>
      <c r="F328" s="847"/>
      <c r="G328" s="696"/>
      <c r="H328" s="847"/>
      <c r="I328" s="696"/>
      <c r="J328" s="847"/>
      <c r="K328" s="696"/>
      <c r="L328" s="847"/>
      <c r="M328" s="696"/>
      <c r="N328" s="696"/>
      <c r="O328" s="847"/>
      <c r="P328" s="696"/>
      <c r="Q328" s="847"/>
      <c r="R328" s="696"/>
      <c r="S328" s="847"/>
      <c r="T328" s="696"/>
      <c r="U328" s="847"/>
      <c r="V328" s="696"/>
      <c r="W328" s="847"/>
      <c r="X328" s="696"/>
      <c r="Y328" s="696"/>
      <c r="Z328" s="713"/>
      <c r="AA328" s="696"/>
      <c r="AB328" s="713"/>
      <c r="AC328" s="696"/>
      <c r="AD328" s="713"/>
      <c r="AE328" s="696"/>
      <c r="AF328" s="713"/>
      <c r="AG328" s="696"/>
      <c r="AH328" s="713"/>
      <c r="AI328" s="696"/>
      <c r="AJ328" s="696"/>
      <c r="AK328" s="713"/>
      <c r="AL328" s="696"/>
      <c r="AM328" s="713"/>
      <c r="AN328" s="696"/>
      <c r="AO328" s="713"/>
      <c r="AP328" s="696"/>
      <c r="AQ328" s="713"/>
      <c r="AR328" s="696"/>
      <c r="AS328" s="713"/>
      <c r="AT328" s="696"/>
      <c r="AU328" s="696"/>
      <c r="AV328" s="713"/>
      <c r="AW328" s="696"/>
      <c r="AX328" s="713"/>
      <c r="AY328" s="696"/>
      <c r="AZ328" s="713"/>
      <c r="BA328" s="696"/>
      <c r="BB328" s="713"/>
      <c r="BC328" s="696"/>
      <c r="BD328" s="713"/>
      <c r="BE328" s="696"/>
    </row>
    <row r="329" spans="1:57" s="44" customFormat="1">
      <c r="A329" s="700"/>
      <c r="B329" s="700"/>
      <c r="C329" s="700"/>
      <c r="D329" s="847"/>
      <c r="E329" s="696"/>
      <c r="F329" s="847"/>
      <c r="G329" s="696"/>
      <c r="H329" s="847"/>
      <c r="I329" s="696"/>
      <c r="J329" s="847"/>
      <c r="K329" s="696"/>
      <c r="L329" s="847"/>
      <c r="M329" s="696"/>
      <c r="N329" s="696"/>
      <c r="O329" s="847"/>
      <c r="P329" s="696"/>
      <c r="Q329" s="847"/>
      <c r="R329" s="696"/>
      <c r="S329" s="847"/>
      <c r="T329" s="696"/>
      <c r="U329" s="847"/>
      <c r="V329" s="696"/>
      <c r="W329" s="847"/>
      <c r="X329" s="696"/>
      <c r="Y329" s="696"/>
      <c r="Z329" s="713"/>
      <c r="AA329" s="696"/>
      <c r="AB329" s="713"/>
      <c r="AC329" s="696"/>
      <c r="AD329" s="713"/>
      <c r="AE329" s="696"/>
      <c r="AF329" s="713"/>
      <c r="AG329" s="696"/>
      <c r="AH329" s="713"/>
      <c r="AI329" s="696"/>
      <c r="AJ329" s="696"/>
      <c r="AK329" s="713"/>
      <c r="AL329" s="696"/>
      <c r="AM329" s="713"/>
      <c r="AN329" s="696"/>
      <c r="AO329" s="713"/>
      <c r="AP329" s="696"/>
      <c r="AQ329" s="713"/>
      <c r="AR329" s="696"/>
      <c r="AS329" s="713"/>
      <c r="AT329" s="696"/>
      <c r="AU329" s="696"/>
      <c r="AV329" s="713"/>
      <c r="AW329" s="696"/>
      <c r="AX329" s="713"/>
      <c r="AY329" s="696"/>
      <c r="AZ329" s="713"/>
      <c r="BA329" s="696"/>
      <c r="BB329" s="713"/>
      <c r="BC329" s="696"/>
      <c r="BD329" s="713"/>
      <c r="BE329" s="696"/>
    </row>
    <row r="330" spans="1:57" s="44" customFormat="1">
      <c r="A330" s="700"/>
      <c r="B330" s="700"/>
      <c r="C330" s="700"/>
      <c r="D330" s="847"/>
      <c r="E330" s="696"/>
      <c r="F330" s="847"/>
      <c r="G330" s="696"/>
      <c r="H330" s="847"/>
      <c r="I330" s="696"/>
      <c r="J330" s="847"/>
      <c r="K330" s="696"/>
      <c r="L330" s="847"/>
      <c r="M330" s="696"/>
      <c r="N330" s="696"/>
      <c r="O330" s="847"/>
      <c r="P330" s="696"/>
      <c r="Q330" s="847"/>
      <c r="R330" s="696"/>
      <c r="S330" s="847"/>
      <c r="T330" s="696"/>
      <c r="U330" s="847"/>
      <c r="V330" s="696"/>
      <c r="W330" s="847"/>
      <c r="X330" s="696"/>
      <c r="Y330" s="696"/>
      <c r="Z330" s="713"/>
      <c r="AA330" s="696"/>
      <c r="AB330" s="713"/>
      <c r="AC330" s="696"/>
      <c r="AD330" s="713"/>
      <c r="AE330" s="696"/>
      <c r="AF330" s="713"/>
      <c r="AG330" s="696"/>
      <c r="AH330" s="713"/>
      <c r="AI330" s="696"/>
      <c r="AJ330" s="696"/>
      <c r="AK330" s="713"/>
      <c r="AL330" s="696"/>
      <c r="AM330" s="713"/>
      <c r="AN330" s="696"/>
      <c r="AO330" s="713"/>
      <c r="AP330" s="696"/>
      <c r="AQ330" s="713"/>
      <c r="AR330" s="696"/>
      <c r="AS330" s="713"/>
      <c r="AT330" s="696"/>
      <c r="AU330" s="696"/>
      <c r="AV330" s="713"/>
      <c r="AW330" s="696"/>
      <c r="AX330" s="713"/>
      <c r="AY330" s="696"/>
      <c r="AZ330" s="713"/>
      <c r="BA330" s="696"/>
      <c r="BB330" s="713"/>
      <c r="BC330" s="696"/>
      <c r="BD330" s="713"/>
      <c r="BE330" s="696"/>
    </row>
    <row r="331" spans="1:57" s="44" customFormat="1">
      <c r="A331" s="700"/>
      <c r="B331" s="700"/>
      <c r="C331" s="700"/>
      <c r="D331" s="847"/>
      <c r="E331" s="696"/>
      <c r="F331" s="847"/>
      <c r="G331" s="696"/>
      <c r="H331" s="847"/>
      <c r="I331" s="696"/>
      <c r="J331" s="847"/>
      <c r="K331" s="696"/>
      <c r="L331" s="847"/>
      <c r="M331" s="696"/>
      <c r="N331" s="696"/>
      <c r="O331" s="847"/>
      <c r="P331" s="696"/>
      <c r="Q331" s="847"/>
      <c r="R331" s="696"/>
      <c r="S331" s="847"/>
      <c r="T331" s="696"/>
      <c r="U331" s="847"/>
      <c r="V331" s="696"/>
      <c r="W331" s="847"/>
      <c r="X331" s="696"/>
      <c r="Y331" s="696"/>
      <c r="Z331" s="713"/>
      <c r="AA331" s="696"/>
      <c r="AB331" s="713"/>
      <c r="AC331" s="696"/>
      <c r="AD331" s="713"/>
      <c r="AE331" s="696"/>
      <c r="AF331" s="713"/>
      <c r="AG331" s="696"/>
      <c r="AH331" s="713"/>
      <c r="AI331" s="696"/>
      <c r="AJ331" s="696"/>
      <c r="AK331" s="713"/>
      <c r="AL331" s="696"/>
      <c r="AM331" s="713"/>
      <c r="AN331" s="696"/>
      <c r="AO331" s="713"/>
      <c r="AP331" s="696"/>
      <c r="AQ331" s="713"/>
      <c r="AR331" s="696"/>
      <c r="AS331" s="713"/>
      <c r="AT331" s="696"/>
      <c r="AU331" s="696"/>
      <c r="AV331" s="713"/>
      <c r="AW331" s="696"/>
      <c r="AX331" s="713"/>
      <c r="AY331" s="696"/>
      <c r="AZ331" s="713"/>
      <c r="BA331" s="696"/>
      <c r="BB331" s="713"/>
      <c r="BC331" s="696"/>
      <c r="BD331" s="713"/>
      <c r="BE331" s="696"/>
    </row>
    <row r="332" spans="1:57" s="44" customFormat="1">
      <c r="A332" s="700"/>
      <c r="B332" s="700"/>
      <c r="C332" s="700"/>
      <c r="D332" s="847"/>
      <c r="E332" s="696"/>
      <c r="F332" s="847"/>
      <c r="G332" s="696"/>
      <c r="H332" s="847"/>
      <c r="I332" s="696"/>
      <c r="J332" s="847"/>
      <c r="K332" s="696"/>
      <c r="L332" s="847"/>
      <c r="M332" s="696"/>
      <c r="N332" s="696"/>
      <c r="O332" s="847"/>
      <c r="P332" s="696"/>
      <c r="Q332" s="847"/>
      <c r="R332" s="696"/>
      <c r="S332" s="847"/>
      <c r="T332" s="696"/>
      <c r="U332" s="847"/>
      <c r="V332" s="696"/>
      <c r="W332" s="847"/>
      <c r="X332" s="696"/>
      <c r="Y332" s="696"/>
      <c r="Z332" s="713"/>
      <c r="AA332" s="696"/>
      <c r="AB332" s="713"/>
      <c r="AC332" s="696"/>
      <c r="AD332" s="713"/>
      <c r="AE332" s="696"/>
      <c r="AF332" s="713"/>
      <c r="AG332" s="696"/>
      <c r="AH332" s="713"/>
      <c r="AI332" s="696"/>
      <c r="AJ332" s="696"/>
      <c r="AK332" s="713"/>
      <c r="AL332" s="696"/>
      <c r="AM332" s="713"/>
      <c r="AN332" s="696"/>
      <c r="AO332" s="713"/>
      <c r="AP332" s="696"/>
      <c r="AQ332" s="713"/>
      <c r="AR332" s="696"/>
      <c r="AS332" s="713"/>
      <c r="AT332" s="696"/>
      <c r="AU332" s="696"/>
      <c r="AV332" s="713"/>
      <c r="AW332" s="696"/>
      <c r="AX332" s="713"/>
      <c r="AY332" s="696"/>
      <c r="AZ332" s="713"/>
      <c r="BA332" s="696"/>
      <c r="BB332" s="713"/>
      <c r="BC332" s="696"/>
      <c r="BD332" s="713"/>
      <c r="BE332" s="696"/>
    </row>
    <row r="333" spans="1:57" s="44" customFormat="1">
      <c r="A333" s="700"/>
      <c r="B333" s="700"/>
      <c r="C333" s="700"/>
      <c r="D333" s="847"/>
      <c r="E333" s="696"/>
      <c r="F333" s="847"/>
      <c r="G333" s="696"/>
      <c r="H333" s="847"/>
      <c r="I333" s="696"/>
      <c r="J333" s="847"/>
      <c r="K333" s="696"/>
      <c r="L333" s="847"/>
      <c r="M333" s="696"/>
      <c r="N333" s="696"/>
      <c r="O333" s="847"/>
      <c r="P333" s="696"/>
      <c r="Q333" s="847"/>
      <c r="R333" s="696"/>
      <c r="S333" s="847"/>
      <c r="T333" s="696"/>
      <c r="U333" s="847"/>
      <c r="V333" s="696"/>
      <c r="W333" s="847"/>
      <c r="X333" s="696"/>
      <c r="Y333" s="696"/>
      <c r="Z333" s="713"/>
      <c r="AA333" s="696"/>
      <c r="AB333" s="713"/>
      <c r="AC333" s="696"/>
      <c r="AD333" s="713"/>
      <c r="AE333" s="696"/>
      <c r="AF333" s="713"/>
      <c r="AG333" s="696"/>
      <c r="AH333" s="713"/>
      <c r="AI333" s="696"/>
      <c r="AJ333" s="696"/>
      <c r="AK333" s="713"/>
      <c r="AL333" s="696"/>
      <c r="AM333" s="713"/>
      <c r="AN333" s="696"/>
      <c r="AO333" s="713"/>
      <c r="AP333" s="696"/>
      <c r="AQ333" s="713"/>
      <c r="AR333" s="696"/>
      <c r="AS333" s="713"/>
      <c r="AT333" s="696"/>
      <c r="AU333" s="696"/>
      <c r="AV333" s="713"/>
      <c r="AW333" s="696"/>
      <c r="AX333" s="713"/>
      <c r="AY333" s="696"/>
      <c r="AZ333" s="713"/>
      <c r="BA333" s="696"/>
      <c r="BB333" s="713"/>
      <c r="BC333" s="696"/>
      <c r="BD333" s="713"/>
      <c r="BE333" s="696"/>
    </row>
    <row r="334" spans="1:57" s="44" customFormat="1">
      <c r="A334" s="700"/>
      <c r="B334" s="700"/>
      <c r="C334" s="700"/>
      <c r="D334" s="847"/>
      <c r="E334" s="696"/>
      <c r="F334" s="847"/>
      <c r="G334" s="696"/>
      <c r="H334" s="847"/>
      <c r="I334" s="696"/>
      <c r="J334" s="847"/>
      <c r="K334" s="696"/>
      <c r="L334" s="847"/>
      <c r="M334" s="696"/>
      <c r="N334" s="696"/>
      <c r="O334" s="847"/>
      <c r="P334" s="696"/>
      <c r="Q334" s="847"/>
      <c r="R334" s="696"/>
      <c r="S334" s="847"/>
      <c r="T334" s="696"/>
      <c r="U334" s="847"/>
      <c r="V334" s="696"/>
      <c r="W334" s="847"/>
      <c r="X334" s="696"/>
      <c r="Y334" s="696"/>
      <c r="Z334" s="713"/>
      <c r="AA334" s="696"/>
      <c r="AB334" s="713"/>
      <c r="AC334" s="696"/>
      <c r="AD334" s="713"/>
      <c r="AE334" s="696"/>
      <c r="AF334" s="713"/>
      <c r="AG334" s="696"/>
      <c r="AH334" s="713"/>
      <c r="AI334" s="696"/>
      <c r="AJ334" s="696"/>
      <c r="AK334" s="713"/>
      <c r="AL334" s="696"/>
      <c r="AM334" s="713"/>
      <c r="AN334" s="696"/>
      <c r="AO334" s="713"/>
      <c r="AP334" s="696"/>
      <c r="AQ334" s="713"/>
      <c r="AR334" s="696"/>
      <c r="AS334" s="713"/>
      <c r="AT334" s="696"/>
      <c r="AU334" s="696"/>
      <c r="AV334" s="713"/>
      <c r="AW334" s="696"/>
      <c r="AX334" s="713"/>
      <c r="AY334" s="696"/>
      <c r="AZ334" s="713"/>
      <c r="BA334" s="696"/>
      <c r="BB334" s="713"/>
      <c r="BC334" s="696"/>
      <c r="BD334" s="713"/>
      <c r="BE334" s="696"/>
    </row>
    <row r="335" spans="1:57" s="44" customFormat="1">
      <c r="A335" s="700"/>
      <c r="B335" s="700"/>
      <c r="C335" s="700"/>
      <c r="D335" s="847"/>
      <c r="E335" s="696"/>
      <c r="F335" s="847"/>
      <c r="G335" s="696"/>
      <c r="H335" s="847"/>
      <c r="I335" s="696"/>
      <c r="J335" s="847"/>
      <c r="K335" s="696"/>
      <c r="L335" s="847"/>
      <c r="M335" s="696"/>
      <c r="N335" s="696"/>
      <c r="O335" s="847"/>
      <c r="P335" s="696"/>
      <c r="Q335" s="847"/>
      <c r="R335" s="696"/>
      <c r="S335" s="847"/>
      <c r="T335" s="696"/>
      <c r="U335" s="847"/>
      <c r="V335" s="696"/>
      <c r="W335" s="847"/>
      <c r="X335" s="696"/>
      <c r="Y335" s="696"/>
      <c r="Z335" s="713"/>
      <c r="AA335" s="696"/>
      <c r="AB335" s="713"/>
      <c r="AC335" s="696"/>
      <c r="AD335" s="713"/>
      <c r="AE335" s="696"/>
      <c r="AF335" s="713"/>
      <c r="AG335" s="696"/>
      <c r="AH335" s="713"/>
      <c r="AI335" s="696"/>
      <c r="AJ335" s="696"/>
      <c r="AK335" s="713"/>
      <c r="AL335" s="696"/>
      <c r="AM335" s="713"/>
      <c r="AN335" s="696"/>
      <c r="AO335" s="713"/>
      <c r="AP335" s="696"/>
      <c r="AQ335" s="713"/>
      <c r="AR335" s="696"/>
      <c r="AS335" s="713"/>
      <c r="AT335" s="696"/>
      <c r="AU335" s="696"/>
      <c r="AV335" s="713"/>
      <c r="AW335" s="696"/>
      <c r="AX335" s="713"/>
      <c r="AY335" s="696"/>
      <c r="AZ335" s="713"/>
      <c r="BA335" s="696"/>
      <c r="BB335" s="713"/>
      <c r="BC335" s="696"/>
      <c r="BD335" s="713"/>
      <c r="BE335" s="696"/>
    </row>
    <row r="336" spans="1:57" s="44" customFormat="1">
      <c r="A336" s="700"/>
      <c r="B336" s="700"/>
      <c r="C336" s="700"/>
      <c r="D336" s="847"/>
      <c r="E336" s="696"/>
      <c r="F336" s="847"/>
      <c r="G336" s="696"/>
      <c r="H336" s="847"/>
      <c r="I336" s="696"/>
      <c r="J336" s="847"/>
      <c r="K336" s="696"/>
      <c r="L336" s="847"/>
      <c r="M336" s="696"/>
      <c r="N336" s="696"/>
      <c r="O336" s="847"/>
      <c r="P336" s="696"/>
      <c r="Q336" s="847"/>
      <c r="R336" s="696"/>
      <c r="S336" s="847"/>
      <c r="T336" s="696"/>
      <c r="U336" s="847"/>
      <c r="V336" s="696"/>
      <c r="W336" s="847"/>
      <c r="X336" s="696"/>
      <c r="Y336" s="696"/>
      <c r="Z336" s="713"/>
      <c r="AA336" s="696"/>
      <c r="AB336" s="713"/>
      <c r="AC336" s="696"/>
      <c r="AD336" s="713"/>
      <c r="AE336" s="696"/>
      <c r="AF336" s="713"/>
      <c r="AG336" s="696"/>
      <c r="AH336" s="713"/>
      <c r="AI336" s="696"/>
      <c r="AJ336" s="696"/>
      <c r="AK336" s="713"/>
      <c r="AL336" s="696"/>
      <c r="AM336" s="713"/>
      <c r="AN336" s="696"/>
      <c r="AO336" s="713"/>
      <c r="AP336" s="696"/>
      <c r="AQ336" s="713"/>
      <c r="AR336" s="696"/>
      <c r="AS336" s="713"/>
      <c r="AT336" s="696"/>
      <c r="AU336" s="696"/>
      <c r="AV336" s="713"/>
      <c r="AW336" s="696"/>
      <c r="AX336" s="713"/>
      <c r="AY336" s="696"/>
      <c r="AZ336" s="713"/>
      <c r="BA336" s="696"/>
      <c r="BB336" s="713"/>
      <c r="BC336" s="696"/>
      <c r="BD336" s="713"/>
      <c r="BE336" s="696"/>
    </row>
    <row r="337" spans="1:57" s="44" customFormat="1">
      <c r="A337" s="700"/>
      <c r="B337" s="700"/>
      <c r="C337" s="700"/>
      <c r="D337" s="847"/>
      <c r="E337" s="696"/>
      <c r="F337" s="847"/>
      <c r="G337" s="696"/>
      <c r="H337" s="847"/>
      <c r="I337" s="696"/>
      <c r="J337" s="847"/>
      <c r="K337" s="696"/>
      <c r="L337" s="847"/>
      <c r="M337" s="696"/>
      <c r="N337" s="696"/>
      <c r="O337" s="847"/>
      <c r="P337" s="696"/>
      <c r="Q337" s="847"/>
      <c r="R337" s="696"/>
      <c r="S337" s="847"/>
      <c r="T337" s="696"/>
      <c r="U337" s="847"/>
      <c r="V337" s="696"/>
      <c r="W337" s="847"/>
      <c r="X337" s="696"/>
      <c r="Y337" s="696"/>
      <c r="Z337" s="713"/>
      <c r="AA337" s="696"/>
      <c r="AB337" s="713"/>
      <c r="AC337" s="696"/>
      <c r="AD337" s="713"/>
      <c r="AE337" s="696"/>
      <c r="AF337" s="713"/>
      <c r="AG337" s="696"/>
      <c r="AH337" s="713"/>
      <c r="AI337" s="696"/>
      <c r="AJ337" s="696"/>
      <c r="AK337" s="713"/>
      <c r="AL337" s="696"/>
      <c r="AM337" s="713"/>
      <c r="AN337" s="696"/>
      <c r="AO337" s="713"/>
      <c r="AP337" s="696"/>
      <c r="AQ337" s="713"/>
      <c r="AR337" s="696"/>
      <c r="AS337" s="713"/>
      <c r="AT337" s="696"/>
      <c r="AU337" s="696"/>
      <c r="AV337" s="713"/>
      <c r="AW337" s="696"/>
      <c r="AX337" s="713"/>
      <c r="AY337" s="696"/>
      <c r="AZ337" s="713"/>
      <c r="BA337" s="696"/>
      <c r="BB337" s="713"/>
      <c r="BC337" s="696"/>
      <c r="BD337" s="713"/>
      <c r="BE337" s="696"/>
    </row>
    <row r="338" spans="1:57" s="44" customFormat="1">
      <c r="A338" s="700"/>
      <c r="B338" s="700"/>
      <c r="C338" s="700"/>
      <c r="D338" s="847"/>
      <c r="E338" s="696"/>
      <c r="F338" s="847"/>
      <c r="G338" s="696"/>
      <c r="H338" s="847"/>
      <c r="I338" s="696"/>
      <c r="J338" s="847"/>
      <c r="K338" s="696"/>
      <c r="L338" s="847"/>
      <c r="M338" s="696"/>
      <c r="N338" s="696"/>
      <c r="O338" s="847"/>
      <c r="P338" s="696"/>
      <c r="Q338" s="847"/>
      <c r="R338" s="696"/>
      <c r="S338" s="847"/>
      <c r="T338" s="696"/>
      <c r="U338" s="847"/>
      <c r="V338" s="696"/>
      <c r="W338" s="847"/>
      <c r="X338" s="696"/>
      <c r="Y338" s="696"/>
      <c r="Z338" s="713"/>
      <c r="AA338" s="696"/>
      <c r="AB338" s="713"/>
      <c r="AC338" s="696"/>
      <c r="AD338" s="713"/>
      <c r="AE338" s="696"/>
      <c r="AF338" s="713"/>
      <c r="AG338" s="696"/>
      <c r="AH338" s="713"/>
      <c r="AI338" s="696"/>
      <c r="AJ338" s="696"/>
      <c r="AK338" s="713"/>
      <c r="AL338" s="696"/>
      <c r="AM338" s="713"/>
      <c r="AN338" s="696"/>
      <c r="AO338" s="713"/>
      <c r="AP338" s="696"/>
      <c r="AQ338" s="713"/>
      <c r="AR338" s="696"/>
      <c r="AS338" s="713"/>
      <c r="AT338" s="696"/>
      <c r="AU338" s="696"/>
      <c r="AV338" s="713"/>
      <c r="AW338" s="696"/>
      <c r="AX338" s="713"/>
      <c r="AY338" s="696"/>
      <c r="AZ338" s="713"/>
      <c r="BA338" s="696"/>
      <c r="BB338" s="713"/>
      <c r="BC338" s="696"/>
      <c r="BD338" s="713"/>
      <c r="BE338" s="696"/>
    </row>
    <row r="339" spans="1:57" s="44" customFormat="1">
      <c r="A339" s="700"/>
      <c r="B339" s="700"/>
      <c r="C339" s="700"/>
      <c r="D339" s="847"/>
      <c r="E339" s="696"/>
      <c r="F339" s="847"/>
      <c r="G339" s="696"/>
      <c r="H339" s="847"/>
      <c r="I339" s="696"/>
      <c r="J339" s="847"/>
      <c r="K339" s="696"/>
      <c r="L339" s="847"/>
      <c r="M339" s="696"/>
      <c r="N339" s="696"/>
      <c r="O339" s="847"/>
      <c r="P339" s="696"/>
      <c r="Q339" s="847"/>
      <c r="R339" s="696"/>
      <c r="S339" s="847"/>
      <c r="T339" s="696"/>
      <c r="U339" s="847"/>
      <c r="V339" s="696"/>
      <c r="W339" s="847"/>
      <c r="X339" s="696"/>
      <c r="Y339" s="696"/>
      <c r="Z339" s="713"/>
      <c r="AA339" s="696"/>
      <c r="AB339" s="713"/>
      <c r="AC339" s="696"/>
      <c r="AD339" s="713"/>
      <c r="AE339" s="696"/>
      <c r="AF339" s="713"/>
      <c r="AG339" s="696"/>
      <c r="AH339" s="713"/>
      <c r="AI339" s="696"/>
      <c r="AJ339" s="696"/>
      <c r="AK339" s="713"/>
      <c r="AL339" s="696"/>
      <c r="AM339" s="713"/>
      <c r="AN339" s="696"/>
      <c r="AO339" s="713"/>
      <c r="AP339" s="696"/>
      <c r="AQ339" s="713"/>
      <c r="AR339" s="696"/>
      <c r="AS339" s="713"/>
      <c r="AT339" s="696"/>
      <c r="AU339" s="696"/>
      <c r="AV339" s="713"/>
      <c r="AW339" s="696"/>
      <c r="AX339" s="713"/>
      <c r="AY339" s="696"/>
      <c r="AZ339" s="713"/>
      <c r="BA339" s="696"/>
      <c r="BB339" s="713"/>
      <c r="BC339" s="696"/>
      <c r="BD339" s="713"/>
      <c r="BE339" s="696"/>
    </row>
    <row r="340" spans="1:57" s="44" customFormat="1">
      <c r="A340" s="700"/>
      <c r="B340" s="700"/>
      <c r="C340" s="700"/>
      <c r="D340" s="847"/>
      <c r="E340" s="696"/>
      <c r="F340" s="847"/>
      <c r="G340" s="696"/>
      <c r="H340" s="847"/>
      <c r="I340" s="696"/>
      <c r="J340" s="847"/>
      <c r="K340" s="696"/>
      <c r="L340" s="847"/>
      <c r="M340" s="696"/>
      <c r="N340" s="696"/>
      <c r="O340" s="847"/>
      <c r="P340" s="696"/>
      <c r="Q340" s="847"/>
      <c r="R340" s="696"/>
      <c r="S340" s="847"/>
      <c r="T340" s="696"/>
      <c r="U340" s="847"/>
      <c r="V340" s="696"/>
      <c r="W340" s="847"/>
      <c r="X340" s="696"/>
      <c r="Y340" s="696"/>
      <c r="Z340" s="713"/>
      <c r="AA340" s="696"/>
      <c r="AB340" s="713"/>
      <c r="AC340" s="696"/>
      <c r="AD340" s="713"/>
      <c r="AE340" s="696"/>
      <c r="AF340" s="713"/>
      <c r="AG340" s="696"/>
      <c r="AH340" s="713"/>
      <c r="AI340" s="696"/>
      <c r="AJ340" s="696"/>
      <c r="AK340" s="713"/>
      <c r="AL340" s="696"/>
      <c r="AM340" s="713"/>
      <c r="AN340" s="696"/>
      <c r="AO340" s="713"/>
      <c r="AP340" s="696"/>
      <c r="AQ340" s="713"/>
      <c r="AR340" s="696"/>
      <c r="AS340" s="713"/>
      <c r="AT340" s="696"/>
      <c r="AU340" s="696"/>
      <c r="AV340" s="713"/>
      <c r="AW340" s="696"/>
      <c r="AX340" s="713"/>
      <c r="AY340" s="696"/>
      <c r="AZ340" s="713"/>
      <c r="BA340" s="696"/>
      <c r="BB340" s="713"/>
      <c r="BC340" s="696"/>
      <c r="BD340" s="713"/>
      <c r="BE340" s="696"/>
    </row>
    <row r="341" spans="1:57" s="44" customFormat="1">
      <c r="A341" s="700"/>
      <c r="B341" s="700"/>
      <c r="C341" s="700"/>
      <c r="D341" s="847"/>
      <c r="E341" s="696"/>
      <c r="F341" s="847"/>
      <c r="G341" s="696"/>
      <c r="H341" s="847"/>
      <c r="I341" s="696"/>
      <c r="J341" s="847"/>
      <c r="K341" s="696"/>
      <c r="L341" s="847"/>
      <c r="M341" s="696"/>
      <c r="N341" s="696"/>
      <c r="O341" s="847"/>
      <c r="P341" s="696"/>
      <c r="Q341" s="847"/>
      <c r="R341" s="696"/>
      <c r="S341" s="847"/>
      <c r="T341" s="696"/>
      <c r="U341" s="847"/>
      <c r="V341" s="696"/>
      <c r="W341" s="847"/>
      <c r="X341" s="696"/>
      <c r="Y341" s="696"/>
      <c r="Z341" s="713"/>
      <c r="AA341" s="696"/>
      <c r="AB341" s="713"/>
      <c r="AC341" s="696"/>
      <c r="AD341" s="713"/>
      <c r="AE341" s="696"/>
      <c r="AF341" s="713"/>
      <c r="AG341" s="696"/>
      <c r="AH341" s="713"/>
      <c r="AI341" s="696"/>
      <c r="AJ341" s="696"/>
      <c r="AK341" s="713"/>
      <c r="AL341" s="696"/>
      <c r="AM341" s="713"/>
      <c r="AN341" s="696"/>
      <c r="AO341" s="713"/>
      <c r="AP341" s="696"/>
      <c r="AQ341" s="713"/>
      <c r="AR341" s="696"/>
      <c r="AS341" s="713"/>
      <c r="AT341" s="696"/>
      <c r="AU341" s="696"/>
      <c r="AV341" s="713"/>
      <c r="AW341" s="696"/>
      <c r="AX341" s="713"/>
      <c r="AY341" s="696"/>
      <c r="AZ341" s="713"/>
      <c r="BA341" s="696"/>
      <c r="BB341" s="713"/>
      <c r="BC341" s="696"/>
      <c r="BD341" s="713"/>
      <c r="BE341" s="696"/>
    </row>
    <row r="342" spans="1:57" s="44" customFormat="1">
      <c r="A342" s="700"/>
      <c r="B342" s="700"/>
      <c r="C342" s="700"/>
      <c r="D342" s="847"/>
      <c r="E342" s="696"/>
      <c r="F342" s="847"/>
      <c r="G342" s="696"/>
      <c r="H342" s="847"/>
      <c r="I342" s="696"/>
      <c r="J342" s="847"/>
      <c r="K342" s="696"/>
      <c r="L342" s="847"/>
      <c r="M342" s="696"/>
      <c r="N342" s="696"/>
      <c r="O342" s="847"/>
      <c r="P342" s="696"/>
      <c r="Q342" s="847"/>
      <c r="R342" s="696"/>
      <c r="S342" s="847"/>
      <c r="T342" s="696"/>
      <c r="U342" s="847"/>
      <c r="V342" s="696"/>
      <c r="W342" s="847"/>
      <c r="X342" s="696"/>
      <c r="Y342" s="696"/>
      <c r="Z342" s="713"/>
      <c r="AA342" s="696"/>
      <c r="AB342" s="713"/>
      <c r="AC342" s="696"/>
      <c r="AD342" s="713"/>
      <c r="AE342" s="696"/>
      <c r="AF342" s="713"/>
      <c r="AG342" s="696"/>
      <c r="AH342" s="713"/>
      <c r="AI342" s="696"/>
      <c r="AJ342" s="696"/>
      <c r="AK342" s="713"/>
      <c r="AL342" s="696"/>
      <c r="AM342" s="713"/>
      <c r="AN342" s="696"/>
      <c r="AO342" s="713"/>
      <c r="AP342" s="696"/>
      <c r="AQ342" s="713"/>
      <c r="AR342" s="696"/>
      <c r="AS342" s="713"/>
      <c r="AT342" s="696"/>
      <c r="AU342" s="696"/>
      <c r="AV342" s="713"/>
      <c r="AW342" s="696"/>
      <c r="AX342" s="713"/>
      <c r="AY342" s="696"/>
      <c r="AZ342" s="713"/>
      <c r="BA342" s="696"/>
      <c r="BB342" s="713"/>
      <c r="BC342" s="696"/>
      <c r="BD342" s="713"/>
      <c r="BE342" s="696"/>
    </row>
    <row r="343" spans="1:57" s="44" customFormat="1">
      <c r="A343" s="700"/>
      <c r="B343" s="700"/>
      <c r="C343" s="700"/>
      <c r="D343" s="847"/>
      <c r="E343" s="696"/>
      <c r="F343" s="847"/>
      <c r="G343" s="696"/>
      <c r="H343" s="847"/>
      <c r="I343" s="696"/>
      <c r="J343" s="847"/>
      <c r="K343" s="696"/>
      <c r="L343" s="847"/>
      <c r="M343" s="696"/>
      <c r="N343" s="696"/>
      <c r="O343" s="847"/>
      <c r="P343" s="696"/>
      <c r="Q343" s="847"/>
      <c r="R343" s="696"/>
      <c r="S343" s="847"/>
      <c r="T343" s="696"/>
      <c r="U343" s="847"/>
      <c r="V343" s="696"/>
      <c r="W343" s="847"/>
      <c r="X343" s="696"/>
      <c r="Y343" s="696"/>
      <c r="Z343" s="713"/>
      <c r="AA343" s="696"/>
      <c r="AB343" s="713"/>
      <c r="AC343" s="696"/>
      <c r="AD343" s="713"/>
      <c r="AE343" s="696"/>
      <c r="AF343" s="713"/>
      <c r="AG343" s="696"/>
      <c r="AH343" s="713"/>
      <c r="AI343" s="696"/>
      <c r="AJ343" s="696"/>
      <c r="AK343" s="713"/>
      <c r="AL343" s="696"/>
      <c r="AM343" s="713"/>
      <c r="AN343" s="696"/>
      <c r="AO343" s="713"/>
      <c r="AP343" s="696"/>
      <c r="AQ343" s="713"/>
      <c r="AR343" s="696"/>
      <c r="AS343" s="713"/>
      <c r="AT343" s="696"/>
      <c r="AU343" s="696"/>
      <c r="AV343" s="713"/>
      <c r="AW343" s="696"/>
      <c r="AX343" s="713"/>
      <c r="AY343" s="696"/>
      <c r="AZ343" s="713"/>
      <c r="BA343" s="696"/>
      <c r="BB343" s="713"/>
      <c r="BC343" s="696"/>
      <c r="BD343" s="713"/>
      <c r="BE343" s="696"/>
    </row>
    <row r="344" spans="1:57" s="44" customFormat="1">
      <c r="A344" s="700"/>
      <c r="B344" s="700"/>
      <c r="C344" s="700"/>
      <c r="D344" s="847"/>
      <c r="E344" s="696"/>
      <c r="F344" s="847"/>
      <c r="G344" s="696"/>
      <c r="H344" s="847"/>
      <c r="I344" s="696"/>
      <c r="J344" s="847"/>
      <c r="K344" s="696"/>
      <c r="L344" s="847"/>
      <c r="M344" s="696"/>
      <c r="N344" s="696"/>
      <c r="O344" s="847"/>
      <c r="P344" s="696"/>
      <c r="Q344" s="847"/>
      <c r="R344" s="696"/>
      <c r="S344" s="847"/>
      <c r="T344" s="696"/>
      <c r="U344" s="847"/>
      <c r="V344" s="696"/>
      <c r="W344" s="847"/>
      <c r="X344" s="696"/>
      <c r="Y344" s="696"/>
      <c r="Z344" s="713"/>
      <c r="AA344" s="696"/>
      <c r="AB344" s="713"/>
      <c r="AC344" s="696"/>
      <c r="AD344" s="713"/>
      <c r="AE344" s="696"/>
      <c r="AF344" s="713"/>
      <c r="AG344" s="696"/>
      <c r="AH344" s="713"/>
      <c r="AI344" s="696"/>
      <c r="AJ344" s="696"/>
      <c r="AK344" s="713"/>
      <c r="AL344" s="696"/>
      <c r="AM344" s="713"/>
      <c r="AN344" s="696"/>
      <c r="AO344" s="713"/>
      <c r="AP344" s="696"/>
      <c r="AQ344" s="713"/>
      <c r="AR344" s="696"/>
      <c r="AS344" s="713"/>
      <c r="AT344" s="696"/>
      <c r="AU344" s="696"/>
      <c r="AV344" s="713"/>
      <c r="AW344" s="696"/>
      <c r="AX344" s="713"/>
      <c r="AY344" s="696"/>
      <c r="AZ344" s="713"/>
      <c r="BA344" s="696"/>
      <c r="BB344" s="713"/>
      <c r="BC344" s="696"/>
      <c r="BD344" s="713"/>
      <c r="BE344" s="696"/>
    </row>
    <row r="345" spans="1:57" s="44" customFormat="1">
      <c r="A345" s="700"/>
      <c r="B345" s="700"/>
      <c r="C345" s="700"/>
      <c r="D345" s="847"/>
      <c r="E345" s="696"/>
      <c r="F345" s="847"/>
      <c r="G345" s="696"/>
      <c r="H345" s="847"/>
      <c r="I345" s="696"/>
      <c r="J345" s="847"/>
      <c r="K345" s="696"/>
      <c r="L345" s="847"/>
      <c r="M345" s="696"/>
      <c r="N345" s="696"/>
      <c r="O345" s="847"/>
      <c r="P345" s="696"/>
      <c r="Q345" s="847"/>
      <c r="R345" s="696"/>
      <c r="S345" s="847"/>
      <c r="T345" s="696"/>
      <c r="U345" s="847"/>
      <c r="V345" s="696"/>
      <c r="W345" s="847"/>
      <c r="X345" s="696"/>
      <c r="Y345" s="696"/>
      <c r="Z345" s="713"/>
      <c r="AA345" s="696"/>
      <c r="AB345" s="713"/>
      <c r="AC345" s="696"/>
      <c r="AD345" s="713"/>
      <c r="AE345" s="696"/>
      <c r="AF345" s="713"/>
      <c r="AG345" s="696"/>
      <c r="AH345" s="713"/>
      <c r="AI345" s="696"/>
      <c r="AJ345" s="696"/>
      <c r="AK345" s="713"/>
      <c r="AL345" s="696"/>
      <c r="AM345" s="713"/>
      <c r="AN345" s="696"/>
      <c r="AO345" s="713"/>
      <c r="AP345" s="696"/>
      <c r="AQ345" s="713"/>
      <c r="AR345" s="696"/>
      <c r="AS345" s="713"/>
      <c r="AT345" s="696"/>
      <c r="AU345" s="696"/>
      <c r="AV345" s="713"/>
      <c r="AW345" s="696"/>
      <c r="AX345" s="713"/>
      <c r="AY345" s="696"/>
      <c r="AZ345" s="713"/>
      <c r="BA345" s="696"/>
      <c r="BB345" s="713"/>
      <c r="BC345" s="696"/>
      <c r="BD345" s="713"/>
      <c r="BE345" s="696"/>
    </row>
    <row r="346" spans="1:57" s="44" customFormat="1">
      <c r="A346" s="700"/>
      <c r="B346" s="700"/>
      <c r="C346" s="700"/>
      <c r="D346" s="847"/>
      <c r="E346" s="696"/>
      <c r="F346" s="847"/>
      <c r="G346" s="696"/>
      <c r="H346" s="847"/>
      <c r="I346" s="696"/>
      <c r="J346" s="847"/>
      <c r="K346" s="696"/>
      <c r="L346" s="847"/>
      <c r="M346" s="696"/>
      <c r="N346" s="696"/>
      <c r="O346" s="847"/>
      <c r="P346" s="696"/>
      <c r="Q346" s="847"/>
      <c r="R346" s="696"/>
      <c r="S346" s="847"/>
      <c r="T346" s="696"/>
      <c r="U346" s="847"/>
      <c r="V346" s="696"/>
      <c r="W346" s="847"/>
      <c r="X346" s="696"/>
      <c r="Y346" s="696"/>
      <c r="Z346" s="713"/>
      <c r="AA346" s="696"/>
      <c r="AB346" s="713"/>
      <c r="AC346" s="696"/>
      <c r="AD346" s="713"/>
      <c r="AE346" s="696"/>
      <c r="AF346" s="713"/>
      <c r="AG346" s="696"/>
      <c r="AH346" s="713"/>
      <c r="AI346" s="696"/>
      <c r="AJ346" s="696"/>
      <c r="AK346" s="713"/>
      <c r="AL346" s="696"/>
      <c r="AM346" s="713"/>
      <c r="AN346" s="696"/>
      <c r="AO346" s="713"/>
      <c r="AP346" s="696"/>
      <c r="AQ346" s="713"/>
      <c r="AR346" s="696"/>
      <c r="AS346" s="713"/>
      <c r="AT346" s="696"/>
      <c r="AU346" s="696"/>
      <c r="AV346" s="713"/>
      <c r="AW346" s="696"/>
      <c r="AX346" s="713"/>
      <c r="AY346" s="696"/>
      <c r="AZ346" s="713"/>
      <c r="BA346" s="696"/>
      <c r="BB346" s="713"/>
      <c r="BC346" s="696"/>
      <c r="BD346" s="713"/>
      <c r="BE346" s="696"/>
    </row>
    <row r="347" spans="1:57" s="44" customFormat="1">
      <c r="A347" s="700"/>
      <c r="B347" s="700"/>
      <c r="C347" s="700"/>
      <c r="D347" s="847"/>
      <c r="E347" s="696"/>
      <c r="F347" s="847"/>
      <c r="G347" s="696"/>
      <c r="H347" s="847"/>
      <c r="I347" s="696"/>
      <c r="J347" s="847"/>
      <c r="K347" s="696"/>
      <c r="L347" s="847"/>
      <c r="M347" s="696"/>
      <c r="N347" s="696"/>
      <c r="O347" s="847"/>
      <c r="P347" s="696"/>
      <c r="Q347" s="847"/>
      <c r="R347" s="696"/>
      <c r="S347" s="847"/>
      <c r="T347" s="696"/>
      <c r="U347" s="847"/>
      <c r="V347" s="696"/>
      <c r="W347" s="847"/>
      <c r="X347" s="696"/>
      <c r="Y347" s="696"/>
      <c r="Z347" s="713"/>
      <c r="AA347" s="696"/>
      <c r="AB347" s="713"/>
      <c r="AC347" s="696"/>
      <c r="AD347" s="713"/>
      <c r="AE347" s="696"/>
      <c r="AF347" s="713"/>
      <c r="AG347" s="696"/>
      <c r="AH347" s="713"/>
      <c r="AI347" s="696"/>
      <c r="AJ347" s="696"/>
      <c r="AK347" s="713"/>
      <c r="AL347" s="696"/>
      <c r="AM347" s="713"/>
      <c r="AN347" s="696"/>
      <c r="AO347" s="713"/>
      <c r="AP347" s="696"/>
      <c r="AQ347" s="713"/>
      <c r="AR347" s="696"/>
      <c r="AS347" s="713"/>
      <c r="AT347" s="696"/>
      <c r="AU347" s="696"/>
      <c r="AV347" s="713"/>
      <c r="AW347" s="696"/>
      <c r="AX347" s="713"/>
      <c r="AY347" s="696"/>
      <c r="AZ347" s="713"/>
      <c r="BA347" s="696"/>
      <c r="BB347" s="713"/>
      <c r="BC347" s="696"/>
      <c r="BD347" s="713"/>
      <c r="BE347" s="696"/>
    </row>
    <row r="348" spans="1:57" s="44" customFormat="1">
      <c r="A348" s="700"/>
      <c r="B348" s="700"/>
      <c r="C348" s="700"/>
      <c r="D348" s="847"/>
      <c r="E348" s="696"/>
      <c r="F348" s="847"/>
      <c r="G348" s="696"/>
      <c r="H348" s="847"/>
      <c r="I348" s="696"/>
      <c r="J348" s="847"/>
      <c r="K348" s="696"/>
      <c r="L348" s="847"/>
      <c r="M348" s="696"/>
      <c r="N348" s="696"/>
      <c r="O348" s="847"/>
      <c r="P348" s="696"/>
      <c r="Q348" s="847"/>
      <c r="R348" s="696"/>
      <c r="S348" s="847"/>
      <c r="T348" s="696"/>
      <c r="U348" s="847"/>
      <c r="V348" s="696"/>
      <c r="W348" s="847"/>
      <c r="X348" s="696"/>
      <c r="Y348" s="696"/>
      <c r="Z348" s="713"/>
      <c r="AA348" s="696"/>
      <c r="AB348" s="713"/>
      <c r="AC348" s="696"/>
      <c r="AD348" s="713"/>
      <c r="AE348" s="696"/>
      <c r="AF348" s="713"/>
      <c r="AG348" s="696"/>
      <c r="AH348" s="713"/>
      <c r="AI348" s="696"/>
      <c r="AJ348" s="696"/>
      <c r="AK348" s="713"/>
      <c r="AL348" s="696"/>
      <c r="AM348" s="713"/>
      <c r="AN348" s="696"/>
      <c r="AO348" s="713"/>
      <c r="AP348" s="696"/>
      <c r="AQ348" s="713"/>
      <c r="AR348" s="696"/>
      <c r="AS348" s="713"/>
      <c r="AT348" s="696"/>
      <c r="AU348" s="696"/>
      <c r="AV348" s="713"/>
      <c r="AW348" s="696"/>
      <c r="AX348" s="713"/>
      <c r="AY348" s="696"/>
      <c r="AZ348" s="713"/>
      <c r="BA348" s="696"/>
      <c r="BB348" s="713"/>
      <c r="BC348" s="696"/>
      <c r="BD348" s="713"/>
      <c r="BE348" s="696"/>
    </row>
    <row r="349" spans="1:57" s="44" customFormat="1">
      <c r="A349" s="700"/>
      <c r="B349" s="700"/>
      <c r="C349" s="700"/>
      <c r="D349" s="847"/>
      <c r="E349" s="696"/>
      <c r="F349" s="847"/>
      <c r="G349" s="696"/>
      <c r="H349" s="847"/>
      <c r="I349" s="696"/>
      <c r="J349" s="847"/>
      <c r="K349" s="696"/>
      <c r="L349" s="847"/>
      <c r="M349" s="696"/>
      <c r="N349" s="696"/>
      <c r="O349" s="847"/>
      <c r="P349" s="696"/>
      <c r="Q349" s="847"/>
      <c r="R349" s="696"/>
      <c r="S349" s="847"/>
      <c r="T349" s="696"/>
      <c r="U349" s="847"/>
      <c r="V349" s="696"/>
      <c r="W349" s="847"/>
      <c r="X349" s="696"/>
      <c r="Y349" s="696"/>
      <c r="Z349" s="713"/>
      <c r="AA349" s="696"/>
      <c r="AB349" s="713"/>
      <c r="AC349" s="696"/>
      <c r="AD349" s="713"/>
      <c r="AE349" s="696"/>
      <c r="AF349" s="713"/>
      <c r="AG349" s="696"/>
      <c r="AH349" s="713"/>
      <c r="AI349" s="696"/>
      <c r="AJ349" s="696"/>
      <c r="AK349" s="713"/>
      <c r="AL349" s="696"/>
      <c r="AM349" s="713"/>
      <c r="AN349" s="696"/>
      <c r="AO349" s="713"/>
      <c r="AP349" s="696"/>
      <c r="AQ349" s="713"/>
      <c r="AR349" s="696"/>
      <c r="AS349" s="713"/>
      <c r="AT349" s="696"/>
      <c r="AU349" s="696"/>
      <c r="AV349" s="713"/>
      <c r="AW349" s="696"/>
      <c r="AX349" s="713"/>
      <c r="AY349" s="696"/>
      <c r="AZ349" s="713"/>
      <c r="BA349" s="696"/>
      <c r="BB349" s="713"/>
      <c r="BC349" s="696"/>
      <c r="BD349" s="713"/>
      <c r="BE349" s="696"/>
    </row>
    <row r="350" spans="1:57" s="44" customFormat="1">
      <c r="A350" s="700"/>
      <c r="B350" s="700"/>
      <c r="C350" s="700"/>
      <c r="D350" s="847"/>
      <c r="E350" s="696"/>
      <c r="F350" s="847"/>
      <c r="G350" s="696"/>
      <c r="H350" s="847"/>
      <c r="I350" s="696"/>
      <c r="J350" s="847"/>
      <c r="K350" s="696"/>
      <c r="L350" s="847"/>
      <c r="M350" s="696"/>
      <c r="N350" s="696"/>
      <c r="O350" s="847"/>
      <c r="P350" s="696"/>
      <c r="Q350" s="847"/>
      <c r="R350" s="696"/>
      <c r="S350" s="847"/>
      <c r="T350" s="696"/>
      <c r="U350" s="847"/>
      <c r="V350" s="696"/>
      <c r="W350" s="847"/>
      <c r="X350" s="696"/>
      <c r="Y350" s="696"/>
      <c r="Z350" s="713"/>
      <c r="AA350" s="696"/>
      <c r="AB350" s="713"/>
      <c r="AC350" s="696"/>
      <c r="AD350" s="713"/>
      <c r="AE350" s="696"/>
      <c r="AF350" s="713"/>
      <c r="AG350" s="696"/>
      <c r="AH350" s="713"/>
      <c r="AI350" s="696"/>
      <c r="AJ350" s="696"/>
      <c r="AK350" s="713"/>
      <c r="AL350" s="696"/>
      <c r="AM350" s="713"/>
      <c r="AN350" s="696"/>
      <c r="AO350" s="713"/>
      <c r="AP350" s="696"/>
      <c r="AQ350" s="713"/>
      <c r="AR350" s="696"/>
      <c r="AS350" s="713"/>
      <c r="AT350" s="696"/>
      <c r="AU350" s="696"/>
      <c r="AV350" s="713"/>
      <c r="AW350" s="696"/>
      <c r="AX350" s="713"/>
      <c r="AY350" s="696"/>
      <c r="AZ350" s="713"/>
      <c r="BA350" s="696"/>
      <c r="BB350" s="713"/>
      <c r="BC350" s="696"/>
      <c r="BD350" s="713"/>
      <c r="BE350" s="696"/>
    </row>
    <row r="351" spans="1:57" s="44" customFormat="1">
      <c r="A351" s="700"/>
      <c r="B351" s="700"/>
      <c r="C351" s="700"/>
      <c r="D351" s="847"/>
      <c r="E351" s="696"/>
      <c r="F351" s="847"/>
      <c r="G351" s="696"/>
      <c r="H351" s="847"/>
      <c r="I351" s="696"/>
      <c r="J351" s="847"/>
      <c r="K351" s="696"/>
      <c r="L351" s="847"/>
      <c r="M351" s="696"/>
      <c r="N351" s="696"/>
      <c r="O351" s="847"/>
      <c r="P351" s="696"/>
      <c r="Q351" s="847"/>
      <c r="R351" s="696"/>
      <c r="S351" s="847"/>
      <c r="T351" s="696"/>
      <c r="U351" s="847"/>
      <c r="V351" s="696"/>
      <c r="W351" s="847"/>
      <c r="X351" s="696"/>
      <c r="Y351" s="696"/>
      <c r="Z351" s="713"/>
      <c r="AA351" s="696"/>
      <c r="AB351" s="713"/>
      <c r="AC351" s="696"/>
      <c r="AD351" s="713"/>
      <c r="AE351" s="696"/>
      <c r="AF351" s="713"/>
      <c r="AG351" s="696"/>
      <c r="AH351" s="713"/>
      <c r="AI351" s="696"/>
      <c r="AJ351" s="696"/>
      <c r="AK351" s="713"/>
      <c r="AL351" s="696"/>
      <c r="AM351" s="713"/>
      <c r="AN351" s="696"/>
      <c r="AO351" s="713"/>
      <c r="AP351" s="696"/>
      <c r="AQ351" s="713"/>
      <c r="AR351" s="696"/>
      <c r="AS351" s="713"/>
      <c r="AT351" s="696"/>
      <c r="AU351" s="696"/>
      <c r="AV351" s="713"/>
      <c r="AW351" s="696"/>
      <c r="AX351" s="713"/>
      <c r="AY351" s="696"/>
      <c r="AZ351" s="713"/>
      <c r="BA351" s="696"/>
      <c r="BB351" s="713"/>
      <c r="BC351" s="696"/>
      <c r="BD351" s="713"/>
      <c r="BE351" s="696"/>
    </row>
    <row r="352" spans="1:57" s="44" customFormat="1">
      <c r="A352" s="700"/>
      <c r="B352" s="700"/>
      <c r="C352" s="700"/>
      <c r="D352" s="847"/>
      <c r="E352" s="696"/>
      <c r="F352" s="847"/>
      <c r="G352" s="696"/>
      <c r="H352" s="847"/>
      <c r="I352" s="696"/>
      <c r="J352" s="847"/>
      <c r="K352" s="696"/>
      <c r="L352" s="847"/>
      <c r="M352" s="696"/>
      <c r="N352" s="696"/>
      <c r="O352" s="847"/>
      <c r="P352" s="696"/>
      <c r="Q352" s="847"/>
      <c r="R352" s="696"/>
      <c r="S352" s="847"/>
      <c r="T352" s="696"/>
      <c r="U352" s="847"/>
      <c r="V352" s="696"/>
      <c r="W352" s="847"/>
      <c r="X352" s="696"/>
      <c r="Y352" s="696"/>
      <c r="Z352" s="713"/>
      <c r="AA352" s="696"/>
      <c r="AB352" s="713"/>
      <c r="AC352" s="696"/>
      <c r="AD352" s="713"/>
      <c r="AE352" s="696"/>
      <c r="AF352" s="713"/>
      <c r="AG352" s="696"/>
      <c r="AH352" s="713"/>
      <c r="AI352" s="696"/>
      <c r="AJ352" s="696"/>
      <c r="AK352" s="713"/>
      <c r="AL352" s="696"/>
      <c r="AM352" s="713"/>
      <c r="AN352" s="696"/>
      <c r="AO352" s="713"/>
      <c r="AP352" s="696"/>
      <c r="AQ352" s="713"/>
      <c r="AR352" s="696"/>
      <c r="AS352" s="713"/>
      <c r="AT352" s="696"/>
      <c r="AU352" s="696"/>
      <c r="AV352" s="713"/>
      <c r="AW352" s="696"/>
      <c r="AX352" s="713"/>
      <c r="AY352" s="696"/>
      <c r="AZ352" s="713"/>
      <c r="BA352" s="696"/>
      <c r="BB352" s="713"/>
      <c r="BC352" s="696"/>
      <c r="BD352" s="713"/>
      <c r="BE352" s="696"/>
    </row>
    <row r="353" spans="1:57" s="44" customFormat="1">
      <c r="A353" s="700"/>
      <c r="B353" s="700"/>
      <c r="C353" s="700"/>
      <c r="D353" s="847"/>
      <c r="E353" s="696"/>
      <c r="F353" s="847"/>
      <c r="G353" s="696"/>
      <c r="H353" s="847"/>
      <c r="I353" s="696"/>
      <c r="J353" s="847"/>
      <c r="K353" s="696"/>
      <c r="L353" s="847"/>
      <c r="M353" s="696"/>
      <c r="N353" s="696"/>
      <c r="O353" s="847"/>
      <c r="P353" s="696"/>
      <c r="Q353" s="847"/>
      <c r="R353" s="696"/>
      <c r="S353" s="847"/>
      <c r="T353" s="696"/>
      <c r="U353" s="847"/>
      <c r="V353" s="696"/>
      <c r="W353" s="847"/>
      <c r="X353" s="696"/>
      <c r="Y353" s="696"/>
      <c r="Z353" s="713"/>
      <c r="AA353" s="696"/>
      <c r="AB353" s="713"/>
      <c r="AC353" s="696"/>
      <c r="AD353" s="713"/>
      <c r="AE353" s="696"/>
      <c r="AF353" s="713"/>
      <c r="AG353" s="696"/>
      <c r="AH353" s="713"/>
      <c r="AI353" s="696"/>
      <c r="AJ353" s="696"/>
      <c r="AK353" s="713"/>
      <c r="AL353" s="696"/>
      <c r="AM353" s="713"/>
      <c r="AN353" s="696"/>
      <c r="AO353" s="713"/>
      <c r="AP353" s="696"/>
      <c r="AQ353" s="713"/>
      <c r="AR353" s="696"/>
      <c r="AS353" s="713"/>
      <c r="AT353" s="696"/>
      <c r="AU353" s="696"/>
      <c r="AV353" s="713"/>
      <c r="AW353" s="696"/>
      <c r="AX353" s="713"/>
      <c r="AY353" s="696"/>
      <c r="AZ353" s="713"/>
      <c r="BA353" s="696"/>
      <c r="BB353" s="713"/>
      <c r="BC353" s="696"/>
      <c r="BD353" s="713"/>
      <c r="BE353" s="696"/>
    </row>
    <row r="354" spans="1:57" s="44" customFormat="1">
      <c r="A354" s="700"/>
      <c r="B354" s="700"/>
      <c r="C354" s="700"/>
      <c r="D354" s="847"/>
      <c r="E354" s="696"/>
      <c r="F354" s="847"/>
      <c r="G354" s="696"/>
      <c r="H354" s="847"/>
      <c r="I354" s="696"/>
      <c r="J354" s="847"/>
      <c r="K354" s="696"/>
      <c r="L354" s="847"/>
      <c r="M354" s="696"/>
      <c r="N354" s="696"/>
      <c r="O354" s="847"/>
      <c r="P354" s="696"/>
      <c r="Q354" s="847"/>
      <c r="R354" s="696"/>
      <c r="S354" s="847"/>
      <c r="T354" s="696"/>
      <c r="U354" s="847"/>
      <c r="V354" s="696"/>
      <c r="W354" s="847"/>
      <c r="X354" s="696"/>
      <c r="Y354" s="696"/>
      <c r="Z354" s="713"/>
      <c r="AA354" s="696"/>
      <c r="AB354" s="713"/>
      <c r="AC354" s="696"/>
      <c r="AD354" s="713"/>
      <c r="AE354" s="696"/>
      <c r="AF354" s="713"/>
      <c r="AG354" s="696"/>
      <c r="AH354" s="713"/>
      <c r="AI354" s="696"/>
      <c r="AJ354" s="696"/>
      <c r="AK354" s="713"/>
      <c r="AL354" s="696"/>
      <c r="AM354" s="713"/>
      <c r="AN354" s="696"/>
      <c r="AO354" s="713"/>
      <c r="AP354" s="696"/>
      <c r="AQ354" s="713"/>
      <c r="AR354" s="696"/>
      <c r="AS354" s="713"/>
      <c r="AT354" s="696"/>
      <c r="AU354" s="696"/>
      <c r="AV354" s="713"/>
      <c r="AW354" s="696"/>
      <c r="AX354" s="713"/>
      <c r="AY354" s="696"/>
      <c r="AZ354" s="713"/>
      <c r="BA354" s="696"/>
      <c r="BB354" s="713"/>
      <c r="BC354" s="696"/>
      <c r="BD354" s="713"/>
      <c r="BE354" s="696"/>
    </row>
    <row r="355" spans="1:57" s="44" customFormat="1">
      <c r="A355" s="700"/>
      <c r="B355" s="700"/>
      <c r="C355" s="700"/>
      <c r="D355" s="847"/>
      <c r="E355" s="696"/>
      <c r="F355" s="847"/>
      <c r="G355" s="696"/>
      <c r="H355" s="847"/>
      <c r="I355" s="696"/>
      <c r="J355" s="847"/>
      <c r="K355" s="696"/>
      <c r="L355" s="847"/>
      <c r="M355" s="696"/>
      <c r="N355" s="696"/>
      <c r="O355" s="847"/>
      <c r="P355" s="696"/>
      <c r="Q355" s="847"/>
      <c r="R355" s="696"/>
      <c r="S355" s="847"/>
      <c r="T355" s="696"/>
      <c r="U355" s="847"/>
      <c r="V355" s="696"/>
      <c r="W355" s="847"/>
      <c r="X355" s="696"/>
      <c r="Y355" s="696"/>
      <c r="Z355" s="713"/>
      <c r="AA355" s="696"/>
      <c r="AB355" s="713"/>
      <c r="AC355" s="696"/>
      <c r="AD355" s="713"/>
      <c r="AE355" s="696"/>
      <c r="AF355" s="713"/>
      <c r="AG355" s="696"/>
      <c r="AH355" s="713"/>
      <c r="AI355" s="696"/>
      <c r="AJ355" s="696"/>
      <c r="AK355" s="713"/>
      <c r="AL355" s="696"/>
      <c r="AM355" s="713"/>
      <c r="AN355" s="696"/>
      <c r="AO355" s="713"/>
      <c r="AP355" s="696"/>
      <c r="AQ355" s="713"/>
      <c r="AR355" s="696"/>
      <c r="AS355" s="713"/>
      <c r="AT355" s="696"/>
      <c r="AU355" s="696"/>
      <c r="AV355" s="713"/>
      <c r="AW355" s="696"/>
      <c r="AX355" s="713"/>
      <c r="AY355" s="696"/>
      <c r="AZ355" s="713"/>
      <c r="BA355" s="696"/>
      <c r="BB355" s="713"/>
      <c r="BC355" s="696"/>
      <c r="BD355" s="713"/>
      <c r="BE355" s="696"/>
    </row>
    <row r="356" spans="1:57" s="44" customFormat="1">
      <c r="A356" s="700"/>
      <c r="B356" s="700"/>
      <c r="C356" s="700"/>
      <c r="D356" s="847"/>
      <c r="E356" s="696"/>
      <c r="F356" s="847"/>
      <c r="G356" s="696"/>
      <c r="H356" s="847"/>
      <c r="I356" s="696"/>
      <c r="J356" s="847"/>
      <c r="K356" s="696"/>
      <c r="L356" s="847"/>
      <c r="M356" s="696"/>
      <c r="N356" s="696"/>
      <c r="O356" s="847"/>
      <c r="P356" s="696"/>
      <c r="Q356" s="847"/>
      <c r="R356" s="696"/>
      <c r="S356" s="847"/>
      <c r="T356" s="696"/>
      <c r="U356" s="847"/>
      <c r="V356" s="696"/>
      <c r="W356" s="847"/>
      <c r="X356" s="696"/>
      <c r="Y356" s="696"/>
      <c r="Z356" s="713"/>
      <c r="AA356" s="696"/>
      <c r="AB356" s="713"/>
      <c r="AC356" s="696"/>
      <c r="AD356" s="713"/>
      <c r="AE356" s="696"/>
      <c r="AF356" s="713"/>
      <c r="AG356" s="696"/>
      <c r="AH356" s="713"/>
      <c r="AI356" s="696"/>
      <c r="AJ356" s="696"/>
      <c r="AK356" s="713"/>
      <c r="AL356" s="696"/>
      <c r="AM356" s="713"/>
      <c r="AN356" s="696"/>
      <c r="AO356" s="713"/>
      <c r="AP356" s="696"/>
      <c r="AQ356" s="713"/>
      <c r="AR356" s="696"/>
      <c r="AS356" s="713"/>
      <c r="AT356" s="696"/>
      <c r="AU356" s="696"/>
      <c r="AV356" s="713"/>
      <c r="AW356" s="696"/>
      <c r="AX356" s="713"/>
      <c r="AY356" s="696"/>
      <c r="AZ356" s="713"/>
      <c r="BA356" s="696"/>
      <c r="BB356" s="713"/>
      <c r="BC356" s="696"/>
      <c r="BD356" s="713"/>
      <c r="BE356" s="696"/>
    </row>
    <row r="357" spans="1:57" s="44" customFormat="1">
      <c r="A357" s="700"/>
      <c r="B357" s="700"/>
      <c r="C357" s="700"/>
      <c r="D357" s="847"/>
      <c r="E357" s="696"/>
      <c r="F357" s="847"/>
      <c r="G357" s="696"/>
      <c r="H357" s="847"/>
      <c r="I357" s="696"/>
      <c r="J357" s="847"/>
      <c r="K357" s="696"/>
      <c r="L357" s="847"/>
      <c r="M357" s="696"/>
      <c r="N357" s="696"/>
      <c r="O357" s="847"/>
      <c r="P357" s="696"/>
      <c r="Q357" s="847"/>
      <c r="R357" s="696"/>
      <c r="S357" s="847"/>
      <c r="T357" s="696"/>
      <c r="U357" s="847"/>
      <c r="V357" s="696"/>
      <c r="W357" s="847"/>
      <c r="X357" s="696"/>
      <c r="Y357" s="696"/>
      <c r="Z357" s="713"/>
      <c r="AA357" s="696"/>
      <c r="AB357" s="713"/>
      <c r="AC357" s="696"/>
      <c r="AD357" s="713"/>
      <c r="AE357" s="696"/>
      <c r="AF357" s="713"/>
      <c r="AG357" s="696"/>
      <c r="AH357" s="713"/>
      <c r="AI357" s="696"/>
      <c r="AJ357" s="696"/>
      <c r="AK357" s="713"/>
      <c r="AL357" s="696"/>
      <c r="AM357" s="713"/>
      <c r="AN357" s="696"/>
      <c r="AO357" s="713"/>
      <c r="AP357" s="696"/>
      <c r="AQ357" s="713"/>
      <c r="AR357" s="696"/>
      <c r="AS357" s="713"/>
      <c r="AT357" s="696"/>
      <c r="AU357" s="696"/>
      <c r="AV357" s="713"/>
      <c r="AW357" s="696"/>
      <c r="AX357" s="713"/>
      <c r="AY357" s="696"/>
      <c r="AZ357" s="713"/>
      <c r="BA357" s="696"/>
      <c r="BB357" s="713"/>
      <c r="BC357" s="696"/>
      <c r="BD357" s="713"/>
      <c r="BE357" s="696"/>
    </row>
    <row r="358" spans="1:57" s="44" customFormat="1">
      <c r="A358" s="700"/>
      <c r="B358" s="700"/>
      <c r="C358" s="700"/>
      <c r="D358" s="847"/>
      <c r="E358" s="696"/>
      <c r="F358" s="847"/>
      <c r="G358" s="696"/>
      <c r="H358" s="847"/>
      <c r="I358" s="696"/>
      <c r="J358" s="847"/>
      <c r="K358" s="696"/>
      <c r="L358" s="847"/>
      <c r="M358" s="696"/>
      <c r="N358" s="696"/>
      <c r="O358" s="847"/>
      <c r="P358" s="696"/>
      <c r="Q358" s="847"/>
      <c r="R358" s="696"/>
      <c r="S358" s="847"/>
      <c r="T358" s="696"/>
      <c r="U358" s="847"/>
      <c r="V358" s="696"/>
      <c r="W358" s="847"/>
      <c r="X358" s="696"/>
      <c r="Y358" s="696"/>
      <c r="Z358" s="713"/>
      <c r="AA358" s="696"/>
      <c r="AB358" s="713"/>
      <c r="AC358" s="696"/>
      <c r="AD358" s="713"/>
      <c r="AE358" s="696"/>
      <c r="AF358" s="713"/>
      <c r="AG358" s="696"/>
      <c r="AH358" s="713"/>
      <c r="AI358" s="696"/>
      <c r="AJ358" s="696"/>
      <c r="AK358" s="713"/>
      <c r="AL358" s="696"/>
      <c r="AM358" s="713"/>
      <c r="AN358" s="696"/>
      <c r="AO358" s="713"/>
      <c r="AP358" s="696"/>
      <c r="AQ358" s="713"/>
      <c r="AR358" s="696"/>
      <c r="AS358" s="713"/>
      <c r="AT358" s="696"/>
      <c r="AU358" s="696"/>
      <c r="AV358" s="713"/>
      <c r="AW358" s="696"/>
      <c r="AX358" s="713"/>
      <c r="AY358" s="696"/>
      <c r="AZ358" s="713"/>
      <c r="BA358" s="696"/>
      <c r="BB358" s="713"/>
      <c r="BC358" s="696"/>
      <c r="BD358" s="713"/>
      <c r="BE358" s="696"/>
    </row>
    <row r="359" spans="1:57" s="44" customFormat="1">
      <c r="A359" s="700"/>
      <c r="B359" s="700"/>
      <c r="C359" s="700"/>
      <c r="D359" s="847"/>
      <c r="E359" s="696"/>
      <c r="F359" s="847"/>
      <c r="G359" s="696"/>
      <c r="H359" s="847"/>
      <c r="I359" s="696"/>
      <c r="J359" s="847"/>
      <c r="K359" s="696"/>
      <c r="L359" s="847"/>
      <c r="M359" s="696"/>
      <c r="N359" s="696"/>
      <c r="O359" s="847"/>
      <c r="P359" s="696"/>
      <c r="Q359" s="847"/>
      <c r="R359" s="696"/>
      <c r="S359" s="847"/>
      <c r="T359" s="696"/>
      <c r="U359" s="847"/>
      <c r="V359" s="696"/>
      <c r="W359" s="847"/>
      <c r="X359" s="696"/>
      <c r="Y359" s="696"/>
      <c r="Z359" s="713"/>
      <c r="AA359" s="696"/>
      <c r="AB359" s="713"/>
      <c r="AC359" s="696"/>
      <c r="AD359" s="713"/>
      <c r="AE359" s="696"/>
      <c r="AF359" s="713"/>
      <c r="AG359" s="696"/>
      <c r="AH359" s="713"/>
      <c r="AI359" s="696"/>
      <c r="AJ359" s="696"/>
      <c r="AK359" s="713"/>
      <c r="AL359" s="696"/>
      <c r="AM359" s="713"/>
      <c r="AN359" s="696"/>
      <c r="AO359" s="713"/>
      <c r="AP359" s="696"/>
      <c r="AQ359" s="713"/>
      <c r="AR359" s="696"/>
      <c r="AS359" s="713"/>
      <c r="AT359" s="696"/>
      <c r="AU359" s="696"/>
      <c r="AV359" s="713"/>
      <c r="AW359" s="696"/>
      <c r="AX359" s="713"/>
      <c r="AY359" s="696"/>
      <c r="AZ359" s="713"/>
      <c r="BA359" s="696"/>
      <c r="BB359" s="713"/>
      <c r="BC359" s="696"/>
      <c r="BD359" s="713"/>
      <c r="BE359" s="696"/>
    </row>
    <row r="360" spans="1:57" s="44" customFormat="1">
      <c r="A360" s="700"/>
      <c r="B360" s="700"/>
      <c r="C360" s="700"/>
      <c r="D360" s="847"/>
      <c r="E360" s="696"/>
      <c r="F360" s="847"/>
      <c r="G360" s="696"/>
      <c r="H360" s="847"/>
      <c r="I360" s="696"/>
      <c r="J360" s="847"/>
      <c r="K360" s="696"/>
      <c r="L360" s="847"/>
      <c r="M360" s="696"/>
      <c r="N360" s="696"/>
      <c r="O360" s="847"/>
      <c r="P360" s="696"/>
      <c r="Q360" s="847"/>
      <c r="R360" s="696"/>
      <c r="S360" s="847"/>
      <c r="T360" s="696"/>
      <c r="U360" s="847"/>
      <c r="V360" s="696"/>
      <c r="W360" s="847"/>
      <c r="X360" s="696"/>
      <c r="Y360" s="696"/>
      <c r="Z360" s="713"/>
      <c r="AA360" s="696"/>
      <c r="AB360" s="713"/>
      <c r="AC360" s="696"/>
      <c r="AD360" s="713"/>
      <c r="AE360" s="696"/>
      <c r="AF360" s="713"/>
      <c r="AG360" s="696"/>
      <c r="AH360" s="713"/>
      <c r="AI360" s="696"/>
      <c r="AJ360" s="696"/>
      <c r="AK360" s="713"/>
      <c r="AL360" s="696"/>
      <c r="AM360" s="713"/>
      <c r="AN360" s="696"/>
      <c r="AO360" s="713"/>
      <c r="AP360" s="696"/>
      <c r="AQ360" s="713"/>
      <c r="AR360" s="696"/>
      <c r="AS360" s="713"/>
      <c r="AT360" s="696"/>
      <c r="AU360" s="696"/>
      <c r="AV360" s="713"/>
      <c r="AW360" s="696"/>
      <c r="AX360" s="713"/>
      <c r="AY360" s="696"/>
      <c r="AZ360" s="713"/>
      <c r="BA360" s="696"/>
      <c r="BB360" s="713"/>
      <c r="BC360" s="696"/>
      <c r="BD360" s="713"/>
      <c r="BE360" s="696"/>
    </row>
    <row r="361" spans="1:57" s="44" customFormat="1">
      <c r="A361" s="700"/>
      <c r="B361" s="700"/>
      <c r="C361" s="700"/>
      <c r="D361" s="847"/>
      <c r="E361" s="696"/>
      <c r="F361" s="847"/>
      <c r="G361" s="696"/>
      <c r="H361" s="847"/>
      <c r="I361" s="696"/>
      <c r="J361" s="847"/>
      <c r="K361" s="696"/>
      <c r="L361" s="847"/>
      <c r="M361" s="696"/>
      <c r="N361" s="696"/>
      <c r="O361" s="847"/>
      <c r="P361" s="696"/>
      <c r="Q361" s="847"/>
      <c r="R361" s="696"/>
      <c r="S361" s="847"/>
      <c r="T361" s="696"/>
      <c r="U361" s="847"/>
      <c r="V361" s="696"/>
      <c r="W361" s="847"/>
      <c r="X361" s="696"/>
      <c r="Y361" s="696"/>
      <c r="Z361" s="713"/>
      <c r="AA361" s="696"/>
      <c r="AB361" s="713"/>
      <c r="AC361" s="696"/>
      <c r="AD361" s="713"/>
      <c r="AE361" s="696"/>
      <c r="AF361" s="713"/>
      <c r="AG361" s="696"/>
      <c r="AH361" s="713"/>
      <c r="AI361" s="696"/>
      <c r="AJ361" s="696"/>
      <c r="AK361" s="713"/>
      <c r="AL361" s="696"/>
      <c r="AM361" s="713"/>
      <c r="AN361" s="696"/>
      <c r="AO361" s="713"/>
      <c r="AP361" s="696"/>
      <c r="AQ361" s="713"/>
      <c r="AR361" s="696"/>
      <c r="AS361" s="713"/>
      <c r="AT361" s="696"/>
      <c r="AU361" s="696"/>
      <c r="AV361" s="713"/>
      <c r="AW361" s="696"/>
      <c r="AX361" s="713"/>
      <c r="AY361" s="696"/>
      <c r="AZ361" s="713"/>
      <c r="BA361" s="696"/>
      <c r="BB361" s="713"/>
      <c r="BC361" s="696"/>
      <c r="BD361" s="713"/>
      <c r="BE361" s="696"/>
    </row>
    <row r="362" spans="1:57" s="44" customFormat="1">
      <c r="A362" s="700"/>
      <c r="B362" s="700"/>
      <c r="C362" s="700"/>
      <c r="D362" s="847"/>
      <c r="E362" s="696"/>
      <c r="F362" s="847"/>
      <c r="G362" s="696"/>
      <c r="H362" s="847"/>
      <c r="I362" s="696"/>
      <c r="J362" s="847"/>
      <c r="K362" s="696"/>
      <c r="L362" s="847"/>
      <c r="M362" s="696"/>
      <c r="N362" s="696"/>
      <c r="O362" s="847"/>
      <c r="P362" s="696"/>
      <c r="Q362" s="847"/>
      <c r="R362" s="696"/>
      <c r="S362" s="847"/>
      <c r="T362" s="696"/>
      <c r="U362" s="847"/>
      <c r="V362" s="696"/>
      <c r="W362" s="847"/>
      <c r="X362" s="696"/>
      <c r="Y362" s="696"/>
      <c r="Z362" s="713"/>
      <c r="AA362" s="696"/>
      <c r="AB362" s="713"/>
      <c r="AC362" s="696"/>
      <c r="AD362" s="713"/>
      <c r="AE362" s="696"/>
      <c r="AF362" s="713"/>
      <c r="AG362" s="696"/>
      <c r="AH362" s="713"/>
      <c r="AI362" s="696"/>
      <c r="AJ362" s="696"/>
      <c r="AK362" s="713"/>
      <c r="AL362" s="696"/>
      <c r="AM362" s="713"/>
      <c r="AN362" s="696"/>
      <c r="AO362" s="713"/>
      <c r="AP362" s="696"/>
      <c r="AQ362" s="713"/>
      <c r="AR362" s="696"/>
      <c r="AS362" s="713"/>
      <c r="AT362" s="696"/>
      <c r="AU362" s="696"/>
      <c r="AV362" s="713"/>
      <c r="AW362" s="696"/>
      <c r="AX362" s="713"/>
      <c r="AY362" s="696"/>
      <c r="AZ362" s="713"/>
      <c r="BA362" s="696"/>
      <c r="BB362" s="713"/>
      <c r="BC362" s="696"/>
      <c r="BD362" s="713"/>
      <c r="BE362" s="696"/>
    </row>
    <row r="363" spans="1:57" s="44" customFormat="1">
      <c r="A363" s="700"/>
      <c r="B363" s="700"/>
      <c r="C363" s="700"/>
      <c r="D363" s="847"/>
      <c r="E363" s="696"/>
      <c r="F363" s="847"/>
      <c r="G363" s="696"/>
      <c r="H363" s="847"/>
      <c r="I363" s="696"/>
      <c r="J363" s="847"/>
      <c r="K363" s="696"/>
      <c r="L363" s="847"/>
      <c r="M363" s="696"/>
      <c r="N363" s="696"/>
      <c r="O363" s="847"/>
      <c r="P363" s="696"/>
      <c r="Q363" s="847"/>
      <c r="R363" s="696"/>
      <c r="S363" s="847"/>
      <c r="T363" s="696"/>
      <c r="U363" s="847"/>
      <c r="V363" s="696"/>
      <c r="W363" s="847"/>
      <c r="X363" s="696"/>
      <c r="Y363" s="696"/>
      <c r="Z363" s="713"/>
      <c r="AA363" s="696"/>
      <c r="AB363" s="713"/>
      <c r="AC363" s="696"/>
      <c r="AD363" s="713"/>
      <c r="AE363" s="696"/>
      <c r="AF363" s="713"/>
      <c r="AG363" s="696"/>
      <c r="AH363" s="713"/>
      <c r="AI363" s="696"/>
      <c r="AJ363" s="696"/>
      <c r="AK363" s="713"/>
      <c r="AL363" s="696"/>
      <c r="AM363" s="713"/>
      <c r="AN363" s="696"/>
      <c r="AO363" s="713"/>
      <c r="AP363" s="696"/>
      <c r="AQ363" s="713"/>
      <c r="AR363" s="696"/>
      <c r="AS363" s="713"/>
      <c r="AT363" s="696"/>
      <c r="AU363" s="696"/>
      <c r="AV363" s="713"/>
      <c r="AW363" s="696"/>
      <c r="AX363" s="713"/>
      <c r="AY363" s="696"/>
      <c r="AZ363" s="713"/>
      <c r="BA363" s="696"/>
      <c r="BB363" s="713"/>
      <c r="BC363" s="696"/>
      <c r="BD363" s="713"/>
      <c r="BE363" s="696"/>
    </row>
    <row r="364" spans="1:57" s="44" customFormat="1">
      <c r="A364" s="700"/>
      <c r="B364" s="700"/>
      <c r="C364" s="700"/>
      <c r="D364" s="847"/>
      <c r="E364" s="696"/>
      <c r="F364" s="847"/>
      <c r="G364" s="696"/>
      <c r="H364" s="847"/>
      <c r="I364" s="696"/>
      <c r="J364" s="847"/>
      <c r="K364" s="696"/>
      <c r="L364" s="847"/>
      <c r="M364" s="696"/>
      <c r="N364" s="696"/>
      <c r="O364" s="847"/>
      <c r="P364" s="696"/>
      <c r="Q364" s="847"/>
      <c r="R364" s="696"/>
      <c r="S364" s="847"/>
      <c r="T364" s="696"/>
      <c r="U364" s="847"/>
      <c r="V364" s="696"/>
      <c r="W364" s="847"/>
      <c r="X364" s="696"/>
      <c r="Y364" s="696"/>
      <c r="Z364" s="713"/>
      <c r="AA364" s="696"/>
      <c r="AB364" s="713"/>
      <c r="AC364" s="696"/>
      <c r="AD364" s="713"/>
      <c r="AE364" s="696"/>
      <c r="AF364" s="713"/>
      <c r="AG364" s="696"/>
      <c r="AH364" s="713"/>
      <c r="AI364" s="696"/>
      <c r="AJ364" s="696"/>
      <c r="AK364" s="713"/>
      <c r="AL364" s="696"/>
      <c r="AM364" s="713"/>
      <c r="AN364" s="696"/>
      <c r="AO364" s="713"/>
      <c r="AP364" s="696"/>
      <c r="AQ364" s="713"/>
      <c r="AR364" s="696"/>
      <c r="AS364" s="713"/>
      <c r="AT364" s="696"/>
      <c r="AU364" s="696"/>
      <c r="AV364" s="713"/>
      <c r="AW364" s="696"/>
      <c r="AX364" s="713"/>
      <c r="AY364" s="696"/>
      <c r="AZ364" s="713"/>
      <c r="BA364" s="696"/>
      <c r="BB364" s="713"/>
      <c r="BC364" s="696"/>
      <c r="BD364" s="713"/>
      <c r="BE364" s="696"/>
    </row>
    <row r="365" spans="1:57" s="44" customFormat="1">
      <c r="A365" s="700"/>
      <c r="B365" s="700"/>
      <c r="C365" s="700"/>
      <c r="D365" s="847"/>
      <c r="E365" s="696"/>
      <c r="F365" s="847"/>
      <c r="G365" s="696"/>
      <c r="H365" s="847"/>
      <c r="I365" s="696"/>
      <c r="J365" s="847"/>
      <c r="K365" s="696"/>
      <c r="L365" s="847"/>
      <c r="M365" s="696"/>
      <c r="N365" s="696"/>
      <c r="O365" s="847"/>
      <c r="P365" s="696"/>
      <c r="Q365" s="847"/>
      <c r="R365" s="696"/>
      <c r="S365" s="847"/>
      <c r="T365" s="696"/>
      <c r="U365" s="847"/>
      <c r="V365" s="696"/>
      <c r="W365" s="847"/>
      <c r="X365" s="696"/>
      <c r="Y365" s="696"/>
      <c r="Z365" s="713"/>
      <c r="AA365" s="696"/>
      <c r="AB365" s="713"/>
      <c r="AC365" s="696"/>
      <c r="AD365" s="713"/>
      <c r="AE365" s="696"/>
      <c r="AF365" s="713"/>
      <c r="AG365" s="696"/>
      <c r="AH365" s="713"/>
      <c r="AI365" s="696"/>
      <c r="AJ365" s="696"/>
      <c r="AK365" s="713"/>
      <c r="AL365" s="696"/>
      <c r="AM365" s="713"/>
      <c r="AN365" s="696"/>
      <c r="AO365" s="713"/>
      <c r="AP365" s="696"/>
      <c r="AQ365" s="713"/>
      <c r="AR365" s="696"/>
      <c r="AS365" s="713"/>
      <c r="AT365" s="696"/>
      <c r="AU365" s="696"/>
      <c r="AV365" s="713"/>
      <c r="AW365" s="696"/>
      <c r="AX365" s="713"/>
      <c r="AY365" s="696"/>
      <c r="AZ365" s="713"/>
      <c r="BA365" s="696"/>
      <c r="BB365" s="713"/>
      <c r="BC365" s="696"/>
      <c r="BD365" s="713"/>
      <c r="BE365" s="696"/>
    </row>
    <row r="366" spans="1:57" s="44" customFormat="1">
      <c r="A366" s="700"/>
      <c r="B366" s="700"/>
      <c r="C366" s="700"/>
      <c r="D366" s="847"/>
      <c r="E366" s="696"/>
      <c r="F366" s="847"/>
      <c r="G366" s="696"/>
      <c r="H366" s="847"/>
      <c r="I366" s="696"/>
      <c r="J366" s="847"/>
      <c r="K366" s="696"/>
      <c r="L366" s="847"/>
      <c r="M366" s="696"/>
      <c r="N366" s="696"/>
      <c r="O366" s="847"/>
      <c r="P366" s="696"/>
      <c r="Q366" s="847"/>
      <c r="R366" s="696"/>
      <c r="S366" s="847"/>
      <c r="T366" s="696"/>
      <c r="U366" s="847"/>
      <c r="V366" s="696"/>
      <c r="W366" s="847"/>
      <c r="X366" s="696"/>
      <c r="Y366" s="696"/>
      <c r="Z366" s="713"/>
      <c r="AA366" s="696"/>
      <c r="AB366" s="713"/>
      <c r="AC366" s="696"/>
      <c r="AD366" s="713"/>
      <c r="AE366" s="696"/>
      <c r="AF366" s="713"/>
      <c r="AG366" s="696"/>
      <c r="AH366" s="713"/>
      <c r="AI366" s="696"/>
      <c r="AJ366" s="696"/>
      <c r="AK366" s="713"/>
      <c r="AL366" s="696"/>
      <c r="AM366" s="713"/>
      <c r="AN366" s="696"/>
      <c r="AO366" s="713"/>
      <c r="AP366" s="696"/>
      <c r="AQ366" s="713"/>
      <c r="AR366" s="696"/>
      <c r="AS366" s="713"/>
      <c r="AT366" s="696"/>
      <c r="AU366" s="696"/>
      <c r="AV366" s="713"/>
      <c r="AW366" s="696"/>
      <c r="AX366" s="713"/>
      <c r="AY366" s="696"/>
      <c r="AZ366" s="713"/>
      <c r="BA366" s="696"/>
      <c r="BB366" s="713"/>
      <c r="BC366" s="696"/>
      <c r="BD366" s="713"/>
      <c r="BE366" s="696"/>
    </row>
    <row r="367" spans="1:57" s="44" customFormat="1">
      <c r="A367" s="700"/>
      <c r="B367" s="700"/>
      <c r="C367" s="700"/>
      <c r="D367" s="847"/>
      <c r="E367" s="696"/>
      <c r="F367" s="847"/>
      <c r="G367" s="696"/>
      <c r="H367" s="847"/>
      <c r="I367" s="696"/>
      <c r="J367" s="847"/>
      <c r="K367" s="696"/>
      <c r="L367" s="847"/>
      <c r="M367" s="696"/>
      <c r="N367" s="696"/>
      <c r="O367" s="847"/>
      <c r="P367" s="696"/>
      <c r="Q367" s="847"/>
      <c r="R367" s="696"/>
      <c r="S367" s="847"/>
      <c r="T367" s="696"/>
      <c r="U367" s="847"/>
      <c r="V367" s="696"/>
      <c r="W367" s="847"/>
      <c r="X367" s="696"/>
      <c r="Y367" s="696"/>
      <c r="Z367" s="713"/>
      <c r="AA367" s="696"/>
      <c r="AB367" s="713"/>
      <c r="AC367" s="696"/>
      <c r="AD367" s="713"/>
      <c r="AE367" s="696"/>
      <c r="AF367" s="713"/>
      <c r="AG367" s="696"/>
      <c r="AH367" s="713"/>
      <c r="AI367" s="696"/>
      <c r="AJ367" s="696"/>
      <c r="AK367" s="713"/>
      <c r="AL367" s="696"/>
      <c r="AM367" s="713"/>
      <c r="AN367" s="696"/>
      <c r="AO367" s="713"/>
      <c r="AP367" s="696"/>
      <c r="AQ367" s="713"/>
      <c r="AR367" s="696"/>
      <c r="AS367" s="713"/>
      <c r="AT367" s="696"/>
      <c r="AU367" s="696"/>
      <c r="AV367" s="713"/>
      <c r="AW367" s="696"/>
      <c r="AX367" s="713"/>
      <c r="AY367" s="696"/>
      <c r="AZ367" s="713"/>
      <c r="BA367" s="696"/>
      <c r="BB367" s="713"/>
      <c r="BC367" s="696"/>
      <c r="BD367" s="713"/>
      <c r="BE367" s="696"/>
    </row>
    <row r="368" spans="1:57" s="44" customFormat="1">
      <c r="A368" s="700"/>
      <c r="B368" s="700"/>
      <c r="C368" s="700"/>
      <c r="D368" s="847"/>
      <c r="E368" s="696"/>
      <c r="F368" s="847"/>
      <c r="G368" s="696"/>
      <c r="H368" s="847"/>
      <c r="I368" s="696"/>
      <c r="J368" s="847"/>
      <c r="K368" s="696"/>
      <c r="L368" s="847"/>
      <c r="M368" s="696"/>
      <c r="N368" s="696"/>
      <c r="O368" s="847"/>
      <c r="P368" s="696"/>
      <c r="Q368" s="847"/>
      <c r="R368" s="696"/>
      <c r="S368" s="847"/>
      <c r="T368" s="696"/>
      <c r="U368" s="847"/>
      <c r="V368" s="696"/>
      <c r="W368" s="847"/>
      <c r="X368" s="696"/>
      <c r="Y368" s="696"/>
      <c r="Z368" s="713"/>
      <c r="AA368" s="696"/>
      <c r="AB368" s="713"/>
      <c r="AC368" s="696"/>
      <c r="AD368" s="713"/>
      <c r="AE368" s="696"/>
      <c r="AF368" s="713"/>
      <c r="AG368" s="696"/>
      <c r="AH368" s="713"/>
      <c r="AI368" s="696"/>
      <c r="AJ368" s="696"/>
      <c r="AK368" s="713"/>
      <c r="AL368" s="696"/>
      <c r="AM368" s="713"/>
      <c r="AN368" s="696"/>
      <c r="AO368" s="713"/>
      <c r="AP368" s="696"/>
      <c r="AQ368" s="713"/>
      <c r="AR368" s="696"/>
      <c r="AS368" s="713"/>
      <c r="AT368" s="696"/>
      <c r="AU368" s="696"/>
      <c r="AV368" s="713"/>
      <c r="AW368" s="696"/>
      <c r="AX368" s="713"/>
      <c r="AY368" s="696"/>
      <c r="AZ368" s="713"/>
      <c r="BA368" s="696"/>
      <c r="BB368" s="713"/>
      <c r="BC368" s="696"/>
      <c r="BD368" s="713"/>
      <c r="BE368" s="696"/>
    </row>
    <row r="369" spans="1:57" s="44" customFormat="1">
      <c r="A369" s="700"/>
      <c r="B369" s="700"/>
      <c r="C369" s="700"/>
      <c r="D369" s="847"/>
      <c r="E369" s="696"/>
      <c r="F369" s="847"/>
      <c r="G369" s="696"/>
      <c r="H369" s="847"/>
      <c r="I369" s="696"/>
      <c r="J369" s="847"/>
      <c r="K369" s="696"/>
      <c r="L369" s="847"/>
      <c r="M369" s="696"/>
      <c r="N369" s="696"/>
      <c r="O369" s="847"/>
      <c r="P369" s="696"/>
      <c r="Q369" s="847"/>
      <c r="R369" s="696"/>
      <c r="S369" s="847"/>
      <c r="T369" s="696"/>
      <c r="U369" s="847"/>
      <c r="V369" s="696"/>
      <c r="W369" s="847"/>
      <c r="X369" s="696"/>
      <c r="Y369" s="696"/>
      <c r="Z369" s="713"/>
      <c r="AA369" s="696"/>
      <c r="AB369" s="713"/>
      <c r="AC369" s="696"/>
      <c r="AD369" s="713"/>
      <c r="AE369" s="696"/>
      <c r="AF369" s="713"/>
      <c r="AG369" s="696"/>
      <c r="AH369" s="713"/>
      <c r="AI369" s="696"/>
      <c r="AJ369" s="696"/>
      <c r="AK369" s="713"/>
      <c r="AL369" s="696"/>
      <c r="AM369" s="713"/>
      <c r="AN369" s="696"/>
      <c r="AO369" s="713"/>
      <c r="AP369" s="696"/>
      <c r="AQ369" s="713"/>
      <c r="AR369" s="696"/>
      <c r="AS369" s="713"/>
      <c r="AT369" s="696"/>
      <c r="AU369" s="696"/>
      <c r="AV369" s="713"/>
      <c r="AW369" s="696"/>
      <c r="AX369" s="713"/>
      <c r="AY369" s="696"/>
      <c r="AZ369" s="713"/>
      <c r="BA369" s="696"/>
      <c r="BB369" s="713"/>
      <c r="BC369" s="696"/>
      <c r="BD369" s="713"/>
      <c r="BE369" s="696"/>
    </row>
    <row r="370" spans="1:57" s="44" customFormat="1">
      <c r="A370" s="700"/>
      <c r="B370" s="700"/>
      <c r="C370" s="700"/>
      <c r="D370" s="847"/>
      <c r="E370" s="696"/>
      <c r="F370" s="847"/>
      <c r="G370" s="696"/>
      <c r="H370" s="847"/>
      <c r="I370" s="696"/>
      <c r="J370" s="847"/>
      <c r="K370" s="696"/>
      <c r="L370" s="847"/>
      <c r="M370" s="696"/>
      <c r="N370" s="696"/>
      <c r="O370" s="847"/>
      <c r="P370" s="696"/>
      <c r="Q370" s="847"/>
      <c r="R370" s="696"/>
      <c r="S370" s="847"/>
      <c r="T370" s="696"/>
      <c r="U370" s="847"/>
      <c r="V370" s="696"/>
      <c r="W370" s="847"/>
      <c r="X370" s="696"/>
      <c r="Y370" s="696"/>
      <c r="Z370" s="713"/>
      <c r="AA370" s="696"/>
      <c r="AB370" s="713"/>
      <c r="AC370" s="696"/>
      <c r="AD370" s="713"/>
      <c r="AE370" s="696"/>
      <c r="AF370" s="713"/>
      <c r="AG370" s="696"/>
      <c r="AH370" s="713"/>
      <c r="AI370" s="696"/>
      <c r="AJ370" s="696"/>
      <c r="AK370" s="713"/>
      <c r="AL370" s="696"/>
      <c r="AM370" s="713"/>
      <c r="AN370" s="696"/>
      <c r="AO370" s="713"/>
      <c r="AP370" s="696"/>
      <c r="AQ370" s="713"/>
      <c r="AR370" s="696"/>
      <c r="AS370" s="713"/>
      <c r="AT370" s="696"/>
      <c r="AU370" s="696"/>
      <c r="AV370" s="713"/>
      <c r="AW370" s="696"/>
      <c r="AX370" s="713"/>
      <c r="AY370" s="696"/>
      <c r="AZ370" s="713"/>
      <c r="BA370" s="696"/>
      <c r="BB370" s="713"/>
      <c r="BC370" s="696"/>
      <c r="BD370" s="713"/>
      <c r="BE370" s="696"/>
    </row>
    <row r="371" spans="1:57" s="44" customFormat="1">
      <c r="A371" s="700"/>
      <c r="B371" s="700"/>
      <c r="C371" s="700"/>
      <c r="D371" s="847"/>
      <c r="E371" s="696"/>
      <c r="F371" s="847"/>
      <c r="G371" s="696"/>
      <c r="H371" s="847"/>
      <c r="I371" s="696"/>
      <c r="J371" s="847"/>
      <c r="K371" s="696"/>
      <c r="L371" s="847"/>
      <c r="M371" s="696"/>
      <c r="N371" s="696"/>
      <c r="O371" s="847"/>
      <c r="P371" s="696"/>
      <c r="Q371" s="847"/>
      <c r="R371" s="696"/>
      <c r="S371" s="847"/>
      <c r="T371" s="696"/>
      <c r="U371" s="847"/>
      <c r="V371" s="696"/>
      <c r="W371" s="847"/>
      <c r="X371" s="696"/>
      <c r="Y371" s="696"/>
      <c r="Z371" s="713"/>
      <c r="AA371" s="696"/>
      <c r="AB371" s="713"/>
      <c r="AC371" s="696"/>
      <c r="AD371" s="713"/>
      <c r="AE371" s="696"/>
      <c r="AF371" s="713"/>
      <c r="AG371" s="696"/>
      <c r="AH371" s="713"/>
      <c r="AI371" s="696"/>
      <c r="AJ371" s="696"/>
      <c r="AK371" s="713"/>
      <c r="AL371" s="696"/>
      <c r="AM371" s="713"/>
      <c r="AN371" s="696"/>
      <c r="AO371" s="713"/>
      <c r="AP371" s="696"/>
      <c r="AQ371" s="713"/>
      <c r="AR371" s="696"/>
      <c r="AS371" s="713"/>
      <c r="AT371" s="696"/>
      <c r="AU371" s="696"/>
      <c r="AV371" s="713"/>
      <c r="AW371" s="696"/>
      <c r="AX371" s="713"/>
      <c r="AY371" s="696"/>
      <c r="AZ371" s="713"/>
      <c r="BA371" s="696"/>
      <c r="BB371" s="713"/>
      <c r="BC371" s="696"/>
      <c r="BD371" s="713"/>
      <c r="BE371" s="696"/>
    </row>
    <row r="372" spans="1:57" s="44" customFormat="1">
      <c r="A372" s="700"/>
      <c r="B372" s="700"/>
      <c r="C372" s="700"/>
      <c r="D372" s="847"/>
      <c r="E372" s="696"/>
      <c r="F372" s="847"/>
      <c r="G372" s="696"/>
      <c r="H372" s="847"/>
      <c r="I372" s="696"/>
      <c r="J372" s="847"/>
      <c r="K372" s="696"/>
      <c r="L372" s="847"/>
      <c r="M372" s="696"/>
      <c r="N372" s="696"/>
      <c r="O372" s="847"/>
      <c r="P372" s="696"/>
      <c r="Q372" s="847"/>
      <c r="R372" s="696"/>
      <c r="S372" s="847"/>
      <c r="T372" s="696"/>
      <c r="U372" s="847"/>
      <c r="V372" s="696"/>
      <c r="W372" s="847"/>
      <c r="X372" s="696"/>
      <c r="Y372" s="696"/>
      <c r="Z372" s="713"/>
      <c r="AA372" s="696"/>
      <c r="AB372" s="713"/>
      <c r="AC372" s="696"/>
      <c r="AD372" s="713"/>
      <c r="AE372" s="696"/>
      <c r="AF372" s="713"/>
      <c r="AG372" s="696"/>
      <c r="AH372" s="713"/>
      <c r="AI372" s="696"/>
      <c r="AJ372" s="696"/>
      <c r="AK372" s="713"/>
      <c r="AL372" s="696"/>
      <c r="AM372" s="713"/>
      <c r="AN372" s="696"/>
      <c r="AO372" s="713"/>
      <c r="AP372" s="696"/>
      <c r="AQ372" s="713"/>
      <c r="AR372" s="696"/>
      <c r="AS372" s="713"/>
      <c r="AT372" s="696"/>
      <c r="AU372" s="696"/>
      <c r="AV372" s="713"/>
      <c r="AW372" s="696"/>
      <c r="AX372" s="713"/>
      <c r="AY372" s="696"/>
      <c r="AZ372" s="713"/>
      <c r="BA372" s="696"/>
      <c r="BB372" s="713"/>
      <c r="BC372" s="696"/>
      <c r="BD372" s="713"/>
      <c r="BE372" s="696"/>
    </row>
    <row r="373" spans="1:57" s="44" customFormat="1">
      <c r="A373" s="700"/>
      <c r="B373" s="700"/>
      <c r="C373" s="700"/>
      <c r="D373" s="847"/>
      <c r="E373" s="696"/>
      <c r="F373" s="847"/>
      <c r="G373" s="696"/>
      <c r="H373" s="847"/>
      <c r="I373" s="696"/>
      <c r="J373" s="847"/>
      <c r="K373" s="696"/>
      <c r="L373" s="847"/>
      <c r="M373" s="696"/>
      <c r="N373" s="696"/>
      <c r="O373" s="847"/>
      <c r="P373" s="696"/>
      <c r="Q373" s="847"/>
      <c r="R373" s="696"/>
      <c r="S373" s="847"/>
      <c r="T373" s="696"/>
      <c r="U373" s="847"/>
      <c r="V373" s="696"/>
      <c r="W373" s="847"/>
      <c r="X373" s="696"/>
      <c r="Y373" s="696"/>
      <c r="Z373" s="713"/>
      <c r="AA373" s="696"/>
      <c r="AB373" s="713"/>
      <c r="AC373" s="696"/>
      <c r="AD373" s="713"/>
      <c r="AE373" s="696"/>
      <c r="AF373" s="713"/>
      <c r="AG373" s="696"/>
      <c r="AH373" s="713"/>
      <c r="AI373" s="696"/>
      <c r="AJ373" s="696"/>
      <c r="AK373" s="713"/>
      <c r="AL373" s="696"/>
      <c r="AM373" s="713"/>
      <c r="AN373" s="696"/>
      <c r="AO373" s="713"/>
      <c r="AP373" s="696"/>
      <c r="AQ373" s="713"/>
      <c r="AR373" s="696"/>
      <c r="AS373" s="713"/>
      <c r="AT373" s="696"/>
      <c r="AU373" s="696"/>
      <c r="AV373" s="713"/>
      <c r="AW373" s="696"/>
      <c r="AX373" s="713"/>
      <c r="AY373" s="696"/>
      <c r="AZ373" s="713"/>
      <c r="BA373" s="696"/>
      <c r="BB373" s="713"/>
      <c r="BC373" s="696"/>
      <c r="BD373" s="713"/>
      <c r="BE373" s="696"/>
    </row>
    <row r="374" spans="1:57" s="44" customFormat="1">
      <c r="A374" s="700"/>
      <c r="B374" s="700"/>
      <c r="C374" s="700"/>
      <c r="D374" s="847"/>
      <c r="E374" s="696"/>
      <c r="F374" s="847"/>
      <c r="G374" s="696"/>
      <c r="H374" s="847"/>
      <c r="I374" s="696"/>
      <c r="J374" s="847"/>
      <c r="K374" s="696"/>
      <c r="L374" s="847"/>
      <c r="M374" s="696"/>
      <c r="N374" s="696"/>
      <c r="O374" s="847"/>
      <c r="P374" s="696"/>
      <c r="Q374" s="847"/>
      <c r="R374" s="696"/>
      <c r="S374" s="847"/>
      <c r="T374" s="696"/>
      <c r="U374" s="847"/>
      <c r="V374" s="696"/>
      <c r="W374" s="847"/>
      <c r="X374" s="696"/>
      <c r="Y374" s="696"/>
      <c r="Z374" s="713"/>
      <c r="AA374" s="696"/>
      <c r="AB374" s="713"/>
      <c r="AC374" s="696"/>
      <c r="AD374" s="713"/>
      <c r="AE374" s="696"/>
      <c r="AF374" s="713"/>
      <c r="AG374" s="696"/>
      <c r="AH374" s="713"/>
      <c r="AI374" s="696"/>
      <c r="AJ374" s="696"/>
      <c r="AK374" s="713"/>
      <c r="AL374" s="696"/>
      <c r="AM374" s="713"/>
      <c r="AN374" s="696"/>
      <c r="AO374" s="713"/>
      <c r="AP374" s="696"/>
      <c r="AQ374" s="713"/>
      <c r="AR374" s="696"/>
      <c r="AS374" s="713"/>
      <c r="AT374" s="696"/>
      <c r="AU374" s="696"/>
      <c r="AV374" s="713"/>
      <c r="AW374" s="696"/>
      <c r="AX374" s="713"/>
      <c r="AY374" s="696"/>
      <c r="AZ374" s="713"/>
      <c r="BA374" s="696"/>
      <c r="BB374" s="713"/>
      <c r="BC374" s="696"/>
      <c r="BD374" s="713"/>
      <c r="BE374" s="696"/>
    </row>
    <row r="375" spans="1:57" s="44" customFormat="1">
      <c r="A375" s="700"/>
      <c r="B375" s="700"/>
      <c r="C375" s="700"/>
      <c r="D375" s="847"/>
      <c r="E375" s="696"/>
      <c r="F375" s="847"/>
      <c r="G375" s="696"/>
      <c r="H375" s="847"/>
      <c r="I375" s="696"/>
      <c r="J375" s="847"/>
      <c r="K375" s="696"/>
      <c r="L375" s="847"/>
      <c r="M375" s="696"/>
      <c r="N375" s="696"/>
      <c r="O375" s="847"/>
      <c r="P375" s="696"/>
      <c r="Q375" s="847"/>
      <c r="R375" s="696"/>
      <c r="S375" s="847"/>
      <c r="T375" s="696"/>
      <c r="U375" s="847"/>
      <c r="V375" s="696"/>
      <c r="W375" s="847"/>
      <c r="X375" s="696"/>
      <c r="Y375" s="696"/>
      <c r="Z375" s="713"/>
      <c r="AA375" s="696"/>
      <c r="AB375" s="713"/>
      <c r="AC375" s="696"/>
      <c r="AD375" s="713"/>
      <c r="AE375" s="696"/>
      <c r="AF375" s="713"/>
      <c r="AG375" s="696"/>
      <c r="AH375" s="713"/>
      <c r="AI375" s="696"/>
      <c r="AJ375" s="696"/>
      <c r="AK375" s="713"/>
      <c r="AL375" s="696"/>
      <c r="AM375" s="713"/>
      <c r="AN375" s="696"/>
      <c r="AO375" s="713"/>
      <c r="AP375" s="696"/>
      <c r="AQ375" s="713"/>
      <c r="AR375" s="696"/>
      <c r="AS375" s="713"/>
      <c r="AT375" s="696"/>
      <c r="AU375" s="696"/>
      <c r="AV375" s="713"/>
      <c r="AW375" s="696"/>
      <c r="AX375" s="713"/>
      <c r="AY375" s="696"/>
      <c r="AZ375" s="713"/>
      <c r="BA375" s="696"/>
      <c r="BB375" s="713"/>
      <c r="BC375" s="696"/>
      <c r="BD375" s="713"/>
      <c r="BE375" s="696"/>
    </row>
    <row r="376" spans="1:57" s="44" customFormat="1">
      <c r="A376" s="700"/>
      <c r="B376" s="700"/>
      <c r="C376" s="700"/>
      <c r="D376" s="847"/>
      <c r="E376" s="696"/>
      <c r="F376" s="847"/>
      <c r="G376" s="696"/>
      <c r="H376" s="847"/>
      <c r="I376" s="696"/>
      <c r="J376" s="847"/>
      <c r="K376" s="696"/>
      <c r="L376" s="847"/>
      <c r="M376" s="696"/>
      <c r="N376" s="696"/>
      <c r="O376" s="847"/>
      <c r="P376" s="696"/>
      <c r="Q376" s="847"/>
      <c r="R376" s="696"/>
      <c r="S376" s="847"/>
      <c r="T376" s="696"/>
      <c r="U376" s="847"/>
      <c r="V376" s="696"/>
      <c r="W376" s="847"/>
      <c r="X376" s="696"/>
      <c r="Y376" s="696"/>
      <c r="Z376" s="713"/>
      <c r="AA376" s="696"/>
      <c r="AB376" s="713"/>
      <c r="AC376" s="696"/>
      <c r="AD376" s="713"/>
      <c r="AE376" s="696"/>
      <c r="AF376" s="713"/>
      <c r="AG376" s="696"/>
      <c r="AH376" s="713"/>
      <c r="AI376" s="696"/>
      <c r="AJ376" s="696"/>
      <c r="AK376" s="713"/>
      <c r="AL376" s="696"/>
      <c r="AM376" s="713"/>
      <c r="AN376" s="696"/>
      <c r="AO376" s="713"/>
      <c r="AP376" s="696"/>
      <c r="AQ376" s="713"/>
      <c r="AR376" s="696"/>
      <c r="AS376" s="713"/>
      <c r="AT376" s="696"/>
      <c r="AU376" s="696"/>
      <c r="AV376" s="713"/>
      <c r="AW376" s="696"/>
      <c r="AX376" s="713"/>
      <c r="AY376" s="696"/>
      <c r="AZ376" s="713"/>
      <c r="BA376" s="696"/>
      <c r="BB376" s="713"/>
      <c r="BC376" s="696"/>
      <c r="BD376" s="713"/>
      <c r="BE376" s="696"/>
    </row>
    <row r="377" spans="1:57" s="44" customFormat="1">
      <c r="A377" s="700"/>
      <c r="B377" s="700"/>
      <c r="C377" s="700"/>
      <c r="D377" s="847"/>
      <c r="E377" s="696"/>
      <c r="F377" s="847"/>
      <c r="G377" s="696"/>
      <c r="H377" s="847"/>
      <c r="I377" s="696"/>
      <c r="J377" s="847"/>
      <c r="K377" s="696"/>
      <c r="L377" s="847"/>
      <c r="M377" s="696"/>
      <c r="N377" s="696"/>
      <c r="O377" s="847"/>
      <c r="P377" s="696"/>
      <c r="Q377" s="847"/>
      <c r="R377" s="696"/>
      <c r="S377" s="847"/>
      <c r="T377" s="696"/>
      <c r="U377" s="847"/>
      <c r="V377" s="696"/>
      <c r="W377" s="847"/>
      <c r="X377" s="696"/>
      <c r="Y377" s="696"/>
      <c r="Z377" s="713"/>
      <c r="AA377" s="696"/>
      <c r="AB377" s="713"/>
      <c r="AC377" s="696"/>
      <c r="AD377" s="713"/>
      <c r="AE377" s="696"/>
      <c r="AF377" s="713"/>
      <c r="AG377" s="696"/>
      <c r="AH377" s="713"/>
      <c r="AI377" s="696"/>
      <c r="AJ377" s="696"/>
      <c r="AK377" s="713"/>
      <c r="AL377" s="696"/>
      <c r="AM377" s="713"/>
      <c r="AN377" s="696"/>
      <c r="AO377" s="713"/>
      <c r="AP377" s="696"/>
      <c r="AQ377" s="713"/>
      <c r="AR377" s="696"/>
      <c r="AS377" s="713"/>
      <c r="AT377" s="696"/>
      <c r="AU377" s="696"/>
      <c r="AV377" s="713"/>
      <c r="AW377" s="696"/>
      <c r="AX377" s="713"/>
      <c r="AY377" s="696"/>
      <c r="AZ377" s="713"/>
      <c r="BA377" s="696"/>
      <c r="BB377" s="713"/>
      <c r="BC377" s="696"/>
      <c r="BD377" s="713"/>
      <c r="BE377" s="696"/>
    </row>
    <row r="378" spans="1:57" s="44" customFormat="1">
      <c r="A378" s="700"/>
      <c r="B378" s="700"/>
      <c r="C378" s="700"/>
      <c r="D378" s="847"/>
      <c r="E378" s="696"/>
      <c r="F378" s="847"/>
      <c r="G378" s="696"/>
      <c r="H378" s="847"/>
      <c r="I378" s="696"/>
      <c r="J378" s="847"/>
      <c r="K378" s="696"/>
      <c r="L378" s="847"/>
      <c r="M378" s="696"/>
      <c r="N378" s="696"/>
      <c r="O378" s="847"/>
      <c r="P378" s="696"/>
      <c r="Q378" s="847"/>
      <c r="R378" s="696"/>
      <c r="S378" s="847"/>
      <c r="T378" s="696"/>
      <c r="U378" s="847"/>
      <c r="V378" s="696"/>
      <c r="W378" s="847"/>
      <c r="X378" s="696"/>
      <c r="Y378" s="696"/>
      <c r="Z378" s="713"/>
      <c r="AA378" s="696"/>
      <c r="AB378" s="713"/>
      <c r="AC378" s="696"/>
      <c r="AD378" s="713"/>
      <c r="AE378" s="696"/>
      <c r="AF378" s="713"/>
      <c r="AG378" s="696"/>
      <c r="AH378" s="713"/>
      <c r="AI378" s="696"/>
      <c r="AJ378" s="696"/>
      <c r="AK378" s="713"/>
      <c r="AL378" s="696"/>
      <c r="AM378" s="713"/>
      <c r="AN378" s="696"/>
      <c r="AO378" s="713"/>
      <c r="AP378" s="696"/>
      <c r="AQ378" s="713"/>
      <c r="AR378" s="696"/>
      <c r="AS378" s="713"/>
      <c r="AT378" s="696"/>
      <c r="AU378" s="696"/>
      <c r="AV378" s="713"/>
      <c r="AW378" s="696"/>
      <c r="AX378" s="713"/>
      <c r="AY378" s="696"/>
      <c r="AZ378" s="713"/>
      <c r="BA378" s="696"/>
      <c r="BB378" s="713"/>
      <c r="BC378" s="696"/>
      <c r="BD378" s="713"/>
      <c r="BE378" s="696"/>
    </row>
    <row r="379" spans="1:57" s="44" customFormat="1">
      <c r="A379" s="700"/>
      <c r="B379" s="700"/>
      <c r="C379" s="700"/>
      <c r="D379" s="847"/>
      <c r="E379" s="696"/>
      <c r="F379" s="847"/>
      <c r="G379" s="696"/>
      <c r="H379" s="847"/>
      <c r="I379" s="696"/>
      <c r="J379" s="847"/>
      <c r="K379" s="696"/>
      <c r="L379" s="847"/>
      <c r="M379" s="696"/>
      <c r="N379" s="696"/>
      <c r="O379" s="847"/>
      <c r="P379" s="696"/>
      <c r="Q379" s="847"/>
      <c r="R379" s="696"/>
      <c r="S379" s="847"/>
      <c r="T379" s="696"/>
      <c r="U379" s="847"/>
      <c r="V379" s="696"/>
      <c r="W379" s="847"/>
      <c r="X379" s="696"/>
      <c r="Y379" s="696"/>
      <c r="Z379" s="713"/>
      <c r="AA379" s="696"/>
      <c r="AB379" s="713"/>
      <c r="AC379" s="696"/>
      <c r="AD379" s="713"/>
      <c r="AE379" s="696"/>
      <c r="AF379" s="713"/>
      <c r="AG379" s="696"/>
      <c r="AH379" s="713"/>
      <c r="AI379" s="696"/>
      <c r="AJ379" s="696"/>
      <c r="AK379" s="713"/>
      <c r="AL379" s="696"/>
      <c r="AM379" s="713"/>
      <c r="AN379" s="696"/>
      <c r="AO379" s="713"/>
      <c r="AP379" s="696"/>
      <c r="AQ379" s="713"/>
      <c r="AR379" s="696"/>
      <c r="AS379" s="713"/>
      <c r="AT379" s="696"/>
      <c r="AU379" s="696"/>
      <c r="AV379" s="713"/>
      <c r="AW379" s="696"/>
      <c r="AX379" s="713"/>
      <c r="AY379" s="696"/>
      <c r="AZ379" s="713"/>
      <c r="BA379" s="696"/>
      <c r="BB379" s="713"/>
      <c r="BC379" s="696"/>
      <c r="BD379" s="713"/>
      <c r="BE379" s="696"/>
    </row>
    <row r="380" spans="1:57" s="44" customFormat="1">
      <c r="A380" s="700"/>
      <c r="B380" s="700"/>
      <c r="C380" s="700"/>
      <c r="D380" s="847"/>
      <c r="E380" s="696"/>
      <c r="F380" s="847"/>
      <c r="G380" s="696"/>
      <c r="H380" s="847"/>
      <c r="I380" s="696"/>
      <c r="J380" s="847"/>
      <c r="K380" s="696"/>
      <c r="L380" s="847"/>
      <c r="M380" s="696"/>
      <c r="N380" s="696"/>
      <c r="O380" s="847"/>
      <c r="P380" s="696"/>
      <c r="Q380" s="847"/>
      <c r="R380" s="696"/>
      <c r="S380" s="847"/>
      <c r="T380" s="696"/>
      <c r="U380" s="847"/>
      <c r="V380" s="696"/>
      <c r="W380" s="847"/>
      <c r="X380" s="696"/>
      <c r="Y380" s="696"/>
      <c r="Z380" s="713"/>
      <c r="AA380" s="696"/>
      <c r="AB380" s="713"/>
      <c r="AC380" s="696"/>
      <c r="AD380" s="713"/>
      <c r="AE380" s="696"/>
      <c r="AF380" s="713"/>
      <c r="AG380" s="696"/>
      <c r="AH380" s="713"/>
      <c r="AI380" s="696"/>
      <c r="AJ380" s="696"/>
      <c r="AK380" s="713"/>
      <c r="AL380" s="696"/>
      <c r="AM380" s="713"/>
      <c r="AN380" s="696"/>
      <c r="AO380" s="713"/>
      <c r="AP380" s="696"/>
      <c r="AQ380" s="713"/>
      <c r="AR380" s="696"/>
      <c r="AS380" s="713"/>
      <c r="AT380" s="696"/>
      <c r="AU380" s="696"/>
      <c r="AV380" s="713"/>
      <c r="AW380" s="696"/>
      <c r="AX380" s="713"/>
      <c r="AY380" s="696"/>
      <c r="AZ380" s="713"/>
      <c r="BA380" s="696"/>
      <c r="BB380" s="713"/>
      <c r="BC380" s="696"/>
      <c r="BD380" s="713"/>
      <c r="BE380" s="696"/>
    </row>
    <row r="381" spans="1:57" s="44" customFormat="1">
      <c r="A381" s="700"/>
      <c r="B381" s="700"/>
      <c r="C381" s="700"/>
      <c r="D381" s="847"/>
      <c r="E381" s="696"/>
      <c r="F381" s="847"/>
      <c r="G381" s="696"/>
      <c r="H381" s="847"/>
      <c r="I381" s="696"/>
      <c r="J381" s="847"/>
      <c r="K381" s="696"/>
      <c r="L381" s="847"/>
      <c r="M381" s="696"/>
      <c r="N381" s="696"/>
      <c r="O381" s="847"/>
      <c r="P381" s="696"/>
      <c r="Q381" s="847"/>
      <c r="R381" s="696"/>
      <c r="S381" s="847"/>
      <c r="T381" s="696"/>
      <c r="U381" s="847"/>
      <c r="V381" s="696"/>
      <c r="W381" s="847"/>
      <c r="X381" s="696"/>
      <c r="Y381" s="696"/>
      <c r="Z381" s="713"/>
      <c r="AA381" s="696"/>
      <c r="AB381" s="713"/>
      <c r="AC381" s="696"/>
      <c r="AD381" s="713"/>
      <c r="AE381" s="696"/>
      <c r="AF381" s="713"/>
      <c r="AG381" s="696"/>
      <c r="AH381" s="713"/>
      <c r="AI381" s="696"/>
      <c r="AJ381" s="696"/>
      <c r="AK381" s="713"/>
      <c r="AL381" s="696"/>
      <c r="AM381" s="713"/>
      <c r="AN381" s="696"/>
      <c r="AO381" s="713"/>
      <c r="AP381" s="696"/>
      <c r="AQ381" s="713"/>
      <c r="AR381" s="696"/>
      <c r="AS381" s="713"/>
      <c r="AT381" s="696"/>
      <c r="AU381" s="696"/>
      <c r="AV381" s="713"/>
      <c r="AW381" s="696"/>
      <c r="AX381" s="713"/>
      <c r="AY381" s="696"/>
      <c r="AZ381" s="713"/>
      <c r="BA381" s="696"/>
      <c r="BB381" s="713"/>
      <c r="BC381" s="696"/>
      <c r="BD381" s="713"/>
      <c r="BE381" s="696"/>
    </row>
    <row r="382" spans="1:57" s="44" customFormat="1">
      <c r="A382" s="700"/>
      <c r="B382" s="700"/>
      <c r="C382" s="700"/>
      <c r="D382" s="847"/>
      <c r="E382" s="696"/>
      <c r="F382" s="847"/>
      <c r="G382" s="696"/>
      <c r="H382" s="847"/>
      <c r="I382" s="696"/>
      <c r="J382" s="847"/>
      <c r="K382" s="696"/>
      <c r="L382" s="847"/>
      <c r="M382" s="696"/>
      <c r="N382" s="696"/>
      <c r="O382" s="847"/>
      <c r="P382" s="696"/>
      <c r="Q382" s="847"/>
      <c r="R382" s="696"/>
      <c r="S382" s="847"/>
      <c r="T382" s="696"/>
      <c r="U382" s="847"/>
      <c r="V382" s="696"/>
      <c r="W382" s="847"/>
      <c r="X382" s="696"/>
      <c r="Y382" s="696"/>
      <c r="Z382" s="713"/>
      <c r="AA382" s="696"/>
      <c r="AB382" s="713"/>
      <c r="AC382" s="696"/>
      <c r="AD382" s="713"/>
      <c r="AE382" s="696"/>
      <c r="AF382" s="713"/>
      <c r="AG382" s="696"/>
      <c r="AH382" s="713"/>
      <c r="AI382" s="696"/>
      <c r="AJ382" s="696"/>
      <c r="AK382" s="713"/>
      <c r="AL382" s="696"/>
      <c r="AM382" s="713"/>
      <c r="AN382" s="696"/>
      <c r="AO382" s="713"/>
      <c r="AP382" s="696"/>
      <c r="AQ382" s="713"/>
      <c r="AR382" s="696"/>
      <c r="AS382" s="713"/>
      <c r="AT382" s="696"/>
      <c r="AU382" s="696"/>
      <c r="AV382" s="713"/>
      <c r="AW382" s="696"/>
      <c r="AX382" s="713"/>
      <c r="AY382" s="696"/>
      <c r="AZ382" s="713"/>
      <c r="BA382" s="696"/>
      <c r="BB382" s="713"/>
      <c r="BC382" s="696"/>
      <c r="BD382" s="713"/>
      <c r="BE382" s="696"/>
    </row>
    <row r="383" spans="1:57" s="44" customFormat="1">
      <c r="A383" s="700"/>
      <c r="B383" s="700"/>
      <c r="C383" s="700"/>
      <c r="D383" s="847"/>
      <c r="E383" s="696"/>
      <c r="F383" s="847"/>
      <c r="G383" s="696"/>
      <c r="H383" s="847"/>
      <c r="I383" s="696"/>
      <c r="J383" s="847"/>
      <c r="K383" s="696"/>
      <c r="L383" s="847"/>
      <c r="M383" s="696"/>
      <c r="N383" s="696"/>
      <c r="O383" s="847"/>
      <c r="P383" s="696"/>
      <c r="Q383" s="847"/>
      <c r="R383" s="696"/>
      <c r="S383" s="847"/>
      <c r="T383" s="696"/>
      <c r="U383" s="847"/>
      <c r="V383" s="696"/>
      <c r="W383" s="847"/>
      <c r="X383" s="696"/>
      <c r="Y383" s="696"/>
      <c r="Z383" s="713"/>
      <c r="AA383" s="696"/>
      <c r="AB383" s="713"/>
      <c r="AC383" s="696"/>
      <c r="AD383" s="713"/>
      <c r="AE383" s="696"/>
      <c r="AF383" s="713"/>
      <c r="AG383" s="696"/>
      <c r="AH383" s="713"/>
      <c r="AI383" s="696"/>
      <c r="AJ383" s="696"/>
      <c r="AK383" s="713"/>
      <c r="AL383" s="696"/>
      <c r="AM383" s="713"/>
      <c r="AN383" s="696"/>
      <c r="AO383" s="713"/>
      <c r="AP383" s="696"/>
      <c r="AQ383" s="713"/>
      <c r="AR383" s="696"/>
      <c r="AS383" s="713"/>
      <c r="AT383" s="696"/>
      <c r="AU383" s="696"/>
      <c r="AV383" s="713"/>
      <c r="AW383" s="696"/>
      <c r="AX383" s="713"/>
      <c r="AY383" s="696"/>
      <c r="AZ383" s="713"/>
      <c r="BA383" s="696"/>
      <c r="BB383" s="713"/>
      <c r="BC383" s="696"/>
      <c r="BD383" s="713"/>
      <c r="BE383" s="696"/>
    </row>
    <row r="384" spans="1:57" s="44" customFormat="1">
      <c r="A384" s="700"/>
      <c r="B384" s="700"/>
      <c r="C384" s="700"/>
      <c r="D384" s="847"/>
      <c r="E384" s="696"/>
      <c r="F384" s="847"/>
      <c r="G384" s="696"/>
      <c r="H384" s="847"/>
      <c r="I384" s="696"/>
      <c r="J384" s="847"/>
      <c r="K384" s="696"/>
      <c r="L384" s="847"/>
      <c r="M384" s="696"/>
      <c r="N384" s="696"/>
      <c r="O384" s="847"/>
      <c r="P384" s="696"/>
      <c r="Q384" s="847"/>
      <c r="R384" s="696"/>
      <c r="S384" s="847"/>
      <c r="T384" s="696"/>
      <c r="U384" s="847"/>
      <c r="V384" s="696"/>
      <c r="W384" s="847"/>
      <c r="X384" s="696"/>
      <c r="Y384" s="696"/>
      <c r="Z384" s="713"/>
      <c r="AA384" s="696"/>
      <c r="AB384" s="713"/>
      <c r="AC384" s="696"/>
      <c r="AD384" s="713"/>
      <c r="AE384" s="696"/>
      <c r="AF384" s="713"/>
      <c r="AG384" s="696"/>
      <c r="AH384" s="713"/>
      <c r="AI384" s="696"/>
      <c r="AJ384" s="696"/>
      <c r="AK384" s="713"/>
      <c r="AL384" s="696"/>
      <c r="AM384" s="713"/>
      <c r="AN384" s="696"/>
      <c r="AO384" s="713"/>
      <c r="AP384" s="696"/>
      <c r="AQ384" s="713"/>
      <c r="AR384" s="696"/>
      <c r="AS384" s="713"/>
      <c r="AT384" s="696"/>
      <c r="AU384" s="696"/>
      <c r="AV384" s="713"/>
      <c r="AW384" s="696"/>
      <c r="AX384" s="713"/>
      <c r="AY384" s="696"/>
      <c r="AZ384" s="713"/>
      <c r="BA384" s="696"/>
      <c r="BB384" s="713"/>
      <c r="BC384" s="696"/>
      <c r="BD384" s="713"/>
      <c r="BE384" s="696"/>
    </row>
    <row r="385" spans="1:57" s="44" customFormat="1">
      <c r="A385" s="700"/>
      <c r="B385" s="700"/>
      <c r="C385" s="700"/>
      <c r="D385" s="847"/>
      <c r="E385" s="696"/>
      <c r="F385" s="847"/>
      <c r="G385" s="696"/>
      <c r="H385" s="847"/>
      <c r="I385" s="696"/>
      <c r="J385" s="847"/>
      <c r="K385" s="696"/>
      <c r="L385" s="847"/>
      <c r="M385" s="696"/>
      <c r="N385" s="696"/>
      <c r="O385" s="847"/>
      <c r="P385" s="696"/>
      <c r="Q385" s="847"/>
      <c r="R385" s="696"/>
      <c r="S385" s="847"/>
      <c r="T385" s="696"/>
      <c r="U385" s="847"/>
      <c r="V385" s="696"/>
      <c r="W385" s="847"/>
      <c r="X385" s="696"/>
      <c r="Y385" s="696"/>
      <c r="Z385" s="713"/>
      <c r="AA385" s="696"/>
      <c r="AB385" s="713"/>
      <c r="AC385" s="696"/>
      <c r="AD385" s="713"/>
      <c r="AE385" s="696"/>
      <c r="AF385" s="713"/>
      <c r="AG385" s="696"/>
      <c r="AH385" s="713"/>
      <c r="AI385" s="696"/>
      <c r="AJ385" s="696"/>
      <c r="AK385" s="713"/>
      <c r="AL385" s="696"/>
      <c r="AM385" s="713"/>
      <c r="AN385" s="696"/>
      <c r="AO385" s="713"/>
      <c r="AP385" s="696"/>
      <c r="AQ385" s="713"/>
      <c r="AR385" s="696"/>
      <c r="AS385" s="713"/>
      <c r="AT385" s="696"/>
      <c r="AU385" s="696"/>
      <c r="AV385" s="713"/>
      <c r="AW385" s="696"/>
      <c r="AX385" s="713"/>
      <c r="AY385" s="696"/>
      <c r="AZ385" s="713"/>
      <c r="BA385" s="696"/>
      <c r="BB385" s="713"/>
      <c r="BC385" s="696"/>
      <c r="BD385" s="713"/>
      <c r="BE385" s="696"/>
    </row>
    <row r="386" spans="1:57" s="44" customFormat="1">
      <c r="A386" s="700"/>
      <c r="B386" s="700"/>
      <c r="C386" s="700"/>
      <c r="D386" s="847"/>
      <c r="E386" s="696"/>
      <c r="F386" s="847"/>
      <c r="G386" s="696"/>
      <c r="H386" s="847"/>
      <c r="I386" s="696"/>
      <c r="J386" s="847"/>
      <c r="K386" s="696"/>
      <c r="L386" s="847"/>
      <c r="M386" s="696"/>
      <c r="N386" s="696"/>
      <c r="O386" s="847"/>
      <c r="P386" s="696"/>
      <c r="Q386" s="847"/>
      <c r="R386" s="696"/>
      <c r="S386" s="847"/>
      <c r="T386" s="696"/>
      <c r="U386" s="847"/>
      <c r="V386" s="696"/>
      <c r="W386" s="847"/>
      <c r="X386" s="696"/>
      <c r="Y386" s="696"/>
      <c r="Z386" s="713"/>
      <c r="AA386" s="696"/>
      <c r="AB386" s="713"/>
      <c r="AC386" s="696"/>
      <c r="AD386" s="713"/>
      <c r="AE386" s="696"/>
      <c r="AF386" s="713"/>
      <c r="AG386" s="696"/>
      <c r="AH386" s="713"/>
      <c r="AI386" s="696"/>
      <c r="AJ386" s="696"/>
      <c r="AK386" s="713"/>
      <c r="AL386" s="696"/>
      <c r="AM386" s="713"/>
      <c r="AN386" s="696"/>
      <c r="AO386" s="713"/>
      <c r="AP386" s="696"/>
      <c r="AQ386" s="713"/>
      <c r="AR386" s="696"/>
      <c r="AS386" s="713"/>
      <c r="AT386" s="696"/>
      <c r="AU386" s="696"/>
      <c r="AV386" s="713"/>
      <c r="AW386" s="696"/>
      <c r="AX386" s="713"/>
      <c r="AY386" s="696"/>
      <c r="AZ386" s="713"/>
      <c r="BA386" s="696"/>
      <c r="BB386" s="713"/>
      <c r="BC386" s="696"/>
      <c r="BD386" s="713"/>
      <c r="BE386" s="696"/>
    </row>
    <row r="387" spans="1:57" s="44" customFormat="1">
      <c r="A387" s="700"/>
      <c r="B387" s="700"/>
      <c r="C387" s="700"/>
      <c r="D387" s="847"/>
      <c r="E387" s="696"/>
      <c r="F387" s="847"/>
      <c r="G387" s="696"/>
      <c r="H387" s="847"/>
      <c r="I387" s="696"/>
      <c r="J387" s="847"/>
      <c r="K387" s="696"/>
      <c r="L387" s="847"/>
      <c r="M387" s="696"/>
      <c r="N387" s="696"/>
      <c r="O387" s="847"/>
      <c r="P387" s="696"/>
      <c r="Q387" s="847"/>
      <c r="R387" s="696"/>
      <c r="S387" s="847"/>
      <c r="T387" s="696"/>
      <c r="U387" s="847"/>
      <c r="V387" s="696"/>
      <c r="W387" s="847"/>
      <c r="X387" s="696"/>
      <c r="Y387" s="696"/>
      <c r="Z387" s="713"/>
      <c r="AA387" s="696"/>
      <c r="AB387" s="713"/>
      <c r="AC387" s="696"/>
      <c r="AD387" s="713"/>
      <c r="AE387" s="696"/>
      <c r="AF387" s="713"/>
      <c r="AG387" s="696"/>
      <c r="AH387" s="713"/>
      <c r="AI387" s="696"/>
      <c r="AJ387" s="696"/>
      <c r="AK387" s="713"/>
      <c r="AL387" s="696"/>
      <c r="AM387" s="713"/>
      <c r="AN387" s="696"/>
      <c r="AO387" s="713"/>
      <c r="AP387" s="696"/>
      <c r="AQ387" s="713"/>
      <c r="AR387" s="696"/>
      <c r="AS387" s="713"/>
      <c r="AT387" s="696"/>
      <c r="AU387" s="696"/>
      <c r="AV387" s="713"/>
      <c r="AW387" s="696"/>
      <c r="AX387" s="713"/>
      <c r="AY387" s="696"/>
      <c r="AZ387" s="713"/>
      <c r="BA387" s="696"/>
      <c r="BB387" s="713"/>
      <c r="BC387" s="696"/>
      <c r="BD387" s="713"/>
      <c r="BE387" s="696"/>
    </row>
    <row r="388" spans="1:57" s="44" customFormat="1">
      <c r="A388" s="700"/>
      <c r="B388" s="700"/>
      <c r="C388" s="700"/>
      <c r="D388" s="847"/>
      <c r="E388" s="696"/>
      <c r="F388" s="847"/>
      <c r="G388" s="696"/>
      <c r="H388" s="847"/>
      <c r="I388" s="696"/>
      <c r="J388" s="847"/>
      <c r="K388" s="696"/>
      <c r="L388" s="847"/>
      <c r="M388" s="696"/>
      <c r="N388" s="696"/>
      <c r="O388" s="847"/>
      <c r="P388" s="696"/>
      <c r="Q388" s="847"/>
      <c r="R388" s="696"/>
      <c r="S388" s="847"/>
      <c r="T388" s="696"/>
      <c r="U388" s="847"/>
      <c r="V388" s="696"/>
      <c r="W388" s="847"/>
      <c r="X388" s="696"/>
      <c r="Y388" s="696"/>
      <c r="Z388" s="713"/>
      <c r="AA388" s="696"/>
      <c r="AB388" s="713"/>
      <c r="AC388" s="696"/>
      <c r="AD388" s="713"/>
      <c r="AE388" s="696"/>
      <c r="AF388" s="713"/>
      <c r="AG388" s="696"/>
      <c r="AH388" s="713"/>
      <c r="AI388" s="696"/>
      <c r="AJ388" s="696"/>
      <c r="AK388" s="713"/>
      <c r="AL388" s="696"/>
      <c r="AM388" s="713"/>
      <c r="AN388" s="696"/>
      <c r="AO388" s="713"/>
      <c r="AP388" s="696"/>
      <c r="AQ388" s="713"/>
      <c r="AR388" s="696"/>
      <c r="AS388" s="713"/>
      <c r="AT388" s="696"/>
      <c r="AU388" s="696"/>
      <c r="AV388" s="713"/>
      <c r="AW388" s="696"/>
      <c r="AX388" s="713"/>
      <c r="AY388" s="696"/>
      <c r="AZ388" s="713"/>
      <c r="BA388" s="696"/>
      <c r="BB388" s="713"/>
      <c r="BC388" s="696"/>
      <c r="BD388" s="713"/>
      <c r="BE388" s="696"/>
    </row>
    <row r="389" spans="1:57" s="44" customFormat="1">
      <c r="A389" s="700"/>
      <c r="B389" s="700"/>
      <c r="C389" s="700"/>
      <c r="D389" s="847"/>
      <c r="E389" s="696"/>
      <c r="F389" s="847"/>
      <c r="G389" s="696"/>
      <c r="H389" s="847"/>
      <c r="I389" s="696"/>
      <c r="J389" s="847"/>
      <c r="K389" s="696"/>
      <c r="L389" s="847"/>
      <c r="M389" s="696"/>
      <c r="N389" s="696"/>
      <c r="O389" s="847"/>
      <c r="P389" s="696"/>
      <c r="Q389" s="847"/>
      <c r="R389" s="696"/>
      <c r="S389" s="847"/>
      <c r="T389" s="696"/>
      <c r="U389" s="847"/>
      <c r="V389" s="696"/>
      <c r="W389" s="847"/>
      <c r="X389" s="696"/>
      <c r="Y389" s="696"/>
      <c r="Z389" s="713"/>
      <c r="AA389" s="696"/>
      <c r="AB389" s="713"/>
      <c r="AC389" s="696"/>
      <c r="AD389" s="713"/>
      <c r="AE389" s="696"/>
      <c r="AF389" s="713"/>
      <c r="AG389" s="696"/>
      <c r="AH389" s="713"/>
      <c r="AI389" s="696"/>
      <c r="AJ389" s="696"/>
      <c r="AK389" s="713"/>
      <c r="AL389" s="696"/>
      <c r="AM389" s="713"/>
      <c r="AN389" s="696"/>
      <c r="AO389" s="713"/>
      <c r="AP389" s="696"/>
      <c r="AQ389" s="713"/>
      <c r="AR389" s="696"/>
      <c r="AS389" s="713"/>
      <c r="AT389" s="696"/>
      <c r="AU389" s="696"/>
      <c r="AV389" s="713"/>
      <c r="AW389" s="696"/>
      <c r="AX389" s="713"/>
      <c r="AY389" s="696"/>
      <c r="AZ389" s="713"/>
      <c r="BA389" s="696"/>
      <c r="BB389" s="713"/>
      <c r="BC389" s="696"/>
      <c r="BD389" s="713"/>
      <c r="BE389" s="696"/>
    </row>
    <row r="390" spans="1:57" s="44" customFormat="1">
      <c r="A390" s="700"/>
      <c r="B390" s="700"/>
      <c r="C390" s="700"/>
      <c r="D390" s="847"/>
      <c r="E390" s="696"/>
      <c r="F390" s="847"/>
      <c r="G390" s="696"/>
      <c r="H390" s="847"/>
      <c r="I390" s="696"/>
      <c r="J390" s="847"/>
      <c r="K390" s="696"/>
      <c r="L390" s="847"/>
      <c r="M390" s="696"/>
      <c r="N390" s="696"/>
      <c r="O390" s="847"/>
      <c r="P390" s="696"/>
      <c r="Q390" s="847"/>
      <c r="R390" s="696"/>
      <c r="S390" s="847"/>
      <c r="T390" s="696"/>
      <c r="U390" s="847"/>
      <c r="V390" s="696"/>
      <c r="W390" s="847"/>
      <c r="X390" s="696"/>
      <c r="Y390" s="696"/>
      <c r="Z390" s="713"/>
      <c r="AA390" s="696"/>
      <c r="AB390" s="713"/>
      <c r="AC390" s="696"/>
      <c r="AD390" s="713"/>
      <c r="AE390" s="696"/>
      <c r="AF390" s="713"/>
      <c r="AG390" s="696"/>
      <c r="AH390" s="713"/>
      <c r="AI390" s="696"/>
      <c r="AJ390" s="696"/>
      <c r="AK390" s="713"/>
      <c r="AL390" s="696"/>
      <c r="AM390" s="713"/>
      <c r="AN390" s="696"/>
      <c r="AO390" s="713"/>
      <c r="AP390" s="696"/>
      <c r="AQ390" s="713"/>
      <c r="AR390" s="696"/>
      <c r="AS390" s="713"/>
      <c r="AT390" s="696"/>
      <c r="AU390" s="696"/>
      <c r="AV390" s="713"/>
      <c r="AW390" s="696"/>
      <c r="AX390" s="713"/>
      <c r="AY390" s="696"/>
      <c r="AZ390" s="713"/>
      <c r="BA390" s="696"/>
      <c r="BB390" s="713"/>
      <c r="BC390" s="696"/>
      <c r="BD390" s="713"/>
      <c r="BE390" s="696"/>
    </row>
    <row r="391" spans="1:57" s="44" customFormat="1">
      <c r="A391" s="700"/>
      <c r="B391" s="700"/>
      <c r="C391" s="700"/>
      <c r="D391" s="847"/>
      <c r="E391" s="696"/>
      <c r="F391" s="847"/>
      <c r="G391" s="696"/>
      <c r="H391" s="847"/>
      <c r="I391" s="696"/>
      <c r="J391" s="847"/>
      <c r="K391" s="696"/>
      <c r="L391" s="847"/>
      <c r="M391" s="696"/>
      <c r="N391" s="696"/>
      <c r="O391" s="847"/>
      <c r="P391" s="696"/>
      <c r="Q391" s="847"/>
      <c r="R391" s="696"/>
      <c r="S391" s="847"/>
      <c r="T391" s="696"/>
      <c r="U391" s="847"/>
      <c r="V391" s="696"/>
      <c r="W391" s="847"/>
      <c r="X391" s="696"/>
      <c r="Y391" s="696"/>
      <c r="Z391" s="713"/>
      <c r="AA391" s="696"/>
      <c r="AB391" s="713"/>
      <c r="AC391" s="696"/>
      <c r="AD391" s="713"/>
      <c r="AE391" s="696"/>
      <c r="AF391" s="713"/>
      <c r="AG391" s="696"/>
      <c r="AH391" s="713"/>
      <c r="AI391" s="696"/>
      <c r="AJ391" s="696"/>
      <c r="AK391" s="713"/>
      <c r="AL391" s="696"/>
      <c r="AM391" s="713"/>
      <c r="AN391" s="696"/>
      <c r="AO391" s="713"/>
      <c r="AP391" s="696"/>
      <c r="AQ391" s="713"/>
      <c r="AR391" s="696"/>
      <c r="AS391" s="713"/>
      <c r="AT391" s="696"/>
      <c r="AU391" s="696"/>
      <c r="AV391" s="713"/>
      <c r="AW391" s="696"/>
      <c r="AX391" s="713"/>
      <c r="AY391" s="696"/>
      <c r="AZ391" s="713"/>
      <c r="BA391" s="696"/>
      <c r="BB391" s="713"/>
      <c r="BC391" s="696"/>
      <c r="BD391" s="713"/>
      <c r="BE391" s="696"/>
    </row>
    <row r="392" spans="1:57" s="44" customFormat="1">
      <c r="A392" s="700"/>
      <c r="B392" s="700"/>
      <c r="C392" s="700"/>
      <c r="D392" s="847"/>
      <c r="E392" s="696"/>
      <c r="F392" s="847"/>
      <c r="G392" s="696"/>
      <c r="H392" s="847"/>
      <c r="I392" s="696"/>
      <c r="J392" s="847"/>
      <c r="K392" s="696"/>
      <c r="L392" s="847"/>
      <c r="M392" s="696"/>
      <c r="N392" s="696"/>
      <c r="O392" s="847"/>
      <c r="P392" s="696"/>
      <c r="Q392" s="847"/>
      <c r="R392" s="696"/>
      <c r="S392" s="847"/>
      <c r="T392" s="696"/>
      <c r="U392" s="847"/>
      <c r="V392" s="696"/>
      <c r="W392" s="847"/>
      <c r="X392" s="696"/>
      <c r="Y392" s="696"/>
      <c r="Z392" s="713"/>
      <c r="AA392" s="696"/>
      <c r="AB392" s="713"/>
      <c r="AC392" s="696"/>
      <c r="AD392" s="713"/>
      <c r="AE392" s="696"/>
      <c r="AF392" s="713"/>
      <c r="AG392" s="696"/>
      <c r="AH392" s="713"/>
      <c r="AI392" s="696"/>
      <c r="AJ392" s="696"/>
      <c r="AK392" s="713"/>
      <c r="AL392" s="696"/>
      <c r="AM392" s="713"/>
      <c r="AN392" s="696"/>
      <c r="AO392" s="713"/>
      <c r="AP392" s="696"/>
      <c r="AQ392" s="713"/>
      <c r="AR392" s="696"/>
      <c r="AS392" s="713"/>
      <c r="AT392" s="696"/>
      <c r="AU392" s="696"/>
      <c r="AV392" s="713"/>
      <c r="AW392" s="696"/>
      <c r="AX392" s="713"/>
      <c r="AY392" s="696"/>
      <c r="AZ392" s="713"/>
      <c r="BA392" s="696"/>
      <c r="BB392" s="713"/>
      <c r="BC392" s="696"/>
      <c r="BD392" s="713"/>
      <c r="BE392" s="696"/>
    </row>
    <row r="393" spans="1:57" s="44" customFormat="1">
      <c r="A393" s="700"/>
      <c r="B393" s="700"/>
      <c r="C393" s="700"/>
      <c r="D393" s="847"/>
      <c r="E393" s="696"/>
      <c r="F393" s="847"/>
      <c r="G393" s="696"/>
      <c r="H393" s="847"/>
      <c r="I393" s="696"/>
      <c r="J393" s="847"/>
      <c r="K393" s="696"/>
      <c r="L393" s="847"/>
      <c r="M393" s="696"/>
      <c r="N393" s="696"/>
      <c r="O393" s="847"/>
      <c r="P393" s="696"/>
      <c r="Q393" s="847"/>
      <c r="R393" s="696"/>
      <c r="S393" s="847"/>
      <c r="T393" s="696"/>
      <c r="U393" s="847"/>
      <c r="V393" s="696"/>
      <c r="W393" s="847"/>
      <c r="X393" s="696"/>
      <c r="Y393" s="696"/>
      <c r="Z393" s="713"/>
      <c r="AA393" s="696"/>
      <c r="AB393" s="713"/>
      <c r="AC393" s="696"/>
      <c r="AD393" s="713"/>
      <c r="AE393" s="696"/>
      <c r="AF393" s="713"/>
      <c r="AG393" s="696"/>
      <c r="AH393" s="713"/>
      <c r="AI393" s="696"/>
      <c r="AJ393" s="696"/>
      <c r="AK393" s="713"/>
      <c r="AL393" s="696"/>
      <c r="AM393" s="713"/>
      <c r="AN393" s="696"/>
      <c r="AO393" s="713"/>
      <c r="AP393" s="696"/>
      <c r="AQ393" s="713"/>
      <c r="AR393" s="696"/>
      <c r="AS393" s="713"/>
      <c r="AT393" s="696"/>
      <c r="AU393" s="696"/>
      <c r="AV393" s="713"/>
      <c r="AW393" s="696"/>
      <c r="AX393" s="713"/>
      <c r="AY393" s="696"/>
      <c r="AZ393" s="713"/>
      <c r="BA393" s="696"/>
      <c r="BB393" s="713"/>
      <c r="BC393" s="696"/>
      <c r="BD393" s="713"/>
      <c r="BE393" s="696"/>
    </row>
    <row r="394" spans="1:57" s="44" customFormat="1">
      <c r="A394" s="700"/>
      <c r="B394" s="700"/>
      <c r="C394" s="700"/>
      <c r="D394" s="847"/>
      <c r="E394" s="696"/>
      <c r="F394" s="847"/>
      <c r="G394" s="696"/>
      <c r="H394" s="847"/>
      <c r="I394" s="696"/>
      <c r="J394" s="847"/>
      <c r="K394" s="696"/>
      <c r="L394" s="847"/>
      <c r="M394" s="696"/>
      <c r="N394" s="696"/>
      <c r="O394" s="847"/>
      <c r="P394" s="696"/>
      <c r="Q394" s="847"/>
      <c r="R394" s="696"/>
      <c r="S394" s="847"/>
      <c r="T394" s="696"/>
      <c r="U394" s="847"/>
      <c r="V394" s="696"/>
      <c r="W394" s="847"/>
      <c r="X394" s="696"/>
      <c r="Y394" s="696"/>
      <c r="Z394" s="713"/>
      <c r="AA394" s="696"/>
      <c r="AB394" s="713"/>
      <c r="AC394" s="696"/>
      <c r="AD394" s="713"/>
      <c r="AE394" s="696"/>
      <c r="AF394" s="713"/>
      <c r="AG394" s="696"/>
      <c r="AH394" s="713"/>
      <c r="AI394" s="696"/>
      <c r="AJ394" s="696"/>
      <c r="AK394" s="713"/>
      <c r="AL394" s="696"/>
      <c r="AM394" s="713"/>
      <c r="AN394" s="696"/>
      <c r="AO394" s="713"/>
      <c r="AP394" s="696"/>
      <c r="AQ394" s="713"/>
      <c r="AR394" s="696"/>
      <c r="AS394" s="713"/>
      <c r="AT394" s="696"/>
      <c r="AU394" s="696"/>
      <c r="AV394" s="713"/>
      <c r="AW394" s="696"/>
      <c r="AX394" s="713"/>
      <c r="AY394" s="696"/>
      <c r="AZ394" s="713"/>
      <c r="BA394" s="696"/>
      <c r="BB394" s="713"/>
      <c r="BC394" s="696"/>
      <c r="BD394" s="713"/>
      <c r="BE394" s="696"/>
    </row>
    <row r="395" spans="1:57" s="44" customFormat="1">
      <c r="A395" s="700"/>
      <c r="B395" s="700"/>
      <c r="C395" s="700"/>
      <c r="D395" s="847"/>
      <c r="E395" s="696"/>
      <c r="F395" s="847"/>
      <c r="G395" s="696"/>
      <c r="H395" s="847"/>
      <c r="I395" s="696"/>
      <c r="J395" s="847"/>
      <c r="K395" s="696"/>
      <c r="L395" s="847"/>
      <c r="M395" s="696"/>
      <c r="N395" s="696"/>
      <c r="O395" s="847"/>
      <c r="P395" s="696"/>
      <c r="Q395" s="847"/>
      <c r="R395" s="696"/>
      <c r="S395" s="847"/>
      <c r="T395" s="696"/>
      <c r="U395" s="847"/>
      <c r="V395" s="696"/>
      <c r="W395" s="847"/>
      <c r="X395" s="696"/>
      <c r="Y395" s="696"/>
      <c r="Z395" s="713"/>
      <c r="AA395" s="696"/>
      <c r="AB395" s="713"/>
      <c r="AC395" s="696"/>
      <c r="AD395" s="713"/>
      <c r="AE395" s="696"/>
      <c r="AF395" s="713"/>
      <c r="AG395" s="696"/>
      <c r="AH395" s="713"/>
      <c r="AI395" s="696"/>
      <c r="AJ395" s="696"/>
      <c r="AK395" s="713"/>
      <c r="AL395" s="696"/>
      <c r="AM395" s="713"/>
      <c r="AN395" s="696"/>
      <c r="AO395" s="713"/>
      <c r="AP395" s="696"/>
      <c r="AQ395" s="713"/>
      <c r="AR395" s="696"/>
      <c r="AS395" s="713"/>
      <c r="AT395" s="696"/>
      <c r="AU395" s="696"/>
      <c r="AV395" s="713"/>
      <c r="AW395" s="696"/>
      <c r="AX395" s="713"/>
      <c r="AY395" s="696"/>
      <c r="AZ395" s="713"/>
      <c r="BA395" s="696"/>
      <c r="BB395" s="713"/>
      <c r="BC395" s="696"/>
      <c r="BD395" s="713"/>
      <c r="BE395" s="696"/>
    </row>
    <row r="396" spans="1:57" s="44" customFormat="1">
      <c r="A396" s="700"/>
      <c r="B396" s="700"/>
      <c r="C396" s="700"/>
      <c r="D396" s="847"/>
      <c r="E396" s="696"/>
      <c r="F396" s="847"/>
      <c r="G396" s="696"/>
      <c r="H396" s="847"/>
      <c r="I396" s="696"/>
      <c r="J396" s="847"/>
      <c r="K396" s="696"/>
      <c r="L396" s="847"/>
      <c r="M396" s="696"/>
      <c r="N396" s="696"/>
      <c r="O396" s="847"/>
      <c r="P396" s="696"/>
      <c r="Q396" s="847"/>
      <c r="R396" s="696"/>
      <c r="S396" s="847"/>
      <c r="T396" s="696"/>
      <c r="U396" s="847"/>
      <c r="V396" s="696"/>
      <c r="W396" s="847"/>
      <c r="X396" s="696"/>
      <c r="Y396" s="696"/>
      <c r="Z396" s="713"/>
      <c r="AA396" s="696"/>
      <c r="AB396" s="713"/>
      <c r="AC396" s="696"/>
      <c r="AD396" s="713"/>
      <c r="AE396" s="696"/>
      <c r="AF396" s="713"/>
      <c r="AG396" s="696"/>
      <c r="AH396" s="713"/>
      <c r="AI396" s="696"/>
      <c r="AJ396" s="696"/>
      <c r="AK396" s="713"/>
      <c r="AL396" s="696"/>
      <c r="AM396" s="713"/>
      <c r="AN396" s="696"/>
      <c r="AO396" s="713"/>
      <c r="AP396" s="696"/>
      <c r="AQ396" s="713"/>
      <c r="AR396" s="696"/>
      <c r="AS396" s="713"/>
      <c r="AT396" s="696"/>
      <c r="AU396" s="696"/>
      <c r="AV396" s="713"/>
      <c r="AW396" s="696"/>
      <c r="AX396" s="713"/>
      <c r="AY396" s="696"/>
      <c r="AZ396" s="713"/>
      <c r="BA396" s="696"/>
      <c r="BB396" s="713"/>
      <c r="BC396" s="696"/>
      <c r="BD396" s="713"/>
      <c r="BE396" s="696"/>
    </row>
    <row r="397" spans="1:57" s="44" customFormat="1">
      <c r="A397" s="700"/>
      <c r="B397" s="700"/>
      <c r="C397" s="700"/>
      <c r="D397" s="847"/>
      <c r="E397" s="696"/>
      <c r="F397" s="847"/>
      <c r="G397" s="696"/>
      <c r="H397" s="847"/>
      <c r="I397" s="696"/>
      <c r="J397" s="847"/>
      <c r="K397" s="696"/>
      <c r="L397" s="847"/>
      <c r="M397" s="696"/>
      <c r="N397" s="696"/>
      <c r="O397" s="847"/>
      <c r="P397" s="696"/>
      <c r="Q397" s="847"/>
      <c r="R397" s="696"/>
      <c r="S397" s="847"/>
      <c r="T397" s="696"/>
      <c r="U397" s="847"/>
      <c r="V397" s="696"/>
      <c r="W397" s="847"/>
      <c r="X397" s="696"/>
      <c r="Y397" s="696"/>
      <c r="Z397" s="713"/>
      <c r="AA397" s="696"/>
      <c r="AB397" s="713"/>
      <c r="AC397" s="696"/>
      <c r="AD397" s="713"/>
      <c r="AE397" s="696"/>
      <c r="AF397" s="713"/>
      <c r="AG397" s="696"/>
      <c r="AH397" s="713"/>
      <c r="AI397" s="696"/>
      <c r="AJ397" s="696"/>
      <c r="AK397" s="713"/>
      <c r="AL397" s="696"/>
      <c r="AM397" s="713"/>
      <c r="AN397" s="696"/>
      <c r="AO397" s="713"/>
      <c r="AP397" s="696"/>
      <c r="AQ397" s="713"/>
      <c r="AR397" s="696"/>
      <c r="AS397" s="713"/>
      <c r="AT397" s="696"/>
      <c r="AU397" s="696"/>
      <c r="AV397" s="713"/>
      <c r="AW397" s="696"/>
      <c r="AX397" s="713"/>
      <c r="AY397" s="696"/>
      <c r="AZ397" s="713"/>
      <c r="BA397" s="696"/>
      <c r="BB397" s="713"/>
      <c r="BC397" s="696"/>
      <c r="BD397" s="713"/>
      <c r="BE397" s="696"/>
    </row>
    <row r="398" spans="1:57" s="44" customFormat="1">
      <c r="A398" s="700"/>
      <c r="B398" s="700"/>
      <c r="C398" s="700"/>
      <c r="D398" s="847"/>
      <c r="E398" s="696"/>
      <c r="F398" s="847"/>
      <c r="G398" s="696"/>
      <c r="H398" s="847"/>
      <c r="I398" s="696"/>
      <c r="J398" s="847"/>
      <c r="K398" s="696"/>
      <c r="L398" s="847"/>
      <c r="M398" s="696"/>
      <c r="N398" s="696"/>
      <c r="O398" s="847"/>
      <c r="P398" s="696"/>
      <c r="Q398" s="847"/>
      <c r="R398" s="696"/>
      <c r="S398" s="847"/>
      <c r="T398" s="696"/>
      <c r="U398" s="847"/>
      <c r="V398" s="696"/>
      <c r="W398" s="847"/>
      <c r="X398" s="696"/>
      <c r="Y398" s="696"/>
      <c r="Z398" s="713"/>
      <c r="AA398" s="696"/>
      <c r="AB398" s="713"/>
      <c r="AC398" s="696"/>
      <c r="AD398" s="713"/>
      <c r="AE398" s="696"/>
      <c r="AF398" s="713"/>
      <c r="AG398" s="696"/>
      <c r="AH398" s="713"/>
      <c r="AI398" s="696"/>
      <c r="AJ398" s="696"/>
      <c r="AK398" s="713"/>
      <c r="AL398" s="696"/>
      <c r="AM398" s="713"/>
      <c r="AN398" s="696"/>
      <c r="AO398" s="713"/>
      <c r="AP398" s="696"/>
      <c r="AQ398" s="713"/>
      <c r="AR398" s="696"/>
      <c r="AS398" s="713"/>
      <c r="AT398" s="696"/>
      <c r="AU398" s="696"/>
      <c r="AV398" s="713"/>
      <c r="AW398" s="696"/>
      <c r="AX398" s="713"/>
      <c r="AY398" s="696"/>
      <c r="AZ398" s="713"/>
      <c r="BA398" s="696"/>
      <c r="BB398" s="713"/>
      <c r="BC398" s="696"/>
      <c r="BD398" s="713"/>
      <c r="BE398" s="696"/>
    </row>
    <row r="399" spans="1:57" s="44" customFormat="1">
      <c r="A399" s="700"/>
      <c r="B399" s="700"/>
      <c r="C399" s="700"/>
      <c r="D399" s="847"/>
      <c r="E399" s="696"/>
      <c r="F399" s="847"/>
      <c r="G399" s="696"/>
      <c r="H399" s="847"/>
      <c r="I399" s="696"/>
      <c r="J399" s="847"/>
      <c r="K399" s="696"/>
      <c r="L399" s="847"/>
      <c r="M399" s="696"/>
      <c r="N399" s="696"/>
      <c r="O399" s="847"/>
      <c r="P399" s="696"/>
      <c r="Q399" s="847"/>
      <c r="R399" s="696"/>
      <c r="S399" s="847"/>
      <c r="T399" s="696"/>
      <c r="U399" s="847"/>
      <c r="V399" s="696"/>
      <c r="W399" s="847"/>
      <c r="X399" s="696"/>
      <c r="Y399" s="696"/>
      <c r="Z399" s="713"/>
      <c r="AA399" s="696"/>
      <c r="AB399" s="713"/>
      <c r="AC399" s="696"/>
      <c r="AD399" s="713"/>
      <c r="AE399" s="696"/>
      <c r="AF399" s="713"/>
      <c r="AG399" s="696"/>
      <c r="AH399" s="713"/>
      <c r="AI399" s="696"/>
      <c r="AJ399" s="696"/>
      <c r="AK399" s="713"/>
      <c r="AL399" s="696"/>
      <c r="AM399" s="713"/>
      <c r="AN399" s="696"/>
      <c r="AO399" s="713"/>
      <c r="AP399" s="696"/>
      <c r="AQ399" s="713"/>
      <c r="AR399" s="696"/>
      <c r="AS399" s="713"/>
      <c r="AT399" s="696"/>
      <c r="AU399" s="696"/>
      <c r="AV399" s="713"/>
      <c r="AW399" s="696"/>
      <c r="AX399" s="713"/>
      <c r="AY399" s="696"/>
      <c r="AZ399" s="713"/>
      <c r="BA399" s="696"/>
      <c r="BB399" s="713"/>
      <c r="BC399" s="696"/>
      <c r="BD399" s="713"/>
      <c r="BE399" s="696"/>
    </row>
    <row r="400" spans="1:57" s="44" customFormat="1">
      <c r="A400" s="700"/>
      <c r="B400" s="700"/>
      <c r="C400" s="700"/>
      <c r="D400" s="847"/>
      <c r="E400" s="696"/>
      <c r="F400" s="847"/>
      <c r="G400" s="696"/>
      <c r="H400" s="847"/>
      <c r="I400" s="696"/>
      <c r="J400" s="847"/>
      <c r="K400" s="696"/>
      <c r="L400" s="847"/>
      <c r="M400" s="696"/>
      <c r="N400" s="696"/>
      <c r="O400" s="847"/>
      <c r="P400" s="696"/>
      <c r="Q400" s="847"/>
      <c r="R400" s="696"/>
      <c r="S400" s="847"/>
      <c r="T400" s="696"/>
      <c r="U400" s="847"/>
      <c r="V400" s="696"/>
      <c r="W400" s="847"/>
      <c r="X400" s="696"/>
      <c r="Y400" s="696"/>
      <c r="Z400" s="713"/>
      <c r="AA400" s="696"/>
      <c r="AB400" s="713"/>
      <c r="AC400" s="696"/>
      <c r="AD400" s="713"/>
      <c r="AE400" s="696"/>
      <c r="AF400" s="713"/>
      <c r="AG400" s="696"/>
      <c r="AH400" s="713"/>
      <c r="AI400" s="696"/>
      <c r="AJ400" s="696"/>
      <c r="AK400" s="713"/>
      <c r="AL400" s="696"/>
      <c r="AM400" s="713"/>
      <c r="AN400" s="696"/>
      <c r="AO400" s="713"/>
      <c r="AP400" s="696"/>
      <c r="AQ400" s="713"/>
      <c r="AR400" s="696"/>
      <c r="AS400" s="713"/>
      <c r="AT400" s="696"/>
      <c r="AU400" s="696"/>
      <c r="AV400" s="713"/>
      <c r="AW400" s="696"/>
      <c r="AX400" s="713"/>
      <c r="AY400" s="696"/>
      <c r="AZ400" s="713"/>
      <c r="BA400" s="696"/>
      <c r="BB400" s="713"/>
      <c r="BC400" s="696"/>
      <c r="BD400" s="713"/>
      <c r="BE400" s="696"/>
    </row>
    <row r="401" spans="1:57" s="44" customFormat="1">
      <c r="A401" s="700"/>
      <c r="B401" s="700"/>
      <c r="C401" s="700"/>
      <c r="D401" s="847"/>
      <c r="E401" s="696"/>
      <c r="F401" s="847"/>
      <c r="G401" s="696"/>
      <c r="H401" s="847"/>
      <c r="I401" s="696"/>
      <c r="J401" s="847"/>
      <c r="K401" s="696"/>
      <c r="L401" s="847"/>
      <c r="M401" s="696"/>
      <c r="N401" s="696"/>
      <c r="O401" s="847"/>
      <c r="P401" s="696"/>
      <c r="Q401" s="847"/>
      <c r="R401" s="696"/>
      <c r="S401" s="847"/>
      <c r="T401" s="696"/>
      <c r="U401" s="847"/>
      <c r="V401" s="696"/>
      <c r="W401" s="847"/>
      <c r="X401" s="696"/>
      <c r="Y401" s="696"/>
      <c r="Z401" s="713"/>
      <c r="AA401" s="696"/>
      <c r="AB401" s="713"/>
      <c r="AC401" s="696"/>
      <c r="AD401" s="713"/>
      <c r="AE401" s="696"/>
      <c r="AF401" s="713"/>
      <c r="AG401" s="696"/>
      <c r="AH401" s="713"/>
      <c r="AI401" s="696"/>
      <c r="AJ401" s="696"/>
      <c r="AK401" s="713"/>
      <c r="AL401" s="696"/>
      <c r="AM401" s="713"/>
      <c r="AN401" s="696"/>
      <c r="AO401" s="713"/>
      <c r="AP401" s="696"/>
      <c r="AQ401" s="713"/>
      <c r="AR401" s="696"/>
      <c r="AS401" s="713"/>
      <c r="AT401" s="696"/>
      <c r="AU401" s="696"/>
      <c r="AV401" s="713"/>
      <c r="AW401" s="696"/>
      <c r="AX401" s="713"/>
      <c r="AY401" s="696"/>
      <c r="AZ401" s="713"/>
      <c r="BA401" s="696"/>
      <c r="BB401" s="713"/>
      <c r="BC401" s="696"/>
      <c r="BD401" s="713"/>
      <c r="BE401" s="696"/>
    </row>
    <row r="402" spans="1:57" s="44" customFormat="1">
      <c r="A402" s="700"/>
      <c r="B402" s="700"/>
      <c r="C402" s="700"/>
      <c r="D402" s="847"/>
      <c r="E402" s="696"/>
      <c r="F402" s="847"/>
      <c r="G402" s="696"/>
      <c r="H402" s="847"/>
      <c r="I402" s="696"/>
      <c r="J402" s="847"/>
      <c r="K402" s="696"/>
      <c r="L402" s="847"/>
      <c r="M402" s="696"/>
      <c r="N402" s="696"/>
      <c r="O402" s="847"/>
      <c r="P402" s="696"/>
      <c r="Q402" s="847"/>
      <c r="R402" s="696"/>
      <c r="S402" s="847"/>
      <c r="T402" s="696"/>
      <c r="U402" s="847"/>
      <c r="V402" s="696"/>
      <c r="W402" s="847"/>
      <c r="X402" s="696"/>
      <c r="Y402" s="696"/>
      <c r="Z402" s="713"/>
      <c r="AA402" s="696"/>
      <c r="AB402" s="713"/>
      <c r="AC402" s="696"/>
      <c r="AD402" s="713"/>
      <c r="AE402" s="696"/>
      <c r="AF402" s="713"/>
      <c r="AG402" s="696"/>
      <c r="AH402" s="713"/>
      <c r="AI402" s="696"/>
      <c r="AJ402" s="696"/>
      <c r="AK402" s="713"/>
      <c r="AL402" s="696"/>
      <c r="AM402" s="713"/>
      <c r="AN402" s="696"/>
      <c r="AO402" s="713"/>
      <c r="AP402" s="696"/>
      <c r="AQ402" s="713"/>
      <c r="AR402" s="696"/>
      <c r="AS402" s="713"/>
      <c r="AT402" s="696"/>
      <c r="AU402" s="696"/>
      <c r="AV402" s="713"/>
      <c r="AW402" s="696"/>
      <c r="AX402" s="713"/>
      <c r="AY402" s="696"/>
      <c r="AZ402" s="713"/>
      <c r="BA402" s="696"/>
      <c r="BB402" s="713"/>
      <c r="BC402" s="696"/>
      <c r="BD402" s="713"/>
      <c r="BE402" s="696"/>
    </row>
    <row r="403" spans="1:57" s="44" customFormat="1">
      <c r="A403" s="700"/>
      <c r="B403" s="700"/>
      <c r="C403" s="700"/>
      <c r="D403" s="847"/>
      <c r="E403" s="696"/>
      <c r="F403" s="847"/>
      <c r="G403" s="696"/>
      <c r="H403" s="847"/>
      <c r="I403" s="696"/>
      <c r="J403" s="847"/>
      <c r="K403" s="696"/>
      <c r="L403" s="847"/>
      <c r="M403" s="696"/>
      <c r="N403" s="696"/>
      <c r="O403" s="847"/>
      <c r="P403" s="696"/>
      <c r="Q403" s="847"/>
      <c r="R403" s="696"/>
      <c r="S403" s="847"/>
      <c r="T403" s="696"/>
      <c r="U403" s="847"/>
      <c r="V403" s="696"/>
      <c r="W403" s="847"/>
      <c r="X403" s="696"/>
      <c r="Y403" s="696"/>
      <c r="Z403" s="713"/>
      <c r="AA403" s="696"/>
      <c r="AB403" s="713"/>
      <c r="AC403" s="696"/>
      <c r="AD403" s="713"/>
      <c r="AE403" s="696"/>
      <c r="AF403" s="713"/>
      <c r="AG403" s="696"/>
      <c r="AH403" s="713"/>
      <c r="AI403" s="696"/>
      <c r="AJ403" s="696"/>
      <c r="AK403" s="713"/>
      <c r="AL403" s="696"/>
      <c r="AM403" s="713"/>
      <c r="AN403" s="696"/>
      <c r="AO403" s="713"/>
      <c r="AP403" s="696"/>
      <c r="AQ403" s="713"/>
      <c r="AR403" s="696"/>
      <c r="AS403" s="713"/>
      <c r="AT403" s="696"/>
      <c r="AU403" s="696"/>
      <c r="AV403" s="713"/>
      <c r="AW403" s="696"/>
      <c r="AX403" s="713"/>
      <c r="AY403" s="696"/>
      <c r="AZ403" s="713"/>
      <c r="BA403" s="696"/>
      <c r="BB403" s="713"/>
      <c r="BC403" s="696"/>
      <c r="BD403" s="713"/>
      <c r="BE403" s="696"/>
    </row>
    <row r="404" spans="1:57" s="44" customFormat="1">
      <c r="A404" s="700"/>
      <c r="B404" s="700"/>
      <c r="C404" s="700"/>
      <c r="D404" s="847"/>
      <c r="E404" s="696"/>
      <c r="F404" s="847"/>
      <c r="G404" s="696"/>
      <c r="H404" s="847"/>
      <c r="I404" s="696"/>
      <c r="J404" s="847"/>
      <c r="K404" s="696"/>
      <c r="L404" s="847"/>
      <c r="M404" s="696"/>
      <c r="N404" s="696"/>
      <c r="O404" s="847"/>
      <c r="P404" s="696"/>
      <c r="Q404" s="847"/>
      <c r="R404" s="696"/>
      <c r="S404" s="847"/>
      <c r="T404" s="696"/>
      <c r="U404" s="847"/>
      <c r="V404" s="696"/>
      <c r="W404" s="847"/>
      <c r="X404" s="696"/>
      <c r="Y404" s="696"/>
      <c r="Z404" s="713"/>
      <c r="AA404" s="696"/>
      <c r="AB404" s="713"/>
      <c r="AC404" s="696"/>
      <c r="AD404" s="713"/>
      <c r="AE404" s="696"/>
      <c r="AF404" s="713"/>
      <c r="AG404" s="696"/>
      <c r="AH404" s="713"/>
      <c r="AI404" s="696"/>
      <c r="AJ404" s="696"/>
      <c r="AK404" s="713"/>
      <c r="AL404" s="696"/>
      <c r="AM404" s="713"/>
      <c r="AN404" s="696"/>
      <c r="AO404" s="713"/>
      <c r="AP404" s="696"/>
      <c r="AQ404" s="713"/>
      <c r="AR404" s="696"/>
      <c r="AS404" s="713"/>
      <c r="AT404" s="696"/>
      <c r="AU404" s="696"/>
      <c r="AV404" s="713"/>
      <c r="AW404" s="696"/>
      <c r="AX404" s="713"/>
      <c r="AY404" s="696"/>
      <c r="AZ404" s="713"/>
      <c r="BA404" s="696"/>
      <c r="BB404" s="713"/>
      <c r="BC404" s="696"/>
      <c r="BD404" s="713"/>
      <c r="BE404" s="696"/>
    </row>
    <row r="405" spans="1:57" s="44" customFormat="1">
      <c r="A405" s="700"/>
      <c r="B405" s="700"/>
      <c r="C405" s="700"/>
      <c r="D405" s="847"/>
      <c r="E405" s="696"/>
      <c r="F405" s="847"/>
      <c r="G405" s="696"/>
      <c r="H405" s="847"/>
      <c r="I405" s="696"/>
      <c r="J405" s="847"/>
      <c r="K405" s="696"/>
      <c r="L405" s="847"/>
      <c r="M405" s="696"/>
      <c r="N405" s="696"/>
      <c r="O405" s="847"/>
      <c r="P405" s="696"/>
      <c r="Q405" s="847"/>
      <c r="R405" s="696"/>
      <c r="S405" s="847"/>
      <c r="T405" s="696"/>
      <c r="U405" s="847"/>
      <c r="V405" s="696"/>
      <c r="W405" s="847"/>
      <c r="X405" s="696"/>
      <c r="Y405" s="696"/>
      <c r="Z405" s="713"/>
      <c r="AA405" s="696"/>
      <c r="AB405" s="713"/>
      <c r="AC405" s="696"/>
      <c r="AD405" s="713"/>
      <c r="AE405" s="696"/>
      <c r="AF405" s="713"/>
      <c r="AG405" s="696"/>
      <c r="AH405" s="713"/>
      <c r="AI405" s="696"/>
      <c r="AJ405" s="696"/>
      <c r="AK405" s="713"/>
      <c r="AL405" s="696"/>
      <c r="AM405" s="713"/>
      <c r="AN405" s="696"/>
      <c r="AO405" s="713"/>
      <c r="AP405" s="696"/>
      <c r="AQ405" s="713"/>
      <c r="AR405" s="696"/>
      <c r="AS405" s="713"/>
      <c r="AT405" s="696"/>
      <c r="AU405" s="696"/>
      <c r="AV405" s="713"/>
      <c r="AW405" s="696"/>
      <c r="AX405" s="713"/>
      <c r="AY405" s="696"/>
      <c r="AZ405" s="713"/>
      <c r="BA405" s="696"/>
      <c r="BB405" s="713"/>
      <c r="BC405" s="696"/>
      <c r="BD405" s="713"/>
      <c r="BE405" s="696"/>
    </row>
    <row r="406" spans="1:57" s="44" customFormat="1">
      <c r="A406" s="700"/>
      <c r="B406" s="700"/>
      <c r="C406" s="700"/>
      <c r="D406" s="847"/>
      <c r="E406" s="696"/>
      <c r="F406" s="847"/>
      <c r="G406" s="696"/>
      <c r="H406" s="847"/>
      <c r="I406" s="696"/>
      <c r="J406" s="847"/>
      <c r="K406" s="696"/>
      <c r="L406" s="847"/>
      <c r="M406" s="696"/>
      <c r="N406" s="696"/>
      <c r="O406" s="847"/>
      <c r="P406" s="696"/>
      <c r="Q406" s="847"/>
      <c r="R406" s="696"/>
      <c r="S406" s="847"/>
      <c r="T406" s="696"/>
      <c r="U406" s="847"/>
      <c r="V406" s="696"/>
      <c r="W406" s="847"/>
      <c r="X406" s="696"/>
      <c r="Y406" s="696"/>
      <c r="Z406" s="713"/>
      <c r="AA406" s="696"/>
      <c r="AB406" s="713"/>
      <c r="AC406" s="696"/>
      <c r="AD406" s="713"/>
      <c r="AE406" s="696"/>
      <c r="AF406" s="713"/>
      <c r="AG406" s="696"/>
      <c r="AH406" s="713"/>
      <c r="AI406" s="696"/>
      <c r="AJ406" s="696"/>
      <c r="AK406" s="713"/>
      <c r="AL406" s="696"/>
      <c r="AM406" s="713"/>
      <c r="AN406" s="696"/>
      <c r="AO406" s="713"/>
      <c r="AP406" s="696"/>
      <c r="AQ406" s="713"/>
      <c r="AR406" s="696"/>
      <c r="AS406" s="713"/>
      <c r="AT406" s="696"/>
      <c r="AU406" s="696"/>
      <c r="AV406" s="713"/>
      <c r="AW406" s="696"/>
      <c r="AX406" s="713"/>
      <c r="AY406" s="696"/>
      <c r="AZ406" s="713"/>
      <c r="BA406" s="696"/>
      <c r="BB406" s="713"/>
      <c r="BC406" s="696"/>
      <c r="BD406" s="713"/>
      <c r="BE406" s="696"/>
    </row>
    <row r="407" spans="1:57" s="44" customFormat="1">
      <c r="A407" s="700"/>
      <c r="B407" s="700"/>
      <c r="C407" s="700"/>
      <c r="D407" s="847"/>
      <c r="E407" s="696"/>
      <c r="F407" s="847"/>
      <c r="G407" s="696"/>
      <c r="H407" s="847"/>
      <c r="I407" s="696"/>
      <c r="J407" s="847"/>
      <c r="K407" s="696"/>
      <c r="L407" s="847"/>
      <c r="M407" s="696"/>
      <c r="N407" s="696"/>
      <c r="O407" s="847"/>
      <c r="P407" s="696"/>
      <c r="Q407" s="847"/>
      <c r="R407" s="696"/>
      <c r="S407" s="847"/>
      <c r="T407" s="696"/>
      <c r="U407" s="847"/>
      <c r="V407" s="696"/>
      <c r="W407" s="847"/>
      <c r="X407" s="696"/>
      <c r="Y407" s="696"/>
      <c r="Z407" s="713"/>
      <c r="AA407" s="696"/>
      <c r="AB407" s="713"/>
      <c r="AC407" s="696"/>
      <c r="AD407" s="713"/>
      <c r="AE407" s="696"/>
      <c r="AF407" s="713"/>
      <c r="AG407" s="696"/>
      <c r="AH407" s="713"/>
      <c r="AI407" s="696"/>
      <c r="AJ407" s="696"/>
      <c r="AK407" s="713"/>
      <c r="AL407" s="696"/>
      <c r="AM407" s="713"/>
      <c r="AN407" s="696"/>
      <c r="AO407" s="713"/>
      <c r="AP407" s="696"/>
      <c r="AQ407" s="713"/>
      <c r="AR407" s="696"/>
      <c r="AS407" s="713"/>
      <c r="AT407" s="696"/>
      <c r="AU407" s="696"/>
      <c r="AV407" s="713"/>
      <c r="AW407" s="696"/>
      <c r="AX407" s="713"/>
      <c r="AY407" s="696"/>
      <c r="AZ407" s="713"/>
      <c r="BA407" s="696"/>
      <c r="BB407" s="713"/>
      <c r="BC407" s="696"/>
      <c r="BD407" s="713"/>
      <c r="BE407" s="696"/>
    </row>
    <row r="408" spans="1:57" s="44" customFormat="1">
      <c r="A408" s="700"/>
      <c r="B408" s="700"/>
      <c r="C408" s="700"/>
      <c r="D408" s="847"/>
      <c r="E408" s="696"/>
      <c r="F408" s="847"/>
      <c r="G408" s="696"/>
      <c r="H408" s="847"/>
      <c r="I408" s="696"/>
      <c r="J408" s="847"/>
      <c r="K408" s="696"/>
      <c r="L408" s="847"/>
      <c r="M408" s="696"/>
      <c r="N408" s="696"/>
      <c r="O408" s="847"/>
      <c r="P408" s="696"/>
      <c r="Q408" s="847"/>
      <c r="R408" s="696"/>
      <c r="S408" s="847"/>
      <c r="T408" s="696"/>
      <c r="U408" s="847"/>
      <c r="V408" s="696"/>
      <c r="W408" s="847"/>
      <c r="X408" s="696"/>
      <c r="Y408" s="696"/>
      <c r="Z408" s="713"/>
      <c r="AA408" s="696"/>
      <c r="AB408" s="713"/>
      <c r="AC408" s="696"/>
      <c r="AD408" s="713"/>
      <c r="AE408" s="696"/>
      <c r="AF408" s="713"/>
      <c r="AG408" s="696"/>
      <c r="AH408" s="713"/>
      <c r="AI408" s="696"/>
      <c r="AJ408" s="696"/>
      <c r="AK408" s="713"/>
      <c r="AL408" s="696"/>
      <c r="AM408" s="713"/>
      <c r="AN408" s="696"/>
      <c r="AO408" s="713"/>
      <c r="AP408" s="696"/>
      <c r="AQ408" s="713"/>
      <c r="AR408" s="696"/>
      <c r="AS408" s="713"/>
      <c r="AT408" s="696"/>
      <c r="AU408" s="696"/>
      <c r="AV408" s="713"/>
      <c r="AW408" s="696"/>
      <c r="AX408" s="713"/>
      <c r="AY408" s="696"/>
      <c r="AZ408" s="713"/>
      <c r="BA408" s="696"/>
      <c r="BB408" s="713"/>
      <c r="BC408" s="696"/>
      <c r="BD408" s="713"/>
      <c r="BE408" s="696"/>
    </row>
    <row r="409" spans="1:57" s="44" customFormat="1">
      <c r="A409" s="700"/>
      <c r="B409" s="700"/>
      <c r="C409" s="700"/>
      <c r="D409" s="847"/>
      <c r="E409" s="696"/>
      <c r="F409" s="847"/>
      <c r="G409" s="696"/>
      <c r="H409" s="847"/>
      <c r="I409" s="696"/>
      <c r="J409" s="847"/>
      <c r="K409" s="696"/>
      <c r="L409" s="847"/>
      <c r="M409" s="696"/>
      <c r="N409" s="696"/>
      <c r="O409" s="847"/>
      <c r="P409" s="696"/>
      <c r="Q409" s="847"/>
      <c r="R409" s="696"/>
      <c r="S409" s="847"/>
      <c r="T409" s="696"/>
      <c r="U409" s="847"/>
      <c r="V409" s="696"/>
      <c r="W409" s="847"/>
      <c r="X409" s="696"/>
      <c r="Y409" s="696"/>
      <c r="Z409" s="713"/>
      <c r="AA409" s="696"/>
      <c r="AB409" s="713"/>
      <c r="AC409" s="696"/>
      <c r="AD409" s="713"/>
      <c r="AE409" s="696"/>
      <c r="AF409" s="713"/>
      <c r="AG409" s="696"/>
      <c r="AH409" s="713"/>
      <c r="AI409" s="696"/>
      <c r="AJ409" s="696"/>
      <c r="AK409" s="713"/>
      <c r="AL409" s="696"/>
      <c r="AM409" s="713"/>
      <c r="AN409" s="696"/>
      <c r="AO409" s="713"/>
      <c r="AP409" s="696"/>
      <c r="AQ409" s="713"/>
      <c r="AR409" s="696"/>
      <c r="AS409" s="713"/>
      <c r="AT409" s="696"/>
      <c r="AU409" s="696"/>
      <c r="AV409" s="713"/>
      <c r="AW409" s="696"/>
      <c r="AX409" s="713"/>
      <c r="AY409" s="696"/>
      <c r="AZ409" s="713"/>
      <c r="BA409" s="696"/>
      <c r="BB409" s="713"/>
      <c r="BC409" s="696"/>
      <c r="BD409" s="713"/>
      <c r="BE409" s="696"/>
    </row>
    <row r="410" spans="1:57" s="44" customFormat="1">
      <c r="A410" s="700"/>
      <c r="B410" s="700"/>
      <c r="C410" s="700"/>
      <c r="D410" s="847"/>
      <c r="E410" s="696"/>
      <c r="F410" s="847"/>
      <c r="G410" s="696"/>
      <c r="H410" s="847"/>
      <c r="I410" s="696"/>
      <c r="J410" s="847"/>
      <c r="K410" s="696"/>
      <c r="L410" s="847"/>
      <c r="M410" s="696"/>
      <c r="N410" s="696"/>
      <c r="O410" s="847"/>
      <c r="P410" s="696"/>
      <c r="Q410" s="847"/>
      <c r="R410" s="696"/>
      <c r="S410" s="847"/>
      <c r="T410" s="696"/>
      <c r="U410" s="847"/>
      <c r="V410" s="696"/>
      <c r="W410" s="847"/>
      <c r="X410" s="696"/>
      <c r="Y410" s="696"/>
      <c r="Z410" s="713"/>
      <c r="AA410" s="696"/>
      <c r="AB410" s="713"/>
      <c r="AC410" s="696"/>
      <c r="AD410" s="713"/>
      <c r="AE410" s="696"/>
      <c r="AF410" s="713"/>
      <c r="AG410" s="696"/>
      <c r="AH410" s="713"/>
      <c r="AI410" s="696"/>
      <c r="AJ410" s="696"/>
      <c r="AK410" s="713"/>
      <c r="AL410" s="696"/>
      <c r="AM410" s="713"/>
      <c r="AN410" s="696"/>
      <c r="AO410" s="713"/>
      <c r="AP410" s="696"/>
      <c r="AQ410" s="713"/>
      <c r="AR410" s="696"/>
      <c r="AS410" s="713"/>
      <c r="AT410" s="696"/>
      <c r="AU410" s="696"/>
      <c r="AV410" s="713"/>
      <c r="AW410" s="696"/>
      <c r="AX410" s="713"/>
      <c r="AY410" s="696"/>
      <c r="AZ410" s="713"/>
      <c r="BA410" s="696"/>
      <c r="BB410" s="713"/>
      <c r="BC410" s="696"/>
      <c r="BD410" s="713"/>
      <c r="BE410" s="696"/>
    </row>
    <row r="411" spans="1:57" s="44" customFormat="1">
      <c r="A411" s="700"/>
      <c r="B411" s="700"/>
      <c r="C411" s="700"/>
      <c r="D411" s="847"/>
      <c r="E411" s="696"/>
      <c r="F411" s="847"/>
      <c r="G411" s="696"/>
      <c r="H411" s="847"/>
      <c r="I411" s="696"/>
      <c r="J411" s="847"/>
      <c r="K411" s="696"/>
      <c r="L411" s="847"/>
      <c r="M411" s="696"/>
      <c r="N411" s="696"/>
      <c r="O411" s="847"/>
      <c r="P411" s="696"/>
      <c r="Q411" s="847"/>
      <c r="R411" s="696"/>
      <c r="S411" s="847"/>
      <c r="T411" s="696"/>
      <c r="U411" s="847"/>
      <c r="V411" s="696"/>
      <c r="W411" s="847"/>
      <c r="X411" s="696"/>
      <c r="Y411" s="696"/>
      <c r="Z411" s="713"/>
      <c r="AA411" s="696"/>
      <c r="AB411" s="713"/>
      <c r="AC411" s="696"/>
      <c r="AD411" s="713"/>
      <c r="AE411" s="696"/>
      <c r="AF411" s="713"/>
      <c r="AG411" s="696"/>
      <c r="AH411" s="713"/>
      <c r="AI411" s="696"/>
      <c r="AJ411" s="696"/>
      <c r="AK411" s="713"/>
      <c r="AL411" s="696"/>
      <c r="AM411" s="713"/>
      <c r="AN411" s="696"/>
      <c r="AO411" s="713"/>
      <c r="AP411" s="696"/>
      <c r="AQ411" s="713"/>
      <c r="AR411" s="696"/>
      <c r="AS411" s="713"/>
      <c r="AT411" s="696"/>
      <c r="AU411" s="696"/>
      <c r="AV411" s="713"/>
      <c r="AW411" s="696"/>
      <c r="AX411" s="713"/>
      <c r="AY411" s="696"/>
      <c r="AZ411" s="713"/>
      <c r="BA411" s="696"/>
      <c r="BB411" s="713"/>
      <c r="BC411" s="696"/>
      <c r="BD411" s="713"/>
      <c r="BE411" s="696"/>
    </row>
    <row r="412" spans="1:57" s="44" customFormat="1">
      <c r="A412" s="700"/>
      <c r="B412" s="700"/>
      <c r="C412" s="700"/>
      <c r="D412" s="847"/>
      <c r="E412" s="696"/>
      <c r="F412" s="847"/>
      <c r="G412" s="696"/>
      <c r="H412" s="847"/>
      <c r="I412" s="696"/>
      <c r="J412" s="847"/>
      <c r="K412" s="696"/>
      <c r="L412" s="847"/>
      <c r="M412" s="696"/>
      <c r="N412" s="696"/>
      <c r="O412" s="847"/>
      <c r="P412" s="696"/>
      <c r="Q412" s="847"/>
      <c r="R412" s="696"/>
      <c r="S412" s="847"/>
      <c r="T412" s="696"/>
      <c r="U412" s="847"/>
      <c r="V412" s="696"/>
      <c r="W412" s="847"/>
      <c r="X412" s="696"/>
      <c r="Y412" s="696"/>
      <c r="Z412" s="713"/>
      <c r="AA412" s="696"/>
      <c r="AB412" s="713"/>
      <c r="AC412" s="696"/>
      <c r="AD412" s="713"/>
      <c r="AE412" s="696"/>
      <c r="AF412" s="713"/>
      <c r="AG412" s="696"/>
      <c r="AH412" s="713"/>
      <c r="AI412" s="696"/>
      <c r="AJ412" s="696"/>
      <c r="AK412" s="713"/>
      <c r="AL412" s="696"/>
      <c r="AM412" s="713"/>
      <c r="AN412" s="696"/>
      <c r="AO412" s="713"/>
      <c r="AP412" s="696"/>
      <c r="AQ412" s="713"/>
      <c r="AR412" s="696"/>
      <c r="AS412" s="713"/>
      <c r="AT412" s="696"/>
      <c r="AU412" s="696"/>
      <c r="AV412" s="713"/>
      <c r="AW412" s="696"/>
      <c r="AX412" s="713"/>
      <c r="AY412" s="696"/>
      <c r="AZ412" s="713"/>
      <c r="BA412" s="696"/>
      <c r="BB412" s="713"/>
      <c r="BC412" s="696"/>
      <c r="BD412" s="713"/>
      <c r="BE412" s="696"/>
    </row>
    <row r="413" spans="1:57" s="44" customFormat="1">
      <c r="A413" s="700"/>
      <c r="B413" s="700"/>
      <c r="C413" s="700"/>
      <c r="D413" s="847"/>
      <c r="E413" s="696"/>
      <c r="F413" s="847"/>
      <c r="G413" s="696"/>
      <c r="H413" s="847"/>
      <c r="I413" s="696"/>
      <c r="J413" s="847"/>
      <c r="K413" s="696"/>
      <c r="L413" s="847"/>
      <c r="M413" s="696"/>
      <c r="N413" s="696"/>
      <c r="O413" s="847"/>
      <c r="P413" s="696"/>
      <c r="Q413" s="847"/>
      <c r="R413" s="696"/>
      <c r="S413" s="847"/>
      <c r="T413" s="696"/>
      <c r="U413" s="847"/>
      <c r="V413" s="696"/>
      <c r="W413" s="847"/>
      <c r="X413" s="696"/>
      <c r="Y413" s="696"/>
      <c r="Z413" s="713"/>
      <c r="AA413" s="696"/>
      <c r="AB413" s="713"/>
      <c r="AC413" s="696"/>
      <c r="AD413" s="713"/>
      <c r="AE413" s="696"/>
      <c r="AF413" s="713"/>
      <c r="AG413" s="696"/>
      <c r="AH413" s="713"/>
      <c r="AI413" s="696"/>
      <c r="AJ413" s="696"/>
      <c r="AK413" s="713"/>
      <c r="AL413" s="696"/>
      <c r="AM413" s="713"/>
      <c r="AN413" s="696"/>
      <c r="AO413" s="713"/>
      <c r="AP413" s="696"/>
      <c r="AQ413" s="713"/>
      <c r="AR413" s="696"/>
      <c r="AS413" s="713"/>
      <c r="AT413" s="696"/>
      <c r="AU413" s="696"/>
      <c r="AV413" s="713"/>
      <c r="AW413" s="696"/>
      <c r="AX413" s="713"/>
      <c r="AY413" s="696"/>
      <c r="AZ413" s="713"/>
      <c r="BA413" s="696"/>
      <c r="BB413" s="713"/>
      <c r="BC413" s="696"/>
      <c r="BD413" s="713"/>
      <c r="BE413" s="696"/>
    </row>
    <row r="414" spans="1:57" s="44" customFormat="1">
      <c r="A414" s="700"/>
      <c r="B414" s="700"/>
      <c r="C414" s="700"/>
      <c r="D414" s="847"/>
      <c r="E414" s="696"/>
      <c r="F414" s="847"/>
      <c r="G414" s="696"/>
      <c r="H414" s="847"/>
      <c r="I414" s="696"/>
      <c r="J414" s="847"/>
      <c r="K414" s="696"/>
      <c r="L414" s="847"/>
      <c r="M414" s="696"/>
      <c r="N414" s="696"/>
      <c r="O414" s="847"/>
      <c r="P414" s="696"/>
      <c r="Q414" s="847"/>
      <c r="R414" s="696"/>
      <c r="S414" s="847"/>
      <c r="T414" s="696"/>
      <c r="U414" s="847"/>
      <c r="V414" s="696"/>
      <c r="W414" s="847"/>
      <c r="X414" s="696"/>
      <c r="Y414" s="696"/>
      <c r="Z414" s="713"/>
      <c r="AA414" s="696"/>
      <c r="AB414" s="713"/>
      <c r="AC414" s="696"/>
      <c r="AD414" s="713"/>
      <c r="AE414" s="696"/>
      <c r="AF414" s="713"/>
      <c r="AG414" s="696"/>
      <c r="AH414" s="713"/>
      <c r="AI414" s="696"/>
      <c r="AJ414" s="696"/>
      <c r="AK414" s="713"/>
      <c r="AL414" s="696"/>
      <c r="AM414" s="713"/>
      <c r="AN414" s="696"/>
      <c r="AO414" s="713"/>
      <c r="AP414" s="696"/>
      <c r="AQ414" s="713"/>
      <c r="AR414" s="696"/>
      <c r="AS414" s="713"/>
      <c r="AT414" s="696"/>
      <c r="AU414" s="696"/>
      <c r="AV414" s="713"/>
      <c r="AW414" s="696"/>
      <c r="AX414" s="713"/>
      <c r="AY414" s="696"/>
      <c r="AZ414" s="713"/>
      <c r="BA414" s="696"/>
      <c r="BB414" s="713"/>
      <c r="BC414" s="696"/>
      <c r="BD414" s="713"/>
      <c r="BE414" s="696"/>
    </row>
    <row r="415" spans="1:57" s="44" customFormat="1">
      <c r="A415" s="700"/>
      <c r="B415" s="700"/>
      <c r="C415" s="700"/>
      <c r="D415" s="847"/>
      <c r="E415" s="696"/>
      <c r="F415" s="847"/>
      <c r="G415" s="696"/>
      <c r="H415" s="847"/>
      <c r="I415" s="696"/>
      <c r="J415" s="847"/>
      <c r="K415" s="696"/>
      <c r="L415" s="847"/>
      <c r="M415" s="696"/>
      <c r="N415" s="696"/>
      <c r="O415" s="847"/>
      <c r="P415" s="696"/>
      <c r="Q415" s="847"/>
      <c r="R415" s="696"/>
      <c r="S415" s="847"/>
      <c r="T415" s="696"/>
      <c r="U415" s="847"/>
      <c r="V415" s="696"/>
      <c r="W415" s="847"/>
      <c r="X415" s="696"/>
      <c r="Y415" s="696"/>
      <c r="Z415" s="713"/>
      <c r="AA415" s="696"/>
      <c r="AB415" s="713"/>
      <c r="AC415" s="696"/>
      <c r="AD415" s="713"/>
      <c r="AE415" s="696"/>
      <c r="AF415" s="713"/>
      <c r="AG415" s="696"/>
      <c r="AH415" s="713"/>
      <c r="AI415" s="696"/>
      <c r="AJ415" s="696"/>
      <c r="AK415" s="713"/>
      <c r="AL415" s="696"/>
      <c r="AM415" s="713"/>
      <c r="AN415" s="696"/>
      <c r="AO415" s="713"/>
      <c r="AP415" s="696"/>
      <c r="AQ415" s="713"/>
      <c r="AR415" s="696"/>
      <c r="AS415" s="713"/>
      <c r="AT415" s="696"/>
      <c r="AU415" s="696"/>
      <c r="AV415" s="713"/>
      <c r="AW415" s="696"/>
      <c r="AX415" s="713"/>
      <c r="AY415" s="696"/>
      <c r="AZ415" s="713"/>
      <c r="BA415" s="696"/>
      <c r="BB415" s="713"/>
      <c r="BC415" s="696"/>
      <c r="BD415" s="713"/>
      <c r="BE415" s="696"/>
    </row>
    <row r="416" spans="1:57" s="44" customFormat="1">
      <c r="A416" s="700"/>
      <c r="B416" s="700"/>
      <c r="C416" s="700"/>
      <c r="D416" s="847"/>
      <c r="E416" s="696"/>
      <c r="F416" s="847"/>
      <c r="G416" s="696"/>
      <c r="H416" s="847"/>
      <c r="I416" s="696"/>
      <c r="J416" s="847"/>
      <c r="K416" s="696"/>
      <c r="L416" s="847"/>
      <c r="M416" s="696"/>
      <c r="N416" s="696"/>
      <c r="O416" s="847"/>
      <c r="P416" s="696"/>
      <c r="Q416" s="847"/>
      <c r="R416" s="696"/>
      <c r="S416" s="847"/>
      <c r="T416" s="696"/>
      <c r="U416" s="847"/>
      <c r="V416" s="696"/>
      <c r="W416" s="847"/>
      <c r="X416" s="696"/>
      <c r="Y416" s="696"/>
      <c r="Z416" s="713"/>
      <c r="AA416" s="696"/>
      <c r="AB416" s="713"/>
      <c r="AC416" s="696"/>
      <c r="AD416" s="713"/>
      <c r="AE416" s="696"/>
      <c r="AF416" s="713"/>
      <c r="AG416" s="696"/>
      <c r="AH416" s="713"/>
      <c r="AI416" s="696"/>
      <c r="AJ416" s="696"/>
      <c r="AK416" s="713"/>
      <c r="AL416" s="696"/>
      <c r="AM416" s="713"/>
      <c r="AN416" s="696"/>
      <c r="AO416" s="713"/>
      <c r="AP416" s="696"/>
      <c r="AQ416" s="713"/>
      <c r="AR416" s="696"/>
      <c r="AS416" s="713"/>
      <c r="AT416" s="696"/>
      <c r="AU416" s="696"/>
      <c r="AV416" s="713"/>
      <c r="AW416" s="696"/>
      <c r="AX416" s="713"/>
      <c r="AY416" s="696"/>
      <c r="AZ416" s="713"/>
      <c r="BA416" s="696"/>
      <c r="BB416" s="713"/>
      <c r="BC416" s="696"/>
      <c r="BD416" s="713"/>
      <c r="BE416" s="696"/>
    </row>
    <row r="417" spans="1:57" s="44" customFormat="1">
      <c r="A417" s="700"/>
      <c r="B417" s="700"/>
      <c r="C417" s="700"/>
      <c r="D417" s="847"/>
      <c r="E417" s="696"/>
      <c r="F417" s="847"/>
      <c r="G417" s="696"/>
      <c r="H417" s="847"/>
      <c r="I417" s="696"/>
      <c r="J417" s="847"/>
      <c r="K417" s="696"/>
      <c r="L417" s="847"/>
      <c r="M417" s="696"/>
      <c r="N417" s="696"/>
      <c r="O417" s="847"/>
      <c r="P417" s="696"/>
      <c r="Q417" s="847"/>
      <c r="R417" s="696"/>
      <c r="S417" s="847"/>
      <c r="T417" s="696"/>
      <c r="U417" s="847"/>
      <c r="V417" s="696"/>
      <c r="W417" s="847"/>
      <c r="X417" s="696"/>
      <c r="Y417" s="696"/>
      <c r="Z417" s="713"/>
      <c r="AA417" s="696"/>
      <c r="AB417" s="713"/>
      <c r="AC417" s="696"/>
      <c r="AD417" s="713"/>
      <c r="AE417" s="696"/>
      <c r="AF417" s="713"/>
      <c r="AG417" s="696"/>
      <c r="AH417" s="713"/>
      <c r="AI417" s="696"/>
      <c r="AJ417" s="696"/>
      <c r="AK417" s="713"/>
      <c r="AL417" s="696"/>
      <c r="AM417" s="713"/>
      <c r="AN417" s="696"/>
      <c r="AO417" s="713"/>
      <c r="AP417" s="696"/>
      <c r="AQ417" s="713"/>
      <c r="AR417" s="696"/>
      <c r="AS417" s="713"/>
      <c r="AT417" s="696"/>
      <c r="AU417" s="696"/>
      <c r="AV417" s="713"/>
      <c r="AW417" s="696"/>
      <c r="AX417" s="713"/>
      <c r="AY417" s="696"/>
      <c r="AZ417" s="713"/>
      <c r="BA417" s="696"/>
      <c r="BB417" s="713"/>
      <c r="BC417" s="696"/>
      <c r="BD417" s="713"/>
      <c r="BE417" s="696"/>
    </row>
    <row r="418" spans="1:57" s="44" customFormat="1">
      <c r="A418" s="700"/>
      <c r="B418" s="700"/>
      <c r="C418" s="700"/>
      <c r="D418" s="847"/>
      <c r="E418" s="696"/>
      <c r="F418" s="847"/>
      <c r="G418" s="696"/>
      <c r="H418" s="847"/>
      <c r="I418" s="696"/>
      <c r="J418" s="847"/>
      <c r="K418" s="696"/>
      <c r="L418" s="847"/>
      <c r="M418" s="696"/>
      <c r="N418" s="696"/>
      <c r="O418" s="847"/>
      <c r="P418" s="696"/>
      <c r="Q418" s="847"/>
      <c r="R418" s="696"/>
      <c r="S418" s="847"/>
      <c r="T418" s="696"/>
      <c r="U418" s="847"/>
      <c r="V418" s="696"/>
      <c r="W418" s="847"/>
      <c r="X418" s="696"/>
      <c r="Y418" s="696"/>
      <c r="Z418" s="713"/>
      <c r="AA418" s="696"/>
      <c r="AB418" s="713"/>
      <c r="AC418" s="696"/>
      <c r="AD418" s="713"/>
      <c r="AE418" s="696"/>
      <c r="AF418" s="713"/>
      <c r="AG418" s="696"/>
      <c r="AH418" s="713"/>
      <c r="AI418" s="696"/>
      <c r="AJ418" s="696"/>
      <c r="AK418" s="713"/>
      <c r="AL418" s="696"/>
      <c r="AM418" s="713"/>
      <c r="AN418" s="696"/>
      <c r="AO418" s="713"/>
      <c r="AP418" s="696"/>
      <c r="AQ418" s="713"/>
      <c r="AR418" s="696"/>
      <c r="AS418" s="713"/>
      <c r="AT418" s="696"/>
      <c r="AU418" s="696"/>
      <c r="AV418" s="713"/>
      <c r="AW418" s="696"/>
      <c r="AX418" s="713"/>
      <c r="AY418" s="696"/>
      <c r="AZ418" s="713"/>
      <c r="BA418" s="696"/>
      <c r="BB418" s="713"/>
      <c r="BC418" s="696"/>
      <c r="BD418" s="713"/>
      <c r="BE418" s="696"/>
    </row>
    <row r="419" spans="1:57" s="44" customFormat="1">
      <c r="A419" s="700"/>
      <c r="B419" s="700"/>
      <c r="C419" s="700"/>
      <c r="D419" s="847"/>
      <c r="E419" s="696"/>
      <c r="F419" s="847"/>
      <c r="G419" s="696"/>
      <c r="H419" s="847"/>
      <c r="I419" s="696"/>
      <c r="J419" s="847"/>
      <c r="K419" s="696"/>
      <c r="L419" s="847"/>
      <c r="M419" s="696"/>
      <c r="N419" s="696"/>
      <c r="O419" s="847"/>
      <c r="P419" s="696"/>
      <c r="Q419" s="847"/>
      <c r="R419" s="696"/>
      <c r="S419" s="847"/>
      <c r="T419" s="696"/>
      <c r="U419" s="847"/>
      <c r="V419" s="696"/>
      <c r="W419" s="847"/>
      <c r="X419" s="696"/>
      <c r="Y419" s="696"/>
      <c r="Z419" s="713"/>
      <c r="AA419" s="696"/>
      <c r="AB419" s="713"/>
      <c r="AC419" s="696"/>
      <c r="AD419" s="713"/>
      <c r="AE419" s="696"/>
      <c r="AF419" s="713"/>
      <c r="AG419" s="696"/>
      <c r="AH419" s="713"/>
      <c r="AI419" s="696"/>
      <c r="AJ419" s="696"/>
      <c r="AK419" s="713"/>
      <c r="AL419" s="696"/>
      <c r="AM419" s="713"/>
      <c r="AN419" s="696"/>
      <c r="AO419" s="713"/>
      <c r="AP419" s="696"/>
      <c r="AQ419" s="713"/>
      <c r="AR419" s="696"/>
      <c r="AS419" s="713"/>
      <c r="AT419" s="696"/>
      <c r="AU419" s="696"/>
      <c r="AV419" s="713"/>
      <c r="AW419" s="696"/>
      <c r="AX419" s="713"/>
      <c r="AY419" s="696"/>
      <c r="AZ419" s="713"/>
      <c r="BA419" s="696"/>
      <c r="BB419" s="713"/>
      <c r="BC419" s="696"/>
      <c r="BD419" s="713"/>
      <c r="BE419" s="696"/>
    </row>
    <row r="420" spans="1:57" s="44" customFormat="1">
      <c r="A420" s="700"/>
      <c r="B420" s="700"/>
      <c r="C420" s="700"/>
      <c r="D420" s="847"/>
      <c r="E420" s="696"/>
      <c r="F420" s="847"/>
      <c r="G420" s="696"/>
      <c r="H420" s="847"/>
      <c r="I420" s="696"/>
      <c r="J420" s="847"/>
      <c r="K420" s="696"/>
      <c r="L420" s="847"/>
      <c r="M420" s="696"/>
      <c r="N420" s="696"/>
      <c r="O420" s="847"/>
      <c r="P420" s="696"/>
      <c r="Q420" s="847"/>
      <c r="R420" s="696"/>
      <c r="S420" s="847"/>
      <c r="T420" s="696"/>
      <c r="U420" s="847"/>
      <c r="V420" s="696"/>
      <c r="W420" s="847"/>
      <c r="X420" s="696"/>
      <c r="Y420" s="696"/>
      <c r="Z420" s="713"/>
      <c r="AA420" s="696"/>
      <c r="AB420" s="713"/>
      <c r="AC420" s="696"/>
      <c r="AD420" s="713"/>
      <c r="AE420" s="696"/>
      <c r="AF420" s="713"/>
      <c r="AG420" s="696"/>
      <c r="AH420" s="713"/>
      <c r="AI420" s="696"/>
      <c r="AJ420" s="696"/>
      <c r="AK420" s="713"/>
      <c r="AL420" s="696"/>
      <c r="AM420" s="713"/>
      <c r="AN420" s="696"/>
      <c r="AO420" s="713"/>
      <c r="AP420" s="696"/>
      <c r="AQ420" s="713"/>
      <c r="AR420" s="696"/>
      <c r="AS420" s="713"/>
      <c r="AT420" s="696"/>
      <c r="AU420" s="696"/>
      <c r="AV420" s="713"/>
      <c r="AW420" s="696"/>
      <c r="AX420" s="713"/>
      <c r="AY420" s="696"/>
      <c r="AZ420" s="713"/>
      <c r="BA420" s="696"/>
      <c r="BB420" s="713"/>
      <c r="BC420" s="696"/>
      <c r="BD420" s="713"/>
      <c r="BE420" s="696"/>
    </row>
    <row r="421" spans="1:57" s="44" customFormat="1">
      <c r="A421" s="700"/>
      <c r="B421" s="700"/>
      <c r="C421" s="700"/>
      <c r="D421" s="847"/>
      <c r="E421" s="696"/>
      <c r="F421" s="847"/>
      <c r="G421" s="696"/>
      <c r="H421" s="847"/>
      <c r="I421" s="696"/>
      <c r="J421" s="847"/>
      <c r="K421" s="696"/>
      <c r="L421" s="847"/>
      <c r="M421" s="696"/>
      <c r="N421" s="696"/>
      <c r="O421" s="847"/>
      <c r="P421" s="696"/>
      <c r="Q421" s="847"/>
      <c r="R421" s="696"/>
      <c r="S421" s="847"/>
      <c r="T421" s="696"/>
      <c r="U421" s="847"/>
      <c r="V421" s="696"/>
      <c r="W421" s="847"/>
      <c r="X421" s="696"/>
      <c r="Y421" s="696"/>
      <c r="Z421" s="713"/>
      <c r="AA421" s="696"/>
      <c r="AB421" s="713"/>
      <c r="AC421" s="696"/>
      <c r="AD421" s="713"/>
      <c r="AE421" s="696"/>
      <c r="AF421" s="713"/>
      <c r="AG421" s="696"/>
      <c r="AH421" s="713"/>
      <c r="AI421" s="696"/>
      <c r="AJ421" s="696"/>
      <c r="AK421" s="713"/>
      <c r="AL421" s="696"/>
      <c r="AM421" s="713"/>
      <c r="AN421" s="696"/>
      <c r="AO421" s="713"/>
      <c r="AP421" s="696"/>
      <c r="AQ421" s="713"/>
      <c r="AR421" s="696"/>
      <c r="AS421" s="713"/>
      <c r="AT421" s="696"/>
      <c r="AU421" s="696"/>
      <c r="AV421" s="713"/>
      <c r="AW421" s="696"/>
      <c r="AX421" s="713"/>
      <c r="AY421" s="696"/>
      <c r="AZ421" s="713"/>
      <c r="BA421" s="696"/>
      <c r="BB421" s="713"/>
      <c r="BC421" s="696"/>
      <c r="BD421" s="713"/>
      <c r="BE421" s="696"/>
    </row>
    <row r="422" spans="1:57" s="44" customFormat="1">
      <c r="D422" s="847"/>
      <c r="E422" s="696"/>
      <c r="F422" s="847"/>
      <c r="G422" s="696"/>
      <c r="H422" s="847"/>
      <c r="I422" s="696"/>
      <c r="J422" s="847"/>
      <c r="K422" s="696"/>
      <c r="L422" s="847"/>
      <c r="M422" s="696"/>
      <c r="N422" s="696"/>
      <c r="O422" s="847"/>
      <c r="P422" s="696"/>
      <c r="Q422" s="847"/>
      <c r="R422" s="696"/>
      <c r="S422" s="847"/>
      <c r="T422" s="696"/>
      <c r="U422" s="847"/>
      <c r="V422" s="696"/>
      <c r="W422" s="847"/>
      <c r="X422" s="696"/>
      <c r="Y422" s="696"/>
      <c r="Z422" s="713"/>
      <c r="AA422" s="696"/>
      <c r="AB422" s="713"/>
      <c r="AC422" s="696"/>
      <c r="AD422" s="713"/>
      <c r="AE422" s="696"/>
      <c r="AF422" s="713"/>
      <c r="AG422" s="696"/>
      <c r="AH422" s="713"/>
      <c r="AI422" s="696"/>
      <c r="AJ422" s="696"/>
      <c r="AK422" s="713"/>
      <c r="AL422" s="696"/>
      <c r="AM422" s="713"/>
      <c r="AN422" s="696"/>
      <c r="AO422" s="713"/>
      <c r="AP422" s="696"/>
      <c r="AQ422" s="713"/>
      <c r="AR422" s="696"/>
      <c r="AS422" s="713"/>
      <c r="AT422" s="696"/>
      <c r="AU422" s="696"/>
      <c r="AV422" s="713"/>
      <c r="AW422" s="696"/>
      <c r="AX422" s="713"/>
      <c r="AY422" s="696"/>
      <c r="AZ422" s="713"/>
      <c r="BA422" s="696"/>
      <c r="BB422" s="713"/>
      <c r="BC422" s="696"/>
      <c r="BD422" s="713"/>
      <c r="BE422" s="696"/>
    </row>
    <row r="423" spans="1:57" s="44" customFormat="1">
      <c r="D423" s="847"/>
      <c r="E423" s="696"/>
      <c r="F423" s="847"/>
      <c r="G423" s="696"/>
      <c r="H423" s="847"/>
      <c r="I423" s="696"/>
      <c r="J423" s="847"/>
      <c r="K423" s="696"/>
      <c r="L423" s="847"/>
      <c r="M423" s="696"/>
      <c r="N423" s="696"/>
      <c r="O423" s="847"/>
      <c r="P423" s="696"/>
      <c r="Q423" s="847"/>
      <c r="R423" s="696"/>
      <c r="S423" s="847"/>
      <c r="T423" s="696"/>
      <c r="U423" s="847"/>
      <c r="V423" s="696"/>
      <c r="W423" s="847"/>
      <c r="X423" s="696"/>
      <c r="Y423" s="696"/>
      <c r="Z423" s="713"/>
      <c r="AA423" s="696"/>
      <c r="AB423" s="713"/>
      <c r="AC423" s="696"/>
      <c r="AD423" s="713"/>
      <c r="AE423" s="696"/>
      <c r="AF423" s="713"/>
      <c r="AG423" s="696"/>
      <c r="AH423" s="713"/>
      <c r="AI423" s="696"/>
      <c r="AJ423" s="696"/>
      <c r="AK423" s="713"/>
      <c r="AL423" s="696"/>
      <c r="AM423" s="713"/>
      <c r="AN423" s="696"/>
      <c r="AO423" s="713"/>
      <c r="AP423" s="696"/>
      <c r="AQ423" s="713"/>
      <c r="AR423" s="696"/>
      <c r="AS423" s="713"/>
      <c r="AT423" s="696"/>
      <c r="AU423" s="696"/>
      <c r="AV423" s="713"/>
      <c r="AW423" s="696"/>
      <c r="AX423" s="713"/>
      <c r="AY423" s="696"/>
      <c r="AZ423" s="713"/>
      <c r="BA423" s="696"/>
      <c r="BB423" s="713"/>
      <c r="BC423" s="696"/>
      <c r="BD423" s="713"/>
      <c r="BE423" s="696"/>
    </row>
    <row r="424" spans="1:57" s="44" customFormat="1">
      <c r="D424" s="847"/>
      <c r="E424" s="696"/>
      <c r="F424" s="847"/>
      <c r="G424" s="696"/>
      <c r="H424" s="847"/>
      <c r="I424" s="696"/>
      <c r="J424" s="847"/>
      <c r="K424" s="696"/>
      <c r="L424" s="847"/>
      <c r="M424" s="696"/>
      <c r="N424" s="696"/>
      <c r="O424" s="847"/>
      <c r="P424" s="696"/>
      <c r="Q424" s="847"/>
      <c r="R424" s="696"/>
      <c r="S424" s="847"/>
      <c r="T424" s="696"/>
      <c r="U424" s="847"/>
      <c r="V424" s="696"/>
      <c r="W424" s="847"/>
      <c r="X424" s="696"/>
      <c r="Y424" s="696"/>
      <c r="Z424" s="713"/>
      <c r="AA424" s="696"/>
      <c r="AB424" s="713"/>
      <c r="AC424" s="696"/>
      <c r="AD424" s="713"/>
      <c r="AE424" s="696"/>
      <c r="AF424" s="713"/>
      <c r="AG424" s="696"/>
      <c r="AH424" s="713"/>
      <c r="AI424" s="696"/>
      <c r="AJ424" s="696"/>
      <c r="AK424" s="713"/>
      <c r="AL424" s="696"/>
      <c r="AM424" s="713"/>
      <c r="AN424" s="696"/>
      <c r="AO424" s="713"/>
      <c r="AP424" s="696"/>
      <c r="AQ424" s="713"/>
      <c r="AR424" s="696"/>
      <c r="AS424" s="713"/>
      <c r="AT424" s="696"/>
      <c r="AU424" s="696"/>
      <c r="AV424" s="713"/>
      <c r="AW424" s="696"/>
      <c r="AX424" s="713"/>
      <c r="AY424" s="696"/>
      <c r="AZ424" s="713"/>
      <c r="BA424" s="696"/>
      <c r="BB424" s="713"/>
      <c r="BC424" s="696"/>
      <c r="BD424" s="713"/>
      <c r="BE424" s="696"/>
    </row>
    <row r="425" spans="1:57" s="44" customFormat="1">
      <c r="D425" s="847"/>
      <c r="E425" s="696"/>
      <c r="F425" s="847"/>
      <c r="G425" s="696"/>
      <c r="H425" s="847"/>
      <c r="I425" s="696"/>
      <c r="J425" s="847"/>
      <c r="K425" s="696"/>
      <c r="L425" s="847"/>
      <c r="M425" s="696"/>
      <c r="N425" s="696"/>
      <c r="O425" s="847"/>
      <c r="P425" s="696"/>
      <c r="Q425" s="847"/>
      <c r="R425" s="696"/>
      <c r="S425" s="847"/>
      <c r="T425" s="696"/>
      <c r="U425" s="847"/>
      <c r="V425" s="696"/>
      <c r="W425" s="847"/>
      <c r="X425" s="696"/>
      <c r="Y425" s="696"/>
      <c r="Z425" s="713"/>
      <c r="AA425" s="696"/>
      <c r="AB425" s="713"/>
      <c r="AC425" s="696"/>
      <c r="AD425" s="713"/>
      <c r="AE425" s="696"/>
      <c r="AF425" s="713"/>
      <c r="AG425" s="696"/>
      <c r="AH425" s="713"/>
      <c r="AI425" s="696"/>
      <c r="AJ425" s="696"/>
      <c r="AK425" s="713"/>
      <c r="AL425" s="696"/>
      <c r="AM425" s="713"/>
      <c r="AN425" s="696"/>
      <c r="AO425" s="713"/>
      <c r="AP425" s="696"/>
      <c r="AQ425" s="713"/>
      <c r="AR425" s="696"/>
      <c r="AS425" s="713"/>
      <c r="AT425" s="696"/>
      <c r="AU425" s="696"/>
      <c r="AV425" s="713"/>
      <c r="AW425" s="696"/>
      <c r="AX425" s="713"/>
      <c r="AY425" s="696"/>
      <c r="AZ425" s="713"/>
      <c r="BA425" s="696"/>
      <c r="BB425" s="713"/>
      <c r="BC425" s="696"/>
      <c r="BD425" s="713"/>
      <c r="BE425" s="696"/>
    </row>
    <row r="426" spans="1:57" s="44" customFormat="1">
      <c r="D426" s="847"/>
      <c r="E426" s="696"/>
      <c r="F426" s="847"/>
      <c r="G426" s="696"/>
      <c r="H426" s="847"/>
      <c r="I426" s="696"/>
      <c r="J426" s="847"/>
      <c r="K426" s="696"/>
      <c r="L426" s="847"/>
      <c r="M426" s="696"/>
      <c r="N426" s="696"/>
      <c r="O426" s="847"/>
      <c r="P426" s="696"/>
      <c r="Q426" s="847"/>
      <c r="R426" s="696"/>
      <c r="S426" s="847"/>
      <c r="T426" s="696"/>
      <c r="U426" s="847"/>
      <c r="V426" s="696"/>
      <c r="W426" s="847"/>
      <c r="X426" s="696"/>
      <c r="Y426" s="696"/>
      <c r="Z426" s="713"/>
      <c r="AA426" s="696"/>
      <c r="AB426" s="713"/>
      <c r="AC426" s="696"/>
      <c r="AD426" s="713"/>
      <c r="AE426" s="696"/>
      <c r="AF426" s="713"/>
      <c r="AG426" s="696"/>
      <c r="AH426" s="713"/>
      <c r="AI426" s="696"/>
      <c r="AJ426" s="696"/>
      <c r="AK426" s="713"/>
      <c r="AL426" s="696"/>
      <c r="AM426" s="713"/>
      <c r="AN426" s="696"/>
      <c r="AO426" s="713"/>
      <c r="AP426" s="696"/>
      <c r="AQ426" s="713"/>
      <c r="AR426" s="696"/>
      <c r="AS426" s="713"/>
      <c r="AT426" s="696"/>
      <c r="AU426" s="696"/>
      <c r="AV426" s="713"/>
      <c r="AW426" s="696"/>
      <c r="AX426" s="713"/>
      <c r="AY426" s="696"/>
      <c r="AZ426" s="713"/>
      <c r="BA426" s="696"/>
      <c r="BB426" s="713"/>
      <c r="BC426" s="696"/>
      <c r="BD426" s="713"/>
      <c r="BE426" s="696"/>
    </row>
    <row r="427" spans="1:57" s="44" customFormat="1">
      <c r="D427" s="847"/>
      <c r="E427" s="696"/>
      <c r="F427" s="847"/>
      <c r="G427" s="696"/>
      <c r="H427" s="847"/>
      <c r="I427" s="696"/>
      <c r="J427" s="847"/>
      <c r="K427" s="696"/>
      <c r="L427" s="847"/>
      <c r="M427" s="696"/>
      <c r="N427" s="696"/>
      <c r="O427" s="847"/>
      <c r="P427" s="696"/>
      <c r="Q427" s="847"/>
      <c r="R427" s="696"/>
      <c r="S427" s="847"/>
      <c r="T427" s="696"/>
      <c r="U427" s="847"/>
      <c r="V427" s="696"/>
      <c r="W427" s="847"/>
      <c r="X427" s="696"/>
      <c r="Y427" s="696"/>
      <c r="Z427" s="713"/>
      <c r="AA427" s="696"/>
      <c r="AB427" s="713"/>
      <c r="AC427" s="696"/>
      <c r="AD427" s="713"/>
      <c r="AE427" s="696"/>
      <c r="AF427" s="713"/>
      <c r="AG427" s="696"/>
      <c r="AH427" s="713"/>
      <c r="AI427" s="696"/>
      <c r="AJ427" s="696"/>
      <c r="AK427" s="713"/>
      <c r="AL427" s="696"/>
      <c r="AM427" s="713"/>
      <c r="AN427" s="696"/>
      <c r="AO427" s="713"/>
      <c r="AP427" s="696"/>
      <c r="AQ427" s="713"/>
      <c r="AR427" s="696"/>
      <c r="AS427" s="713"/>
      <c r="AT427" s="696"/>
      <c r="AU427" s="696"/>
      <c r="AV427" s="713"/>
      <c r="AW427" s="696"/>
      <c r="AX427" s="713"/>
      <c r="AY427" s="696"/>
      <c r="AZ427" s="713"/>
      <c r="BA427" s="696"/>
      <c r="BB427" s="713"/>
      <c r="BC427" s="696"/>
      <c r="BD427" s="713"/>
      <c r="BE427" s="696"/>
    </row>
    <row r="428" spans="1:57" s="44" customFormat="1">
      <c r="D428" s="847"/>
      <c r="E428" s="696"/>
      <c r="F428" s="847"/>
      <c r="G428" s="696"/>
      <c r="H428" s="847"/>
      <c r="I428" s="696"/>
      <c r="J428" s="847"/>
      <c r="K428" s="696"/>
      <c r="L428" s="847"/>
      <c r="M428" s="696"/>
      <c r="N428" s="696"/>
      <c r="O428" s="847"/>
      <c r="P428" s="696"/>
      <c r="Q428" s="847"/>
      <c r="R428" s="696"/>
      <c r="S428" s="847"/>
      <c r="T428" s="696"/>
      <c r="U428" s="847"/>
      <c r="V428" s="696"/>
      <c r="W428" s="847"/>
      <c r="X428" s="696"/>
      <c r="Y428" s="696"/>
      <c r="Z428" s="713"/>
      <c r="AA428" s="696"/>
      <c r="AB428" s="713"/>
      <c r="AC428" s="696"/>
      <c r="AD428" s="713"/>
      <c r="AE428" s="696"/>
      <c r="AF428" s="713"/>
      <c r="AG428" s="696"/>
      <c r="AH428" s="713"/>
      <c r="AI428" s="696"/>
      <c r="AJ428" s="696"/>
      <c r="AK428" s="713"/>
      <c r="AL428" s="696"/>
      <c r="AM428" s="713"/>
      <c r="AN428" s="696"/>
      <c r="AO428" s="713"/>
      <c r="AP428" s="696"/>
      <c r="AQ428" s="713"/>
      <c r="AR428" s="696"/>
      <c r="AS428" s="713"/>
      <c r="AT428" s="696"/>
      <c r="AU428" s="696"/>
      <c r="AV428" s="713"/>
      <c r="AW428" s="696"/>
      <c r="AX428" s="713"/>
      <c r="AY428" s="696"/>
      <c r="AZ428" s="713"/>
      <c r="BA428" s="696"/>
      <c r="BB428" s="713"/>
      <c r="BC428" s="696"/>
      <c r="BD428" s="713"/>
      <c r="BE428" s="696"/>
    </row>
    <row r="429" spans="1:57" s="44" customFormat="1">
      <c r="D429" s="847"/>
      <c r="E429" s="696"/>
      <c r="F429" s="847"/>
      <c r="G429" s="696"/>
      <c r="H429" s="847"/>
      <c r="I429" s="696"/>
      <c r="J429" s="847"/>
      <c r="K429" s="696"/>
      <c r="L429" s="847"/>
      <c r="M429" s="696"/>
      <c r="N429" s="696"/>
      <c r="O429" s="847"/>
      <c r="P429" s="696"/>
      <c r="Q429" s="847"/>
      <c r="R429" s="696"/>
      <c r="S429" s="847"/>
      <c r="T429" s="696"/>
      <c r="U429" s="847"/>
      <c r="V429" s="696"/>
      <c r="W429" s="847"/>
      <c r="X429" s="696"/>
      <c r="Y429" s="696"/>
      <c r="Z429" s="713"/>
      <c r="AA429" s="696"/>
      <c r="AB429" s="713"/>
      <c r="AC429" s="696"/>
      <c r="AD429" s="713"/>
      <c r="AE429" s="696"/>
      <c r="AF429" s="713"/>
      <c r="AG429" s="696"/>
      <c r="AH429" s="713"/>
      <c r="AI429" s="696"/>
      <c r="AJ429" s="696"/>
      <c r="AK429" s="713"/>
      <c r="AL429" s="696"/>
      <c r="AM429" s="713"/>
      <c r="AN429" s="696"/>
      <c r="AO429" s="713"/>
      <c r="AP429" s="696"/>
      <c r="AQ429" s="713"/>
      <c r="AR429" s="696"/>
      <c r="AS429" s="713"/>
      <c r="AT429" s="696"/>
      <c r="AU429" s="696"/>
      <c r="AV429" s="713"/>
      <c r="AW429" s="696"/>
      <c r="AX429" s="713"/>
      <c r="AY429" s="696"/>
      <c r="AZ429" s="713"/>
      <c r="BA429" s="696"/>
      <c r="BB429" s="713"/>
      <c r="BC429" s="696"/>
      <c r="BD429" s="713"/>
      <c r="BE429" s="696"/>
    </row>
    <row r="430" spans="1:57" s="44" customFormat="1">
      <c r="D430" s="847"/>
      <c r="E430" s="696"/>
      <c r="F430" s="847"/>
      <c r="G430" s="696"/>
      <c r="H430" s="847"/>
      <c r="I430" s="696"/>
      <c r="J430" s="847"/>
      <c r="K430" s="696"/>
      <c r="L430" s="847"/>
      <c r="M430" s="696"/>
      <c r="N430" s="696"/>
      <c r="O430" s="847"/>
      <c r="P430" s="696"/>
      <c r="Q430" s="847"/>
      <c r="R430" s="696"/>
      <c r="S430" s="847"/>
      <c r="T430" s="696"/>
      <c r="U430" s="847"/>
      <c r="V430" s="696"/>
      <c r="W430" s="847"/>
      <c r="X430" s="696"/>
      <c r="Y430" s="696"/>
      <c r="Z430" s="713"/>
      <c r="AA430" s="696"/>
      <c r="AB430" s="713"/>
      <c r="AC430" s="696"/>
      <c r="AD430" s="713"/>
      <c r="AE430" s="696"/>
      <c r="AF430" s="713"/>
      <c r="AG430" s="696"/>
      <c r="AH430" s="713"/>
      <c r="AI430" s="696"/>
      <c r="AJ430" s="696"/>
      <c r="AK430" s="713"/>
      <c r="AL430" s="696"/>
      <c r="AM430" s="713"/>
      <c r="AN430" s="696"/>
      <c r="AO430" s="713"/>
      <c r="AP430" s="696"/>
      <c r="AQ430" s="713"/>
      <c r="AR430" s="696"/>
      <c r="AS430" s="713"/>
      <c r="AT430" s="696"/>
      <c r="AU430" s="696"/>
      <c r="AV430" s="713"/>
      <c r="AW430" s="696"/>
      <c r="AX430" s="713"/>
      <c r="AY430" s="696"/>
      <c r="AZ430" s="713"/>
      <c r="BA430" s="696"/>
      <c r="BB430" s="713"/>
      <c r="BC430" s="696"/>
      <c r="BD430" s="713"/>
      <c r="BE430" s="696"/>
    </row>
    <row r="431" spans="1:57" s="44" customFormat="1">
      <c r="D431" s="847"/>
      <c r="E431" s="696"/>
      <c r="F431" s="847"/>
      <c r="G431" s="696"/>
      <c r="H431" s="847"/>
      <c r="I431" s="696"/>
      <c r="J431" s="847"/>
      <c r="K431" s="696"/>
      <c r="L431" s="847"/>
      <c r="M431" s="696"/>
      <c r="N431" s="696"/>
      <c r="O431" s="847"/>
      <c r="P431" s="696"/>
      <c r="Q431" s="847"/>
      <c r="R431" s="696"/>
      <c r="S431" s="847"/>
      <c r="T431" s="696"/>
      <c r="U431" s="847"/>
      <c r="V431" s="696"/>
      <c r="W431" s="847"/>
      <c r="X431" s="696"/>
      <c r="Y431" s="696"/>
      <c r="Z431" s="713"/>
      <c r="AA431" s="696"/>
      <c r="AB431" s="713"/>
      <c r="AC431" s="696"/>
      <c r="AD431" s="713"/>
      <c r="AE431" s="696"/>
      <c r="AF431" s="713"/>
      <c r="AG431" s="696"/>
      <c r="AH431" s="713"/>
      <c r="AI431" s="696"/>
      <c r="AJ431" s="696"/>
      <c r="AK431" s="713"/>
      <c r="AL431" s="696"/>
      <c r="AM431" s="713"/>
      <c r="AN431" s="696"/>
      <c r="AO431" s="713"/>
      <c r="AP431" s="696"/>
      <c r="AQ431" s="713"/>
      <c r="AR431" s="696"/>
      <c r="AS431" s="713"/>
      <c r="AT431" s="696"/>
      <c r="AU431" s="696"/>
      <c r="AV431" s="713"/>
      <c r="AW431" s="696"/>
      <c r="AX431" s="713"/>
      <c r="AY431" s="696"/>
      <c r="AZ431" s="713"/>
      <c r="BA431" s="696"/>
      <c r="BB431" s="713"/>
      <c r="BC431" s="696"/>
      <c r="BD431" s="713"/>
      <c r="BE431" s="696"/>
    </row>
    <row r="432" spans="1:57" s="44" customFormat="1">
      <c r="D432" s="847"/>
      <c r="E432" s="696"/>
      <c r="F432" s="847"/>
      <c r="G432" s="696"/>
      <c r="H432" s="847"/>
      <c r="I432" s="696"/>
      <c r="J432" s="847"/>
      <c r="K432" s="696"/>
      <c r="L432" s="847"/>
      <c r="M432" s="696"/>
      <c r="N432" s="696"/>
      <c r="O432" s="847"/>
      <c r="P432" s="696"/>
      <c r="Q432" s="847"/>
      <c r="R432" s="696"/>
      <c r="S432" s="847"/>
      <c r="T432" s="696"/>
      <c r="U432" s="847"/>
      <c r="V432" s="696"/>
      <c r="W432" s="847"/>
      <c r="X432" s="696"/>
      <c r="Y432" s="696"/>
      <c r="Z432" s="713"/>
      <c r="AA432" s="696"/>
      <c r="AB432" s="713"/>
      <c r="AC432" s="696"/>
      <c r="AD432" s="713"/>
      <c r="AE432" s="696"/>
      <c r="AF432" s="713"/>
      <c r="AG432" s="696"/>
      <c r="AH432" s="713"/>
      <c r="AI432" s="696"/>
      <c r="AJ432" s="696"/>
      <c r="AK432" s="713"/>
      <c r="AL432" s="696"/>
      <c r="AM432" s="713"/>
      <c r="AN432" s="696"/>
      <c r="AO432" s="713"/>
      <c r="AP432" s="696"/>
      <c r="AQ432" s="713"/>
      <c r="AR432" s="696"/>
      <c r="AS432" s="713"/>
      <c r="AT432" s="696"/>
      <c r="AU432" s="696"/>
      <c r="AV432" s="713"/>
      <c r="AW432" s="696"/>
      <c r="AX432" s="713"/>
      <c r="AY432" s="696"/>
      <c r="AZ432" s="713"/>
      <c r="BA432" s="696"/>
      <c r="BB432" s="713"/>
      <c r="BC432" s="696"/>
      <c r="BD432" s="713"/>
      <c r="BE432" s="696"/>
    </row>
    <row r="433" spans="4:57" s="44" customFormat="1">
      <c r="D433" s="847"/>
      <c r="E433" s="696"/>
      <c r="F433" s="847"/>
      <c r="G433" s="696"/>
      <c r="H433" s="847"/>
      <c r="I433" s="696"/>
      <c r="J433" s="847"/>
      <c r="K433" s="696"/>
      <c r="L433" s="847"/>
      <c r="M433" s="696"/>
      <c r="N433" s="696"/>
      <c r="O433" s="847"/>
      <c r="P433" s="696"/>
      <c r="Q433" s="847"/>
      <c r="R433" s="696"/>
      <c r="S433" s="847"/>
      <c r="T433" s="696"/>
      <c r="U433" s="847"/>
      <c r="V433" s="696"/>
      <c r="W433" s="847"/>
      <c r="X433" s="696"/>
      <c r="Y433" s="696"/>
      <c r="Z433" s="713"/>
      <c r="AA433" s="696"/>
      <c r="AB433" s="713"/>
      <c r="AC433" s="696"/>
      <c r="AD433" s="713"/>
      <c r="AE433" s="696"/>
      <c r="AF433" s="713"/>
      <c r="AG433" s="696"/>
      <c r="AH433" s="713"/>
      <c r="AI433" s="696"/>
      <c r="AJ433" s="696"/>
      <c r="AK433" s="713"/>
      <c r="AL433" s="696"/>
      <c r="AM433" s="713"/>
      <c r="AN433" s="696"/>
      <c r="AO433" s="713"/>
      <c r="AP433" s="696"/>
      <c r="AQ433" s="713"/>
      <c r="AR433" s="696"/>
      <c r="AS433" s="713"/>
      <c r="AT433" s="696"/>
      <c r="AU433" s="696"/>
      <c r="AV433" s="713"/>
      <c r="AW433" s="696"/>
      <c r="AX433" s="713"/>
      <c r="AY433" s="696"/>
      <c r="AZ433" s="713"/>
      <c r="BA433" s="696"/>
      <c r="BB433" s="713"/>
      <c r="BC433" s="696"/>
      <c r="BD433" s="713"/>
      <c r="BE433" s="696"/>
    </row>
    <row r="434" spans="4:57" s="44" customFormat="1">
      <c r="D434" s="847"/>
      <c r="E434" s="696"/>
      <c r="F434" s="847"/>
      <c r="G434" s="696"/>
      <c r="H434" s="847"/>
      <c r="I434" s="696"/>
      <c r="J434" s="847"/>
      <c r="K434" s="696"/>
      <c r="L434" s="847"/>
      <c r="M434" s="696"/>
      <c r="N434" s="696"/>
      <c r="O434" s="847"/>
      <c r="P434" s="696"/>
      <c r="Q434" s="847"/>
      <c r="R434" s="696"/>
      <c r="S434" s="847"/>
      <c r="T434" s="696"/>
      <c r="U434" s="847"/>
      <c r="V434" s="696"/>
      <c r="W434" s="847"/>
      <c r="X434" s="696"/>
      <c r="Y434" s="696"/>
      <c r="Z434" s="713"/>
      <c r="AA434" s="696"/>
      <c r="AB434" s="713"/>
      <c r="AC434" s="696"/>
      <c r="AD434" s="713"/>
      <c r="AE434" s="696"/>
      <c r="AF434" s="713"/>
      <c r="AG434" s="696"/>
      <c r="AH434" s="713"/>
      <c r="AI434" s="696"/>
      <c r="AJ434" s="696"/>
      <c r="AK434" s="713"/>
      <c r="AL434" s="696"/>
      <c r="AM434" s="713"/>
      <c r="AN434" s="696"/>
      <c r="AO434" s="713"/>
      <c r="AP434" s="696"/>
      <c r="AQ434" s="713"/>
      <c r="AR434" s="696"/>
      <c r="AS434" s="713"/>
      <c r="AT434" s="696"/>
      <c r="AU434" s="696"/>
      <c r="AV434" s="713"/>
      <c r="AW434" s="696"/>
      <c r="AX434" s="713"/>
      <c r="AY434" s="696"/>
      <c r="AZ434" s="713"/>
      <c r="BA434" s="696"/>
      <c r="BB434" s="713"/>
      <c r="BC434" s="696"/>
      <c r="BD434" s="713"/>
      <c r="BE434" s="696"/>
    </row>
    <row r="435" spans="4:57" s="44" customFormat="1">
      <c r="D435" s="847"/>
      <c r="E435" s="696"/>
      <c r="F435" s="847"/>
      <c r="G435" s="696"/>
      <c r="H435" s="847"/>
      <c r="I435" s="696"/>
      <c r="J435" s="847"/>
      <c r="K435" s="696"/>
      <c r="L435" s="847"/>
      <c r="M435" s="696"/>
      <c r="N435" s="696"/>
      <c r="O435" s="847"/>
      <c r="P435" s="696"/>
      <c r="Q435" s="847"/>
      <c r="R435" s="696"/>
      <c r="S435" s="847"/>
      <c r="T435" s="696"/>
      <c r="U435" s="847"/>
      <c r="V435" s="696"/>
      <c r="W435" s="847"/>
      <c r="X435" s="696"/>
      <c r="Y435" s="696"/>
      <c r="Z435" s="713"/>
      <c r="AA435" s="696"/>
      <c r="AB435" s="713"/>
      <c r="AC435" s="696"/>
      <c r="AD435" s="713"/>
      <c r="AE435" s="696"/>
      <c r="AF435" s="713"/>
      <c r="AG435" s="696"/>
      <c r="AH435" s="713"/>
      <c r="AI435" s="696"/>
      <c r="AJ435" s="696"/>
      <c r="AK435" s="713"/>
      <c r="AL435" s="696"/>
      <c r="AM435" s="713"/>
      <c r="AN435" s="696"/>
      <c r="AO435" s="713"/>
      <c r="AP435" s="696"/>
      <c r="AQ435" s="713"/>
      <c r="AR435" s="696"/>
      <c r="AS435" s="713"/>
      <c r="AT435" s="696"/>
      <c r="AU435" s="696"/>
      <c r="AV435" s="713"/>
      <c r="AW435" s="696"/>
      <c r="AX435" s="713"/>
      <c r="AY435" s="696"/>
      <c r="AZ435" s="713"/>
      <c r="BA435" s="696"/>
      <c r="BB435" s="713"/>
      <c r="BC435" s="696"/>
      <c r="BD435" s="713"/>
      <c r="BE435" s="696"/>
    </row>
    <row r="436" spans="4:57" s="44" customFormat="1">
      <c r="D436" s="847"/>
      <c r="E436" s="696"/>
      <c r="F436" s="847"/>
      <c r="G436" s="696"/>
      <c r="H436" s="847"/>
      <c r="I436" s="696"/>
      <c r="J436" s="847"/>
      <c r="K436" s="696"/>
      <c r="L436" s="847"/>
      <c r="M436" s="696"/>
      <c r="N436" s="696"/>
      <c r="O436" s="847"/>
      <c r="P436" s="696"/>
      <c r="Q436" s="847"/>
      <c r="R436" s="696"/>
      <c r="S436" s="847"/>
      <c r="T436" s="696"/>
      <c r="U436" s="847"/>
      <c r="V436" s="696"/>
      <c r="W436" s="847"/>
      <c r="X436" s="696"/>
      <c r="Y436" s="696"/>
      <c r="Z436" s="713"/>
      <c r="AA436" s="696"/>
      <c r="AB436" s="713"/>
      <c r="AC436" s="696"/>
      <c r="AD436" s="713"/>
      <c r="AE436" s="696"/>
      <c r="AF436" s="713"/>
      <c r="AG436" s="696"/>
      <c r="AH436" s="713"/>
      <c r="AI436" s="696"/>
      <c r="AJ436" s="696"/>
      <c r="AK436" s="713"/>
      <c r="AL436" s="696"/>
      <c r="AM436" s="713"/>
      <c r="AN436" s="696"/>
      <c r="AO436" s="713"/>
      <c r="AP436" s="696"/>
      <c r="AQ436" s="713"/>
      <c r="AR436" s="696"/>
      <c r="AS436" s="713"/>
      <c r="AT436" s="696"/>
      <c r="AU436" s="696"/>
      <c r="AV436" s="713"/>
      <c r="AW436" s="696"/>
      <c r="AX436" s="713"/>
      <c r="AY436" s="696"/>
      <c r="AZ436" s="713"/>
      <c r="BA436" s="696"/>
      <c r="BB436" s="713"/>
      <c r="BC436" s="696"/>
      <c r="BD436" s="713"/>
      <c r="BE436" s="696"/>
    </row>
    <row r="437" spans="4:57" s="44" customFormat="1">
      <c r="D437" s="847"/>
      <c r="E437" s="696"/>
      <c r="F437" s="847"/>
      <c r="G437" s="696"/>
      <c r="H437" s="847"/>
      <c r="I437" s="696"/>
      <c r="J437" s="847"/>
      <c r="K437" s="696"/>
      <c r="L437" s="847"/>
      <c r="M437" s="696"/>
      <c r="N437" s="696"/>
      <c r="O437" s="847"/>
      <c r="P437" s="696"/>
      <c r="Q437" s="847"/>
      <c r="R437" s="696"/>
      <c r="S437" s="847"/>
      <c r="T437" s="696"/>
      <c r="U437" s="847"/>
      <c r="V437" s="696"/>
      <c r="W437" s="847"/>
      <c r="X437" s="696"/>
      <c r="Y437" s="696"/>
      <c r="Z437" s="713"/>
      <c r="AA437" s="696"/>
      <c r="AB437" s="713"/>
      <c r="AC437" s="696"/>
      <c r="AD437" s="713"/>
      <c r="AE437" s="696"/>
      <c r="AF437" s="713"/>
      <c r="AG437" s="696"/>
      <c r="AH437" s="713"/>
      <c r="AI437" s="696"/>
      <c r="AJ437" s="696"/>
      <c r="AK437" s="713"/>
      <c r="AL437" s="696"/>
      <c r="AM437" s="713"/>
      <c r="AN437" s="696"/>
      <c r="AO437" s="713"/>
      <c r="AP437" s="696"/>
      <c r="AQ437" s="713"/>
      <c r="AR437" s="696"/>
      <c r="AS437" s="713"/>
      <c r="AT437" s="696"/>
      <c r="AU437" s="696"/>
      <c r="AV437" s="713"/>
      <c r="AW437" s="696"/>
      <c r="AX437" s="713"/>
      <c r="AY437" s="696"/>
      <c r="AZ437" s="713"/>
      <c r="BA437" s="696"/>
      <c r="BB437" s="713"/>
      <c r="BC437" s="696"/>
      <c r="BD437" s="713"/>
      <c r="BE437" s="696"/>
    </row>
    <row r="438" spans="4:57" s="44" customFormat="1">
      <c r="D438" s="847"/>
      <c r="E438" s="696"/>
      <c r="F438" s="847"/>
      <c r="G438" s="696"/>
      <c r="H438" s="847"/>
      <c r="I438" s="696"/>
      <c r="J438" s="847"/>
      <c r="K438" s="696"/>
      <c r="L438" s="847"/>
      <c r="M438" s="696"/>
      <c r="N438" s="696"/>
      <c r="O438" s="847"/>
      <c r="P438" s="696"/>
      <c r="Q438" s="847"/>
      <c r="R438" s="696"/>
      <c r="S438" s="847"/>
      <c r="T438" s="696"/>
      <c r="U438" s="847"/>
      <c r="V438" s="696"/>
      <c r="W438" s="847"/>
      <c r="X438" s="696"/>
      <c r="Y438" s="696"/>
      <c r="Z438" s="713"/>
      <c r="AA438" s="696"/>
      <c r="AB438" s="713"/>
      <c r="AC438" s="696"/>
      <c r="AD438" s="713"/>
      <c r="AE438" s="696"/>
      <c r="AF438" s="713"/>
      <c r="AG438" s="696"/>
      <c r="AH438" s="713"/>
      <c r="AI438" s="696"/>
      <c r="AJ438" s="696"/>
      <c r="AK438" s="713"/>
      <c r="AL438" s="696"/>
      <c r="AM438" s="713"/>
      <c r="AN438" s="696"/>
      <c r="AO438" s="713"/>
      <c r="AP438" s="696"/>
      <c r="AQ438" s="713"/>
      <c r="AR438" s="696"/>
      <c r="AS438" s="713"/>
      <c r="AT438" s="696"/>
      <c r="AU438" s="696"/>
      <c r="AV438" s="713"/>
      <c r="AW438" s="696"/>
      <c r="AX438" s="713"/>
      <c r="AY438" s="696"/>
      <c r="AZ438" s="713"/>
      <c r="BA438" s="696"/>
      <c r="BB438" s="713"/>
      <c r="BC438" s="696"/>
      <c r="BD438" s="713"/>
      <c r="BE438" s="696"/>
    </row>
    <row r="439" spans="4:57" s="44" customFormat="1">
      <c r="D439" s="847"/>
      <c r="E439" s="696"/>
      <c r="F439" s="847"/>
      <c r="G439" s="696"/>
      <c r="H439" s="847"/>
      <c r="I439" s="696"/>
      <c r="J439" s="847"/>
      <c r="K439" s="696"/>
      <c r="L439" s="847"/>
      <c r="M439" s="696"/>
      <c r="N439" s="696"/>
      <c r="O439" s="847"/>
      <c r="P439" s="696"/>
      <c r="Q439" s="847"/>
      <c r="R439" s="696"/>
      <c r="S439" s="847"/>
      <c r="T439" s="696"/>
      <c r="U439" s="847"/>
      <c r="V439" s="696"/>
      <c r="W439" s="847"/>
      <c r="X439" s="696"/>
      <c r="Y439" s="696"/>
      <c r="Z439" s="713"/>
      <c r="AA439" s="696"/>
      <c r="AB439" s="713"/>
      <c r="AC439" s="696"/>
      <c r="AD439" s="713"/>
      <c r="AE439" s="696"/>
      <c r="AF439" s="713"/>
      <c r="AG439" s="696"/>
      <c r="AH439" s="713"/>
      <c r="AI439" s="696"/>
      <c r="AJ439" s="696"/>
      <c r="AK439" s="713"/>
      <c r="AL439" s="696"/>
      <c r="AM439" s="713"/>
      <c r="AN439" s="696"/>
      <c r="AO439" s="713"/>
      <c r="AP439" s="696"/>
      <c r="AQ439" s="713"/>
      <c r="AR439" s="696"/>
      <c r="AS439" s="713"/>
      <c r="AT439" s="696"/>
      <c r="AU439" s="696"/>
      <c r="AV439" s="713"/>
      <c r="AW439" s="696"/>
      <c r="AX439" s="713"/>
      <c r="AY439" s="696"/>
      <c r="AZ439" s="713"/>
      <c r="BA439" s="696"/>
      <c r="BB439" s="713"/>
      <c r="BC439" s="696"/>
      <c r="BD439" s="713"/>
      <c r="BE439" s="696"/>
    </row>
    <row r="440" spans="4:57" s="44" customFormat="1">
      <c r="D440" s="847"/>
      <c r="E440" s="696"/>
      <c r="F440" s="847"/>
      <c r="G440" s="696"/>
      <c r="H440" s="847"/>
      <c r="I440" s="696"/>
      <c r="J440" s="847"/>
      <c r="K440" s="696"/>
      <c r="L440" s="847"/>
      <c r="M440" s="696"/>
      <c r="N440" s="696"/>
      <c r="O440" s="847"/>
      <c r="P440" s="696"/>
      <c r="Q440" s="847"/>
      <c r="R440" s="696"/>
      <c r="S440" s="847"/>
      <c r="T440" s="696"/>
      <c r="U440" s="847"/>
      <c r="V440" s="696"/>
      <c r="W440" s="847"/>
      <c r="X440" s="696"/>
      <c r="Y440" s="696"/>
      <c r="Z440" s="713"/>
      <c r="AA440" s="696"/>
      <c r="AB440" s="713"/>
      <c r="AC440" s="696"/>
      <c r="AD440" s="713"/>
      <c r="AE440" s="696"/>
      <c r="AF440" s="713"/>
      <c r="AG440" s="696"/>
      <c r="AH440" s="713"/>
      <c r="AI440" s="696"/>
      <c r="AJ440" s="696"/>
      <c r="AK440" s="713"/>
      <c r="AL440" s="696"/>
      <c r="AM440" s="713"/>
      <c r="AN440" s="696"/>
      <c r="AO440" s="713"/>
      <c r="AP440" s="696"/>
      <c r="AQ440" s="713"/>
      <c r="AR440" s="696"/>
      <c r="AS440" s="713"/>
      <c r="AT440" s="696"/>
      <c r="AU440" s="696"/>
      <c r="AV440" s="713"/>
      <c r="AW440" s="696"/>
      <c r="AX440" s="713"/>
      <c r="AY440" s="696"/>
      <c r="AZ440" s="713"/>
      <c r="BA440" s="696"/>
      <c r="BB440" s="713"/>
      <c r="BC440" s="696"/>
      <c r="BD440" s="713"/>
      <c r="BE440" s="696"/>
    </row>
    <row r="441" spans="4:57" s="44" customFormat="1">
      <c r="D441" s="847"/>
      <c r="E441" s="696"/>
      <c r="F441" s="847"/>
      <c r="G441" s="696"/>
      <c r="H441" s="847"/>
      <c r="I441" s="696"/>
      <c r="J441" s="847"/>
      <c r="K441" s="696"/>
      <c r="L441" s="847"/>
      <c r="M441" s="696"/>
      <c r="N441" s="696"/>
      <c r="O441" s="847"/>
      <c r="P441" s="696"/>
      <c r="Q441" s="847"/>
      <c r="R441" s="696"/>
      <c r="S441" s="847"/>
      <c r="T441" s="696"/>
      <c r="U441" s="847"/>
      <c r="V441" s="696"/>
      <c r="W441" s="847"/>
      <c r="X441" s="696"/>
      <c r="Y441" s="696"/>
      <c r="Z441" s="713"/>
      <c r="AA441" s="696"/>
      <c r="AB441" s="713"/>
      <c r="AC441" s="696"/>
      <c r="AD441" s="713"/>
      <c r="AE441" s="696"/>
      <c r="AF441" s="713"/>
      <c r="AG441" s="696"/>
      <c r="AH441" s="713"/>
      <c r="AI441" s="696"/>
      <c r="AJ441" s="696"/>
      <c r="AK441" s="713"/>
      <c r="AL441" s="696"/>
      <c r="AM441" s="713"/>
      <c r="AN441" s="696"/>
      <c r="AO441" s="713"/>
      <c r="AP441" s="696"/>
      <c r="AQ441" s="713"/>
      <c r="AR441" s="696"/>
      <c r="AS441" s="713"/>
      <c r="AT441" s="696"/>
      <c r="AU441" s="696"/>
      <c r="AV441" s="713"/>
      <c r="AW441" s="696"/>
      <c r="AX441" s="713"/>
      <c r="AY441" s="696"/>
      <c r="AZ441" s="713"/>
      <c r="BA441" s="696"/>
      <c r="BB441" s="713"/>
      <c r="BC441" s="696"/>
      <c r="BD441" s="713"/>
      <c r="BE441" s="696"/>
    </row>
    <row r="442" spans="4:57" s="44" customFormat="1">
      <c r="D442" s="847"/>
      <c r="E442" s="696"/>
      <c r="F442" s="847"/>
      <c r="G442" s="696"/>
      <c r="H442" s="847"/>
      <c r="I442" s="696"/>
      <c r="J442" s="847"/>
      <c r="K442" s="696"/>
      <c r="L442" s="847"/>
      <c r="M442" s="696"/>
      <c r="N442" s="696"/>
      <c r="O442" s="847"/>
      <c r="P442" s="696"/>
      <c r="Q442" s="847"/>
      <c r="R442" s="696"/>
      <c r="S442" s="847"/>
      <c r="T442" s="696"/>
      <c r="U442" s="847"/>
      <c r="V442" s="696"/>
      <c r="W442" s="847"/>
      <c r="X442" s="696"/>
      <c r="Y442" s="696"/>
      <c r="Z442" s="713"/>
      <c r="AA442" s="696"/>
      <c r="AB442" s="713"/>
      <c r="AC442" s="696"/>
      <c r="AD442" s="713"/>
      <c r="AE442" s="696"/>
      <c r="AF442" s="713"/>
      <c r="AG442" s="696"/>
      <c r="AH442" s="713"/>
      <c r="AI442" s="696"/>
      <c r="AJ442" s="696"/>
      <c r="AK442" s="713"/>
      <c r="AL442" s="696"/>
      <c r="AM442" s="713"/>
      <c r="AN442" s="696"/>
      <c r="AO442" s="713"/>
      <c r="AP442" s="696"/>
      <c r="AQ442" s="713"/>
      <c r="AR442" s="696"/>
      <c r="AS442" s="713"/>
      <c r="AT442" s="696"/>
      <c r="AU442" s="696"/>
      <c r="AV442" s="713"/>
      <c r="AW442" s="696"/>
      <c r="AX442" s="713"/>
      <c r="AY442" s="696"/>
      <c r="AZ442" s="713"/>
      <c r="BA442" s="696"/>
      <c r="BB442" s="713"/>
      <c r="BC442" s="696"/>
      <c r="BD442" s="713"/>
      <c r="BE442" s="696"/>
    </row>
    <row r="443" spans="4:57" s="44" customFormat="1">
      <c r="D443" s="847"/>
      <c r="E443" s="696"/>
      <c r="F443" s="847"/>
      <c r="G443" s="696"/>
      <c r="H443" s="847"/>
      <c r="I443" s="696"/>
      <c r="J443" s="847"/>
      <c r="K443" s="696"/>
      <c r="L443" s="847"/>
      <c r="M443" s="696"/>
      <c r="N443" s="696"/>
      <c r="O443" s="847"/>
      <c r="P443" s="696"/>
      <c r="Q443" s="847"/>
      <c r="R443" s="696"/>
      <c r="S443" s="847"/>
      <c r="T443" s="696"/>
      <c r="U443" s="847"/>
      <c r="V443" s="696"/>
      <c r="W443" s="847"/>
      <c r="X443" s="696"/>
      <c r="Y443" s="696"/>
      <c r="Z443" s="713"/>
      <c r="AA443" s="696"/>
      <c r="AB443" s="713"/>
      <c r="AC443" s="696"/>
      <c r="AD443" s="713"/>
      <c r="AE443" s="696"/>
      <c r="AF443" s="713"/>
      <c r="AG443" s="696"/>
      <c r="AH443" s="713"/>
      <c r="AI443" s="696"/>
      <c r="AJ443" s="696"/>
      <c r="AK443" s="713"/>
      <c r="AL443" s="696"/>
      <c r="AM443" s="713"/>
      <c r="AN443" s="696"/>
      <c r="AO443" s="713"/>
      <c r="AP443" s="696"/>
      <c r="AQ443" s="713"/>
      <c r="AR443" s="696"/>
      <c r="AS443" s="713"/>
      <c r="AT443" s="696"/>
      <c r="AU443" s="696"/>
      <c r="AV443" s="713"/>
      <c r="AW443" s="696"/>
      <c r="AX443" s="713"/>
      <c r="AY443" s="696"/>
      <c r="AZ443" s="713"/>
      <c r="BA443" s="696"/>
      <c r="BB443" s="713"/>
      <c r="BC443" s="696"/>
      <c r="BD443" s="713"/>
      <c r="BE443" s="696"/>
    </row>
    <row r="444" spans="4:57" s="44" customFormat="1">
      <c r="D444" s="847"/>
      <c r="E444" s="696"/>
      <c r="F444" s="847"/>
      <c r="G444" s="696"/>
      <c r="H444" s="847"/>
      <c r="I444" s="696"/>
      <c r="J444" s="847"/>
      <c r="K444" s="696"/>
      <c r="L444" s="847"/>
      <c r="M444" s="696"/>
      <c r="N444" s="696"/>
      <c r="O444" s="847"/>
      <c r="P444" s="696"/>
      <c r="Q444" s="847"/>
      <c r="R444" s="696"/>
      <c r="S444" s="847"/>
      <c r="T444" s="696"/>
      <c r="U444" s="847"/>
      <c r="V444" s="696"/>
      <c r="W444" s="847"/>
      <c r="X444" s="696"/>
      <c r="Y444" s="696"/>
      <c r="Z444" s="713"/>
      <c r="AA444" s="696"/>
      <c r="AB444" s="713"/>
      <c r="AC444" s="696"/>
      <c r="AD444" s="713"/>
      <c r="AE444" s="696"/>
      <c r="AF444" s="713"/>
      <c r="AG444" s="696"/>
      <c r="AH444" s="713"/>
      <c r="AI444" s="696"/>
      <c r="AJ444" s="696"/>
      <c r="AK444" s="713"/>
      <c r="AL444" s="696"/>
      <c r="AM444" s="713"/>
      <c r="AN444" s="696"/>
      <c r="AO444" s="713"/>
      <c r="AP444" s="696"/>
      <c r="AQ444" s="713"/>
      <c r="AR444" s="696"/>
      <c r="AS444" s="713"/>
      <c r="AT444" s="696"/>
      <c r="AU444" s="696"/>
      <c r="AV444" s="713"/>
      <c r="AW444" s="696"/>
      <c r="AX444" s="713"/>
      <c r="AY444" s="696"/>
      <c r="AZ444" s="713"/>
      <c r="BA444" s="696"/>
      <c r="BB444" s="713"/>
      <c r="BC444" s="696"/>
      <c r="BD444" s="713"/>
      <c r="BE444" s="696"/>
    </row>
    <row r="445" spans="4:57" s="44" customFormat="1">
      <c r="D445" s="847"/>
      <c r="E445" s="696"/>
      <c r="F445" s="847"/>
      <c r="G445" s="696"/>
      <c r="H445" s="847"/>
      <c r="I445" s="696"/>
      <c r="J445" s="847"/>
      <c r="K445" s="696"/>
      <c r="L445" s="847"/>
      <c r="M445" s="696"/>
      <c r="N445" s="696"/>
      <c r="O445" s="847"/>
      <c r="P445" s="696"/>
      <c r="Q445" s="847"/>
      <c r="R445" s="696"/>
      <c r="S445" s="847"/>
      <c r="T445" s="696"/>
      <c r="U445" s="847"/>
      <c r="V445" s="696"/>
      <c r="W445" s="847"/>
      <c r="X445" s="696"/>
      <c r="Y445" s="696"/>
      <c r="Z445" s="713"/>
      <c r="AA445" s="696"/>
      <c r="AB445" s="713"/>
      <c r="AC445" s="696"/>
      <c r="AD445" s="713"/>
      <c r="AE445" s="696"/>
      <c r="AF445" s="713"/>
      <c r="AG445" s="696"/>
      <c r="AH445" s="713"/>
      <c r="AI445" s="696"/>
      <c r="AJ445" s="696"/>
      <c r="AK445" s="713"/>
      <c r="AL445" s="696"/>
      <c r="AM445" s="713"/>
      <c r="AN445" s="696"/>
      <c r="AO445" s="713"/>
      <c r="AP445" s="696"/>
      <c r="AQ445" s="713"/>
      <c r="AR445" s="696"/>
      <c r="AS445" s="713"/>
      <c r="AT445" s="696"/>
      <c r="AU445" s="696"/>
      <c r="AV445" s="713"/>
      <c r="AW445" s="696"/>
      <c r="AX445" s="713"/>
      <c r="AY445" s="696"/>
      <c r="AZ445" s="713"/>
      <c r="BA445" s="696"/>
      <c r="BB445" s="713"/>
      <c r="BC445" s="696"/>
      <c r="BD445" s="713"/>
      <c r="BE445" s="696"/>
    </row>
    <row r="446" spans="4:57" s="44" customFormat="1">
      <c r="D446" s="847"/>
      <c r="E446" s="696"/>
      <c r="F446" s="847"/>
      <c r="G446" s="696"/>
      <c r="H446" s="847"/>
      <c r="I446" s="696"/>
      <c r="J446" s="847"/>
      <c r="K446" s="696"/>
      <c r="L446" s="847"/>
      <c r="M446" s="696"/>
      <c r="N446" s="696"/>
      <c r="O446" s="847"/>
      <c r="P446" s="696"/>
      <c r="Q446" s="847"/>
      <c r="R446" s="696"/>
      <c r="S446" s="847"/>
      <c r="T446" s="696"/>
      <c r="U446" s="847"/>
      <c r="V446" s="696"/>
      <c r="W446" s="847"/>
      <c r="X446" s="696"/>
      <c r="Y446" s="696"/>
      <c r="Z446" s="713"/>
      <c r="AA446" s="696"/>
      <c r="AB446" s="713"/>
      <c r="AC446" s="696"/>
      <c r="AD446" s="713"/>
      <c r="AE446" s="696"/>
      <c r="AF446" s="713"/>
      <c r="AG446" s="696"/>
      <c r="AH446" s="713"/>
      <c r="AI446" s="696"/>
      <c r="AJ446" s="696"/>
      <c r="AK446" s="713"/>
      <c r="AL446" s="696"/>
      <c r="AM446" s="713"/>
      <c r="AN446" s="696"/>
      <c r="AO446" s="713"/>
      <c r="AP446" s="696"/>
      <c r="AQ446" s="713"/>
      <c r="AR446" s="696"/>
      <c r="AS446" s="713"/>
      <c r="AT446" s="696"/>
      <c r="AU446" s="696"/>
      <c r="AV446" s="713"/>
      <c r="AW446" s="696"/>
      <c r="AX446" s="713"/>
      <c r="AY446" s="696"/>
      <c r="AZ446" s="713"/>
      <c r="BA446" s="696"/>
      <c r="BB446" s="713"/>
      <c r="BC446" s="696"/>
      <c r="BD446" s="713"/>
      <c r="BE446" s="696"/>
    </row>
    <row r="447" spans="4:57" s="44" customFormat="1">
      <c r="D447" s="847"/>
      <c r="E447" s="696"/>
      <c r="F447" s="847"/>
      <c r="G447" s="696"/>
      <c r="H447" s="847"/>
      <c r="I447" s="696"/>
      <c r="J447" s="847"/>
      <c r="K447" s="696"/>
      <c r="L447" s="847"/>
      <c r="M447" s="696"/>
      <c r="N447" s="696"/>
      <c r="O447" s="847"/>
      <c r="P447" s="696"/>
      <c r="Q447" s="847"/>
      <c r="R447" s="696"/>
      <c r="S447" s="847"/>
      <c r="T447" s="696"/>
      <c r="U447" s="847"/>
      <c r="V447" s="696"/>
      <c r="W447" s="847"/>
      <c r="X447" s="696"/>
      <c r="Y447" s="696"/>
      <c r="Z447" s="713"/>
      <c r="AA447" s="696"/>
      <c r="AB447" s="713"/>
      <c r="AC447" s="696"/>
      <c r="AD447" s="713"/>
      <c r="AE447" s="696"/>
      <c r="AF447" s="713"/>
      <c r="AG447" s="696"/>
      <c r="AH447" s="713"/>
      <c r="AI447" s="696"/>
      <c r="AJ447" s="696"/>
      <c r="AK447" s="713"/>
      <c r="AL447" s="696"/>
      <c r="AM447" s="713"/>
      <c r="AN447" s="696"/>
      <c r="AO447" s="713"/>
      <c r="AP447" s="696"/>
      <c r="AQ447" s="713"/>
      <c r="AR447" s="696"/>
      <c r="AS447" s="713"/>
      <c r="AT447" s="696"/>
      <c r="AU447" s="696"/>
      <c r="AV447" s="713"/>
      <c r="AW447" s="696"/>
      <c r="AX447" s="713"/>
      <c r="AY447" s="696"/>
      <c r="AZ447" s="713"/>
      <c r="BA447" s="696"/>
      <c r="BB447" s="713"/>
      <c r="BC447" s="696"/>
      <c r="BD447" s="713"/>
      <c r="BE447" s="696"/>
    </row>
    <row r="448" spans="4:57" s="44" customFormat="1">
      <c r="D448" s="847"/>
      <c r="E448" s="696"/>
      <c r="F448" s="847"/>
      <c r="G448" s="696"/>
      <c r="H448" s="847"/>
      <c r="I448" s="696"/>
      <c r="J448" s="847"/>
      <c r="K448" s="696"/>
      <c r="L448" s="847"/>
      <c r="M448" s="696"/>
      <c r="N448" s="696"/>
      <c r="O448" s="847"/>
      <c r="P448" s="696"/>
      <c r="Q448" s="847"/>
      <c r="R448" s="696"/>
      <c r="S448" s="847"/>
      <c r="T448" s="696"/>
      <c r="U448" s="847"/>
      <c r="V448" s="696"/>
      <c r="W448" s="847"/>
      <c r="X448" s="696"/>
      <c r="Y448" s="696"/>
      <c r="Z448" s="713"/>
      <c r="AA448" s="696"/>
      <c r="AB448" s="713"/>
      <c r="AC448" s="696"/>
      <c r="AD448" s="713"/>
      <c r="AE448" s="696"/>
      <c r="AF448" s="713"/>
      <c r="AG448" s="696"/>
      <c r="AH448" s="713"/>
      <c r="AI448" s="696"/>
      <c r="AJ448" s="696"/>
      <c r="AK448" s="713"/>
      <c r="AL448" s="696"/>
      <c r="AM448" s="713"/>
      <c r="AN448" s="696"/>
      <c r="AO448" s="713"/>
      <c r="AP448" s="696"/>
      <c r="AQ448" s="713"/>
      <c r="AR448" s="696"/>
      <c r="AS448" s="713"/>
      <c r="AT448" s="696"/>
      <c r="AU448" s="696"/>
      <c r="AV448" s="713"/>
      <c r="AW448" s="696"/>
      <c r="AX448" s="713"/>
      <c r="AY448" s="696"/>
      <c r="AZ448" s="713"/>
      <c r="BA448" s="696"/>
      <c r="BB448" s="713"/>
      <c r="BC448" s="696"/>
      <c r="BD448" s="713"/>
      <c r="BE448" s="696"/>
    </row>
    <row r="449" spans="4:57" s="44" customFormat="1">
      <c r="D449" s="847"/>
      <c r="E449" s="696"/>
      <c r="F449" s="847"/>
      <c r="G449" s="696"/>
      <c r="H449" s="847"/>
      <c r="I449" s="696"/>
      <c r="J449" s="847"/>
      <c r="K449" s="696"/>
      <c r="L449" s="847"/>
      <c r="M449" s="696"/>
      <c r="N449" s="696"/>
      <c r="O449" s="847"/>
      <c r="P449" s="696"/>
      <c r="Q449" s="847"/>
      <c r="R449" s="696"/>
      <c r="S449" s="847"/>
      <c r="T449" s="696"/>
      <c r="U449" s="847"/>
      <c r="V449" s="696"/>
      <c r="W449" s="847"/>
      <c r="X449" s="696"/>
      <c r="Y449" s="696"/>
      <c r="Z449" s="713"/>
      <c r="AA449" s="696"/>
      <c r="AB449" s="713"/>
      <c r="AC449" s="696"/>
      <c r="AD449" s="713"/>
      <c r="AE449" s="696"/>
      <c r="AF449" s="713"/>
      <c r="AG449" s="696"/>
      <c r="AH449" s="713"/>
      <c r="AI449" s="696"/>
      <c r="AJ449" s="696"/>
      <c r="AK449" s="713"/>
      <c r="AL449" s="696"/>
      <c r="AM449" s="713"/>
      <c r="AN449" s="696"/>
      <c r="AO449" s="713"/>
      <c r="AP449" s="696"/>
      <c r="AQ449" s="713"/>
      <c r="AR449" s="696"/>
      <c r="AS449" s="713"/>
      <c r="AT449" s="696"/>
      <c r="AU449" s="696"/>
      <c r="AV449" s="713"/>
      <c r="AW449" s="696"/>
      <c r="AX449" s="713"/>
      <c r="AY449" s="696"/>
      <c r="AZ449" s="713"/>
      <c r="BA449" s="696"/>
      <c r="BB449" s="713"/>
      <c r="BC449" s="696"/>
      <c r="BD449" s="713"/>
      <c r="BE449" s="696"/>
    </row>
    <row r="450" spans="4:57" s="44" customFormat="1">
      <c r="D450" s="847"/>
      <c r="E450" s="696"/>
      <c r="F450" s="847"/>
      <c r="G450" s="696"/>
      <c r="H450" s="847"/>
      <c r="I450" s="696"/>
      <c r="J450" s="847"/>
      <c r="K450" s="696"/>
      <c r="L450" s="847"/>
      <c r="M450" s="696"/>
      <c r="N450" s="696"/>
      <c r="O450" s="847"/>
      <c r="P450" s="696"/>
      <c r="Q450" s="847"/>
      <c r="R450" s="696"/>
      <c r="S450" s="847"/>
      <c r="T450" s="696"/>
      <c r="U450" s="847"/>
      <c r="V450" s="696"/>
      <c r="W450" s="847"/>
      <c r="X450" s="696"/>
      <c r="Y450" s="696"/>
      <c r="Z450" s="713"/>
      <c r="AA450" s="696"/>
      <c r="AB450" s="713"/>
      <c r="AC450" s="696"/>
      <c r="AD450" s="713"/>
      <c r="AE450" s="696"/>
      <c r="AF450" s="713"/>
      <c r="AG450" s="696"/>
      <c r="AH450" s="713"/>
      <c r="AI450" s="696"/>
      <c r="AJ450" s="696"/>
      <c r="AK450" s="713"/>
      <c r="AL450" s="696"/>
      <c r="AM450" s="713"/>
      <c r="AN450" s="696"/>
      <c r="AO450" s="713"/>
      <c r="AP450" s="696"/>
      <c r="AQ450" s="713"/>
      <c r="AR450" s="696"/>
      <c r="AS450" s="713"/>
      <c r="AT450" s="696"/>
      <c r="AU450" s="696"/>
      <c r="AV450" s="713"/>
      <c r="AW450" s="696"/>
      <c r="AX450" s="713"/>
      <c r="AY450" s="696"/>
      <c r="AZ450" s="713"/>
      <c r="BA450" s="696"/>
      <c r="BB450" s="713"/>
      <c r="BC450" s="696"/>
      <c r="BD450" s="713"/>
      <c r="BE450" s="696"/>
    </row>
    <row r="451" spans="4:57" s="44" customFormat="1">
      <c r="D451" s="847"/>
      <c r="E451" s="696"/>
      <c r="F451" s="847"/>
      <c r="G451" s="696"/>
      <c r="H451" s="847"/>
      <c r="I451" s="696"/>
      <c r="J451" s="847"/>
      <c r="K451" s="696"/>
      <c r="L451" s="847"/>
      <c r="M451" s="696"/>
      <c r="N451" s="696"/>
      <c r="O451" s="847"/>
      <c r="P451" s="696"/>
      <c r="Q451" s="847"/>
      <c r="R451" s="696"/>
      <c r="S451" s="847"/>
      <c r="T451" s="696"/>
      <c r="U451" s="847"/>
      <c r="V451" s="696"/>
      <c r="W451" s="847"/>
      <c r="X451" s="696"/>
      <c r="Y451" s="696"/>
      <c r="Z451" s="713"/>
      <c r="AA451" s="696"/>
      <c r="AB451" s="713"/>
      <c r="AC451" s="696"/>
      <c r="AD451" s="713"/>
      <c r="AE451" s="696"/>
      <c r="AF451" s="713"/>
      <c r="AG451" s="696"/>
      <c r="AH451" s="713"/>
      <c r="AI451" s="696"/>
      <c r="AJ451" s="696"/>
      <c r="AK451" s="713"/>
      <c r="AL451" s="696"/>
      <c r="AM451" s="713"/>
      <c r="AN451" s="696"/>
      <c r="AO451" s="713"/>
      <c r="AP451" s="696"/>
      <c r="AQ451" s="713"/>
      <c r="AR451" s="696"/>
      <c r="AS451" s="713"/>
      <c r="AT451" s="696"/>
      <c r="AU451" s="696"/>
      <c r="AV451" s="713"/>
      <c r="AW451" s="696"/>
      <c r="AX451" s="713"/>
      <c r="AY451" s="696"/>
      <c r="AZ451" s="713"/>
      <c r="BA451" s="696"/>
      <c r="BB451" s="713"/>
      <c r="BC451" s="696"/>
      <c r="BD451" s="713"/>
      <c r="BE451" s="696"/>
    </row>
    <row r="452" spans="4:57" s="44" customFormat="1">
      <c r="D452" s="847"/>
      <c r="E452" s="696"/>
      <c r="F452" s="847"/>
      <c r="G452" s="696"/>
      <c r="H452" s="847"/>
      <c r="I452" s="696"/>
      <c r="J452" s="847"/>
      <c r="K452" s="696"/>
      <c r="L452" s="847"/>
      <c r="M452" s="696"/>
      <c r="N452" s="696"/>
      <c r="O452" s="847"/>
      <c r="P452" s="696"/>
      <c r="Q452" s="847"/>
      <c r="R452" s="696"/>
      <c r="S452" s="847"/>
      <c r="T452" s="696"/>
      <c r="U452" s="847"/>
      <c r="V452" s="696"/>
      <c r="W452" s="847"/>
      <c r="X452" s="696"/>
      <c r="Y452" s="696"/>
      <c r="Z452" s="713"/>
      <c r="AA452" s="696"/>
      <c r="AB452" s="713"/>
      <c r="AC452" s="696"/>
      <c r="AD452" s="713"/>
      <c r="AE452" s="696"/>
      <c r="AF452" s="713"/>
      <c r="AG452" s="696"/>
      <c r="AH452" s="713"/>
      <c r="AI452" s="696"/>
      <c r="AJ452" s="696"/>
      <c r="AK452" s="713"/>
      <c r="AL452" s="696"/>
      <c r="AM452" s="713"/>
      <c r="AN452" s="696"/>
      <c r="AO452" s="713"/>
      <c r="AP452" s="696"/>
      <c r="AQ452" s="713"/>
      <c r="AR452" s="696"/>
      <c r="AS452" s="713"/>
      <c r="AT452" s="696"/>
      <c r="AU452" s="696"/>
      <c r="AV452" s="713"/>
      <c r="AW452" s="696"/>
      <c r="AX452" s="713"/>
      <c r="AY452" s="696"/>
      <c r="AZ452" s="713"/>
      <c r="BA452" s="696"/>
      <c r="BB452" s="713"/>
      <c r="BC452" s="696"/>
      <c r="BD452" s="713"/>
      <c r="BE452" s="696"/>
    </row>
    <row r="453" spans="4:57" s="44" customFormat="1">
      <c r="D453" s="847"/>
      <c r="E453" s="696"/>
      <c r="F453" s="847"/>
      <c r="G453" s="696"/>
      <c r="H453" s="847"/>
      <c r="I453" s="696"/>
      <c r="J453" s="847"/>
      <c r="K453" s="696"/>
      <c r="L453" s="847"/>
      <c r="M453" s="696"/>
      <c r="N453" s="696"/>
      <c r="O453" s="847"/>
      <c r="P453" s="696"/>
      <c r="Q453" s="847"/>
      <c r="R453" s="696"/>
      <c r="S453" s="847"/>
      <c r="T453" s="696"/>
      <c r="U453" s="847"/>
      <c r="V453" s="696"/>
      <c r="W453" s="847"/>
      <c r="X453" s="696"/>
      <c r="Y453" s="696"/>
      <c r="Z453" s="713"/>
      <c r="AA453" s="696"/>
      <c r="AB453" s="713"/>
      <c r="AC453" s="696"/>
      <c r="AD453" s="713"/>
      <c r="AE453" s="696"/>
      <c r="AF453" s="713"/>
      <c r="AG453" s="696"/>
      <c r="AH453" s="713"/>
      <c r="AI453" s="696"/>
      <c r="AJ453" s="696"/>
      <c r="AK453" s="713"/>
      <c r="AL453" s="696"/>
      <c r="AM453" s="713"/>
      <c r="AN453" s="696"/>
      <c r="AO453" s="713"/>
      <c r="AP453" s="696"/>
      <c r="AQ453" s="713"/>
      <c r="AR453" s="696"/>
      <c r="AS453" s="713"/>
      <c r="AT453" s="696"/>
      <c r="AU453" s="696"/>
      <c r="AV453" s="713"/>
      <c r="AW453" s="696"/>
      <c r="AX453" s="713"/>
      <c r="AY453" s="696"/>
      <c r="AZ453" s="713"/>
      <c r="BA453" s="696"/>
      <c r="BB453" s="713"/>
      <c r="BC453" s="696"/>
      <c r="BD453" s="713"/>
      <c r="BE453" s="696"/>
    </row>
    <row r="454" spans="4:57" s="44" customFormat="1">
      <c r="D454" s="847"/>
      <c r="E454" s="696"/>
      <c r="F454" s="847"/>
      <c r="G454" s="696"/>
      <c r="H454" s="847"/>
      <c r="I454" s="696"/>
      <c r="J454" s="847"/>
      <c r="K454" s="696"/>
      <c r="L454" s="847"/>
      <c r="M454" s="696"/>
      <c r="N454" s="696"/>
      <c r="O454" s="847"/>
      <c r="P454" s="696"/>
      <c r="Q454" s="847"/>
      <c r="R454" s="696"/>
      <c r="S454" s="847"/>
      <c r="T454" s="696"/>
      <c r="U454" s="847"/>
      <c r="V454" s="696"/>
      <c r="W454" s="847"/>
      <c r="X454" s="696"/>
      <c r="Y454" s="696"/>
      <c r="Z454" s="713"/>
      <c r="AA454" s="696"/>
      <c r="AB454" s="713"/>
      <c r="AC454" s="696"/>
      <c r="AD454" s="713"/>
      <c r="AE454" s="696"/>
      <c r="AF454" s="713"/>
      <c r="AG454" s="696"/>
      <c r="AH454" s="713"/>
      <c r="AI454" s="696"/>
      <c r="AJ454" s="696"/>
      <c r="AK454" s="713"/>
      <c r="AL454" s="696"/>
      <c r="AM454" s="713"/>
      <c r="AN454" s="696"/>
      <c r="AO454" s="713"/>
      <c r="AP454" s="696"/>
      <c r="AQ454" s="713"/>
      <c r="AR454" s="696"/>
      <c r="AS454" s="713"/>
      <c r="AT454" s="696"/>
      <c r="AU454" s="696"/>
      <c r="AV454" s="713"/>
      <c r="AW454" s="696"/>
      <c r="AX454" s="713"/>
      <c r="AY454" s="696"/>
      <c r="AZ454" s="713"/>
      <c r="BA454" s="696"/>
      <c r="BB454" s="713"/>
      <c r="BC454" s="696"/>
      <c r="BD454" s="713"/>
      <c r="BE454" s="696"/>
    </row>
    <row r="455" spans="4:57" s="44" customFormat="1">
      <c r="D455" s="847"/>
      <c r="E455" s="696"/>
      <c r="F455" s="847"/>
      <c r="G455" s="696"/>
      <c r="H455" s="847"/>
      <c r="I455" s="696"/>
      <c r="J455" s="847"/>
      <c r="K455" s="696"/>
      <c r="L455" s="847"/>
      <c r="M455" s="696"/>
      <c r="N455" s="696"/>
      <c r="O455" s="847"/>
      <c r="P455" s="696"/>
      <c r="Q455" s="847"/>
      <c r="R455" s="696"/>
      <c r="S455" s="847"/>
      <c r="T455" s="696"/>
      <c r="U455" s="847"/>
      <c r="V455" s="696"/>
      <c r="W455" s="847"/>
      <c r="X455" s="696"/>
      <c r="Y455" s="696"/>
      <c r="Z455" s="713"/>
      <c r="AA455" s="696"/>
      <c r="AB455" s="713"/>
      <c r="AC455" s="696"/>
      <c r="AD455" s="713"/>
      <c r="AE455" s="696"/>
      <c r="AF455" s="713"/>
      <c r="AG455" s="696"/>
      <c r="AH455" s="713"/>
      <c r="AI455" s="696"/>
      <c r="AJ455" s="696"/>
      <c r="AK455" s="713"/>
      <c r="AL455" s="696"/>
      <c r="AM455" s="713"/>
      <c r="AN455" s="696"/>
      <c r="AO455" s="713"/>
      <c r="AP455" s="696"/>
      <c r="AQ455" s="713"/>
      <c r="AR455" s="696"/>
      <c r="AS455" s="713"/>
      <c r="AT455" s="696"/>
      <c r="AU455" s="696"/>
      <c r="AV455" s="713"/>
      <c r="AW455" s="696"/>
      <c r="AX455" s="713"/>
      <c r="AY455" s="696"/>
      <c r="AZ455" s="713"/>
      <c r="BA455" s="696"/>
      <c r="BB455" s="713"/>
      <c r="BC455" s="696"/>
      <c r="BD455" s="713"/>
      <c r="BE455" s="696"/>
    </row>
    <row r="456" spans="4:57" s="44" customFormat="1">
      <c r="D456" s="847"/>
      <c r="E456" s="696"/>
      <c r="F456" s="847"/>
      <c r="G456" s="696"/>
      <c r="H456" s="847"/>
      <c r="I456" s="696"/>
      <c r="J456" s="847"/>
      <c r="K456" s="696"/>
      <c r="L456" s="847"/>
      <c r="M456" s="696"/>
      <c r="N456" s="696"/>
      <c r="O456" s="847"/>
      <c r="P456" s="696"/>
      <c r="Q456" s="847"/>
      <c r="R456" s="696"/>
      <c r="S456" s="847"/>
      <c r="T456" s="696"/>
      <c r="U456" s="847"/>
      <c r="V456" s="696"/>
      <c r="W456" s="847"/>
      <c r="X456" s="696"/>
      <c r="Y456" s="696"/>
      <c r="Z456" s="713"/>
      <c r="AA456" s="696"/>
      <c r="AB456" s="713"/>
      <c r="AC456" s="696"/>
      <c r="AD456" s="713"/>
      <c r="AE456" s="696"/>
      <c r="AF456" s="713"/>
      <c r="AG456" s="696"/>
      <c r="AH456" s="713"/>
      <c r="AI456" s="696"/>
      <c r="AJ456" s="696"/>
      <c r="AK456" s="713"/>
      <c r="AL456" s="696"/>
      <c r="AM456" s="713"/>
      <c r="AN456" s="696"/>
      <c r="AO456" s="713"/>
      <c r="AP456" s="696"/>
      <c r="AQ456" s="713"/>
      <c r="AR456" s="696"/>
      <c r="AS456" s="713"/>
      <c r="AT456" s="696"/>
      <c r="AU456" s="696"/>
      <c r="AV456" s="713"/>
      <c r="AW456" s="696"/>
      <c r="AX456" s="713"/>
      <c r="AY456" s="696"/>
      <c r="AZ456" s="713"/>
      <c r="BA456" s="696"/>
      <c r="BB456" s="713"/>
      <c r="BC456" s="696"/>
      <c r="BD456" s="713"/>
      <c r="BE456" s="696"/>
    </row>
    <row r="457" spans="4:57" s="44" customFormat="1">
      <c r="D457" s="847"/>
      <c r="E457" s="696"/>
      <c r="F457" s="847"/>
      <c r="G457" s="696"/>
      <c r="H457" s="847"/>
      <c r="I457" s="696"/>
      <c r="J457" s="847"/>
      <c r="K457" s="696"/>
      <c r="L457" s="847"/>
      <c r="M457" s="696"/>
      <c r="N457" s="696"/>
      <c r="O457" s="847"/>
      <c r="P457" s="696"/>
      <c r="Q457" s="847"/>
      <c r="R457" s="696"/>
      <c r="S457" s="847"/>
      <c r="T457" s="696"/>
      <c r="U457" s="847"/>
      <c r="V457" s="696"/>
      <c r="W457" s="847"/>
      <c r="X457" s="696"/>
      <c r="Y457" s="696"/>
      <c r="Z457" s="713"/>
      <c r="AA457" s="696"/>
      <c r="AB457" s="713"/>
      <c r="AC457" s="696"/>
      <c r="AD457" s="713"/>
      <c r="AE457" s="696"/>
      <c r="AF457" s="713"/>
      <c r="AG457" s="696"/>
      <c r="AH457" s="713"/>
      <c r="AI457" s="696"/>
      <c r="AJ457" s="696"/>
      <c r="AK457" s="713"/>
      <c r="AL457" s="696"/>
      <c r="AM457" s="713"/>
      <c r="AN457" s="696"/>
      <c r="AO457" s="713"/>
      <c r="AP457" s="696"/>
      <c r="AQ457" s="713"/>
      <c r="AR457" s="696"/>
      <c r="AS457" s="713"/>
      <c r="AT457" s="696"/>
      <c r="AU457" s="696"/>
      <c r="AV457" s="713"/>
      <c r="AW457" s="696"/>
      <c r="AX457" s="713"/>
      <c r="AY457" s="696"/>
      <c r="AZ457" s="713"/>
      <c r="BA457" s="696"/>
      <c r="BB457" s="713"/>
      <c r="BC457" s="696"/>
      <c r="BD457" s="713"/>
      <c r="BE457" s="696"/>
    </row>
    <row r="458" spans="4:57" s="44" customFormat="1">
      <c r="D458" s="847"/>
      <c r="E458" s="696"/>
      <c r="F458" s="847"/>
      <c r="G458" s="696"/>
      <c r="H458" s="847"/>
      <c r="I458" s="696"/>
      <c r="J458" s="847"/>
      <c r="K458" s="696"/>
      <c r="L458" s="847"/>
      <c r="M458" s="696"/>
      <c r="N458" s="696"/>
      <c r="O458" s="847"/>
      <c r="P458" s="696"/>
      <c r="Q458" s="847"/>
      <c r="R458" s="696"/>
      <c r="S458" s="847"/>
      <c r="T458" s="696"/>
      <c r="U458" s="847"/>
      <c r="V458" s="696"/>
      <c r="W458" s="847"/>
      <c r="X458" s="696"/>
      <c r="Y458" s="696"/>
      <c r="Z458" s="713"/>
      <c r="AA458" s="696"/>
      <c r="AB458" s="713"/>
      <c r="AC458" s="696"/>
      <c r="AD458" s="713"/>
      <c r="AE458" s="696"/>
      <c r="AF458" s="713"/>
      <c r="AG458" s="696"/>
      <c r="AH458" s="713"/>
      <c r="AI458" s="696"/>
      <c r="AJ458" s="696"/>
      <c r="AK458" s="713"/>
      <c r="AL458" s="696"/>
      <c r="AM458" s="713"/>
      <c r="AN458" s="696"/>
      <c r="AO458" s="713"/>
      <c r="AP458" s="696"/>
      <c r="AQ458" s="713"/>
      <c r="AR458" s="696"/>
      <c r="AS458" s="713"/>
      <c r="AT458" s="696"/>
      <c r="AU458" s="696"/>
      <c r="AV458" s="713"/>
      <c r="AW458" s="696"/>
      <c r="AX458" s="713"/>
      <c r="AY458" s="696"/>
      <c r="AZ458" s="713"/>
      <c r="BA458" s="696"/>
      <c r="BB458" s="713"/>
      <c r="BC458" s="696"/>
      <c r="BD458" s="713"/>
      <c r="BE458" s="696"/>
    </row>
    <row r="459" spans="4:57" s="44" customFormat="1">
      <c r="D459" s="847"/>
      <c r="E459" s="696"/>
      <c r="F459" s="847"/>
      <c r="G459" s="696"/>
      <c r="H459" s="847"/>
      <c r="I459" s="696"/>
      <c r="J459" s="847"/>
      <c r="K459" s="696"/>
      <c r="L459" s="847"/>
      <c r="M459" s="696"/>
      <c r="N459" s="696"/>
      <c r="O459" s="847"/>
      <c r="P459" s="696"/>
      <c r="Q459" s="847"/>
      <c r="R459" s="696"/>
      <c r="S459" s="847"/>
      <c r="T459" s="696"/>
      <c r="U459" s="847"/>
      <c r="V459" s="696"/>
      <c r="W459" s="847"/>
      <c r="X459" s="696"/>
      <c r="Y459" s="696"/>
      <c r="Z459" s="713"/>
      <c r="AA459" s="696"/>
      <c r="AB459" s="713"/>
      <c r="AC459" s="696"/>
      <c r="AD459" s="713"/>
      <c r="AE459" s="696"/>
      <c r="AF459" s="713"/>
      <c r="AG459" s="696"/>
      <c r="AH459" s="713"/>
      <c r="AI459" s="696"/>
      <c r="AJ459" s="696"/>
      <c r="AK459" s="713"/>
      <c r="AL459" s="696"/>
      <c r="AM459" s="713"/>
      <c r="AN459" s="696"/>
      <c r="AO459" s="713"/>
      <c r="AP459" s="696"/>
      <c r="AQ459" s="713"/>
      <c r="AR459" s="696"/>
      <c r="AS459" s="713"/>
      <c r="AT459" s="696"/>
      <c r="AU459" s="696"/>
      <c r="AV459" s="713"/>
      <c r="AW459" s="696"/>
      <c r="AX459" s="713"/>
      <c r="AY459" s="696"/>
      <c r="AZ459" s="713"/>
      <c r="BA459" s="696"/>
      <c r="BB459" s="713"/>
      <c r="BC459" s="696"/>
      <c r="BD459" s="713"/>
      <c r="BE459" s="696"/>
    </row>
    <row r="460" spans="4:57" s="44" customFormat="1">
      <c r="D460" s="847"/>
      <c r="E460" s="696"/>
      <c r="F460" s="847"/>
      <c r="G460" s="696"/>
      <c r="H460" s="847"/>
      <c r="I460" s="696"/>
      <c r="J460" s="847"/>
      <c r="K460" s="696"/>
      <c r="L460" s="847"/>
      <c r="M460" s="696"/>
      <c r="N460" s="696"/>
      <c r="O460" s="847"/>
      <c r="P460" s="696"/>
      <c r="Q460" s="847"/>
      <c r="R460" s="696"/>
      <c r="S460" s="847"/>
      <c r="T460" s="696"/>
      <c r="U460" s="847"/>
      <c r="V460" s="696"/>
      <c r="W460" s="847"/>
      <c r="X460" s="696"/>
      <c r="Y460" s="696"/>
      <c r="Z460" s="713"/>
      <c r="AA460" s="696"/>
      <c r="AB460" s="713"/>
      <c r="AC460" s="696"/>
      <c r="AD460" s="713"/>
      <c r="AE460" s="696"/>
      <c r="AF460" s="713"/>
      <c r="AG460" s="696"/>
      <c r="AH460" s="713"/>
      <c r="AI460" s="696"/>
      <c r="AJ460" s="696"/>
      <c r="AK460" s="713"/>
      <c r="AL460" s="696"/>
      <c r="AM460" s="713"/>
      <c r="AN460" s="696"/>
      <c r="AO460" s="713"/>
      <c r="AP460" s="696"/>
      <c r="AQ460" s="713"/>
      <c r="AR460" s="696"/>
      <c r="AS460" s="713"/>
      <c r="AT460" s="696"/>
      <c r="AU460" s="696"/>
      <c r="AV460" s="713"/>
      <c r="AW460" s="696"/>
      <c r="AX460" s="713"/>
      <c r="AY460" s="696"/>
      <c r="AZ460" s="713"/>
      <c r="BA460" s="696"/>
      <c r="BB460" s="713"/>
      <c r="BC460" s="696"/>
      <c r="BD460" s="713"/>
      <c r="BE460" s="696"/>
    </row>
    <row r="461" spans="4:57" s="44" customFormat="1">
      <c r="D461" s="847"/>
      <c r="E461" s="696"/>
      <c r="F461" s="847"/>
      <c r="G461" s="696"/>
      <c r="H461" s="847"/>
      <c r="I461" s="696"/>
      <c r="J461" s="847"/>
      <c r="K461" s="696"/>
      <c r="L461" s="847"/>
      <c r="M461" s="696"/>
      <c r="N461" s="696"/>
      <c r="O461" s="847"/>
      <c r="P461" s="696"/>
      <c r="Q461" s="847"/>
      <c r="R461" s="696"/>
      <c r="S461" s="847"/>
      <c r="T461" s="696"/>
      <c r="U461" s="847"/>
      <c r="V461" s="696"/>
      <c r="W461" s="847"/>
      <c r="X461" s="696"/>
      <c r="Y461" s="696"/>
      <c r="Z461" s="713"/>
      <c r="AA461" s="696"/>
      <c r="AB461" s="713"/>
      <c r="AC461" s="696"/>
      <c r="AD461" s="713"/>
      <c r="AE461" s="696"/>
      <c r="AF461" s="713"/>
      <c r="AG461" s="696"/>
      <c r="AH461" s="713"/>
      <c r="AI461" s="696"/>
      <c r="AJ461" s="696"/>
      <c r="AK461" s="713"/>
      <c r="AL461" s="696"/>
      <c r="AM461" s="713"/>
      <c r="AN461" s="696"/>
      <c r="AO461" s="713"/>
      <c r="AP461" s="696"/>
      <c r="AQ461" s="713"/>
      <c r="AR461" s="696"/>
      <c r="AS461" s="713"/>
      <c r="AT461" s="696"/>
      <c r="AU461" s="696"/>
      <c r="AV461" s="713"/>
      <c r="AW461" s="696"/>
      <c r="AX461" s="713"/>
      <c r="AY461" s="696"/>
      <c r="AZ461" s="713"/>
      <c r="BA461" s="696"/>
      <c r="BB461" s="713"/>
      <c r="BC461" s="696"/>
      <c r="BD461" s="713"/>
      <c r="BE461" s="696"/>
    </row>
    <row r="462" spans="4:57" s="44" customFormat="1">
      <c r="D462" s="847"/>
      <c r="E462" s="696"/>
      <c r="F462" s="847"/>
      <c r="G462" s="696"/>
      <c r="H462" s="847"/>
      <c r="I462" s="696"/>
      <c r="J462" s="847"/>
      <c r="K462" s="696"/>
      <c r="L462" s="847"/>
      <c r="M462" s="696"/>
      <c r="N462" s="696"/>
      <c r="O462" s="847"/>
      <c r="P462" s="696"/>
      <c r="Q462" s="847"/>
      <c r="R462" s="696"/>
      <c r="S462" s="847"/>
      <c r="T462" s="696"/>
      <c r="U462" s="847"/>
      <c r="V462" s="696"/>
      <c r="W462" s="847"/>
      <c r="X462" s="696"/>
      <c r="Y462" s="696"/>
      <c r="Z462" s="713"/>
      <c r="AA462" s="696"/>
      <c r="AB462" s="713"/>
      <c r="AC462" s="696"/>
      <c r="AD462" s="713"/>
      <c r="AE462" s="696"/>
      <c r="AF462" s="713"/>
      <c r="AG462" s="696"/>
      <c r="AH462" s="713"/>
      <c r="AI462" s="696"/>
      <c r="AJ462" s="696"/>
      <c r="AK462" s="713"/>
      <c r="AL462" s="696"/>
      <c r="AM462" s="713"/>
      <c r="AN462" s="696"/>
      <c r="AO462" s="713"/>
      <c r="AP462" s="696"/>
      <c r="AQ462" s="713"/>
      <c r="AR462" s="696"/>
      <c r="AS462" s="713"/>
      <c r="AT462" s="696"/>
      <c r="AU462" s="696"/>
      <c r="AV462" s="713"/>
      <c r="AW462" s="696"/>
      <c r="AX462" s="713"/>
      <c r="AY462" s="696"/>
      <c r="AZ462" s="713"/>
      <c r="BA462" s="696"/>
      <c r="BB462" s="713"/>
      <c r="BC462" s="696"/>
      <c r="BD462" s="713"/>
      <c r="BE462" s="696"/>
    </row>
    <row r="463" spans="4:57" s="44" customFormat="1">
      <c r="D463" s="847"/>
      <c r="E463" s="696"/>
      <c r="F463" s="847"/>
      <c r="G463" s="696"/>
      <c r="H463" s="847"/>
      <c r="I463" s="696"/>
      <c r="J463" s="847"/>
      <c r="K463" s="696"/>
      <c r="L463" s="847"/>
      <c r="M463" s="696"/>
      <c r="N463" s="696"/>
      <c r="O463" s="847"/>
      <c r="P463" s="696"/>
      <c r="Q463" s="847"/>
      <c r="R463" s="696"/>
      <c r="S463" s="847"/>
      <c r="T463" s="696"/>
      <c r="U463" s="847"/>
      <c r="V463" s="696"/>
      <c r="W463" s="847"/>
      <c r="X463" s="696"/>
      <c r="Y463" s="696"/>
      <c r="Z463" s="713"/>
      <c r="AA463" s="696"/>
      <c r="AB463" s="713"/>
      <c r="AC463" s="696"/>
      <c r="AD463" s="713"/>
      <c r="AE463" s="696"/>
      <c r="AF463" s="713"/>
      <c r="AG463" s="696"/>
      <c r="AH463" s="713"/>
      <c r="AI463" s="696"/>
      <c r="AJ463" s="696"/>
      <c r="AK463" s="713"/>
      <c r="AL463" s="696"/>
      <c r="AM463" s="713"/>
      <c r="AN463" s="696"/>
      <c r="AO463" s="713"/>
      <c r="AP463" s="696"/>
      <c r="AQ463" s="713"/>
      <c r="AR463" s="696"/>
      <c r="AS463" s="713"/>
      <c r="AT463" s="696"/>
      <c r="AU463" s="696"/>
      <c r="AV463" s="713"/>
      <c r="AW463" s="696"/>
      <c r="AX463" s="713"/>
      <c r="AY463" s="696"/>
      <c r="AZ463" s="713"/>
      <c r="BA463" s="696"/>
      <c r="BB463" s="713"/>
      <c r="BC463" s="696"/>
      <c r="BD463" s="713"/>
      <c r="BE463" s="696"/>
    </row>
    <row r="464" spans="4:57" s="44" customFormat="1">
      <c r="D464" s="847"/>
      <c r="E464" s="696"/>
      <c r="F464" s="847"/>
      <c r="G464" s="696"/>
      <c r="H464" s="847"/>
      <c r="I464" s="696"/>
      <c r="J464" s="847"/>
      <c r="K464" s="696"/>
      <c r="L464" s="847"/>
      <c r="M464" s="696"/>
      <c r="N464" s="696"/>
      <c r="O464" s="847"/>
      <c r="P464" s="696"/>
      <c r="Q464" s="847"/>
      <c r="R464" s="696"/>
      <c r="S464" s="847"/>
      <c r="T464" s="696"/>
      <c r="U464" s="847"/>
      <c r="V464" s="696"/>
      <c r="W464" s="847"/>
      <c r="X464" s="696"/>
      <c r="Y464" s="696"/>
      <c r="Z464" s="713"/>
      <c r="AA464" s="696"/>
      <c r="AB464" s="713"/>
      <c r="AC464" s="696"/>
      <c r="AD464" s="713"/>
      <c r="AE464" s="696"/>
      <c r="AF464" s="713"/>
      <c r="AG464" s="696"/>
      <c r="AH464" s="713"/>
      <c r="AI464" s="696"/>
      <c r="AJ464" s="696"/>
      <c r="AK464" s="713"/>
      <c r="AL464" s="696"/>
      <c r="AM464" s="713"/>
      <c r="AN464" s="696"/>
      <c r="AO464" s="713"/>
      <c r="AP464" s="696"/>
      <c r="AQ464" s="713"/>
      <c r="AR464" s="696"/>
      <c r="AS464" s="713"/>
      <c r="AT464" s="696"/>
      <c r="AU464" s="696"/>
      <c r="AV464" s="713"/>
      <c r="AW464" s="696"/>
      <c r="AX464" s="713"/>
      <c r="AY464" s="696"/>
      <c r="AZ464" s="713"/>
      <c r="BA464" s="696"/>
      <c r="BB464" s="713"/>
      <c r="BC464" s="696"/>
      <c r="BD464" s="713"/>
      <c r="BE464" s="696"/>
    </row>
    <row r="465" spans="4:57" s="44" customFormat="1">
      <c r="D465" s="847"/>
      <c r="E465" s="696"/>
      <c r="F465" s="847"/>
      <c r="G465" s="696"/>
      <c r="H465" s="847"/>
      <c r="I465" s="696"/>
      <c r="J465" s="847"/>
      <c r="K465" s="696"/>
      <c r="L465" s="847"/>
      <c r="M465" s="696"/>
      <c r="N465" s="696"/>
      <c r="O465" s="847"/>
      <c r="P465" s="696"/>
      <c r="Q465" s="847"/>
      <c r="R465" s="696"/>
      <c r="S465" s="847"/>
      <c r="T465" s="696"/>
      <c r="U465" s="847"/>
      <c r="V465" s="696"/>
      <c r="W465" s="847"/>
      <c r="X465" s="696"/>
      <c r="Y465" s="696"/>
      <c r="Z465" s="713"/>
      <c r="AA465" s="696"/>
      <c r="AB465" s="713"/>
      <c r="AC465" s="696"/>
      <c r="AD465" s="713"/>
      <c r="AE465" s="696"/>
      <c r="AF465" s="713"/>
      <c r="AG465" s="696"/>
      <c r="AH465" s="713"/>
      <c r="AI465" s="696"/>
      <c r="AJ465" s="696"/>
      <c r="AK465" s="713"/>
      <c r="AL465" s="696"/>
      <c r="AM465" s="713"/>
      <c r="AN465" s="696"/>
      <c r="AO465" s="713"/>
      <c r="AP465" s="696"/>
      <c r="AQ465" s="713"/>
      <c r="AR465" s="696"/>
      <c r="AS465" s="713"/>
      <c r="AT465" s="696"/>
      <c r="AU465" s="696"/>
      <c r="AV465" s="713"/>
      <c r="AW465" s="696"/>
      <c r="AX465" s="713"/>
      <c r="AY465" s="696"/>
      <c r="AZ465" s="713"/>
      <c r="BA465" s="696"/>
      <c r="BB465" s="713"/>
      <c r="BC465" s="696"/>
      <c r="BD465" s="713"/>
      <c r="BE465" s="696"/>
    </row>
    <row r="466" spans="4:57" s="44" customFormat="1">
      <c r="D466" s="847"/>
      <c r="E466" s="696"/>
      <c r="F466" s="847"/>
      <c r="G466" s="696"/>
      <c r="H466" s="847"/>
      <c r="I466" s="696"/>
      <c r="J466" s="847"/>
      <c r="K466" s="696"/>
      <c r="L466" s="847"/>
      <c r="M466" s="696"/>
      <c r="N466" s="696"/>
      <c r="O466" s="847"/>
      <c r="P466" s="696"/>
      <c r="Q466" s="847"/>
      <c r="R466" s="696"/>
      <c r="S466" s="847"/>
      <c r="T466" s="696"/>
      <c r="U466" s="847"/>
      <c r="V466" s="696"/>
      <c r="W466" s="847"/>
      <c r="X466" s="696"/>
      <c r="Y466" s="696"/>
      <c r="Z466" s="713"/>
      <c r="AA466" s="696"/>
      <c r="AB466" s="713"/>
      <c r="AC466" s="696"/>
      <c r="AD466" s="713"/>
      <c r="AE466" s="696"/>
      <c r="AF466" s="713"/>
      <c r="AG466" s="696"/>
      <c r="AH466" s="713"/>
      <c r="AI466" s="696"/>
      <c r="AJ466" s="696"/>
      <c r="AK466" s="713"/>
      <c r="AL466" s="696"/>
      <c r="AM466" s="713"/>
      <c r="AN466" s="696"/>
      <c r="AO466" s="713"/>
      <c r="AP466" s="696"/>
      <c r="AQ466" s="713"/>
      <c r="AR466" s="696"/>
      <c r="AS466" s="713"/>
      <c r="AT466" s="696"/>
      <c r="AU466" s="696"/>
      <c r="AV466" s="713"/>
      <c r="AW466" s="696"/>
      <c r="AX466" s="713"/>
      <c r="AY466" s="696"/>
      <c r="AZ466" s="713"/>
      <c r="BA466" s="696"/>
      <c r="BB466" s="713"/>
      <c r="BC466" s="696"/>
      <c r="BD466" s="713"/>
      <c r="BE466" s="696"/>
    </row>
    <row r="467" spans="4:57" s="44" customFormat="1">
      <c r="D467" s="847"/>
      <c r="E467" s="696"/>
      <c r="F467" s="847"/>
      <c r="G467" s="696"/>
      <c r="H467" s="847"/>
      <c r="I467" s="696"/>
      <c r="J467" s="847"/>
      <c r="K467" s="696"/>
      <c r="L467" s="847"/>
      <c r="M467" s="696"/>
      <c r="N467" s="696"/>
      <c r="O467" s="847"/>
      <c r="P467" s="696"/>
      <c r="Q467" s="847"/>
      <c r="R467" s="696"/>
      <c r="S467" s="847"/>
      <c r="T467" s="696"/>
      <c r="U467" s="847"/>
      <c r="V467" s="696"/>
      <c r="W467" s="847"/>
      <c r="X467" s="696"/>
      <c r="Y467" s="696"/>
      <c r="Z467" s="713"/>
      <c r="AA467" s="696"/>
      <c r="AB467" s="713"/>
      <c r="AC467" s="696"/>
      <c r="AD467" s="713"/>
      <c r="AE467" s="696"/>
      <c r="AF467" s="713"/>
      <c r="AG467" s="696"/>
      <c r="AH467" s="713"/>
      <c r="AI467" s="696"/>
      <c r="AJ467" s="696"/>
      <c r="AK467" s="713"/>
      <c r="AL467" s="696"/>
      <c r="AM467" s="713"/>
      <c r="AN467" s="696"/>
      <c r="AO467" s="713"/>
      <c r="AP467" s="696"/>
      <c r="AQ467" s="713"/>
      <c r="AR467" s="696"/>
      <c r="AS467" s="713"/>
      <c r="AT467" s="696"/>
      <c r="AU467" s="696"/>
      <c r="AV467" s="713"/>
      <c r="AW467" s="696"/>
      <c r="AX467" s="713"/>
      <c r="AY467" s="696"/>
      <c r="AZ467" s="713"/>
      <c r="BA467" s="696"/>
      <c r="BB467" s="713"/>
      <c r="BC467" s="696"/>
      <c r="BD467" s="713"/>
      <c r="BE467" s="696"/>
    </row>
    <row r="468" spans="4:57" s="44" customFormat="1">
      <c r="D468" s="847"/>
      <c r="E468" s="696"/>
      <c r="F468" s="847"/>
      <c r="G468" s="696"/>
      <c r="H468" s="847"/>
      <c r="I468" s="696"/>
      <c r="J468" s="847"/>
      <c r="K468" s="696"/>
      <c r="L468" s="847"/>
      <c r="M468" s="696"/>
      <c r="N468" s="696"/>
      <c r="O468" s="847"/>
      <c r="P468" s="696"/>
      <c r="Q468" s="847"/>
      <c r="R468" s="696"/>
      <c r="S468" s="847"/>
      <c r="T468" s="696"/>
      <c r="U468" s="847"/>
      <c r="V468" s="696"/>
      <c r="W468" s="847"/>
      <c r="X468" s="696"/>
      <c r="Y468" s="696"/>
      <c r="Z468" s="713"/>
      <c r="AA468" s="696"/>
      <c r="AB468" s="713"/>
      <c r="AC468" s="696"/>
      <c r="AD468" s="713"/>
      <c r="AE468" s="696"/>
      <c r="AF468" s="713"/>
      <c r="AG468" s="696"/>
      <c r="AH468" s="713"/>
      <c r="AI468" s="696"/>
      <c r="AJ468" s="696"/>
      <c r="AK468" s="713"/>
      <c r="AL468" s="696"/>
      <c r="AM468" s="713"/>
      <c r="AN468" s="696"/>
      <c r="AO468" s="713"/>
      <c r="AP468" s="696"/>
      <c r="AQ468" s="713"/>
      <c r="AR468" s="696"/>
      <c r="AS468" s="713"/>
      <c r="AT468" s="696"/>
      <c r="AU468" s="696"/>
      <c r="AV468" s="713"/>
      <c r="AW468" s="696"/>
      <c r="AX468" s="713"/>
      <c r="AY468" s="696"/>
      <c r="AZ468" s="713"/>
      <c r="BA468" s="696"/>
      <c r="BB468" s="713"/>
      <c r="BC468" s="696"/>
      <c r="BD468" s="713"/>
      <c r="BE468" s="696"/>
    </row>
    <row r="469" spans="4:57" s="44" customFormat="1">
      <c r="D469" s="847"/>
      <c r="E469" s="696"/>
      <c r="F469" s="847"/>
      <c r="G469" s="696"/>
      <c r="H469" s="847"/>
      <c r="I469" s="696"/>
      <c r="J469" s="847"/>
      <c r="K469" s="696"/>
      <c r="L469" s="847"/>
      <c r="M469" s="696"/>
      <c r="N469" s="696"/>
      <c r="O469" s="847"/>
      <c r="P469" s="696"/>
      <c r="Q469" s="847"/>
      <c r="R469" s="696"/>
      <c r="S469" s="847"/>
      <c r="T469" s="696"/>
      <c r="U469" s="847"/>
      <c r="V469" s="696"/>
      <c r="W469" s="847"/>
      <c r="X469" s="696"/>
      <c r="Y469" s="696"/>
      <c r="Z469" s="713"/>
      <c r="AA469" s="696"/>
      <c r="AB469" s="713"/>
      <c r="AC469" s="696"/>
      <c r="AD469" s="713"/>
      <c r="AE469" s="696"/>
      <c r="AF469" s="713"/>
      <c r="AG469" s="696"/>
      <c r="AH469" s="713"/>
      <c r="AI469" s="696"/>
      <c r="AJ469" s="696"/>
      <c r="AK469" s="713"/>
      <c r="AL469" s="696"/>
      <c r="AM469" s="713"/>
      <c r="AN469" s="696"/>
      <c r="AO469" s="713"/>
      <c r="AP469" s="696"/>
      <c r="AQ469" s="713"/>
      <c r="AR469" s="696"/>
      <c r="AS469" s="713"/>
      <c r="AT469" s="696"/>
      <c r="AU469" s="696"/>
      <c r="AV469" s="713"/>
      <c r="AW469" s="696"/>
      <c r="AX469" s="713"/>
      <c r="AY469" s="696"/>
      <c r="AZ469" s="713"/>
      <c r="BA469" s="696"/>
      <c r="BB469" s="713"/>
      <c r="BC469" s="696"/>
      <c r="BD469" s="713"/>
      <c r="BE469" s="696"/>
    </row>
    <row r="470" spans="4:57" s="44" customFormat="1">
      <c r="D470" s="847"/>
      <c r="E470" s="696"/>
      <c r="F470" s="847"/>
      <c r="G470" s="696"/>
      <c r="H470" s="847"/>
      <c r="I470" s="696"/>
      <c r="J470" s="847"/>
      <c r="K470" s="696"/>
      <c r="L470" s="847"/>
      <c r="M470" s="696"/>
      <c r="N470" s="696"/>
      <c r="O470" s="847"/>
      <c r="P470" s="696"/>
      <c r="Q470" s="847"/>
      <c r="R470" s="696"/>
      <c r="S470" s="847"/>
      <c r="T470" s="696"/>
      <c r="U470" s="847"/>
      <c r="V470" s="696"/>
      <c r="W470" s="847"/>
      <c r="X470" s="696"/>
      <c r="Y470" s="696"/>
      <c r="Z470" s="713"/>
      <c r="AA470" s="696"/>
      <c r="AB470" s="713"/>
      <c r="AC470" s="696"/>
      <c r="AD470" s="713"/>
      <c r="AE470" s="696"/>
      <c r="AF470" s="713"/>
      <c r="AG470" s="696"/>
      <c r="AH470" s="713"/>
      <c r="AI470" s="696"/>
      <c r="AJ470" s="696"/>
      <c r="AK470" s="713"/>
      <c r="AL470" s="696"/>
      <c r="AM470" s="713"/>
      <c r="AN470" s="696"/>
      <c r="AO470" s="713"/>
      <c r="AP470" s="696"/>
      <c r="AQ470" s="713"/>
      <c r="AR470" s="696"/>
      <c r="AS470" s="713"/>
      <c r="AT470" s="696"/>
      <c r="AU470" s="696"/>
      <c r="AV470" s="713"/>
      <c r="AW470" s="696"/>
      <c r="AX470" s="713"/>
      <c r="AY470" s="696"/>
      <c r="AZ470" s="713"/>
      <c r="BA470" s="696"/>
      <c r="BB470" s="713"/>
      <c r="BC470" s="696"/>
      <c r="BD470" s="713"/>
      <c r="BE470" s="696"/>
    </row>
    <row r="471" spans="4:57" s="44" customFormat="1">
      <c r="D471" s="847"/>
      <c r="E471" s="696"/>
      <c r="F471" s="847"/>
      <c r="G471" s="696"/>
      <c r="H471" s="847"/>
      <c r="I471" s="696"/>
      <c r="J471" s="847"/>
      <c r="K471" s="696"/>
      <c r="L471" s="847"/>
      <c r="M471" s="696"/>
      <c r="N471" s="696"/>
      <c r="O471" s="847"/>
      <c r="P471" s="696"/>
      <c r="Q471" s="847"/>
      <c r="R471" s="696"/>
      <c r="S471" s="847"/>
      <c r="T471" s="696"/>
      <c r="U471" s="847"/>
      <c r="V471" s="696"/>
      <c r="W471" s="847"/>
      <c r="X471" s="696"/>
      <c r="Y471" s="696"/>
      <c r="Z471" s="713"/>
      <c r="AA471" s="696"/>
      <c r="AB471" s="713"/>
      <c r="AC471" s="696"/>
      <c r="AD471" s="713"/>
      <c r="AE471" s="696"/>
      <c r="AF471" s="713"/>
      <c r="AG471" s="696"/>
      <c r="AH471" s="713"/>
      <c r="AI471" s="696"/>
      <c r="AJ471" s="696"/>
      <c r="AK471" s="713"/>
      <c r="AL471" s="696"/>
      <c r="AM471" s="713"/>
      <c r="AN471" s="696"/>
      <c r="AO471" s="713"/>
      <c r="AP471" s="696"/>
      <c r="AQ471" s="713"/>
      <c r="AR471" s="696"/>
      <c r="AS471" s="713"/>
      <c r="AT471" s="696"/>
      <c r="AU471" s="696"/>
      <c r="AV471" s="713"/>
      <c r="AW471" s="696"/>
      <c r="AX471" s="713"/>
      <c r="AY471" s="696"/>
      <c r="AZ471" s="713"/>
      <c r="BA471" s="696"/>
      <c r="BB471" s="713"/>
      <c r="BC471" s="696"/>
      <c r="BD471" s="713"/>
      <c r="BE471" s="696"/>
    </row>
    <row r="472" spans="4:57" s="44" customFormat="1">
      <c r="D472" s="847"/>
      <c r="E472" s="696"/>
      <c r="F472" s="847"/>
      <c r="G472" s="696"/>
      <c r="H472" s="847"/>
      <c r="I472" s="696"/>
      <c r="J472" s="847"/>
      <c r="K472" s="696"/>
      <c r="L472" s="847"/>
      <c r="M472" s="696"/>
      <c r="N472" s="696"/>
      <c r="O472" s="847"/>
      <c r="P472" s="696"/>
      <c r="Q472" s="847"/>
      <c r="R472" s="696"/>
      <c r="S472" s="847"/>
      <c r="T472" s="696"/>
      <c r="U472" s="847"/>
      <c r="V472" s="696"/>
      <c r="W472" s="847"/>
      <c r="X472" s="696"/>
      <c r="Y472" s="696"/>
      <c r="Z472" s="713"/>
      <c r="AA472" s="696"/>
      <c r="AB472" s="713"/>
      <c r="AC472" s="696"/>
      <c r="AD472" s="713"/>
      <c r="AE472" s="696"/>
      <c r="AF472" s="713"/>
      <c r="AG472" s="696"/>
      <c r="AH472" s="713"/>
      <c r="AI472" s="696"/>
      <c r="AJ472" s="696"/>
      <c r="AK472" s="713"/>
      <c r="AL472" s="696"/>
      <c r="AM472" s="713"/>
      <c r="AN472" s="696"/>
      <c r="AO472" s="713"/>
      <c r="AP472" s="696"/>
      <c r="AQ472" s="713"/>
      <c r="AR472" s="696"/>
      <c r="AS472" s="713"/>
      <c r="AT472" s="696"/>
      <c r="AU472" s="696"/>
      <c r="AV472" s="713"/>
      <c r="AW472" s="696"/>
      <c r="AX472" s="713"/>
      <c r="AY472" s="696"/>
      <c r="AZ472" s="713"/>
      <c r="BA472" s="696"/>
      <c r="BB472" s="713"/>
      <c r="BC472" s="696"/>
      <c r="BD472" s="713"/>
      <c r="BE472" s="696"/>
    </row>
    <row r="473" spans="4:57" s="44" customFormat="1">
      <c r="D473" s="847"/>
      <c r="E473" s="696"/>
      <c r="F473" s="847"/>
      <c r="G473" s="696"/>
      <c r="H473" s="847"/>
      <c r="I473" s="696"/>
      <c r="J473" s="847"/>
      <c r="K473" s="696"/>
      <c r="L473" s="847"/>
      <c r="M473" s="696"/>
      <c r="N473" s="696"/>
      <c r="O473" s="847"/>
      <c r="P473" s="696"/>
      <c r="Q473" s="847"/>
      <c r="R473" s="696"/>
      <c r="S473" s="847"/>
      <c r="T473" s="696"/>
      <c r="U473" s="847"/>
      <c r="V473" s="696"/>
      <c r="W473" s="847"/>
      <c r="X473" s="696"/>
      <c r="Y473" s="696"/>
      <c r="Z473" s="713"/>
      <c r="AA473" s="696"/>
      <c r="AB473" s="713"/>
      <c r="AC473" s="696"/>
      <c r="AD473" s="713"/>
      <c r="AE473" s="696"/>
      <c r="AF473" s="713"/>
      <c r="AG473" s="696"/>
      <c r="AH473" s="713"/>
      <c r="AI473" s="696"/>
      <c r="AJ473" s="696"/>
      <c r="AK473" s="713"/>
      <c r="AL473" s="696"/>
      <c r="AM473" s="713"/>
      <c r="AN473" s="696"/>
      <c r="AO473" s="713"/>
      <c r="AP473" s="696"/>
      <c r="AQ473" s="713"/>
      <c r="AR473" s="696"/>
      <c r="AS473" s="713"/>
      <c r="AT473" s="696"/>
      <c r="AU473" s="696"/>
      <c r="AV473" s="713"/>
      <c r="AW473" s="696"/>
      <c r="AX473" s="713"/>
      <c r="AY473" s="696"/>
      <c r="AZ473" s="713"/>
      <c r="BA473" s="696"/>
      <c r="BB473" s="713"/>
      <c r="BC473" s="696"/>
      <c r="BD473" s="713"/>
      <c r="BE473" s="696"/>
    </row>
    <row r="474" spans="4:57" s="44" customFormat="1">
      <c r="D474" s="847"/>
      <c r="E474" s="696"/>
      <c r="F474" s="847"/>
      <c r="G474" s="696"/>
      <c r="H474" s="847"/>
      <c r="I474" s="696"/>
      <c r="J474" s="847"/>
      <c r="K474" s="696"/>
      <c r="L474" s="847"/>
      <c r="M474" s="696"/>
      <c r="N474" s="696"/>
      <c r="O474" s="847"/>
      <c r="P474" s="696"/>
      <c r="Q474" s="847"/>
      <c r="R474" s="696"/>
      <c r="S474" s="847"/>
      <c r="T474" s="696"/>
      <c r="U474" s="847"/>
      <c r="V474" s="696"/>
      <c r="W474" s="847"/>
      <c r="X474" s="696"/>
      <c r="Y474" s="696"/>
      <c r="Z474" s="713"/>
      <c r="AA474" s="696"/>
      <c r="AB474" s="713"/>
      <c r="AC474" s="696"/>
      <c r="AD474" s="713"/>
      <c r="AE474" s="696"/>
      <c r="AF474" s="713"/>
      <c r="AG474" s="696"/>
      <c r="AH474" s="713"/>
      <c r="AI474" s="696"/>
      <c r="AJ474" s="696"/>
      <c r="AK474" s="713"/>
      <c r="AL474" s="696"/>
      <c r="AM474" s="713"/>
      <c r="AN474" s="696"/>
      <c r="AO474" s="713"/>
      <c r="AP474" s="696"/>
      <c r="AQ474" s="713"/>
      <c r="AR474" s="696"/>
      <c r="AS474" s="713"/>
      <c r="AT474" s="696"/>
      <c r="AU474" s="696"/>
      <c r="AV474" s="713"/>
      <c r="AW474" s="696"/>
      <c r="AX474" s="713"/>
      <c r="AY474" s="696"/>
      <c r="AZ474" s="713"/>
      <c r="BA474" s="696"/>
      <c r="BB474" s="713"/>
      <c r="BC474" s="696"/>
      <c r="BD474" s="713"/>
      <c r="BE474" s="696"/>
    </row>
    <row r="475" spans="4:57" s="44" customFormat="1">
      <c r="D475" s="847"/>
      <c r="E475" s="696"/>
      <c r="F475" s="847"/>
      <c r="G475" s="696"/>
      <c r="H475" s="847"/>
      <c r="I475" s="696"/>
      <c r="J475" s="847"/>
      <c r="K475" s="696"/>
      <c r="L475" s="847"/>
      <c r="M475" s="696"/>
      <c r="N475" s="696"/>
      <c r="O475" s="847"/>
      <c r="P475" s="696"/>
      <c r="Q475" s="847"/>
      <c r="R475" s="696"/>
      <c r="S475" s="847"/>
      <c r="T475" s="696"/>
      <c r="U475" s="847"/>
      <c r="V475" s="696"/>
      <c r="W475" s="847"/>
      <c r="X475" s="696"/>
      <c r="Y475" s="696"/>
      <c r="Z475" s="713"/>
      <c r="AA475" s="696"/>
      <c r="AB475" s="713"/>
      <c r="AC475" s="696"/>
      <c r="AD475" s="713"/>
      <c r="AE475" s="696"/>
      <c r="AF475" s="713"/>
      <c r="AG475" s="696"/>
      <c r="AH475" s="713"/>
      <c r="AI475" s="696"/>
      <c r="AJ475" s="696"/>
      <c r="AK475" s="713"/>
      <c r="AL475" s="696"/>
      <c r="AM475" s="713"/>
      <c r="AN475" s="696"/>
      <c r="AO475" s="713"/>
      <c r="AP475" s="696"/>
      <c r="AQ475" s="713"/>
      <c r="AR475" s="696"/>
      <c r="AS475" s="713"/>
      <c r="AT475" s="696"/>
      <c r="AU475" s="696"/>
      <c r="AV475" s="713"/>
      <c r="AW475" s="696"/>
      <c r="AX475" s="713"/>
      <c r="AY475" s="696"/>
      <c r="AZ475" s="713"/>
      <c r="BA475" s="696"/>
      <c r="BB475" s="713"/>
      <c r="BC475" s="696"/>
      <c r="BD475" s="713"/>
      <c r="BE475" s="696"/>
    </row>
    <row r="476" spans="4:57" s="44" customFormat="1">
      <c r="D476" s="847"/>
      <c r="E476" s="696"/>
      <c r="F476" s="847"/>
      <c r="G476" s="696"/>
      <c r="H476" s="847"/>
      <c r="I476" s="696"/>
      <c r="J476" s="847"/>
      <c r="K476" s="696"/>
      <c r="L476" s="847"/>
      <c r="M476" s="696"/>
      <c r="N476" s="696"/>
      <c r="O476" s="847"/>
      <c r="P476" s="696"/>
      <c r="Q476" s="847"/>
      <c r="R476" s="696"/>
      <c r="S476" s="847"/>
      <c r="T476" s="696"/>
      <c r="U476" s="847"/>
      <c r="V476" s="696"/>
      <c r="W476" s="847"/>
      <c r="X476" s="696"/>
      <c r="Y476" s="696"/>
      <c r="Z476" s="713"/>
      <c r="AA476" s="696"/>
      <c r="AB476" s="713"/>
      <c r="AC476" s="696"/>
      <c r="AD476" s="713"/>
      <c r="AE476" s="696"/>
      <c r="AF476" s="713"/>
      <c r="AG476" s="696"/>
      <c r="AH476" s="713"/>
      <c r="AI476" s="696"/>
      <c r="AJ476" s="696"/>
      <c r="AK476" s="713"/>
      <c r="AL476" s="696"/>
      <c r="AM476" s="713"/>
      <c r="AN476" s="696"/>
      <c r="AO476" s="713"/>
      <c r="AP476" s="696"/>
      <c r="AQ476" s="713"/>
      <c r="AR476" s="696"/>
      <c r="AS476" s="713"/>
      <c r="AT476" s="696"/>
      <c r="AU476" s="696"/>
      <c r="AV476" s="713"/>
      <c r="AW476" s="696"/>
      <c r="AX476" s="713"/>
      <c r="AY476" s="696"/>
      <c r="AZ476" s="713"/>
      <c r="BA476" s="696"/>
      <c r="BB476" s="713"/>
      <c r="BC476" s="696"/>
      <c r="BD476" s="713"/>
      <c r="BE476" s="696"/>
    </row>
    <row r="477" spans="4:57" s="44" customFormat="1">
      <c r="D477" s="847"/>
      <c r="E477" s="696"/>
      <c r="F477" s="847"/>
      <c r="G477" s="696"/>
      <c r="H477" s="847"/>
      <c r="I477" s="696"/>
      <c r="J477" s="847"/>
      <c r="K477" s="696"/>
      <c r="L477" s="847"/>
      <c r="M477" s="696"/>
      <c r="N477" s="696"/>
      <c r="O477" s="847"/>
      <c r="P477" s="696"/>
      <c r="Q477" s="847"/>
      <c r="R477" s="696"/>
      <c r="S477" s="847"/>
      <c r="T477" s="696"/>
      <c r="U477" s="847"/>
      <c r="V477" s="696"/>
      <c r="W477" s="847"/>
      <c r="X477" s="696"/>
      <c r="Y477" s="696"/>
      <c r="Z477" s="713"/>
      <c r="AA477" s="696"/>
      <c r="AB477" s="713"/>
      <c r="AC477" s="696"/>
      <c r="AD477" s="713"/>
      <c r="AE477" s="696"/>
      <c r="AF477" s="713"/>
      <c r="AG477" s="696"/>
      <c r="AH477" s="713"/>
      <c r="AI477" s="696"/>
      <c r="AJ477" s="696"/>
      <c r="AK477" s="713"/>
      <c r="AL477" s="696"/>
      <c r="AM477" s="713"/>
      <c r="AN477" s="696"/>
      <c r="AO477" s="713"/>
      <c r="AP477" s="696"/>
      <c r="AQ477" s="713"/>
      <c r="AR477" s="696"/>
      <c r="AS477" s="713"/>
      <c r="AT477" s="696"/>
      <c r="AU477" s="696"/>
      <c r="AV477" s="713"/>
      <c r="AW477" s="696"/>
      <c r="AX477" s="713"/>
      <c r="AY477" s="696"/>
      <c r="AZ477" s="713"/>
      <c r="BA477" s="696"/>
      <c r="BB477" s="713"/>
      <c r="BC477" s="696"/>
      <c r="BD477" s="713"/>
      <c r="BE477" s="696"/>
    </row>
    <row r="478" spans="4:57" s="44" customFormat="1">
      <c r="D478" s="847"/>
      <c r="E478" s="696"/>
      <c r="F478" s="847"/>
      <c r="G478" s="696"/>
      <c r="H478" s="847"/>
      <c r="I478" s="696"/>
      <c r="J478" s="847"/>
      <c r="K478" s="696"/>
      <c r="L478" s="847"/>
      <c r="M478" s="696"/>
      <c r="N478" s="696"/>
      <c r="O478" s="847"/>
      <c r="P478" s="696"/>
      <c r="Q478" s="847"/>
      <c r="R478" s="696"/>
      <c r="S478" s="847"/>
      <c r="T478" s="696"/>
      <c r="U478" s="847"/>
      <c r="V478" s="696"/>
      <c r="W478" s="847"/>
      <c r="X478" s="696"/>
      <c r="Y478" s="696"/>
      <c r="Z478" s="713"/>
      <c r="AA478" s="696"/>
      <c r="AB478" s="713"/>
      <c r="AC478" s="696"/>
      <c r="AD478" s="713"/>
      <c r="AE478" s="696"/>
      <c r="AF478" s="713"/>
      <c r="AG478" s="696"/>
      <c r="AH478" s="713"/>
      <c r="AI478" s="696"/>
      <c r="AJ478" s="696"/>
      <c r="AK478" s="713"/>
      <c r="AL478" s="696"/>
      <c r="AM478" s="713"/>
      <c r="AN478" s="696"/>
      <c r="AO478" s="713"/>
      <c r="AP478" s="696"/>
      <c r="AQ478" s="713"/>
      <c r="AR478" s="696"/>
      <c r="AS478" s="713"/>
      <c r="AT478" s="696"/>
      <c r="AU478" s="696"/>
      <c r="AV478" s="713"/>
      <c r="AW478" s="696"/>
      <c r="AX478" s="713"/>
      <c r="AY478" s="696"/>
      <c r="AZ478" s="713"/>
      <c r="BA478" s="696"/>
      <c r="BB478" s="713"/>
      <c r="BC478" s="696"/>
      <c r="BD478" s="713"/>
      <c r="BE478" s="696"/>
    </row>
    <row r="479" spans="4:57" s="44" customFormat="1">
      <c r="D479" s="847"/>
      <c r="E479" s="696"/>
      <c r="F479" s="847"/>
      <c r="G479" s="696"/>
      <c r="H479" s="847"/>
      <c r="I479" s="696"/>
      <c r="J479" s="847"/>
      <c r="K479" s="696"/>
      <c r="L479" s="847"/>
      <c r="M479" s="696"/>
      <c r="N479" s="696"/>
      <c r="O479" s="847"/>
      <c r="P479" s="696"/>
      <c r="Q479" s="847"/>
      <c r="R479" s="696"/>
      <c r="S479" s="847"/>
      <c r="T479" s="696"/>
      <c r="U479" s="847"/>
      <c r="V479" s="696"/>
      <c r="W479" s="847"/>
      <c r="X479" s="696"/>
      <c r="Y479" s="696"/>
      <c r="Z479" s="713"/>
      <c r="AA479" s="696"/>
      <c r="AB479" s="713"/>
      <c r="AC479" s="696"/>
      <c r="AD479" s="713"/>
      <c r="AE479" s="696"/>
      <c r="AF479" s="713"/>
      <c r="AG479" s="696"/>
      <c r="AH479" s="713"/>
      <c r="AI479" s="696"/>
      <c r="AJ479" s="696"/>
      <c r="AK479" s="713"/>
      <c r="AL479" s="696"/>
      <c r="AM479" s="713"/>
      <c r="AN479" s="696"/>
      <c r="AO479" s="713"/>
      <c r="AP479" s="696"/>
      <c r="AQ479" s="713"/>
      <c r="AR479" s="696"/>
      <c r="AS479" s="713"/>
      <c r="AT479" s="696"/>
      <c r="AU479" s="696"/>
      <c r="AV479" s="713"/>
      <c r="AW479" s="696"/>
      <c r="AX479" s="713"/>
      <c r="AY479" s="696"/>
      <c r="AZ479" s="713"/>
      <c r="BA479" s="696"/>
      <c r="BB479" s="713"/>
      <c r="BC479" s="696"/>
      <c r="BD479" s="713"/>
      <c r="BE479" s="696"/>
    </row>
  </sheetData>
  <sheetProtection algorithmName="SHA-512" hashValue="W9NIKA8jjibe4CUCkgZBZe20za1rW7FhiHw5PMcq17m3wMMTmUEYH78tp5Ic9Ct9p9wTmSBMySi1JD31cQWuoQ==" saltValue="u70LZ5m/jozJeoIkcVsPXw==" spinCount="100000" sheet="1" formatCells="0" formatColumns="0" formatRows="0"/>
  <mergeCells count="67">
    <mergeCell ref="C112:X112"/>
    <mergeCell ref="J9:K9"/>
    <mergeCell ref="L9:M9"/>
    <mergeCell ref="O9:P9"/>
    <mergeCell ref="O98:P98"/>
    <mergeCell ref="Q98:R98"/>
    <mergeCell ref="S98:T98"/>
    <mergeCell ref="U98:V98"/>
    <mergeCell ref="W98:X98"/>
    <mergeCell ref="L98:M98"/>
    <mergeCell ref="C97:M97"/>
    <mergeCell ref="N97:X97"/>
    <mergeCell ref="S9:T9"/>
    <mergeCell ref="U9:V9"/>
    <mergeCell ref="D9:E9"/>
    <mergeCell ref="AZ9:BA9"/>
    <mergeCell ref="BB9:BC9"/>
    <mergeCell ref="AX9:AY9"/>
    <mergeCell ref="AQ9:AR9"/>
    <mergeCell ref="A88:B88"/>
    <mergeCell ref="A7:A10"/>
    <mergeCell ref="B7:B10"/>
    <mergeCell ref="F9:G9"/>
    <mergeCell ref="H9:I9"/>
    <mergeCell ref="Q9:R9"/>
    <mergeCell ref="W9:X9"/>
    <mergeCell ref="AS9:AT9"/>
    <mergeCell ref="AK9:AL9"/>
    <mergeCell ref="AH9:AI9"/>
    <mergeCell ref="C7:BD7"/>
    <mergeCell ref="C8:M8"/>
    <mergeCell ref="A100:A106"/>
    <mergeCell ref="D98:E98"/>
    <mergeCell ref="F98:G98"/>
    <mergeCell ref="H98:I98"/>
    <mergeCell ref="J98:K98"/>
    <mergeCell ref="A97:B99"/>
    <mergeCell ref="AD98:AE98"/>
    <mergeCell ref="AF98:AG98"/>
    <mergeCell ref="AH98:AI98"/>
    <mergeCell ref="BY8:CD8"/>
    <mergeCell ref="CE8:CJ8"/>
    <mergeCell ref="Y97:AI97"/>
    <mergeCell ref="Z98:AA98"/>
    <mergeCell ref="AB98:AC98"/>
    <mergeCell ref="AV9:AW9"/>
    <mergeCell ref="AO9:AP9"/>
    <mergeCell ref="AM9:AN9"/>
    <mergeCell ref="BD9:BE9"/>
    <mergeCell ref="AD9:AE9"/>
    <mergeCell ref="AF9:AG9"/>
    <mergeCell ref="Z9:AA9"/>
    <mergeCell ref="AB9:AC9"/>
    <mergeCell ref="A1:C1"/>
    <mergeCell ref="D1:E1"/>
    <mergeCell ref="BG8:BL8"/>
    <mergeCell ref="BM8:BR8"/>
    <mergeCell ref="BS8:BX8"/>
    <mergeCell ref="BG7:CJ7"/>
    <mergeCell ref="A2:X2"/>
    <mergeCell ref="A3:X3"/>
    <mergeCell ref="A4:X4"/>
    <mergeCell ref="A5:X5"/>
    <mergeCell ref="N8:X8"/>
    <mergeCell ref="Y8:AI8"/>
    <mergeCell ref="AJ8:AT8"/>
    <mergeCell ref="AU8:BE8"/>
  </mergeCells>
  <conditionalFormatting sqref="D100:M110 O100:X110 Z100:AI110">
    <cfRule type="cellIs" dxfId="49" priority="11" operator="lessThan">
      <formula>0</formula>
    </cfRule>
    <cfRule type="cellIs" dxfId="48" priority="12" operator="greaterThan">
      <formula>0</formula>
    </cfRule>
  </conditionalFormatting>
  <conditionalFormatting sqref="E11:E95 G11:G95 I11:I95 K11:K95 M11:M95 P11:P95 R11:R95 T11:T95 V11:V95 X11:X95 AA11:AA95 AC11:AC95 AE11:AE95 AG11:AG95 AI11:AI95">
    <cfRule type="cellIs" dxfId="47" priority="13" operator="lessThan">
      <formula>0</formula>
    </cfRule>
    <cfRule type="cellIs" dxfId="46" priority="14" operator="greaterThan">
      <formula>0.1</formula>
    </cfRule>
  </conditionalFormatting>
  <conditionalFormatting sqref="AL11:AL95 AN11:AN95 AP11:AP95 AR11:AR95 AT11:AT95">
    <cfRule type="cellIs" dxfId="45" priority="5" operator="lessThan">
      <formula>0</formula>
    </cfRule>
    <cfRule type="cellIs" dxfId="44" priority="6" operator="greaterThan">
      <formula>0.1</formula>
    </cfRule>
  </conditionalFormatting>
  <conditionalFormatting sqref="AW11:AW95 AY11:AY95 BA11:BA95 BC11:BC95 BE11:BE95">
    <cfRule type="cellIs" dxfId="43" priority="3" operator="lessThan">
      <formula>0</formula>
    </cfRule>
    <cfRule type="cellIs" dxfId="42" priority="4" operator="greaterThan">
      <formula>0.1</formula>
    </cfRule>
  </conditionalFormatting>
  <printOptions horizontalCentered="1"/>
  <pageMargins left="0" right="0" top="0.55118110236220474" bottom="0.15748031496062992" header="0.31496062992125984" footer="7.874015748031496E-2"/>
  <pageSetup paperSize="9" scale="64" orientation="landscape" r:id="rId1"/>
  <headerFooter alignWithMargins="0">
    <oddFooter>&amp;C&amp;A&amp;RСтр. &amp;P от &amp;N</oddFooter>
  </headerFooter>
  <rowBreaks count="1" manualBreakCount="1">
    <brk id="48" max="56" man="1"/>
  </rowBreaks>
  <colBreaks count="3" manualBreakCount="3">
    <brk id="24" max="92" man="1"/>
    <brk id="24" min="96" max="107" man="1"/>
    <brk id="46" max="92" man="1"/>
  </col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1:E50"/>
  <sheetViews>
    <sheetView view="pageBreakPreview" topLeftCell="A16" zoomScaleNormal="90" zoomScaleSheetLayoutView="100" workbookViewId="0">
      <selection activeCell="C20" sqref="C20:D25"/>
    </sheetView>
  </sheetViews>
  <sheetFormatPr defaultRowHeight="13.2"/>
  <cols>
    <col min="1" max="1" width="8.109375" style="24" customWidth="1"/>
    <col min="2" max="2" width="40" style="24" customWidth="1"/>
    <col min="3" max="3" width="42" style="24" customWidth="1"/>
    <col min="4" max="4" width="22" style="24" customWidth="1"/>
    <col min="5" max="250" width="9.109375" style="24"/>
    <col min="251" max="251" width="5.44140625" style="24" customWidth="1"/>
    <col min="252" max="252" width="7.6640625" style="24" customWidth="1"/>
    <col min="253" max="254" width="6.109375" style="24" customWidth="1"/>
    <col min="255" max="255" width="6.44140625" style="24" customWidth="1"/>
    <col min="256" max="256" width="6.88671875" style="24" customWidth="1"/>
    <col min="257" max="257" width="12.5546875" style="24" customWidth="1"/>
    <col min="258" max="258" width="12" style="24" customWidth="1"/>
    <col min="259" max="259" width="12.109375" style="24" customWidth="1"/>
    <col min="260" max="260" width="14.33203125" style="24" customWidth="1"/>
    <col min="261" max="506" width="9.109375" style="24"/>
    <col min="507" max="507" width="5.44140625" style="24" customWidth="1"/>
    <col min="508" max="508" width="7.6640625" style="24" customWidth="1"/>
    <col min="509" max="510" width="6.109375" style="24" customWidth="1"/>
    <col min="511" max="511" width="6.44140625" style="24" customWidth="1"/>
    <col min="512" max="512" width="6.88671875" style="24" customWidth="1"/>
    <col min="513" max="513" width="12.5546875" style="24" customWidth="1"/>
    <col min="514" max="514" width="12" style="24" customWidth="1"/>
    <col min="515" max="515" width="12.109375" style="24" customWidth="1"/>
    <col min="516" max="516" width="14.33203125" style="24" customWidth="1"/>
    <col min="517" max="762" width="9.109375" style="24"/>
    <col min="763" max="763" width="5.44140625" style="24" customWidth="1"/>
    <col min="764" max="764" width="7.6640625" style="24" customWidth="1"/>
    <col min="765" max="766" width="6.109375" style="24" customWidth="1"/>
    <col min="767" max="767" width="6.44140625" style="24" customWidth="1"/>
    <col min="768" max="768" width="6.88671875" style="24" customWidth="1"/>
    <col min="769" max="769" width="12.5546875" style="24" customWidth="1"/>
    <col min="770" max="770" width="12" style="24" customWidth="1"/>
    <col min="771" max="771" width="12.109375" style="24" customWidth="1"/>
    <col min="772" max="772" width="14.33203125" style="24" customWidth="1"/>
    <col min="773" max="1018" width="9.109375" style="24"/>
    <col min="1019" max="1019" width="5.44140625" style="24" customWidth="1"/>
    <col min="1020" max="1020" width="7.6640625" style="24" customWidth="1"/>
    <col min="1021" max="1022" width="6.109375" style="24" customWidth="1"/>
    <col min="1023" max="1023" width="6.44140625" style="24" customWidth="1"/>
    <col min="1024" max="1024" width="6.88671875" style="24" customWidth="1"/>
    <col min="1025" max="1025" width="12.5546875" style="24" customWidth="1"/>
    <col min="1026" max="1026" width="12" style="24" customWidth="1"/>
    <col min="1027" max="1027" width="12.109375" style="24" customWidth="1"/>
    <col min="1028" max="1028" width="14.33203125" style="24" customWidth="1"/>
    <col min="1029" max="1274" width="9.109375" style="24"/>
    <col min="1275" max="1275" width="5.44140625" style="24" customWidth="1"/>
    <col min="1276" max="1276" width="7.6640625" style="24" customWidth="1"/>
    <col min="1277" max="1278" width="6.109375" style="24" customWidth="1"/>
    <col min="1279" max="1279" width="6.44140625" style="24" customWidth="1"/>
    <col min="1280" max="1280" width="6.88671875" style="24" customWidth="1"/>
    <col min="1281" max="1281" width="12.5546875" style="24" customWidth="1"/>
    <col min="1282" max="1282" width="12" style="24" customWidth="1"/>
    <col min="1283" max="1283" width="12.109375" style="24" customWidth="1"/>
    <col min="1284" max="1284" width="14.33203125" style="24" customWidth="1"/>
    <col min="1285" max="1530" width="9.109375" style="24"/>
    <col min="1531" max="1531" width="5.44140625" style="24" customWidth="1"/>
    <col min="1532" max="1532" width="7.6640625" style="24" customWidth="1"/>
    <col min="1533" max="1534" width="6.109375" style="24" customWidth="1"/>
    <col min="1535" max="1535" width="6.44140625" style="24" customWidth="1"/>
    <col min="1536" max="1536" width="6.88671875" style="24" customWidth="1"/>
    <col min="1537" max="1537" width="12.5546875" style="24" customWidth="1"/>
    <col min="1538" max="1538" width="12" style="24" customWidth="1"/>
    <col min="1539" max="1539" width="12.109375" style="24" customWidth="1"/>
    <col min="1540" max="1540" width="14.33203125" style="24" customWidth="1"/>
    <col min="1541" max="1786" width="9.109375" style="24"/>
    <col min="1787" max="1787" width="5.44140625" style="24" customWidth="1"/>
    <col min="1788" max="1788" width="7.6640625" style="24" customWidth="1"/>
    <col min="1789" max="1790" width="6.109375" style="24" customWidth="1"/>
    <col min="1791" max="1791" width="6.44140625" style="24" customWidth="1"/>
    <col min="1792" max="1792" width="6.88671875" style="24" customWidth="1"/>
    <col min="1793" max="1793" width="12.5546875" style="24" customWidth="1"/>
    <col min="1794" max="1794" width="12" style="24" customWidth="1"/>
    <col min="1795" max="1795" width="12.109375" style="24" customWidth="1"/>
    <col min="1796" max="1796" width="14.33203125" style="24" customWidth="1"/>
    <col min="1797" max="2042" width="9.109375" style="24"/>
    <col min="2043" max="2043" width="5.44140625" style="24" customWidth="1"/>
    <col min="2044" max="2044" width="7.6640625" style="24" customWidth="1"/>
    <col min="2045" max="2046" width="6.109375" style="24" customWidth="1"/>
    <col min="2047" max="2047" width="6.44140625" style="24" customWidth="1"/>
    <col min="2048" max="2048" width="6.88671875" style="24" customWidth="1"/>
    <col min="2049" max="2049" width="12.5546875" style="24" customWidth="1"/>
    <col min="2050" max="2050" width="12" style="24" customWidth="1"/>
    <col min="2051" max="2051" width="12.109375" style="24" customWidth="1"/>
    <col min="2052" max="2052" width="14.33203125" style="24" customWidth="1"/>
    <col min="2053" max="2298" width="9.109375" style="24"/>
    <col min="2299" max="2299" width="5.44140625" style="24" customWidth="1"/>
    <col min="2300" max="2300" width="7.6640625" style="24" customWidth="1"/>
    <col min="2301" max="2302" width="6.109375" style="24" customWidth="1"/>
    <col min="2303" max="2303" width="6.44140625" style="24" customWidth="1"/>
    <col min="2304" max="2304" width="6.88671875" style="24" customWidth="1"/>
    <col min="2305" max="2305" width="12.5546875" style="24" customWidth="1"/>
    <col min="2306" max="2306" width="12" style="24" customWidth="1"/>
    <col min="2307" max="2307" width="12.109375" style="24" customWidth="1"/>
    <col min="2308" max="2308" width="14.33203125" style="24" customWidth="1"/>
    <col min="2309" max="2554" width="9.109375" style="24"/>
    <col min="2555" max="2555" width="5.44140625" style="24" customWidth="1"/>
    <col min="2556" max="2556" width="7.6640625" style="24" customWidth="1"/>
    <col min="2557" max="2558" width="6.109375" style="24" customWidth="1"/>
    <col min="2559" max="2559" width="6.44140625" style="24" customWidth="1"/>
    <col min="2560" max="2560" width="6.88671875" style="24" customWidth="1"/>
    <col min="2561" max="2561" width="12.5546875" style="24" customWidth="1"/>
    <col min="2562" max="2562" width="12" style="24" customWidth="1"/>
    <col min="2563" max="2563" width="12.109375" style="24" customWidth="1"/>
    <col min="2564" max="2564" width="14.33203125" style="24" customWidth="1"/>
    <col min="2565" max="2810" width="9.109375" style="24"/>
    <col min="2811" max="2811" width="5.44140625" style="24" customWidth="1"/>
    <col min="2812" max="2812" width="7.6640625" style="24" customWidth="1"/>
    <col min="2813" max="2814" width="6.109375" style="24" customWidth="1"/>
    <col min="2815" max="2815" width="6.44140625" style="24" customWidth="1"/>
    <col min="2816" max="2816" width="6.88671875" style="24" customWidth="1"/>
    <col min="2817" max="2817" width="12.5546875" style="24" customWidth="1"/>
    <col min="2818" max="2818" width="12" style="24" customWidth="1"/>
    <col min="2819" max="2819" width="12.109375" style="24" customWidth="1"/>
    <col min="2820" max="2820" width="14.33203125" style="24" customWidth="1"/>
    <col min="2821" max="3066" width="9.109375" style="24"/>
    <col min="3067" max="3067" width="5.44140625" style="24" customWidth="1"/>
    <col min="3068" max="3068" width="7.6640625" style="24" customWidth="1"/>
    <col min="3069" max="3070" width="6.109375" style="24" customWidth="1"/>
    <col min="3071" max="3071" width="6.44140625" style="24" customWidth="1"/>
    <col min="3072" max="3072" width="6.88671875" style="24" customWidth="1"/>
    <col min="3073" max="3073" width="12.5546875" style="24" customWidth="1"/>
    <col min="3074" max="3074" width="12" style="24" customWidth="1"/>
    <col min="3075" max="3075" width="12.109375" style="24" customWidth="1"/>
    <col min="3076" max="3076" width="14.33203125" style="24" customWidth="1"/>
    <col min="3077" max="3322" width="9.109375" style="24"/>
    <col min="3323" max="3323" width="5.44140625" style="24" customWidth="1"/>
    <col min="3324" max="3324" width="7.6640625" style="24" customWidth="1"/>
    <col min="3325" max="3326" width="6.109375" style="24" customWidth="1"/>
    <col min="3327" max="3327" width="6.44140625" style="24" customWidth="1"/>
    <col min="3328" max="3328" width="6.88671875" style="24" customWidth="1"/>
    <col min="3329" max="3329" width="12.5546875" style="24" customWidth="1"/>
    <col min="3330" max="3330" width="12" style="24" customWidth="1"/>
    <col min="3331" max="3331" width="12.109375" style="24" customWidth="1"/>
    <col min="3332" max="3332" width="14.33203125" style="24" customWidth="1"/>
    <col min="3333" max="3578" width="9.109375" style="24"/>
    <col min="3579" max="3579" width="5.44140625" style="24" customWidth="1"/>
    <col min="3580" max="3580" width="7.6640625" style="24" customWidth="1"/>
    <col min="3581" max="3582" width="6.109375" style="24" customWidth="1"/>
    <col min="3583" max="3583" width="6.44140625" style="24" customWidth="1"/>
    <col min="3584" max="3584" width="6.88671875" style="24" customWidth="1"/>
    <col min="3585" max="3585" width="12.5546875" style="24" customWidth="1"/>
    <col min="3586" max="3586" width="12" style="24" customWidth="1"/>
    <col min="3587" max="3587" width="12.109375" style="24" customWidth="1"/>
    <col min="3588" max="3588" width="14.33203125" style="24" customWidth="1"/>
    <col min="3589" max="3834" width="9.109375" style="24"/>
    <col min="3835" max="3835" width="5.44140625" style="24" customWidth="1"/>
    <col min="3836" max="3836" width="7.6640625" style="24" customWidth="1"/>
    <col min="3837" max="3838" width="6.109375" style="24" customWidth="1"/>
    <col min="3839" max="3839" width="6.44140625" style="24" customWidth="1"/>
    <col min="3840" max="3840" width="6.88671875" style="24" customWidth="1"/>
    <col min="3841" max="3841" width="12.5546875" style="24" customWidth="1"/>
    <col min="3842" max="3842" width="12" style="24" customWidth="1"/>
    <col min="3843" max="3843" width="12.109375" style="24" customWidth="1"/>
    <col min="3844" max="3844" width="14.33203125" style="24" customWidth="1"/>
    <col min="3845" max="4090" width="9.109375" style="24"/>
    <col min="4091" max="4091" width="5.44140625" style="24" customWidth="1"/>
    <col min="4092" max="4092" width="7.6640625" style="24" customWidth="1"/>
    <col min="4093" max="4094" width="6.109375" style="24" customWidth="1"/>
    <col min="4095" max="4095" width="6.44140625" style="24" customWidth="1"/>
    <col min="4096" max="4096" width="6.88671875" style="24" customWidth="1"/>
    <col min="4097" max="4097" width="12.5546875" style="24" customWidth="1"/>
    <col min="4098" max="4098" width="12" style="24" customWidth="1"/>
    <col min="4099" max="4099" width="12.109375" style="24" customWidth="1"/>
    <col min="4100" max="4100" width="14.33203125" style="24" customWidth="1"/>
    <col min="4101" max="4346" width="9.109375" style="24"/>
    <col min="4347" max="4347" width="5.44140625" style="24" customWidth="1"/>
    <col min="4348" max="4348" width="7.6640625" style="24" customWidth="1"/>
    <col min="4349" max="4350" width="6.109375" style="24" customWidth="1"/>
    <col min="4351" max="4351" width="6.44140625" style="24" customWidth="1"/>
    <col min="4352" max="4352" width="6.88671875" style="24" customWidth="1"/>
    <col min="4353" max="4353" width="12.5546875" style="24" customWidth="1"/>
    <col min="4354" max="4354" width="12" style="24" customWidth="1"/>
    <col min="4355" max="4355" width="12.109375" style="24" customWidth="1"/>
    <col min="4356" max="4356" width="14.33203125" style="24" customWidth="1"/>
    <col min="4357" max="4602" width="9.109375" style="24"/>
    <col min="4603" max="4603" width="5.44140625" style="24" customWidth="1"/>
    <col min="4604" max="4604" width="7.6640625" style="24" customWidth="1"/>
    <col min="4605" max="4606" width="6.109375" style="24" customWidth="1"/>
    <col min="4607" max="4607" width="6.44140625" style="24" customWidth="1"/>
    <col min="4608" max="4608" width="6.88671875" style="24" customWidth="1"/>
    <col min="4609" max="4609" width="12.5546875" style="24" customWidth="1"/>
    <col min="4610" max="4610" width="12" style="24" customWidth="1"/>
    <col min="4611" max="4611" width="12.109375" style="24" customWidth="1"/>
    <col min="4612" max="4612" width="14.33203125" style="24" customWidth="1"/>
    <col min="4613" max="4858" width="9.109375" style="24"/>
    <col min="4859" max="4859" width="5.44140625" style="24" customWidth="1"/>
    <col min="4860" max="4860" width="7.6640625" style="24" customWidth="1"/>
    <col min="4861" max="4862" width="6.109375" style="24" customWidth="1"/>
    <col min="4863" max="4863" width="6.44140625" style="24" customWidth="1"/>
    <col min="4864" max="4864" width="6.88671875" style="24" customWidth="1"/>
    <col min="4865" max="4865" width="12.5546875" style="24" customWidth="1"/>
    <col min="4866" max="4866" width="12" style="24" customWidth="1"/>
    <col min="4867" max="4867" width="12.109375" style="24" customWidth="1"/>
    <col min="4868" max="4868" width="14.33203125" style="24" customWidth="1"/>
    <col min="4869" max="5114" width="9.109375" style="24"/>
    <col min="5115" max="5115" width="5.44140625" style="24" customWidth="1"/>
    <col min="5116" max="5116" width="7.6640625" style="24" customWidth="1"/>
    <col min="5117" max="5118" width="6.109375" style="24" customWidth="1"/>
    <col min="5119" max="5119" width="6.44140625" style="24" customWidth="1"/>
    <col min="5120" max="5120" width="6.88671875" style="24" customWidth="1"/>
    <col min="5121" max="5121" width="12.5546875" style="24" customWidth="1"/>
    <col min="5122" max="5122" width="12" style="24" customWidth="1"/>
    <col min="5123" max="5123" width="12.109375" style="24" customWidth="1"/>
    <col min="5124" max="5124" width="14.33203125" style="24" customWidth="1"/>
    <col min="5125" max="5370" width="9.109375" style="24"/>
    <col min="5371" max="5371" width="5.44140625" style="24" customWidth="1"/>
    <col min="5372" max="5372" width="7.6640625" style="24" customWidth="1"/>
    <col min="5373" max="5374" width="6.109375" style="24" customWidth="1"/>
    <col min="5375" max="5375" width="6.44140625" style="24" customWidth="1"/>
    <col min="5376" max="5376" width="6.88671875" style="24" customWidth="1"/>
    <col min="5377" max="5377" width="12.5546875" style="24" customWidth="1"/>
    <col min="5378" max="5378" width="12" style="24" customWidth="1"/>
    <col min="5379" max="5379" width="12.109375" style="24" customWidth="1"/>
    <col min="5380" max="5380" width="14.33203125" style="24" customWidth="1"/>
    <col min="5381" max="5626" width="9.109375" style="24"/>
    <col min="5627" max="5627" width="5.44140625" style="24" customWidth="1"/>
    <col min="5628" max="5628" width="7.6640625" style="24" customWidth="1"/>
    <col min="5629" max="5630" width="6.109375" style="24" customWidth="1"/>
    <col min="5631" max="5631" width="6.44140625" style="24" customWidth="1"/>
    <col min="5632" max="5632" width="6.88671875" style="24" customWidth="1"/>
    <col min="5633" max="5633" width="12.5546875" style="24" customWidth="1"/>
    <col min="5634" max="5634" width="12" style="24" customWidth="1"/>
    <col min="5635" max="5635" width="12.109375" style="24" customWidth="1"/>
    <col min="5636" max="5636" width="14.33203125" style="24" customWidth="1"/>
    <col min="5637" max="5882" width="9.109375" style="24"/>
    <col min="5883" max="5883" width="5.44140625" style="24" customWidth="1"/>
    <col min="5884" max="5884" width="7.6640625" style="24" customWidth="1"/>
    <col min="5885" max="5886" width="6.109375" style="24" customWidth="1"/>
    <col min="5887" max="5887" width="6.44140625" style="24" customWidth="1"/>
    <col min="5888" max="5888" width="6.88671875" style="24" customWidth="1"/>
    <col min="5889" max="5889" width="12.5546875" style="24" customWidth="1"/>
    <col min="5890" max="5890" width="12" style="24" customWidth="1"/>
    <col min="5891" max="5891" width="12.109375" style="24" customWidth="1"/>
    <col min="5892" max="5892" width="14.33203125" style="24" customWidth="1"/>
    <col min="5893" max="6138" width="9.109375" style="24"/>
    <col min="6139" max="6139" width="5.44140625" style="24" customWidth="1"/>
    <col min="6140" max="6140" width="7.6640625" style="24" customWidth="1"/>
    <col min="6141" max="6142" width="6.109375" style="24" customWidth="1"/>
    <col min="6143" max="6143" width="6.44140625" style="24" customWidth="1"/>
    <col min="6144" max="6144" width="6.88671875" style="24" customWidth="1"/>
    <col min="6145" max="6145" width="12.5546875" style="24" customWidth="1"/>
    <col min="6146" max="6146" width="12" style="24" customWidth="1"/>
    <col min="6147" max="6147" width="12.109375" style="24" customWidth="1"/>
    <col min="6148" max="6148" width="14.33203125" style="24" customWidth="1"/>
    <col min="6149" max="6394" width="9.109375" style="24"/>
    <col min="6395" max="6395" width="5.44140625" style="24" customWidth="1"/>
    <col min="6396" max="6396" width="7.6640625" style="24" customWidth="1"/>
    <col min="6397" max="6398" width="6.109375" style="24" customWidth="1"/>
    <col min="6399" max="6399" width="6.44140625" style="24" customWidth="1"/>
    <col min="6400" max="6400" width="6.88671875" style="24" customWidth="1"/>
    <col min="6401" max="6401" width="12.5546875" style="24" customWidth="1"/>
    <col min="6402" max="6402" width="12" style="24" customWidth="1"/>
    <col min="6403" max="6403" width="12.109375" style="24" customWidth="1"/>
    <col min="6404" max="6404" width="14.33203125" style="24" customWidth="1"/>
    <col min="6405" max="6650" width="9.109375" style="24"/>
    <col min="6651" max="6651" width="5.44140625" style="24" customWidth="1"/>
    <col min="6652" max="6652" width="7.6640625" style="24" customWidth="1"/>
    <col min="6653" max="6654" width="6.109375" style="24" customWidth="1"/>
    <col min="6655" max="6655" width="6.44140625" style="24" customWidth="1"/>
    <col min="6656" max="6656" width="6.88671875" style="24" customWidth="1"/>
    <col min="6657" max="6657" width="12.5546875" style="24" customWidth="1"/>
    <col min="6658" max="6658" width="12" style="24" customWidth="1"/>
    <col min="6659" max="6659" width="12.109375" style="24" customWidth="1"/>
    <col min="6660" max="6660" width="14.33203125" style="24" customWidth="1"/>
    <col min="6661" max="6906" width="9.109375" style="24"/>
    <col min="6907" max="6907" width="5.44140625" style="24" customWidth="1"/>
    <col min="6908" max="6908" width="7.6640625" style="24" customWidth="1"/>
    <col min="6909" max="6910" width="6.109375" style="24" customWidth="1"/>
    <col min="6911" max="6911" width="6.44140625" style="24" customWidth="1"/>
    <col min="6912" max="6912" width="6.88671875" style="24" customWidth="1"/>
    <col min="6913" max="6913" width="12.5546875" style="24" customWidth="1"/>
    <col min="6914" max="6914" width="12" style="24" customWidth="1"/>
    <col min="6915" max="6915" width="12.109375" style="24" customWidth="1"/>
    <col min="6916" max="6916" width="14.33203125" style="24" customWidth="1"/>
    <col min="6917" max="7162" width="9.109375" style="24"/>
    <col min="7163" max="7163" width="5.44140625" style="24" customWidth="1"/>
    <col min="7164" max="7164" width="7.6640625" style="24" customWidth="1"/>
    <col min="7165" max="7166" width="6.109375" style="24" customWidth="1"/>
    <col min="7167" max="7167" width="6.44140625" style="24" customWidth="1"/>
    <col min="7168" max="7168" width="6.88671875" style="24" customWidth="1"/>
    <col min="7169" max="7169" width="12.5546875" style="24" customWidth="1"/>
    <col min="7170" max="7170" width="12" style="24" customWidth="1"/>
    <col min="7171" max="7171" width="12.109375" style="24" customWidth="1"/>
    <col min="7172" max="7172" width="14.33203125" style="24" customWidth="1"/>
    <col min="7173" max="7418" width="9.109375" style="24"/>
    <col min="7419" max="7419" width="5.44140625" style="24" customWidth="1"/>
    <col min="7420" max="7420" width="7.6640625" style="24" customWidth="1"/>
    <col min="7421" max="7422" width="6.109375" style="24" customWidth="1"/>
    <col min="7423" max="7423" width="6.44140625" style="24" customWidth="1"/>
    <col min="7424" max="7424" width="6.88671875" style="24" customWidth="1"/>
    <col min="7425" max="7425" width="12.5546875" style="24" customWidth="1"/>
    <col min="7426" max="7426" width="12" style="24" customWidth="1"/>
    <col min="7427" max="7427" width="12.109375" style="24" customWidth="1"/>
    <col min="7428" max="7428" width="14.33203125" style="24" customWidth="1"/>
    <col min="7429" max="7674" width="9.109375" style="24"/>
    <col min="7675" max="7675" width="5.44140625" style="24" customWidth="1"/>
    <col min="7676" max="7676" width="7.6640625" style="24" customWidth="1"/>
    <col min="7677" max="7678" width="6.109375" style="24" customWidth="1"/>
    <col min="7679" max="7679" width="6.44140625" style="24" customWidth="1"/>
    <col min="7680" max="7680" width="6.88671875" style="24" customWidth="1"/>
    <col min="7681" max="7681" width="12.5546875" style="24" customWidth="1"/>
    <col min="7682" max="7682" width="12" style="24" customWidth="1"/>
    <col min="7683" max="7683" width="12.109375" style="24" customWidth="1"/>
    <col min="7684" max="7684" width="14.33203125" style="24" customWidth="1"/>
    <col min="7685" max="7930" width="9.109375" style="24"/>
    <col min="7931" max="7931" width="5.44140625" style="24" customWidth="1"/>
    <col min="7932" max="7932" width="7.6640625" style="24" customWidth="1"/>
    <col min="7933" max="7934" width="6.109375" style="24" customWidth="1"/>
    <col min="7935" max="7935" width="6.44140625" style="24" customWidth="1"/>
    <col min="7936" max="7936" width="6.88671875" style="24" customWidth="1"/>
    <col min="7937" max="7937" width="12.5546875" style="24" customWidth="1"/>
    <col min="7938" max="7938" width="12" style="24" customWidth="1"/>
    <col min="7939" max="7939" width="12.109375" style="24" customWidth="1"/>
    <col min="7940" max="7940" width="14.33203125" style="24" customWidth="1"/>
    <col min="7941" max="8186" width="9.109375" style="24"/>
    <col min="8187" max="8187" width="5.44140625" style="24" customWidth="1"/>
    <col min="8188" max="8188" width="7.6640625" style="24" customWidth="1"/>
    <col min="8189" max="8190" width="6.109375" style="24" customWidth="1"/>
    <col min="8191" max="8191" width="6.44140625" style="24" customWidth="1"/>
    <col min="8192" max="8192" width="6.88671875" style="24" customWidth="1"/>
    <col min="8193" max="8193" width="12.5546875" style="24" customWidth="1"/>
    <col min="8194" max="8194" width="12" style="24" customWidth="1"/>
    <col min="8195" max="8195" width="12.109375" style="24" customWidth="1"/>
    <col min="8196" max="8196" width="14.33203125" style="24" customWidth="1"/>
    <col min="8197" max="8442" width="9.109375" style="24"/>
    <col min="8443" max="8443" width="5.44140625" style="24" customWidth="1"/>
    <col min="8444" max="8444" width="7.6640625" style="24" customWidth="1"/>
    <col min="8445" max="8446" width="6.109375" style="24" customWidth="1"/>
    <col min="8447" max="8447" width="6.44140625" style="24" customWidth="1"/>
    <col min="8448" max="8448" width="6.88671875" style="24" customWidth="1"/>
    <col min="8449" max="8449" width="12.5546875" style="24" customWidth="1"/>
    <col min="8450" max="8450" width="12" style="24" customWidth="1"/>
    <col min="8451" max="8451" width="12.109375" style="24" customWidth="1"/>
    <col min="8452" max="8452" width="14.33203125" style="24" customWidth="1"/>
    <col min="8453" max="8698" width="9.109375" style="24"/>
    <col min="8699" max="8699" width="5.44140625" style="24" customWidth="1"/>
    <col min="8700" max="8700" width="7.6640625" style="24" customWidth="1"/>
    <col min="8701" max="8702" width="6.109375" style="24" customWidth="1"/>
    <col min="8703" max="8703" width="6.44140625" style="24" customWidth="1"/>
    <col min="8704" max="8704" width="6.88671875" style="24" customWidth="1"/>
    <col min="8705" max="8705" width="12.5546875" style="24" customWidth="1"/>
    <col min="8706" max="8706" width="12" style="24" customWidth="1"/>
    <col min="8707" max="8707" width="12.109375" style="24" customWidth="1"/>
    <col min="8708" max="8708" width="14.33203125" style="24" customWidth="1"/>
    <col min="8709" max="8954" width="9.109375" style="24"/>
    <col min="8955" max="8955" width="5.44140625" style="24" customWidth="1"/>
    <col min="8956" max="8956" width="7.6640625" style="24" customWidth="1"/>
    <col min="8957" max="8958" width="6.109375" style="24" customWidth="1"/>
    <col min="8959" max="8959" width="6.44140625" style="24" customWidth="1"/>
    <col min="8960" max="8960" width="6.88671875" style="24" customWidth="1"/>
    <col min="8961" max="8961" width="12.5546875" style="24" customWidth="1"/>
    <col min="8962" max="8962" width="12" style="24" customWidth="1"/>
    <col min="8963" max="8963" width="12.109375" style="24" customWidth="1"/>
    <col min="8964" max="8964" width="14.33203125" style="24" customWidth="1"/>
    <col min="8965" max="9210" width="9.109375" style="24"/>
    <col min="9211" max="9211" width="5.44140625" style="24" customWidth="1"/>
    <col min="9212" max="9212" width="7.6640625" style="24" customWidth="1"/>
    <col min="9213" max="9214" width="6.109375" style="24" customWidth="1"/>
    <col min="9215" max="9215" width="6.44140625" style="24" customWidth="1"/>
    <col min="9216" max="9216" width="6.88671875" style="24" customWidth="1"/>
    <col min="9217" max="9217" width="12.5546875" style="24" customWidth="1"/>
    <col min="9218" max="9218" width="12" style="24" customWidth="1"/>
    <col min="9219" max="9219" width="12.109375" style="24" customWidth="1"/>
    <col min="9220" max="9220" width="14.33203125" style="24" customWidth="1"/>
    <col min="9221" max="9466" width="9.109375" style="24"/>
    <col min="9467" max="9467" width="5.44140625" style="24" customWidth="1"/>
    <col min="9468" max="9468" width="7.6640625" style="24" customWidth="1"/>
    <col min="9469" max="9470" width="6.109375" style="24" customWidth="1"/>
    <col min="9471" max="9471" width="6.44140625" style="24" customWidth="1"/>
    <col min="9472" max="9472" width="6.88671875" style="24" customWidth="1"/>
    <col min="9473" max="9473" width="12.5546875" style="24" customWidth="1"/>
    <col min="9474" max="9474" width="12" style="24" customWidth="1"/>
    <col min="9475" max="9475" width="12.109375" style="24" customWidth="1"/>
    <col min="9476" max="9476" width="14.33203125" style="24" customWidth="1"/>
    <col min="9477" max="9722" width="9.109375" style="24"/>
    <col min="9723" max="9723" width="5.44140625" style="24" customWidth="1"/>
    <col min="9724" max="9724" width="7.6640625" style="24" customWidth="1"/>
    <col min="9725" max="9726" width="6.109375" style="24" customWidth="1"/>
    <col min="9727" max="9727" width="6.44140625" style="24" customWidth="1"/>
    <col min="9728" max="9728" width="6.88671875" style="24" customWidth="1"/>
    <col min="9729" max="9729" width="12.5546875" style="24" customWidth="1"/>
    <col min="9730" max="9730" width="12" style="24" customWidth="1"/>
    <col min="9731" max="9731" width="12.109375" style="24" customWidth="1"/>
    <col min="9732" max="9732" width="14.33203125" style="24" customWidth="1"/>
    <col min="9733" max="9978" width="9.109375" style="24"/>
    <col min="9979" max="9979" width="5.44140625" style="24" customWidth="1"/>
    <col min="9980" max="9980" width="7.6640625" style="24" customWidth="1"/>
    <col min="9981" max="9982" width="6.109375" style="24" customWidth="1"/>
    <col min="9983" max="9983" width="6.44140625" style="24" customWidth="1"/>
    <col min="9984" max="9984" width="6.88671875" style="24" customWidth="1"/>
    <col min="9985" max="9985" width="12.5546875" style="24" customWidth="1"/>
    <col min="9986" max="9986" width="12" style="24" customWidth="1"/>
    <col min="9987" max="9987" width="12.109375" style="24" customWidth="1"/>
    <col min="9988" max="9988" width="14.33203125" style="24" customWidth="1"/>
    <col min="9989" max="10234" width="9.109375" style="24"/>
    <col min="10235" max="10235" width="5.44140625" style="24" customWidth="1"/>
    <col min="10236" max="10236" width="7.6640625" style="24" customWidth="1"/>
    <col min="10237" max="10238" width="6.109375" style="24" customWidth="1"/>
    <col min="10239" max="10239" width="6.44140625" style="24" customWidth="1"/>
    <col min="10240" max="10240" width="6.88671875" style="24" customWidth="1"/>
    <col min="10241" max="10241" width="12.5546875" style="24" customWidth="1"/>
    <col min="10242" max="10242" width="12" style="24" customWidth="1"/>
    <col min="10243" max="10243" width="12.109375" style="24" customWidth="1"/>
    <col min="10244" max="10244" width="14.33203125" style="24" customWidth="1"/>
    <col min="10245" max="10490" width="9.109375" style="24"/>
    <col min="10491" max="10491" width="5.44140625" style="24" customWidth="1"/>
    <col min="10492" max="10492" width="7.6640625" style="24" customWidth="1"/>
    <col min="10493" max="10494" width="6.109375" style="24" customWidth="1"/>
    <col min="10495" max="10495" width="6.44140625" style="24" customWidth="1"/>
    <col min="10496" max="10496" width="6.88671875" style="24" customWidth="1"/>
    <col min="10497" max="10497" width="12.5546875" style="24" customWidth="1"/>
    <col min="10498" max="10498" width="12" style="24" customWidth="1"/>
    <col min="10499" max="10499" width="12.109375" style="24" customWidth="1"/>
    <col min="10500" max="10500" width="14.33203125" style="24" customWidth="1"/>
    <col min="10501" max="10746" width="9.109375" style="24"/>
    <col min="10747" max="10747" width="5.44140625" style="24" customWidth="1"/>
    <col min="10748" max="10748" width="7.6640625" style="24" customWidth="1"/>
    <col min="10749" max="10750" width="6.109375" style="24" customWidth="1"/>
    <col min="10751" max="10751" width="6.44140625" style="24" customWidth="1"/>
    <col min="10752" max="10752" width="6.88671875" style="24" customWidth="1"/>
    <col min="10753" max="10753" width="12.5546875" style="24" customWidth="1"/>
    <col min="10754" max="10754" width="12" style="24" customWidth="1"/>
    <col min="10755" max="10755" width="12.109375" style="24" customWidth="1"/>
    <col min="10756" max="10756" width="14.33203125" style="24" customWidth="1"/>
    <col min="10757" max="11002" width="9.109375" style="24"/>
    <col min="11003" max="11003" width="5.44140625" style="24" customWidth="1"/>
    <col min="11004" max="11004" width="7.6640625" style="24" customWidth="1"/>
    <col min="11005" max="11006" width="6.109375" style="24" customWidth="1"/>
    <col min="11007" max="11007" width="6.44140625" style="24" customWidth="1"/>
    <col min="11008" max="11008" width="6.88671875" style="24" customWidth="1"/>
    <col min="11009" max="11009" width="12.5546875" style="24" customWidth="1"/>
    <col min="11010" max="11010" width="12" style="24" customWidth="1"/>
    <col min="11011" max="11011" width="12.109375" style="24" customWidth="1"/>
    <col min="11012" max="11012" width="14.33203125" style="24" customWidth="1"/>
    <col min="11013" max="11258" width="9.109375" style="24"/>
    <col min="11259" max="11259" width="5.44140625" style="24" customWidth="1"/>
    <col min="11260" max="11260" width="7.6640625" style="24" customWidth="1"/>
    <col min="11261" max="11262" width="6.109375" style="24" customWidth="1"/>
    <col min="11263" max="11263" width="6.44140625" style="24" customWidth="1"/>
    <col min="11264" max="11264" width="6.88671875" style="24" customWidth="1"/>
    <col min="11265" max="11265" width="12.5546875" style="24" customWidth="1"/>
    <col min="11266" max="11266" width="12" style="24" customWidth="1"/>
    <col min="11267" max="11267" width="12.109375" style="24" customWidth="1"/>
    <col min="11268" max="11268" width="14.33203125" style="24" customWidth="1"/>
    <col min="11269" max="11514" width="9.109375" style="24"/>
    <col min="11515" max="11515" width="5.44140625" style="24" customWidth="1"/>
    <col min="11516" max="11516" width="7.6640625" style="24" customWidth="1"/>
    <col min="11517" max="11518" width="6.109375" style="24" customWidth="1"/>
    <col min="11519" max="11519" width="6.44140625" style="24" customWidth="1"/>
    <col min="11520" max="11520" width="6.88671875" style="24" customWidth="1"/>
    <col min="11521" max="11521" width="12.5546875" style="24" customWidth="1"/>
    <col min="11522" max="11522" width="12" style="24" customWidth="1"/>
    <col min="11523" max="11523" width="12.109375" style="24" customWidth="1"/>
    <col min="11524" max="11524" width="14.33203125" style="24" customWidth="1"/>
    <col min="11525" max="11770" width="9.109375" style="24"/>
    <col min="11771" max="11771" width="5.44140625" style="24" customWidth="1"/>
    <col min="11772" max="11772" width="7.6640625" style="24" customWidth="1"/>
    <col min="11773" max="11774" width="6.109375" style="24" customWidth="1"/>
    <col min="11775" max="11775" width="6.44140625" style="24" customWidth="1"/>
    <col min="11776" max="11776" width="6.88671875" style="24" customWidth="1"/>
    <col min="11777" max="11777" width="12.5546875" style="24" customWidth="1"/>
    <col min="11778" max="11778" width="12" style="24" customWidth="1"/>
    <col min="11779" max="11779" width="12.109375" style="24" customWidth="1"/>
    <col min="11780" max="11780" width="14.33203125" style="24" customWidth="1"/>
    <col min="11781" max="12026" width="9.109375" style="24"/>
    <col min="12027" max="12027" width="5.44140625" style="24" customWidth="1"/>
    <col min="12028" max="12028" width="7.6640625" style="24" customWidth="1"/>
    <col min="12029" max="12030" width="6.109375" style="24" customWidth="1"/>
    <col min="12031" max="12031" width="6.44140625" style="24" customWidth="1"/>
    <col min="12032" max="12032" width="6.88671875" style="24" customWidth="1"/>
    <col min="12033" max="12033" width="12.5546875" style="24" customWidth="1"/>
    <col min="12034" max="12034" width="12" style="24" customWidth="1"/>
    <col min="12035" max="12035" width="12.109375" style="24" customWidth="1"/>
    <col min="12036" max="12036" width="14.33203125" style="24" customWidth="1"/>
    <col min="12037" max="12282" width="9.109375" style="24"/>
    <col min="12283" max="12283" width="5.44140625" style="24" customWidth="1"/>
    <col min="12284" max="12284" width="7.6640625" style="24" customWidth="1"/>
    <col min="12285" max="12286" width="6.109375" style="24" customWidth="1"/>
    <col min="12287" max="12287" width="6.44140625" style="24" customWidth="1"/>
    <col min="12288" max="12288" width="6.88671875" style="24" customWidth="1"/>
    <col min="12289" max="12289" width="12.5546875" style="24" customWidth="1"/>
    <col min="12290" max="12290" width="12" style="24" customWidth="1"/>
    <col min="12291" max="12291" width="12.109375" style="24" customWidth="1"/>
    <col min="12292" max="12292" width="14.33203125" style="24" customWidth="1"/>
    <col min="12293" max="12538" width="9.109375" style="24"/>
    <col min="12539" max="12539" width="5.44140625" style="24" customWidth="1"/>
    <col min="12540" max="12540" width="7.6640625" style="24" customWidth="1"/>
    <col min="12541" max="12542" width="6.109375" style="24" customWidth="1"/>
    <col min="12543" max="12543" width="6.44140625" style="24" customWidth="1"/>
    <col min="12544" max="12544" width="6.88671875" style="24" customWidth="1"/>
    <col min="12545" max="12545" width="12.5546875" style="24" customWidth="1"/>
    <col min="12546" max="12546" width="12" style="24" customWidth="1"/>
    <col min="12547" max="12547" width="12.109375" style="24" customWidth="1"/>
    <col min="12548" max="12548" width="14.33203125" style="24" customWidth="1"/>
    <col min="12549" max="12794" width="9.109375" style="24"/>
    <col min="12795" max="12795" width="5.44140625" style="24" customWidth="1"/>
    <col min="12796" max="12796" width="7.6640625" style="24" customWidth="1"/>
    <col min="12797" max="12798" width="6.109375" style="24" customWidth="1"/>
    <col min="12799" max="12799" width="6.44140625" style="24" customWidth="1"/>
    <col min="12800" max="12800" width="6.88671875" style="24" customWidth="1"/>
    <col min="12801" max="12801" width="12.5546875" style="24" customWidth="1"/>
    <col min="12802" max="12802" width="12" style="24" customWidth="1"/>
    <col min="12803" max="12803" width="12.109375" style="24" customWidth="1"/>
    <col min="12804" max="12804" width="14.33203125" style="24" customWidth="1"/>
    <col min="12805" max="13050" width="9.109375" style="24"/>
    <col min="13051" max="13051" width="5.44140625" style="24" customWidth="1"/>
    <col min="13052" max="13052" width="7.6640625" style="24" customWidth="1"/>
    <col min="13053" max="13054" width="6.109375" style="24" customWidth="1"/>
    <col min="13055" max="13055" width="6.44140625" style="24" customWidth="1"/>
    <col min="13056" max="13056" width="6.88671875" style="24" customWidth="1"/>
    <col min="13057" max="13057" width="12.5546875" style="24" customWidth="1"/>
    <col min="13058" max="13058" width="12" style="24" customWidth="1"/>
    <col min="13059" max="13059" width="12.109375" style="24" customWidth="1"/>
    <col min="13060" max="13060" width="14.33203125" style="24" customWidth="1"/>
    <col min="13061" max="13306" width="9.109375" style="24"/>
    <col min="13307" max="13307" width="5.44140625" style="24" customWidth="1"/>
    <col min="13308" max="13308" width="7.6640625" style="24" customWidth="1"/>
    <col min="13309" max="13310" width="6.109375" style="24" customWidth="1"/>
    <col min="13311" max="13311" width="6.44140625" style="24" customWidth="1"/>
    <col min="13312" max="13312" width="6.88671875" style="24" customWidth="1"/>
    <col min="13313" max="13313" width="12.5546875" style="24" customWidth="1"/>
    <col min="13314" max="13314" width="12" style="24" customWidth="1"/>
    <col min="13315" max="13315" width="12.109375" style="24" customWidth="1"/>
    <col min="13316" max="13316" width="14.33203125" style="24" customWidth="1"/>
    <col min="13317" max="13562" width="9.109375" style="24"/>
    <col min="13563" max="13563" width="5.44140625" style="24" customWidth="1"/>
    <col min="13564" max="13564" width="7.6640625" style="24" customWidth="1"/>
    <col min="13565" max="13566" width="6.109375" style="24" customWidth="1"/>
    <col min="13567" max="13567" width="6.44140625" style="24" customWidth="1"/>
    <col min="13568" max="13568" width="6.88671875" style="24" customWidth="1"/>
    <col min="13569" max="13569" width="12.5546875" style="24" customWidth="1"/>
    <col min="13570" max="13570" width="12" style="24" customWidth="1"/>
    <col min="13571" max="13571" width="12.109375" style="24" customWidth="1"/>
    <col min="13572" max="13572" width="14.33203125" style="24" customWidth="1"/>
    <col min="13573" max="13818" width="9.109375" style="24"/>
    <col min="13819" max="13819" width="5.44140625" style="24" customWidth="1"/>
    <col min="13820" max="13820" width="7.6640625" style="24" customWidth="1"/>
    <col min="13821" max="13822" width="6.109375" style="24" customWidth="1"/>
    <col min="13823" max="13823" width="6.44140625" style="24" customWidth="1"/>
    <col min="13824" max="13824" width="6.88671875" style="24" customWidth="1"/>
    <col min="13825" max="13825" width="12.5546875" style="24" customWidth="1"/>
    <col min="13826" max="13826" width="12" style="24" customWidth="1"/>
    <col min="13827" max="13827" width="12.109375" style="24" customWidth="1"/>
    <col min="13828" max="13828" width="14.33203125" style="24" customWidth="1"/>
    <col min="13829" max="14074" width="9.109375" style="24"/>
    <col min="14075" max="14075" width="5.44140625" style="24" customWidth="1"/>
    <col min="14076" max="14076" width="7.6640625" style="24" customWidth="1"/>
    <col min="14077" max="14078" width="6.109375" style="24" customWidth="1"/>
    <col min="14079" max="14079" width="6.44140625" style="24" customWidth="1"/>
    <col min="14080" max="14080" width="6.88671875" style="24" customWidth="1"/>
    <col min="14081" max="14081" width="12.5546875" style="24" customWidth="1"/>
    <col min="14082" max="14082" width="12" style="24" customWidth="1"/>
    <col min="14083" max="14083" width="12.109375" style="24" customWidth="1"/>
    <col min="14084" max="14084" width="14.33203125" style="24" customWidth="1"/>
    <col min="14085" max="14330" width="9.109375" style="24"/>
    <col min="14331" max="14331" width="5.44140625" style="24" customWidth="1"/>
    <col min="14332" max="14332" width="7.6640625" style="24" customWidth="1"/>
    <col min="14333" max="14334" width="6.109375" style="24" customWidth="1"/>
    <col min="14335" max="14335" width="6.44140625" style="24" customWidth="1"/>
    <col min="14336" max="14336" width="6.88671875" style="24" customWidth="1"/>
    <col min="14337" max="14337" width="12.5546875" style="24" customWidth="1"/>
    <col min="14338" max="14338" width="12" style="24" customWidth="1"/>
    <col min="14339" max="14339" width="12.109375" style="24" customWidth="1"/>
    <col min="14340" max="14340" width="14.33203125" style="24" customWidth="1"/>
    <col min="14341" max="14586" width="9.109375" style="24"/>
    <col min="14587" max="14587" width="5.44140625" style="24" customWidth="1"/>
    <col min="14588" max="14588" width="7.6640625" style="24" customWidth="1"/>
    <col min="14589" max="14590" width="6.109375" style="24" customWidth="1"/>
    <col min="14591" max="14591" width="6.44140625" style="24" customWidth="1"/>
    <col min="14592" max="14592" width="6.88671875" style="24" customWidth="1"/>
    <col min="14593" max="14593" width="12.5546875" style="24" customWidth="1"/>
    <col min="14594" max="14594" width="12" style="24" customWidth="1"/>
    <col min="14595" max="14595" width="12.109375" style="24" customWidth="1"/>
    <col min="14596" max="14596" width="14.33203125" style="24" customWidth="1"/>
    <col min="14597" max="14842" width="9.109375" style="24"/>
    <col min="14843" max="14843" width="5.44140625" style="24" customWidth="1"/>
    <col min="14844" max="14844" width="7.6640625" style="24" customWidth="1"/>
    <col min="14845" max="14846" width="6.109375" style="24" customWidth="1"/>
    <col min="14847" max="14847" width="6.44140625" style="24" customWidth="1"/>
    <col min="14848" max="14848" width="6.88671875" style="24" customWidth="1"/>
    <col min="14849" max="14849" width="12.5546875" style="24" customWidth="1"/>
    <col min="14850" max="14850" width="12" style="24" customWidth="1"/>
    <col min="14851" max="14851" width="12.109375" style="24" customWidth="1"/>
    <col min="14852" max="14852" width="14.33203125" style="24" customWidth="1"/>
    <col min="14853" max="15098" width="9.109375" style="24"/>
    <col min="15099" max="15099" width="5.44140625" style="24" customWidth="1"/>
    <col min="15100" max="15100" width="7.6640625" style="24" customWidth="1"/>
    <col min="15101" max="15102" width="6.109375" style="24" customWidth="1"/>
    <col min="15103" max="15103" width="6.44140625" style="24" customWidth="1"/>
    <col min="15104" max="15104" width="6.88671875" style="24" customWidth="1"/>
    <col min="15105" max="15105" width="12.5546875" style="24" customWidth="1"/>
    <col min="15106" max="15106" width="12" style="24" customWidth="1"/>
    <col min="15107" max="15107" width="12.109375" style="24" customWidth="1"/>
    <col min="15108" max="15108" width="14.33203125" style="24" customWidth="1"/>
    <col min="15109" max="15354" width="9.109375" style="24"/>
    <col min="15355" max="15355" width="5.44140625" style="24" customWidth="1"/>
    <col min="15356" max="15356" width="7.6640625" style="24" customWidth="1"/>
    <col min="15357" max="15358" width="6.109375" style="24" customWidth="1"/>
    <col min="15359" max="15359" width="6.44140625" style="24" customWidth="1"/>
    <col min="15360" max="15360" width="6.88671875" style="24" customWidth="1"/>
    <col min="15361" max="15361" width="12.5546875" style="24" customWidth="1"/>
    <col min="15362" max="15362" width="12" style="24" customWidth="1"/>
    <col min="15363" max="15363" width="12.109375" style="24" customWidth="1"/>
    <col min="15364" max="15364" width="14.33203125" style="24" customWidth="1"/>
    <col min="15365" max="15610" width="9.109375" style="24"/>
    <col min="15611" max="15611" width="5.44140625" style="24" customWidth="1"/>
    <col min="15612" max="15612" width="7.6640625" style="24" customWidth="1"/>
    <col min="15613" max="15614" width="6.109375" style="24" customWidth="1"/>
    <col min="15615" max="15615" width="6.44140625" style="24" customWidth="1"/>
    <col min="15616" max="15616" width="6.88671875" style="24" customWidth="1"/>
    <col min="15617" max="15617" width="12.5546875" style="24" customWidth="1"/>
    <col min="15618" max="15618" width="12" style="24" customWidth="1"/>
    <col min="15619" max="15619" width="12.109375" style="24" customWidth="1"/>
    <col min="15620" max="15620" width="14.33203125" style="24" customWidth="1"/>
    <col min="15621" max="15866" width="9.109375" style="24"/>
    <col min="15867" max="15867" width="5.44140625" style="24" customWidth="1"/>
    <col min="15868" max="15868" width="7.6640625" style="24" customWidth="1"/>
    <col min="15869" max="15870" width="6.109375" style="24" customWidth="1"/>
    <col min="15871" max="15871" width="6.44140625" style="24" customWidth="1"/>
    <col min="15872" max="15872" width="6.88671875" style="24" customWidth="1"/>
    <col min="15873" max="15873" width="12.5546875" style="24" customWidth="1"/>
    <col min="15874" max="15874" width="12" style="24" customWidth="1"/>
    <col min="15875" max="15875" width="12.109375" style="24" customWidth="1"/>
    <col min="15876" max="15876" width="14.33203125" style="24" customWidth="1"/>
    <col min="15877" max="16122" width="9.109375" style="24"/>
    <col min="16123" max="16123" width="5.44140625" style="24" customWidth="1"/>
    <col min="16124" max="16124" width="7.6640625" style="24" customWidth="1"/>
    <col min="16125" max="16126" width="6.109375" style="24" customWidth="1"/>
    <col min="16127" max="16127" width="6.44140625" style="24" customWidth="1"/>
    <col min="16128" max="16128" width="6.88671875" style="24" customWidth="1"/>
    <col min="16129" max="16129" width="12.5546875" style="24" customWidth="1"/>
    <col min="16130" max="16130" width="12" style="24" customWidth="1"/>
    <col min="16131" max="16131" width="12.109375" style="24" customWidth="1"/>
    <col min="16132" max="16132" width="14.33203125" style="24" customWidth="1"/>
    <col min="16133" max="16384" width="9.109375" style="24"/>
  </cols>
  <sheetData>
    <row r="1" spans="1:4" ht="16.5" customHeight="1">
      <c r="D1" s="1625" t="s">
        <v>140</v>
      </c>
    </row>
    <row r="2" spans="1:4" ht="23.25" customHeight="1">
      <c r="A2" s="4959" t="s">
        <v>1288</v>
      </c>
      <c r="B2" s="4960"/>
      <c r="C2" s="4960"/>
      <c r="D2" s="4960"/>
    </row>
    <row r="3" spans="1:4" ht="21" customHeight="1">
      <c r="A3" s="4959" t="s">
        <v>1174</v>
      </c>
      <c r="B3" s="4959"/>
      <c r="C3" s="4959"/>
      <c r="D3" s="4959"/>
    </row>
    <row r="4" spans="1:4" ht="23.25" customHeight="1">
      <c r="A4" s="4961" t="str">
        <f>'Приложение '!A3:D3</f>
        <v>на "В И К" АД, гр. Ловеч</v>
      </c>
      <c r="B4" s="4961"/>
      <c r="C4" s="4961"/>
      <c r="D4" s="4961"/>
    </row>
    <row r="5" spans="1:4" ht="18" customHeight="1">
      <c r="A5" s="4961" t="str">
        <f>'Приложение '!A4:D4</f>
        <v>ЕИК по БУЛСТАТ: 110549443</v>
      </c>
      <c r="B5" s="4961"/>
      <c r="C5" s="4961"/>
      <c r="D5" s="4961"/>
    </row>
    <row r="6" spans="1:4" ht="13.8" thickBot="1"/>
    <row r="7" spans="1:4" ht="15.6">
      <c r="A7" s="4962" t="s">
        <v>1</v>
      </c>
      <c r="B7" s="4964" t="s">
        <v>86</v>
      </c>
      <c r="C7" s="4965"/>
      <c r="D7" s="4966"/>
    </row>
    <row r="8" spans="1:4" ht="16.8" thickBot="1">
      <c r="A8" s="4963"/>
      <c r="B8" s="1626" t="s">
        <v>87</v>
      </c>
      <c r="C8" s="4967" t="s">
        <v>88</v>
      </c>
      <c r="D8" s="4968"/>
    </row>
    <row r="9" spans="1:4" ht="16.8" thickBot="1">
      <c r="A9" s="1627" t="s">
        <v>141</v>
      </c>
      <c r="B9" s="1628" t="s">
        <v>142</v>
      </c>
      <c r="C9" s="4949"/>
      <c r="D9" s="4950"/>
    </row>
    <row r="10" spans="1:4" ht="15.6">
      <c r="A10" s="1629" t="s">
        <v>90</v>
      </c>
      <c r="B10" s="1630" t="s">
        <v>143</v>
      </c>
      <c r="C10" s="347" t="str">
        <f>'Приложение '!C8&amp;", "&amp;'Приложение '!C9:D9</f>
        <v>"В И К" АД, Ловеч</v>
      </c>
      <c r="D10" s="348"/>
    </row>
    <row r="11" spans="1:4" ht="15.6">
      <c r="A11" s="1629"/>
      <c r="B11" s="1631" t="s">
        <v>94</v>
      </c>
      <c r="C11" s="3753" t="str">
        <f>'Приложение '!C10</f>
        <v>110549443</v>
      </c>
      <c r="D11" s="349"/>
    </row>
    <row r="12" spans="1:4" ht="15.6">
      <c r="A12" s="1632" t="s">
        <v>93</v>
      </c>
      <c r="B12" s="1631" t="s">
        <v>144</v>
      </c>
      <c r="C12" s="4951" t="s">
        <v>1965</v>
      </c>
      <c r="D12" s="4952"/>
    </row>
    <row r="13" spans="1:4" ht="15.6">
      <c r="A13" s="1632" t="s">
        <v>145</v>
      </c>
      <c r="B13" s="1631" t="s">
        <v>146</v>
      </c>
      <c r="C13" s="4951" t="s">
        <v>1966</v>
      </c>
      <c r="D13" s="4952"/>
    </row>
    <row r="14" spans="1:4" ht="15.6">
      <c r="A14" s="1632"/>
      <c r="B14" s="1631" t="s">
        <v>1766</v>
      </c>
      <c r="C14" s="3723" t="s">
        <v>1967</v>
      </c>
      <c r="D14" s="3724"/>
    </row>
    <row r="15" spans="1:4" ht="15.6">
      <c r="A15" s="1632" t="s">
        <v>147</v>
      </c>
      <c r="B15" s="1631" t="s">
        <v>148</v>
      </c>
      <c r="C15" s="4951" t="s">
        <v>1968</v>
      </c>
      <c r="D15" s="4952"/>
    </row>
    <row r="16" spans="1:4" ht="15.6">
      <c r="A16" s="1632" t="s">
        <v>149</v>
      </c>
      <c r="B16" s="1631" t="s">
        <v>150</v>
      </c>
      <c r="C16" s="4951"/>
      <c r="D16" s="4952"/>
    </row>
    <row r="17" spans="1:4" ht="15.6">
      <c r="A17" s="1632" t="s">
        <v>151</v>
      </c>
      <c r="B17" s="1631" t="s">
        <v>152</v>
      </c>
      <c r="C17" s="4951" t="s">
        <v>1969</v>
      </c>
      <c r="D17" s="4952"/>
    </row>
    <row r="18" spans="1:4" ht="15.6">
      <c r="A18" s="1632" t="s">
        <v>153</v>
      </c>
      <c r="B18" s="1631" t="s">
        <v>154</v>
      </c>
      <c r="C18" s="4951" t="s">
        <v>1970</v>
      </c>
      <c r="D18" s="4952"/>
    </row>
    <row r="19" spans="1:4" ht="15.6">
      <c r="A19" s="1632" t="s">
        <v>155</v>
      </c>
      <c r="B19" s="1631" t="s">
        <v>156</v>
      </c>
      <c r="C19" s="4951" t="s">
        <v>1971</v>
      </c>
      <c r="D19" s="4952"/>
    </row>
    <row r="20" spans="1:4" ht="15.6">
      <c r="A20" s="1632"/>
      <c r="B20" s="1631"/>
      <c r="C20" s="4951" t="s">
        <v>1972</v>
      </c>
      <c r="D20" s="4952"/>
    </row>
    <row r="21" spans="1:4" ht="15.6">
      <c r="A21" s="1632"/>
      <c r="B21" s="1631"/>
      <c r="C21" s="4951" t="s">
        <v>1973</v>
      </c>
      <c r="D21" s="4952"/>
    </row>
    <row r="22" spans="1:4" ht="15.6">
      <c r="A22" s="1632"/>
      <c r="B22" s="1631"/>
      <c r="C22" s="4951" t="s">
        <v>1974</v>
      </c>
      <c r="D22" s="4952"/>
    </row>
    <row r="23" spans="1:4" ht="15.6">
      <c r="A23" s="1632"/>
      <c r="B23" s="1631"/>
      <c r="C23" s="4951" t="s">
        <v>1975</v>
      </c>
      <c r="D23" s="4952"/>
    </row>
    <row r="24" spans="1:4" ht="15.6">
      <c r="A24" s="1632"/>
      <c r="B24" s="1631"/>
      <c r="C24" s="4951" t="s">
        <v>1976</v>
      </c>
      <c r="D24" s="4952"/>
    </row>
    <row r="25" spans="1:4" ht="16.2" thickBot="1">
      <c r="A25" s="1633"/>
      <c r="B25" s="1634"/>
      <c r="C25" s="4957" t="s">
        <v>1977</v>
      </c>
      <c r="D25" s="4958"/>
    </row>
    <row r="26" spans="1:4" s="34" customFormat="1" ht="16.8" thickBot="1">
      <c r="A26" s="1635" t="s">
        <v>95</v>
      </c>
      <c r="B26" s="1636" t="s">
        <v>1174</v>
      </c>
      <c r="C26" s="4953"/>
      <c r="D26" s="4954"/>
    </row>
    <row r="27" spans="1:4" s="34" customFormat="1" ht="19.5" customHeight="1">
      <c r="A27" s="1637" t="s">
        <v>96</v>
      </c>
      <c r="B27" s="1638" t="s">
        <v>1175</v>
      </c>
      <c r="C27" s="4955"/>
      <c r="D27" s="4956"/>
    </row>
    <row r="28" spans="1:4" s="34" customFormat="1" ht="15.6">
      <c r="A28" s="3715" t="s">
        <v>573</v>
      </c>
      <c r="B28" s="3716" t="s">
        <v>1176</v>
      </c>
      <c r="C28" s="4947" t="str">
        <f>IF('4. Отчет и прогн. потребление'!D9&gt;0,"Да","Не")</f>
        <v>Да</v>
      </c>
      <c r="D28" s="4948"/>
    </row>
    <row r="29" spans="1:4" s="34" customFormat="1" ht="15.6">
      <c r="A29" s="3715" t="s">
        <v>577</v>
      </c>
      <c r="B29" s="3716" t="s">
        <v>1177</v>
      </c>
      <c r="C29" s="4947" t="str">
        <f>IF('4. Отчет и прогн. потребление'!D48&gt;0,"Да","Не")</f>
        <v>Да</v>
      </c>
      <c r="D29" s="4948"/>
    </row>
    <row r="30" spans="1:4" s="34" customFormat="1" ht="15.6">
      <c r="A30" s="3715" t="s">
        <v>1178</v>
      </c>
      <c r="B30" s="3716" t="s">
        <v>1179</v>
      </c>
      <c r="C30" s="4947" t="str">
        <f>IF('4. Отчет и прогн. потребление'!D53&gt;0,"Да","Не")</f>
        <v>Да</v>
      </c>
      <c r="D30" s="4948"/>
    </row>
    <row r="31" spans="1:4" s="34" customFormat="1" ht="15.6">
      <c r="A31" s="1637" t="s">
        <v>1180</v>
      </c>
      <c r="B31" s="1639" t="s">
        <v>1029</v>
      </c>
      <c r="C31" s="4947" t="str">
        <f>IF('4. Отчет и прогн. потребление'!D62&gt;0,"Да","Не")</f>
        <v>Не</v>
      </c>
      <c r="D31" s="4948"/>
    </row>
    <row r="32" spans="1:4" s="34" customFormat="1" ht="15.6">
      <c r="A32" s="1637" t="s">
        <v>1181</v>
      </c>
      <c r="B32" s="1639" t="s">
        <v>1182</v>
      </c>
      <c r="C32" s="4947" t="str">
        <f>IF(OR(C33="Да",C34="Да",C35="Да"),"Да","Не")</f>
        <v>Да</v>
      </c>
      <c r="D32" s="4948"/>
    </row>
    <row r="33" spans="1:5" s="34" customFormat="1" ht="15.6">
      <c r="A33" s="1637" t="s">
        <v>1183</v>
      </c>
      <c r="B33" s="608" t="s">
        <v>1958</v>
      </c>
      <c r="C33" s="4947" t="str">
        <f>IF('4.2. Продад. и закупени кол-ва'!D10&gt;0,"Да","Не")</f>
        <v>Да</v>
      </c>
      <c r="D33" s="4948"/>
    </row>
    <row r="34" spans="1:5" s="34" customFormat="1" ht="15.6">
      <c r="A34" s="1637" t="s">
        <v>1184</v>
      </c>
      <c r="B34" s="608" t="s">
        <v>1959</v>
      </c>
      <c r="C34" s="4947" t="str">
        <f>IF('4.2. Продад. и закупени кол-ва'!D29&gt;0,"Да","Не")</f>
        <v>Да</v>
      </c>
      <c r="D34" s="4948"/>
    </row>
    <row r="35" spans="1:5" s="34" customFormat="1" ht="16.2" thickBot="1">
      <c r="A35" s="1637" t="s">
        <v>1185</v>
      </c>
      <c r="B35" s="608"/>
      <c r="C35" s="4947" t="str">
        <f>IF('4.2. Продад. и закупени кол-ва'!D48&gt;0,"Да","Не")</f>
        <v>Не</v>
      </c>
      <c r="D35" s="4948"/>
    </row>
    <row r="36" spans="1:5" s="34" customFormat="1" ht="16.8" thickBot="1">
      <c r="A36" s="1635" t="s">
        <v>99</v>
      </c>
      <c r="B36" s="1636" t="s">
        <v>1186</v>
      </c>
      <c r="C36" s="3754"/>
      <c r="D36" s="3755"/>
    </row>
    <row r="37" spans="1:5" s="34" customFormat="1" ht="36.75" customHeight="1">
      <c r="A37" s="1640"/>
      <c r="B37" s="1641" t="s">
        <v>1187</v>
      </c>
      <c r="C37" s="4972" t="s">
        <v>1962</v>
      </c>
      <c r="D37" s="4973"/>
    </row>
    <row r="38" spans="1:5" s="34" customFormat="1" ht="39.75" customHeight="1">
      <c r="A38" s="1640"/>
      <c r="B38" s="1641" t="s">
        <v>1188</v>
      </c>
      <c r="C38" s="4974" t="s">
        <v>1963</v>
      </c>
      <c r="D38" s="4975"/>
    </row>
    <row r="39" spans="1:5" s="34" customFormat="1" ht="39.75" customHeight="1" thickBot="1">
      <c r="A39" s="1642"/>
      <c r="B39" s="1643" t="s">
        <v>1189</v>
      </c>
      <c r="C39" s="4970" t="s">
        <v>1964</v>
      </c>
      <c r="D39" s="4971"/>
    </row>
    <row r="40" spans="1:5" s="34" customFormat="1" ht="16.2">
      <c r="A40" s="4484" t="s">
        <v>100</v>
      </c>
      <c r="B40" s="4485" t="s">
        <v>1873</v>
      </c>
      <c r="C40" s="4976">
        <v>1.95583</v>
      </c>
      <c r="D40" s="4977"/>
    </row>
    <row r="41" spans="1:5" ht="13.8" thickBot="1">
      <c r="A41" s="4487"/>
      <c r="B41" s="4486" t="s">
        <v>1870</v>
      </c>
      <c r="C41" s="4978" t="s">
        <v>1897</v>
      </c>
      <c r="D41" s="4979"/>
    </row>
    <row r="42" spans="1:5" ht="22.5" customHeight="1">
      <c r="B42" s="4483"/>
    </row>
    <row r="43" spans="1:5">
      <c r="B43" s="1644" t="str">
        <f>'Приложение '!B82</f>
        <v>Дата: 16.03.2026</v>
      </c>
      <c r="C43" s="1645"/>
      <c r="D43" s="1646"/>
    </row>
    <row r="44" spans="1:5">
      <c r="C44" s="36"/>
      <c r="D44" s="1647"/>
    </row>
    <row r="45" spans="1:5">
      <c r="B45" s="1644"/>
      <c r="C45" s="36"/>
      <c r="D45" s="1648"/>
    </row>
    <row r="46" spans="1:5" ht="15.6">
      <c r="A46" s="36" t="s">
        <v>555</v>
      </c>
      <c r="B46" s="1649"/>
      <c r="D46" s="1647"/>
    </row>
    <row r="47" spans="1:5">
      <c r="A47" s="3731" t="s">
        <v>188</v>
      </c>
      <c r="B47" s="1650"/>
      <c r="D47" s="1651"/>
      <c r="E47" s="3756"/>
    </row>
    <row r="48" spans="1:5" s="1649" customFormat="1" ht="15.6">
      <c r="A48" s="3731" t="s">
        <v>1437</v>
      </c>
      <c r="C48" s="1652"/>
    </row>
    <row r="49" spans="1:4" s="1653" customFormat="1" ht="27" customHeight="1">
      <c r="A49" s="4969" t="s">
        <v>1469</v>
      </c>
      <c r="B49" s="4969"/>
      <c r="C49" s="4969"/>
      <c r="D49" s="4969"/>
    </row>
    <row r="50" spans="1:4">
      <c r="C50" s="1654"/>
    </row>
  </sheetData>
  <sheetProtection algorithmName="SHA-512" hashValue="LBslglHkdTMI3E5LYeaFgCKPcWi0dIYwLlVmXD4SiM/YTuOey/neUtYVOnZuS59yLXTqHxa9imkzKDa+xHRwOA==" saltValue="Eb7X0KgLSUaN2VKFd3zH0A==" spinCount="100000" sheet="1" formatCells="0" formatColumns="0" insertRows="0"/>
  <mergeCells count="37">
    <mergeCell ref="A49:D49"/>
    <mergeCell ref="C39:D39"/>
    <mergeCell ref="C31:D31"/>
    <mergeCell ref="C34:D34"/>
    <mergeCell ref="C35:D35"/>
    <mergeCell ref="C37:D37"/>
    <mergeCell ref="C38:D38"/>
    <mergeCell ref="C32:D32"/>
    <mergeCell ref="C33:D33"/>
    <mergeCell ref="C40:D40"/>
    <mergeCell ref="C41:D41"/>
    <mergeCell ref="C23:D23"/>
    <mergeCell ref="C24:D24"/>
    <mergeCell ref="C25:D25"/>
    <mergeCell ref="A2:D2"/>
    <mergeCell ref="A4:D4"/>
    <mergeCell ref="A5:D5"/>
    <mergeCell ref="A7:A8"/>
    <mergeCell ref="B7:D7"/>
    <mergeCell ref="C8:D8"/>
    <mergeCell ref="A3:D3"/>
    <mergeCell ref="C28:D28"/>
    <mergeCell ref="C29:D29"/>
    <mergeCell ref="C30:D30"/>
    <mergeCell ref="C9:D9"/>
    <mergeCell ref="C12:D12"/>
    <mergeCell ref="C13:D13"/>
    <mergeCell ref="C26:D26"/>
    <mergeCell ref="C27:D27"/>
    <mergeCell ref="C15:D15"/>
    <mergeCell ref="C16:D16"/>
    <mergeCell ref="C17:D17"/>
    <mergeCell ref="C18:D18"/>
    <mergeCell ref="C19:D19"/>
    <mergeCell ref="C20:D20"/>
    <mergeCell ref="C21:D21"/>
    <mergeCell ref="C22:D22"/>
  </mergeCells>
  <printOptions horizontalCentered="1"/>
  <pageMargins left="0.74803149606299213" right="0.19685039370078741" top="0.39370078740157483" bottom="0.19685039370078741" header="0.51181102362204722" footer="0"/>
  <pageSetup paperSize="9" scale="85" orientation="portrait" r:id="rId1"/>
  <headerFooter alignWithMargins="0">
    <oddFooter>&amp;C&amp;A</oddFooter>
  </headerFooter>
  <ignoredErrors>
    <ignoredError sqref="A15:A19 A9:A10 A12:A13" numberStoredAsText="1"/>
    <ignoredError sqref="C10" unlockedFormula="1"/>
  </ignoredErrors>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BCF6C6"/>
  </sheetPr>
  <dimension ref="A1:BI156"/>
  <sheetViews>
    <sheetView showGridLines="0" topLeftCell="A100" zoomScale="80" zoomScaleNormal="80" zoomScaleSheetLayoutView="70" workbookViewId="0">
      <selection activeCell="C116" sqref="C116:G125"/>
    </sheetView>
  </sheetViews>
  <sheetFormatPr defaultColWidth="9.109375" defaultRowHeight="13.2"/>
  <cols>
    <col min="1" max="1" width="14.44140625" style="3165" customWidth="1"/>
    <col min="2" max="2" width="61" style="3165" customWidth="1"/>
    <col min="3" max="27" width="9.109375" style="3165"/>
    <col min="28" max="28" width="3.5546875" style="3165" customWidth="1"/>
    <col min="29" max="16384" width="9.109375" style="3165"/>
  </cols>
  <sheetData>
    <row r="1" spans="1:53" ht="18" thickBot="1">
      <c r="A1" s="5285" t="str">
        <f>+'1. Обща информация'!B40</f>
        <v>Фиксиран курс на лева към 1 евро</v>
      </c>
      <c r="B1" s="5286"/>
      <c r="C1" s="5287"/>
      <c r="D1" s="5406">
        <f>+'1. Обща информация'!$C$40</f>
        <v>1.95583</v>
      </c>
      <c r="E1" s="5407"/>
      <c r="F1" s="1267"/>
      <c r="G1" s="1267"/>
      <c r="H1" s="1267"/>
      <c r="I1" s="1267"/>
      <c r="J1" s="1267"/>
      <c r="K1" s="1267"/>
      <c r="L1" s="1267"/>
      <c r="M1" s="1267"/>
      <c r="N1" s="1267"/>
      <c r="O1" s="1267"/>
      <c r="P1" s="1267"/>
      <c r="Q1" s="3135" t="s">
        <v>189</v>
      </c>
      <c r="R1" s="5482"/>
      <c r="S1" s="5482"/>
      <c r="T1" s="5482"/>
      <c r="U1" s="5482"/>
      <c r="V1" s="5482"/>
      <c r="W1" s="5482"/>
      <c r="X1" s="5482"/>
      <c r="Y1" s="3164"/>
      <c r="Z1" s="3164"/>
      <c r="AA1" s="3164"/>
      <c r="AD1" s="4534"/>
      <c r="AE1" s="4534"/>
      <c r="AF1" s="1267"/>
      <c r="AG1" s="1267"/>
      <c r="AH1" s="1267"/>
      <c r="AI1" s="1267"/>
      <c r="AJ1" s="1267"/>
      <c r="AK1" s="1267"/>
      <c r="AL1" s="1267"/>
      <c r="AM1" s="1267"/>
      <c r="AN1" s="1267"/>
      <c r="AO1" s="1267"/>
      <c r="AP1" s="1267"/>
      <c r="AQ1" s="3135"/>
      <c r="AR1" s="5482"/>
      <c r="AS1" s="5482"/>
      <c r="AT1" s="5482"/>
      <c r="AU1" s="5482"/>
      <c r="AV1" s="5482"/>
      <c r="AW1" s="5482"/>
      <c r="AX1" s="5482"/>
      <c r="AY1" s="3164"/>
      <c r="AZ1" s="3164"/>
      <c r="BA1" s="3164"/>
    </row>
    <row r="2" spans="1:53" ht="18.75" customHeight="1">
      <c r="A2" s="5482" t="s">
        <v>1473</v>
      </c>
      <c r="B2" s="5482"/>
      <c r="C2" s="5482"/>
      <c r="D2" s="5482"/>
      <c r="E2" s="5482"/>
      <c r="F2" s="5482"/>
      <c r="G2" s="5482"/>
      <c r="H2" s="5482"/>
      <c r="I2" s="5482"/>
      <c r="J2" s="5482"/>
      <c r="K2" s="5482"/>
      <c r="L2" s="5482"/>
      <c r="M2" s="5482"/>
      <c r="N2" s="5482"/>
      <c r="O2" s="5482"/>
      <c r="P2" s="5482"/>
      <c r="Q2" s="5482"/>
      <c r="R2" s="5482"/>
      <c r="S2" s="5482"/>
      <c r="T2" s="5482"/>
      <c r="U2" s="5482"/>
      <c r="V2" s="5482"/>
      <c r="W2" s="5482"/>
      <c r="X2" s="5482"/>
      <c r="Y2" s="3164"/>
      <c r="Z2" s="3164"/>
      <c r="AA2" s="3164"/>
      <c r="AR2" s="5482"/>
      <c r="AS2" s="5482"/>
      <c r="AT2" s="5482"/>
      <c r="AU2" s="5482"/>
      <c r="AV2" s="5482"/>
      <c r="AW2" s="5482"/>
      <c r="AX2" s="5482"/>
      <c r="AY2" s="3164"/>
      <c r="AZ2" s="3164"/>
      <c r="BA2" s="3164"/>
    </row>
    <row r="3" spans="1:53" ht="45" customHeight="1">
      <c r="C3" s="5482" t="s">
        <v>1868</v>
      </c>
      <c r="D3" s="5482"/>
      <c r="E3" s="5482"/>
      <c r="F3" s="5482"/>
      <c r="G3" s="5482"/>
      <c r="H3" s="5482"/>
      <c r="I3" s="5482"/>
      <c r="J3" s="5482"/>
      <c r="K3" s="5482"/>
      <c r="L3" s="5482"/>
      <c r="M3" s="1267"/>
      <c r="N3" s="1267"/>
      <c r="O3" s="1267"/>
      <c r="P3" s="1267"/>
      <c r="Q3" s="1267"/>
      <c r="R3" s="1267"/>
      <c r="S3" s="1267"/>
      <c r="T3" s="1267"/>
      <c r="U3" s="1267"/>
      <c r="V3" s="1267"/>
      <c r="W3" s="1267"/>
      <c r="X3" s="1267"/>
      <c r="Y3" s="3164"/>
      <c r="Z3" s="3164"/>
      <c r="AA3" s="3164"/>
      <c r="AC3" s="1267"/>
      <c r="AD3" s="1267"/>
      <c r="AE3" s="1267"/>
      <c r="AF3" s="1267"/>
      <c r="AG3" s="1267"/>
      <c r="AH3" s="1267"/>
      <c r="AI3" s="1267"/>
      <c r="AJ3" s="1267"/>
      <c r="AK3" s="1267"/>
      <c r="AL3" s="1267"/>
      <c r="AM3" s="1267"/>
      <c r="AN3" s="1267"/>
      <c r="AO3" s="1267"/>
      <c r="AP3" s="1267"/>
      <c r="AQ3" s="1267"/>
      <c r="AR3" s="1267"/>
      <c r="AS3" s="1267"/>
      <c r="AT3" s="1267"/>
      <c r="AU3" s="1267"/>
      <c r="AV3" s="1267"/>
      <c r="AW3" s="1267"/>
      <c r="AX3" s="1267"/>
      <c r="AY3" s="3164"/>
      <c r="AZ3" s="3164"/>
      <c r="BA3" s="3164"/>
    </row>
    <row r="4" spans="1:53" ht="17.399999999999999">
      <c r="A4" s="5483" t="str">
        <f>'1. Обща информация'!A4:D4</f>
        <v>на "В И К" АД, гр. Ловеч</v>
      </c>
      <c r="B4" s="5483"/>
      <c r="C4" s="5483"/>
      <c r="D4" s="5483"/>
      <c r="E4" s="5483"/>
      <c r="F4" s="5483"/>
      <c r="G4" s="5483"/>
      <c r="H4" s="5483"/>
      <c r="I4" s="5483"/>
      <c r="J4" s="5483"/>
      <c r="K4" s="5483"/>
      <c r="L4" s="5483"/>
      <c r="M4" s="5483"/>
      <c r="N4" s="5483"/>
      <c r="O4" s="5483"/>
      <c r="P4" s="5483"/>
      <c r="Q4" s="5483"/>
      <c r="S4" s="3166"/>
      <c r="T4" s="3166"/>
      <c r="U4" s="3166"/>
      <c r="V4" s="3166"/>
      <c r="W4" s="3166"/>
      <c r="X4" s="3166"/>
      <c r="Y4" s="3164"/>
      <c r="Z4" s="3164"/>
      <c r="AA4" s="3164"/>
      <c r="AS4" s="3166"/>
      <c r="AT4" s="3166"/>
      <c r="AU4" s="3166"/>
      <c r="AV4" s="3166"/>
      <c r="AW4" s="3166"/>
      <c r="AX4" s="3166"/>
      <c r="AY4" s="3164"/>
      <c r="AZ4" s="3164"/>
      <c r="BA4" s="3164"/>
    </row>
    <row r="5" spans="1:53" ht="17.399999999999999">
      <c r="A5" s="5483" t="str">
        <f>'1. Обща информация'!A5:D5</f>
        <v>ЕИК по БУЛСТАТ: 110549443</v>
      </c>
      <c r="B5" s="5483"/>
      <c r="C5" s="5483"/>
      <c r="D5" s="5483"/>
      <c r="E5" s="5483"/>
      <c r="F5" s="5483"/>
      <c r="G5" s="5483"/>
      <c r="H5" s="5483"/>
      <c r="I5" s="5483"/>
      <c r="J5" s="5483"/>
      <c r="K5" s="5483"/>
      <c r="L5" s="5483"/>
      <c r="M5" s="5483"/>
      <c r="N5" s="5483"/>
      <c r="O5" s="5483"/>
      <c r="P5" s="5483"/>
      <c r="Q5" s="5483"/>
      <c r="R5" s="3166"/>
      <c r="S5" s="3166"/>
      <c r="T5" s="3166"/>
      <c r="U5" s="3166"/>
      <c r="V5" s="3166"/>
      <c r="W5" s="3166"/>
      <c r="X5" s="3166"/>
      <c r="Y5" s="3164"/>
      <c r="Z5" s="3164"/>
      <c r="AA5" s="3164"/>
      <c r="AR5" s="3166"/>
      <c r="AS5" s="3166"/>
      <c r="AT5" s="3166"/>
      <c r="AU5" s="3166"/>
      <c r="AV5" s="3166"/>
      <c r="AW5" s="3166"/>
      <c r="AX5" s="3166"/>
      <c r="AY5" s="3164"/>
      <c r="AZ5" s="3164"/>
      <c r="BA5" s="3164"/>
    </row>
    <row r="6" spans="1:53" ht="22.95" customHeight="1">
      <c r="A6" s="3164"/>
      <c r="B6" s="3164"/>
      <c r="C6" s="3164"/>
      <c r="D6" s="3164"/>
      <c r="E6" s="3164"/>
      <c r="F6" s="3164"/>
      <c r="G6" s="3164"/>
      <c r="H6" s="3164"/>
      <c r="I6" s="3164"/>
      <c r="J6" s="3164"/>
      <c r="K6" s="3164"/>
      <c r="L6" s="3164"/>
      <c r="M6" s="3164"/>
      <c r="N6" s="3164"/>
      <c r="O6" s="3164"/>
      <c r="P6" s="3164"/>
      <c r="Q6" s="3164"/>
      <c r="R6" s="3164"/>
      <c r="S6" s="3164"/>
      <c r="T6" s="3164"/>
      <c r="U6" s="3164"/>
      <c r="V6" s="3164"/>
      <c r="W6" s="3164"/>
      <c r="X6" s="3164"/>
      <c r="Y6" s="3164"/>
      <c r="Z6" s="3164"/>
      <c r="AA6" s="3164"/>
      <c r="AC6" s="3164"/>
      <c r="AD6" s="3164"/>
      <c r="AE6" s="3164"/>
      <c r="AF6" s="3164"/>
      <c r="AG6" s="3164"/>
      <c r="AH6" s="3164"/>
      <c r="AI6" s="3164"/>
      <c r="AJ6" s="3164"/>
      <c r="AK6" s="3164"/>
      <c r="AL6" s="3164"/>
      <c r="AM6" s="3164"/>
      <c r="AN6" s="3164"/>
      <c r="AO6" s="3164"/>
      <c r="AP6" s="3164"/>
      <c r="AQ6" s="3164"/>
      <c r="AR6" s="3164"/>
      <c r="AS6" s="3164"/>
      <c r="AT6" s="3164"/>
      <c r="AU6" s="3164"/>
      <c r="AV6" s="3164"/>
      <c r="AW6" s="3164"/>
      <c r="AX6" s="3164"/>
      <c r="AY6" s="3164"/>
      <c r="AZ6" s="3164"/>
      <c r="BA6" s="3164"/>
    </row>
    <row r="7" spans="1:53" ht="16.2" customHeight="1" thickBot="1">
      <c r="A7" s="3164"/>
      <c r="B7" s="3164"/>
      <c r="C7" s="3164"/>
      <c r="D7" s="3164"/>
      <c r="E7" s="3164"/>
      <c r="F7" s="3164"/>
      <c r="G7" s="3164"/>
      <c r="H7" s="3164"/>
      <c r="I7" s="3164"/>
      <c r="J7" s="3164"/>
      <c r="K7" s="3164"/>
      <c r="L7" s="3164"/>
      <c r="M7" s="3164"/>
      <c r="N7" s="3164"/>
      <c r="O7" s="3164"/>
      <c r="P7" s="3164"/>
      <c r="Q7" s="3164"/>
      <c r="R7" s="3164"/>
      <c r="S7" s="3164"/>
      <c r="T7" s="3164"/>
      <c r="U7" s="3164"/>
      <c r="V7" s="3164"/>
      <c r="W7" s="3164"/>
      <c r="X7" s="3164"/>
      <c r="Y7" s="3164"/>
      <c r="Z7" s="3164"/>
      <c r="AA7" s="3164"/>
      <c r="AC7" s="3164"/>
      <c r="AD7" s="3164"/>
      <c r="AE7" s="3164"/>
      <c r="AF7" s="3164"/>
      <c r="AG7" s="3164"/>
      <c r="AH7" s="3164"/>
      <c r="AI7" s="3164"/>
      <c r="AJ7" s="3164"/>
      <c r="AK7" s="3164"/>
      <c r="AL7" s="3164"/>
      <c r="AM7" s="3164"/>
      <c r="AN7" s="3164"/>
      <c r="AO7" s="3164"/>
      <c r="AP7" s="3164"/>
      <c r="AQ7" s="3164"/>
      <c r="AR7" s="3164"/>
      <c r="AS7" s="3164"/>
      <c r="AT7" s="3164"/>
      <c r="AU7" s="3164"/>
      <c r="AV7" s="3164"/>
      <c r="AW7" s="3164"/>
      <c r="AX7" s="3164"/>
      <c r="AY7" s="3164"/>
      <c r="AZ7" s="3164"/>
      <c r="BA7" s="660" t="s">
        <v>1889</v>
      </c>
    </row>
    <row r="8" spans="1:53" ht="21" customHeight="1" thickBot="1">
      <c r="A8" s="1519" t="s">
        <v>168</v>
      </c>
      <c r="B8" s="1520"/>
      <c r="C8" s="1520"/>
      <c r="D8" s="1520"/>
      <c r="E8" s="1520"/>
      <c r="F8" s="1520"/>
      <c r="G8" s="1520"/>
      <c r="H8" s="1520"/>
      <c r="I8" s="1520"/>
      <c r="J8" s="1520"/>
      <c r="K8" s="1520"/>
      <c r="L8" s="1520"/>
      <c r="M8" s="1520"/>
      <c r="N8" s="1520"/>
      <c r="O8" s="1520"/>
      <c r="P8" s="1520"/>
      <c r="Q8" s="1520"/>
      <c r="R8" s="1520"/>
      <c r="S8" s="1520"/>
      <c r="T8" s="1520"/>
      <c r="U8" s="1520"/>
      <c r="V8" s="1520"/>
      <c r="W8" s="1520"/>
      <c r="X8" s="1520"/>
      <c r="Y8" s="1520"/>
      <c r="Z8" s="1520"/>
      <c r="AA8" s="1520"/>
      <c r="AB8" s="4488"/>
      <c r="AC8" s="5468" t="str">
        <f>+A8</f>
        <v>Доставяне на вода на потребители</v>
      </c>
      <c r="AD8" s="5469"/>
      <c r="AE8" s="5469"/>
      <c r="AF8" s="5469"/>
      <c r="AG8" s="5469"/>
      <c r="AH8" s="5469"/>
      <c r="AI8" s="5469"/>
      <c r="AJ8" s="5469"/>
      <c r="AK8" s="5469"/>
      <c r="AL8" s="5469"/>
      <c r="AM8" s="5469"/>
      <c r="AN8" s="5469"/>
      <c r="AO8" s="5469"/>
      <c r="AP8" s="5469"/>
      <c r="AQ8" s="5469"/>
      <c r="AR8" s="5469"/>
      <c r="AS8" s="5469"/>
      <c r="AT8" s="5469"/>
      <c r="AU8" s="5469"/>
      <c r="AV8" s="5469"/>
      <c r="AW8" s="5469"/>
      <c r="AX8" s="5469"/>
      <c r="AY8" s="5469"/>
      <c r="AZ8" s="5469"/>
      <c r="BA8" s="5470"/>
    </row>
    <row r="9" spans="1:53" ht="21" customHeight="1" thickBot="1">
      <c r="A9" s="5471" t="s">
        <v>1174</v>
      </c>
      <c r="B9" s="5472"/>
      <c r="C9" s="5471">
        <v>1</v>
      </c>
      <c r="D9" s="5484"/>
      <c r="E9" s="5484"/>
      <c r="F9" s="5484"/>
      <c r="G9" s="5484"/>
      <c r="H9" s="5471">
        <f>C9+1</f>
        <v>2</v>
      </c>
      <c r="I9" s="5484"/>
      <c r="J9" s="5484"/>
      <c r="K9" s="5484"/>
      <c r="L9" s="5484"/>
      <c r="M9" s="5471">
        <f>H9+1</f>
        <v>3</v>
      </c>
      <c r="N9" s="5484"/>
      <c r="O9" s="5484"/>
      <c r="P9" s="5484"/>
      <c r="Q9" s="5484"/>
      <c r="R9" s="5471">
        <f>M9+1</f>
        <v>4</v>
      </c>
      <c r="S9" s="5484"/>
      <c r="T9" s="5484"/>
      <c r="U9" s="5484"/>
      <c r="V9" s="5484"/>
      <c r="W9" s="5471">
        <f>R9+1</f>
        <v>5</v>
      </c>
      <c r="X9" s="5484"/>
      <c r="Y9" s="5484"/>
      <c r="Z9" s="5484"/>
      <c r="AA9" s="5484"/>
      <c r="AB9" s="4488"/>
      <c r="AC9" s="5338">
        <f>+C9</f>
        <v>1</v>
      </c>
      <c r="AD9" s="5338"/>
      <c r="AE9" s="5338"/>
      <c r="AF9" s="5338"/>
      <c r="AG9" s="5338"/>
      <c r="AH9" s="5338">
        <f>+H9</f>
        <v>2</v>
      </c>
      <c r="AI9" s="5338"/>
      <c r="AJ9" s="5338"/>
      <c r="AK9" s="5338"/>
      <c r="AL9" s="5338"/>
      <c r="AM9" s="5338">
        <f>+M9</f>
        <v>3</v>
      </c>
      <c r="AN9" s="5338"/>
      <c r="AO9" s="5338"/>
      <c r="AP9" s="5338"/>
      <c r="AQ9" s="5338"/>
      <c r="AR9" s="5338">
        <f>+R9</f>
        <v>4</v>
      </c>
      <c r="AS9" s="5338"/>
      <c r="AT9" s="5338"/>
      <c r="AU9" s="5338"/>
      <c r="AV9" s="5338"/>
      <c r="AW9" s="5338">
        <f>+W9</f>
        <v>5</v>
      </c>
      <c r="AX9" s="5338"/>
      <c r="AY9" s="5338"/>
      <c r="AZ9" s="5338"/>
      <c r="BA9" s="5338"/>
    </row>
    <row r="10" spans="1:53" ht="13.8" thickBot="1">
      <c r="A10" s="5473" t="s">
        <v>1296</v>
      </c>
      <c r="B10" s="3167" t="s">
        <v>1445</v>
      </c>
      <c r="C10" s="5474"/>
      <c r="D10" s="5475"/>
      <c r="E10" s="5475"/>
      <c r="F10" s="5475"/>
      <c r="G10" s="5475"/>
      <c r="H10" s="5474"/>
      <c r="I10" s="5475"/>
      <c r="J10" s="5475"/>
      <c r="K10" s="5475"/>
      <c r="L10" s="5475"/>
      <c r="M10" s="5474"/>
      <c r="N10" s="5475"/>
      <c r="O10" s="5475"/>
      <c r="P10" s="5475"/>
      <c r="Q10" s="5475"/>
      <c r="R10" s="5474"/>
      <c r="S10" s="5475"/>
      <c r="T10" s="5475"/>
      <c r="U10" s="5475"/>
      <c r="V10" s="5475"/>
      <c r="W10" s="5474"/>
      <c r="X10" s="5475"/>
      <c r="Y10" s="5475"/>
      <c r="Z10" s="5475"/>
      <c r="AA10" s="5475"/>
      <c r="AB10" s="4488"/>
      <c r="AC10" s="5467" t="str">
        <f>IF(C10=0,"",C10)</f>
        <v/>
      </c>
      <c r="AD10" s="5467"/>
      <c r="AE10" s="5467"/>
      <c r="AF10" s="5467"/>
      <c r="AG10" s="5467"/>
      <c r="AH10" s="5467" t="str">
        <f>IF(H10=0,"",H10)</f>
        <v/>
      </c>
      <c r="AI10" s="5467"/>
      <c r="AJ10" s="5467"/>
      <c r="AK10" s="5467"/>
      <c r="AL10" s="5467"/>
      <c r="AM10" s="5467" t="str">
        <f>IF(M10=0,"",M10)</f>
        <v/>
      </c>
      <c r="AN10" s="5467"/>
      <c r="AO10" s="5467"/>
      <c r="AP10" s="5467"/>
      <c r="AQ10" s="5467"/>
      <c r="AR10" s="5467" t="str">
        <f>IF(R10=0,"",R10)</f>
        <v/>
      </c>
      <c r="AS10" s="5467"/>
      <c r="AT10" s="5467"/>
      <c r="AU10" s="5467"/>
      <c r="AV10" s="5467"/>
      <c r="AW10" s="5467" t="str">
        <f>IF(W10=0,"",W10)</f>
        <v/>
      </c>
      <c r="AX10" s="5467"/>
      <c r="AY10" s="5467"/>
      <c r="AZ10" s="5467"/>
      <c r="BA10" s="5467"/>
    </row>
    <row r="11" spans="1:53" ht="13.8" thickBot="1">
      <c r="A11" s="5473"/>
      <c r="B11" s="3167" t="s">
        <v>1297</v>
      </c>
      <c r="C11" s="5474"/>
      <c r="D11" s="5475"/>
      <c r="E11" s="5475"/>
      <c r="F11" s="5475"/>
      <c r="G11" s="5475"/>
      <c r="H11" s="5474"/>
      <c r="I11" s="5475"/>
      <c r="J11" s="5475"/>
      <c r="K11" s="5475"/>
      <c r="L11" s="5475"/>
      <c r="M11" s="5474"/>
      <c r="N11" s="5475"/>
      <c r="O11" s="5475"/>
      <c r="P11" s="5475"/>
      <c r="Q11" s="5475"/>
      <c r="R11" s="5474"/>
      <c r="S11" s="5475"/>
      <c r="T11" s="5475"/>
      <c r="U11" s="5475"/>
      <c r="V11" s="5475"/>
      <c r="W11" s="5474"/>
      <c r="X11" s="5475"/>
      <c r="Y11" s="5475"/>
      <c r="Z11" s="5475"/>
      <c r="AA11" s="5475"/>
      <c r="AB11" s="4488"/>
      <c r="AC11" s="5467" t="str">
        <f t="shared" ref="AC11:AC15" si="0">IF(C11=0,"",C11)</f>
        <v/>
      </c>
      <c r="AD11" s="5467"/>
      <c r="AE11" s="5467"/>
      <c r="AF11" s="5467"/>
      <c r="AG11" s="5467"/>
      <c r="AH11" s="5467" t="str">
        <f t="shared" ref="AH11:AH15" si="1">IF(H11=0,"",H11)</f>
        <v/>
      </c>
      <c r="AI11" s="5467"/>
      <c r="AJ11" s="5467"/>
      <c r="AK11" s="5467"/>
      <c r="AL11" s="5467"/>
      <c r="AM11" s="5467" t="str">
        <f t="shared" ref="AM11:AM15" si="2">IF(M11=0,"",M11)</f>
        <v/>
      </c>
      <c r="AN11" s="5467"/>
      <c r="AO11" s="5467"/>
      <c r="AP11" s="5467"/>
      <c r="AQ11" s="5467"/>
      <c r="AR11" s="5467" t="str">
        <f t="shared" ref="AR11:AR15" si="3">IF(R11=0,"",R11)</f>
        <v/>
      </c>
      <c r="AS11" s="5467"/>
      <c r="AT11" s="5467"/>
      <c r="AU11" s="5467"/>
      <c r="AV11" s="5467"/>
      <c r="AW11" s="5467" t="str">
        <f t="shared" ref="AW11:AW15" si="4">IF(W11=0,"",W11)</f>
        <v/>
      </c>
      <c r="AX11" s="5467"/>
      <c r="AY11" s="5467"/>
      <c r="AZ11" s="5467"/>
      <c r="BA11" s="5467"/>
    </row>
    <row r="12" spans="1:53" ht="13.8" thickBot="1">
      <c r="A12" s="5489" t="s">
        <v>1298</v>
      </c>
      <c r="B12" s="3168" t="s">
        <v>1299</v>
      </c>
      <c r="C12" s="5474"/>
      <c r="D12" s="5475"/>
      <c r="E12" s="5475"/>
      <c r="F12" s="5475"/>
      <c r="G12" s="5475"/>
      <c r="H12" s="5474"/>
      <c r="I12" s="5475"/>
      <c r="J12" s="5475"/>
      <c r="K12" s="5475"/>
      <c r="L12" s="5475"/>
      <c r="M12" s="5474"/>
      <c r="N12" s="5475"/>
      <c r="O12" s="5475"/>
      <c r="P12" s="5475"/>
      <c r="Q12" s="5475"/>
      <c r="R12" s="5474"/>
      <c r="S12" s="5475"/>
      <c r="T12" s="5475"/>
      <c r="U12" s="5475"/>
      <c r="V12" s="5475"/>
      <c r="W12" s="5474"/>
      <c r="X12" s="5475"/>
      <c r="Y12" s="5475"/>
      <c r="Z12" s="5475"/>
      <c r="AA12" s="5475"/>
      <c r="AB12" s="4488"/>
      <c r="AC12" s="5467" t="str">
        <f t="shared" si="0"/>
        <v/>
      </c>
      <c r="AD12" s="5467"/>
      <c r="AE12" s="5467"/>
      <c r="AF12" s="5467"/>
      <c r="AG12" s="5467"/>
      <c r="AH12" s="5467" t="str">
        <f t="shared" si="1"/>
        <v/>
      </c>
      <c r="AI12" s="5467"/>
      <c r="AJ12" s="5467"/>
      <c r="AK12" s="5467"/>
      <c r="AL12" s="5467"/>
      <c r="AM12" s="5467" t="str">
        <f t="shared" si="2"/>
        <v/>
      </c>
      <c r="AN12" s="5467"/>
      <c r="AO12" s="5467"/>
      <c r="AP12" s="5467"/>
      <c r="AQ12" s="5467"/>
      <c r="AR12" s="5467" t="str">
        <f t="shared" si="3"/>
        <v/>
      </c>
      <c r="AS12" s="5467"/>
      <c r="AT12" s="5467"/>
      <c r="AU12" s="5467"/>
      <c r="AV12" s="5467"/>
      <c r="AW12" s="5467" t="str">
        <f t="shared" si="4"/>
        <v/>
      </c>
      <c r="AX12" s="5467"/>
      <c r="AY12" s="5467"/>
      <c r="AZ12" s="5467"/>
      <c r="BA12" s="5467"/>
    </row>
    <row r="13" spans="1:53" ht="13.8" thickBot="1">
      <c r="A13" s="5490"/>
      <c r="B13" s="3167" t="s">
        <v>1300</v>
      </c>
      <c r="C13" s="5474"/>
      <c r="D13" s="5475"/>
      <c r="E13" s="5475"/>
      <c r="F13" s="5475"/>
      <c r="G13" s="5475"/>
      <c r="H13" s="5474"/>
      <c r="I13" s="5475"/>
      <c r="J13" s="5475"/>
      <c r="K13" s="5475"/>
      <c r="L13" s="5475"/>
      <c r="M13" s="5474"/>
      <c r="N13" s="5475"/>
      <c r="O13" s="5475"/>
      <c r="P13" s="5475"/>
      <c r="Q13" s="5475"/>
      <c r="R13" s="5474"/>
      <c r="S13" s="5475"/>
      <c r="T13" s="5475"/>
      <c r="U13" s="5475"/>
      <c r="V13" s="5475"/>
      <c r="W13" s="5474"/>
      <c r="X13" s="5475"/>
      <c r="Y13" s="5475"/>
      <c r="Z13" s="5475"/>
      <c r="AA13" s="5475"/>
      <c r="AB13" s="4488"/>
      <c r="AC13" s="5467" t="str">
        <f t="shared" si="0"/>
        <v/>
      </c>
      <c r="AD13" s="5467"/>
      <c r="AE13" s="5467"/>
      <c r="AF13" s="5467"/>
      <c r="AG13" s="5467"/>
      <c r="AH13" s="5467" t="str">
        <f t="shared" si="1"/>
        <v/>
      </c>
      <c r="AI13" s="5467"/>
      <c r="AJ13" s="5467"/>
      <c r="AK13" s="5467"/>
      <c r="AL13" s="5467"/>
      <c r="AM13" s="5467" t="str">
        <f t="shared" si="2"/>
        <v/>
      </c>
      <c r="AN13" s="5467"/>
      <c r="AO13" s="5467"/>
      <c r="AP13" s="5467"/>
      <c r="AQ13" s="5467"/>
      <c r="AR13" s="5467" t="str">
        <f t="shared" si="3"/>
        <v/>
      </c>
      <c r="AS13" s="5467"/>
      <c r="AT13" s="5467"/>
      <c r="AU13" s="5467"/>
      <c r="AV13" s="5467"/>
      <c r="AW13" s="5467" t="str">
        <f t="shared" si="4"/>
        <v/>
      </c>
      <c r="AX13" s="5467"/>
      <c r="AY13" s="5467"/>
      <c r="AZ13" s="5467"/>
      <c r="BA13" s="5467"/>
    </row>
    <row r="14" spans="1:53" ht="27" thickBot="1">
      <c r="A14" s="3817" t="s">
        <v>1301</v>
      </c>
      <c r="B14" s="3167" t="s">
        <v>1302</v>
      </c>
      <c r="C14" s="5474"/>
      <c r="D14" s="5475"/>
      <c r="E14" s="5475"/>
      <c r="F14" s="5475"/>
      <c r="G14" s="5475"/>
      <c r="H14" s="5474"/>
      <c r="I14" s="5475"/>
      <c r="J14" s="5475"/>
      <c r="K14" s="5475"/>
      <c r="L14" s="5475"/>
      <c r="M14" s="5474"/>
      <c r="N14" s="5475"/>
      <c r="O14" s="5475"/>
      <c r="P14" s="5475"/>
      <c r="Q14" s="5475"/>
      <c r="R14" s="5474"/>
      <c r="S14" s="5475"/>
      <c r="T14" s="5475"/>
      <c r="U14" s="5475"/>
      <c r="V14" s="5475"/>
      <c r="W14" s="5474"/>
      <c r="X14" s="5475"/>
      <c r="Y14" s="5475"/>
      <c r="Z14" s="5475"/>
      <c r="AA14" s="5475"/>
      <c r="AB14" s="4488"/>
      <c r="AC14" s="5467" t="str">
        <f t="shared" si="0"/>
        <v/>
      </c>
      <c r="AD14" s="5467"/>
      <c r="AE14" s="5467"/>
      <c r="AF14" s="5467"/>
      <c r="AG14" s="5467"/>
      <c r="AH14" s="5467" t="str">
        <f t="shared" si="1"/>
        <v/>
      </c>
      <c r="AI14" s="5467"/>
      <c r="AJ14" s="5467"/>
      <c r="AK14" s="5467"/>
      <c r="AL14" s="5467"/>
      <c r="AM14" s="5467" t="str">
        <f t="shared" si="2"/>
        <v/>
      </c>
      <c r="AN14" s="5467"/>
      <c r="AO14" s="5467"/>
      <c r="AP14" s="5467"/>
      <c r="AQ14" s="5467"/>
      <c r="AR14" s="5467" t="str">
        <f t="shared" si="3"/>
        <v/>
      </c>
      <c r="AS14" s="5467"/>
      <c r="AT14" s="5467"/>
      <c r="AU14" s="5467"/>
      <c r="AV14" s="5467"/>
      <c r="AW14" s="5467" t="str">
        <f t="shared" si="4"/>
        <v/>
      </c>
      <c r="AX14" s="5467"/>
      <c r="AY14" s="5467"/>
      <c r="AZ14" s="5467"/>
      <c r="BA14" s="5467"/>
    </row>
    <row r="15" spans="1:53" ht="27" thickBot="1">
      <c r="A15" s="3169" t="s">
        <v>1303</v>
      </c>
      <c r="B15" s="3170" t="s">
        <v>1304</v>
      </c>
      <c r="C15" s="5485"/>
      <c r="D15" s="5486"/>
      <c r="E15" s="5486"/>
      <c r="F15" s="5486"/>
      <c r="G15" s="5486"/>
      <c r="H15" s="5485"/>
      <c r="I15" s="5486"/>
      <c r="J15" s="5486"/>
      <c r="K15" s="5486"/>
      <c r="L15" s="5486"/>
      <c r="M15" s="5485"/>
      <c r="N15" s="5486"/>
      <c r="O15" s="5486"/>
      <c r="P15" s="5486"/>
      <c r="Q15" s="5486"/>
      <c r="R15" s="5485"/>
      <c r="S15" s="5486"/>
      <c r="T15" s="5486"/>
      <c r="U15" s="5486"/>
      <c r="V15" s="5486"/>
      <c r="W15" s="5485"/>
      <c r="X15" s="5486"/>
      <c r="Y15" s="5486"/>
      <c r="Z15" s="5486"/>
      <c r="AA15" s="5486"/>
      <c r="AB15" s="4488"/>
      <c r="AC15" s="5467" t="str">
        <f t="shared" si="0"/>
        <v/>
      </c>
      <c r="AD15" s="5467"/>
      <c r="AE15" s="5467"/>
      <c r="AF15" s="5467"/>
      <c r="AG15" s="5467"/>
      <c r="AH15" s="5467" t="str">
        <f t="shared" si="1"/>
        <v/>
      </c>
      <c r="AI15" s="5467"/>
      <c r="AJ15" s="5467"/>
      <c r="AK15" s="5467"/>
      <c r="AL15" s="5467"/>
      <c r="AM15" s="5467" t="str">
        <f t="shared" si="2"/>
        <v/>
      </c>
      <c r="AN15" s="5467"/>
      <c r="AO15" s="5467"/>
      <c r="AP15" s="5467"/>
      <c r="AQ15" s="5467"/>
      <c r="AR15" s="5467" t="str">
        <f t="shared" si="3"/>
        <v/>
      </c>
      <c r="AS15" s="5467"/>
      <c r="AT15" s="5467"/>
      <c r="AU15" s="5467"/>
      <c r="AV15" s="5467"/>
      <c r="AW15" s="5467" t="str">
        <f t="shared" si="4"/>
        <v/>
      </c>
      <c r="AX15" s="5467"/>
      <c r="AY15" s="5467"/>
      <c r="AZ15" s="5467"/>
      <c r="BA15" s="5467"/>
    </row>
    <row r="16" spans="1:53" ht="13.8" thickBot="1">
      <c r="A16" s="5491" t="s">
        <v>1460</v>
      </c>
      <c r="B16" s="5492"/>
      <c r="C16" s="4274" t="str">
        <f>'Приложение '!$C$14</f>
        <v>2027 г.</v>
      </c>
      <c r="D16" s="4275" t="str">
        <f>'Приложение '!$C$15</f>
        <v>2028 г.</v>
      </c>
      <c r="E16" s="4275" t="str">
        <f>'Приложение '!$C$16</f>
        <v>2029 г.</v>
      </c>
      <c r="F16" s="4275" t="str">
        <f>'Приложение '!$C$17</f>
        <v>2030 г.</v>
      </c>
      <c r="G16" s="4275" t="str">
        <f>'Приложение '!$C$18</f>
        <v>2031 г.</v>
      </c>
      <c r="H16" s="4274" t="str">
        <f>'Приложение '!$C$14</f>
        <v>2027 г.</v>
      </c>
      <c r="I16" s="4275" t="str">
        <f>'Приложение '!$C$15</f>
        <v>2028 г.</v>
      </c>
      <c r="J16" s="4275" t="str">
        <f>'Приложение '!$C$16</f>
        <v>2029 г.</v>
      </c>
      <c r="K16" s="4275" t="str">
        <f>'Приложение '!$C$17</f>
        <v>2030 г.</v>
      </c>
      <c r="L16" s="4275" t="str">
        <f>'Приложение '!$C$18</f>
        <v>2031 г.</v>
      </c>
      <c r="M16" s="4274" t="str">
        <f>'Приложение '!$C$14</f>
        <v>2027 г.</v>
      </c>
      <c r="N16" s="4275" t="str">
        <f>'Приложение '!$C$15</f>
        <v>2028 г.</v>
      </c>
      <c r="O16" s="4275" t="str">
        <f>'Приложение '!$C$16</f>
        <v>2029 г.</v>
      </c>
      <c r="P16" s="4275" t="str">
        <f>'Приложение '!$C$17</f>
        <v>2030 г.</v>
      </c>
      <c r="Q16" s="4275" t="str">
        <f>'Приложение '!$C$18</f>
        <v>2031 г.</v>
      </c>
      <c r="R16" s="4274" t="str">
        <f>'Приложение '!$C$14</f>
        <v>2027 г.</v>
      </c>
      <c r="S16" s="4275" t="str">
        <f>'Приложение '!$C$15</f>
        <v>2028 г.</v>
      </c>
      <c r="T16" s="4275" t="str">
        <f>'Приложение '!$C$16</f>
        <v>2029 г.</v>
      </c>
      <c r="U16" s="4275" t="str">
        <f>'Приложение '!$C$17</f>
        <v>2030 г.</v>
      </c>
      <c r="V16" s="4275" t="str">
        <f>'Приложение '!$C$18</f>
        <v>2031 г.</v>
      </c>
      <c r="W16" s="4274" t="str">
        <f>'Приложение '!$C$14</f>
        <v>2027 г.</v>
      </c>
      <c r="X16" s="4275" t="str">
        <f>'Приложение '!$C$15</f>
        <v>2028 г.</v>
      </c>
      <c r="Y16" s="4275" t="str">
        <f>'Приложение '!$C$16</f>
        <v>2029 г.</v>
      </c>
      <c r="Z16" s="4275" t="str">
        <f>'Приложение '!$C$17</f>
        <v>2030 г.</v>
      </c>
      <c r="AA16" s="4275" t="str">
        <f>'Приложение '!$C$18</f>
        <v>2031 г.</v>
      </c>
      <c r="AB16" s="4488"/>
      <c r="AC16" s="4535" t="str">
        <f>'Приложение '!$C$14</f>
        <v>2027 г.</v>
      </c>
      <c r="AD16" s="4535" t="str">
        <f>'Приложение '!$C$15</f>
        <v>2028 г.</v>
      </c>
      <c r="AE16" s="4535" t="str">
        <f>'Приложение '!$C$16</f>
        <v>2029 г.</v>
      </c>
      <c r="AF16" s="4535" t="str">
        <f>'Приложение '!$C$17</f>
        <v>2030 г.</v>
      </c>
      <c r="AG16" s="4535" t="str">
        <f>'Приложение '!$C$18</f>
        <v>2031 г.</v>
      </c>
      <c r="AH16" s="4535" t="str">
        <f>'Приложение '!$C$14</f>
        <v>2027 г.</v>
      </c>
      <c r="AI16" s="4535" t="str">
        <f>'Приложение '!$C$15</f>
        <v>2028 г.</v>
      </c>
      <c r="AJ16" s="4535" t="str">
        <f>'Приложение '!$C$16</f>
        <v>2029 г.</v>
      </c>
      <c r="AK16" s="4535" t="str">
        <f>'Приложение '!$C$17</f>
        <v>2030 г.</v>
      </c>
      <c r="AL16" s="4535" t="str">
        <f>'Приложение '!$C$18</f>
        <v>2031 г.</v>
      </c>
      <c r="AM16" s="4535" t="str">
        <f>'Приложение '!$C$14</f>
        <v>2027 г.</v>
      </c>
      <c r="AN16" s="4535" t="str">
        <f>'Приложение '!$C$15</f>
        <v>2028 г.</v>
      </c>
      <c r="AO16" s="4535" t="str">
        <f>'Приложение '!$C$16</f>
        <v>2029 г.</v>
      </c>
      <c r="AP16" s="4535" t="str">
        <f>'Приложение '!$C$17</f>
        <v>2030 г.</v>
      </c>
      <c r="AQ16" s="4535" t="str">
        <f>'Приложение '!$C$18</f>
        <v>2031 г.</v>
      </c>
      <c r="AR16" s="4535" t="str">
        <f>'Приложение '!$C$14</f>
        <v>2027 г.</v>
      </c>
      <c r="AS16" s="4535" t="str">
        <f>'Приложение '!$C$15</f>
        <v>2028 г.</v>
      </c>
      <c r="AT16" s="4535" t="str">
        <f>'Приложение '!$C$16</f>
        <v>2029 г.</v>
      </c>
      <c r="AU16" s="4535" t="str">
        <f>'Приложение '!$C$17</f>
        <v>2030 г.</v>
      </c>
      <c r="AV16" s="4535" t="str">
        <f>'Приложение '!$C$18</f>
        <v>2031 г.</v>
      </c>
      <c r="AW16" s="4535" t="str">
        <f>'Приложение '!$C$14</f>
        <v>2027 г.</v>
      </c>
      <c r="AX16" s="4535" t="str">
        <f>'Приложение '!$C$15</f>
        <v>2028 г.</v>
      </c>
      <c r="AY16" s="4535" t="str">
        <f>'Приложение '!$C$16</f>
        <v>2029 г.</v>
      </c>
      <c r="AZ16" s="4535" t="str">
        <f>'Приложение '!$C$17</f>
        <v>2030 г.</v>
      </c>
      <c r="BA16" s="4535" t="str">
        <f>'Приложение '!$C$18</f>
        <v>2031 г.</v>
      </c>
    </row>
    <row r="17" spans="1:53">
      <c r="A17" s="5480" t="s">
        <v>1446</v>
      </c>
      <c r="B17" s="5481"/>
      <c r="C17" s="3171"/>
      <c r="D17" s="3172"/>
      <c r="E17" s="3172"/>
      <c r="F17" s="3172"/>
      <c r="G17" s="3172"/>
      <c r="H17" s="3171"/>
      <c r="I17" s="3172"/>
      <c r="J17" s="3172"/>
      <c r="K17" s="3172"/>
      <c r="L17" s="3172"/>
      <c r="M17" s="3171"/>
      <c r="N17" s="3172"/>
      <c r="O17" s="3172"/>
      <c r="P17" s="3172"/>
      <c r="Q17" s="3172"/>
      <c r="R17" s="3171"/>
      <c r="S17" s="3172"/>
      <c r="T17" s="3172"/>
      <c r="U17" s="3172"/>
      <c r="V17" s="3172"/>
      <c r="W17" s="3171"/>
      <c r="X17" s="3172"/>
      <c r="Y17" s="3172"/>
      <c r="Z17" s="3172"/>
      <c r="AA17" s="3172"/>
      <c r="AB17" s="4488"/>
      <c r="AC17" s="4538"/>
      <c r="AD17" s="4538"/>
      <c r="AE17" s="4538"/>
      <c r="AF17" s="4538"/>
      <c r="AG17" s="4538"/>
      <c r="AH17" s="4538"/>
      <c r="AI17" s="4538"/>
      <c r="AJ17" s="4538"/>
      <c r="AK17" s="4538"/>
      <c r="AL17" s="4538"/>
      <c r="AM17" s="4538"/>
      <c r="AN17" s="4538"/>
      <c r="AO17" s="4538"/>
      <c r="AP17" s="4538"/>
      <c r="AQ17" s="4538"/>
      <c r="AR17" s="4538"/>
      <c r="AS17" s="4538"/>
      <c r="AT17" s="4538"/>
      <c r="AU17" s="4538"/>
      <c r="AV17" s="4538"/>
      <c r="AW17" s="4538"/>
      <c r="AX17" s="4538"/>
      <c r="AY17" s="4538"/>
      <c r="AZ17" s="4538"/>
      <c r="BA17" s="4538"/>
    </row>
    <row r="18" spans="1:53">
      <c r="A18" s="5495" t="s">
        <v>1447</v>
      </c>
      <c r="B18" s="5496"/>
      <c r="C18" s="3173"/>
      <c r="D18" s="3174"/>
      <c r="E18" s="3174"/>
      <c r="F18" s="3174"/>
      <c r="G18" s="3174"/>
      <c r="H18" s="3173"/>
      <c r="I18" s="3174"/>
      <c r="J18" s="3174"/>
      <c r="K18" s="3174"/>
      <c r="L18" s="3174"/>
      <c r="M18" s="3173"/>
      <c r="N18" s="3174"/>
      <c r="O18" s="3174"/>
      <c r="P18" s="3174"/>
      <c r="Q18" s="3174"/>
      <c r="R18" s="3173"/>
      <c r="S18" s="3174"/>
      <c r="T18" s="3174"/>
      <c r="U18" s="3174"/>
      <c r="V18" s="3174"/>
      <c r="W18" s="3173"/>
      <c r="X18" s="3174"/>
      <c r="Y18" s="3174"/>
      <c r="Z18" s="3174"/>
      <c r="AA18" s="3174"/>
      <c r="AB18" s="4488"/>
      <c r="AC18" s="4539"/>
      <c r="AD18" s="4539"/>
      <c r="AE18" s="4539"/>
      <c r="AF18" s="4539"/>
      <c r="AG18" s="4539"/>
      <c r="AH18" s="4539"/>
      <c r="AI18" s="4539"/>
      <c r="AJ18" s="4539"/>
      <c r="AK18" s="4539"/>
      <c r="AL18" s="4539"/>
      <c r="AM18" s="4539"/>
      <c r="AN18" s="4539"/>
      <c r="AO18" s="4539"/>
      <c r="AP18" s="4539"/>
      <c r="AQ18" s="4539"/>
      <c r="AR18" s="4539"/>
      <c r="AS18" s="4539"/>
      <c r="AT18" s="4539"/>
      <c r="AU18" s="4539"/>
      <c r="AV18" s="4539"/>
      <c r="AW18" s="4539"/>
      <c r="AX18" s="4539"/>
      <c r="AY18" s="4539"/>
      <c r="AZ18" s="4539"/>
      <c r="BA18" s="4539"/>
    </row>
    <row r="19" spans="1:53">
      <c r="A19" s="5497" t="s">
        <v>1448</v>
      </c>
      <c r="B19" s="5498"/>
      <c r="C19" s="3175"/>
      <c r="D19" s="3176"/>
      <c r="E19" s="3176"/>
      <c r="F19" s="3176"/>
      <c r="G19" s="3176"/>
      <c r="H19" s="3175"/>
      <c r="I19" s="3176"/>
      <c r="J19" s="3176"/>
      <c r="K19" s="3176"/>
      <c r="L19" s="3176"/>
      <c r="M19" s="3175"/>
      <c r="N19" s="3176"/>
      <c r="O19" s="3176"/>
      <c r="P19" s="3176"/>
      <c r="Q19" s="3176"/>
      <c r="R19" s="3175"/>
      <c r="S19" s="3176"/>
      <c r="T19" s="3176"/>
      <c r="U19" s="3176"/>
      <c r="V19" s="3176"/>
      <c r="W19" s="3175"/>
      <c r="X19" s="3176"/>
      <c r="Y19" s="3176"/>
      <c r="Z19" s="3176"/>
      <c r="AA19" s="3176"/>
      <c r="AB19" s="4488"/>
      <c r="AC19" s="4539"/>
      <c r="AD19" s="4539"/>
      <c r="AE19" s="4539"/>
      <c r="AF19" s="4539"/>
      <c r="AG19" s="4539"/>
      <c r="AH19" s="4539"/>
      <c r="AI19" s="4539"/>
      <c r="AJ19" s="4539"/>
      <c r="AK19" s="4539"/>
      <c r="AL19" s="4539"/>
      <c r="AM19" s="4539"/>
      <c r="AN19" s="4539"/>
      <c r="AO19" s="4539"/>
      <c r="AP19" s="4539"/>
      <c r="AQ19" s="4539"/>
      <c r="AR19" s="4539"/>
      <c r="AS19" s="4539"/>
      <c r="AT19" s="4539"/>
      <c r="AU19" s="4539"/>
      <c r="AV19" s="4539"/>
      <c r="AW19" s="4539"/>
      <c r="AX19" s="4539"/>
      <c r="AY19" s="4539"/>
      <c r="AZ19" s="4539"/>
      <c r="BA19" s="4539"/>
    </row>
    <row r="20" spans="1:53" ht="13.8" thickBot="1">
      <c r="A20" s="5507" t="s">
        <v>1449</v>
      </c>
      <c r="B20" s="5508"/>
      <c r="C20" s="3177"/>
      <c r="D20" s="3178"/>
      <c r="E20" s="3178"/>
      <c r="F20" s="3178"/>
      <c r="G20" s="3178"/>
      <c r="H20" s="3177"/>
      <c r="I20" s="3178"/>
      <c r="J20" s="3178"/>
      <c r="K20" s="3178"/>
      <c r="L20" s="3178"/>
      <c r="M20" s="3177"/>
      <c r="N20" s="3178"/>
      <c r="O20" s="3178"/>
      <c r="P20" s="3178"/>
      <c r="Q20" s="3178"/>
      <c r="R20" s="3177"/>
      <c r="S20" s="3178"/>
      <c r="T20" s="3178"/>
      <c r="U20" s="3178"/>
      <c r="V20" s="3178"/>
      <c r="W20" s="3177"/>
      <c r="X20" s="3178"/>
      <c r="Y20" s="3178"/>
      <c r="Z20" s="3178"/>
      <c r="AA20" s="3178"/>
      <c r="AB20" s="4488"/>
      <c r="AC20" s="4540"/>
      <c r="AD20" s="4540"/>
      <c r="AE20" s="4540"/>
      <c r="AF20" s="4540"/>
      <c r="AG20" s="4540"/>
      <c r="AH20" s="4540"/>
      <c r="AI20" s="4540"/>
      <c r="AJ20" s="4540"/>
      <c r="AK20" s="4540"/>
      <c r="AL20" s="4540"/>
      <c r="AM20" s="4540"/>
      <c r="AN20" s="4540"/>
      <c r="AO20" s="4540"/>
      <c r="AP20" s="4540"/>
      <c r="AQ20" s="4540"/>
      <c r="AR20" s="4540"/>
      <c r="AS20" s="4540"/>
      <c r="AT20" s="4540"/>
      <c r="AU20" s="4540"/>
      <c r="AV20" s="4540"/>
      <c r="AW20" s="4540"/>
      <c r="AX20" s="4540"/>
      <c r="AY20" s="4540"/>
      <c r="AZ20" s="4540"/>
      <c r="BA20" s="4540"/>
    </row>
    <row r="21" spans="1:53" s="2" customFormat="1" ht="25.5" customHeight="1" thickBot="1">
      <c r="A21" s="5499" t="s">
        <v>1451</v>
      </c>
      <c r="B21" s="5500"/>
      <c r="C21" s="3179">
        <f t="shared" ref="C21:AA21" si="5">SUM(C22,C27:C31)</f>
        <v>0</v>
      </c>
      <c r="D21" s="3180">
        <f t="shared" si="5"/>
        <v>0</v>
      </c>
      <c r="E21" s="3180">
        <f t="shared" si="5"/>
        <v>0</v>
      </c>
      <c r="F21" s="3180">
        <f t="shared" si="5"/>
        <v>0</v>
      </c>
      <c r="G21" s="3180">
        <f t="shared" si="5"/>
        <v>0</v>
      </c>
      <c r="H21" s="3179">
        <f t="shared" si="5"/>
        <v>0</v>
      </c>
      <c r="I21" s="3180">
        <f t="shared" si="5"/>
        <v>0</v>
      </c>
      <c r="J21" s="3180">
        <f t="shared" si="5"/>
        <v>0</v>
      </c>
      <c r="K21" s="3180">
        <f t="shared" si="5"/>
        <v>0</v>
      </c>
      <c r="L21" s="3180">
        <f t="shared" si="5"/>
        <v>0</v>
      </c>
      <c r="M21" s="3179">
        <f t="shared" si="5"/>
        <v>0</v>
      </c>
      <c r="N21" s="3180">
        <f t="shared" si="5"/>
        <v>0</v>
      </c>
      <c r="O21" s="3180">
        <f t="shared" si="5"/>
        <v>0</v>
      </c>
      <c r="P21" s="3180">
        <f t="shared" si="5"/>
        <v>0</v>
      </c>
      <c r="Q21" s="3180">
        <f t="shared" si="5"/>
        <v>0</v>
      </c>
      <c r="R21" s="3179">
        <f t="shared" si="5"/>
        <v>0</v>
      </c>
      <c r="S21" s="3180">
        <f t="shared" si="5"/>
        <v>0</v>
      </c>
      <c r="T21" s="3180">
        <f t="shared" si="5"/>
        <v>0</v>
      </c>
      <c r="U21" s="3180">
        <f t="shared" si="5"/>
        <v>0</v>
      </c>
      <c r="V21" s="3180">
        <f t="shared" si="5"/>
        <v>0</v>
      </c>
      <c r="W21" s="3179">
        <f t="shared" si="5"/>
        <v>0</v>
      </c>
      <c r="X21" s="3180">
        <f t="shared" si="5"/>
        <v>0</v>
      </c>
      <c r="Y21" s="3180">
        <f t="shared" si="5"/>
        <v>0</v>
      </c>
      <c r="Z21" s="3180">
        <f t="shared" si="5"/>
        <v>0</v>
      </c>
      <c r="AA21" s="3180">
        <f t="shared" si="5"/>
        <v>0</v>
      </c>
      <c r="AB21" s="4488"/>
      <c r="AC21" s="4536">
        <f>IFERROR(C21/$D$1,0)</f>
        <v>0</v>
      </c>
      <c r="AD21" s="4537">
        <f t="shared" ref="AD21:AD31" si="6">IFERROR(D21/$D$1,0)</f>
        <v>0</v>
      </c>
      <c r="AE21" s="4537">
        <f t="shared" ref="AE21:AE31" si="7">IFERROR(E21/$D$1,0)</f>
        <v>0</v>
      </c>
      <c r="AF21" s="4537">
        <f t="shared" ref="AF21:AF31" si="8">IFERROR(F21/$D$1,0)</f>
        <v>0</v>
      </c>
      <c r="AG21" s="4537">
        <f t="shared" ref="AG21:AG31" si="9">IFERROR(G21/$D$1,0)</f>
        <v>0</v>
      </c>
      <c r="AH21" s="4537">
        <f t="shared" ref="AH21:AH31" si="10">IFERROR(H21/$D$1,0)</f>
        <v>0</v>
      </c>
      <c r="AI21" s="4537">
        <f t="shared" ref="AI21:AI31" si="11">IFERROR(I21/$D$1,0)</f>
        <v>0</v>
      </c>
      <c r="AJ21" s="4537">
        <f t="shared" ref="AJ21:AJ31" si="12">IFERROR(J21/$D$1,0)</f>
        <v>0</v>
      </c>
      <c r="AK21" s="4537">
        <f t="shared" ref="AK21:AK31" si="13">IFERROR(K21/$D$1,0)</f>
        <v>0</v>
      </c>
      <c r="AL21" s="4537">
        <f t="shared" ref="AL21:AL31" si="14">IFERROR(L21/$D$1,0)</f>
        <v>0</v>
      </c>
      <c r="AM21" s="4537">
        <f t="shared" ref="AM21:AM31" si="15">IFERROR(M21/$D$1,0)</f>
        <v>0</v>
      </c>
      <c r="AN21" s="4537">
        <f t="shared" ref="AN21:AN31" si="16">IFERROR(N21/$D$1,0)</f>
        <v>0</v>
      </c>
      <c r="AO21" s="4537">
        <f t="shared" ref="AO21:AO31" si="17">IFERROR(O21/$D$1,0)</f>
        <v>0</v>
      </c>
      <c r="AP21" s="4537">
        <f t="shared" ref="AP21:AP31" si="18">IFERROR(P21/$D$1,0)</f>
        <v>0</v>
      </c>
      <c r="AQ21" s="4537">
        <f t="shared" ref="AQ21:AQ31" si="19">IFERROR(Q21/$D$1,0)</f>
        <v>0</v>
      </c>
      <c r="AR21" s="4537">
        <f t="shared" ref="AR21:AR31" si="20">IFERROR(R21/$D$1,0)</f>
        <v>0</v>
      </c>
      <c r="AS21" s="4537">
        <f t="shared" ref="AS21:AS31" si="21">IFERROR(S21/$D$1,0)</f>
        <v>0</v>
      </c>
      <c r="AT21" s="4537">
        <f t="shared" ref="AT21:AT31" si="22">IFERROR(T21/$D$1,0)</f>
        <v>0</v>
      </c>
      <c r="AU21" s="4537">
        <f t="shared" ref="AU21:AU31" si="23">IFERROR(U21/$D$1,0)</f>
        <v>0</v>
      </c>
      <c r="AV21" s="4537">
        <f t="shared" ref="AV21:AV31" si="24">IFERROR(V21/$D$1,0)</f>
        <v>0</v>
      </c>
      <c r="AW21" s="4537">
        <f t="shared" ref="AW21:AW31" si="25">IFERROR(W21/$D$1,0)</f>
        <v>0</v>
      </c>
      <c r="AX21" s="4537">
        <f t="shared" ref="AX21:AX31" si="26">IFERROR(X21/$D$1,0)</f>
        <v>0</v>
      </c>
      <c r="AY21" s="4537">
        <f t="shared" ref="AY21:AY31" si="27">IFERROR(Y21/$D$1,0)</f>
        <v>0</v>
      </c>
      <c r="AZ21" s="4537">
        <f t="shared" ref="AZ21:AZ31" si="28">IFERROR(Z21/$D$1,0)</f>
        <v>0</v>
      </c>
      <c r="BA21" s="4537">
        <f t="shared" ref="BA21:BA31" si="29">IFERROR(AA21/$D$1,0)</f>
        <v>0</v>
      </c>
    </row>
    <row r="22" spans="1:53" ht="13.8" thickBot="1">
      <c r="A22" s="5501" t="s">
        <v>1450</v>
      </c>
      <c r="B22" s="5502"/>
      <c r="C22" s="3173"/>
      <c r="D22" s="3174"/>
      <c r="E22" s="3174"/>
      <c r="F22" s="3174"/>
      <c r="G22" s="3174"/>
      <c r="H22" s="3173"/>
      <c r="I22" s="3174"/>
      <c r="J22" s="3174"/>
      <c r="K22" s="3174"/>
      <c r="L22" s="3174"/>
      <c r="M22" s="3173"/>
      <c r="N22" s="3174"/>
      <c r="O22" s="3174"/>
      <c r="P22" s="3174"/>
      <c r="Q22" s="3174"/>
      <c r="R22" s="3173"/>
      <c r="S22" s="3174"/>
      <c r="T22" s="3174"/>
      <c r="U22" s="3174"/>
      <c r="V22" s="3174"/>
      <c r="W22" s="3173"/>
      <c r="X22" s="3174"/>
      <c r="Y22" s="3174"/>
      <c r="Z22" s="3174"/>
      <c r="AA22" s="3174"/>
      <c r="AB22" s="4488"/>
      <c r="AC22" s="4493">
        <f t="shared" ref="AC22:AC31" si="30">IFERROR(C22/$D$1,0)</f>
        <v>0</v>
      </c>
      <c r="AD22" s="4493">
        <f t="shared" si="6"/>
        <v>0</v>
      </c>
      <c r="AE22" s="4493">
        <f t="shared" si="7"/>
        <v>0</v>
      </c>
      <c r="AF22" s="4493">
        <f t="shared" si="8"/>
        <v>0</v>
      </c>
      <c r="AG22" s="4493">
        <f t="shared" si="9"/>
        <v>0</v>
      </c>
      <c r="AH22" s="4493">
        <f t="shared" si="10"/>
        <v>0</v>
      </c>
      <c r="AI22" s="4493">
        <f t="shared" si="11"/>
        <v>0</v>
      </c>
      <c r="AJ22" s="4493">
        <f t="shared" si="12"/>
        <v>0</v>
      </c>
      <c r="AK22" s="4493">
        <f t="shared" si="13"/>
        <v>0</v>
      </c>
      <c r="AL22" s="4493">
        <f t="shared" si="14"/>
        <v>0</v>
      </c>
      <c r="AM22" s="4493">
        <f t="shared" si="15"/>
        <v>0</v>
      </c>
      <c r="AN22" s="4493">
        <f t="shared" si="16"/>
        <v>0</v>
      </c>
      <c r="AO22" s="4493">
        <f t="shared" si="17"/>
        <v>0</v>
      </c>
      <c r="AP22" s="4493">
        <f t="shared" si="18"/>
        <v>0</v>
      </c>
      <c r="AQ22" s="4493">
        <f t="shared" si="19"/>
        <v>0</v>
      </c>
      <c r="AR22" s="4493">
        <f t="shared" si="20"/>
        <v>0</v>
      </c>
      <c r="AS22" s="4493">
        <f t="shared" si="21"/>
        <v>0</v>
      </c>
      <c r="AT22" s="4493">
        <f t="shared" si="22"/>
        <v>0</v>
      </c>
      <c r="AU22" s="4493">
        <f t="shared" si="23"/>
        <v>0</v>
      </c>
      <c r="AV22" s="4493">
        <f t="shared" si="24"/>
        <v>0</v>
      </c>
      <c r="AW22" s="4493">
        <f t="shared" si="25"/>
        <v>0</v>
      </c>
      <c r="AX22" s="4493">
        <f t="shared" si="26"/>
        <v>0</v>
      </c>
      <c r="AY22" s="4493">
        <f t="shared" si="27"/>
        <v>0</v>
      </c>
      <c r="AZ22" s="4493">
        <f t="shared" si="28"/>
        <v>0</v>
      </c>
      <c r="BA22" s="4493">
        <f t="shared" si="29"/>
        <v>0</v>
      </c>
    </row>
    <row r="23" spans="1:53" ht="13.8" thickBot="1">
      <c r="A23" s="5503" t="s">
        <v>1462</v>
      </c>
      <c r="B23" s="5504"/>
      <c r="C23" s="3173"/>
      <c r="D23" s="3174"/>
      <c r="E23" s="3174"/>
      <c r="F23" s="3174"/>
      <c r="G23" s="3174"/>
      <c r="H23" s="3173"/>
      <c r="I23" s="3174"/>
      <c r="J23" s="3174"/>
      <c r="K23" s="3174"/>
      <c r="L23" s="3174"/>
      <c r="M23" s="3173"/>
      <c r="N23" s="3174"/>
      <c r="O23" s="3174"/>
      <c r="P23" s="3174"/>
      <c r="Q23" s="3174"/>
      <c r="R23" s="3173"/>
      <c r="S23" s="3174"/>
      <c r="T23" s="3174"/>
      <c r="U23" s="3174"/>
      <c r="V23" s="3174"/>
      <c r="W23" s="3173"/>
      <c r="X23" s="3174"/>
      <c r="Y23" s="3174"/>
      <c r="Z23" s="3174"/>
      <c r="AA23" s="3174"/>
      <c r="AB23" s="4488"/>
      <c r="AC23" s="4493">
        <f t="shared" si="30"/>
        <v>0</v>
      </c>
      <c r="AD23" s="4493">
        <f t="shared" si="6"/>
        <v>0</v>
      </c>
      <c r="AE23" s="4493">
        <f t="shared" si="7"/>
        <v>0</v>
      </c>
      <c r="AF23" s="4493">
        <f t="shared" si="8"/>
        <v>0</v>
      </c>
      <c r="AG23" s="4493">
        <f t="shared" si="9"/>
        <v>0</v>
      </c>
      <c r="AH23" s="4493">
        <f t="shared" si="10"/>
        <v>0</v>
      </c>
      <c r="AI23" s="4493">
        <f t="shared" si="11"/>
        <v>0</v>
      </c>
      <c r="AJ23" s="4493">
        <f t="shared" si="12"/>
        <v>0</v>
      </c>
      <c r="AK23" s="4493">
        <f t="shared" si="13"/>
        <v>0</v>
      </c>
      <c r="AL23" s="4493">
        <f t="shared" si="14"/>
        <v>0</v>
      </c>
      <c r="AM23" s="4493">
        <f t="shared" si="15"/>
        <v>0</v>
      </c>
      <c r="AN23" s="4493">
        <f t="shared" si="16"/>
        <v>0</v>
      </c>
      <c r="AO23" s="4493">
        <f t="shared" si="17"/>
        <v>0</v>
      </c>
      <c r="AP23" s="4493">
        <f t="shared" si="18"/>
        <v>0</v>
      </c>
      <c r="AQ23" s="4493">
        <f t="shared" si="19"/>
        <v>0</v>
      </c>
      <c r="AR23" s="4493">
        <f t="shared" si="20"/>
        <v>0</v>
      </c>
      <c r="AS23" s="4493">
        <f t="shared" si="21"/>
        <v>0</v>
      </c>
      <c r="AT23" s="4493">
        <f t="shared" si="22"/>
        <v>0</v>
      </c>
      <c r="AU23" s="4493">
        <f t="shared" si="23"/>
        <v>0</v>
      </c>
      <c r="AV23" s="4493">
        <f t="shared" si="24"/>
        <v>0</v>
      </c>
      <c r="AW23" s="4493">
        <f t="shared" si="25"/>
        <v>0</v>
      </c>
      <c r="AX23" s="4493">
        <f t="shared" si="26"/>
        <v>0</v>
      </c>
      <c r="AY23" s="4493">
        <f t="shared" si="27"/>
        <v>0</v>
      </c>
      <c r="AZ23" s="4493">
        <f t="shared" si="28"/>
        <v>0</v>
      </c>
      <c r="BA23" s="4493">
        <f t="shared" si="29"/>
        <v>0</v>
      </c>
    </row>
    <row r="24" spans="1:53" ht="13.8" thickBot="1">
      <c r="A24" s="5478" t="s">
        <v>1452</v>
      </c>
      <c r="B24" s="5479"/>
      <c r="C24" s="3173"/>
      <c r="D24" s="3174"/>
      <c r="E24" s="3174"/>
      <c r="F24" s="3174"/>
      <c r="G24" s="3174"/>
      <c r="H24" s="3173"/>
      <c r="I24" s="3174"/>
      <c r="J24" s="3174"/>
      <c r="K24" s="3174"/>
      <c r="L24" s="3174"/>
      <c r="M24" s="3173"/>
      <c r="N24" s="3174"/>
      <c r="O24" s="3174"/>
      <c r="P24" s="3174"/>
      <c r="Q24" s="3174"/>
      <c r="R24" s="3173"/>
      <c r="S24" s="3174"/>
      <c r="T24" s="3174"/>
      <c r="U24" s="3174"/>
      <c r="V24" s="3174"/>
      <c r="W24" s="3173"/>
      <c r="X24" s="3174"/>
      <c r="Y24" s="3174"/>
      <c r="Z24" s="3174"/>
      <c r="AA24" s="3174"/>
      <c r="AB24" s="4488"/>
      <c r="AC24" s="4493">
        <f t="shared" si="30"/>
        <v>0</v>
      </c>
      <c r="AD24" s="4493">
        <f t="shared" si="6"/>
        <v>0</v>
      </c>
      <c r="AE24" s="4493">
        <f t="shared" si="7"/>
        <v>0</v>
      </c>
      <c r="AF24" s="4493">
        <f t="shared" si="8"/>
        <v>0</v>
      </c>
      <c r="AG24" s="4493">
        <f t="shared" si="9"/>
        <v>0</v>
      </c>
      <c r="AH24" s="4493">
        <f t="shared" si="10"/>
        <v>0</v>
      </c>
      <c r="AI24" s="4493">
        <f t="shared" si="11"/>
        <v>0</v>
      </c>
      <c r="AJ24" s="4493">
        <f t="shared" si="12"/>
        <v>0</v>
      </c>
      <c r="AK24" s="4493">
        <f t="shared" si="13"/>
        <v>0</v>
      </c>
      <c r="AL24" s="4493">
        <f t="shared" si="14"/>
        <v>0</v>
      </c>
      <c r="AM24" s="4493">
        <f t="shared" si="15"/>
        <v>0</v>
      </c>
      <c r="AN24" s="4493">
        <f t="shared" si="16"/>
        <v>0</v>
      </c>
      <c r="AO24" s="4493">
        <f t="shared" si="17"/>
        <v>0</v>
      </c>
      <c r="AP24" s="4493">
        <f t="shared" si="18"/>
        <v>0</v>
      </c>
      <c r="AQ24" s="4493">
        <f t="shared" si="19"/>
        <v>0</v>
      </c>
      <c r="AR24" s="4493">
        <f t="shared" si="20"/>
        <v>0</v>
      </c>
      <c r="AS24" s="4493">
        <f t="shared" si="21"/>
        <v>0</v>
      </c>
      <c r="AT24" s="4493">
        <f t="shared" si="22"/>
        <v>0</v>
      </c>
      <c r="AU24" s="4493">
        <f t="shared" si="23"/>
        <v>0</v>
      </c>
      <c r="AV24" s="4493">
        <f t="shared" si="24"/>
        <v>0</v>
      </c>
      <c r="AW24" s="4493">
        <f t="shared" si="25"/>
        <v>0</v>
      </c>
      <c r="AX24" s="4493">
        <f t="shared" si="26"/>
        <v>0</v>
      </c>
      <c r="AY24" s="4493">
        <f t="shared" si="27"/>
        <v>0</v>
      </c>
      <c r="AZ24" s="4493">
        <f t="shared" si="28"/>
        <v>0</v>
      </c>
      <c r="BA24" s="4493">
        <f t="shared" si="29"/>
        <v>0</v>
      </c>
    </row>
    <row r="25" spans="1:53" ht="13.8" thickBot="1">
      <c r="A25" s="5478" t="s">
        <v>1453</v>
      </c>
      <c r="B25" s="5479"/>
      <c r="C25" s="3173"/>
      <c r="D25" s="3174"/>
      <c r="E25" s="3174"/>
      <c r="F25" s="3174"/>
      <c r="G25" s="3174"/>
      <c r="H25" s="3173"/>
      <c r="I25" s="3174"/>
      <c r="J25" s="3174"/>
      <c r="K25" s="3174"/>
      <c r="L25" s="3174"/>
      <c r="M25" s="3173"/>
      <c r="N25" s="3174"/>
      <c r="O25" s="3174"/>
      <c r="P25" s="3174"/>
      <c r="Q25" s="3174"/>
      <c r="R25" s="3173"/>
      <c r="S25" s="3174"/>
      <c r="T25" s="3174"/>
      <c r="U25" s="3174"/>
      <c r="V25" s="3174"/>
      <c r="W25" s="3173"/>
      <c r="X25" s="3174"/>
      <c r="Y25" s="3174"/>
      <c r="Z25" s="3174"/>
      <c r="AA25" s="3174"/>
      <c r="AB25" s="4488"/>
      <c r="AC25" s="4493">
        <f t="shared" si="30"/>
        <v>0</v>
      </c>
      <c r="AD25" s="4493">
        <f t="shared" si="6"/>
        <v>0</v>
      </c>
      <c r="AE25" s="4493">
        <f t="shared" si="7"/>
        <v>0</v>
      </c>
      <c r="AF25" s="4493">
        <f t="shared" si="8"/>
        <v>0</v>
      </c>
      <c r="AG25" s="4493">
        <f t="shared" si="9"/>
        <v>0</v>
      </c>
      <c r="AH25" s="4493">
        <f t="shared" si="10"/>
        <v>0</v>
      </c>
      <c r="AI25" s="4493">
        <f t="shared" si="11"/>
        <v>0</v>
      </c>
      <c r="AJ25" s="4493">
        <f t="shared" si="12"/>
        <v>0</v>
      </c>
      <c r="AK25" s="4493">
        <f t="shared" si="13"/>
        <v>0</v>
      </c>
      <c r="AL25" s="4493">
        <f t="shared" si="14"/>
        <v>0</v>
      </c>
      <c r="AM25" s="4493">
        <f t="shared" si="15"/>
        <v>0</v>
      </c>
      <c r="AN25" s="4493">
        <f t="shared" si="16"/>
        <v>0</v>
      </c>
      <c r="AO25" s="4493">
        <f t="shared" si="17"/>
        <v>0</v>
      </c>
      <c r="AP25" s="4493">
        <f t="shared" si="18"/>
        <v>0</v>
      </c>
      <c r="AQ25" s="4493">
        <f t="shared" si="19"/>
        <v>0</v>
      </c>
      <c r="AR25" s="4493">
        <f t="shared" si="20"/>
        <v>0</v>
      </c>
      <c r="AS25" s="4493">
        <f t="shared" si="21"/>
        <v>0</v>
      </c>
      <c r="AT25" s="4493">
        <f t="shared" si="22"/>
        <v>0</v>
      </c>
      <c r="AU25" s="4493">
        <f t="shared" si="23"/>
        <v>0</v>
      </c>
      <c r="AV25" s="4493">
        <f t="shared" si="24"/>
        <v>0</v>
      </c>
      <c r="AW25" s="4493">
        <f t="shared" si="25"/>
        <v>0</v>
      </c>
      <c r="AX25" s="4493">
        <f t="shared" si="26"/>
        <v>0</v>
      </c>
      <c r="AY25" s="4493">
        <f t="shared" si="27"/>
        <v>0</v>
      </c>
      <c r="AZ25" s="4493">
        <f t="shared" si="28"/>
        <v>0</v>
      </c>
      <c r="BA25" s="4493">
        <f t="shared" si="29"/>
        <v>0</v>
      </c>
    </row>
    <row r="26" spans="1:53" ht="13.8" thickBot="1">
      <c r="A26" s="5478" t="s">
        <v>1454</v>
      </c>
      <c r="B26" s="5479"/>
      <c r="C26" s="3173"/>
      <c r="D26" s="3174"/>
      <c r="E26" s="3174"/>
      <c r="F26" s="3174"/>
      <c r="G26" s="3174"/>
      <c r="H26" s="3173"/>
      <c r="I26" s="3174"/>
      <c r="J26" s="3174"/>
      <c r="K26" s="3174"/>
      <c r="L26" s="3174"/>
      <c r="M26" s="3173"/>
      <c r="N26" s="3174"/>
      <c r="O26" s="3174"/>
      <c r="P26" s="3174"/>
      <c r="Q26" s="3174"/>
      <c r="R26" s="3173"/>
      <c r="S26" s="3174"/>
      <c r="T26" s="3174"/>
      <c r="U26" s="3174"/>
      <c r="V26" s="3174"/>
      <c r="W26" s="3173"/>
      <c r="X26" s="3174"/>
      <c r="Y26" s="3174"/>
      <c r="Z26" s="3174"/>
      <c r="AA26" s="3174"/>
      <c r="AB26" s="4488"/>
      <c r="AC26" s="4493">
        <f t="shared" si="30"/>
        <v>0</v>
      </c>
      <c r="AD26" s="4493">
        <f t="shared" si="6"/>
        <v>0</v>
      </c>
      <c r="AE26" s="4493">
        <f t="shared" si="7"/>
        <v>0</v>
      </c>
      <c r="AF26" s="4493">
        <f t="shared" si="8"/>
        <v>0</v>
      </c>
      <c r="AG26" s="4493">
        <f t="shared" si="9"/>
        <v>0</v>
      </c>
      <c r="AH26" s="4493">
        <f t="shared" si="10"/>
        <v>0</v>
      </c>
      <c r="AI26" s="4493">
        <f t="shared" si="11"/>
        <v>0</v>
      </c>
      <c r="AJ26" s="4493">
        <f t="shared" si="12"/>
        <v>0</v>
      </c>
      <c r="AK26" s="4493">
        <f t="shared" si="13"/>
        <v>0</v>
      </c>
      <c r="AL26" s="4493">
        <f t="shared" si="14"/>
        <v>0</v>
      </c>
      <c r="AM26" s="4493">
        <f t="shared" si="15"/>
        <v>0</v>
      </c>
      <c r="AN26" s="4493">
        <f t="shared" si="16"/>
        <v>0</v>
      </c>
      <c r="AO26" s="4493">
        <f t="shared" si="17"/>
        <v>0</v>
      </c>
      <c r="AP26" s="4493">
        <f t="shared" si="18"/>
        <v>0</v>
      </c>
      <c r="AQ26" s="4493">
        <f t="shared" si="19"/>
        <v>0</v>
      </c>
      <c r="AR26" s="4493">
        <f t="shared" si="20"/>
        <v>0</v>
      </c>
      <c r="AS26" s="4493">
        <f t="shared" si="21"/>
        <v>0</v>
      </c>
      <c r="AT26" s="4493">
        <f t="shared" si="22"/>
        <v>0</v>
      </c>
      <c r="AU26" s="4493">
        <f t="shared" si="23"/>
        <v>0</v>
      </c>
      <c r="AV26" s="4493">
        <f t="shared" si="24"/>
        <v>0</v>
      </c>
      <c r="AW26" s="4493">
        <f t="shared" si="25"/>
        <v>0</v>
      </c>
      <c r="AX26" s="4493">
        <f t="shared" si="26"/>
        <v>0</v>
      </c>
      <c r="AY26" s="4493">
        <f t="shared" si="27"/>
        <v>0</v>
      </c>
      <c r="AZ26" s="4493">
        <f t="shared" si="28"/>
        <v>0</v>
      </c>
      <c r="BA26" s="4493">
        <f t="shared" si="29"/>
        <v>0</v>
      </c>
    </row>
    <row r="27" spans="1:53" ht="13.8" thickBot="1">
      <c r="A27" s="5476" t="s">
        <v>1455</v>
      </c>
      <c r="B27" s="5477"/>
      <c r="C27" s="3173"/>
      <c r="D27" s="3174"/>
      <c r="E27" s="3174"/>
      <c r="F27" s="3174"/>
      <c r="G27" s="3174"/>
      <c r="H27" s="3173"/>
      <c r="I27" s="3174"/>
      <c r="J27" s="3174"/>
      <c r="K27" s="3174"/>
      <c r="L27" s="3174"/>
      <c r="M27" s="3173"/>
      <c r="N27" s="3174"/>
      <c r="O27" s="3174"/>
      <c r="P27" s="3174"/>
      <c r="Q27" s="3174"/>
      <c r="R27" s="3173"/>
      <c r="S27" s="3174"/>
      <c r="T27" s="3174"/>
      <c r="U27" s="3174"/>
      <c r="V27" s="3174"/>
      <c r="W27" s="3173"/>
      <c r="X27" s="3174"/>
      <c r="Y27" s="3174"/>
      <c r="Z27" s="3174"/>
      <c r="AA27" s="3174"/>
      <c r="AB27" s="4488"/>
      <c r="AC27" s="4493">
        <f t="shared" si="30"/>
        <v>0</v>
      </c>
      <c r="AD27" s="4493">
        <f t="shared" si="6"/>
        <v>0</v>
      </c>
      <c r="AE27" s="4493">
        <f t="shared" si="7"/>
        <v>0</v>
      </c>
      <c r="AF27" s="4493">
        <f t="shared" si="8"/>
        <v>0</v>
      </c>
      <c r="AG27" s="4493">
        <f t="shared" si="9"/>
        <v>0</v>
      </c>
      <c r="AH27" s="4493">
        <f t="shared" si="10"/>
        <v>0</v>
      </c>
      <c r="AI27" s="4493">
        <f t="shared" si="11"/>
        <v>0</v>
      </c>
      <c r="AJ27" s="4493">
        <f t="shared" si="12"/>
        <v>0</v>
      </c>
      <c r="AK27" s="4493">
        <f t="shared" si="13"/>
        <v>0</v>
      </c>
      <c r="AL27" s="4493">
        <f t="shared" si="14"/>
        <v>0</v>
      </c>
      <c r="AM27" s="4493">
        <f t="shared" si="15"/>
        <v>0</v>
      </c>
      <c r="AN27" s="4493">
        <f t="shared" si="16"/>
        <v>0</v>
      </c>
      <c r="AO27" s="4493">
        <f t="shared" si="17"/>
        <v>0</v>
      </c>
      <c r="AP27" s="4493">
        <f t="shared" si="18"/>
        <v>0</v>
      </c>
      <c r="AQ27" s="4493">
        <f t="shared" si="19"/>
        <v>0</v>
      </c>
      <c r="AR27" s="4493">
        <f t="shared" si="20"/>
        <v>0</v>
      </c>
      <c r="AS27" s="4493">
        <f t="shared" si="21"/>
        <v>0</v>
      </c>
      <c r="AT27" s="4493">
        <f t="shared" si="22"/>
        <v>0</v>
      </c>
      <c r="AU27" s="4493">
        <f t="shared" si="23"/>
        <v>0</v>
      </c>
      <c r="AV27" s="4493">
        <f t="shared" si="24"/>
        <v>0</v>
      </c>
      <c r="AW27" s="4493">
        <f t="shared" si="25"/>
        <v>0</v>
      </c>
      <c r="AX27" s="4493">
        <f t="shared" si="26"/>
        <v>0</v>
      </c>
      <c r="AY27" s="4493">
        <f t="shared" si="27"/>
        <v>0</v>
      </c>
      <c r="AZ27" s="4493">
        <f t="shared" si="28"/>
        <v>0</v>
      </c>
      <c r="BA27" s="4493">
        <f t="shared" si="29"/>
        <v>0</v>
      </c>
    </row>
    <row r="28" spans="1:53" ht="13.8" thickBot="1">
      <c r="A28" s="5487" t="s">
        <v>1456</v>
      </c>
      <c r="B28" s="5488"/>
      <c r="C28" s="3173"/>
      <c r="D28" s="3174"/>
      <c r="E28" s="3174"/>
      <c r="F28" s="3174"/>
      <c r="G28" s="3174"/>
      <c r="H28" s="3173"/>
      <c r="I28" s="3174"/>
      <c r="J28" s="3174"/>
      <c r="K28" s="3174"/>
      <c r="L28" s="3174"/>
      <c r="M28" s="3173"/>
      <c r="N28" s="3174"/>
      <c r="O28" s="3174"/>
      <c r="P28" s="3174"/>
      <c r="Q28" s="3174"/>
      <c r="R28" s="3173"/>
      <c r="S28" s="3174"/>
      <c r="T28" s="3174"/>
      <c r="U28" s="3174"/>
      <c r="V28" s="3174"/>
      <c r="W28" s="3173"/>
      <c r="X28" s="3174"/>
      <c r="Y28" s="3174"/>
      <c r="Z28" s="3174"/>
      <c r="AA28" s="3174"/>
      <c r="AB28" s="4488"/>
      <c r="AC28" s="4493">
        <f t="shared" si="30"/>
        <v>0</v>
      </c>
      <c r="AD28" s="4493">
        <f t="shared" si="6"/>
        <v>0</v>
      </c>
      <c r="AE28" s="4493">
        <f t="shared" si="7"/>
        <v>0</v>
      </c>
      <c r="AF28" s="4493">
        <f t="shared" si="8"/>
        <v>0</v>
      </c>
      <c r="AG28" s="4493">
        <f t="shared" si="9"/>
        <v>0</v>
      </c>
      <c r="AH28" s="4493">
        <f t="shared" si="10"/>
        <v>0</v>
      </c>
      <c r="AI28" s="4493">
        <f t="shared" si="11"/>
        <v>0</v>
      </c>
      <c r="AJ28" s="4493">
        <f t="shared" si="12"/>
        <v>0</v>
      </c>
      <c r="AK28" s="4493">
        <f t="shared" si="13"/>
        <v>0</v>
      </c>
      <c r="AL28" s="4493">
        <f t="shared" si="14"/>
        <v>0</v>
      </c>
      <c r="AM28" s="4493">
        <f t="shared" si="15"/>
        <v>0</v>
      </c>
      <c r="AN28" s="4493">
        <f t="shared" si="16"/>
        <v>0</v>
      </c>
      <c r="AO28" s="4493">
        <f t="shared" si="17"/>
        <v>0</v>
      </c>
      <c r="AP28" s="4493">
        <f t="shared" si="18"/>
        <v>0</v>
      </c>
      <c r="AQ28" s="4493">
        <f t="shared" si="19"/>
        <v>0</v>
      </c>
      <c r="AR28" s="4493">
        <f t="shared" si="20"/>
        <v>0</v>
      </c>
      <c r="AS28" s="4493">
        <f t="shared" si="21"/>
        <v>0</v>
      </c>
      <c r="AT28" s="4493">
        <f t="shared" si="22"/>
        <v>0</v>
      </c>
      <c r="AU28" s="4493">
        <f t="shared" si="23"/>
        <v>0</v>
      </c>
      <c r="AV28" s="4493">
        <f t="shared" si="24"/>
        <v>0</v>
      </c>
      <c r="AW28" s="4493">
        <f t="shared" si="25"/>
        <v>0</v>
      </c>
      <c r="AX28" s="4493">
        <f t="shared" si="26"/>
        <v>0</v>
      </c>
      <c r="AY28" s="4493">
        <f t="shared" si="27"/>
        <v>0</v>
      </c>
      <c r="AZ28" s="4493">
        <f t="shared" si="28"/>
        <v>0</v>
      </c>
      <c r="BA28" s="4493">
        <f t="shared" si="29"/>
        <v>0</v>
      </c>
    </row>
    <row r="29" spans="1:53" ht="13.8" thickBot="1">
      <c r="A29" s="5487" t="s">
        <v>1457</v>
      </c>
      <c r="B29" s="5488"/>
      <c r="C29" s="3173"/>
      <c r="D29" s="3174"/>
      <c r="E29" s="3174"/>
      <c r="F29" s="3174"/>
      <c r="G29" s="3174"/>
      <c r="H29" s="3173"/>
      <c r="I29" s="3174"/>
      <c r="J29" s="3174"/>
      <c r="K29" s="3174"/>
      <c r="L29" s="3174"/>
      <c r="M29" s="3173"/>
      <c r="N29" s="3174"/>
      <c r="O29" s="3174"/>
      <c r="P29" s="3174"/>
      <c r="Q29" s="3174"/>
      <c r="R29" s="3173"/>
      <c r="S29" s="3174"/>
      <c r="T29" s="3174"/>
      <c r="U29" s="3174"/>
      <c r="V29" s="3174"/>
      <c r="W29" s="3173"/>
      <c r="X29" s="3174"/>
      <c r="Y29" s="3174"/>
      <c r="Z29" s="3174"/>
      <c r="AA29" s="3174"/>
      <c r="AB29" s="4488"/>
      <c r="AC29" s="4493">
        <f t="shared" si="30"/>
        <v>0</v>
      </c>
      <c r="AD29" s="4493">
        <f t="shared" si="6"/>
        <v>0</v>
      </c>
      <c r="AE29" s="4493">
        <f t="shared" si="7"/>
        <v>0</v>
      </c>
      <c r="AF29" s="4493">
        <f t="shared" si="8"/>
        <v>0</v>
      </c>
      <c r="AG29" s="4493">
        <f t="shared" si="9"/>
        <v>0</v>
      </c>
      <c r="AH29" s="4493">
        <f t="shared" si="10"/>
        <v>0</v>
      </c>
      <c r="AI29" s="4493">
        <f t="shared" si="11"/>
        <v>0</v>
      </c>
      <c r="AJ29" s="4493">
        <f t="shared" si="12"/>
        <v>0</v>
      </c>
      <c r="AK29" s="4493">
        <f t="shared" si="13"/>
        <v>0</v>
      </c>
      <c r="AL29" s="4493">
        <f t="shared" si="14"/>
        <v>0</v>
      </c>
      <c r="AM29" s="4493">
        <f t="shared" si="15"/>
        <v>0</v>
      </c>
      <c r="AN29" s="4493">
        <f t="shared" si="16"/>
        <v>0</v>
      </c>
      <c r="AO29" s="4493">
        <f t="shared" si="17"/>
        <v>0</v>
      </c>
      <c r="AP29" s="4493">
        <f t="shared" si="18"/>
        <v>0</v>
      </c>
      <c r="AQ29" s="4493">
        <f t="shared" si="19"/>
        <v>0</v>
      </c>
      <c r="AR29" s="4493">
        <f t="shared" si="20"/>
        <v>0</v>
      </c>
      <c r="AS29" s="4493">
        <f t="shared" si="21"/>
        <v>0</v>
      </c>
      <c r="AT29" s="4493">
        <f t="shared" si="22"/>
        <v>0</v>
      </c>
      <c r="AU29" s="4493">
        <f t="shared" si="23"/>
        <v>0</v>
      </c>
      <c r="AV29" s="4493">
        <f t="shared" si="24"/>
        <v>0</v>
      </c>
      <c r="AW29" s="4493">
        <f t="shared" si="25"/>
        <v>0</v>
      </c>
      <c r="AX29" s="4493">
        <f t="shared" si="26"/>
        <v>0</v>
      </c>
      <c r="AY29" s="4493">
        <f t="shared" si="27"/>
        <v>0</v>
      </c>
      <c r="AZ29" s="4493">
        <f t="shared" si="28"/>
        <v>0</v>
      </c>
      <c r="BA29" s="4493">
        <f t="shared" si="29"/>
        <v>0</v>
      </c>
    </row>
    <row r="30" spans="1:53" ht="13.8" thickBot="1">
      <c r="A30" s="5487" t="s">
        <v>1458</v>
      </c>
      <c r="B30" s="5488"/>
      <c r="C30" s="3173"/>
      <c r="D30" s="3174"/>
      <c r="E30" s="3174"/>
      <c r="F30" s="3174"/>
      <c r="G30" s="3174"/>
      <c r="H30" s="3173"/>
      <c r="I30" s="3174"/>
      <c r="J30" s="3174"/>
      <c r="K30" s="3174"/>
      <c r="L30" s="3174"/>
      <c r="M30" s="3173"/>
      <c r="N30" s="3174"/>
      <c r="O30" s="3174"/>
      <c r="P30" s="3174"/>
      <c r="Q30" s="3174"/>
      <c r="R30" s="3173"/>
      <c r="S30" s="3174"/>
      <c r="T30" s="3174"/>
      <c r="U30" s="3174"/>
      <c r="V30" s="3174"/>
      <c r="W30" s="3173"/>
      <c r="X30" s="3174"/>
      <c r="Y30" s="3174"/>
      <c r="Z30" s="3174"/>
      <c r="AA30" s="3174"/>
      <c r="AB30" s="4488"/>
      <c r="AC30" s="4493">
        <f t="shared" si="30"/>
        <v>0</v>
      </c>
      <c r="AD30" s="4493">
        <f t="shared" si="6"/>
        <v>0</v>
      </c>
      <c r="AE30" s="4493">
        <f t="shared" si="7"/>
        <v>0</v>
      </c>
      <c r="AF30" s="4493">
        <f t="shared" si="8"/>
        <v>0</v>
      </c>
      <c r="AG30" s="4493">
        <f t="shared" si="9"/>
        <v>0</v>
      </c>
      <c r="AH30" s="4493">
        <f t="shared" si="10"/>
        <v>0</v>
      </c>
      <c r="AI30" s="4493">
        <f t="shared" si="11"/>
        <v>0</v>
      </c>
      <c r="AJ30" s="4493">
        <f t="shared" si="12"/>
        <v>0</v>
      </c>
      <c r="AK30" s="4493">
        <f t="shared" si="13"/>
        <v>0</v>
      </c>
      <c r="AL30" s="4493">
        <f t="shared" si="14"/>
        <v>0</v>
      </c>
      <c r="AM30" s="4493">
        <f t="shared" si="15"/>
        <v>0</v>
      </c>
      <c r="AN30" s="4493">
        <f t="shared" si="16"/>
        <v>0</v>
      </c>
      <c r="AO30" s="4493">
        <f t="shared" si="17"/>
        <v>0</v>
      </c>
      <c r="AP30" s="4493">
        <f t="shared" si="18"/>
        <v>0</v>
      </c>
      <c r="AQ30" s="4493">
        <f t="shared" si="19"/>
        <v>0</v>
      </c>
      <c r="AR30" s="4493">
        <f t="shared" si="20"/>
        <v>0</v>
      </c>
      <c r="AS30" s="4493">
        <f t="shared" si="21"/>
        <v>0</v>
      </c>
      <c r="AT30" s="4493">
        <f t="shared" si="22"/>
        <v>0</v>
      </c>
      <c r="AU30" s="4493">
        <f t="shared" si="23"/>
        <v>0</v>
      </c>
      <c r="AV30" s="4493">
        <f t="shared" si="24"/>
        <v>0</v>
      </c>
      <c r="AW30" s="4493">
        <f t="shared" si="25"/>
        <v>0</v>
      </c>
      <c r="AX30" s="4493">
        <f t="shared" si="26"/>
        <v>0</v>
      </c>
      <c r="AY30" s="4493">
        <f t="shared" si="27"/>
        <v>0</v>
      </c>
      <c r="AZ30" s="4493">
        <f t="shared" si="28"/>
        <v>0</v>
      </c>
      <c r="BA30" s="4493">
        <f t="shared" si="29"/>
        <v>0</v>
      </c>
    </row>
    <row r="31" spans="1:53" ht="13.8" thickBot="1">
      <c r="A31" s="5505" t="s">
        <v>1459</v>
      </c>
      <c r="B31" s="5506"/>
      <c r="C31" s="3177"/>
      <c r="D31" s="3178"/>
      <c r="E31" s="3178"/>
      <c r="F31" s="3178"/>
      <c r="G31" s="3178"/>
      <c r="H31" s="3177"/>
      <c r="I31" s="3178"/>
      <c r="J31" s="3178"/>
      <c r="K31" s="3178"/>
      <c r="L31" s="3178"/>
      <c r="M31" s="3177"/>
      <c r="N31" s="3178"/>
      <c r="O31" s="3178"/>
      <c r="P31" s="3178"/>
      <c r="Q31" s="3178"/>
      <c r="R31" s="3177"/>
      <c r="S31" s="3178"/>
      <c r="T31" s="3178"/>
      <c r="U31" s="3178"/>
      <c r="V31" s="3178"/>
      <c r="W31" s="3177"/>
      <c r="X31" s="3178"/>
      <c r="Y31" s="3178"/>
      <c r="Z31" s="3178"/>
      <c r="AA31" s="3178"/>
      <c r="AB31" s="4488"/>
      <c r="AC31" s="4493">
        <f t="shared" si="30"/>
        <v>0</v>
      </c>
      <c r="AD31" s="4493">
        <f t="shared" si="6"/>
        <v>0</v>
      </c>
      <c r="AE31" s="4493">
        <f t="shared" si="7"/>
        <v>0</v>
      </c>
      <c r="AF31" s="4493">
        <f t="shared" si="8"/>
        <v>0</v>
      </c>
      <c r="AG31" s="4493">
        <f t="shared" si="9"/>
        <v>0</v>
      </c>
      <c r="AH31" s="4493">
        <f t="shared" si="10"/>
        <v>0</v>
      </c>
      <c r="AI31" s="4493">
        <f t="shared" si="11"/>
        <v>0</v>
      </c>
      <c r="AJ31" s="4493">
        <f t="shared" si="12"/>
        <v>0</v>
      </c>
      <c r="AK31" s="4493">
        <f t="shared" si="13"/>
        <v>0</v>
      </c>
      <c r="AL31" s="4493">
        <f t="shared" si="14"/>
        <v>0</v>
      </c>
      <c r="AM31" s="4493">
        <f t="shared" si="15"/>
        <v>0</v>
      </c>
      <c r="AN31" s="4493">
        <f t="shared" si="16"/>
        <v>0</v>
      </c>
      <c r="AO31" s="4493">
        <f t="shared" si="17"/>
        <v>0</v>
      </c>
      <c r="AP31" s="4493">
        <f t="shared" si="18"/>
        <v>0</v>
      </c>
      <c r="AQ31" s="4493">
        <f t="shared" si="19"/>
        <v>0</v>
      </c>
      <c r="AR31" s="4493">
        <f t="shared" si="20"/>
        <v>0</v>
      </c>
      <c r="AS31" s="4493">
        <f t="shared" si="21"/>
        <v>0</v>
      </c>
      <c r="AT31" s="4493">
        <f t="shared" si="22"/>
        <v>0</v>
      </c>
      <c r="AU31" s="4493">
        <f t="shared" si="23"/>
        <v>0</v>
      </c>
      <c r="AV31" s="4493">
        <f t="shared" si="24"/>
        <v>0</v>
      </c>
      <c r="AW31" s="4493">
        <f t="shared" si="25"/>
        <v>0</v>
      </c>
      <c r="AX31" s="4493">
        <f t="shared" si="26"/>
        <v>0</v>
      </c>
      <c r="AY31" s="4493">
        <f t="shared" si="27"/>
        <v>0</v>
      </c>
      <c r="AZ31" s="4493">
        <f t="shared" si="28"/>
        <v>0</v>
      </c>
      <c r="BA31" s="4493">
        <f t="shared" si="29"/>
        <v>0</v>
      </c>
    </row>
    <row r="32" spans="1:53" ht="20.25" customHeight="1" thickBot="1">
      <c r="A32" s="5471" t="s">
        <v>1174</v>
      </c>
      <c r="B32" s="5472"/>
      <c r="C32" s="5493">
        <v>6</v>
      </c>
      <c r="D32" s="5494"/>
      <c r="E32" s="5494"/>
      <c r="F32" s="5494"/>
      <c r="G32" s="5494"/>
      <c r="H32" s="5493">
        <f>C32+1</f>
        <v>7</v>
      </c>
      <c r="I32" s="5494"/>
      <c r="J32" s="5494"/>
      <c r="K32" s="5494"/>
      <c r="L32" s="5494"/>
      <c r="M32" s="5493">
        <f>H32+1</f>
        <v>8</v>
      </c>
      <c r="N32" s="5494"/>
      <c r="O32" s="5494"/>
      <c r="P32" s="5494"/>
      <c r="Q32" s="5494"/>
      <c r="R32" s="5493">
        <f>M32+1</f>
        <v>9</v>
      </c>
      <c r="S32" s="5494"/>
      <c r="T32" s="5494"/>
      <c r="U32" s="5494"/>
      <c r="V32" s="5494"/>
      <c r="W32" s="5493">
        <f>R32+1</f>
        <v>10</v>
      </c>
      <c r="X32" s="5494"/>
      <c r="Y32" s="5494"/>
      <c r="Z32" s="5494"/>
      <c r="AA32" s="5494"/>
      <c r="AB32" s="4488"/>
      <c r="AC32" s="5338">
        <f>+C32</f>
        <v>6</v>
      </c>
      <c r="AD32" s="5338"/>
      <c r="AE32" s="5338"/>
      <c r="AF32" s="5338"/>
      <c r="AG32" s="5338"/>
      <c r="AH32" s="5338">
        <f>+H32</f>
        <v>7</v>
      </c>
      <c r="AI32" s="5338"/>
      <c r="AJ32" s="5338"/>
      <c r="AK32" s="5338"/>
      <c r="AL32" s="5338"/>
      <c r="AM32" s="5338">
        <f>+M32</f>
        <v>8</v>
      </c>
      <c r="AN32" s="5338"/>
      <c r="AO32" s="5338"/>
      <c r="AP32" s="5338"/>
      <c r="AQ32" s="5338"/>
      <c r="AR32" s="5338">
        <f>+R32</f>
        <v>9</v>
      </c>
      <c r="AS32" s="5338"/>
      <c r="AT32" s="5338"/>
      <c r="AU32" s="5338"/>
      <c r="AV32" s="5338"/>
      <c r="AW32" s="5338">
        <f>+W32</f>
        <v>10</v>
      </c>
      <c r="AX32" s="5338"/>
      <c r="AY32" s="5338"/>
      <c r="AZ32" s="5338"/>
      <c r="BA32" s="5338"/>
    </row>
    <row r="33" spans="1:53" ht="12.75" customHeight="1" thickBot="1">
      <c r="A33" s="5473" t="s">
        <v>1296</v>
      </c>
      <c r="B33" s="3167" t="s">
        <v>1445</v>
      </c>
      <c r="C33" s="5474"/>
      <c r="D33" s="5475"/>
      <c r="E33" s="5475"/>
      <c r="F33" s="5475"/>
      <c r="G33" s="5475"/>
      <c r="H33" s="5474"/>
      <c r="I33" s="5475"/>
      <c r="J33" s="5475"/>
      <c r="K33" s="5475"/>
      <c r="L33" s="5475"/>
      <c r="M33" s="5474"/>
      <c r="N33" s="5475"/>
      <c r="O33" s="5475"/>
      <c r="P33" s="5475"/>
      <c r="Q33" s="5475"/>
      <c r="R33" s="5474"/>
      <c r="S33" s="5475"/>
      <c r="T33" s="5475"/>
      <c r="U33" s="5475"/>
      <c r="V33" s="5475"/>
      <c r="W33" s="5474"/>
      <c r="X33" s="5475"/>
      <c r="Y33" s="5475"/>
      <c r="Z33" s="5475"/>
      <c r="AA33" s="5475"/>
      <c r="AB33" s="4488"/>
      <c r="AC33" s="5467" t="str">
        <f>IF(C33=0,"",C33)</f>
        <v/>
      </c>
      <c r="AD33" s="5467"/>
      <c r="AE33" s="5467"/>
      <c r="AF33" s="5467"/>
      <c r="AG33" s="5467"/>
      <c r="AH33" s="5467" t="str">
        <f>IF(H33=0,"",H33)</f>
        <v/>
      </c>
      <c r="AI33" s="5467"/>
      <c r="AJ33" s="5467"/>
      <c r="AK33" s="5467"/>
      <c r="AL33" s="5467"/>
      <c r="AM33" s="5467" t="str">
        <f>IF(M33=0,"",M33)</f>
        <v/>
      </c>
      <c r="AN33" s="5467"/>
      <c r="AO33" s="5467"/>
      <c r="AP33" s="5467"/>
      <c r="AQ33" s="5467"/>
      <c r="AR33" s="5467" t="str">
        <f>IF(R33=0,"",R33)</f>
        <v/>
      </c>
      <c r="AS33" s="5467"/>
      <c r="AT33" s="5467"/>
      <c r="AU33" s="5467"/>
      <c r="AV33" s="5467"/>
      <c r="AW33" s="5467" t="str">
        <f>IF(W33=0,"",W33)</f>
        <v/>
      </c>
      <c r="AX33" s="5467"/>
      <c r="AY33" s="5467"/>
      <c r="AZ33" s="5467"/>
      <c r="BA33" s="5467"/>
    </row>
    <row r="34" spans="1:53" ht="13.8" thickBot="1">
      <c r="A34" s="5473"/>
      <c r="B34" s="3167" t="s">
        <v>1297</v>
      </c>
      <c r="C34" s="5474"/>
      <c r="D34" s="5475"/>
      <c r="E34" s="5475"/>
      <c r="F34" s="5475"/>
      <c r="G34" s="5475"/>
      <c r="H34" s="5474"/>
      <c r="I34" s="5475"/>
      <c r="J34" s="5475"/>
      <c r="K34" s="5475"/>
      <c r="L34" s="5475"/>
      <c r="M34" s="5474"/>
      <c r="N34" s="5475"/>
      <c r="O34" s="5475"/>
      <c r="P34" s="5475"/>
      <c r="Q34" s="5475"/>
      <c r="R34" s="5474"/>
      <c r="S34" s="5475"/>
      <c r="T34" s="5475"/>
      <c r="U34" s="5475"/>
      <c r="V34" s="5475"/>
      <c r="W34" s="5474"/>
      <c r="X34" s="5475"/>
      <c r="Y34" s="5475"/>
      <c r="Z34" s="5475"/>
      <c r="AA34" s="5475"/>
      <c r="AB34" s="4488"/>
      <c r="AC34" s="5467" t="str">
        <f t="shared" ref="AC34:AC38" si="31">IF(C34=0,"",C34)</f>
        <v/>
      </c>
      <c r="AD34" s="5467"/>
      <c r="AE34" s="5467"/>
      <c r="AF34" s="5467"/>
      <c r="AG34" s="5467"/>
      <c r="AH34" s="5467" t="str">
        <f t="shared" ref="AH34:AH38" si="32">IF(H34=0,"",H34)</f>
        <v/>
      </c>
      <c r="AI34" s="5467"/>
      <c r="AJ34" s="5467"/>
      <c r="AK34" s="5467"/>
      <c r="AL34" s="5467"/>
      <c r="AM34" s="5467" t="str">
        <f t="shared" ref="AM34:AM38" si="33">IF(M34=0,"",M34)</f>
        <v/>
      </c>
      <c r="AN34" s="5467"/>
      <c r="AO34" s="5467"/>
      <c r="AP34" s="5467"/>
      <c r="AQ34" s="5467"/>
      <c r="AR34" s="5467" t="str">
        <f t="shared" ref="AR34:AR38" si="34">IF(R34=0,"",R34)</f>
        <v/>
      </c>
      <c r="AS34" s="5467"/>
      <c r="AT34" s="5467"/>
      <c r="AU34" s="5467"/>
      <c r="AV34" s="5467"/>
      <c r="AW34" s="5467" t="str">
        <f t="shared" ref="AW34:AW38" si="35">IF(W34=0,"",W34)</f>
        <v/>
      </c>
      <c r="AX34" s="5467"/>
      <c r="AY34" s="5467"/>
      <c r="AZ34" s="5467"/>
      <c r="BA34" s="5467"/>
    </row>
    <row r="35" spans="1:53" ht="12.75" customHeight="1" thickBot="1">
      <c r="A35" s="5489" t="s">
        <v>1298</v>
      </c>
      <c r="B35" s="3168" t="s">
        <v>1299</v>
      </c>
      <c r="C35" s="5474"/>
      <c r="D35" s="5475"/>
      <c r="E35" s="5475"/>
      <c r="F35" s="5475"/>
      <c r="G35" s="5475"/>
      <c r="H35" s="5474"/>
      <c r="I35" s="5475"/>
      <c r="J35" s="5475"/>
      <c r="K35" s="5475"/>
      <c r="L35" s="5475"/>
      <c r="M35" s="5474"/>
      <c r="N35" s="5475"/>
      <c r="O35" s="5475"/>
      <c r="P35" s="5475"/>
      <c r="Q35" s="5475"/>
      <c r="R35" s="5474"/>
      <c r="S35" s="5475"/>
      <c r="T35" s="5475"/>
      <c r="U35" s="5475"/>
      <c r="V35" s="5475"/>
      <c r="W35" s="5474"/>
      <c r="X35" s="5475"/>
      <c r="Y35" s="5475"/>
      <c r="Z35" s="5475"/>
      <c r="AA35" s="5475"/>
      <c r="AB35" s="4488"/>
      <c r="AC35" s="5467" t="str">
        <f t="shared" si="31"/>
        <v/>
      </c>
      <c r="AD35" s="5467"/>
      <c r="AE35" s="5467"/>
      <c r="AF35" s="5467"/>
      <c r="AG35" s="5467"/>
      <c r="AH35" s="5467" t="str">
        <f t="shared" si="32"/>
        <v/>
      </c>
      <c r="AI35" s="5467"/>
      <c r="AJ35" s="5467"/>
      <c r="AK35" s="5467"/>
      <c r="AL35" s="5467"/>
      <c r="AM35" s="5467" t="str">
        <f t="shared" si="33"/>
        <v/>
      </c>
      <c r="AN35" s="5467"/>
      <c r="AO35" s="5467"/>
      <c r="AP35" s="5467"/>
      <c r="AQ35" s="5467"/>
      <c r="AR35" s="5467" t="str">
        <f t="shared" si="34"/>
        <v/>
      </c>
      <c r="AS35" s="5467"/>
      <c r="AT35" s="5467"/>
      <c r="AU35" s="5467"/>
      <c r="AV35" s="5467"/>
      <c r="AW35" s="5467" t="str">
        <f t="shared" si="35"/>
        <v/>
      </c>
      <c r="AX35" s="5467"/>
      <c r="AY35" s="5467"/>
      <c r="AZ35" s="5467"/>
      <c r="BA35" s="5467"/>
    </row>
    <row r="36" spans="1:53" ht="13.8" thickBot="1">
      <c r="A36" s="5490"/>
      <c r="B36" s="3167" t="s">
        <v>1300</v>
      </c>
      <c r="C36" s="5474"/>
      <c r="D36" s="5475"/>
      <c r="E36" s="5475"/>
      <c r="F36" s="5475"/>
      <c r="G36" s="5475"/>
      <c r="H36" s="5474"/>
      <c r="I36" s="5475"/>
      <c r="J36" s="5475"/>
      <c r="K36" s="5475"/>
      <c r="L36" s="5475"/>
      <c r="M36" s="5474"/>
      <c r="N36" s="5475"/>
      <c r="O36" s="5475"/>
      <c r="P36" s="5475"/>
      <c r="Q36" s="5475"/>
      <c r="R36" s="5474"/>
      <c r="S36" s="5475"/>
      <c r="T36" s="5475"/>
      <c r="U36" s="5475"/>
      <c r="V36" s="5475"/>
      <c r="W36" s="5474"/>
      <c r="X36" s="5475"/>
      <c r="Y36" s="5475"/>
      <c r="Z36" s="5475"/>
      <c r="AA36" s="5475"/>
      <c r="AB36" s="4488"/>
      <c r="AC36" s="5467" t="str">
        <f t="shared" si="31"/>
        <v/>
      </c>
      <c r="AD36" s="5467"/>
      <c r="AE36" s="5467"/>
      <c r="AF36" s="5467"/>
      <c r="AG36" s="5467"/>
      <c r="AH36" s="5467" t="str">
        <f t="shared" si="32"/>
        <v/>
      </c>
      <c r="AI36" s="5467"/>
      <c r="AJ36" s="5467"/>
      <c r="AK36" s="5467"/>
      <c r="AL36" s="5467"/>
      <c r="AM36" s="5467" t="str">
        <f t="shared" si="33"/>
        <v/>
      </c>
      <c r="AN36" s="5467"/>
      <c r="AO36" s="5467"/>
      <c r="AP36" s="5467"/>
      <c r="AQ36" s="5467"/>
      <c r="AR36" s="5467" t="str">
        <f t="shared" si="34"/>
        <v/>
      </c>
      <c r="AS36" s="5467"/>
      <c r="AT36" s="5467"/>
      <c r="AU36" s="5467"/>
      <c r="AV36" s="5467"/>
      <c r="AW36" s="5467" t="str">
        <f t="shared" si="35"/>
        <v/>
      </c>
      <c r="AX36" s="5467"/>
      <c r="AY36" s="5467"/>
      <c r="AZ36" s="5467"/>
      <c r="BA36" s="5467"/>
    </row>
    <row r="37" spans="1:53" ht="27" thickBot="1">
      <c r="A37" s="3817" t="s">
        <v>1301</v>
      </c>
      <c r="B37" s="3167" t="s">
        <v>1302</v>
      </c>
      <c r="C37" s="5474"/>
      <c r="D37" s="5475"/>
      <c r="E37" s="5475"/>
      <c r="F37" s="5475"/>
      <c r="G37" s="5475"/>
      <c r="H37" s="5474"/>
      <c r="I37" s="5475"/>
      <c r="J37" s="5475"/>
      <c r="K37" s="5475"/>
      <c r="L37" s="5475"/>
      <c r="M37" s="5474"/>
      <c r="N37" s="5475"/>
      <c r="O37" s="5475"/>
      <c r="P37" s="5475"/>
      <c r="Q37" s="5475"/>
      <c r="R37" s="5474"/>
      <c r="S37" s="5475"/>
      <c r="T37" s="5475"/>
      <c r="U37" s="5475"/>
      <c r="V37" s="5475"/>
      <c r="W37" s="5474"/>
      <c r="X37" s="5475"/>
      <c r="Y37" s="5475"/>
      <c r="Z37" s="5475"/>
      <c r="AA37" s="5475"/>
      <c r="AB37" s="4488"/>
      <c r="AC37" s="5467" t="str">
        <f t="shared" si="31"/>
        <v/>
      </c>
      <c r="AD37" s="5467"/>
      <c r="AE37" s="5467"/>
      <c r="AF37" s="5467"/>
      <c r="AG37" s="5467"/>
      <c r="AH37" s="5467" t="str">
        <f t="shared" si="32"/>
        <v/>
      </c>
      <c r="AI37" s="5467"/>
      <c r="AJ37" s="5467"/>
      <c r="AK37" s="5467"/>
      <c r="AL37" s="5467"/>
      <c r="AM37" s="5467" t="str">
        <f t="shared" si="33"/>
        <v/>
      </c>
      <c r="AN37" s="5467"/>
      <c r="AO37" s="5467"/>
      <c r="AP37" s="5467"/>
      <c r="AQ37" s="5467"/>
      <c r="AR37" s="5467" t="str">
        <f t="shared" si="34"/>
        <v/>
      </c>
      <c r="AS37" s="5467"/>
      <c r="AT37" s="5467"/>
      <c r="AU37" s="5467"/>
      <c r="AV37" s="5467"/>
      <c r="AW37" s="5467" t="str">
        <f t="shared" si="35"/>
        <v/>
      </c>
      <c r="AX37" s="5467"/>
      <c r="AY37" s="5467"/>
      <c r="AZ37" s="5467"/>
      <c r="BA37" s="5467"/>
    </row>
    <row r="38" spans="1:53" ht="27" thickBot="1">
      <c r="A38" s="3169" t="s">
        <v>1303</v>
      </c>
      <c r="B38" s="3170" t="s">
        <v>1304</v>
      </c>
      <c r="C38" s="5485"/>
      <c r="D38" s="5486"/>
      <c r="E38" s="5486"/>
      <c r="F38" s="5486"/>
      <c r="G38" s="5486"/>
      <c r="H38" s="5485"/>
      <c r="I38" s="5486"/>
      <c r="J38" s="5486"/>
      <c r="K38" s="5486"/>
      <c r="L38" s="5486"/>
      <c r="M38" s="5485"/>
      <c r="N38" s="5486"/>
      <c r="O38" s="5486"/>
      <c r="P38" s="5486"/>
      <c r="Q38" s="5486"/>
      <c r="R38" s="5485"/>
      <c r="S38" s="5486"/>
      <c r="T38" s="5486"/>
      <c r="U38" s="5486"/>
      <c r="V38" s="5486"/>
      <c r="W38" s="5485"/>
      <c r="X38" s="5486"/>
      <c r="Y38" s="5486"/>
      <c r="Z38" s="5486"/>
      <c r="AA38" s="5486"/>
      <c r="AB38" s="4488"/>
      <c r="AC38" s="5467" t="str">
        <f t="shared" si="31"/>
        <v/>
      </c>
      <c r="AD38" s="5467"/>
      <c r="AE38" s="5467"/>
      <c r="AF38" s="5467"/>
      <c r="AG38" s="5467"/>
      <c r="AH38" s="5467" t="str">
        <f t="shared" si="32"/>
        <v/>
      </c>
      <c r="AI38" s="5467"/>
      <c r="AJ38" s="5467"/>
      <c r="AK38" s="5467"/>
      <c r="AL38" s="5467"/>
      <c r="AM38" s="5467" t="str">
        <f t="shared" si="33"/>
        <v/>
      </c>
      <c r="AN38" s="5467"/>
      <c r="AO38" s="5467"/>
      <c r="AP38" s="5467"/>
      <c r="AQ38" s="5467"/>
      <c r="AR38" s="5467" t="str">
        <f t="shared" si="34"/>
        <v/>
      </c>
      <c r="AS38" s="5467"/>
      <c r="AT38" s="5467"/>
      <c r="AU38" s="5467"/>
      <c r="AV38" s="5467"/>
      <c r="AW38" s="5467" t="str">
        <f t="shared" si="35"/>
        <v/>
      </c>
      <c r="AX38" s="5467"/>
      <c r="AY38" s="5467"/>
      <c r="AZ38" s="5467"/>
      <c r="BA38" s="5467"/>
    </row>
    <row r="39" spans="1:53" ht="13.8" thickBot="1">
      <c r="A39" s="5491" t="s">
        <v>1460</v>
      </c>
      <c r="B39" s="5492"/>
      <c r="C39" s="4274" t="str">
        <f>'Приложение '!$C$14</f>
        <v>2027 г.</v>
      </c>
      <c r="D39" s="4275" t="str">
        <f>'Приложение '!$C$15</f>
        <v>2028 г.</v>
      </c>
      <c r="E39" s="4275" t="str">
        <f>'Приложение '!$C$16</f>
        <v>2029 г.</v>
      </c>
      <c r="F39" s="4275" t="str">
        <f>'Приложение '!$C$17</f>
        <v>2030 г.</v>
      </c>
      <c r="G39" s="4275" t="str">
        <f>'Приложение '!$C$18</f>
        <v>2031 г.</v>
      </c>
      <c r="H39" s="4274" t="str">
        <f>'Приложение '!$C$14</f>
        <v>2027 г.</v>
      </c>
      <c r="I39" s="4275" t="str">
        <f>'Приложение '!$C$15</f>
        <v>2028 г.</v>
      </c>
      <c r="J39" s="4275" t="str">
        <f>'Приложение '!$C$16</f>
        <v>2029 г.</v>
      </c>
      <c r="K39" s="4275" t="str">
        <f>'Приложение '!$C$17</f>
        <v>2030 г.</v>
      </c>
      <c r="L39" s="4275" t="str">
        <f>'Приложение '!$C$18</f>
        <v>2031 г.</v>
      </c>
      <c r="M39" s="4274" t="str">
        <f>'Приложение '!$C$14</f>
        <v>2027 г.</v>
      </c>
      <c r="N39" s="4275" t="str">
        <f>'Приложение '!$C$15</f>
        <v>2028 г.</v>
      </c>
      <c r="O39" s="4275" t="str">
        <f>'Приложение '!$C$16</f>
        <v>2029 г.</v>
      </c>
      <c r="P39" s="4275" t="str">
        <f>'Приложение '!$C$17</f>
        <v>2030 г.</v>
      </c>
      <c r="Q39" s="4275" t="str">
        <f>'Приложение '!$C$18</f>
        <v>2031 г.</v>
      </c>
      <c r="R39" s="4274" t="str">
        <f>'Приложение '!$C$14</f>
        <v>2027 г.</v>
      </c>
      <c r="S39" s="4275" t="str">
        <f>'Приложение '!$C$15</f>
        <v>2028 г.</v>
      </c>
      <c r="T39" s="4275" t="str">
        <f>'Приложение '!$C$16</f>
        <v>2029 г.</v>
      </c>
      <c r="U39" s="4275" t="str">
        <f>'Приложение '!$C$17</f>
        <v>2030 г.</v>
      </c>
      <c r="V39" s="4275" t="str">
        <f>'Приложение '!$C$18</f>
        <v>2031 г.</v>
      </c>
      <c r="W39" s="4274" t="str">
        <f>'Приложение '!$C$14</f>
        <v>2027 г.</v>
      </c>
      <c r="X39" s="4275" t="str">
        <f>'Приложение '!$C$15</f>
        <v>2028 г.</v>
      </c>
      <c r="Y39" s="4275" t="str">
        <f>'Приложение '!$C$16</f>
        <v>2029 г.</v>
      </c>
      <c r="Z39" s="4275" t="str">
        <f>'Приложение '!$C$17</f>
        <v>2030 г.</v>
      </c>
      <c r="AA39" s="4275" t="str">
        <f>'Приложение '!$C$18</f>
        <v>2031 г.</v>
      </c>
      <c r="AB39" s="4488"/>
      <c r="AC39" s="4535" t="str">
        <f>'Приложение '!$C$14</f>
        <v>2027 г.</v>
      </c>
      <c r="AD39" s="4535" t="str">
        <f>'Приложение '!$C$15</f>
        <v>2028 г.</v>
      </c>
      <c r="AE39" s="4535" t="str">
        <f>'Приложение '!$C$16</f>
        <v>2029 г.</v>
      </c>
      <c r="AF39" s="4535" t="str">
        <f>'Приложение '!$C$17</f>
        <v>2030 г.</v>
      </c>
      <c r="AG39" s="4535" t="str">
        <f>'Приложение '!$C$18</f>
        <v>2031 г.</v>
      </c>
      <c r="AH39" s="4535" t="str">
        <f>'Приложение '!$C$14</f>
        <v>2027 г.</v>
      </c>
      <c r="AI39" s="4535" t="str">
        <f>'Приложение '!$C$15</f>
        <v>2028 г.</v>
      </c>
      <c r="AJ39" s="4535" t="str">
        <f>'Приложение '!$C$16</f>
        <v>2029 г.</v>
      </c>
      <c r="AK39" s="4535" t="str">
        <f>'Приложение '!$C$17</f>
        <v>2030 г.</v>
      </c>
      <c r="AL39" s="4535" t="str">
        <f>'Приложение '!$C$18</f>
        <v>2031 г.</v>
      </c>
      <c r="AM39" s="4535" t="str">
        <f>'Приложение '!$C$14</f>
        <v>2027 г.</v>
      </c>
      <c r="AN39" s="4535" t="str">
        <f>'Приложение '!$C$15</f>
        <v>2028 г.</v>
      </c>
      <c r="AO39" s="4535" t="str">
        <f>'Приложение '!$C$16</f>
        <v>2029 г.</v>
      </c>
      <c r="AP39" s="4535" t="str">
        <f>'Приложение '!$C$17</f>
        <v>2030 г.</v>
      </c>
      <c r="AQ39" s="4535" t="str">
        <f>'Приложение '!$C$18</f>
        <v>2031 г.</v>
      </c>
      <c r="AR39" s="4535" t="str">
        <f>'Приложение '!$C$14</f>
        <v>2027 г.</v>
      </c>
      <c r="AS39" s="4535" t="str">
        <f>'Приложение '!$C$15</f>
        <v>2028 г.</v>
      </c>
      <c r="AT39" s="4535" t="str">
        <f>'Приложение '!$C$16</f>
        <v>2029 г.</v>
      </c>
      <c r="AU39" s="4535" t="str">
        <f>'Приложение '!$C$17</f>
        <v>2030 г.</v>
      </c>
      <c r="AV39" s="4535" t="str">
        <f>'Приложение '!$C$18</f>
        <v>2031 г.</v>
      </c>
      <c r="AW39" s="4535" t="str">
        <f>'Приложение '!$C$14</f>
        <v>2027 г.</v>
      </c>
      <c r="AX39" s="4535" t="str">
        <f>'Приложение '!$C$15</f>
        <v>2028 г.</v>
      </c>
      <c r="AY39" s="4535" t="str">
        <f>'Приложение '!$C$16</f>
        <v>2029 г.</v>
      </c>
      <c r="AZ39" s="4535" t="str">
        <f>'Приложение '!$C$17</f>
        <v>2030 г.</v>
      </c>
      <c r="BA39" s="4535" t="str">
        <f>'Приложение '!$C$18</f>
        <v>2031 г.</v>
      </c>
    </row>
    <row r="40" spans="1:53" ht="12.75" customHeight="1">
      <c r="A40" s="5480" t="s">
        <v>1446</v>
      </c>
      <c r="B40" s="5481"/>
      <c r="C40" s="3171"/>
      <c r="D40" s="3172"/>
      <c r="E40" s="3172"/>
      <c r="F40" s="3172"/>
      <c r="G40" s="3172"/>
      <c r="H40" s="3171"/>
      <c r="I40" s="3172"/>
      <c r="J40" s="3172"/>
      <c r="K40" s="3172"/>
      <c r="L40" s="3172"/>
      <c r="M40" s="3171"/>
      <c r="N40" s="3172"/>
      <c r="O40" s="3172"/>
      <c r="P40" s="3172"/>
      <c r="Q40" s="3172"/>
      <c r="R40" s="3171"/>
      <c r="S40" s="3172"/>
      <c r="T40" s="3172"/>
      <c r="U40" s="3172"/>
      <c r="V40" s="3172"/>
      <c r="W40" s="3171"/>
      <c r="X40" s="3172"/>
      <c r="Y40" s="3172"/>
      <c r="Z40" s="3172"/>
      <c r="AA40" s="3172"/>
      <c r="AB40" s="4488"/>
      <c r="AC40" s="4538"/>
      <c r="AD40" s="4538"/>
      <c r="AE40" s="4538"/>
      <c r="AF40" s="4538"/>
      <c r="AG40" s="4538"/>
      <c r="AH40" s="4538"/>
      <c r="AI40" s="4538"/>
      <c r="AJ40" s="4538"/>
      <c r="AK40" s="4538"/>
      <c r="AL40" s="4538"/>
      <c r="AM40" s="4538"/>
      <c r="AN40" s="4538"/>
      <c r="AO40" s="4538"/>
      <c r="AP40" s="4538"/>
      <c r="AQ40" s="4538"/>
      <c r="AR40" s="4538"/>
      <c r="AS40" s="4538"/>
      <c r="AT40" s="4538"/>
      <c r="AU40" s="4538"/>
      <c r="AV40" s="4538"/>
      <c r="AW40" s="4538"/>
      <c r="AX40" s="4538"/>
      <c r="AY40" s="4538"/>
      <c r="AZ40" s="4538"/>
      <c r="BA40" s="4538"/>
    </row>
    <row r="41" spans="1:53" ht="12.75" customHeight="1">
      <c r="A41" s="5495" t="s">
        <v>1447</v>
      </c>
      <c r="B41" s="5496"/>
      <c r="C41" s="3173"/>
      <c r="D41" s="3174"/>
      <c r="E41" s="3174"/>
      <c r="F41" s="3174"/>
      <c r="G41" s="3174"/>
      <c r="H41" s="3173"/>
      <c r="I41" s="3174"/>
      <c r="J41" s="3174"/>
      <c r="K41" s="3174"/>
      <c r="L41" s="3174"/>
      <c r="M41" s="3173"/>
      <c r="N41" s="3174"/>
      <c r="O41" s="3174"/>
      <c r="P41" s="3174"/>
      <c r="Q41" s="3174"/>
      <c r="R41" s="3173"/>
      <c r="S41" s="3174"/>
      <c r="T41" s="3174"/>
      <c r="U41" s="3174"/>
      <c r="V41" s="3174"/>
      <c r="W41" s="3173"/>
      <c r="X41" s="3174"/>
      <c r="Y41" s="3174"/>
      <c r="Z41" s="3174"/>
      <c r="AA41" s="3174"/>
      <c r="AB41" s="4488"/>
      <c r="AC41" s="4539"/>
      <c r="AD41" s="4539"/>
      <c r="AE41" s="4539"/>
      <c r="AF41" s="4539"/>
      <c r="AG41" s="4539"/>
      <c r="AH41" s="4539"/>
      <c r="AI41" s="4539"/>
      <c r="AJ41" s="4539"/>
      <c r="AK41" s="4539"/>
      <c r="AL41" s="4539"/>
      <c r="AM41" s="4539"/>
      <c r="AN41" s="4539"/>
      <c r="AO41" s="4539"/>
      <c r="AP41" s="4539"/>
      <c r="AQ41" s="4539"/>
      <c r="AR41" s="4539"/>
      <c r="AS41" s="4539"/>
      <c r="AT41" s="4539"/>
      <c r="AU41" s="4539"/>
      <c r="AV41" s="4539"/>
      <c r="AW41" s="4539"/>
      <c r="AX41" s="4539"/>
      <c r="AY41" s="4539"/>
      <c r="AZ41" s="4539"/>
      <c r="BA41" s="4539"/>
    </row>
    <row r="42" spans="1:53" ht="12.75" customHeight="1">
      <c r="A42" s="5497" t="s">
        <v>1448</v>
      </c>
      <c r="B42" s="5498"/>
      <c r="C42" s="3175"/>
      <c r="D42" s="3176"/>
      <c r="E42" s="3176"/>
      <c r="F42" s="3176"/>
      <c r="G42" s="3176"/>
      <c r="H42" s="3175"/>
      <c r="I42" s="3176"/>
      <c r="J42" s="3176"/>
      <c r="K42" s="3176"/>
      <c r="L42" s="3176"/>
      <c r="M42" s="3175"/>
      <c r="N42" s="3176"/>
      <c r="O42" s="3176"/>
      <c r="P42" s="3176"/>
      <c r="Q42" s="3176"/>
      <c r="R42" s="3175"/>
      <c r="S42" s="3176"/>
      <c r="T42" s="3176"/>
      <c r="U42" s="3176"/>
      <c r="V42" s="3176"/>
      <c r="W42" s="3175"/>
      <c r="X42" s="3176"/>
      <c r="Y42" s="3176"/>
      <c r="Z42" s="3176"/>
      <c r="AA42" s="3176"/>
      <c r="AB42" s="4488"/>
      <c r="AC42" s="4539"/>
      <c r="AD42" s="4539"/>
      <c r="AE42" s="4539"/>
      <c r="AF42" s="4539"/>
      <c r="AG42" s="4539"/>
      <c r="AH42" s="4539"/>
      <c r="AI42" s="4539"/>
      <c r="AJ42" s="4539"/>
      <c r="AK42" s="4539"/>
      <c r="AL42" s="4539"/>
      <c r="AM42" s="4539"/>
      <c r="AN42" s="4539"/>
      <c r="AO42" s="4539"/>
      <c r="AP42" s="4539"/>
      <c r="AQ42" s="4539"/>
      <c r="AR42" s="4539"/>
      <c r="AS42" s="4539"/>
      <c r="AT42" s="4539"/>
      <c r="AU42" s="4539"/>
      <c r="AV42" s="4539"/>
      <c r="AW42" s="4539"/>
      <c r="AX42" s="4539"/>
      <c r="AY42" s="4539"/>
      <c r="AZ42" s="4539"/>
      <c r="BA42" s="4539"/>
    </row>
    <row r="43" spans="1:53" ht="13.8" thickBot="1">
      <c r="A43" s="5507" t="s">
        <v>1449</v>
      </c>
      <c r="B43" s="5508"/>
      <c r="C43" s="3177"/>
      <c r="D43" s="3178"/>
      <c r="E43" s="3178"/>
      <c r="F43" s="3178"/>
      <c r="G43" s="3178"/>
      <c r="H43" s="3177"/>
      <c r="I43" s="3178"/>
      <c r="J43" s="3178"/>
      <c r="K43" s="3178"/>
      <c r="L43" s="3178"/>
      <c r="M43" s="3177"/>
      <c r="N43" s="3178"/>
      <c r="O43" s="3178"/>
      <c r="P43" s="3178"/>
      <c r="Q43" s="3178"/>
      <c r="R43" s="3177"/>
      <c r="S43" s="3178"/>
      <c r="T43" s="3178"/>
      <c r="U43" s="3178"/>
      <c r="V43" s="3178"/>
      <c r="W43" s="3177"/>
      <c r="X43" s="3178"/>
      <c r="Y43" s="3178"/>
      <c r="Z43" s="3178"/>
      <c r="AA43" s="3178"/>
      <c r="AB43" s="4488"/>
      <c r="AC43" s="4540"/>
      <c r="AD43" s="4540"/>
      <c r="AE43" s="4540"/>
      <c r="AF43" s="4540"/>
      <c r="AG43" s="4540"/>
      <c r="AH43" s="4540"/>
      <c r="AI43" s="4540"/>
      <c r="AJ43" s="4540"/>
      <c r="AK43" s="4540"/>
      <c r="AL43" s="4540"/>
      <c r="AM43" s="4540"/>
      <c r="AN43" s="4540"/>
      <c r="AO43" s="4540"/>
      <c r="AP43" s="4540"/>
      <c r="AQ43" s="4540"/>
      <c r="AR43" s="4540"/>
      <c r="AS43" s="4540"/>
      <c r="AT43" s="4540"/>
      <c r="AU43" s="4540"/>
      <c r="AV43" s="4540"/>
      <c r="AW43" s="4540"/>
      <c r="AX43" s="4540"/>
      <c r="AY43" s="4540"/>
      <c r="AZ43" s="4540"/>
      <c r="BA43" s="4540"/>
    </row>
    <row r="44" spans="1:53" s="2" customFormat="1" ht="25.5" customHeight="1" thickBot="1">
      <c r="A44" s="5499" t="s">
        <v>1451</v>
      </c>
      <c r="B44" s="5500"/>
      <c r="C44" s="3179">
        <f t="shared" ref="C44:AA44" si="36">SUM(C45,C50:C54)</f>
        <v>0</v>
      </c>
      <c r="D44" s="3180">
        <f t="shared" si="36"/>
        <v>0</v>
      </c>
      <c r="E44" s="3180">
        <f t="shared" si="36"/>
        <v>0</v>
      </c>
      <c r="F44" s="3180">
        <f t="shared" si="36"/>
        <v>0</v>
      </c>
      <c r="G44" s="3180">
        <f t="shared" si="36"/>
        <v>0</v>
      </c>
      <c r="H44" s="3179">
        <f t="shared" si="36"/>
        <v>0</v>
      </c>
      <c r="I44" s="3180">
        <f t="shared" si="36"/>
        <v>0</v>
      </c>
      <c r="J44" s="3180">
        <f t="shared" si="36"/>
        <v>0</v>
      </c>
      <c r="K44" s="3180">
        <f t="shared" si="36"/>
        <v>0</v>
      </c>
      <c r="L44" s="3180">
        <f t="shared" si="36"/>
        <v>0</v>
      </c>
      <c r="M44" s="3179">
        <f t="shared" si="36"/>
        <v>0</v>
      </c>
      <c r="N44" s="3180">
        <f t="shared" si="36"/>
        <v>0</v>
      </c>
      <c r="O44" s="3180">
        <f t="shared" si="36"/>
        <v>0</v>
      </c>
      <c r="P44" s="3180">
        <f t="shared" si="36"/>
        <v>0</v>
      </c>
      <c r="Q44" s="3180">
        <f t="shared" si="36"/>
        <v>0</v>
      </c>
      <c r="R44" s="3179">
        <f t="shared" si="36"/>
        <v>0</v>
      </c>
      <c r="S44" s="3180">
        <f t="shared" si="36"/>
        <v>0</v>
      </c>
      <c r="T44" s="3180">
        <f t="shared" si="36"/>
        <v>0</v>
      </c>
      <c r="U44" s="3180">
        <f t="shared" si="36"/>
        <v>0</v>
      </c>
      <c r="V44" s="3180">
        <f t="shared" si="36"/>
        <v>0</v>
      </c>
      <c r="W44" s="3179">
        <f t="shared" si="36"/>
        <v>0</v>
      </c>
      <c r="X44" s="3180">
        <f t="shared" si="36"/>
        <v>0</v>
      </c>
      <c r="Y44" s="3180">
        <f t="shared" si="36"/>
        <v>0</v>
      </c>
      <c r="Z44" s="3180">
        <f t="shared" si="36"/>
        <v>0</v>
      </c>
      <c r="AA44" s="3180">
        <f t="shared" si="36"/>
        <v>0</v>
      </c>
      <c r="AB44" s="4488"/>
      <c r="AC44" s="4536">
        <f>IFERROR(C44/$D$1,0)</f>
        <v>0</v>
      </c>
      <c r="AD44" s="4537">
        <f t="shared" ref="AD44:AD54" si="37">IFERROR(D44/$D$1,0)</f>
        <v>0</v>
      </c>
      <c r="AE44" s="4537">
        <f t="shared" ref="AE44:AE54" si="38">IFERROR(E44/$D$1,0)</f>
        <v>0</v>
      </c>
      <c r="AF44" s="4537">
        <f t="shared" ref="AF44:AF54" si="39">IFERROR(F44/$D$1,0)</f>
        <v>0</v>
      </c>
      <c r="AG44" s="4537">
        <f t="shared" ref="AG44:AG54" si="40">IFERROR(G44/$D$1,0)</f>
        <v>0</v>
      </c>
      <c r="AH44" s="4537">
        <f t="shared" ref="AH44:AH54" si="41">IFERROR(H44/$D$1,0)</f>
        <v>0</v>
      </c>
      <c r="AI44" s="4537">
        <f t="shared" ref="AI44:AI54" si="42">IFERROR(I44/$D$1,0)</f>
        <v>0</v>
      </c>
      <c r="AJ44" s="4537">
        <f t="shared" ref="AJ44:AJ54" si="43">IFERROR(J44/$D$1,0)</f>
        <v>0</v>
      </c>
      <c r="AK44" s="4537">
        <f t="shared" ref="AK44:AK54" si="44">IFERROR(K44/$D$1,0)</f>
        <v>0</v>
      </c>
      <c r="AL44" s="4537">
        <f t="shared" ref="AL44:AL54" si="45">IFERROR(L44/$D$1,0)</f>
        <v>0</v>
      </c>
      <c r="AM44" s="4537">
        <f t="shared" ref="AM44:AM54" si="46">IFERROR(M44/$D$1,0)</f>
        <v>0</v>
      </c>
      <c r="AN44" s="4537">
        <f t="shared" ref="AN44:AN54" si="47">IFERROR(N44/$D$1,0)</f>
        <v>0</v>
      </c>
      <c r="AO44" s="4537">
        <f t="shared" ref="AO44:AO54" si="48">IFERROR(O44/$D$1,0)</f>
        <v>0</v>
      </c>
      <c r="AP44" s="4537">
        <f t="shared" ref="AP44:AP54" si="49">IFERROR(P44/$D$1,0)</f>
        <v>0</v>
      </c>
      <c r="AQ44" s="4537">
        <f t="shared" ref="AQ44:AQ54" si="50">IFERROR(Q44/$D$1,0)</f>
        <v>0</v>
      </c>
      <c r="AR44" s="4537">
        <f t="shared" ref="AR44:AR54" si="51">IFERROR(R44/$D$1,0)</f>
        <v>0</v>
      </c>
      <c r="AS44" s="4537">
        <f t="shared" ref="AS44:AS54" si="52">IFERROR(S44/$D$1,0)</f>
        <v>0</v>
      </c>
      <c r="AT44" s="4537">
        <f t="shared" ref="AT44:AT54" si="53">IFERROR(T44/$D$1,0)</f>
        <v>0</v>
      </c>
      <c r="AU44" s="4537">
        <f t="shared" ref="AU44:AU54" si="54">IFERROR(U44/$D$1,0)</f>
        <v>0</v>
      </c>
      <c r="AV44" s="4537">
        <f t="shared" ref="AV44:AV54" si="55">IFERROR(V44/$D$1,0)</f>
        <v>0</v>
      </c>
      <c r="AW44" s="4537">
        <f t="shared" ref="AW44:AW54" si="56">IFERROR(W44/$D$1,0)</f>
        <v>0</v>
      </c>
      <c r="AX44" s="4537">
        <f t="shared" ref="AX44:AX54" si="57">IFERROR(X44/$D$1,0)</f>
        <v>0</v>
      </c>
      <c r="AY44" s="4537">
        <f t="shared" ref="AY44:AY54" si="58">IFERROR(Y44/$D$1,0)</f>
        <v>0</v>
      </c>
      <c r="AZ44" s="4537">
        <f t="shared" ref="AZ44:AZ54" si="59">IFERROR(Z44/$D$1,0)</f>
        <v>0</v>
      </c>
      <c r="BA44" s="4537">
        <f t="shared" ref="BA44:BA54" si="60">IFERROR(AA44/$D$1,0)</f>
        <v>0</v>
      </c>
    </row>
    <row r="45" spans="1:53" ht="12.75" customHeight="1" thickBot="1">
      <c r="A45" s="5501" t="s">
        <v>1450</v>
      </c>
      <c r="B45" s="5502"/>
      <c r="C45" s="3173"/>
      <c r="D45" s="3174"/>
      <c r="E45" s="3174"/>
      <c r="F45" s="3174"/>
      <c r="G45" s="3174"/>
      <c r="H45" s="3173"/>
      <c r="I45" s="3174"/>
      <c r="J45" s="3174"/>
      <c r="K45" s="3174"/>
      <c r="L45" s="3174"/>
      <c r="M45" s="3173"/>
      <c r="N45" s="3174"/>
      <c r="O45" s="3174"/>
      <c r="P45" s="3174"/>
      <c r="Q45" s="3174"/>
      <c r="R45" s="3173"/>
      <c r="S45" s="3174"/>
      <c r="T45" s="3174"/>
      <c r="U45" s="3174"/>
      <c r="V45" s="3174"/>
      <c r="W45" s="3173"/>
      <c r="X45" s="3174"/>
      <c r="Y45" s="3174"/>
      <c r="Z45" s="3174"/>
      <c r="AA45" s="3174"/>
      <c r="AB45" s="4488"/>
      <c r="AC45" s="4493">
        <f t="shared" ref="AC45:AC54" si="61">IFERROR(C45/$D$1,0)</f>
        <v>0</v>
      </c>
      <c r="AD45" s="4493">
        <f t="shared" si="37"/>
        <v>0</v>
      </c>
      <c r="AE45" s="4493">
        <f t="shared" si="38"/>
        <v>0</v>
      </c>
      <c r="AF45" s="4493">
        <f t="shared" si="39"/>
        <v>0</v>
      </c>
      <c r="AG45" s="4493">
        <f t="shared" si="40"/>
        <v>0</v>
      </c>
      <c r="AH45" s="4493">
        <f t="shared" si="41"/>
        <v>0</v>
      </c>
      <c r="AI45" s="4493">
        <f t="shared" si="42"/>
        <v>0</v>
      </c>
      <c r="AJ45" s="4493">
        <f t="shared" si="43"/>
        <v>0</v>
      </c>
      <c r="AK45" s="4493">
        <f t="shared" si="44"/>
        <v>0</v>
      </c>
      <c r="AL45" s="4493">
        <f t="shared" si="45"/>
        <v>0</v>
      </c>
      <c r="AM45" s="4493">
        <f t="shared" si="46"/>
        <v>0</v>
      </c>
      <c r="AN45" s="4493">
        <f t="shared" si="47"/>
        <v>0</v>
      </c>
      <c r="AO45" s="4493">
        <f t="shared" si="48"/>
        <v>0</v>
      </c>
      <c r="AP45" s="4493">
        <f t="shared" si="49"/>
        <v>0</v>
      </c>
      <c r="AQ45" s="4493">
        <f t="shared" si="50"/>
        <v>0</v>
      </c>
      <c r="AR45" s="4493">
        <f t="shared" si="51"/>
        <v>0</v>
      </c>
      <c r="AS45" s="4493">
        <f t="shared" si="52"/>
        <v>0</v>
      </c>
      <c r="AT45" s="4493">
        <f t="shared" si="53"/>
        <v>0</v>
      </c>
      <c r="AU45" s="4493">
        <f t="shared" si="54"/>
        <v>0</v>
      </c>
      <c r="AV45" s="4493">
        <f t="shared" si="55"/>
        <v>0</v>
      </c>
      <c r="AW45" s="4493">
        <f t="shared" si="56"/>
        <v>0</v>
      </c>
      <c r="AX45" s="4493">
        <f t="shared" si="57"/>
        <v>0</v>
      </c>
      <c r="AY45" s="4493">
        <f t="shared" si="58"/>
        <v>0</v>
      </c>
      <c r="AZ45" s="4493">
        <f t="shared" si="59"/>
        <v>0</v>
      </c>
      <c r="BA45" s="4493">
        <f t="shared" si="60"/>
        <v>0</v>
      </c>
    </row>
    <row r="46" spans="1:53" ht="13.8" thickBot="1">
      <c r="A46" s="5503" t="s">
        <v>1462</v>
      </c>
      <c r="B46" s="5504"/>
      <c r="C46" s="3173"/>
      <c r="D46" s="3174"/>
      <c r="E46" s="3174"/>
      <c r="F46" s="3174"/>
      <c r="G46" s="3174"/>
      <c r="H46" s="3173"/>
      <c r="I46" s="3174"/>
      <c r="J46" s="3174"/>
      <c r="K46" s="3174"/>
      <c r="L46" s="3174"/>
      <c r="M46" s="3173"/>
      <c r="N46" s="3174"/>
      <c r="O46" s="3174"/>
      <c r="P46" s="3174"/>
      <c r="Q46" s="3174"/>
      <c r="R46" s="3173"/>
      <c r="S46" s="3174"/>
      <c r="T46" s="3174"/>
      <c r="U46" s="3174"/>
      <c r="V46" s="3174"/>
      <c r="W46" s="3173"/>
      <c r="X46" s="3174"/>
      <c r="Y46" s="3174"/>
      <c r="Z46" s="3174"/>
      <c r="AA46" s="3174"/>
      <c r="AB46" s="4488"/>
      <c r="AC46" s="4493">
        <f t="shared" si="61"/>
        <v>0</v>
      </c>
      <c r="AD46" s="4493">
        <f t="shared" si="37"/>
        <v>0</v>
      </c>
      <c r="AE46" s="4493">
        <f t="shared" si="38"/>
        <v>0</v>
      </c>
      <c r="AF46" s="4493">
        <f t="shared" si="39"/>
        <v>0</v>
      </c>
      <c r="AG46" s="4493">
        <f t="shared" si="40"/>
        <v>0</v>
      </c>
      <c r="AH46" s="4493">
        <f t="shared" si="41"/>
        <v>0</v>
      </c>
      <c r="AI46" s="4493">
        <f t="shared" si="42"/>
        <v>0</v>
      </c>
      <c r="AJ46" s="4493">
        <f t="shared" si="43"/>
        <v>0</v>
      </c>
      <c r="AK46" s="4493">
        <f t="shared" si="44"/>
        <v>0</v>
      </c>
      <c r="AL46" s="4493">
        <f t="shared" si="45"/>
        <v>0</v>
      </c>
      <c r="AM46" s="4493">
        <f t="shared" si="46"/>
        <v>0</v>
      </c>
      <c r="AN46" s="4493">
        <f t="shared" si="47"/>
        <v>0</v>
      </c>
      <c r="AO46" s="4493">
        <f t="shared" si="48"/>
        <v>0</v>
      </c>
      <c r="AP46" s="4493">
        <f t="shared" si="49"/>
        <v>0</v>
      </c>
      <c r="AQ46" s="4493">
        <f t="shared" si="50"/>
        <v>0</v>
      </c>
      <c r="AR46" s="4493">
        <f t="shared" si="51"/>
        <v>0</v>
      </c>
      <c r="AS46" s="4493">
        <f t="shared" si="52"/>
        <v>0</v>
      </c>
      <c r="AT46" s="4493">
        <f t="shared" si="53"/>
        <v>0</v>
      </c>
      <c r="AU46" s="4493">
        <f t="shared" si="54"/>
        <v>0</v>
      </c>
      <c r="AV46" s="4493">
        <f t="shared" si="55"/>
        <v>0</v>
      </c>
      <c r="AW46" s="4493">
        <f t="shared" si="56"/>
        <v>0</v>
      </c>
      <c r="AX46" s="4493">
        <f t="shared" si="57"/>
        <v>0</v>
      </c>
      <c r="AY46" s="4493">
        <f t="shared" si="58"/>
        <v>0</v>
      </c>
      <c r="AZ46" s="4493">
        <f t="shared" si="59"/>
        <v>0</v>
      </c>
      <c r="BA46" s="4493">
        <f t="shared" si="60"/>
        <v>0</v>
      </c>
    </row>
    <row r="47" spans="1:53" ht="12.75" customHeight="1" thickBot="1">
      <c r="A47" s="5478" t="s">
        <v>1452</v>
      </c>
      <c r="B47" s="5479"/>
      <c r="C47" s="3173"/>
      <c r="D47" s="3174"/>
      <c r="E47" s="3174"/>
      <c r="F47" s="3174"/>
      <c r="G47" s="3174"/>
      <c r="H47" s="3173"/>
      <c r="I47" s="3174"/>
      <c r="J47" s="3174"/>
      <c r="K47" s="3174"/>
      <c r="L47" s="3174"/>
      <c r="M47" s="3173"/>
      <c r="N47" s="3174"/>
      <c r="O47" s="3174"/>
      <c r="P47" s="3174"/>
      <c r="Q47" s="3174"/>
      <c r="R47" s="3173"/>
      <c r="S47" s="3174"/>
      <c r="T47" s="3174"/>
      <c r="U47" s="3174"/>
      <c r="V47" s="3174"/>
      <c r="W47" s="3173"/>
      <c r="X47" s="3174"/>
      <c r="Y47" s="3174"/>
      <c r="Z47" s="3174"/>
      <c r="AA47" s="3174"/>
      <c r="AB47" s="4488"/>
      <c r="AC47" s="4493">
        <f t="shared" si="61"/>
        <v>0</v>
      </c>
      <c r="AD47" s="4493">
        <f t="shared" si="37"/>
        <v>0</v>
      </c>
      <c r="AE47" s="4493">
        <f t="shared" si="38"/>
        <v>0</v>
      </c>
      <c r="AF47" s="4493">
        <f t="shared" si="39"/>
        <v>0</v>
      </c>
      <c r="AG47" s="4493">
        <f t="shared" si="40"/>
        <v>0</v>
      </c>
      <c r="AH47" s="4493">
        <f t="shared" si="41"/>
        <v>0</v>
      </c>
      <c r="AI47" s="4493">
        <f t="shared" si="42"/>
        <v>0</v>
      </c>
      <c r="AJ47" s="4493">
        <f t="shared" si="43"/>
        <v>0</v>
      </c>
      <c r="AK47" s="4493">
        <f t="shared" si="44"/>
        <v>0</v>
      </c>
      <c r="AL47" s="4493">
        <f t="shared" si="45"/>
        <v>0</v>
      </c>
      <c r="AM47" s="4493">
        <f t="shared" si="46"/>
        <v>0</v>
      </c>
      <c r="AN47" s="4493">
        <f t="shared" si="47"/>
        <v>0</v>
      </c>
      <c r="AO47" s="4493">
        <f t="shared" si="48"/>
        <v>0</v>
      </c>
      <c r="AP47" s="4493">
        <f t="shared" si="49"/>
        <v>0</v>
      </c>
      <c r="AQ47" s="4493">
        <f t="shared" si="50"/>
        <v>0</v>
      </c>
      <c r="AR47" s="4493">
        <f t="shared" si="51"/>
        <v>0</v>
      </c>
      <c r="AS47" s="4493">
        <f t="shared" si="52"/>
        <v>0</v>
      </c>
      <c r="AT47" s="4493">
        <f t="shared" si="53"/>
        <v>0</v>
      </c>
      <c r="AU47" s="4493">
        <f t="shared" si="54"/>
        <v>0</v>
      </c>
      <c r="AV47" s="4493">
        <f t="shared" si="55"/>
        <v>0</v>
      </c>
      <c r="AW47" s="4493">
        <f t="shared" si="56"/>
        <v>0</v>
      </c>
      <c r="AX47" s="4493">
        <f t="shared" si="57"/>
        <v>0</v>
      </c>
      <c r="AY47" s="4493">
        <f t="shared" si="58"/>
        <v>0</v>
      </c>
      <c r="AZ47" s="4493">
        <f t="shared" si="59"/>
        <v>0</v>
      </c>
      <c r="BA47" s="4493">
        <f t="shared" si="60"/>
        <v>0</v>
      </c>
    </row>
    <row r="48" spans="1:53" ht="12.75" customHeight="1" thickBot="1">
      <c r="A48" s="5478" t="s">
        <v>1453</v>
      </c>
      <c r="B48" s="5479"/>
      <c r="C48" s="3173"/>
      <c r="D48" s="3174"/>
      <c r="E48" s="3174"/>
      <c r="F48" s="3174"/>
      <c r="G48" s="3174"/>
      <c r="H48" s="3173"/>
      <c r="I48" s="3174"/>
      <c r="J48" s="3174"/>
      <c r="K48" s="3174"/>
      <c r="L48" s="3174"/>
      <c r="M48" s="3173"/>
      <c r="N48" s="3174"/>
      <c r="O48" s="3174"/>
      <c r="P48" s="3174"/>
      <c r="Q48" s="3174"/>
      <c r="R48" s="3173"/>
      <c r="S48" s="3174"/>
      <c r="T48" s="3174"/>
      <c r="U48" s="3174"/>
      <c r="V48" s="3174"/>
      <c r="W48" s="3173"/>
      <c r="X48" s="3174"/>
      <c r="Y48" s="3174"/>
      <c r="Z48" s="3174"/>
      <c r="AA48" s="3174"/>
      <c r="AB48" s="4488"/>
      <c r="AC48" s="4493">
        <f t="shared" si="61"/>
        <v>0</v>
      </c>
      <c r="AD48" s="4493">
        <f t="shared" si="37"/>
        <v>0</v>
      </c>
      <c r="AE48" s="4493">
        <f t="shared" si="38"/>
        <v>0</v>
      </c>
      <c r="AF48" s="4493">
        <f t="shared" si="39"/>
        <v>0</v>
      </c>
      <c r="AG48" s="4493">
        <f t="shared" si="40"/>
        <v>0</v>
      </c>
      <c r="AH48" s="4493">
        <f t="shared" si="41"/>
        <v>0</v>
      </c>
      <c r="AI48" s="4493">
        <f t="shared" si="42"/>
        <v>0</v>
      </c>
      <c r="AJ48" s="4493">
        <f t="shared" si="43"/>
        <v>0</v>
      </c>
      <c r="AK48" s="4493">
        <f t="shared" si="44"/>
        <v>0</v>
      </c>
      <c r="AL48" s="4493">
        <f t="shared" si="45"/>
        <v>0</v>
      </c>
      <c r="AM48" s="4493">
        <f t="shared" si="46"/>
        <v>0</v>
      </c>
      <c r="AN48" s="4493">
        <f t="shared" si="47"/>
        <v>0</v>
      </c>
      <c r="AO48" s="4493">
        <f t="shared" si="48"/>
        <v>0</v>
      </c>
      <c r="AP48" s="4493">
        <f t="shared" si="49"/>
        <v>0</v>
      </c>
      <c r="AQ48" s="4493">
        <f t="shared" si="50"/>
        <v>0</v>
      </c>
      <c r="AR48" s="4493">
        <f t="shared" si="51"/>
        <v>0</v>
      </c>
      <c r="AS48" s="4493">
        <f t="shared" si="52"/>
        <v>0</v>
      </c>
      <c r="AT48" s="4493">
        <f t="shared" si="53"/>
        <v>0</v>
      </c>
      <c r="AU48" s="4493">
        <f t="shared" si="54"/>
        <v>0</v>
      </c>
      <c r="AV48" s="4493">
        <f t="shared" si="55"/>
        <v>0</v>
      </c>
      <c r="AW48" s="4493">
        <f t="shared" si="56"/>
        <v>0</v>
      </c>
      <c r="AX48" s="4493">
        <f t="shared" si="57"/>
        <v>0</v>
      </c>
      <c r="AY48" s="4493">
        <f t="shared" si="58"/>
        <v>0</v>
      </c>
      <c r="AZ48" s="4493">
        <f t="shared" si="59"/>
        <v>0</v>
      </c>
      <c r="BA48" s="4493">
        <f t="shared" si="60"/>
        <v>0</v>
      </c>
    </row>
    <row r="49" spans="1:53" ht="12.75" customHeight="1" thickBot="1">
      <c r="A49" s="5478" t="s">
        <v>1454</v>
      </c>
      <c r="B49" s="5479"/>
      <c r="C49" s="3173"/>
      <c r="D49" s="3174"/>
      <c r="E49" s="3174"/>
      <c r="F49" s="3174"/>
      <c r="G49" s="3174"/>
      <c r="H49" s="3173"/>
      <c r="I49" s="3174"/>
      <c r="J49" s="3174"/>
      <c r="K49" s="3174"/>
      <c r="L49" s="3174"/>
      <c r="M49" s="3173"/>
      <c r="N49" s="3174"/>
      <c r="O49" s="3174"/>
      <c r="P49" s="3174"/>
      <c r="Q49" s="3174"/>
      <c r="R49" s="3173"/>
      <c r="S49" s="3174"/>
      <c r="T49" s="3174"/>
      <c r="U49" s="3174"/>
      <c r="V49" s="3174"/>
      <c r="W49" s="3173"/>
      <c r="X49" s="3174"/>
      <c r="Y49" s="3174"/>
      <c r="Z49" s="3174"/>
      <c r="AA49" s="3174"/>
      <c r="AB49" s="4488"/>
      <c r="AC49" s="4493">
        <f t="shared" si="61"/>
        <v>0</v>
      </c>
      <c r="AD49" s="4493">
        <f t="shared" si="37"/>
        <v>0</v>
      </c>
      <c r="AE49" s="4493">
        <f t="shared" si="38"/>
        <v>0</v>
      </c>
      <c r="AF49" s="4493">
        <f t="shared" si="39"/>
        <v>0</v>
      </c>
      <c r="AG49" s="4493">
        <f t="shared" si="40"/>
        <v>0</v>
      </c>
      <c r="AH49" s="4493">
        <f t="shared" si="41"/>
        <v>0</v>
      </c>
      <c r="AI49" s="4493">
        <f t="shared" si="42"/>
        <v>0</v>
      </c>
      <c r="AJ49" s="4493">
        <f t="shared" si="43"/>
        <v>0</v>
      </c>
      <c r="AK49" s="4493">
        <f t="shared" si="44"/>
        <v>0</v>
      </c>
      <c r="AL49" s="4493">
        <f t="shared" si="45"/>
        <v>0</v>
      </c>
      <c r="AM49" s="4493">
        <f t="shared" si="46"/>
        <v>0</v>
      </c>
      <c r="AN49" s="4493">
        <f t="shared" si="47"/>
        <v>0</v>
      </c>
      <c r="AO49" s="4493">
        <f t="shared" si="48"/>
        <v>0</v>
      </c>
      <c r="AP49" s="4493">
        <f t="shared" si="49"/>
        <v>0</v>
      </c>
      <c r="AQ49" s="4493">
        <f t="shared" si="50"/>
        <v>0</v>
      </c>
      <c r="AR49" s="4493">
        <f t="shared" si="51"/>
        <v>0</v>
      </c>
      <c r="AS49" s="4493">
        <f t="shared" si="52"/>
        <v>0</v>
      </c>
      <c r="AT49" s="4493">
        <f t="shared" si="53"/>
        <v>0</v>
      </c>
      <c r="AU49" s="4493">
        <f t="shared" si="54"/>
        <v>0</v>
      </c>
      <c r="AV49" s="4493">
        <f t="shared" si="55"/>
        <v>0</v>
      </c>
      <c r="AW49" s="4493">
        <f t="shared" si="56"/>
        <v>0</v>
      </c>
      <c r="AX49" s="4493">
        <f t="shared" si="57"/>
        <v>0</v>
      </c>
      <c r="AY49" s="4493">
        <f t="shared" si="58"/>
        <v>0</v>
      </c>
      <c r="AZ49" s="4493">
        <f t="shared" si="59"/>
        <v>0</v>
      </c>
      <c r="BA49" s="4493">
        <f t="shared" si="60"/>
        <v>0</v>
      </c>
    </row>
    <row r="50" spans="1:53" ht="13.8" thickBot="1">
      <c r="A50" s="5476" t="s">
        <v>1455</v>
      </c>
      <c r="B50" s="5477"/>
      <c r="C50" s="3173"/>
      <c r="D50" s="3174"/>
      <c r="E50" s="3174"/>
      <c r="F50" s="3174"/>
      <c r="G50" s="3174"/>
      <c r="H50" s="3173"/>
      <c r="I50" s="3174"/>
      <c r="J50" s="3174"/>
      <c r="K50" s="3174"/>
      <c r="L50" s="3174"/>
      <c r="M50" s="3173"/>
      <c r="N50" s="3174"/>
      <c r="O50" s="3174"/>
      <c r="P50" s="3174"/>
      <c r="Q50" s="3174"/>
      <c r="R50" s="3173"/>
      <c r="S50" s="3174"/>
      <c r="T50" s="3174"/>
      <c r="U50" s="3174"/>
      <c r="V50" s="3174"/>
      <c r="W50" s="3173"/>
      <c r="X50" s="3174"/>
      <c r="Y50" s="3174"/>
      <c r="Z50" s="3174"/>
      <c r="AA50" s="3174"/>
      <c r="AB50" s="4488"/>
      <c r="AC50" s="4493">
        <f t="shared" si="61"/>
        <v>0</v>
      </c>
      <c r="AD50" s="4493">
        <f t="shared" si="37"/>
        <v>0</v>
      </c>
      <c r="AE50" s="4493">
        <f t="shared" si="38"/>
        <v>0</v>
      </c>
      <c r="AF50" s="4493">
        <f t="shared" si="39"/>
        <v>0</v>
      </c>
      <c r="AG50" s="4493">
        <f t="shared" si="40"/>
        <v>0</v>
      </c>
      <c r="AH50" s="4493">
        <f t="shared" si="41"/>
        <v>0</v>
      </c>
      <c r="AI50" s="4493">
        <f t="shared" si="42"/>
        <v>0</v>
      </c>
      <c r="AJ50" s="4493">
        <f t="shared" si="43"/>
        <v>0</v>
      </c>
      <c r="AK50" s="4493">
        <f t="shared" si="44"/>
        <v>0</v>
      </c>
      <c r="AL50" s="4493">
        <f t="shared" si="45"/>
        <v>0</v>
      </c>
      <c r="AM50" s="4493">
        <f t="shared" si="46"/>
        <v>0</v>
      </c>
      <c r="AN50" s="4493">
        <f t="shared" si="47"/>
        <v>0</v>
      </c>
      <c r="AO50" s="4493">
        <f t="shared" si="48"/>
        <v>0</v>
      </c>
      <c r="AP50" s="4493">
        <f t="shared" si="49"/>
        <v>0</v>
      </c>
      <c r="AQ50" s="4493">
        <f t="shared" si="50"/>
        <v>0</v>
      </c>
      <c r="AR50" s="4493">
        <f t="shared" si="51"/>
        <v>0</v>
      </c>
      <c r="AS50" s="4493">
        <f t="shared" si="52"/>
        <v>0</v>
      </c>
      <c r="AT50" s="4493">
        <f t="shared" si="53"/>
        <v>0</v>
      </c>
      <c r="AU50" s="4493">
        <f t="shared" si="54"/>
        <v>0</v>
      </c>
      <c r="AV50" s="4493">
        <f t="shared" si="55"/>
        <v>0</v>
      </c>
      <c r="AW50" s="4493">
        <f t="shared" si="56"/>
        <v>0</v>
      </c>
      <c r="AX50" s="4493">
        <f t="shared" si="57"/>
        <v>0</v>
      </c>
      <c r="AY50" s="4493">
        <f t="shared" si="58"/>
        <v>0</v>
      </c>
      <c r="AZ50" s="4493">
        <f t="shared" si="59"/>
        <v>0</v>
      </c>
      <c r="BA50" s="4493">
        <f t="shared" si="60"/>
        <v>0</v>
      </c>
    </row>
    <row r="51" spans="1:53" ht="12.75" customHeight="1" thickBot="1">
      <c r="A51" s="5487" t="s">
        <v>1456</v>
      </c>
      <c r="B51" s="5488"/>
      <c r="C51" s="3173"/>
      <c r="D51" s="3174"/>
      <c r="E51" s="3174"/>
      <c r="F51" s="3174"/>
      <c r="G51" s="3174"/>
      <c r="H51" s="3173"/>
      <c r="I51" s="3174"/>
      <c r="J51" s="3174"/>
      <c r="K51" s="3174"/>
      <c r="L51" s="3174"/>
      <c r="M51" s="3173"/>
      <c r="N51" s="3174"/>
      <c r="O51" s="3174"/>
      <c r="P51" s="3174"/>
      <c r="Q51" s="3174"/>
      <c r="R51" s="3173"/>
      <c r="S51" s="3174"/>
      <c r="T51" s="3174"/>
      <c r="U51" s="3174"/>
      <c r="V51" s="3174"/>
      <c r="W51" s="3173"/>
      <c r="X51" s="3174"/>
      <c r="Y51" s="3174"/>
      <c r="Z51" s="3174"/>
      <c r="AA51" s="3174"/>
      <c r="AB51" s="4488"/>
      <c r="AC51" s="4493">
        <f t="shared" si="61"/>
        <v>0</v>
      </c>
      <c r="AD51" s="4493">
        <f t="shared" si="37"/>
        <v>0</v>
      </c>
      <c r="AE51" s="4493">
        <f t="shared" si="38"/>
        <v>0</v>
      </c>
      <c r="AF51" s="4493">
        <f t="shared" si="39"/>
        <v>0</v>
      </c>
      <c r="AG51" s="4493">
        <f t="shared" si="40"/>
        <v>0</v>
      </c>
      <c r="AH51" s="4493">
        <f t="shared" si="41"/>
        <v>0</v>
      </c>
      <c r="AI51" s="4493">
        <f t="shared" si="42"/>
        <v>0</v>
      </c>
      <c r="AJ51" s="4493">
        <f t="shared" si="43"/>
        <v>0</v>
      </c>
      <c r="AK51" s="4493">
        <f t="shared" si="44"/>
        <v>0</v>
      </c>
      <c r="AL51" s="4493">
        <f t="shared" si="45"/>
        <v>0</v>
      </c>
      <c r="AM51" s="4493">
        <f t="shared" si="46"/>
        <v>0</v>
      </c>
      <c r="AN51" s="4493">
        <f t="shared" si="47"/>
        <v>0</v>
      </c>
      <c r="AO51" s="4493">
        <f t="shared" si="48"/>
        <v>0</v>
      </c>
      <c r="AP51" s="4493">
        <f t="shared" si="49"/>
        <v>0</v>
      </c>
      <c r="AQ51" s="4493">
        <f t="shared" si="50"/>
        <v>0</v>
      </c>
      <c r="AR51" s="4493">
        <f t="shared" si="51"/>
        <v>0</v>
      </c>
      <c r="AS51" s="4493">
        <f t="shared" si="52"/>
        <v>0</v>
      </c>
      <c r="AT51" s="4493">
        <f t="shared" si="53"/>
        <v>0</v>
      </c>
      <c r="AU51" s="4493">
        <f t="shared" si="54"/>
        <v>0</v>
      </c>
      <c r="AV51" s="4493">
        <f t="shared" si="55"/>
        <v>0</v>
      </c>
      <c r="AW51" s="4493">
        <f t="shared" si="56"/>
        <v>0</v>
      </c>
      <c r="AX51" s="4493">
        <f t="shared" si="57"/>
        <v>0</v>
      </c>
      <c r="AY51" s="4493">
        <f t="shared" si="58"/>
        <v>0</v>
      </c>
      <c r="AZ51" s="4493">
        <f t="shared" si="59"/>
        <v>0</v>
      </c>
      <c r="BA51" s="4493">
        <f t="shared" si="60"/>
        <v>0</v>
      </c>
    </row>
    <row r="52" spans="1:53" ht="12.75" customHeight="1" thickBot="1">
      <c r="A52" s="5487" t="s">
        <v>1457</v>
      </c>
      <c r="B52" s="5488"/>
      <c r="C52" s="3173"/>
      <c r="D52" s="3174"/>
      <c r="E52" s="3174"/>
      <c r="F52" s="3174"/>
      <c r="G52" s="3174"/>
      <c r="H52" s="3173"/>
      <c r="I52" s="3174"/>
      <c r="J52" s="3174"/>
      <c r="K52" s="3174"/>
      <c r="L52" s="3174"/>
      <c r="M52" s="3173"/>
      <c r="N52" s="3174"/>
      <c r="O52" s="3174"/>
      <c r="P52" s="3174"/>
      <c r="Q52" s="3174"/>
      <c r="R52" s="3173"/>
      <c r="S52" s="3174"/>
      <c r="T52" s="3174"/>
      <c r="U52" s="3174"/>
      <c r="V52" s="3174"/>
      <c r="W52" s="3173"/>
      <c r="X52" s="3174"/>
      <c r="Y52" s="3174"/>
      <c r="Z52" s="3174"/>
      <c r="AA52" s="3174"/>
      <c r="AB52" s="4488"/>
      <c r="AC52" s="4493">
        <f t="shared" si="61"/>
        <v>0</v>
      </c>
      <c r="AD52" s="4493">
        <f t="shared" si="37"/>
        <v>0</v>
      </c>
      <c r="AE52" s="4493">
        <f t="shared" si="38"/>
        <v>0</v>
      </c>
      <c r="AF52" s="4493">
        <f t="shared" si="39"/>
        <v>0</v>
      </c>
      <c r="AG52" s="4493">
        <f t="shared" si="40"/>
        <v>0</v>
      </c>
      <c r="AH52" s="4493">
        <f t="shared" si="41"/>
        <v>0</v>
      </c>
      <c r="AI52" s="4493">
        <f t="shared" si="42"/>
        <v>0</v>
      </c>
      <c r="AJ52" s="4493">
        <f t="shared" si="43"/>
        <v>0</v>
      </c>
      <c r="AK52" s="4493">
        <f t="shared" si="44"/>
        <v>0</v>
      </c>
      <c r="AL52" s="4493">
        <f t="shared" si="45"/>
        <v>0</v>
      </c>
      <c r="AM52" s="4493">
        <f t="shared" si="46"/>
        <v>0</v>
      </c>
      <c r="AN52" s="4493">
        <f t="shared" si="47"/>
        <v>0</v>
      </c>
      <c r="AO52" s="4493">
        <f t="shared" si="48"/>
        <v>0</v>
      </c>
      <c r="AP52" s="4493">
        <f t="shared" si="49"/>
        <v>0</v>
      </c>
      <c r="AQ52" s="4493">
        <f t="shared" si="50"/>
        <v>0</v>
      </c>
      <c r="AR52" s="4493">
        <f t="shared" si="51"/>
        <v>0</v>
      </c>
      <c r="AS52" s="4493">
        <f t="shared" si="52"/>
        <v>0</v>
      </c>
      <c r="AT52" s="4493">
        <f t="shared" si="53"/>
        <v>0</v>
      </c>
      <c r="AU52" s="4493">
        <f t="shared" si="54"/>
        <v>0</v>
      </c>
      <c r="AV52" s="4493">
        <f t="shared" si="55"/>
        <v>0</v>
      </c>
      <c r="AW52" s="4493">
        <f t="shared" si="56"/>
        <v>0</v>
      </c>
      <c r="AX52" s="4493">
        <f t="shared" si="57"/>
        <v>0</v>
      </c>
      <c r="AY52" s="4493">
        <f t="shared" si="58"/>
        <v>0</v>
      </c>
      <c r="AZ52" s="4493">
        <f t="shared" si="59"/>
        <v>0</v>
      </c>
      <c r="BA52" s="4493">
        <f t="shared" si="60"/>
        <v>0</v>
      </c>
    </row>
    <row r="53" spans="1:53" ht="12.75" customHeight="1" thickBot="1">
      <c r="A53" s="5487" t="s">
        <v>1458</v>
      </c>
      <c r="B53" s="5488"/>
      <c r="C53" s="3173"/>
      <c r="D53" s="3174"/>
      <c r="E53" s="3174"/>
      <c r="F53" s="3174"/>
      <c r="G53" s="3174"/>
      <c r="H53" s="3173"/>
      <c r="I53" s="3174"/>
      <c r="J53" s="3174"/>
      <c r="K53" s="3174"/>
      <c r="L53" s="3174"/>
      <c r="M53" s="3173"/>
      <c r="N53" s="3174"/>
      <c r="O53" s="3174"/>
      <c r="P53" s="3174"/>
      <c r="Q53" s="3174"/>
      <c r="R53" s="3173"/>
      <c r="S53" s="3174"/>
      <c r="T53" s="3174"/>
      <c r="U53" s="3174"/>
      <c r="V53" s="3174"/>
      <c r="W53" s="3173"/>
      <c r="X53" s="3174"/>
      <c r="Y53" s="3174"/>
      <c r="Z53" s="3174"/>
      <c r="AA53" s="3174"/>
      <c r="AB53" s="4488"/>
      <c r="AC53" s="4493">
        <f t="shared" si="61"/>
        <v>0</v>
      </c>
      <c r="AD53" s="4493">
        <f t="shared" si="37"/>
        <v>0</v>
      </c>
      <c r="AE53" s="4493">
        <f t="shared" si="38"/>
        <v>0</v>
      </c>
      <c r="AF53" s="4493">
        <f t="shared" si="39"/>
        <v>0</v>
      </c>
      <c r="AG53" s="4493">
        <f t="shared" si="40"/>
        <v>0</v>
      </c>
      <c r="AH53" s="4493">
        <f t="shared" si="41"/>
        <v>0</v>
      </c>
      <c r="AI53" s="4493">
        <f t="shared" si="42"/>
        <v>0</v>
      </c>
      <c r="AJ53" s="4493">
        <f t="shared" si="43"/>
        <v>0</v>
      </c>
      <c r="AK53" s="4493">
        <f t="shared" si="44"/>
        <v>0</v>
      </c>
      <c r="AL53" s="4493">
        <f t="shared" si="45"/>
        <v>0</v>
      </c>
      <c r="AM53" s="4493">
        <f t="shared" si="46"/>
        <v>0</v>
      </c>
      <c r="AN53" s="4493">
        <f t="shared" si="47"/>
        <v>0</v>
      </c>
      <c r="AO53" s="4493">
        <f t="shared" si="48"/>
        <v>0</v>
      </c>
      <c r="AP53" s="4493">
        <f t="shared" si="49"/>
        <v>0</v>
      </c>
      <c r="AQ53" s="4493">
        <f t="shared" si="50"/>
        <v>0</v>
      </c>
      <c r="AR53" s="4493">
        <f t="shared" si="51"/>
        <v>0</v>
      </c>
      <c r="AS53" s="4493">
        <f t="shared" si="52"/>
        <v>0</v>
      </c>
      <c r="AT53" s="4493">
        <f t="shared" si="53"/>
        <v>0</v>
      </c>
      <c r="AU53" s="4493">
        <f t="shared" si="54"/>
        <v>0</v>
      </c>
      <c r="AV53" s="4493">
        <f t="shared" si="55"/>
        <v>0</v>
      </c>
      <c r="AW53" s="4493">
        <f t="shared" si="56"/>
        <v>0</v>
      </c>
      <c r="AX53" s="4493">
        <f t="shared" si="57"/>
        <v>0</v>
      </c>
      <c r="AY53" s="4493">
        <f t="shared" si="58"/>
        <v>0</v>
      </c>
      <c r="AZ53" s="4493">
        <f t="shared" si="59"/>
        <v>0</v>
      </c>
      <c r="BA53" s="4493">
        <f t="shared" si="60"/>
        <v>0</v>
      </c>
    </row>
    <row r="54" spans="1:53" ht="13.5" customHeight="1" thickBot="1">
      <c r="A54" s="5505" t="s">
        <v>1459</v>
      </c>
      <c r="B54" s="5506"/>
      <c r="C54" s="3177"/>
      <c r="D54" s="3178"/>
      <c r="E54" s="3178"/>
      <c r="F54" s="3178"/>
      <c r="G54" s="3178"/>
      <c r="H54" s="3177"/>
      <c r="I54" s="3178"/>
      <c r="J54" s="3178"/>
      <c r="K54" s="3178"/>
      <c r="L54" s="3178"/>
      <c r="M54" s="3177"/>
      <c r="N54" s="3178"/>
      <c r="O54" s="3178"/>
      <c r="P54" s="3178"/>
      <c r="Q54" s="3178"/>
      <c r="R54" s="3177"/>
      <c r="S54" s="3178"/>
      <c r="T54" s="3178"/>
      <c r="U54" s="3178"/>
      <c r="V54" s="3178"/>
      <c r="W54" s="3177"/>
      <c r="X54" s="3178"/>
      <c r="Y54" s="3178"/>
      <c r="Z54" s="3178"/>
      <c r="AA54" s="3178"/>
      <c r="AB54" s="4488"/>
      <c r="AC54" s="4493">
        <f t="shared" si="61"/>
        <v>0</v>
      </c>
      <c r="AD54" s="4493">
        <f t="shared" si="37"/>
        <v>0</v>
      </c>
      <c r="AE54" s="4493">
        <f t="shared" si="38"/>
        <v>0</v>
      </c>
      <c r="AF54" s="4493">
        <f t="shared" si="39"/>
        <v>0</v>
      </c>
      <c r="AG54" s="4493">
        <f t="shared" si="40"/>
        <v>0</v>
      </c>
      <c r="AH54" s="4493">
        <f t="shared" si="41"/>
        <v>0</v>
      </c>
      <c r="AI54" s="4493">
        <f t="shared" si="42"/>
        <v>0</v>
      </c>
      <c r="AJ54" s="4493">
        <f t="shared" si="43"/>
        <v>0</v>
      </c>
      <c r="AK54" s="4493">
        <f t="shared" si="44"/>
        <v>0</v>
      </c>
      <c r="AL54" s="4493">
        <f t="shared" si="45"/>
        <v>0</v>
      </c>
      <c r="AM54" s="4493">
        <f t="shared" si="46"/>
        <v>0</v>
      </c>
      <c r="AN54" s="4493">
        <f t="shared" si="47"/>
        <v>0</v>
      </c>
      <c r="AO54" s="4493">
        <f t="shared" si="48"/>
        <v>0</v>
      </c>
      <c r="AP54" s="4493">
        <f t="shared" si="49"/>
        <v>0</v>
      </c>
      <c r="AQ54" s="4493">
        <f t="shared" si="50"/>
        <v>0</v>
      </c>
      <c r="AR54" s="4493">
        <f t="shared" si="51"/>
        <v>0</v>
      </c>
      <c r="AS54" s="4493">
        <f t="shared" si="52"/>
        <v>0</v>
      </c>
      <c r="AT54" s="4493">
        <f t="shared" si="53"/>
        <v>0</v>
      </c>
      <c r="AU54" s="4493">
        <f t="shared" si="54"/>
        <v>0</v>
      </c>
      <c r="AV54" s="4493">
        <f t="shared" si="55"/>
        <v>0</v>
      </c>
      <c r="AW54" s="4493">
        <f t="shared" si="56"/>
        <v>0</v>
      </c>
      <c r="AX54" s="4493">
        <f t="shared" si="57"/>
        <v>0</v>
      </c>
      <c r="AY54" s="4493">
        <f t="shared" si="58"/>
        <v>0</v>
      </c>
      <c r="AZ54" s="4493">
        <f t="shared" si="59"/>
        <v>0</v>
      </c>
      <c r="BA54" s="4493">
        <f t="shared" si="60"/>
        <v>0</v>
      </c>
    </row>
    <row r="55" spans="1:53" ht="21.75" customHeight="1" thickBot="1">
      <c r="A55" s="1519" t="s">
        <v>174</v>
      </c>
      <c r="B55" s="1520"/>
      <c r="C55" s="3181"/>
      <c r="D55" s="3181"/>
      <c r="E55" s="3181"/>
      <c r="F55" s="3181"/>
      <c r="G55" s="3181"/>
      <c r="H55" s="3181"/>
      <c r="I55" s="3181"/>
      <c r="J55" s="3181"/>
      <c r="K55" s="3181"/>
      <c r="L55" s="3181"/>
      <c r="M55" s="3181"/>
      <c r="N55" s="3181"/>
      <c r="O55" s="3181"/>
      <c r="P55" s="3181"/>
      <c r="Q55" s="3181"/>
      <c r="R55" s="3181"/>
      <c r="S55" s="3181"/>
      <c r="T55" s="3181"/>
      <c r="U55" s="3181"/>
      <c r="V55" s="3181"/>
      <c r="W55" s="3181"/>
      <c r="X55" s="3181"/>
      <c r="Y55" s="3181"/>
      <c r="Z55" s="3181"/>
      <c r="AA55" s="3181"/>
      <c r="AB55" s="4488"/>
      <c r="AC55" s="5468" t="str">
        <f>+A55</f>
        <v>Отвеждане на отпадъчни води</v>
      </c>
      <c r="AD55" s="5469"/>
      <c r="AE55" s="5469"/>
      <c r="AF55" s="5469"/>
      <c r="AG55" s="5469"/>
      <c r="AH55" s="5469"/>
      <c r="AI55" s="5469"/>
      <c r="AJ55" s="5469"/>
      <c r="AK55" s="5469"/>
      <c r="AL55" s="5469"/>
      <c r="AM55" s="5469"/>
      <c r="AN55" s="5469"/>
      <c r="AO55" s="5469"/>
      <c r="AP55" s="5469"/>
      <c r="AQ55" s="5469"/>
      <c r="AR55" s="5469"/>
      <c r="AS55" s="5469"/>
      <c r="AT55" s="5469"/>
      <c r="AU55" s="5469"/>
      <c r="AV55" s="5469"/>
      <c r="AW55" s="5469"/>
      <c r="AX55" s="5469"/>
      <c r="AY55" s="5469"/>
      <c r="AZ55" s="5469"/>
      <c r="BA55" s="5470"/>
    </row>
    <row r="56" spans="1:53" ht="21" customHeight="1" thickBot="1">
      <c r="A56" s="5471" t="s">
        <v>1174</v>
      </c>
      <c r="B56" s="5472"/>
      <c r="C56" s="5493">
        <v>1</v>
      </c>
      <c r="D56" s="5494"/>
      <c r="E56" s="5494"/>
      <c r="F56" s="5494"/>
      <c r="G56" s="5494"/>
      <c r="H56" s="5493">
        <f>C56+1</f>
        <v>2</v>
      </c>
      <c r="I56" s="5494"/>
      <c r="J56" s="5494"/>
      <c r="K56" s="5494"/>
      <c r="L56" s="5494"/>
      <c r="M56" s="5493">
        <f>H56+1</f>
        <v>3</v>
      </c>
      <c r="N56" s="5494"/>
      <c r="O56" s="5494"/>
      <c r="P56" s="5494"/>
      <c r="Q56" s="5494"/>
      <c r="R56" s="5493">
        <f>M56+1</f>
        <v>4</v>
      </c>
      <c r="S56" s="5494"/>
      <c r="T56" s="5494"/>
      <c r="U56" s="5494"/>
      <c r="V56" s="5494"/>
      <c r="W56" s="5493">
        <f>R56+1</f>
        <v>5</v>
      </c>
      <c r="X56" s="5494"/>
      <c r="Y56" s="5494"/>
      <c r="Z56" s="5494"/>
      <c r="AA56" s="5494"/>
      <c r="AB56" s="4488"/>
      <c r="AC56" s="5338">
        <f>+C56</f>
        <v>1</v>
      </c>
      <c r="AD56" s="5338"/>
      <c r="AE56" s="5338"/>
      <c r="AF56" s="5338"/>
      <c r="AG56" s="5338"/>
      <c r="AH56" s="5338">
        <f>+H56</f>
        <v>2</v>
      </c>
      <c r="AI56" s="5338"/>
      <c r="AJ56" s="5338"/>
      <c r="AK56" s="5338"/>
      <c r="AL56" s="5338"/>
      <c r="AM56" s="5338">
        <f>+M56</f>
        <v>3</v>
      </c>
      <c r="AN56" s="5338"/>
      <c r="AO56" s="5338"/>
      <c r="AP56" s="5338"/>
      <c r="AQ56" s="5338"/>
      <c r="AR56" s="5338">
        <f>+R56</f>
        <v>4</v>
      </c>
      <c r="AS56" s="5338"/>
      <c r="AT56" s="5338"/>
      <c r="AU56" s="5338"/>
      <c r="AV56" s="5338"/>
      <c r="AW56" s="5338">
        <f>+W56</f>
        <v>5</v>
      </c>
      <c r="AX56" s="5338"/>
      <c r="AY56" s="5338"/>
      <c r="AZ56" s="5338"/>
      <c r="BA56" s="5338"/>
    </row>
    <row r="57" spans="1:53" ht="12.75" customHeight="1" thickBot="1">
      <c r="A57" s="5473" t="s">
        <v>1296</v>
      </c>
      <c r="B57" s="3167" t="s">
        <v>1445</v>
      </c>
      <c r="C57" s="5474"/>
      <c r="D57" s="5475"/>
      <c r="E57" s="5475"/>
      <c r="F57" s="5475"/>
      <c r="G57" s="5475"/>
      <c r="H57" s="5474"/>
      <c r="I57" s="5475"/>
      <c r="J57" s="5475"/>
      <c r="K57" s="5475"/>
      <c r="L57" s="5475"/>
      <c r="M57" s="5474"/>
      <c r="N57" s="5475"/>
      <c r="O57" s="5475"/>
      <c r="P57" s="5475"/>
      <c r="Q57" s="5475"/>
      <c r="R57" s="5474"/>
      <c r="S57" s="5475"/>
      <c r="T57" s="5475"/>
      <c r="U57" s="5475"/>
      <c r="V57" s="5475"/>
      <c r="W57" s="5474"/>
      <c r="X57" s="5475"/>
      <c r="Y57" s="5475"/>
      <c r="Z57" s="5475"/>
      <c r="AA57" s="5475"/>
      <c r="AB57" s="4488"/>
      <c r="AC57" s="5467" t="str">
        <f>IF(C57=0,"",C57)</f>
        <v/>
      </c>
      <c r="AD57" s="5467"/>
      <c r="AE57" s="5467"/>
      <c r="AF57" s="5467"/>
      <c r="AG57" s="5467"/>
      <c r="AH57" s="5467" t="str">
        <f>IF(H57=0,"",H57)</f>
        <v/>
      </c>
      <c r="AI57" s="5467"/>
      <c r="AJ57" s="5467"/>
      <c r="AK57" s="5467"/>
      <c r="AL57" s="5467"/>
      <c r="AM57" s="5467" t="str">
        <f>IF(M57=0,"",M57)</f>
        <v/>
      </c>
      <c r="AN57" s="5467"/>
      <c r="AO57" s="5467"/>
      <c r="AP57" s="5467"/>
      <c r="AQ57" s="5467"/>
      <c r="AR57" s="5467" t="str">
        <f>IF(R57=0,"",R57)</f>
        <v/>
      </c>
      <c r="AS57" s="5467"/>
      <c r="AT57" s="5467"/>
      <c r="AU57" s="5467"/>
      <c r="AV57" s="5467"/>
      <c r="AW57" s="5467" t="str">
        <f>IF(W57=0,"",W57)</f>
        <v/>
      </c>
      <c r="AX57" s="5467"/>
      <c r="AY57" s="5467"/>
      <c r="AZ57" s="5467"/>
      <c r="BA57" s="5467"/>
    </row>
    <row r="58" spans="1:53" ht="13.8" thickBot="1">
      <c r="A58" s="5473"/>
      <c r="B58" s="3167" t="s">
        <v>1297</v>
      </c>
      <c r="C58" s="5474"/>
      <c r="D58" s="5475"/>
      <c r="E58" s="5475"/>
      <c r="F58" s="5475"/>
      <c r="G58" s="5475"/>
      <c r="H58" s="5474"/>
      <c r="I58" s="5475"/>
      <c r="J58" s="5475"/>
      <c r="K58" s="5475"/>
      <c r="L58" s="5475"/>
      <c r="M58" s="5474"/>
      <c r="N58" s="5475"/>
      <c r="O58" s="5475"/>
      <c r="P58" s="5475"/>
      <c r="Q58" s="5475"/>
      <c r="R58" s="5474"/>
      <c r="S58" s="5475"/>
      <c r="T58" s="5475"/>
      <c r="U58" s="5475"/>
      <c r="V58" s="5475"/>
      <c r="W58" s="5474"/>
      <c r="X58" s="5475"/>
      <c r="Y58" s="5475"/>
      <c r="Z58" s="5475"/>
      <c r="AA58" s="5475"/>
      <c r="AB58" s="4488"/>
      <c r="AC58" s="5467" t="str">
        <f t="shared" ref="AC58:AC62" si="62">IF(C58=0,"",C58)</f>
        <v/>
      </c>
      <c r="AD58" s="5467"/>
      <c r="AE58" s="5467"/>
      <c r="AF58" s="5467"/>
      <c r="AG58" s="5467"/>
      <c r="AH58" s="5467" t="str">
        <f t="shared" ref="AH58:AH62" si="63">IF(H58=0,"",H58)</f>
        <v/>
      </c>
      <c r="AI58" s="5467"/>
      <c r="AJ58" s="5467"/>
      <c r="AK58" s="5467"/>
      <c r="AL58" s="5467"/>
      <c r="AM58" s="5467" t="str">
        <f t="shared" ref="AM58:AM62" si="64">IF(M58=0,"",M58)</f>
        <v/>
      </c>
      <c r="AN58" s="5467"/>
      <c r="AO58" s="5467"/>
      <c r="AP58" s="5467"/>
      <c r="AQ58" s="5467"/>
      <c r="AR58" s="5467" t="str">
        <f t="shared" ref="AR58:AR62" si="65">IF(R58=0,"",R58)</f>
        <v/>
      </c>
      <c r="AS58" s="5467"/>
      <c r="AT58" s="5467"/>
      <c r="AU58" s="5467"/>
      <c r="AV58" s="5467"/>
      <c r="AW58" s="5467" t="str">
        <f t="shared" ref="AW58:AW62" si="66">IF(W58=0,"",W58)</f>
        <v/>
      </c>
      <c r="AX58" s="5467"/>
      <c r="AY58" s="5467"/>
      <c r="AZ58" s="5467"/>
      <c r="BA58" s="5467"/>
    </row>
    <row r="59" spans="1:53" ht="12.75" customHeight="1" thickBot="1">
      <c r="A59" s="5489" t="s">
        <v>1298</v>
      </c>
      <c r="B59" s="3168" t="s">
        <v>1299</v>
      </c>
      <c r="C59" s="5474"/>
      <c r="D59" s="5475"/>
      <c r="E59" s="5475"/>
      <c r="F59" s="5475"/>
      <c r="G59" s="5475"/>
      <c r="H59" s="5474"/>
      <c r="I59" s="5475"/>
      <c r="J59" s="5475"/>
      <c r="K59" s="5475"/>
      <c r="L59" s="5475"/>
      <c r="M59" s="5474"/>
      <c r="N59" s="5475"/>
      <c r="O59" s="5475"/>
      <c r="P59" s="5475"/>
      <c r="Q59" s="5475"/>
      <c r="R59" s="5474"/>
      <c r="S59" s="5475"/>
      <c r="T59" s="5475"/>
      <c r="U59" s="5475"/>
      <c r="V59" s="5475"/>
      <c r="W59" s="5474"/>
      <c r="X59" s="5475"/>
      <c r="Y59" s="5475"/>
      <c r="Z59" s="5475"/>
      <c r="AA59" s="5475"/>
      <c r="AB59" s="4488"/>
      <c r="AC59" s="5467" t="str">
        <f t="shared" si="62"/>
        <v/>
      </c>
      <c r="AD59" s="5467"/>
      <c r="AE59" s="5467"/>
      <c r="AF59" s="5467"/>
      <c r="AG59" s="5467"/>
      <c r="AH59" s="5467" t="str">
        <f t="shared" si="63"/>
        <v/>
      </c>
      <c r="AI59" s="5467"/>
      <c r="AJ59" s="5467"/>
      <c r="AK59" s="5467"/>
      <c r="AL59" s="5467"/>
      <c r="AM59" s="5467" t="str">
        <f t="shared" si="64"/>
        <v/>
      </c>
      <c r="AN59" s="5467"/>
      <c r="AO59" s="5467"/>
      <c r="AP59" s="5467"/>
      <c r="AQ59" s="5467"/>
      <c r="AR59" s="5467" t="str">
        <f t="shared" si="65"/>
        <v/>
      </c>
      <c r="AS59" s="5467"/>
      <c r="AT59" s="5467"/>
      <c r="AU59" s="5467"/>
      <c r="AV59" s="5467"/>
      <c r="AW59" s="5467" t="str">
        <f t="shared" si="66"/>
        <v/>
      </c>
      <c r="AX59" s="5467"/>
      <c r="AY59" s="5467"/>
      <c r="AZ59" s="5467"/>
      <c r="BA59" s="5467"/>
    </row>
    <row r="60" spans="1:53" ht="13.8" thickBot="1">
      <c r="A60" s="5490"/>
      <c r="B60" s="3167" t="s">
        <v>1300</v>
      </c>
      <c r="C60" s="5474"/>
      <c r="D60" s="5475"/>
      <c r="E60" s="5475"/>
      <c r="F60" s="5475"/>
      <c r="G60" s="5475"/>
      <c r="H60" s="5474"/>
      <c r="I60" s="5475"/>
      <c r="J60" s="5475"/>
      <c r="K60" s="5475"/>
      <c r="L60" s="5475"/>
      <c r="M60" s="5474"/>
      <c r="N60" s="5475"/>
      <c r="O60" s="5475"/>
      <c r="P60" s="5475"/>
      <c r="Q60" s="5475"/>
      <c r="R60" s="5474"/>
      <c r="S60" s="5475"/>
      <c r="T60" s="5475"/>
      <c r="U60" s="5475"/>
      <c r="V60" s="5475"/>
      <c r="W60" s="5474"/>
      <c r="X60" s="5475"/>
      <c r="Y60" s="5475"/>
      <c r="Z60" s="5475"/>
      <c r="AA60" s="5475"/>
      <c r="AB60" s="4488"/>
      <c r="AC60" s="5467" t="str">
        <f t="shared" si="62"/>
        <v/>
      </c>
      <c r="AD60" s="5467"/>
      <c r="AE60" s="5467"/>
      <c r="AF60" s="5467"/>
      <c r="AG60" s="5467"/>
      <c r="AH60" s="5467" t="str">
        <f t="shared" si="63"/>
        <v/>
      </c>
      <c r="AI60" s="5467"/>
      <c r="AJ60" s="5467"/>
      <c r="AK60" s="5467"/>
      <c r="AL60" s="5467"/>
      <c r="AM60" s="5467" t="str">
        <f t="shared" si="64"/>
        <v/>
      </c>
      <c r="AN60" s="5467"/>
      <c r="AO60" s="5467"/>
      <c r="AP60" s="5467"/>
      <c r="AQ60" s="5467"/>
      <c r="AR60" s="5467" t="str">
        <f t="shared" si="65"/>
        <v/>
      </c>
      <c r="AS60" s="5467"/>
      <c r="AT60" s="5467"/>
      <c r="AU60" s="5467"/>
      <c r="AV60" s="5467"/>
      <c r="AW60" s="5467" t="str">
        <f t="shared" si="66"/>
        <v/>
      </c>
      <c r="AX60" s="5467"/>
      <c r="AY60" s="5467"/>
      <c r="AZ60" s="5467"/>
      <c r="BA60" s="5467"/>
    </row>
    <row r="61" spans="1:53" ht="27" thickBot="1">
      <c r="A61" s="3817" t="s">
        <v>1301</v>
      </c>
      <c r="B61" s="3167" t="s">
        <v>1302</v>
      </c>
      <c r="C61" s="5474"/>
      <c r="D61" s="5475"/>
      <c r="E61" s="5475"/>
      <c r="F61" s="5475"/>
      <c r="G61" s="5475"/>
      <c r="H61" s="5474"/>
      <c r="I61" s="5475"/>
      <c r="J61" s="5475"/>
      <c r="K61" s="5475"/>
      <c r="L61" s="5475"/>
      <c r="M61" s="5474"/>
      <c r="N61" s="5475"/>
      <c r="O61" s="5475"/>
      <c r="P61" s="5475"/>
      <c r="Q61" s="5475"/>
      <c r="R61" s="5474"/>
      <c r="S61" s="5475"/>
      <c r="T61" s="5475"/>
      <c r="U61" s="5475"/>
      <c r="V61" s="5475"/>
      <c r="W61" s="5474"/>
      <c r="X61" s="5475"/>
      <c r="Y61" s="5475"/>
      <c r="Z61" s="5475"/>
      <c r="AA61" s="5475"/>
      <c r="AB61" s="4488"/>
      <c r="AC61" s="5467" t="str">
        <f t="shared" si="62"/>
        <v/>
      </c>
      <c r="AD61" s="5467"/>
      <c r="AE61" s="5467"/>
      <c r="AF61" s="5467"/>
      <c r="AG61" s="5467"/>
      <c r="AH61" s="5467" t="str">
        <f t="shared" si="63"/>
        <v/>
      </c>
      <c r="AI61" s="5467"/>
      <c r="AJ61" s="5467"/>
      <c r="AK61" s="5467"/>
      <c r="AL61" s="5467"/>
      <c r="AM61" s="5467" t="str">
        <f t="shared" si="64"/>
        <v/>
      </c>
      <c r="AN61" s="5467"/>
      <c r="AO61" s="5467"/>
      <c r="AP61" s="5467"/>
      <c r="AQ61" s="5467"/>
      <c r="AR61" s="5467" t="str">
        <f t="shared" si="65"/>
        <v/>
      </c>
      <c r="AS61" s="5467"/>
      <c r="AT61" s="5467"/>
      <c r="AU61" s="5467"/>
      <c r="AV61" s="5467"/>
      <c r="AW61" s="5467" t="str">
        <f t="shared" si="66"/>
        <v/>
      </c>
      <c r="AX61" s="5467"/>
      <c r="AY61" s="5467"/>
      <c r="AZ61" s="5467"/>
      <c r="BA61" s="5467"/>
    </row>
    <row r="62" spans="1:53" ht="27" thickBot="1">
      <c r="A62" s="3169" t="s">
        <v>1303</v>
      </c>
      <c r="B62" s="3170" t="s">
        <v>1304</v>
      </c>
      <c r="C62" s="5485"/>
      <c r="D62" s="5486"/>
      <c r="E62" s="5486"/>
      <c r="F62" s="5486"/>
      <c r="G62" s="5486"/>
      <c r="H62" s="5485"/>
      <c r="I62" s="5486"/>
      <c r="J62" s="5486"/>
      <c r="K62" s="5486"/>
      <c r="L62" s="5486"/>
      <c r="M62" s="5485"/>
      <c r="N62" s="5486"/>
      <c r="O62" s="5486"/>
      <c r="P62" s="5486"/>
      <c r="Q62" s="5486"/>
      <c r="R62" s="5485"/>
      <c r="S62" s="5486"/>
      <c r="T62" s="5486"/>
      <c r="U62" s="5486"/>
      <c r="V62" s="5486"/>
      <c r="W62" s="5485"/>
      <c r="X62" s="5486"/>
      <c r="Y62" s="5486"/>
      <c r="Z62" s="5486"/>
      <c r="AA62" s="5486"/>
      <c r="AB62" s="4488"/>
      <c r="AC62" s="5467" t="str">
        <f t="shared" si="62"/>
        <v/>
      </c>
      <c r="AD62" s="5467"/>
      <c r="AE62" s="5467"/>
      <c r="AF62" s="5467"/>
      <c r="AG62" s="5467"/>
      <c r="AH62" s="5467" t="str">
        <f t="shared" si="63"/>
        <v/>
      </c>
      <c r="AI62" s="5467"/>
      <c r="AJ62" s="5467"/>
      <c r="AK62" s="5467"/>
      <c r="AL62" s="5467"/>
      <c r="AM62" s="5467" t="str">
        <f t="shared" si="64"/>
        <v/>
      </c>
      <c r="AN62" s="5467"/>
      <c r="AO62" s="5467"/>
      <c r="AP62" s="5467"/>
      <c r="AQ62" s="5467"/>
      <c r="AR62" s="5467" t="str">
        <f t="shared" si="65"/>
        <v/>
      </c>
      <c r="AS62" s="5467"/>
      <c r="AT62" s="5467"/>
      <c r="AU62" s="5467"/>
      <c r="AV62" s="5467"/>
      <c r="AW62" s="5467" t="str">
        <f t="shared" si="66"/>
        <v/>
      </c>
      <c r="AX62" s="5467"/>
      <c r="AY62" s="5467"/>
      <c r="AZ62" s="5467"/>
      <c r="BA62" s="5467"/>
    </row>
    <row r="63" spans="1:53" ht="13.8" thickBot="1">
      <c r="A63" s="5491" t="s">
        <v>1460</v>
      </c>
      <c r="B63" s="5492"/>
      <c r="C63" s="4274" t="str">
        <f>'Приложение '!$C$14</f>
        <v>2027 г.</v>
      </c>
      <c r="D63" s="4275" t="str">
        <f>'Приложение '!$C$15</f>
        <v>2028 г.</v>
      </c>
      <c r="E63" s="4275" t="str">
        <f>'Приложение '!$C$16</f>
        <v>2029 г.</v>
      </c>
      <c r="F63" s="4275" t="str">
        <f>'Приложение '!$C$17</f>
        <v>2030 г.</v>
      </c>
      <c r="G63" s="4275" t="str">
        <f>'Приложение '!$C$18</f>
        <v>2031 г.</v>
      </c>
      <c r="H63" s="4274" t="str">
        <f>'Приложение '!$C$14</f>
        <v>2027 г.</v>
      </c>
      <c r="I63" s="4275" t="str">
        <f>'Приложение '!$C$15</f>
        <v>2028 г.</v>
      </c>
      <c r="J63" s="4275" t="str">
        <f>'Приложение '!$C$16</f>
        <v>2029 г.</v>
      </c>
      <c r="K63" s="4275" t="str">
        <f>'Приложение '!$C$17</f>
        <v>2030 г.</v>
      </c>
      <c r="L63" s="4275" t="str">
        <f>'Приложение '!$C$18</f>
        <v>2031 г.</v>
      </c>
      <c r="M63" s="4274" t="str">
        <f>'Приложение '!$C$14</f>
        <v>2027 г.</v>
      </c>
      <c r="N63" s="4275" t="str">
        <f>'Приложение '!$C$15</f>
        <v>2028 г.</v>
      </c>
      <c r="O63" s="4275" t="str">
        <f>'Приложение '!$C$16</f>
        <v>2029 г.</v>
      </c>
      <c r="P63" s="4275" t="str">
        <f>'Приложение '!$C$17</f>
        <v>2030 г.</v>
      </c>
      <c r="Q63" s="4275" t="str">
        <f>'Приложение '!$C$18</f>
        <v>2031 г.</v>
      </c>
      <c r="R63" s="4274" t="str">
        <f>'Приложение '!$C$14</f>
        <v>2027 г.</v>
      </c>
      <c r="S63" s="4275" t="str">
        <f>'Приложение '!$C$15</f>
        <v>2028 г.</v>
      </c>
      <c r="T63" s="4275" t="str">
        <f>'Приложение '!$C$16</f>
        <v>2029 г.</v>
      </c>
      <c r="U63" s="4275" t="str">
        <f>'Приложение '!$C$17</f>
        <v>2030 г.</v>
      </c>
      <c r="V63" s="4275" t="str">
        <f>'Приложение '!$C$18</f>
        <v>2031 г.</v>
      </c>
      <c r="W63" s="4274" t="str">
        <f>'Приложение '!$C$14</f>
        <v>2027 г.</v>
      </c>
      <c r="X63" s="4275" t="str">
        <f>'Приложение '!$C$15</f>
        <v>2028 г.</v>
      </c>
      <c r="Y63" s="4275" t="str">
        <f>'Приложение '!$C$16</f>
        <v>2029 г.</v>
      </c>
      <c r="Z63" s="4275" t="str">
        <f>'Приложение '!$C$17</f>
        <v>2030 г.</v>
      </c>
      <c r="AA63" s="4275" t="str">
        <f>'Приложение '!$C$18</f>
        <v>2031 г.</v>
      </c>
      <c r="AB63" s="4488"/>
      <c r="AC63" s="4535" t="str">
        <f>'Приложение '!$C$14</f>
        <v>2027 г.</v>
      </c>
      <c r="AD63" s="4535" t="str">
        <f>'Приложение '!$C$15</f>
        <v>2028 г.</v>
      </c>
      <c r="AE63" s="4535" t="str">
        <f>'Приложение '!$C$16</f>
        <v>2029 г.</v>
      </c>
      <c r="AF63" s="4535" t="str">
        <f>'Приложение '!$C$17</f>
        <v>2030 г.</v>
      </c>
      <c r="AG63" s="4535" t="str">
        <f>'Приложение '!$C$18</f>
        <v>2031 г.</v>
      </c>
      <c r="AH63" s="4535" t="str">
        <f>'Приложение '!$C$14</f>
        <v>2027 г.</v>
      </c>
      <c r="AI63" s="4535" t="str">
        <f>'Приложение '!$C$15</f>
        <v>2028 г.</v>
      </c>
      <c r="AJ63" s="4535" t="str">
        <f>'Приложение '!$C$16</f>
        <v>2029 г.</v>
      </c>
      <c r="AK63" s="4535" t="str">
        <f>'Приложение '!$C$17</f>
        <v>2030 г.</v>
      </c>
      <c r="AL63" s="4535" t="str">
        <f>'Приложение '!$C$18</f>
        <v>2031 г.</v>
      </c>
      <c r="AM63" s="4535" t="str">
        <f>'Приложение '!$C$14</f>
        <v>2027 г.</v>
      </c>
      <c r="AN63" s="4535" t="str">
        <f>'Приложение '!$C$15</f>
        <v>2028 г.</v>
      </c>
      <c r="AO63" s="4535" t="str">
        <f>'Приложение '!$C$16</f>
        <v>2029 г.</v>
      </c>
      <c r="AP63" s="4535" t="str">
        <f>'Приложение '!$C$17</f>
        <v>2030 г.</v>
      </c>
      <c r="AQ63" s="4535" t="str">
        <f>'Приложение '!$C$18</f>
        <v>2031 г.</v>
      </c>
      <c r="AR63" s="4535" t="str">
        <f>'Приложение '!$C$14</f>
        <v>2027 г.</v>
      </c>
      <c r="AS63" s="4535" t="str">
        <f>'Приложение '!$C$15</f>
        <v>2028 г.</v>
      </c>
      <c r="AT63" s="4535" t="str">
        <f>'Приложение '!$C$16</f>
        <v>2029 г.</v>
      </c>
      <c r="AU63" s="4535" t="str">
        <f>'Приложение '!$C$17</f>
        <v>2030 г.</v>
      </c>
      <c r="AV63" s="4535" t="str">
        <f>'Приложение '!$C$18</f>
        <v>2031 г.</v>
      </c>
      <c r="AW63" s="4535" t="str">
        <f>'Приложение '!$C$14</f>
        <v>2027 г.</v>
      </c>
      <c r="AX63" s="4535" t="str">
        <f>'Приложение '!$C$15</f>
        <v>2028 г.</v>
      </c>
      <c r="AY63" s="4535" t="str">
        <f>'Приложение '!$C$16</f>
        <v>2029 г.</v>
      </c>
      <c r="AZ63" s="4535" t="str">
        <f>'Приложение '!$C$17</f>
        <v>2030 г.</v>
      </c>
      <c r="BA63" s="4535" t="str">
        <f>'Приложение '!$C$18</f>
        <v>2031 г.</v>
      </c>
    </row>
    <row r="64" spans="1:53" ht="12.75" customHeight="1">
      <c r="A64" s="5480" t="s">
        <v>1446</v>
      </c>
      <c r="B64" s="5481"/>
      <c r="C64" s="3171"/>
      <c r="D64" s="3172"/>
      <c r="E64" s="3172"/>
      <c r="F64" s="3172"/>
      <c r="G64" s="3172"/>
      <c r="H64" s="3171"/>
      <c r="I64" s="3172"/>
      <c r="J64" s="3172"/>
      <c r="K64" s="3172"/>
      <c r="L64" s="3172"/>
      <c r="M64" s="3171"/>
      <c r="N64" s="3172"/>
      <c r="O64" s="3172"/>
      <c r="P64" s="3172"/>
      <c r="Q64" s="3172"/>
      <c r="R64" s="3171"/>
      <c r="S64" s="3172"/>
      <c r="T64" s="3172"/>
      <c r="U64" s="3172"/>
      <c r="V64" s="3172"/>
      <c r="W64" s="3171"/>
      <c r="X64" s="3172"/>
      <c r="Y64" s="3172"/>
      <c r="Z64" s="3172"/>
      <c r="AA64" s="3172"/>
      <c r="AB64" s="4488"/>
      <c r="AC64" s="4538"/>
      <c r="AD64" s="4538"/>
      <c r="AE64" s="4538"/>
      <c r="AF64" s="4538"/>
      <c r="AG64" s="4538"/>
      <c r="AH64" s="4538"/>
      <c r="AI64" s="4538"/>
      <c r="AJ64" s="4538"/>
      <c r="AK64" s="4538"/>
      <c r="AL64" s="4538"/>
      <c r="AM64" s="4538"/>
      <c r="AN64" s="4538"/>
      <c r="AO64" s="4538"/>
      <c r="AP64" s="4538"/>
      <c r="AQ64" s="4538"/>
      <c r="AR64" s="4538"/>
      <c r="AS64" s="4538"/>
      <c r="AT64" s="4538"/>
      <c r="AU64" s="4538"/>
      <c r="AV64" s="4538"/>
      <c r="AW64" s="4538"/>
      <c r="AX64" s="4538"/>
      <c r="AY64" s="4538"/>
      <c r="AZ64" s="4538"/>
      <c r="BA64" s="4538"/>
    </row>
    <row r="65" spans="1:53" ht="12.75" customHeight="1">
      <c r="A65" s="5495" t="s">
        <v>1447</v>
      </c>
      <c r="B65" s="5496"/>
      <c r="C65" s="3173"/>
      <c r="D65" s="3174"/>
      <c r="E65" s="3174"/>
      <c r="F65" s="3174"/>
      <c r="G65" s="3174"/>
      <c r="H65" s="3173"/>
      <c r="I65" s="3174"/>
      <c r="J65" s="3174"/>
      <c r="K65" s="3174"/>
      <c r="L65" s="3174"/>
      <c r="M65" s="3173"/>
      <c r="N65" s="3174"/>
      <c r="O65" s="3174"/>
      <c r="P65" s="3174"/>
      <c r="Q65" s="3174"/>
      <c r="R65" s="3173"/>
      <c r="S65" s="3174"/>
      <c r="T65" s="3174"/>
      <c r="U65" s="3174"/>
      <c r="V65" s="3174"/>
      <c r="W65" s="3173"/>
      <c r="X65" s="3174"/>
      <c r="Y65" s="3174"/>
      <c r="Z65" s="3174"/>
      <c r="AA65" s="3174"/>
      <c r="AB65" s="4488"/>
      <c r="AC65" s="4539"/>
      <c r="AD65" s="4539"/>
      <c r="AE65" s="4539"/>
      <c r="AF65" s="4539"/>
      <c r="AG65" s="4539"/>
      <c r="AH65" s="4539"/>
      <c r="AI65" s="4539"/>
      <c r="AJ65" s="4539"/>
      <c r="AK65" s="4539"/>
      <c r="AL65" s="4539"/>
      <c r="AM65" s="4539"/>
      <c r="AN65" s="4539"/>
      <c r="AO65" s="4539"/>
      <c r="AP65" s="4539"/>
      <c r="AQ65" s="4539"/>
      <c r="AR65" s="4539"/>
      <c r="AS65" s="4539"/>
      <c r="AT65" s="4539"/>
      <c r="AU65" s="4539"/>
      <c r="AV65" s="4539"/>
      <c r="AW65" s="4539"/>
      <c r="AX65" s="4539"/>
      <c r="AY65" s="4539"/>
      <c r="AZ65" s="4539"/>
      <c r="BA65" s="4539"/>
    </row>
    <row r="66" spans="1:53" ht="12.75" customHeight="1">
      <c r="A66" s="5497" t="s">
        <v>1448</v>
      </c>
      <c r="B66" s="5498"/>
      <c r="C66" s="3175"/>
      <c r="D66" s="3176"/>
      <c r="E66" s="3176"/>
      <c r="F66" s="3176"/>
      <c r="G66" s="3176"/>
      <c r="H66" s="3175"/>
      <c r="I66" s="3176"/>
      <c r="J66" s="3176"/>
      <c r="K66" s="3176"/>
      <c r="L66" s="3176"/>
      <c r="M66" s="3175"/>
      <c r="N66" s="3176"/>
      <c r="O66" s="3176"/>
      <c r="P66" s="3176"/>
      <c r="Q66" s="3176"/>
      <c r="R66" s="3175"/>
      <c r="S66" s="3176"/>
      <c r="T66" s="3176"/>
      <c r="U66" s="3176"/>
      <c r="V66" s="3176"/>
      <c r="W66" s="3175"/>
      <c r="X66" s="3176"/>
      <c r="Y66" s="3176"/>
      <c r="Z66" s="3176"/>
      <c r="AA66" s="3176"/>
      <c r="AB66" s="4488"/>
      <c r="AC66" s="4539"/>
      <c r="AD66" s="4539"/>
      <c r="AE66" s="4539"/>
      <c r="AF66" s="4539"/>
      <c r="AG66" s="4539"/>
      <c r="AH66" s="4539"/>
      <c r="AI66" s="4539"/>
      <c r="AJ66" s="4539"/>
      <c r="AK66" s="4539"/>
      <c r="AL66" s="4539"/>
      <c r="AM66" s="4539"/>
      <c r="AN66" s="4539"/>
      <c r="AO66" s="4539"/>
      <c r="AP66" s="4539"/>
      <c r="AQ66" s="4539"/>
      <c r="AR66" s="4539"/>
      <c r="AS66" s="4539"/>
      <c r="AT66" s="4539"/>
      <c r="AU66" s="4539"/>
      <c r="AV66" s="4539"/>
      <c r="AW66" s="4539"/>
      <c r="AX66" s="4539"/>
      <c r="AY66" s="4539"/>
      <c r="AZ66" s="4539"/>
      <c r="BA66" s="4539"/>
    </row>
    <row r="67" spans="1:53" ht="13.8" thickBot="1">
      <c r="A67" s="5507" t="s">
        <v>1449</v>
      </c>
      <c r="B67" s="5508"/>
      <c r="C67" s="3177"/>
      <c r="D67" s="3178"/>
      <c r="E67" s="3178"/>
      <c r="F67" s="3178"/>
      <c r="G67" s="3178"/>
      <c r="H67" s="3177"/>
      <c r="I67" s="3178"/>
      <c r="J67" s="3178"/>
      <c r="K67" s="3178"/>
      <c r="L67" s="3178"/>
      <c r="M67" s="3177"/>
      <c r="N67" s="3178"/>
      <c r="O67" s="3178"/>
      <c r="P67" s="3178"/>
      <c r="Q67" s="3178"/>
      <c r="R67" s="3177"/>
      <c r="S67" s="3178"/>
      <c r="T67" s="3178"/>
      <c r="U67" s="3178"/>
      <c r="V67" s="3178"/>
      <c r="W67" s="3177"/>
      <c r="X67" s="3178"/>
      <c r="Y67" s="3178"/>
      <c r="Z67" s="3178"/>
      <c r="AA67" s="3178"/>
      <c r="AB67" s="4488"/>
      <c r="AC67" s="4540"/>
      <c r="AD67" s="4540"/>
      <c r="AE67" s="4540"/>
      <c r="AF67" s="4540"/>
      <c r="AG67" s="4540"/>
      <c r="AH67" s="4540"/>
      <c r="AI67" s="4540"/>
      <c r="AJ67" s="4540"/>
      <c r="AK67" s="4540"/>
      <c r="AL67" s="4540"/>
      <c r="AM67" s="4540"/>
      <c r="AN67" s="4540"/>
      <c r="AO67" s="4540"/>
      <c r="AP67" s="4540"/>
      <c r="AQ67" s="4540"/>
      <c r="AR67" s="4540"/>
      <c r="AS67" s="4540"/>
      <c r="AT67" s="4540"/>
      <c r="AU67" s="4540"/>
      <c r="AV67" s="4540"/>
      <c r="AW67" s="4540"/>
      <c r="AX67" s="4540"/>
      <c r="AY67" s="4540"/>
      <c r="AZ67" s="4540"/>
      <c r="BA67" s="4540"/>
    </row>
    <row r="68" spans="1:53" s="2" customFormat="1" ht="27" customHeight="1" thickBot="1">
      <c r="A68" s="5499" t="s">
        <v>1451</v>
      </c>
      <c r="B68" s="5500"/>
      <c r="C68" s="3179">
        <f t="shared" ref="C68:AA68" si="67">SUM(C69,C74:C78)</f>
        <v>0</v>
      </c>
      <c r="D68" s="3180">
        <f t="shared" si="67"/>
        <v>0</v>
      </c>
      <c r="E68" s="3180">
        <f t="shared" si="67"/>
        <v>0</v>
      </c>
      <c r="F68" s="3180">
        <f t="shared" si="67"/>
        <v>0</v>
      </c>
      <c r="G68" s="3180">
        <f t="shared" si="67"/>
        <v>0</v>
      </c>
      <c r="H68" s="3179">
        <f t="shared" si="67"/>
        <v>0</v>
      </c>
      <c r="I68" s="3180">
        <f t="shared" si="67"/>
        <v>0</v>
      </c>
      <c r="J68" s="3180">
        <f t="shared" si="67"/>
        <v>0</v>
      </c>
      <c r="K68" s="3180">
        <f t="shared" si="67"/>
        <v>0</v>
      </c>
      <c r="L68" s="3180">
        <f t="shared" si="67"/>
        <v>0</v>
      </c>
      <c r="M68" s="3179">
        <f t="shared" si="67"/>
        <v>0</v>
      </c>
      <c r="N68" s="3180">
        <f t="shared" si="67"/>
        <v>0</v>
      </c>
      <c r="O68" s="3180">
        <f t="shared" si="67"/>
        <v>0</v>
      </c>
      <c r="P68" s="3180">
        <f t="shared" si="67"/>
        <v>0</v>
      </c>
      <c r="Q68" s="3180">
        <f t="shared" si="67"/>
        <v>0</v>
      </c>
      <c r="R68" s="3179">
        <f t="shared" si="67"/>
        <v>0</v>
      </c>
      <c r="S68" s="3180">
        <f t="shared" si="67"/>
        <v>0</v>
      </c>
      <c r="T68" s="3180">
        <f t="shared" si="67"/>
        <v>0</v>
      </c>
      <c r="U68" s="3180">
        <f t="shared" si="67"/>
        <v>0</v>
      </c>
      <c r="V68" s="3180">
        <f t="shared" si="67"/>
        <v>0</v>
      </c>
      <c r="W68" s="3179">
        <f t="shared" si="67"/>
        <v>0</v>
      </c>
      <c r="X68" s="3180">
        <f t="shared" si="67"/>
        <v>0</v>
      </c>
      <c r="Y68" s="3180">
        <f t="shared" si="67"/>
        <v>0</v>
      </c>
      <c r="Z68" s="3180">
        <f t="shared" si="67"/>
        <v>0</v>
      </c>
      <c r="AA68" s="3180">
        <f t="shared" si="67"/>
        <v>0</v>
      </c>
      <c r="AB68" s="4488"/>
      <c r="AC68" s="4536">
        <f>IFERROR(C68/$D$1,0)</f>
        <v>0</v>
      </c>
      <c r="AD68" s="4537">
        <f t="shared" ref="AD68:AD78" si="68">IFERROR(D68/$D$1,0)</f>
        <v>0</v>
      </c>
      <c r="AE68" s="4537">
        <f t="shared" ref="AE68:AE78" si="69">IFERROR(E68/$D$1,0)</f>
        <v>0</v>
      </c>
      <c r="AF68" s="4537">
        <f t="shared" ref="AF68:AF78" si="70">IFERROR(F68/$D$1,0)</f>
        <v>0</v>
      </c>
      <c r="AG68" s="4537">
        <f t="shared" ref="AG68:AG78" si="71">IFERROR(G68/$D$1,0)</f>
        <v>0</v>
      </c>
      <c r="AH68" s="4537">
        <f t="shared" ref="AH68:AH78" si="72">IFERROR(H68/$D$1,0)</f>
        <v>0</v>
      </c>
      <c r="AI68" s="4537">
        <f t="shared" ref="AI68:AI78" si="73">IFERROR(I68/$D$1,0)</f>
        <v>0</v>
      </c>
      <c r="AJ68" s="4537">
        <f t="shared" ref="AJ68:AJ78" si="74">IFERROR(J68/$D$1,0)</f>
        <v>0</v>
      </c>
      <c r="AK68" s="4537">
        <f t="shared" ref="AK68:AK78" si="75">IFERROR(K68/$D$1,0)</f>
        <v>0</v>
      </c>
      <c r="AL68" s="4537">
        <f t="shared" ref="AL68:AL78" si="76">IFERROR(L68/$D$1,0)</f>
        <v>0</v>
      </c>
      <c r="AM68" s="4537">
        <f t="shared" ref="AM68:AM78" si="77">IFERROR(M68/$D$1,0)</f>
        <v>0</v>
      </c>
      <c r="AN68" s="4537">
        <f t="shared" ref="AN68:AN78" si="78">IFERROR(N68/$D$1,0)</f>
        <v>0</v>
      </c>
      <c r="AO68" s="4537">
        <f t="shared" ref="AO68:AO78" si="79">IFERROR(O68/$D$1,0)</f>
        <v>0</v>
      </c>
      <c r="AP68" s="4537">
        <f t="shared" ref="AP68:AP78" si="80">IFERROR(P68/$D$1,0)</f>
        <v>0</v>
      </c>
      <c r="AQ68" s="4537">
        <f t="shared" ref="AQ68:AQ78" si="81">IFERROR(Q68/$D$1,0)</f>
        <v>0</v>
      </c>
      <c r="AR68" s="4537">
        <f t="shared" ref="AR68:AR78" si="82">IFERROR(R68/$D$1,0)</f>
        <v>0</v>
      </c>
      <c r="AS68" s="4537">
        <f t="shared" ref="AS68:AS78" si="83">IFERROR(S68/$D$1,0)</f>
        <v>0</v>
      </c>
      <c r="AT68" s="4537">
        <f t="shared" ref="AT68:AT78" si="84">IFERROR(T68/$D$1,0)</f>
        <v>0</v>
      </c>
      <c r="AU68" s="4537">
        <f t="shared" ref="AU68:AU78" si="85">IFERROR(U68/$D$1,0)</f>
        <v>0</v>
      </c>
      <c r="AV68" s="4537">
        <f t="shared" ref="AV68:AV78" si="86">IFERROR(V68/$D$1,0)</f>
        <v>0</v>
      </c>
      <c r="AW68" s="4537">
        <f t="shared" ref="AW68:AW78" si="87">IFERROR(W68/$D$1,0)</f>
        <v>0</v>
      </c>
      <c r="AX68" s="4537">
        <f t="shared" ref="AX68:AX78" si="88">IFERROR(X68/$D$1,0)</f>
        <v>0</v>
      </c>
      <c r="AY68" s="4537">
        <f t="shared" ref="AY68:AY78" si="89">IFERROR(Y68/$D$1,0)</f>
        <v>0</v>
      </c>
      <c r="AZ68" s="4537">
        <f t="shared" ref="AZ68:AZ78" si="90">IFERROR(Z68/$D$1,0)</f>
        <v>0</v>
      </c>
      <c r="BA68" s="4537">
        <f t="shared" ref="BA68:BA78" si="91">IFERROR(AA68/$D$1,0)</f>
        <v>0</v>
      </c>
    </row>
    <row r="69" spans="1:53" ht="12.75" customHeight="1" thickBot="1">
      <c r="A69" s="5501" t="s">
        <v>1450</v>
      </c>
      <c r="B69" s="5502"/>
      <c r="C69" s="3173"/>
      <c r="D69" s="3174"/>
      <c r="E69" s="3174"/>
      <c r="F69" s="3174"/>
      <c r="G69" s="3174"/>
      <c r="H69" s="3173"/>
      <c r="I69" s="3174"/>
      <c r="J69" s="3174"/>
      <c r="K69" s="3174"/>
      <c r="L69" s="3174"/>
      <c r="M69" s="3173"/>
      <c r="N69" s="3174"/>
      <c r="O69" s="3174"/>
      <c r="P69" s="3174"/>
      <c r="Q69" s="3174"/>
      <c r="R69" s="3173"/>
      <c r="S69" s="3174"/>
      <c r="T69" s="3174"/>
      <c r="U69" s="3174"/>
      <c r="V69" s="3174"/>
      <c r="W69" s="3173"/>
      <c r="X69" s="3174"/>
      <c r="Y69" s="3174"/>
      <c r="Z69" s="3174"/>
      <c r="AA69" s="3174"/>
      <c r="AB69" s="4488"/>
      <c r="AC69" s="4493">
        <f t="shared" ref="AC69:AC78" si="92">IFERROR(C69/$D$1,0)</f>
        <v>0</v>
      </c>
      <c r="AD69" s="4493">
        <f t="shared" si="68"/>
        <v>0</v>
      </c>
      <c r="AE69" s="4493">
        <f t="shared" si="69"/>
        <v>0</v>
      </c>
      <c r="AF69" s="4493">
        <f t="shared" si="70"/>
        <v>0</v>
      </c>
      <c r="AG69" s="4493">
        <f t="shared" si="71"/>
        <v>0</v>
      </c>
      <c r="AH69" s="4493">
        <f t="shared" si="72"/>
        <v>0</v>
      </c>
      <c r="AI69" s="4493">
        <f t="shared" si="73"/>
        <v>0</v>
      </c>
      <c r="AJ69" s="4493">
        <f t="shared" si="74"/>
        <v>0</v>
      </c>
      <c r="AK69" s="4493">
        <f t="shared" si="75"/>
        <v>0</v>
      </c>
      <c r="AL69" s="4493">
        <f t="shared" si="76"/>
        <v>0</v>
      </c>
      <c r="AM69" s="4493">
        <f t="shared" si="77"/>
        <v>0</v>
      </c>
      <c r="AN69" s="4493">
        <f t="shared" si="78"/>
        <v>0</v>
      </c>
      <c r="AO69" s="4493">
        <f t="shared" si="79"/>
        <v>0</v>
      </c>
      <c r="AP69" s="4493">
        <f t="shared" si="80"/>
        <v>0</v>
      </c>
      <c r="AQ69" s="4493">
        <f t="shared" si="81"/>
        <v>0</v>
      </c>
      <c r="AR69" s="4493">
        <f t="shared" si="82"/>
        <v>0</v>
      </c>
      <c r="AS69" s="4493">
        <f t="shared" si="83"/>
        <v>0</v>
      </c>
      <c r="AT69" s="4493">
        <f t="shared" si="84"/>
        <v>0</v>
      </c>
      <c r="AU69" s="4493">
        <f t="shared" si="85"/>
        <v>0</v>
      </c>
      <c r="AV69" s="4493">
        <f t="shared" si="86"/>
        <v>0</v>
      </c>
      <c r="AW69" s="4493">
        <f t="shared" si="87"/>
        <v>0</v>
      </c>
      <c r="AX69" s="4493">
        <f t="shared" si="88"/>
        <v>0</v>
      </c>
      <c r="AY69" s="4493">
        <f t="shared" si="89"/>
        <v>0</v>
      </c>
      <c r="AZ69" s="4493">
        <f t="shared" si="90"/>
        <v>0</v>
      </c>
      <c r="BA69" s="4493">
        <f t="shared" si="91"/>
        <v>0</v>
      </c>
    </row>
    <row r="70" spans="1:53" ht="13.8" thickBot="1">
      <c r="A70" s="5503" t="s">
        <v>1462</v>
      </c>
      <c r="B70" s="5504"/>
      <c r="C70" s="3173"/>
      <c r="D70" s="3174"/>
      <c r="E70" s="3174"/>
      <c r="F70" s="3174"/>
      <c r="G70" s="3174"/>
      <c r="H70" s="3173"/>
      <c r="I70" s="3174"/>
      <c r="J70" s="3174"/>
      <c r="K70" s="3174"/>
      <c r="L70" s="3174"/>
      <c r="M70" s="3173"/>
      <c r="N70" s="3174"/>
      <c r="O70" s="3174"/>
      <c r="P70" s="3174"/>
      <c r="Q70" s="3174"/>
      <c r="R70" s="3173"/>
      <c r="S70" s="3174"/>
      <c r="T70" s="3174"/>
      <c r="U70" s="3174"/>
      <c r="V70" s="3174"/>
      <c r="W70" s="3173"/>
      <c r="X70" s="3174"/>
      <c r="Y70" s="3174"/>
      <c r="Z70" s="3174"/>
      <c r="AA70" s="3174"/>
      <c r="AB70" s="4488"/>
      <c r="AC70" s="4493">
        <f t="shared" si="92"/>
        <v>0</v>
      </c>
      <c r="AD70" s="4493">
        <f t="shared" si="68"/>
        <v>0</v>
      </c>
      <c r="AE70" s="4493">
        <f t="shared" si="69"/>
        <v>0</v>
      </c>
      <c r="AF70" s="4493">
        <f t="shared" si="70"/>
        <v>0</v>
      </c>
      <c r="AG70" s="4493">
        <f t="shared" si="71"/>
        <v>0</v>
      </c>
      <c r="AH70" s="4493">
        <f t="shared" si="72"/>
        <v>0</v>
      </c>
      <c r="AI70" s="4493">
        <f t="shared" si="73"/>
        <v>0</v>
      </c>
      <c r="AJ70" s="4493">
        <f t="shared" si="74"/>
        <v>0</v>
      </c>
      <c r="AK70" s="4493">
        <f t="shared" si="75"/>
        <v>0</v>
      </c>
      <c r="AL70" s="4493">
        <f t="shared" si="76"/>
        <v>0</v>
      </c>
      <c r="AM70" s="4493">
        <f t="shared" si="77"/>
        <v>0</v>
      </c>
      <c r="AN70" s="4493">
        <f t="shared" si="78"/>
        <v>0</v>
      </c>
      <c r="AO70" s="4493">
        <f t="shared" si="79"/>
        <v>0</v>
      </c>
      <c r="AP70" s="4493">
        <f t="shared" si="80"/>
        <v>0</v>
      </c>
      <c r="AQ70" s="4493">
        <f t="shared" si="81"/>
        <v>0</v>
      </c>
      <c r="AR70" s="4493">
        <f t="shared" si="82"/>
        <v>0</v>
      </c>
      <c r="AS70" s="4493">
        <f t="shared" si="83"/>
        <v>0</v>
      </c>
      <c r="AT70" s="4493">
        <f t="shared" si="84"/>
        <v>0</v>
      </c>
      <c r="AU70" s="4493">
        <f t="shared" si="85"/>
        <v>0</v>
      </c>
      <c r="AV70" s="4493">
        <f t="shared" si="86"/>
        <v>0</v>
      </c>
      <c r="AW70" s="4493">
        <f t="shared" si="87"/>
        <v>0</v>
      </c>
      <c r="AX70" s="4493">
        <f t="shared" si="88"/>
        <v>0</v>
      </c>
      <c r="AY70" s="4493">
        <f t="shared" si="89"/>
        <v>0</v>
      </c>
      <c r="AZ70" s="4493">
        <f t="shared" si="90"/>
        <v>0</v>
      </c>
      <c r="BA70" s="4493">
        <f t="shared" si="91"/>
        <v>0</v>
      </c>
    </row>
    <row r="71" spans="1:53" ht="12.75" customHeight="1" thickBot="1">
      <c r="A71" s="5478" t="s">
        <v>1452</v>
      </c>
      <c r="B71" s="5479"/>
      <c r="C71" s="3173"/>
      <c r="D71" s="3174"/>
      <c r="E71" s="3174"/>
      <c r="F71" s="3174"/>
      <c r="G71" s="3174"/>
      <c r="H71" s="3173"/>
      <c r="I71" s="3174"/>
      <c r="J71" s="3174"/>
      <c r="K71" s="3174"/>
      <c r="L71" s="3174"/>
      <c r="M71" s="3173"/>
      <c r="N71" s="3174"/>
      <c r="O71" s="3174"/>
      <c r="P71" s="3174"/>
      <c r="Q71" s="3174"/>
      <c r="R71" s="3173"/>
      <c r="S71" s="3174"/>
      <c r="T71" s="3174"/>
      <c r="U71" s="3174"/>
      <c r="V71" s="3174"/>
      <c r="W71" s="3173"/>
      <c r="X71" s="3174"/>
      <c r="Y71" s="3174"/>
      <c r="Z71" s="3174"/>
      <c r="AA71" s="3174"/>
      <c r="AB71" s="4488"/>
      <c r="AC71" s="4493">
        <f t="shared" si="92"/>
        <v>0</v>
      </c>
      <c r="AD71" s="4493">
        <f t="shared" si="68"/>
        <v>0</v>
      </c>
      <c r="AE71" s="4493">
        <f t="shared" si="69"/>
        <v>0</v>
      </c>
      <c r="AF71" s="4493">
        <f t="shared" si="70"/>
        <v>0</v>
      </c>
      <c r="AG71" s="4493">
        <f t="shared" si="71"/>
        <v>0</v>
      </c>
      <c r="AH71" s="4493">
        <f t="shared" si="72"/>
        <v>0</v>
      </c>
      <c r="AI71" s="4493">
        <f t="shared" si="73"/>
        <v>0</v>
      </c>
      <c r="AJ71" s="4493">
        <f t="shared" si="74"/>
        <v>0</v>
      </c>
      <c r="AK71" s="4493">
        <f t="shared" si="75"/>
        <v>0</v>
      </c>
      <c r="AL71" s="4493">
        <f t="shared" si="76"/>
        <v>0</v>
      </c>
      <c r="AM71" s="4493">
        <f t="shared" si="77"/>
        <v>0</v>
      </c>
      <c r="AN71" s="4493">
        <f t="shared" si="78"/>
        <v>0</v>
      </c>
      <c r="AO71" s="4493">
        <f t="shared" si="79"/>
        <v>0</v>
      </c>
      <c r="AP71" s="4493">
        <f t="shared" si="80"/>
        <v>0</v>
      </c>
      <c r="AQ71" s="4493">
        <f t="shared" si="81"/>
        <v>0</v>
      </c>
      <c r="AR71" s="4493">
        <f t="shared" si="82"/>
        <v>0</v>
      </c>
      <c r="AS71" s="4493">
        <f t="shared" si="83"/>
        <v>0</v>
      </c>
      <c r="AT71" s="4493">
        <f t="shared" si="84"/>
        <v>0</v>
      </c>
      <c r="AU71" s="4493">
        <f t="shared" si="85"/>
        <v>0</v>
      </c>
      <c r="AV71" s="4493">
        <f t="shared" si="86"/>
        <v>0</v>
      </c>
      <c r="AW71" s="4493">
        <f t="shared" si="87"/>
        <v>0</v>
      </c>
      <c r="AX71" s="4493">
        <f t="shared" si="88"/>
        <v>0</v>
      </c>
      <c r="AY71" s="4493">
        <f t="shared" si="89"/>
        <v>0</v>
      </c>
      <c r="AZ71" s="4493">
        <f t="shared" si="90"/>
        <v>0</v>
      </c>
      <c r="BA71" s="4493">
        <f t="shared" si="91"/>
        <v>0</v>
      </c>
    </row>
    <row r="72" spans="1:53" ht="12.75" customHeight="1" thickBot="1">
      <c r="A72" s="5478" t="s">
        <v>1453</v>
      </c>
      <c r="B72" s="5479"/>
      <c r="C72" s="3173"/>
      <c r="D72" s="3174"/>
      <c r="E72" s="3174"/>
      <c r="F72" s="3174"/>
      <c r="G72" s="3174"/>
      <c r="H72" s="3173"/>
      <c r="I72" s="3174"/>
      <c r="J72" s="3174"/>
      <c r="K72" s="3174"/>
      <c r="L72" s="3174"/>
      <c r="M72" s="3173"/>
      <c r="N72" s="3174"/>
      <c r="O72" s="3174"/>
      <c r="P72" s="3174"/>
      <c r="Q72" s="3174"/>
      <c r="R72" s="3173"/>
      <c r="S72" s="3174"/>
      <c r="T72" s="3174"/>
      <c r="U72" s="3174"/>
      <c r="V72" s="3174"/>
      <c r="W72" s="3173"/>
      <c r="X72" s="3174"/>
      <c r="Y72" s="3174"/>
      <c r="Z72" s="3174"/>
      <c r="AA72" s="3174"/>
      <c r="AB72" s="4488"/>
      <c r="AC72" s="4493">
        <f t="shared" si="92"/>
        <v>0</v>
      </c>
      <c r="AD72" s="4493">
        <f t="shared" si="68"/>
        <v>0</v>
      </c>
      <c r="AE72" s="4493">
        <f t="shared" si="69"/>
        <v>0</v>
      </c>
      <c r="AF72" s="4493">
        <f t="shared" si="70"/>
        <v>0</v>
      </c>
      <c r="AG72" s="4493">
        <f t="shared" si="71"/>
        <v>0</v>
      </c>
      <c r="AH72" s="4493">
        <f t="shared" si="72"/>
        <v>0</v>
      </c>
      <c r="AI72" s="4493">
        <f t="shared" si="73"/>
        <v>0</v>
      </c>
      <c r="AJ72" s="4493">
        <f t="shared" si="74"/>
        <v>0</v>
      </c>
      <c r="AK72" s="4493">
        <f t="shared" si="75"/>
        <v>0</v>
      </c>
      <c r="AL72" s="4493">
        <f t="shared" si="76"/>
        <v>0</v>
      </c>
      <c r="AM72" s="4493">
        <f t="shared" si="77"/>
        <v>0</v>
      </c>
      <c r="AN72" s="4493">
        <f t="shared" si="78"/>
        <v>0</v>
      </c>
      <c r="AO72" s="4493">
        <f t="shared" si="79"/>
        <v>0</v>
      </c>
      <c r="AP72" s="4493">
        <f t="shared" si="80"/>
        <v>0</v>
      </c>
      <c r="AQ72" s="4493">
        <f t="shared" si="81"/>
        <v>0</v>
      </c>
      <c r="AR72" s="4493">
        <f t="shared" si="82"/>
        <v>0</v>
      </c>
      <c r="AS72" s="4493">
        <f t="shared" si="83"/>
        <v>0</v>
      </c>
      <c r="AT72" s="4493">
        <f t="shared" si="84"/>
        <v>0</v>
      </c>
      <c r="AU72" s="4493">
        <f t="shared" si="85"/>
        <v>0</v>
      </c>
      <c r="AV72" s="4493">
        <f t="shared" si="86"/>
        <v>0</v>
      </c>
      <c r="AW72" s="4493">
        <f t="shared" si="87"/>
        <v>0</v>
      </c>
      <c r="AX72" s="4493">
        <f t="shared" si="88"/>
        <v>0</v>
      </c>
      <c r="AY72" s="4493">
        <f t="shared" si="89"/>
        <v>0</v>
      </c>
      <c r="AZ72" s="4493">
        <f t="shared" si="90"/>
        <v>0</v>
      </c>
      <c r="BA72" s="4493">
        <f t="shared" si="91"/>
        <v>0</v>
      </c>
    </row>
    <row r="73" spans="1:53" ht="12.75" customHeight="1" thickBot="1">
      <c r="A73" s="5478" t="s">
        <v>1454</v>
      </c>
      <c r="B73" s="5479"/>
      <c r="C73" s="3173"/>
      <c r="D73" s="3174"/>
      <c r="E73" s="3174"/>
      <c r="F73" s="3174"/>
      <c r="G73" s="3174"/>
      <c r="H73" s="3173"/>
      <c r="I73" s="3174"/>
      <c r="J73" s="3174"/>
      <c r="K73" s="3174"/>
      <c r="L73" s="3174"/>
      <c r="M73" s="3173"/>
      <c r="N73" s="3174"/>
      <c r="O73" s="3174"/>
      <c r="P73" s="3174"/>
      <c r="Q73" s="3174"/>
      <c r="R73" s="3173"/>
      <c r="S73" s="3174"/>
      <c r="T73" s="3174"/>
      <c r="U73" s="3174"/>
      <c r="V73" s="3174"/>
      <c r="W73" s="3173"/>
      <c r="X73" s="3174"/>
      <c r="Y73" s="3174"/>
      <c r="Z73" s="3174"/>
      <c r="AA73" s="3174"/>
      <c r="AB73" s="4488"/>
      <c r="AC73" s="4493">
        <f t="shared" si="92"/>
        <v>0</v>
      </c>
      <c r="AD73" s="4493">
        <f t="shared" si="68"/>
        <v>0</v>
      </c>
      <c r="AE73" s="4493">
        <f t="shared" si="69"/>
        <v>0</v>
      </c>
      <c r="AF73" s="4493">
        <f t="shared" si="70"/>
        <v>0</v>
      </c>
      <c r="AG73" s="4493">
        <f t="shared" si="71"/>
        <v>0</v>
      </c>
      <c r="AH73" s="4493">
        <f t="shared" si="72"/>
        <v>0</v>
      </c>
      <c r="AI73" s="4493">
        <f t="shared" si="73"/>
        <v>0</v>
      </c>
      <c r="AJ73" s="4493">
        <f t="shared" si="74"/>
        <v>0</v>
      </c>
      <c r="AK73" s="4493">
        <f t="shared" si="75"/>
        <v>0</v>
      </c>
      <c r="AL73" s="4493">
        <f t="shared" si="76"/>
        <v>0</v>
      </c>
      <c r="AM73" s="4493">
        <f t="shared" si="77"/>
        <v>0</v>
      </c>
      <c r="AN73" s="4493">
        <f t="shared" si="78"/>
        <v>0</v>
      </c>
      <c r="AO73" s="4493">
        <f t="shared" si="79"/>
        <v>0</v>
      </c>
      <c r="AP73" s="4493">
        <f t="shared" si="80"/>
        <v>0</v>
      </c>
      <c r="AQ73" s="4493">
        <f t="shared" si="81"/>
        <v>0</v>
      </c>
      <c r="AR73" s="4493">
        <f t="shared" si="82"/>
        <v>0</v>
      </c>
      <c r="AS73" s="4493">
        <f t="shared" si="83"/>
        <v>0</v>
      </c>
      <c r="AT73" s="4493">
        <f t="shared" si="84"/>
        <v>0</v>
      </c>
      <c r="AU73" s="4493">
        <f t="shared" si="85"/>
        <v>0</v>
      </c>
      <c r="AV73" s="4493">
        <f t="shared" si="86"/>
        <v>0</v>
      </c>
      <c r="AW73" s="4493">
        <f t="shared" si="87"/>
        <v>0</v>
      </c>
      <c r="AX73" s="4493">
        <f t="shared" si="88"/>
        <v>0</v>
      </c>
      <c r="AY73" s="4493">
        <f t="shared" si="89"/>
        <v>0</v>
      </c>
      <c r="AZ73" s="4493">
        <f t="shared" si="90"/>
        <v>0</v>
      </c>
      <c r="BA73" s="4493">
        <f t="shared" si="91"/>
        <v>0</v>
      </c>
    </row>
    <row r="74" spans="1:53" ht="13.8" thickBot="1">
      <c r="A74" s="5476" t="s">
        <v>1455</v>
      </c>
      <c r="B74" s="5477"/>
      <c r="C74" s="3173"/>
      <c r="D74" s="3174"/>
      <c r="E74" s="3174"/>
      <c r="F74" s="3174"/>
      <c r="G74" s="3174"/>
      <c r="H74" s="3173"/>
      <c r="I74" s="3174"/>
      <c r="J74" s="3174"/>
      <c r="K74" s="3174"/>
      <c r="L74" s="3174"/>
      <c r="M74" s="3173"/>
      <c r="N74" s="3174"/>
      <c r="O74" s="3174"/>
      <c r="P74" s="3174"/>
      <c r="Q74" s="3174"/>
      <c r="R74" s="3173"/>
      <c r="S74" s="3174"/>
      <c r="T74" s="3174"/>
      <c r="U74" s="3174"/>
      <c r="V74" s="3174"/>
      <c r="W74" s="3173"/>
      <c r="X74" s="3174"/>
      <c r="Y74" s="3174"/>
      <c r="Z74" s="3174"/>
      <c r="AA74" s="3174"/>
      <c r="AB74" s="4488"/>
      <c r="AC74" s="4493">
        <f t="shared" si="92"/>
        <v>0</v>
      </c>
      <c r="AD74" s="4493">
        <f t="shared" si="68"/>
        <v>0</v>
      </c>
      <c r="AE74" s="4493">
        <f t="shared" si="69"/>
        <v>0</v>
      </c>
      <c r="AF74" s="4493">
        <f t="shared" si="70"/>
        <v>0</v>
      </c>
      <c r="AG74" s="4493">
        <f t="shared" si="71"/>
        <v>0</v>
      </c>
      <c r="AH74" s="4493">
        <f t="shared" si="72"/>
        <v>0</v>
      </c>
      <c r="AI74" s="4493">
        <f t="shared" si="73"/>
        <v>0</v>
      </c>
      <c r="AJ74" s="4493">
        <f t="shared" si="74"/>
        <v>0</v>
      </c>
      <c r="AK74" s="4493">
        <f t="shared" si="75"/>
        <v>0</v>
      </c>
      <c r="AL74" s="4493">
        <f t="shared" si="76"/>
        <v>0</v>
      </c>
      <c r="AM74" s="4493">
        <f t="shared" si="77"/>
        <v>0</v>
      </c>
      <c r="AN74" s="4493">
        <f t="shared" si="78"/>
        <v>0</v>
      </c>
      <c r="AO74" s="4493">
        <f t="shared" si="79"/>
        <v>0</v>
      </c>
      <c r="AP74" s="4493">
        <f t="shared" si="80"/>
        <v>0</v>
      </c>
      <c r="AQ74" s="4493">
        <f t="shared" si="81"/>
        <v>0</v>
      </c>
      <c r="AR74" s="4493">
        <f t="shared" si="82"/>
        <v>0</v>
      </c>
      <c r="AS74" s="4493">
        <f t="shared" si="83"/>
        <v>0</v>
      </c>
      <c r="AT74" s="4493">
        <f t="shared" si="84"/>
        <v>0</v>
      </c>
      <c r="AU74" s="4493">
        <f t="shared" si="85"/>
        <v>0</v>
      </c>
      <c r="AV74" s="4493">
        <f t="shared" si="86"/>
        <v>0</v>
      </c>
      <c r="AW74" s="4493">
        <f t="shared" si="87"/>
        <v>0</v>
      </c>
      <c r="AX74" s="4493">
        <f t="shared" si="88"/>
        <v>0</v>
      </c>
      <c r="AY74" s="4493">
        <f t="shared" si="89"/>
        <v>0</v>
      </c>
      <c r="AZ74" s="4493">
        <f t="shared" si="90"/>
        <v>0</v>
      </c>
      <c r="BA74" s="4493">
        <f t="shared" si="91"/>
        <v>0</v>
      </c>
    </row>
    <row r="75" spans="1:53" ht="12.75" customHeight="1" thickBot="1">
      <c r="A75" s="5487" t="s">
        <v>1456</v>
      </c>
      <c r="B75" s="5488"/>
      <c r="C75" s="3173"/>
      <c r="D75" s="3174"/>
      <c r="E75" s="3174"/>
      <c r="F75" s="3174"/>
      <c r="G75" s="3174"/>
      <c r="H75" s="3173"/>
      <c r="I75" s="3174"/>
      <c r="J75" s="3174"/>
      <c r="K75" s="3174"/>
      <c r="L75" s="3174"/>
      <c r="M75" s="3173"/>
      <c r="N75" s="3174"/>
      <c r="O75" s="3174"/>
      <c r="P75" s="3174"/>
      <c r="Q75" s="3174"/>
      <c r="R75" s="3173"/>
      <c r="S75" s="3174"/>
      <c r="T75" s="3174"/>
      <c r="U75" s="3174"/>
      <c r="V75" s="3174"/>
      <c r="W75" s="3173"/>
      <c r="X75" s="3174"/>
      <c r="Y75" s="3174"/>
      <c r="Z75" s="3174"/>
      <c r="AA75" s="3174"/>
      <c r="AB75" s="4488"/>
      <c r="AC75" s="4493">
        <f t="shared" si="92"/>
        <v>0</v>
      </c>
      <c r="AD75" s="4493">
        <f t="shared" si="68"/>
        <v>0</v>
      </c>
      <c r="AE75" s="4493">
        <f t="shared" si="69"/>
        <v>0</v>
      </c>
      <c r="AF75" s="4493">
        <f t="shared" si="70"/>
        <v>0</v>
      </c>
      <c r="AG75" s="4493">
        <f t="shared" si="71"/>
        <v>0</v>
      </c>
      <c r="AH75" s="4493">
        <f t="shared" si="72"/>
        <v>0</v>
      </c>
      <c r="AI75" s="4493">
        <f t="shared" si="73"/>
        <v>0</v>
      </c>
      <c r="AJ75" s="4493">
        <f t="shared" si="74"/>
        <v>0</v>
      </c>
      <c r="AK75" s="4493">
        <f t="shared" si="75"/>
        <v>0</v>
      </c>
      <c r="AL75" s="4493">
        <f t="shared" si="76"/>
        <v>0</v>
      </c>
      <c r="AM75" s="4493">
        <f t="shared" si="77"/>
        <v>0</v>
      </c>
      <c r="AN75" s="4493">
        <f t="shared" si="78"/>
        <v>0</v>
      </c>
      <c r="AO75" s="4493">
        <f t="shared" si="79"/>
        <v>0</v>
      </c>
      <c r="AP75" s="4493">
        <f t="shared" si="80"/>
        <v>0</v>
      </c>
      <c r="AQ75" s="4493">
        <f t="shared" si="81"/>
        <v>0</v>
      </c>
      <c r="AR75" s="4493">
        <f t="shared" si="82"/>
        <v>0</v>
      </c>
      <c r="AS75" s="4493">
        <f t="shared" si="83"/>
        <v>0</v>
      </c>
      <c r="AT75" s="4493">
        <f t="shared" si="84"/>
        <v>0</v>
      </c>
      <c r="AU75" s="4493">
        <f t="shared" si="85"/>
        <v>0</v>
      </c>
      <c r="AV75" s="4493">
        <f t="shared" si="86"/>
        <v>0</v>
      </c>
      <c r="AW75" s="4493">
        <f t="shared" si="87"/>
        <v>0</v>
      </c>
      <c r="AX75" s="4493">
        <f t="shared" si="88"/>
        <v>0</v>
      </c>
      <c r="AY75" s="4493">
        <f t="shared" si="89"/>
        <v>0</v>
      </c>
      <c r="AZ75" s="4493">
        <f t="shared" si="90"/>
        <v>0</v>
      </c>
      <c r="BA75" s="4493">
        <f t="shared" si="91"/>
        <v>0</v>
      </c>
    </row>
    <row r="76" spans="1:53" ht="12.75" customHeight="1" thickBot="1">
      <c r="A76" s="5487" t="s">
        <v>1457</v>
      </c>
      <c r="B76" s="5488"/>
      <c r="C76" s="3173"/>
      <c r="D76" s="3174"/>
      <c r="E76" s="3174"/>
      <c r="F76" s="3174"/>
      <c r="G76" s="3174"/>
      <c r="H76" s="3173"/>
      <c r="I76" s="3174"/>
      <c r="J76" s="3174"/>
      <c r="K76" s="3174"/>
      <c r="L76" s="3174"/>
      <c r="M76" s="3173"/>
      <c r="N76" s="3174"/>
      <c r="O76" s="3174"/>
      <c r="P76" s="3174"/>
      <c r="Q76" s="3174"/>
      <c r="R76" s="3173"/>
      <c r="S76" s="3174"/>
      <c r="T76" s="3174"/>
      <c r="U76" s="3174"/>
      <c r="V76" s="3174"/>
      <c r="W76" s="3173"/>
      <c r="X76" s="3174"/>
      <c r="Y76" s="3174"/>
      <c r="Z76" s="3174"/>
      <c r="AA76" s="3174"/>
      <c r="AB76" s="4488"/>
      <c r="AC76" s="4493">
        <f t="shared" si="92"/>
        <v>0</v>
      </c>
      <c r="AD76" s="4493">
        <f t="shared" si="68"/>
        <v>0</v>
      </c>
      <c r="AE76" s="4493">
        <f t="shared" si="69"/>
        <v>0</v>
      </c>
      <c r="AF76" s="4493">
        <f t="shared" si="70"/>
        <v>0</v>
      </c>
      <c r="AG76" s="4493">
        <f t="shared" si="71"/>
        <v>0</v>
      </c>
      <c r="AH76" s="4493">
        <f t="shared" si="72"/>
        <v>0</v>
      </c>
      <c r="AI76" s="4493">
        <f t="shared" si="73"/>
        <v>0</v>
      </c>
      <c r="AJ76" s="4493">
        <f t="shared" si="74"/>
        <v>0</v>
      </c>
      <c r="AK76" s="4493">
        <f t="shared" si="75"/>
        <v>0</v>
      </c>
      <c r="AL76" s="4493">
        <f t="shared" si="76"/>
        <v>0</v>
      </c>
      <c r="AM76" s="4493">
        <f t="shared" si="77"/>
        <v>0</v>
      </c>
      <c r="AN76" s="4493">
        <f t="shared" si="78"/>
        <v>0</v>
      </c>
      <c r="AO76" s="4493">
        <f t="shared" si="79"/>
        <v>0</v>
      </c>
      <c r="AP76" s="4493">
        <f t="shared" si="80"/>
        <v>0</v>
      </c>
      <c r="AQ76" s="4493">
        <f t="shared" si="81"/>
        <v>0</v>
      </c>
      <c r="AR76" s="4493">
        <f t="shared" si="82"/>
        <v>0</v>
      </c>
      <c r="AS76" s="4493">
        <f t="shared" si="83"/>
        <v>0</v>
      </c>
      <c r="AT76" s="4493">
        <f t="shared" si="84"/>
        <v>0</v>
      </c>
      <c r="AU76" s="4493">
        <f t="shared" si="85"/>
        <v>0</v>
      </c>
      <c r="AV76" s="4493">
        <f t="shared" si="86"/>
        <v>0</v>
      </c>
      <c r="AW76" s="4493">
        <f t="shared" si="87"/>
        <v>0</v>
      </c>
      <c r="AX76" s="4493">
        <f t="shared" si="88"/>
        <v>0</v>
      </c>
      <c r="AY76" s="4493">
        <f t="shared" si="89"/>
        <v>0</v>
      </c>
      <c r="AZ76" s="4493">
        <f t="shared" si="90"/>
        <v>0</v>
      </c>
      <c r="BA76" s="4493">
        <f t="shared" si="91"/>
        <v>0</v>
      </c>
    </row>
    <row r="77" spans="1:53" ht="12.75" customHeight="1" thickBot="1">
      <c r="A77" s="5487" t="s">
        <v>1458</v>
      </c>
      <c r="B77" s="5488"/>
      <c r="C77" s="3173"/>
      <c r="D77" s="3174"/>
      <c r="E77" s="3174"/>
      <c r="F77" s="3174"/>
      <c r="G77" s="3174"/>
      <c r="H77" s="3173"/>
      <c r="I77" s="3174"/>
      <c r="J77" s="3174"/>
      <c r="K77" s="3174"/>
      <c r="L77" s="3174"/>
      <c r="M77" s="3173"/>
      <c r="N77" s="3174"/>
      <c r="O77" s="3174"/>
      <c r="P77" s="3174"/>
      <c r="Q77" s="3174"/>
      <c r="R77" s="3173"/>
      <c r="S77" s="3174"/>
      <c r="T77" s="3174"/>
      <c r="U77" s="3174"/>
      <c r="V77" s="3174"/>
      <c r="W77" s="3173"/>
      <c r="X77" s="3174"/>
      <c r="Y77" s="3174"/>
      <c r="Z77" s="3174"/>
      <c r="AA77" s="3174"/>
      <c r="AB77" s="4488"/>
      <c r="AC77" s="4493">
        <f t="shared" si="92"/>
        <v>0</v>
      </c>
      <c r="AD77" s="4493">
        <f t="shared" si="68"/>
        <v>0</v>
      </c>
      <c r="AE77" s="4493">
        <f t="shared" si="69"/>
        <v>0</v>
      </c>
      <c r="AF77" s="4493">
        <f t="shared" si="70"/>
        <v>0</v>
      </c>
      <c r="AG77" s="4493">
        <f t="shared" si="71"/>
        <v>0</v>
      </c>
      <c r="AH77" s="4493">
        <f t="shared" si="72"/>
        <v>0</v>
      </c>
      <c r="AI77" s="4493">
        <f t="shared" si="73"/>
        <v>0</v>
      </c>
      <c r="AJ77" s="4493">
        <f t="shared" si="74"/>
        <v>0</v>
      </c>
      <c r="AK77" s="4493">
        <f t="shared" si="75"/>
        <v>0</v>
      </c>
      <c r="AL77" s="4493">
        <f t="shared" si="76"/>
        <v>0</v>
      </c>
      <c r="AM77" s="4493">
        <f t="shared" si="77"/>
        <v>0</v>
      </c>
      <c r="AN77" s="4493">
        <f t="shared" si="78"/>
        <v>0</v>
      </c>
      <c r="AO77" s="4493">
        <f t="shared" si="79"/>
        <v>0</v>
      </c>
      <c r="AP77" s="4493">
        <f t="shared" si="80"/>
        <v>0</v>
      </c>
      <c r="AQ77" s="4493">
        <f t="shared" si="81"/>
        <v>0</v>
      </c>
      <c r="AR77" s="4493">
        <f t="shared" si="82"/>
        <v>0</v>
      </c>
      <c r="AS77" s="4493">
        <f t="shared" si="83"/>
        <v>0</v>
      </c>
      <c r="AT77" s="4493">
        <f t="shared" si="84"/>
        <v>0</v>
      </c>
      <c r="AU77" s="4493">
        <f t="shared" si="85"/>
        <v>0</v>
      </c>
      <c r="AV77" s="4493">
        <f t="shared" si="86"/>
        <v>0</v>
      </c>
      <c r="AW77" s="4493">
        <f t="shared" si="87"/>
        <v>0</v>
      </c>
      <c r="AX77" s="4493">
        <f t="shared" si="88"/>
        <v>0</v>
      </c>
      <c r="AY77" s="4493">
        <f t="shared" si="89"/>
        <v>0</v>
      </c>
      <c r="AZ77" s="4493">
        <f t="shared" si="90"/>
        <v>0</v>
      </c>
      <c r="BA77" s="4493">
        <f t="shared" si="91"/>
        <v>0</v>
      </c>
    </row>
    <row r="78" spans="1:53" ht="13.5" customHeight="1" thickBot="1">
      <c r="A78" s="5505" t="s">
        <v>1459</v>
      </c>
      <c r="B78" s="5506"/>
      <c r="C78" s="3177"/>
      <c r="D78" s="3178"/>
      <c r="E78" s="3178"/>
      <c r="F78" s="3178"/>
      <c r="G78" s="3178"/>
      <c r="H78" s="3177"/>
      <c r="I78" s="3178"/>
      <c r="J78" s="3178"/>
      <c r="K78" s="3178"/>
      <c r="L78" s="3178"/>
      <c r="M78" s="3177"/>
      <c r="N78" s="3178"/>
      <c r="O78" s="3178"/>
      <c r="P78" s="3178"/>
      <c r="Q78" s="3178"/>
      <c r="R78" s="3177"/>
      <c r="S78" s="3178"/>
      <c r="T78" s="3178"/>
      <c r="U78" s="3178"/>
      <c r="V78" s="3178"/>
      <c r="W78" s="3177"/>
      <c r="X78" s="3178"/>
      <c r="Y78" s="3178"/>
      <c r="Z78" s="3178"/>
      <c r="AA78" s="3178"/>
      <c r="AB78" s="4488"/>
      <c r="AC78" s="4493">
        <f t="shared" si="92"/>
        <v>0</v>
      </c>
      <c r="AD78" s="4493">
        <f t="shared" si="68"/>
        <v>0</v>
      </c>
      <c r="AE78" s="4493">
        <f t="shared" si="69"/>
        <v>0</v>
      </c>
      <c r="AF78" s="4493">
        <f t="shared" si="70"/>
        <v>0</v>
      </c>
      <c r="AG78" s="4493">
        <f t="shared" si="71"/>
        <v>0</v>
      </c>
      <c r="AH78" s="4493">
        <f t="shared" si="72"/>
        <v>0</v>
      </c>
      <c r="AI78" s="4493">
        <f t="shared" si="73"/>
        <v>0</v>
      </c>
      <c r="AJ78" s="4493">
        <f t="shared" si="74"/>
        <v>0</v>
      </c>
      <c r="AK78" s="4493">
        <f t="shared" si="75"/>
        <v>0</v>
      </c>
      <c r="AL78" s="4493">
        <f t="shared" si="76"/>
        <v>0</v>
      </c>
      <c r="AM78" s="4493">
        <f t="shared" si="77"/>
        <v>0</v>
      </c>
      <c r="AN78" s="4493">
        <f t="shared" si="78"/>
        <v>0</v>
      </c>
      <c r="AO78" s="4493">
        <f t="shared" si="79"/>
        <v>0</v>
      </c>
      <c r="AP78" s="4493">
        <f t="shared" si="80"/>
        <v>0</v>
      </c>
      <c r="AQ78" s="4493">
        <f t="shared" si="81"/>
        <v>0</v>
      </c>
      <c r="AR78" s="4493">
        <f t="shared" si="82"/>
        <v>0</v>
      </c>
      <c r="AS78" s="4493">
        <f t="shared" si="83"/>
        <v>0</v>
      </c>
      <c r="AT78" s="4493">
        <f t="shared" si="84"/>
        <v>0</v>
      </c>
      <c r="AU78" s="4493">
        <f t="shared" si="85"/>
        <v>0</v>
      </c>
      <c r="AV78" s="4493">
        <f t="shared" si="86"/>
        <v>0</v>
      </c>
      <c r="AW78" s="4493">
        <f t="shared" si="87"/>
        <v>0</v>
      </c>
      <c r="AX78" s="4493">
        <f t="shared" si="88"/>
        <v>0</v>
      </c>
      <c r="AY78" s="4493">
        <f t="shared" si="89"/>
        <v>0</v>
      </c>
      <c r="AZ78" s="4493">
        <f t="shared" si="90"/>
        <v>0</v>
      </c>
      <c r="BA78" s="4493">
        <f t="shared" si="91"/>
        <v>0</v>
      </c>
    </row>
    <row r="79" spans="1:53" ht="23.25" customHeight="1" thickBot="1">
      <c r="A79" s="5471" t="s">
        <v>1174</v>
      </c>
      <c r="B79" s="5472"/>
      <c r="C79" s="5493">
        <v>6</v>
      </c>
      <c r="D79" s="5494"/>
      <c r="E79" s="5494"/>
      <c r="F79" s="5494"/>
      <c r="G79" s="5494"/>
      <c r="H79" s="5493">
        <f>C79+1</f>
        <v>7</v>
      </c>
      <c r="I79" s="5494"/>
      <c r="J79" s="5494"/>
      <c r="K79" s="5494"/>
      <c r="L79" s="5494"/>
      <c r="M79" s="5493">
        <f>H79+1</f>
        <v>8</v>
      </c>
      <c r="N79" s="5494"/>
      <c r="O79" s="5494"/>
      <c r="P79" s="5494"/>
      <c r="Q79" s="5494"/>
      <c r="R79" s="5493">
        <f>M79+1</f>
        <v>9</v>
      </c>
      <c r="S79" s="5494"/>
      <c r="T79" s="5494"/>
      <c r="U79" s="5494"/>
      <c r="V79" s="5494"/>
      <c r="W79" s="5493">
        <f>R79+1</f>
        <v>10</v>
      </c>
      <c r="X79" s="5494"/>
      <c r="Y79" s="5494"/>
      <c r="Z79" s="5494"/>
      <c r="AA79" s="5494"/>
      <c r="AB79" s="4488"/>
      <c r="AC79" s="5338">
        <f>+C79</f>
        <v>6</v>
      </c>
      <c r="AD79" s="5338"/>
      <c r="AE79" s="5338"/>
      <c r="AF79" s="5338"/>
      <c r="AG79" s="5338"/>
      <c r="AH79" s="5338">
        <f>+H79</f>
        <v>7</v>
      </c>
      <c r="AI79" s="5338"/>
      <c r="AJ79" s="5338"/>
      <c r="AK79" s="5338"/>
      <c r="AL79" s="5338"/>
      <c r="AM79" s="5338">
        <f>+M79</f>
        <v>8</v>
      </c>
      <c r="AN79" s="5338"/>
      <c r="AO79" s="5338"/>
      <c r="AP79" s="5338"/>
      <c r="AQ79" s="5338"/>
      <c r="AR79" s="5338">
        <f>+R79</f>
        <v>9</v>
      </c>
      <c r="AS79" s="5338"/>
      <c r="AT79" s="5338"/>
      <c r="AU79" s="5338"/>
      <c r="AV79" s="5338"/>
      <c r="AW79" s="5338">
        <f>+W79</f>
        <v>10</v>
      </c>
      <c r="AX79" s="5338"/>
      <c r="AY79" s="5338"/>
      <c r="AZ79" s="5338"/>
      <c r="BA79" s="5338"/>
    </row>
    <row r="80" spans="1:53" ht="12.75" customHeight="1" thickBot="1">
      <c r="A80" s="5473" t="s">
        <v>1296</v>
      </c>
      <c r="B80" s="3167" t="s">
        <v>1445</v>
      </c>
      <c r="C80" s="5474"/>
      <c r="D80" s="5475"/>
      <c r="E80" s="5475"/>
      <c r="F80" s="5475"/>
      <c r="G80" s="5475"/>
      <c r="H80" s="5474"/>
      <c r="I80" s="5475"/>
      <c r="J80" s="5475"/>
      <c r="K80" s="5475"/>
      <c r="L80" s="5475"/>
      <c r="M80" s="5474"/>
      <c r="N80" s="5475"/>
      <c r="O80" s="5475"/>
      <c r="P80" s="5475"/>
      <c r="Q80" s="5475"/>
      <c r="R80" s="5474"/>
      <c r="S80" s="5475"/>
      <c r="T80" s="5475"/>
      <c r="U80" s="5475"/>
      <c r="V80" s="5475"/>
      <c r="W80" s="5474"/>
      <c r="X80" s="5475"/>
      <c r="Y80" s="5475"/>
      <c r="Z80" s="5475"/>
      <c r="AA80" s="5475"/>
      <c r="AB80" s="4488"/>
      <c r="AC80" s="5467" t="str">
        <f>IF(C80=0,"",C80)</f>
        <v/>
      </c>
      <c r="AD80" s="5467"/>
      <c r="AE80" s="5467"/>
      <c r="AF80" s="5467"/>
      <c r="AG80" s="5467"/>
      <c r="AH80" s="5467" t="str">
        <f>IF(H80=0,"",H80)</f>
        <v/>
      </c>
      <c r="AI80" s="5467"/>
      <c r="AJ80" s="5467"/>
      <c r="AK80" s="5467"/>
      <c r="AL80" s="5467"/>
      <c r="AM80" s="5467" t="str">
        <f>IF(M80=0,"",M80)</f>
        <v/>
      </c>
      <c r="AN80" s="5467"/>
      <c r="AO80" s="5467"/>
      <c r="AP80" s="5467"/>
      <c r="AQ80" s="5467"/>
      <c r="AR80" s="5467" t="str">
        <f>IF(R80=0,"",R80)</f>
        <v/>
      </c>
      <c r="AS80" s="5467"/>
      <c r="AT80" s="5467"/>
      <c r="AU80" s="5467"/>
      <c r="AV80" s="5467"/>
      <c r="AW80" s="5467" t="str">
        <f>IF(W80=0,"",W80)</f>
        <v/>
      </c>
      <c r="AX80" s="5467"/>
      <c r="AY80" s="5467"/>
      <c r="AZ80" s="5467"/>
      <c r="BA80" s="5467"/>
    </row>
    <row r="81" spans="1:53" ht="13.8" thickBot="1">
      <c r="A81" s="5473"/>
      <c r="B81" s="3167" t="s">
        <v>1297</v>
      </c>
      <c r="C81" s="5474"/>
      <c r="D81" s="5475"/>
      <c r="E81" s="5475"/>
      <c r="F81" s="5475"/>
      <c r="G81" s="5475"/>
      <c r="H81" s="5474"/>
      <c r="I81" s="5475"/>
      <c r="J81" s="5475"/>
      <c r="K81" s="5475"/>
      <c r="L81" s="5475"/>
      <c r="M81" s="5474"/>
      <c r="N81" s="5475"/>
      <c r="O81" s="5475"/>
      <c r="P81" s="5475"/>
      <c r="Q81" s="5475"/>
      <c r="R81" s="5474"/>
      <c r="S81" s="5475"/>
      <c r="T81" s="5475"/>
      <c r="U81" s="5475"/>
      <c r="V81" s="5475"/>
      <c r="W81" s="5474"/>
      <c r="X81" s="5475"/>
      <c r="Y81" s="5475"/>
      <c r="Z81" s="5475"/>
      <c r="AA81" s="5475"/>
      <c r="AB81" s="4488"/>
      <c r="AC81" s="5467" t="str">
        <f t="shared" ref="AC81:AC85" si="93">IF(C81=0,"",C81)</f>
        <v/>
      </c>
      <c r="AD81" s="5467"/>
      <c r="AE81" s="5467"/>
      <c r="AF81" s="5467"/>
      <c r="AG81" s="5467"/>
      <c r="AH81" s="5467" t="str">
        <f t="shared" ref="AH81:AH85" si="94">IF(H81=0,"",H81)</f>
        <v/>
      </c>
      <c r="AI81" s="5467"/>
      <c r="AJ81" s="5467"/>
      <c r="AK81" s="5467"/>
      <c r="AL81" s="5467"/>
      <c r="AM81" s="5467" t="str">
        <f t="shared" ref="AM81:AM85" si="95">IF(M81=0,"",M81)</f>
        <v/>
      </c>
      <c r="AN81" s="5467"/>
      <c r="AO81" s="5467"/>
      <c r="AP81" s="5467"/>
      <c r="AQ81" s="5467"/>
      <c r="AR81" s="5467" t="str">
        <f t="shared" ref="AR81:AR85" si="96">IF(R81=0,"",R81)</f>
        <v/>
      </c>
      <c r="AS81" s="5467"/>
      <c r="AT81" s="5467"/>
      <c r="AU81" s="5467"/>
      <c r="AV81" s="5467"/>
      <c r="AW81" s="5467" t="str">
        <f t="shared" ref="AW81:AW85" si="97">IF(W81=0,"",W81)</f>
        <v/>
      </c>
      <c r="AX81" s="5467"/>
      <c r="AY81" s="5467"/>
      <c r="AZ81" s="5467"/>
      <c r="BA81" s="5467"/>
    </row>
    <row r="82" spans="1:53" ht="12.75" customHeight="1" thickBot="1">
      <c r="A82" s="5489" t="s">
        <v>1298</v>
      </c>
      <c r="B82" s="3168" t="s">
        <v>1299</v>
      </c>
      <c r="C82" s="5474"/>
      <c r="D82" s="5475"/>
      <c r="E82" s="5475"/>
      <c r="F82" s="5475"/>
      <c r="G82" s="5475"/>
      <c r="H82" s="5474"/>
      <c r="I82" s="5475"/>
      <c r="J82" s="5475"/>
      <c r="K82" s="5475"/>
      <c r="L82" s="5475"/>
      <c r="M82" s="5474"/>
      <c r="N82" s="5475"/>
      <c r="O82" s="5475"/>
      <c r="P82" s="5475"/>
      <c r="Q82" s="5475"/>
      <c r="R82" s="5474"/>
      <c r="S82" s="5475"/>
      <c r="T82" s="5475"/>
      <c r="U82" s="5475"/>
      <c r="V82" s="5475"/>
      <c r="W82" s="5474"/>
      <c r="X82" s="5475"/>
      <c r="Y82" s="5475"/>
      <c r="Z82" s="5475"/>
      <c r="AA82" s="5475"/>
      <c r="AB82" s="4488"/>
      <c r="AC82" s="5467" t="str">
        <f t="shared" si="93"/>
        <v/>
      </c>
      <c r="AD82" s="5467"/>
      <c r="AE82" s="5467"/>
      <c r="AF82" s="5467"/>
      <c r="AG82" s="5467"/>
      <c r="AH82" s="5467" t="str">
        <f t="shared" si="94"/>
        <v/>
      </c>
      <c r="AI82" s="5467"/>
      <c r="AJ82" s="5467"/>
      <c r="AK82" s="5467"/>
      <c r="AL82" s="5467"/>
      <c r="AM82" s="5467" t="str">
        <f t="shared" si="95"/>
        <v/>
      </c>
      <c r="AN82" s="5467"/>
      <c r="AO82" s="5467"/>
      <c r="AP82" s="5467"/>
      <c r="AQ82" s="5467"/>
      <c r="AR82" s="5467" t="str">
        <f t="shared" si="96"/>
        <v/>
      </c>
      <c r="AS82" s="5467"/>
      <c r="AT82" s="5467"/>
      <c r="AU82" s="5467"/>
      <c r="AV82" s="5467"/>
      <c r="AW82" s="5467" t="str">
        <f t="shared" si="97"/>
        <v/>
      </c>
      <c r="AX82" s="5467"/>
      <c r="AY82" s="5467"/>
      <c r="AZ82" s="5467"/>
      <c r="BA82" s="5467"/>
    </row>
    <row r="83" spans="1:53" ht="13.8" thickBot="1">
      <c r="A83" s="5490"/>
      <c r="B83" s="3167" t="s">
        <v>1300</v>
      </c>
      <c r="C83" s="5474"/>
      <c r="D83" s="5475"/>
      <c r="E83" s="5475"/>
      <c r="F83" s="5475"/>
      <c r="G83" s="5475"/>
      <c r="H83" s="5474"/>
      <c r="I83" s="5475"/>
      <c r="J83" s="5475"/>
      <c r="K83" s="5475"/>
      <c r="L83" s="5475"/>
      <c r="M83" s="5474"/>
      <c r="N83" s="5475"/>
      <c r="O83" s="5475"/>
      <c r="P83" s="5475"/>
      <c r="Q83" s="5475"/>
      <c r="R83" s="5474"/>
      <c r="S83" s="5475"/>
      <c r="T83" s="5475"/>
      <c r="U83" s="5475"/>
      <c r="V83" s="5475"/>
      <c r="W83" s="5474"/>
      <c r="X83" s="5475"/>
      <c r="Y83" s="5475"/>
      <c r="Z83" s="5475"/>
      <c r="AA83" s="5475"/>
      <c r="AB83" s="4488"/>
      <c r="AC83" s="5467" t="str">
        <f t="shared" si="93"/>
        <v/>
      </c>
      <c r="AD83" s="5467"/>
      <c r="AE83" s="5467"/>
      <c r="AF83" s="5467"/>
      <c r="AG83" s="5467"/>
      <c r="AH83" s="5467" t="str">
        <f t="shared" si="94"/>
        <v/>
      </c>
      <c r="AI83" s="5467"/>
      <c r="AJ83" s="5467"/>
      <c r="AK83" s="5467"/>
      <c r="AL83" s="5467"/>
      <c r="AM83" s="5467" t="str">
        <f t="shared" si="95"/>
        <v/>
      </c>
      <c r="AN83" s="5467"/>
      <c r="AO83" s="5467"/>
      <c r="AP83" s="5467"/>
      <c r="AQ83" s="5467"/>
      <c r="AR83" s="5467" t="str">
        <f t="shared" si="96"/>
        <v/>
      </c>
      <c r="AS83" s="5467"/>
      <c r="AT83" s="5467"/>
      <c r="AU83" s="5467"/>
      <c r="AV83" s="5467"/>
      <c r="AW83" s="5467" t="str">
        <f t="shared" si="97"/>
        <v/>
      </c>
      <c r="AX83" s="5467"/>
      <c r="AY83" s="5467"/>
      <c r="AZ83" s="5467"/>
      <c r="BA83" s="5467"/>
    </row>
    <row r="84" spans="1:53" ht="27" thickBot="1">
      <c r="A84" s="3817" t="s">
        <v>1301</v>
      </c>
      <c r="B84" s="3167" t="s">
        <v>1302</v>
      </c>
      <c r="C84" s="5474"/>
      <c r="D84" s="5475"/>
      <c r="E84" s="5475"/>
      <c r="F84" s="5475"/>
      <c r="G84" s="5475"/>
      <c r="H84" s="5474"/>
      <c r="I84" s="5475"/>
      <c r="J84" s="5475"/>
      <c r="K84" s="5475"/>
      <c r="L84" s="5475"/>
      <c r="M84" s="5474"/>
      <c r="N84" s="5475"/>
      <c r="O84" s="5475"/>
      <c r="P84" s="5475"/>
      <c r="Q84" s="5475"/>
      <c r="R84" s="5474"/>
      <c r="S84" s="5475"/>
      <c r="T84" s="5475"/>
      <c r="U84" s="5475"/>
      <c r="V84" s="5475"/>
      <c r="W84" s="5474"/>
      <c r="X84" s="5475"/>
      <c r="Y84" s="5475"/>
      <c r="Z84" s="5475"/>
      <c r="AA84" s="5475"/>
      <c r="AB84" s="4488"/>
      <c r="AC84" s="5467" t="str">
        <f t="shared" si="93"/>
        <v/>
      </c>
      <c r="AD84" s="5467"/>
      <c r="AE84" s="5467"/>
      <c r="AF84" s="5467"/>
      <c r="AG84" s="5467"/>
      <c r="AH84" s="5467" t="str">
        <f t="shared" si="94"/>
        <v/>
      </c>
      <c r="AI84" s="5467"/>
      <c r="AJ84" s="5467"/>
      <c r="AK84" s="5467"/>
      <c r="AL84" s="5467"/>
      <c r="AM84" s="5467" t="str">
        <f t="shared" si="95"/>
        <v/>
      </c>
      <c r="AN84" s="5467"/>
      <c r="AO84" s="5467"/>
      <c r="AP84" s="5467"/>
      <c r="AQ84" s="5467"/>
      <c r="AR84" s="5467" t="str">
        <f t="shared" si="96"/>
        <v/>
      </c>
      <c r="AS84" s="5467"/>
      <c r="AT84" s="5467"/>
      <c r="AU84" s="5467"/>
      <c r="AV84" s="5467"/>
      <c r="AW84" s="5467" t="str">
        <f t="shared" si="97"/>
        <v/>
      </c>
      <c r="AX84" s="5467"/>
      <c r="AY84" s="5467"/>
      <c r="AZ84" s="5467"/>
      <c r="BA84" s="5467"/>
    </row>
    <row r="85" spans="1:53" ht="27" thickBot="1">
      <c r="A85" s="3169" t="s">
        <v>1303</v>
      </c>
      <c r="B85" s="3170" t="s">
        <v>1304</v>
      </c>
      <c r="C85" s="5485"/>
      <c r="D85" s="5486"/>
      <c r="E85" s="5486"/>
      <c r="F85" s="5486"/>
      <c r="G85" s="5486"/>
      <c r="H85" s="5485"/>
      <c r="I85" s="5486"/>
      <c r="J85" s="5486"/>
      <c r="K85" s="5486"/>
      <c r="L85" s="5486"/>
      <c r="M85" s="5485"/>
      <c r="N85" s="5486"/>
      <c r="O85" s="5486"/>
      <c r="P85" s="5486"/>
      <c r="Q85" s="5486"/>
      <c r="R85" s="5485"/>
      <c r="S85" s="5486"/>
      <c r="T85" s="5486"/>
      <c r="U85" s="5486"/>
      <c r="V85" s="5486"/>
      <c r="W85" s="5485"/>
      <c r="X85" s="5486"/>
      <c r="Y85" s="5486"/>
      <c r="Z85" s="5486"/>
      <c r="AA85" s="5486"/>
      <c r="AB85" s="4488"/>
      <c r="AC85" s="5467" t="str">
        <f t="shared" si="93"/>
        <v/>
      </c>
      <c r="AD85" s="5467"/>
      <c r="AE85" s="5467"/>
      <c r="AF85" s="5467"/>
      <c r="AG85" s="5467"/>
      <c r="AH85" s="5467" t="str">
        <f t="shared" si="94"/>
        <v/>
      </c>
      <c r="AI85" s="5467"/>
      <c r="AJ85" s="5467"/>
      <c r="AK85" s="5467"/>
      <c r="AL85" s="5467"/>
      <c r="AM85" s="5467" t="str">
        <f t="shared" si="95"/>
        <v/>
      </c>
      <c r="AN85" s="5467"/>
      <c r="AO85" s="5467"/>
      <c r="AP85" s="5467"/>
      <c r="AQ85" s="5467"/>
      <c r="AR85" s="5467" t="str">
        <f t="shared" si="96"/>
        <v/>
      </c>
      <c r="AS85" s="5467"/>
      <c r="AT85" s="5467"/>
      <c r="AU85" s="5467"/>
      <c r="AV85" s="5467"/>
      <c r="AW85" s="5467" t="str">
        <f t="shared" si="97"/>
        <v/>
      </c>
      <c r="AX85" s="5467"/>
      <c r="AY85" s="5467"/>
      <c r="AZ85" s="5467"/>
      <c r="BA85" s="5467"/>
    </row>
    <row r="86" spans="1:53" ht="13.8" thickBot="1">
      <c r="A86" s="5491" t="s">
        <v>1460</v>
      </c>
      <c r="B86" s="5492"/>
      <c r="C86" s="4274" t="str">
        <f>'Приложение '!$C$14</f>
        <v>2027 г.</v>
      </c>
      <c r="D86" s="4275" t="str">
        <f>'Приложение '!$C$15</f>
        <v>2028 г.</v>
      </c>
      <c r="E86" s="4275" t="str">
        <f>'Приложение '!$C$16</f>
        <v>2029 г.</v>
      </c>
      <c r="F86" s="4275" t="str">
        <f>'Приложение '!$C$17</f>
        <v>2030 г.</v>
      </c>
      <c r="G86" s="4275" t="str">
        <f>'Приложение '!$C$18</f>
        <v>2031 г.</v>
      </c>
      <c r="H86" s="4274" t="str">
        <f>'Приложение '!$C$14</f>
        <v>2027 г.</v>
      </c>
      <c r="I86" s="4275" t="str">
        <f>'Приложение '!$C$15</f>
        <v>2028 г.</v>
      </c>
      <c r="J86" s="4275" t="str">
        <f>'Приложение '!$C$16</f>
        <v>2029 г.</v>
      </c>
      <c r="K86" s="4275" t="str">
        <f>'Приложение '!$C$17</f>
        <v>2030 г.</v>
      </c>
      <c r="L86" s="4275" t="str">
        <f>'Приложение '!$C$18</f>
        <v>2031 г.</v>
      </c>
      <c r="M86" s="4274" t="str">
        <f>'Приложение '!$C$14</f>
        <v>2027 г.</v>
      </c>
      <c r="N86" s="4275" t="str">
        <f>'Приложение '!$C$15</f>
        <v>2028 г.</v>
      </c>
      <c r="O86" s="4275" t="str">
        <f>'Приложение '!$C$16</f>
        <v>2029 г.</v>
      </c>
      <c r="P86" s="4275" t="str">
        <f>'Приложение '!$C$17</f>
        <v>2030 г.</v>
      </c>
      <c r="Q86" s="4275" t="str">
        <f>'Приложение '!$C$18</f>
        <v>2031 г.</v>
      </c>
      <c r="R86" s="4274" t="str">
        <f>'Приложение '!$C$14</f>
        <v>2027 г.</v>
      </c>
      <c r="S86" s="4275" t="str">
        <f>'Приложение '!$C$15</f>
        <v>2028 г.</v>
      </c>
      <c r="T86" s="4275" t="str">
        <f>'Приложение '!$C$16</f>
        <v>2029 г.</v>
      </c>
      <c r="U86" s="4275" t="str">
        <f>'Приложение '!$C$17</f>
        <v>2030 г.</v>
      </c>
      <c r="V86" s="4275" t="str">
        <f>'Приложение '!$C$18</f>
        <v>2031 г.</v>
      </c>
      <c r="W86" s="4274" t="str">
        <f>'Приложение '!$C$14</f>
        <v>2027 г.</v>
      </c>
      <c r="X86" s="4275" t="str">
        <f>'Приложение '!$C$15</f>
        <v>2028 г.</v>
      </c>
      <c r="Y86" s="4275" t="str">
        <f>'Приложение '!$C$16</f>
        <v>2029 г.</v>
      </c>
      <c r="Z86" s="4275" t="str">
        <f>'Приложение '!$C$17</f>
        <v>2030 г.</v>
      </c>
      <c r="AA86" s="4275" t="str">
        <f>'Приложение '!$C$18</f>
        <v>2031 г.</v>
      </c>
      <c r="AB86" s="4488"/>
      <c r="AC86" s="4535" t="str">
        <f>'Приложение '!$C$14</f>
        <v>2027 г.</v>
      </c>
      <c r="AD86" s="4535" t="str">
        <f>'Приложение '!$C$15</f>
        <v>2028 г.</v>
      </c>
      <c r="AE86" s="4535" t="str">
        <f>'Приложение '!$C$16</f>
        <v>2029 г.</v>
      </c>
      <c r="AF86" s="4535" t="str">
        <f>'Приложение '!$C$17</f>
        <v>2030 г.</v>
      </c>
      <c r="AG86" s="4535" t="str">
        <f>'Приложение '!$C$18</f>
        <v>2031 г.</v>
      </c>
      <c r="AH86" s="4535" t="str">
        <f>'Приложение '!$C$14</f>
        <v>2027 г.</v>
      </c>
      <c r="AI86" s="4535" t="str">
        <f>'Приложение '!$C$15</f>
        <v>2028 г.</v>
      </c>
      <c r="AJ86" s="4535" t="str">
        <f>'Приложение '!$C$16</f>
        <v>2029 г.</v>
      </c>
      <c r="AK86" s="4535" t="str">
        <f>'Приложение '!$C$17</f>
        <v>2030 г.</v>
      </c>
      <c r="AL86" s="4535" t="str">
        <f>'Приложение '!$C$18</f>
        <v>2031 г.</v>
      </c>
      <c r="AM86" s="4535" t="str">
        <f>'Приложение '!$C$14</f>
        <v>2027 г.</v>
      </c>
      <c r="AN86" s="4535" t="str">
        <f>'Приложение '!$C$15</f>
        <v>2028 г.</v>
      </c>
      <c r="AO86" s="4535" t="str">
        <f>'Приложение '!$C$16</f>
        <v>2029 г.</v>
      </c>
      <c r="AP86" s="4535" t="str">
        <f>'Приложение '!$C$17</f>
        <v>2030 г.</v>
      </c>
      <c r="AQ86" s="4535" t="str">
        <f>'Приложение '!$C$18</f>
        <v>2031 г.</v>
      </c>
      <c r="AR86" s="4535" t="str">
        <f>'Приложение '!$C$14</f>
        <v>2027 г.</v>
      </c>
      <c r="AS86" s="4535" t="str">
        <f>'Приложение '!$C$15</f>
        <v>2028 г.</v>
      </c>
      <c r="AT86" s="4535" t="str">
        <f>'Приложение '!$C$16</f>
        <v>2029 г.</v>
      </c>
      <c r="AU86" s="4535" t="str">
        <f>'Приложение '!$C$17</f>
        <v>2030 г.</v>
      </c>
      <c r="AV86" s="4535" t="str">
        <f>'Приложение '!$C$18</f>
        <v>2031 г.</v>
      </c>
      <c r="AW86" s="4535" t="str">
        <f>'Приложение '!$C$14</f>
        <v>2027 г.</v>
      </c>
      <c r="AX86" s="4535" t="str">
        <f>'Приложение '!$C$15</f>
        <v>2028 г.</v>
      </c>
      <c r="AY86" s="4535" t="str">
        <f>'Приложение '!$C$16</f>
        <v>2029 г.</v>
      </c>
      <c r="AZ86" s="4535" t="str">
        <f>'Приложение '!$C$17</f>
        <v>2030 г.</v>
      </c>
      <c r="BA86" s="4535" t="str">
        <f>'Приложение '!$C$18</f>
        <v>2031 г.</v>
      </c>
    </row>
    <row r="87" spans="1:53" ht="12.75" customHeight="1">
      <c r="A87" s="5480" t="s">
        <v>1446</v>
      </c>
      <c r="B87" s="5481"/>
      <c r="C87" s="3171"/>
      <c r="D87" s="3172"/>
      <c r="E87" s="3172"/>
      <c r="F87" s="3172"/>
      <c r="G87" s="3172"/>
      <c r="H87" s="3171"/>
      <c r="I87" s="3172"/>
      <c r="J87" s="3172"/>
      <c r="K87" s="3172"/>
      <c r="L87" s="3172"/>
      <c r="M87" s="3171"/>
      <c r="N87" s="3172"/>
      <c r="O87" s="3172"/>
      <c r="P87" s="3172"/>
      <c r="Q87" s="3172"/>
      <c r="R87" s="3171"/>
      <c r="S87" s="3172"/>
      <c r="T87" s="3172"/>
      <c r="U87" s="3172"/>
      <c r="V87" s="3172"/>
      <c r="W87" s="3171"/>
      <c r="X87" s="3172"/>
      <c r="Y87" s="3172"/>
      <c r="Z87" s="3172"/>
      <c r="AA87" s="3172"/>
      <c r="AB87" s="4488"/>
      <c r="AC87" s="4538"/>
      <c r="AD87" s="4538"/>
      <c r="AE87" s="4538"/>
      <c r="AF87" s="4538"/>
      <c r="AG87" s="4538"/>
      <c r="AH87" s="4538"/>
      <c r="AI87" s="4538"/>
      <c r="AJ87" s="4538"/>
      <c r="AK87" s="4538"/>
      <c r="AL87" s="4538"/>
      <c r="AM87" s="4538"/>
      <c r="AN87" s="4538"/>
      <c r="AO87" s="4538"/>
      <c r="AP87" s="4538"/>
      <c r="AQ87" s="4538"/>
      <c r="AR87" s="4538"/>
      <c r="AS87" s="4538"/>
      <c r="AT87" s="4538"/>
      <c r="AU87" s="4538"/>
      <c r="AV87" s="4538"/>
      <c r="AW87" s="4538"/>
      <c r="AX87" s="4538"/>
      <c r="AY87" s="4538"/>
      <c r="AZ87" s="4538"/>
      <c r="BA87" s="4538"/>
    </row>
    <row r="88" spans="1:53" ht="12.75" customHeight="1">
      <c r="A88" s="5495" t="s">
        <v>1447</v>
      </c>
      <c r="B88" s="5496"/>
      <c r="C88" s="3173"/>
      <c r="D88" s="3174"/>
      <c r="E88" s="3174"/>
      <c r="F88" s="3174"/>
      <c r="G88" s="3174"/>
      <c r="H88" s="3173"/>
      <c r="I88" s="3174"/>
      <c r="J88" s="3174"/>
      <c r="K88" s="3174"/>
      <c r="L88" s="3174"/>
      <c r="M88" s="3173"/>
      <c r="N88" s="3174"/>
      <c r="O88" s="3174"/>
      <c r="P88" s="3174"/>
      <c r="Q88" s="3174"/>
      <c r="R88" s="3173"/>
      <c r="S88" s="3174"/>
      <c r="T88" s="3174"/>
      <c r="U88" s="3174"/>
      <c r="V88" s="3174"/>
      <c r="W88" s="3173"/>
      <c r="X88" s="3174"/>
      <c r="Y88" s="3174"/>
      <c r="Z88" s="3174"/>
      <c r="AA88" s="3174"/>
      <c r="AB88" s="4488"/>
      <c r="AC88" s="4539"/>
      <c r="AD88" s="4539"/>
      <c r="AE88" s="4539"/>
      <c r="AF88" s="4539"/>
      <c r="AG88" s="4539"/>
      <c r="AH88" s="4539"/>
      <c r="AI88" s="4539"/>
      <c r="AJ88" s="4539"/>
      <c r="AK88" s="4539"/>
      <c r="AL88" s="4539"/>
      <c r="AM88" s="4539"/>
      <c r="AN88" s="4539"/>
      <c r="AO88" s="4539"/>
      <c r="AP88" s="4539"/>
      <c r="AQ88" s="4539"/>
      <c r="AR88" s="4539"/>
      <c r="AS88" s="4539"/>
      <c r="AT88" s="4539"/>
      <c r="AU88" s="4539"/>
      <c r="AV88" s="4539"/>
      <c r="AW88" s="4539"/>
      <c r="AX88" s="4539"/>
      <c r="AY88" s="4539"/>
      <c r="AZ88" s="4539"/>
      <c r="BA88" s="4539"/>
    </row>
    <row r="89" spans="1:53" ht="12.75" customHeight="1">
      <c r="A89" s="5497" t="s">
        <v>1448</v>
      </c>
      <c r="B89" s="5498"/>
      <c r="C89" s="3175"/>
      <c r="D89" s="3176"/>
      <c r="E89" s="3176"/>
      <c r="F89" s="3176"/>
      <c r="G89" s="3176"/>
      <c r="H89" s="3175"/>
      <c r="I89" s="3176"/>
      <c r="J89" s="3176"/>
      <c r="K89" s="3176"/>
      <c r="L89" s="3176"/>
      <c r="M89" s="3175"/>
      <c r="N89" s="3176"/>
      <c r="O89" s="3176"/>
      <c r="P89" s="3176"/>
      <c r="Q89" s="3176"/>
      <c r="R89" s="3175"/>
      <c r="S89" s="3176"/>
      <c r="T89" s="3176"/>
      <c r="U89" s="3176"/>
      <c r="V89" s="3176"/>
      <c r="W89" s="3175"/>
      <c r="X89" s="3176"/>
      <c r="Y89" s="3176"/>
      <c r="Z89" s="3176"/>
      <c r="AA89" s="3176"/>
      <c r="AB89" s="4488"/>
      <c r="AC89" s="4539"/>
      <c r="AD89" s="4539"/>
      <c r="AE89" s="4539"/>
      <c r="AF89" s="4539"/>
      <c r="AG89" s="4539"/>
      <c r="AH89" s="4539"/>
      <c r="AI89" s="4539"/>
      <c r="AJ89" s="4539"/>
      <c r="AK89" s="4539"/>
      <c r="AL89" s="4539"/>
      <c r="AM89" s="4539"/>
      <c r="AN89" s="4539"/>
      <c r="AO89" s="4539"/>
      <c r="AP89" s="4539"/>
      <c r="AQ89" s="4539"/>
      <c r="AR89" s="4539"/>
      <c r="AS89" s="4539"/>
      <c r="AT89" s="4539"/>
      <c r="AU89" s="4539"/>
      <c r="AV89" s="4539"/>
      <c r="AW89" s="4539"/>
      <c r="AX89" s="4539"/>
      <c r="AY89" s="4539"/>
      <c r="AZ89" s="4539"/>
      <c r="BA89" s="4539"/>
    </row>
    <row r="90" spans="1:53" ht="13.8" thickBot="1">
      <c r="A90" s="5507" t="s">
        <v>1449</v>
      </c>
      <c r="B90" s="5508"/>
      <c r="C90" s="3177"/>
      <c r="D90" s="3178"/>
      <c r="E90" s="3178"/>
      <c r="F90" s="3178"/>
      <c r="G90" s="3178"/>
      <c r="H90" s="3177"/>
      <c r="I90" s="3178"/>
      <c r="J90" s="3178"/>
      <c r="K90" s="3178"/>
      <c r="L90" s="3178"/>
      <c r="M90" s="3177"/>
      <c r="N90" s="3178"/>
      <c r="O90" s="3178"/>
      <c r="P90" s="3178"/>
      <c r="Q90" s="3178"/>
      <c r="R90" s="3177"/>
      <c r="S90" s="3178"/>
      <c r="T90" s="3178"/>
      <c r="U90" s="3178"/>
      <c r="V90" s="3178"/>
      <c r="W90" s="3177"/>
      <c r="X90" s="3178"/>
      <c r="Y90" s="3178"/>
      <c r="Z90" s="3178"/>
      <c r="AA90" s="3178"/>
      <c r="AB90" s="4488"/>
      <c r="AC90" s="4540"/>
      <c r="AD90" s="4540"/>
      <c r="AE90" s="4540"/>
      <c r="AF90" s="4540"/>
      <c r="AG90" s="4540"/>
      <c r="AH90" s="4540"/>
      <c r="AI90" s="4540"/>
      <c r="AJ90" s="4540"/>
      <c r="AK90" s="4540"/>
      <c r="AL90" s="4540"/>
      <c r="AM90" s="4540"/>
      <c r="AN90" s="4540"/>
      <c r="AO90" s="4540"/>
      <c r="AP90" s="4540"/>
      <c r="AQ90" s="4540"/>
      <c r="AR90" s="4540"/>
      <c r="AS90" s="4540"/>
      <c r="AT90" s="4540"/>
      <c r="AU90" s="4540"/>
      <c r="AV90" s="4540"/>
      <c r="AW90" s="4540"/>
      <c r="AX90" s="4540"/>
      <c r="AY90" s="4540"/>
      <c r="AZ90" s="4540"/>
      <c r="BA90" s="4540"/>
    </row>
    <row r="91" spans="1:53" s="2" customFormat="1" ht="25.5" customHeight="1" thickBot="1">
      <c r="A91" s="5499" t="s">
        <v>1451</v>
      </c>
      <c r="B91" s="5500"/>
      <c r="C91" s="3179">
        <f t="shared" ref="C91:AA91" si="98">SUM(C92,C97:C101)</f>
        <v>0</v>
      </c>
      <c r="D91" s="3180">
        <f t="shared" si="98"/>
        <v>0</v>
      </c>
      <c r="E91" s="3180">
        <f t="shared" si="98"/>
        <v>0</v>
      </c>
      <c r="F91" s="3180">
        <f t="shared" si="98"/>
        <v>0</v>
      </c>
      <c r="G91" s="3180">
        <f t="shared" si="98"/>
        <v>0</v>
      </c>
      <c r="H91" s="3179">
        <f t="shared" si="98"/>
        <v>0</v>
      </c>
      <c r="I91" s="3180">
        <f t="shared" si="98"/>
        <v>0</v>
      </c>
      <c r="J91" s="3180">
        <f t="shared" si="98"/>
        <v>0</v>
      </c>
      <c r="K91" s="3180">
        <f t="shared" si="98"/>
        <v>0</v>
      </c>
      <c r="L91" s="3180">
        <f t="shared" si="98"/>
        <v>0</v>
      </c>
      <c r="M91" s="3179">
        <f t="shared" si="98"/>
        <v>0</v>
      </c>
      <c r="N91" s="3180">
        <f t="shared" si="98"/>
        <v>0</v>
      </c>
      <c r="O91" s="3180">
        <f t="shared" si="98"/>
        <v>0</v>
      </c>
      <c r="P91" s="3180">
        <f t="shared" si="98"/>
        <v>0</v>
      </c>
      <c r="Q91" s="3180">
        <f t="shared" si="98"/>
        <v>0</v>
      </c>
      <c r="R91" s="3179">
        <f t="shared" si="98"/>
        <v>0</v>
      </c>
      <c r="S91" s="3180">
        <f t="shared" si="98"/>
        <v>0</v>
      </c>
      <c r="T91" s="3180">
        <f t="shared" si="98"/>
        <v>0</v>
      </c>
      <c r="U91" s="3180">
        <f t="shared" si="98"/>
        <v>0</v>
      </c>
      <c r="V91" s="3180">
        <f t="shared" si="98"/>
        <v>0</v>
      </c>
      <c r="W91" s="3179">
        <f t="shared" si="98"/>
        <v>0</v>
      </c>
      <c r="X91" s="3180">
        <f t="shared" si="98"/>
        <v>0</v>
      </c>
      <c r="Y91" s="3180">
        <f t="shared" si="98"/>
        <v>0</v>
      </c>
      <c r="Z91" s="3180">
        <f t="shared" si="98"/>
        <v>0</v>
      </c>
      <c r="AA91" s="3180">
        <f t="shared" si="98"/>
        <v>0</v>
      </c>
      <c r="AB91" s="4488"/>
      <c r="AC91" s="4536">
        <f>IFERROR(C91/$D$1,0)</f>
        <v>0</v>
      </c>
      <c r="AD91" s="4537">
        <f t="shared" ref="AD91:AD101" si="99">IFERROR(D91/$D$1,0)</f>
        <v>0</v>
      </c>
      <c r="AE91" s="4537">
        <f t="shared" ref="AE91:AE101" si="100">IFERROR(E91/$D$1,0)</f>
        <v>0</v>
      </c>
      <c r="AF91" s="4537">
        <f t="shared" ref="AF91:AF101" si="101">IFERROR(F91/$D$1,0)</f>
        <v>0</v>
      </c>
      <c r="AG91" s="4537">
        <f t="shared" ref="AG91:AG101" si="102">IFERROR(G91/$D$1,0)</f>
        <v>0</v>
      </c>
      <c r="AH91" s="4537">
        <f t="shared" ref="AH91:AH101" si="103">IFERROR(H91/$D$1,0)</f>
        <v>0</v>
      </c>
      <c r="AI91" s="4537">
        <f t="shared" ref="AI91:AI101" si="104">IFERROR(I91/$D$1,0)</f>
        <v>0</v>
      </c>
      <c r="AJ91" s="4537">
        <f t="shared" ref="AJ91:AJ101" si="105">IFERROR(J91/$D$1,0)</f>
        <v>0</v>
      </c>
      <c r="AK91" s="4537">
        <f t="shared" ref="AK91:AK101" si="106">IFERROR(K91/$D$1,0)</f>
        <v>0</v>
      </c>
      <c r="AL91" s="4537">
        <f t="shared" ref="AL91:AL101" si="107">IFERROR(L91/$D$1,0)</f>
        <v>0</v>
      </c>
      <c r="AM91" s="4537">
        <f t="shared" ref="AM91:AM101" si="108">IFERROR(M91/$D$1,0)</f>
        <v>0</v>
      </c>
      <c r="AN91" s="4537">
        <f t="shared" ref="AN91:AN101" si="109">IFERROR(N91/$D$1,0)</f>
        <v>0</v>
      </c>
      <c r="AO91" s="4537">
        <f t="shared" ref="AO91:AO101" si="110">IFERROR(O91/$D$1,0)</f>
        <v>0</v>
      </c>
      <c r="AP91" s="4537">
        <f t="shared" ref="AP91:AP101" si="111">IFERROR(P91/$D$1,0)</f>
        <v>0</v>
      </c>
      <c r="AQ91" s="4537">
        <f t="shared" ref="AQ91:AQ101" si="112">IFERROR(Q91/$D$1,0)</f>
        <v>0</v>
      </c>
      <c r="AR91" s="4537">
        <f t="shared" ref="AR91:AR101" si="113">IFERROR(R91/$D$1,0)</f>
        <v>0</v>
      </c>
      <c r="AS91" s="4537">
        <f t="shared" ref="AS91:AS101" si="114">IFERROR(S91/$D$1,0)</f>
        <v>0</v>
      </c>
      <c r="AT91" s="4537">
        <f t="shared" ref="AT91:AT101" si="115">IFERROR(T91/$D$1,0)</f>
        <v>0</v>
      </c>
      <c r="AU91" s="4537">
        <f t="shared" ref="AU91:AU101" si="116">IFERROR(U91/$D$1,0)</f>
        <v>0</v>
      </c>
      <c r="AV91" s="4537">
        <f t="shared" ref="AV91:AV101" si="117">IFERROR(V91/$D$1,0)</f>
        <v>0</v>
      </c>
      <c r="AW91" s="4537">
        <f t="shared" ref="AW91:AW101" si="118">IFERROR(W91/$D$1,0)</f>
        <v>0</v>
      </c>
      <c r="AX91" s="4537">
        <f t="shared" ref="AX91:AX101" si="119">IFERROR(X91/$D$1,0)</f>
        <v>0</v>
      </c>
      <c r="AY91" s="4537">
        <f t="shared" ref="AY91:AY101" si="120">IFERROR(Y91/$D$1,0)</f>
        <v>0</v>
      </c>
      <c r="AZ91" s="4537">
        <f t="shared" ref="AZ91:AZ101" si="121">IFERROR(Z91/$D$1,0)</f>
        <v>0</v>
      </c>
      <c r="BA91" s="4537">
        <f t="shared" ref="BA91:BA101" si="122">IFERROR(AA91/$D$1,0)</f>
        <v>0</v>
      </c>
    </row>
    <row r="92" spans="1:53" ht="12.75" customHeight="1" thickBot="1">
      <c r="A92" s="5501" t="s">
        <v>1450</v>
      </c>
      <c r="B92" s="5502"/>
      <c r="C92" s="3173"/>
      <c r="D92" s="3174"/>
      <c r="E92" s="3174"/>
      <c r="F92" s="3174"/>
      <c r="G92" s="3174"/>
      <c r="H92" s="3173"/>
      <c r="I92" s="3174"/>
      <c r="J92" s="3174"/>
      <c r="K92" s="3174"/>
      <c r="L92" s="3174"/>
      <c r="M92" s="3173"/>
      <c r="N92" s="3174"/>
      <c r="O92" s="3174"/>
      <c r="P92" s="3174"/>
      <c r="Q92" s="3174"/>
      <c r="R92" s="3173"/>
      <c r="S92" s="3174"/>
      <c r="T92" s="3174"/>
      <c r="U92" s="3174"/>
      <c r="V92" s="3174"/>
      <c r="W92" s="3173"/>
      <c r="X92" s="3174"/>
      <c r="Y92" s="3174"/>
      <c r="Z92" s="3174"/>
      <c r="AA92" s="3174"/>
      <c r="AB92" s="4488"/>
      <c r="AC92" s="4493">
        <f t="shared" ref="AC92:AC101" si="123">IFERROR(C92/$D$1,0)</f>
        <v>0</v>
      </c>
      <c r="AD92" s="4493">
        <f t="shared" si="99"/>
        <v>0</v>
      </c>
      <c r="AE92" s="4493">
        <f t="shared" si="100"/>
        <v>0</v>
      </c>
      <c r="AF92" s="4493">
        <f t="shared" si="101"/>
        <v>0</v>
      </c>
      <c r="AG92" s="4493">
        <f t="shared" si="102"/>
        <v>0</v>
      </c>
      <c r="AH92" s="4493">
        <f t="shared" si="103"/>
        <v>0</v>
      </c>
      <c r="AI92" s="4493">
        <f t="shared" si="104"/>
        <v>0</v>
      </c>
      <c r="AJ92" s="4493">
        <f t="shared" si="105"/>
        <v>0</v>
      </c>
      <c r="AK92" s="4493">
        <f t="shared" si="106"/>
        <v>0</v>
      </c>
      <c r="AL92" s="4493">
        <f t="shared" si="107"/>
        <v>0</v>
      </c>
      <c r="AM92" s="4493">
        <f t="shared" si="108"/>
        <v>0</v>
      </c>
      <c r="AN92" s="4493">
        <f t="shared" si="109"/>
        <v>0</v>
      </c>
      <c r="AO92" s="4493">
        <f t="shared" si="110"/>
        <v>0</v>
      </c>
      <c r="AP92" s="4493">
        <f t="shared" si="111"/>
        <v>0</v>
      </c>
      <c r="AQ92" s="4493">
        <f t="shared" si="112"/>
        <v>0</v>
      </c>
      <c r="AR92" s="4493">
        <f t="shared" si="113"/>
        <v>0</v>
      </c>
      <c r="AS92" s="4493">
        <f t="shared" si="114"/>
        <v>0</v>
      </c>
      <c r="AT92" s="4493">
        <f t="shared" si="115"/>
        <v>0</v>
      </c>
      <c r="AU92" s="4493">
        <f t="shared" si="116"/>
        <v>0</v>
      </c>
      <c r="AV92" s="4493">
        <f t="shared" si="117"/>
        <v>0</v>
      </c>
      <c r="AW92" s="4493">
        <f t="shared" si="118"/>
        <v>0</v>
      </c>
      <c r="AX92" s="4493">
        <f t="shared" si="119"/>
        <v>0</v>
      </c>
      <c r="AY92" s="4493">
        <f t="shared" si="120"/>
        <v>0</v>
      </c>
      <c r="AZ92" s="4493">
        <f t="shared" si="121"/>
        <v>0</v>
      </c>
      <c r="BA92" s="4493">
        <f t="shared" si="122"/>
        <v>0</v>
      </c>
    </row>
    <row r="93" spans="1:53" ht="13.8" thickBot="1">
      <c r="A93" s="5503" t="s">
        <v>1462</v>
      </c>
      <c r="B93" s="5504"/>
      <c r="C93" s="3173"/>
      <c r="D93" s="3174"/>
      <c r="E93" s="3174"/>
      <c r="F93" s="3174"/>
      <c r="G93" s="3174"/>
      <c r="H93" s="3173"/>
      <c r="I93" s="3174"/>
      <c r="J93" s="3174"/>
      <c r="K93" s="3174"/>
      <c r="L93" s="3174"/>
      <c r="M93" s="3173"/>
      <c r="N93" s="3174"/>
      <c r="O93" s="3174"/>
      <c r="P93" s="3174"/>
      <c r="Q93" s="3174"/>
      <c r="R93" s="3173"/>
      <c r="S93" s="3174"/>
      <c r="T93" s="3174"/>
      <c r="U93" s="3174"/>
      <c r="V93" s="3174"/>
      <c r="W93" s="3173"/>
      <c r="X93" s="3174"/>
      <c r="Y93" s="3174"/>
      <c r="Z93" s="3174"/>
      <c r="AA93" s="3174"/>
      <c r="AB93" s="4488"/>
      <c r="AC93" s="4493">
        <f t="shared" si="123"/>
        <v>0</v>
      </c>
      <c r="AD93" s="4493">
        <f t="shared" si="99"/>
        <v>0</v>
      </c>
      <c r="AE93" s="4493">
        <f t="shared" si="100"/>
        <v>0</v>
      </c>
      <c r="AF93" s="4493">
        <f t="shared" si="101"/>
        <v>0</v>
      </c>
      <c r="AG93" s="4493">
        <f t="shared" si="102"/>
        <v>0</v>
      </c>
      <c r="AH93" s="4493">
        <f t="shared" si="103"/>
        <v>0</v>
      </c>
      <c r="AI93" s="4493">
        <f t="shared" si="104"/>
        <v>0</v>
      </c>
      <c r="AJ93" s="4493">
        <f t="shared" si="105"/>
        <v>0</v>
      </c>
      <c r="AK93" s="4493">
        <f t="shared" si="106"/>
        <v>0</v>
      </c>
      <c r="AL93" s="4493">
        <f t="shared" si="107"/>
        <v>0</v>
      </c>
      <c r="AM93" s="4493">
        <f t="shared" si="108"/>
        <v>0</v>
      </c>
      <c r="AN93" s="4493">
        <f t="shared" si="109"/>
        <v>0</v>
      </c>
      <c r="AO93" s="4493">
        <f t="shared" si="110"/>
        <v>0</v>
      </c>
      <c r="AP93" s="4493">
        <f t="shared" si="111"/>
        <v>0</v>
      </c>
      <c r="AQ93" s="4493">
        <f t="shared" si="112"/>
        <v>0</v>
      </c>
      <c r="AR93" s="4493">
        <f t="shared" si="113"/>
        <v>0</v>
      </c>
      <c r="AS93" s="4493">
        <f t="shared" si="114"/>
        <v>0</v>
      </c>
      <c r="AT93" s="4493">
        <f t="shared" si="115"/>
        <v>0</v>
      </c>
      <c r="AU93" s="4493">
        <f t="shared" si="116"/>
        <v>0</v>
      </c>
      <c r="AV93" s="4493">
        <f t="shared" si="117"/>
        <v>0</v>
      </c>
      <c r="AW93" s="4493">
        <f t="shared" si="118"/>
        <v>0</v>
      </c>
      <c r="AX93" s="4493">
        <f t="shared" si="119"/>
        <v>0</v>
      </c>
      <c r="AY93" s="4493">
        <f t="shared" si="120"/>
        <v>0</v>
      </c>
      <c r="AZ93" s="4493">
        <f t="shared" si="121"/>
        <v>0</v>
      </c>
      <c r="BA93" s="4493">
        <f t="shared" si="122"/>
        <v>0</v>
      </c>
    </row>
    <row r="94" spans="1:53" ht="12.75" customHeight="1" thickBot="1">
      <c r="A94" s="5478" t="s">
        <v>1452</v>
      </c>
      <c r="B94" s="5479"/>
      <c r="C94" s="3173"/>
      <c r="D94" s="3174"/>
      <c r="E94" s="3174"/>
      <c r="F94" s="3174"/>
      <c r="G94" s="3174"/>
      <c r="H94" s="3173"/>
      <c r="I94" s="3174"/>
      <c r="J94" s="3174"/>
      <c r="K94" s="3174"/>
      <c r="L94" s="3174"/>
      <c r="M94" s="3173"/>
      <c r="N94" s="3174"/>
      <c r="O94" s="3174"/>
      <c r="P94" s="3174"/>
      <c r="Q94" s="3174"/>
      <c r="R94" s="3173"/>
      <c r="S94" s="3174"/>
      <c r="T94" s="3174"/>
      <c r="U94" s="3174"/>
      <c r="V94" s="3174"/>
      <c r="W94" s="3173"/>
      <c r="X94" s="3174"/>
      <c r="Y94" s="3174"/>
      <c r="Z94" s="3174"/>
      <c r="AA94" s="3174"/>
      <c r="AB94" s="4488"/>
      <c r="AC94" s="4493">
        <f t="shared" si="123"/>
        <v>0</v>
      </c>
      <c r="AD94" s="4493">
        <f t="shared" si="99"/>
        <v>0</v>
      </c>
      <c r="AE94" s="4493">
        <f t="shared" si="100"/>
        <v>0</v>
      </c>
      <c r="AF94" s="4493">
        <f t="shared" si="101"/>
        <v>0</v>
      </c>
      <c r="AG94" s="4493">
        <f t="shared" si="102"/>
        <v>0</v>
      </c>
      <c r="AH94" s="4493">
        <f t="shared" si="103"/>
        <v>0</v>
      </c>
      <c r="AI94" s="4493">
        <f t="shared" si="104"/>
        <v>0</v>
      </c>
      <c r="AJ94" s="4493">
        <f t="shared" si="105"/>
        <v>0</v>
      </c>
      <c r="AK94" s="4493">
        <f t="shared" si="106"/>
        <v>0</v>
      </c>
      <c r="AL94" s="4493">
        <f t="shared" si="107"/>
        <v>0</v>
      </c>
      <c r="AM94" s="4493">
        <f t="shared" si="108"/>
        <v>0</v>
      </c>
      <c r="AN94" s="4493">
        <f t="shared" si="109"/>
        <v>0</v>
      </c>
      <c r="AO94" s="4493">
        <f t="shared" si="110"/>
        <v>0</v>
      </c>
      <c r="AP94" s="4493">
        <f t="shared" si="111"/>
        <v>0</v>
      </c>
      <c r="AQ94" s="4493">
        <f t="shared" si="112"/>
        <v>0</v>
      </c>
      <c r="AR94" s="4493">
        <f t="shared" si="113"/>
        <v>0</v>
      </c>
      <c r="AS94" s="4493">
        <f t="shared" si="114"/>
        <v>0</v>
      </c>
      <c r="AT94" s="4493">
        <f t="shared" si="115"/>
        <v>0</v>
      </c>
      <c r="AU94" s="4493">
        <f t="shared" si="116"/>
        <v>0</v>
      </c>
      <c r="AV94" s="4493">
        <f t="shared" si="117"/>
        <v>0</v>
      </c>
      <c r="AW94" s="4493">
        <f t="shared" si="118"/>
        <v>0</v>
      </c>
      <c r="AX94" s="4493">
        <f t="shared" si="119"/>
        <v>0</v>
      </c>
      <c r="AY94" s="4493">
        <f t="shared" si="120"/>
        <v>0</v>
      </c>
      <c r="AZ94" s="4493">
        <f t="shared" si="121"/>
        <v>0</v>
      </c>
      <c r="BA94" s="4493">
        <f t="shared" si="122"/>
        <v>0</v>
      </c>
    </row>
    <row r="95" spans="1:53" ht="12.75" customHeight="1" thickBot="1">
      <c r="A95" s="5478" t="s">
        <v>1453</v>
      </c>
      <c r="B95" s="5479"/>
      <c r="C95" s="3173"/>
      <c r="D95" s="3174"/>
      <c r="E95" s="3174"/>
      <c r="F95" s="3174"/>
      <c r="G95" s="3174"/>
      <c r="H95" s="3173"/>
      <c r="I95" s="3174"/>
      <c r="J95" s="3174"/>
      <c r="K95" s="3174"/>
      <c r="L95" s="3174"/>
      <c r="M95" s="3173"/>
      <c r="N95" s="3174"/>
      <c r="O95" s="3174"/>
      <c r="P95" s="3174"/>
      <c r="Q95" s="3174"/>
      <c r="R95" s="3173"/>
      <c r="S95" s="3174"/>
      <c r="T95" s="3174"/>
      <c r="U95" s="3174"/>
      <c r="V95" s="3174"/>
      <c r="W95" s="3173"/>
      <c r="X95" s="3174"/>
      <c r="Y95" s="3174"/>
      <c r="Z95" s="3174"/>
      <c r="AA95" s="3174"/>
      <c r="AB95" s="4488"/>
      <c r="AC95" s="4493">
        <f t="shared" si="123"/>
        <v>0</v>
      </c>
      <c r="AD95" s="4493">
        <f t="shared" si="99"/>
        <v>0</v>
      </c>
      <c r="AE95" s="4493">
        <f t="shared" si="100"/>
        <v>0</v>
      </c>
      <c r="AF95" s="4493">
        <f t="shared" si="101"/>
        <v>0</v>
      </c>
      <c r="AG95" s="4493">
        <f t="shared" si="102"/>
        <v>0</v>
      </c>
      <c r="AH95" s="4493">
        <f t="shared" si="103"/>
        <v>0</v>
      </c>
      <c r="AI95" s="4493">
        <f t="shared" si="104"/>
        <v>0</v>
      </c>
      <c r="AJ95" s="4493">
        <f t="shared" si="105"/>
        <v>0</v>
      </c>
      <c r="AK95" s="4493">
        <f t="shared" si="106"/>
        <v>0</v>
      </c>
      <c r="AL95" s="4493">
        <f t="shared" si="107"/>
        <v>0</v>
      </c>
      <c r="AM95" s="4493">
        <f t="shared" si="108"/>
        <v>0</v>
      </c>
      <c r="AN95" s="4493">
        <f t="shared" si="109"/>
        <v>0</v>
      </c>
      <c r="AO95" s="4493">
        <f t="shared" si="110"/>
        <v>0</v>
      </c>
      <c r="AP95" s="4493">
        <f t="shared" si="111"/>
        <v>0</v>
      </c>
      <c r="AQ95" s="4493">
        <f t="shared" si="112"/>
        <v>0</v>
      </c>
      <c r="AR95" s="4493">
        <f t="shared" si="113"/>
        <v>0</v>
      </c>
      <c r="AS95" s="4493">
        <f t="shared" si="114"/>
        <v>0</v>
      </c>
      <c r="AT95" s="4493">
        <f t="shared" si="115"/>
        <v>0</v>
      </c>
      <c r="AU95" s="4493">
        <f t="shared" si="116"/>
        <v>0</v>
      </c>
      <c r="AV95" s="4493">
        <f t="shared" si="117"/>
        <v>0</v>
      </c>
      <c r="AW95" s="4493">
        <f t="shared" si="118"/>
        <v>0</v>
      </c>
      <c r="AX95" s="4493">
        <f t="shared" si="119"/>
        <v>0</v>
      </c>
      <c r="AY95" s="4493">
        <f t="shared" si="120"/>
        <v>0</v>
      </c>
      <c r="AZ95" s="4493">
        <f t="shared" si="121"/>
        <v>0</v>
      </c>
      <c r="BA95" s="4493">
        <f t="shared" si="122"/>
        <v>0</v>
      </c>
    </row>
    <row r="96" spans="1:53" ht="12.75" customHeight="1" thickBot="1">
      <c r="A96" s="5478" t="s">
        <v>1454</v>
      </c>
      <c r="B96" s="5479"/>
      <c r="C96" s="3173"/>
      <c r="D96" s="3174"/>
      <c r="E96" s="3174"/>
      <c r="F96" s="3174"/>
      <c r="G96" s="3174"/>
      <c r="H96" s="3173"/>
      <c r="I96" s="3174"/>
      <c r="J96" s="3174"/>
      <c r="K96" s="3174"/>
      <c r="L96" s="3174"/>
      <c r="M96" s="3173"/>
      <c r="N96" s="3174"/>
      <c r="O96" s="3174"/>
      <c r="P96" s="3174"/>
      <c r="Q96" s="3174"/>
      <c r="R96" s="3173"/>
      <c r="S96" s="3174"/>
      <c r="T96" s="3174"/>
      <c r="U96" s="3174"/>
      <c r="V96" s="3174"/>
      <c r="W96" s="3173"/>
      <c r="X96" s="3174"/>
      <c r="Y96" s="3174"/>
      <c r="Z96" s="3174"/>
      <c r="AA96" s="3174"/>
      <c r="AB96" s="4488"/>
      <c r="AC96" s="4493">
        <f t="shared" si="123"/>
        <v>0</v>
      </c>
      <c r="AD96" s="4493">
        <f t="shared" si="99"/>
        <v>0</v>
      </c>
      <c r="AE96" s="4493">
        <f t="shared" si="100"/>
        <v>0</v>
      </c>
      <c r="AF96" s="4493">
        <f t="shared" si="101"/>
        <v>0</v>
      </c>
      <c r="AG96" s="4493">
        <f t="shared" si="102"/>
        <v>0</v>
      </c>
      <c r="AH96" s="4493">
        <f t="shared" si="103"/>
        <v>0</v>
      </c>
      <c r="AI96" s="4493">
        <f t="shared" si="104"/>
        <v>0</v>
      </c>
      <c r="AJ96" s="4493">
        <f t="shared" si="105"/>
        <v>0</v>
      </c>
      <c r="AK96" s="4493">
        <f t="shared" si="106"/>
        <v>0</v>
      </c>
      <c r="AL96" s="4493">
        <f t="shared" si="107"/>
        <v>0</v>
      </c>
      <c r="AM96" s="4493">
        <f t="shared" si="108"/>
        <v>0</v>
      </c>
      <c r="AN96" s="4493">
        <f t="shared" si="109"/>
        <v>0</v>
      </c>
      <c r="AO96" s="4493">
        <f t="shared" si="110"/>
        <v>0</v>
      </c>
      <c r="AP96" s="4493">
        <f t="shared" si="111"/>
        <v>0</v>
      </c>
      <c r="AQ96" s="4493">
        <f t="shared" si="112"/>
        <v>0</v>
      </c>
      <c r="AR96" s="4493">
        <f t="shared" si="113"/>
        <v>0</v>
      </c>
      <c r="AS96" s="4493">
        <f t="shared" si="114"/>
        <v>0</v>
      </c>
      <c r="AT96" s="4493">
        <f t="shared" si="115"/>
        <v>0</v>
      </c>
      <c r="AU96" s="4493">
        <f t="shared" si="116"/>
        <v>0</v>
      </c>
      <c r="AV96" s="4493">
        <f t="shared" si="117"/>
        <v>0</v>
      </c>
      <c r="AW96" s="4493">
        <f t="shared" si="118"/>
        <v>0</v>
      </c>
      <c r="AX96" s="4493">
        <f t="shared" si="119"/>
        <v>0</v>
      </c>
      <c r="AY96" s="4493">
        <f t="shared" si="120"/>
        <v>0</v>
      </c>
      <c r="AZ96" s="4493">
        <f t="shared" si="121"/>
        <v>0</v>
      </c>
      <c r="BA96" s="4493">
        <f t="shared" si="122"/>
        <v>0</v>
      </c>
    </row>
    <row r="97" spans="1:53" ht="13.8" thickBot="1">
      <c r="A97" s="5476" t="s">
        <v>1455</v>
      </c>
      <c r="B97" s="5477"/>
      <c r="C97" s="3173"/>
      <c r="D97" s="3174"/>
      <c r="E97" s="3174"/>
      <c r="F97" s="3174"/>
      <c r="G97" s="3174"/>
      <c r="H97" s="3173"/>
      <c r="I97" s="3174"/>
      <c r="J97" s="3174"/>
      <c r="K97" s="3174"/>
      <c r="L97" s="3174"/>
      <c r="M97" s="3173"/>
      <c r="N97" s="3174"/>
      <c r="O97" s="3174"/>
      <c r="P97" s="3174"/>
      <c r="Q97" s="3174"/>
      <c r="R97" s="3173"/>
      <c r="S97" s="3174"/>
      <c r="T97" s="3174"/>
      <c r="U97" s="3174"/>
      <c r="V97" s="3174"/>
      <c r="W97" s="3173"/>
      <c r="X97" s="3174"/>
      <c r="Y97" s="3174"/>
      <c r="Z97" s="3174"/>
      <c r="AA97" s="3174"/>
      <c r="AB97" s="4488"/>
      <c r="AC97" s="4493">
        <f t="shared" si="123"/>
        <v>0</v>
      </c>
      <c r="AD97" s="4493">
        <f t="shared" si="99"/>
        <v>0</v>
      </c>
      <c r="AE97" s="4493">
        <f t="shared" si="100"/>
        <v>0</v>
      </c>
      <c r="AF97" s="4493">
        <f t="shared" si="101"/>
        <v>0</v>
      </c>
      <c r="AG97" s="4493">
        <f t="shared" si="102"/>
        <v>0</v>
      </c>
      <c r="AH97" s="4493">
        <f t="shared" si="103"/>
        <v>0</v>
      </c>
      <c r="AI97" s="4493">
        <f t="shared" si="104"/>
        <v>0</v>
      </c>
      <c r="AJ97" s="4493">
        <f t="shared" si="105"/>
        <v>0</v>
      </c>
      <c r="AK97" s="4493">
        <f t="shared" si="106"/>
        <v>0</v>
      </c>
      <c r="AL97" s="4493">
        <f t="shared" si="107"/>
        <v>0</v>
      </c>
      <c r="AM97" s="4493">
        <f t="shared" si="108"/>
        <v>0</v>
      </c>
      <c r="AN97" s="4493">
        <f t="shared" si="109"/>
        <v>0</v>
      </c>
      <c r="AO97" s="4493">
        <f t="shared" si="110"/>
        <v>0</v>
      </c>
      <c r="AP97" s="4493">
        <f t="shared" si="111"/>
        <v>0</v>
      </c>
      <c r="AQ97" s="4493">
        <f t="shared" si="112"/>
        <v>0</v>
      </c>
      <c r="AR97" s="4493">
        <f t="shared" si="113"/>
        <v>0</v>
      </c>
      <c r="AS97" s="4493">
        <f t="shared" si="114"/>
        <v>0</v>
      </c>
      <c r="AT97" s="4493">
        <f t="shared" si="115"/>
        <v>0</v>
      </c>
      <c r="AU97" s="4493">
        <f t="shared" si="116"/>
        <v>0</v>
      </c>
      <c r="AV97" s="4493">
        <f t="shared" si="117"/>
        <v>0</v>
      </c>
      <c r="AW97" s="4493">
        <f t="shared" si="118"/>
        <v>0</v>
      </c>
      <c r="AX97" s="4493">
        <f t="shared" si="119"/>
        <v>0</v>
      </c>
      <c r="AY97" s="4493">
        <f t="shared" si="120"/>
        <v>0</v>
      </c>
      <c r="AZ97" s="4493">
        <f t="shared" si="121"/>
        <v>0</v>
      </c>
      <c r="BA97" s="4493">
        <f t="shared" si="122"/>
        <v>0</v>
      </c>
    </row>
    <row r="98" spans="1:53" ht="12.75" customHeight="1" thickBot="1">
      <c r="A98" s="5487" t="s">
        <v>1456</v>
      </c>
      <c r="B98" s="5488"/>
      <c r="C98" s="3173"/>
      <c r="D98" s="3174"/>
      <c r="E98" s="3174"/>
      <c r="F98" s="3174"/>
      <c r="G98" s="3174"/>
      <c r="H98" s="3173"/>
      <c r="I98" s="3174"/>
      <c r="J98" s="3174"/>
      <c r="K98" s="3174"/>
      <c r="L98" s="3174"/>
      <c r="M98" s="3173"/>
      <c r="N98" s="3174"/>
      <c r="O98" s="3174"/>
      <c r="P98" s="3174"/>
      <c r="Q98" s="3174"/>
      <c r="R98" s="3173"/>
      <c r="S98" s="3174"/>
      <c r="T98" s="3174"/>
      <c r="U98" s="3174"/>
      <c r="V98" s="3174"/>
      <c r="W98" s="3173"/>
      <c r="X98" s="3174"/>
      <c r="Y98" s="3174"/>
      <c r="Z98" s="3174"/>
      <c r="AA98" s="3174"/>
      <c r="AB98" s="4488"/>
      <c r="AC98" s="4493">
        <f t="shared" si="123"/>
        <v>0</v>
      </c>
      <c r="AD98" s="4493">
        <f t="shared" si="99"/>
        <v>0</v>
      </c>
      <c r="AE98" s="4493">
        <f t="shared" si="100"/>
        <v>0</v>
      </c>
      <c r="AF98" s="4493">
        <f t="shared" si="101"/>
        <v>0</v>
      </c>
      <c r="AG98" s="4493">
        <f t="shared" si="102"/>
        <v>0</v>
      </c>
      <c r="AH98" s="4493">
        <f t="shared" si="103"/>
        <v>0</v>
      </c>
      <c r="AI98" s="4493">
        <f t="shared" si="104"/>
        <v>0</v>
      </c>
      <c r="AJ98" s="4493">
        <f t="shared" si="105"/>
        <v>0</v>
      </c>
      <c r="AK98" s="4493">
        <f t="shared" si="106"/>
        <v>0</v>
      </c>
      <c r="AL98" s="4493">
        <f t="shared" si="107"/>
        <v>0</v>
      </c>
      <c r="AM98" s="4493">
        <f t="shared" si="108"/>
        <v>0</v>
      </c>
      <c r="AN98" s="4493">
        <f t="shared" si="109"/>
        <v>0</v>
      </c>
      <c r="AO98" s="4493">
        <f t="shared" si="110"/>
        <v>0</v>
      </c>
      <c r="AP98" s="4493">
        <f t="shared" si="111"/>
        <v>0</v>
      </c>
      <c r="AQ98" s="4493">
        <f t="shared" si="112"/>
        <v>0</v>
      </c>
      <c r="AR98" s="4493">
        <f t="shared" si="113"/>
        <v>0</v>
      </c>
      <c r="AS98" s="4493">
        <f t="shared" si="114"/>
        <v>0</v>
      </c>
      <c r="AT98" s="4493">
        <f t="shared" si="115"/>
        <v>0</v>
      </c>
      <c r="AU98" s="4493">
        <f t="shared" si="116"/>
        <v>0</v>
      </c>
      <c r="AV98" s="4493">
        <f t="shared" si="117"/>
        <v>0</v>
      </c>
      <c r="AW98" s="4493">
        <f t="shared" si="118"/>
        <v>0</v>
      </c>
      <c r="AX98" s="4493">
        <f t="shared" si="119"/>
        <v>0</v>
      </c>
      <c r="AY98" s="4493">
        <f t="shared" si="120"/>
        <v>0</v>
      </c>
      <c r="AZ98" s="4493">
        <f t="shared" si="121"/>
        <v>0</v>
      </c>
      <c r="BA98" s="4493">
        <f t="shared" si="122"/>
        <v>0</v>
      </c>
    </row>
    <row r="99" spans="1:53" ht="12.75" customHeight="1" thickBot="1">
      <c r="A99" s="5487" t="s">
        <v>1457</v>
      </c>
      <c r="B99" s="5488"/>
      <c r="C99" s="3173"/>
      <c r="D99" s="3174"/>
      <c r="E99" s="3174"/>
      <c r="F99" s="3174"/>
      <c r="G99" s="3174"/>
      <c r="H99" s="3173"/>
      <c r="I99" s="3174"/>
      <c r="J99" s="3174"/>
      <c r="K99" s="3174"/>
      <c r="L99" s="3174"/>
      <c r="M99" s="3173"/>
      <c r="N99" s="3174"/>
      <c r="O99" s="3174"/>
      <c r="P99" s="3174"/>
      <c r="Q99" s="3174"/>
      <c r="R99" s="3173"/>
      <c r="S99" s="3174"/>
      <c r="T99" s="3174"/>
      <c r="U99" s="3174"/>
      <c r="V99" s="3174"/>
      <c r="W99" s="3173"/>
      <c r="X99" s="3174"/>
      <c r="Y99" s="3174"/>
      <c r="Z99" s="3174"/>
      <c r="AA99" s="3174"/>
      <c r="AB99" s="4488"/>
      <c r="AC99" s="4493">
        <f t="shared" si="123"/>
        <v>0</v>
      </c>
      <c r="AD99" s="4493">
        <f t="shared" si="99"/>
        <v>0</v>
      </c>
      <c r="AE99" s="4493">
        <f t="shared" si="100"/>
        <v>0</v>
      </c>
      <c r="AF99" s="4493">
        <f t="shared" si="101"/>
        <v>0</v>
      </c>
      <c r="AG99" s="4493">
        <f t="shared" si="102"/>
        <v>0</v>
      </c>
      <c r="AH99" s="4493">
        <f t="shared" si="103"/>
        <v>0</v>
      </c>
      <c r="AI99" s="4493">
        <f t="shared" si="104"/>
        <v>0</v>
      </c>
      <c r="AJ99" s="4493">
        <f t="shared" si="105"/>
        <v>0</v>
      </c>
      <c r="AK99" s="4493">
        <f t="shared" si="106"/>
        <v>0</v>
      </c>
      <c r="AL99" s="4493">
        <f t="shared" si="107"/>
        <v>0</v>
      </c>
      <c r="AM99" s="4493">
        <f t="shared" si="108"/>
        <v>0</v>
      </c>
      <c r="AN99" s="4493">
        <f t="shared" si="109"/>
        <v>0</v>
      </c>
      <c r="AO99" s="4493">
        <f t="shared" si="110"/>
        <v>0</v>
      </c>
      <c r="AP99" s="4493">
        <f t="shared" si="111"/>
        <v>0</v>
      </c>
      <c r="AQ99" s="4493">
        <f t="shared" si="112"/>
        <v>0</v>
      </c>
      <c r="AR99" s="4493">
        <f t="shared" si="113"/>
        <v>0</v>
      </c>
      <c r="AS99" s="4493">
        <f t="shared" si="114"/>
        <v>0</v>
      </c>
      <c r="AT99" s="4493">
        <f t="shared" si="115"/>
        <v>0</v>
      </c>
      <c r="AU99" s="4493">
        <f t="shared" si="116"/>
        <v>0</v>
      </c>
      <c r="AV99" s="4493">
        <f t="shared" si="117"/>
        <v>0</v>
      </c>
      <c r="AW99" s="4493">
        <f t="shared" si="118"/>
        <v>0</v>
      </c>
      <c r="AX99" s="4493">
        <f t="shared" si="119"/>
        <v>0</v>
      </c>
      <c r="AY99" s="4493">
        <f t="shared" si="120"/>
        <v>0</v>
      </c>
      <c r="AZ99" s="4493">
        <f t="shared" si="121"/>
        <v>0</v>
      </c>
      <c r="BA99" s="4493">
        <f t="shared" si="122"/>
        <v>0</v>
      </c>
    </row>
    <row r="100" spans="1:53" ht="12.75" customHeight="1" thickBot="1">
      <c r="A100" s="5487" t="s">
        <v>1458</v>
      </c>
      <c r="B100" s="5488"/>
      <c r="C100" s="3173"/>
      <c r="D100" s="3174"/>
      <c r="E100" s="3174"/>
      <c r="F100" s="3174"/>
      <c r="G100" s="3174"/>
      <c r="H100" s="3173"/>
      <c r="I100" s="3174"/>
      <c r="J100" s="3174"/>
      <c r="K100" s="3174"/>
      <c r="L100" s="3174"/>
      <c r="M100" s="3173"/>
      <c r="N100" s="3174"/>
      <c r="O100" s="3174"/>
      <c r="P100" s="3174"/>
      <c r="Q100" s="3174"/>
      <c r="R100" s="3173"/>
      <c r="S100" s="3174"/>
      <c r="T100" s="3174"/>
      <c r="U100" s="3174"/>
      <c r="V100" s="3174"/>
      <c r="W100" s="3173"/>
      <c r="X100" s="3174"/>
      <c r="Y100" s="3174"/>
      <c r="Z100" s="3174"/>
      <c r="AA100" s="3174"/>
      <c r="AB100" s="4488"/>
      <c r="AC100" s="4493">
        <f t="shared" si="123"/>
        <v>0</v>
      </c>
      <c r="AD100" s="4493">
        <f t="shared" si="99"/>
        <v>0</v>
      </c>
      <c r="AE100" s="4493">
        <f t="shared" si="100"/>
        <v>0</v>
      </c>
      <c r="AF100" s="4493">
        <f t="shared" si="101"/>
        <v>0</v>
      </c>
      <c r="AG100" s="4493">
        <f t="shared" si="102"/>
        <v>0</v>
      </c>
      <c r="AH100" s="4493">
        <f t="shared" si="103"/>
        <v>0</v>
      </c>
      <c r="AI100" s="4493">
        <f t="shared" si="104"/>
        <v>0</v>
      </c>
      <c r="AJ100" s="4493">
        <f t="shared" si="105"/>
        <v>0</v>
      </c>
      <c r="AK100" s="4493">
        <f t="shared" si="106"/>
        <v>0</v>
      </c>
      <c r="AL100" s="4493">
        <f t="shared" si="107"/>
        <v>0</v>
      </c>
      <c r="AM100" s="4493">
        <f t="shared" si="108"/>
        <v>0</v>
      </c>
      <c r="AN100" s="4493">
        <f t="shared" si="109"/>
        <v>0</v>
      </c>
      <c r="AO100" s="4493">
        <f t="shared" si="110"/>
        <v>0</v>
      </c>
      <c r="AP100" s="4493">
        <f t="shared" si="111"/>
        <v>0</v>
      </c>
      <c r="AQ100" s="4493">
        <f t="shared" si="112"/>
        <v>0</v>
      </c>
      <c r="AR100" s="4493">
        <f t="shared" si="113"/>
        <v>0</v>
      </c>
      <c r="AS100" s="4493">
        <f t="shared" si="114"/>
        <v>0</v>
      </c>
      <c r="AT100" s="4493">
        <f t="shared" si="115"/>
        <v>0</v>
      </c>
      <c r="AU100" s="4493">
        <f t="shared" si="116"/>
        <v>0</v>
      </c>
      <c r="AV100" s="4493">
        <f t="shared" si="117"/>
        <v>0</v>
      </c>
      <c r="AW100" s="4493">
        <f t="shared" si="118"/>
        <v>0</v>
      </c>
      <c r="AX100" s="4493">
        <f t="shared" si="119"/>
        <v>0</v>
      </c>
      <c r="AY100" s="4493">
        <f t="shared" si="120"/>
        <v>0</v>
      </c>
      <c r="AZ100" s="4493">
        <f t="shared" si="121"/>
        <v>0</v>
      </c>
      <c r="BA100" s="4493">
        <f t="shared" si="122"/>
        <v>0</v>
      </c>
    </row>
    <row r="101" spans="1:53" ht="13.5" customHeight="1" thickBot="1">
      <c r="A101" s="5505" t="s">
        <v>1459</v>
      </c>
      <c r="B101" s="5506"/>
      <c r="C101" s="3177"/>
      <c r="D101" s="3178"/>
      <c r="E101" s="3178"/>
      <c r="F101" s="3178"/>
      <c r="G101" s="3178"/>
      <c r="H101" s="3177"/>
      <c r="I101" s="3178"/>
      <c r="J101" s="3178"/>
      <c r="K101" s="3178"/>
      <c r="L101" s="3178"/>
      <c r="M101" s="3177"/>
      <c r="N101" s="3178"/>
      <c r="O101" s="3178"/>
      <c r="P101" s="3178"/>
      <c r="Q101" s="3178"/>
      <c r="R101" s="3177"/>
      <c r="S101" s="3178"/>
      <c r="T101" s="3178"/>
      <c r="U101" s="3178"/>
      <c r="V101" s="3178"/>
      <c r="W101" s="3177"/>
      <c r="X101" s="3178"/>
      <c r="Y101" s="3178"/>
      <c r="Z101" s="3178"/>
      <c r="AA101" s="3178"/>
      <c r="AB101" s="4488"/>
      <c r="AC101" s="4493">
        <f t="shared" si="123"/>
        <v>0</v>
      </c>
      <c r="AD101" s="4493">
        <f t="shared" si="99"/>
        <v>0</v>
      </c>
      <c r="AE101" s="4493">
        <f t="shared" si="100"/>
        <v>0</v>
      </c>
      <c r="AF101" s="4493">
        <f t="shared" si="101"/>
        <v>0</v>
      </c>
      <c r="AG101" s="4493">
        <f t="shared" si="102"/>
        <v>0</v>
      </c>
      <c r="AH101" s="4493">
        <f t="shared" si="103"/>
        <v>0</v>
      </c>
      <c r="AI101" s="4493">
        <f t="shared" si="104"/>
        <v>0</v>
      </c>
      <c r="AJ101" s="4493">
        <f t="shared" si="105"/>
        <v>0</v>
      </c>
      <c r="AK101" s="4493">
        <f t="shared" si="106"/>
        <v>0</v>
      </c>
      <c r="AL101" s="4493">
        <f t="shared" si="107"/>
        <v>0</v>
      </c>
      <c r="AM101" s="4493">
        <f t="shared" si="108"/>
        <v>0</v>
      </c>
      <c r="AN101" s="4493">
        <f t="shared" si="109"/>
        <v>0</v>
      </c>
      <c r="AO101" s="4493">
        <f t="shared" si="110"/>
        <v>0</v>
      </c>
      <c r="AP101" s="4493">
        <f t="shared" si="111"/>
        <v>0</v>
      </c>
      <c r="AQ101" s="4493">
        <f t="shared" si="112"/>
        <v>0</v>
      </c>
      <c r="AR101" s="4493">
        <f t="shared" si="113"/>
        <v>0</v>
      </c>
      <c r="AS101" s="4493">
        <f t="shared" si="114"/>
        <v>0</v>
      </c>
      <c r="AT101" s="4493">
        <f t="shared" si="115"/>
        <v>0</v>
      </c>
      <c r="AU101" s="4493">
        <f t="shared" si="116"/>
        <v>0</v>
      </c>
      <c r="AV101" s="4493">
        <f t="shared" si="117"/>
        <v>0</v>
      </c>
      <c r="AW101" s="4493">
        <f t="shared" si="118"/>
        <v>0</v>
      </c>
      <c r="AX101" s="4493">
        <f t="shared" si="119"/>
        <v>0</v>
      </c>
      <c r="AY101" s="4493">
        <f t="shared" si="120"/>
        <v>0</v>
      </c>
      <c r="AZ101" s="4493">
        <f t="shared" si="121"/>
        <v>0</v>
      </c>
      <c r="BA101" s="4493">
        <f t="shared" si="122"/>
        <v>0</v>
      </c>
    </row>
    <row r="102" spans="1:53" ht="20.25" customHeight="1" thickBot="1">
      <c r="A102" s="1519" t="s">
        <v>184</v>
      </c>
      <c r="B102" s="1520"/>
      <c r="C102" s="3181"/>
      <c r="D102" s="3181"/>
      <c r="E102" s="3181"/>
      <c r="F102" s="3181"/>
      <c r="G102" s="3181"/>
      <c r="H102" s="3181"/>
      <c r="I102" s="3181"/>
      <c r="J102" s="3181"/>
      <c r="K102" s="3181"/>
      <c r="L102" s="3181"/>
      <c r="M102" s="3181"/>
      <c r="N102" s="3181"/>
      <c r="O102" s="3181"/>
      <c r="P102" s="3181"/>
      <c r="Q102" s="3181"/>
      <c r="R102" s="3181"/>
      <c r="S102" s="3181"/>
      <c r="T102" s="3181"/>
      <c r="U102" s="3181"/>
      <c r="V102" s="3181"/>
      <c r="W102" s="3181"/>
      <c r="X102" s="3181"/>
      <c r="Y102" s="3181"/>
      <c r="Z102" s="3181"/>
      <c r="AA102" s="3181"/>
      <c r="AB102" s="4488"/>
      <c r="AC102" s="5468" t="str">
        <f>+A102</f>
        <v>Пречистване на отпадъчни води</v>
      </c>
      <c r="AD102" s="5469"/>
      <c r="AE102" s="5469"/>
      <c r="AF102" s="5469"/>
      <c r="AG102" s="5469"/>
      <c r="AH102" s="5469"/>
      <c r="AI102" s="5469"/>
      <c r="AJ102" s="5469"/>
      <c r="AK102" s="5469"/>
      <c r="AL102" s="5469"/>
      <c r="AM102" s="5469"/>
      <c r="AN102" s="5469"/>
      <c r="AO102" s="5469"/>
      <c r="AP102" s="5469"/>
      <c r="AQ102" s="5469"/>
      <c r="AR102" s="5469"/>
      <c r="AS102" s="5469"/>
      <c r="AT102" s="5469"/>
      <c r="AU102" s="5469"/>
      <c r="AV102" s="5469"/>
      <c r="AW102" s="5469"/>
      <c r="AX102" s="5469"/>
      <c r="AY102" s="5469"/>
      <c r="AZ102" s="5469"/>
      <c r="BA102" s="5470"/>
    </row>
    <row r="103" spans="1:53" ht="20.25" customHeight="1" thickBot="1">
      <c r="A103" s="5471" t="s">
        <v>1174</v>
      </c>
      <c r="B103" s="5472"/>
      <c r="C103" s="5493">
        <v>1</v>
      </c>
      <c r="D103" s="5494"/>
      <c r="E103" s="5494"/>
      <c r="F103" s="5494"/>
      <c r="G103" s="5494"/>
      <c r="H103" s="5493">
        <f>C103+1</f>
        <v>2</v>
      </c>
      <c r="I103" s="5494"/>
      <c r="J103" s="5494"/>
      <c r="K103" s="5494"/>
      <c r="L103" s="5494"/>
      <c r="M103" s="5493">
        <f>H103+1</f>
        <v>3</v>
      </c>
      <c r="N103" s="5494"/>
      <c r="O103" s="5494"/>
      <c r="P103" s="5494"/>
      <c r="Q103" s="5494"/>
      <c r="R103" s="5493">
        <f>M103+1</f>
        <v>4</v>
      </c>
      <c r="S103" s="5494"/>
      <c r="T103" s="5494"/>
      <c r="U103" s="5494"/>
      <c r="V103" s="5494"/>
      <c r="W103" s="5493">
        <f>R103+1</f>
        <v>5</v>
      </c>
      <c r="X103" s="5494"/>
      <c r="Y103" s="5494"/>
      <c r="Z103" s="5494"/>
      <c r="AA103" s="5494"/>
      <c r="AB103" s="4488"/>
      <c r="AC103" s="5338">
        <f>+C103</f>
        <v>1</v>
      </c>
      <c r="AD103" s="5338"/>
      <c r="AE103" s="5338"/>
      <c r="AF103" s="5338"/>
      <c r="AG103" s="5338"/>
      <c r="AH103" s="5338">
        <f>+H103</f>
        <v>2</v>
      </c>
      <c r="AI103" s="5338"/>
      <c r="AJ103" s="5338"/>
      <c r="AK103" s="5338"/>
      <c r="AL103" s="5338"/>
      <c r="AM103" s="5338">
        <f>+M103</f>
        <v>3</v>
      </c>
      <c r="AN103" s="5338"/>
      <c r="AO103" s="5338"/>
      <c r="AP103" s="5338"/>
      <c r="AQ103" s="5338"/>
      <c r="AR103" s="5338">
        <f>+R103</f>
        <v>4</v>
      </c>
      <c r="AS103" s="5338"/>
      <c r="AT103" s="5338"/>
      <c r="AU103" s="5338"/>
      <c r="AV103" s="5338"/>
      <c r="AW103" s="5338">
        <f>+W103</f>
        <v>5</v>
      </c>
      <c r="AX103" s="5338"/>
      <c r="AY103" s="5338"/>
      <c r="AZ103" s="5338"/>
      <c r="BA103" s="5338"/>
    </row>
    <row r="104" spans="1:53" ht="12.75" customHeight="1" thickBot="1">
      <c r="A104" s="5473" t="s">
        <v>1296</v>
      </c>
      <c r="B104" s="3167" t="s">
        <v>1445</v>
      </c>
      <c r="C104" s="5474" t="s">
        <v>2000</v>
      </c>
      <c r="D104" s="5475"/>
      <c r="E104" s="5475"/>
      <c r="F104" s="5475"/>
      <c r="G104" s="5475"/>
      <c r="H104" s="5474"/>
      <c r="I104" s="5475"/>
      <c r="J104" s="5475"/>
      <c r="K104" s="5475"/>
      <c r="L104" s="5475"/>
      <c r="M104" s="5474"/>
      <c r="N104" s="5475"/>
      <c r="O104" s="5475"/>
      <c r="P104" s="5475"/>
      <c r="Q104" s="5475"/>
      <c r="R104" s="5474"/>
      <c r="S104" s="5475"/>
      <c r="T104" s="5475"/>
      <c r="U104" s="5475"/>
      <c r="V104" s="5475"/>
      <c r="W104" s="5474"/>
      <c r="X104" s="5475"/>
      <c r="Y104" s="5475"/>
      <c r="Z104" s="5475"/>
      <c r="AA104" s="5475"/>
      <c r="AB104" s="4488"/>
      <c r="AC104" s="5467" t="str">
        <f>IF(C104=0,"",C104)</f>
        <v>ПСОВ гр. Угърчин</v>
      </c>
      <c r="AD104" s="5467"/>
      <c r="AE104" s="5467"/>
      <c r="AF104" s="5467"/>
      <c r="AG104" s="5467"/>
      <c r="AH104" s="5467" t="str">
        <f>IF(H104=0,"",H104)</f>
        <v/>
      </c>
      <c r="AI104" s="5467"/>
      <c r="AJ104" s="5467"/>
      <c r="AK104" s="5467"/>
      <c r="AL104" s="5467"/>
      <c r="AM104" s="5467" t="str">
        <f>IF(M104=0,"",M104)</f>
        <v/>
      </c>
      <c r="AN104" s="5467"/>
      <c r="AO104" s="5467"/>
      <c r="AP104" s="5467"/>
      <c r="AQ104" s="5467"/>
      <c r="AR104" s="5467" t="str">
        <f>IF(R104=0,"",R104)</f>
        <v/>
      </c>
      <c r="AS104" s="5467"/>
      <c r="AT104" s="5467"/>
      <c r="AU104" s="5467"/>
      <c r="AV104" s="5467"/>
      <c r="AW104" s="5467" t="str">
        <f>IF(W104=0,"",W104)</f>
        <v/>
      </c>
      <c r="AX104" s="5467"/>
      <c r="AY104" s="5467"/>
      <c r="AZ104" s="5467"/>
      <c r="BA104" s="5467"/>
    </row>
    <row r="105" spans="1:53" ht="13.8" thickBot="1">
      <c r="A105" s="5473"/>
      <c r="B105" s="3167" t="s">
        <v>1297</v>
      </c>
      <c r="C105" s="5474" t="s">
        <v>2001</v>
      </c>
      <c r="D105" s="5475"/>
      <c r="E105" s="5475"/>
      <c r="F105" s="5475"/>
      <c r="G105" s="5475"/>
      <c r="H105" s="5474"/>
      <c r="I105" s="5475"/>
      <c r="J105" s="5475"/>
      <c r="K105" s="5475"/>
      <c r="L105" s="5475"/>
      <c r="M105" s="5474"/>
      <c r="N105" s="5475"/>
      <c r="O105" s="5475"/>
      <c r="P105" s="5475"/>
      <c r="Q105" s="5475"/>
      <c r="R105" s="5474"/>
      <c r="S105" s="5475"/>
      <c r="T105" s="5475"/>
      <c r="U105" s="5475"/>
      <c r="V105" s="5475"/>
      <c r="W105" s="5474"/>
      <c r="X105" s="5475"/>
      <c r="Y105" s="5475"/>
      <c r="Z105" s="5475"/>
      <c r="AA105" s="5475"/>
      <c r="AB105" s="4488"/>
      <c r="AC105" s="5467" t="str">
        <f t="shared" ref="AC105:AC109" si="124">IF(C105=0,"",C105)</f>
        <v>Угърчин</v>
      </c>
      <c r="AD105" s="5467"/>
      <c r="AE105" s="5467"/>
      <c r="AF105" s="5467"/>
      <c r="AG105" s="5467"/>
      <c r="AH105" s="5467" t="str">
        <f t="shared" ref="AH105:AH109" si="125">IF(H105=0,"",H105)</f>
        <v/>
      </c>
      <c r="AI105" s="5467"/>
      <c r="AJ105" s="5467"/>
      <c r="AK105" s="5467"/>
      <c r="AL105" s="5467"/>
      <c r="AM105" s="5467" t="str">
        <f t="shared" ref="AM105:AM109" si="126">IF(M105=0,"",M105)</f>
        <v/>
      </c>
      <c r="AN105" s="5467"/>
      <c r="AO105" s="5467"/>
      <c r="AP105" s="5467"/>
      <c r="AQ105" s="5467"/>
      <c r="AR105" s="5467" t="str">
        <f t="shared" ref="AR105:AR109" si="127">IF(R105=0,"",R105)</f>
        <v/>
      </c>
      <c r="AS105" s="5467"/>
      <c r="AT105" s="5467"/>
      <c r="AU105" s="5467"/>
      <c r="AV105" s="5467"/>
      <c r="AW105" s="5467" t="str">
        <f t="shared" ref="AW105:AW109" si="128">IF(W105=0,"",W105)</f>
        <v/>
      </c>
      <c r="AX105" s="5467"/>
      <c r="AY105" s="5467"/>
      <c r="AZ105" s="5467"/>
      <c r="BA105" s="5467"/>
    </row>
    <row r="106" spans="1:53" ht="13.8" thickBot="1">
      <c r="A106" s="5489" t="s">
        <v>1298</v>
      </c>
      <c r="B106" s="3168" t="s">
        <v>1299</v>
      </c>
      <c r="C106" s="5474"/>
      <c r="D106" s="5475"/>
      <c r="E106" s="5475"/>
      <c r="F106" s="5475"/>
      <c r="G106" s="5475"/>
      <c r="H106" s="5474"/>
      <c r="I106" s="5475"/>
      <c r="J106" s="5475"/>
      <c r="K106" s="5475"/>
      <c r="L106" s="5475"/>
      <c r="M106" s="5474"/>
      <c r="N106" s="5475"/>
      <c r="O106" s="5475"/>
      <c r="P106" s="5475"/>
      <c r="Q106" s="5475"/>
      <c r="R106" s="5474"/>
      <c r="S106" s="5475"/>
      <c r="T106" s="5475"/>
      <c r="U106" s="5475"/>
      <c r="V106" s="5475"/>
      <c r="W106" s="5474"/>
      <c r="X106" s="5475"/>
      <c r="Y106" s="5475"/>
      <c r="Z106" s="5475"/>
      <c r="AA106" s="5475"/>
      <c r="AB106" s="4488"/>
      <c r="AC106" s="5467" t="str">
        <f t="shared" si="124"/>
        <v/>
      </c>
      <c r="AD106" s="5467"/>
      <c r="AE106" s="5467"/>
      <c r="AF106" s="5467"/>
      <c r="AG106" s="5467"/>
      <c r="AH106" s="5467" t="str">
        <f t="shared" si="125"/>
        <v/>
      </c>
      <c r="AI106" s="5467"/>
      <c r="AJ106" s="5467"/>
      <c r="AK106" s="5467"/>
      <c r="AL106" s="5467"/>
      <c r="AM106" s="5467" t="str">
        <f t="shared" si="126"/>
        <v/>
      </c>
      <c r="AN106" s="5467"/>
      <c r="AO106" s="5467"/>
      <c r="AP106" s="5467"/>
      <c r="AQ106" s="5467"/>
      <c r="AR106" s="5467" t="str">
        <f t="shared" si="127"/>
        <v/>
      </c>
      <c r="AS106" s="5467"/>
      <c r="AT106" s="5467"/>
      <c r="AU106" s="5467"/>
      <c r="AV106" s="5467"/>
      <c r="AW106" s="5467" t="str">
        <f t="shared" si="128"/>
        <v/>
      </c>
      <c r="AX106" s="5467"/>
      <c r="AY106" s="5467"/>
      <c r="AZ106" s="5467"/>
      <c r="BA106" s="5467"/>
    </row>
    <row r="107" spans="1:53" ht="13.8" thickBot="1">
      <c r="A107" s="5490"/>
      <c r="B107" s="3167" t="s">
        <v>1300</v>
      </c>
      <c r="C107" s="5474" t="s">
        <v>2002</v>
      </c>
      <c r="D107" s="5475"/>
      <c r="E107" s="5475"/>
      <c r="F107" s="5475"/>
      <c r="G107" s="5475"/>
      <c r="H107" s="5474"/>
      <c r="I107" s="5475"/>
      <c r="J107" s="5475"/>
      <c r="K107" s="5475"/>
      <c r="L107" s="5475"/>
      <c r="M107" s="5474"/>
      <c r="N107" s="5475"/>
      <c r="O107" s="5475"/>
      <c r="P107" s="5475"/>
      <c r="Q107" s="5475"/>
      <c r="R107" s="5474"/>
      <c r="S107" s="5475"/>
      <c r="T107" s="5475"/>
      <c r="U107" s="5475"/>
      <c r="V107" s="5475"/>
      <c r="W107" s="5474"/>
      <c r="X107" s="5475"/>
      <c r="Y107" s="5475"/>
      <c r="Z107" s="5475"/>
      <c r="AA107" s="5475"/>
      <c r="AB107" s="4488"/>
      <c r="AC107" s="5467" t="str">
        <f t="shared" si="124"/>
        <v>Капацитет: 2408 Е.Ж.; Qср.д. = 575.45 m3/d</v>
      </c>
      <c r="AD107" s="5467"/>
      <c r="AE107" s="5467"/>
      <c r="AF107" s="5467"/>
      <c r="AG107" s="5467"/>
      <c r="AH107" s="5467" t="str">
        <f t="shared" si="125"/>
        <v/>
      </c>
      <c r="AI107" s="5467"/>
      <c r="AJ107" s="5467"/>
      <c r="AK107" s="5467"/>
      <c r="AL107" s="5467"/>
      <c r="AM107" s="5467" t="str">
        <f t="shared" si="126"/>
        <v/>
      </c>
      <c r="AN107" s="5467"/>
      <c r="AO107" s="5467"/>
      <c r="AP107" s="5467"/>
      <c r="AQ107" s="5467"/>
      <c r="AR107" s="5467" t="str">
        <f t="shared" si="127"/>
        <v/>
      </c>
      <c r="AS107" s="5467"/>
      <c r="AT107" s="5467"/>
      <c r="AU107" s="5467"/>
      <c r="AV107" s="5467"/>
      <c r="AW107" s="5467" t="str">
        <f t="shared" si="128"/>
        <v/>
      </c>
      <c r="AX107" s="5467"/>
      <c r="AY107" s="5467"/>
      <c r="AZ107" s="5467"/>
      <c r="BA107" s="5467"/>
    </row>
    <row r="108" spans="1:53" ht="27" thickBot="1">
      <c r="A108" s="3817" t="s">
        <v>1301</v>
      </c>
      <c r="B108" s="3167" t="s">
        <v>1302</v>
      </c>
      <c r="C108" s="5474" t="s">
        <v>2003</v>
      </c>
      <c r="D108" s="5475"/>
      <c r="E108" s="5475"/>
      <c r="F108" s="5475"/>
      <c r="G108" s="5475"/>
      <c r="H108" s="5474"/>
      <c r="I108" s="5475"/>
      <c r="J108" s="5475"/>
      <c r="K108" s="5475"/>
      <c r="L108" s="5475"/>
      <c r="M108" s="5474"/>
      <c r="N108" s="5475"/>
      <c r="O108" s="5475"/>
      <c r="P108" s="5475"/>
      <c r="Q108" s="5475"/>
      <c r="R108" s="5474"/>
      <c r="S108" s="5475"/>
      <c r="T108" s="5475"/>
      <c r="U108" s="5475"/>
      <c r="V108" s="5475"/>
      <c r="W108" s="5474"/>
      <c r="X108" s="5475"/>
      <c r="Y108" s="5475"/>
      <c r="Z108" s="5475"/>
      <c r="AA108" s="5475"/>
      <c r="AB108" s="4488"/>
      <c r="AC108" s="5467" t="str">
        <f t="shared" si="124"/>
        <v>ПСОВ гр. Угърчин е в краен етап на изграждане.</v>
      </c>
      <c r="AD108" s="5467"/>
      <c r="AE108" s="5467"/>
      <c r="AF108" s="5467"/>
      <c r="AG108" s="5467"/>
      <c r="AH108" s="5467" t="str">
        <f t="shared" si="125"/>
        <v/>
      </c>
      <c r="AI108" s="5467"/>
      <c r="AJ108" s="5467"/>
      <c r="AK108" s="5467"/>
      <c r="AL108" s="5467"/>
      <c r="AM108" s="5467" t="str">
        <f t="shared" si="126"/>
        <v/>
      </c>
      <c r="AN108" s="5467"/>
      <c r="AO108" s="5467"/>
      <c r="AP108" s="5467"/>
      <c r="AQ108" s="5467"/>
      <c r="AR108" s="5467" t="str">
        <f t="shared" si="127"/>
        <v/>
      </c>
      <c r="AS108" s="5467"/>
      <c r="AT108" s="5467"/>
      <c r="AU108" s="5467"/>
      <c r="AV108" s="5467"/>
      <c r="AW108" s="5467" t="str">
        <f t="shared" si="128"/>
        <v/>
      </c>
      <c r="AX108" s="5467"/>
      <c r="AY108" s="5467"/>
      <c r="AZ108" s="5467"/>
      <c r="BA108" s="5467"/>
    </row>
    <row r="109" spans="1:53" ht="27" thickBot="1">
      <c r="A109" s="3169" t="s">
        <v>1303</v>
      </c>
      <c r="B109" s="3170" t="s">
        <v>1304</v>
      </c>
      <c r="C109" s="5510" t="s">
        <v>2004</v>
      </c>
      <c r="D109" s="5511"/>
      <c r="E109" s="5511"/>
      <c r="F109" s="5511"/>
      <c r="G109" s="5511"/>
      <c r="H109" s="5485"/>
      <c r="I109" s="5486"/>
      <c r="J109" s="5486"/>
      <c r="K109" s="5486"/>
      <c r="L109" s="5486"/>
      <c r="M109" s="5485"/>
      <c r="N109" s="5486"/>
      <c r="O109" s="5486"/>
      <c r="P109" s="5486"/>
      <c r="Q109" s="5486"/>
      <c r="R109" s="5485"/>
      <c r="S109" s="5486"/>
      <c r="T109" s="5486"/>
      <c r="U109" s="5486"/>
      <c r="V109" s="5486"/>
      <c r="W109" s="5485"/>
      <c r="X109" s="5486"/>
      <c r="Y109" s="5486"/>
      <c r="Z109" s="5486"/>
      <c r="AA109" s="5486"/>
      <c r="AB109" s="4488"/>
      <c r="AC109" s="5467" t="str">
        <f t="shared" si="124"/>
        <v>Съвкупност от данни от проекта и експертна експертна оценка</v>
      </c>
      <c r="AD109" s="5467"/>
      <c r="AE109" s="5467"/>
      <c r="AF109" s="5467"/>
      <c r="AG109" s="5467"/>
      <c r="AH109" s="5467" t="str">
        <f t="shared" si="125"/>
        <v/>
      </c>
      <c r="AI109" s="5467"/>
      <c r="AJ109" s="5467"/>
      <c r="AK109" s="5467"/>
      <c r="AL109" s="5467"/>
      <c r="AM109" s="5467" t="str">
        <f t="shared" si="126"/>
        <v/>
      </c>
      <c r="AN109" s="5467"/>
      <c r="AO109" s="5467"/>
      <c r="AP109" s="5467"/>
      <c r="AQ109" s="5467"/>
      <c r="AR109" s="5467" t="str">
        <f t="shared" si="127"/>
        <v/>
      </c>
      <c r="AS109" s="5467"/>
      <c r="AT109" s="5467"/>
      <c r="AU109" s="5467"/>
      <c r="AV109" s="5467"/>
      <c r="AW109" s="5467" t="str">
        <f t="shared" si="128"/>
        <v/>
      </c>
      <c r="AX109" s="5467"/>
      <c r="AY109" s="5467"/>
      <c r="AZ109" s="5467"/>
      <c r="BA109" s="5467"/>
    </row>
    <row r="110" spans="1:53" ht="13.8" thickBot="1">
      <c r="A110" s="5491" t="s">
        <v>1460</v>
      </c>
      <c r="B110" s="5492"/>
      <c r="C110" s="4274" t="str">
        <f>'Приложение '!$C$14</f>
        <v>2027 г.</v>
      </c>
      <c r="D110" s="4275" t="str">
        <f>'Приложение '!$C$15</f>
        <v>2028 г.</v>
      </c>
      <c r="E110" s="4275" t="str">
        <f>'Приложение '!$C$16</f>
        <v>2029 г.</v>
      </c>
      <c r="F110" s="4275" t="str">
        <f>'Приложение '!$C$17</f>
        <v>2030 г.</v>
      </c>
      <c r="G110" s="4275" t="str">
        <f>'Приложение '!$C$18</f>
        <v>2031 г.</v>
      </c>
      <c r="H110" s="4274" t="str">
        <f>'Приложение '!$C$14</f>
        <v>2027 г.</v>
      </c>
      <c r="I110" s="4275" t="str">
        <f>'Приложение '!$C$15</f>
        <v>2028 г.</v>
      </c>
      <c r="J110" s="4275" t="str">
        <f>'Приложение '!$C$16</f>
        <v>2029 г.</v>
      </c>
      <c r="K110" s="4275" t="str">
        <f>'Приложение '!$C$17</f>
        <v>2030 г.</v>
      </c>
      <c r="L110" s="4275" t="str">
        <f>'Приложение '!$C$18</f>
        <v>2031 г.</v>
      </c>
      <c r="M110" s="4274" t="str">
        <f>'Приложение '!$C$14</f>
        <v>2027 г.</v>
      </c>
      <c r="N110" s="4275" t="str">
        <f>'Приложение '!$C$15</f>
        <v>2028 г.</v>
      </c>
      <c r="O110" s="4275" t="str">
        <f>'Приложение '!$C$16</f>
        <v>2029 г.</v>
      </c>
      <c r="P110" s="4275" t="str">
        <f>'Приложение '!$C$17</f>
        <v>2030 г.</v>
      </c>
      <c r="Q110" s="4275" t="str">
        <f>'Приложение '!$C$18</f>
        <v>2031 г.</v>
      </c>
      <c r="R110" s="4274" t="str">
        <f>'Приложение '!$C$14</f>
        <v>2027 г.</v>
      </c>
      <c r="S110" s="4275" t="str">
        <f>'Приложение '!$C$15</f>
        <v>2028 г.</v>
      </c>
      <c r="T110" s="4275" t="str">
        <f>'Приложение '!$C$16</f>
        <v>2029 г.</v>
      </c>
      <c r="U110" s="4275" t="str">
        <f>'Приложение '!$C$17</f>
        <v>2030 г.</v>
      </c>
      <c r="V110" s="4275" t="str">
        <f>'Приложение '!$C$18</f>
        <v>2031 г.</v>
      </c>
      <c r="W110" s="4274" t="str">
        <f>'Приложение '!$C$14</f>
        <v>2027 г.</v>
      </c>
      <c r="X110" s="4275" t="str">
        <f>'Приложение '!$C$15</f>
        <v>2028 г.</v>
      </c>
      <c r="Y110" s="4275" t="str">
        <f>'Приложение '!$C$16</f>
        <v>2029 г.</v>
      </c>
      <c r="Z110" s="4275" t="str">
        <f>'Приложение '!$C$17</f>
        <v>2030 г.</v>
      </c>
      <c r="AA110" s="4275" t="str">
        <f>'Приложение '!$C$18</f>
        <v>2031 г.</v>
      </c>
      <c r="AB110" s="4488"/>
      <c r="AC110" s="4535" t="str">
        <f>'Приложение '!$C$14</f>
        <v>2027 г.</v>
      </c>
      <c r="AD110" s="4535" t="str">
        <f>'Приложение '!$C$15</f>
        <v>2028 г.</v>
      </c>
      <c r="AE110" s="4535" t="str">
        <f>'Приложение '!$C$16</f>
        <v>2029 г.</v>
      </c>
      <c r="AF110" s="4535" t="str">
        <f>'Приложение '!$C$17</f>
        <v>2030 г.</v>
      </c>
      <c r="AG110" s="4535" t="str">
        <f>'Приложение '!$C$18</f>
        <v>2031 г.</v>
      </c>
      <c r="AH110" s="4535" t="str">
        <f>'Приложение '!$C$14</f>
        <v>2027 г.</v>
      </c>
      <c r="AI110" s="4535" t="str">
        <f>'Приложение '!$C$15</f>
        <v>2028 г.</v>
      </c>
      <c r="AJ110" s="4535" t="str">
        <f>'Приложение '!$C$16</f>
        <v>2029 г.</v>
      </c>
      <c r="AK110" s="4535" t="str">
        <f>'Приложение '!$C$17</f>
        <v>2030 г.</v>
      </c>
      <c r="AL110" s="4535" t="str">
        <f>'Приложение '!$C$18</f>
        <v>2031 г.</v>
      </c>
      <c r="AM110" s="4535" t="str">
        <f>'Приложение '!$C$14</f>
        <v>2027 г.</v>
      </c>
      <c r="AN110" s="4535" t="str">
        <f>'Приложение '!$C$15</f>
        <v>2028 г.</v>
      </c>
      <c r="AO110" s="4535" t="str">
        <f>'Приложение '!$C$16</f>
        <v>2029 г.</v>
      </c>
      <c r="AP110" s="4535" t="str">
        <f>'Приложение '!$C$17</f>
        <v>2030 г.</v>
      </c>
      <c r="AQ110" s="4535" t="str">
        <f>'Приложение '!$C$18</f>
        <v>2031 г.</v>
      </c>
      <c r="AR110" s="4535" t="str">
        <f>'Приложение '!$C$14</f>
        <v>2027 г.</v>
      </c>
      <c r="AS110" s="4535" t="str">
        <f>'Приложение '!$C$15</f>
        <v>2028 г.</v>
      </c>
      <c r="AT110" s="4535" t="str">
        <f>'Приложение '!$C$16</f>
        <v>2029 г.</v>
      </c>
      <c r="AU110" s="4535" t="str">
        <f>'Приложение '!$C$17</f>
        <v>2030 г.</v>
      </c>
      <c r="AV110" s="4535" t="str">
        <f>'Приложение '!$C$18</f>
        <v>2031 г.</v>
      </c>
      <c r="AW110" s="4535" t="str">
        <f>'Приложение '!$C$14</f>
        <v>2027 г.</v>
      </c>
      <c r="AX110" s="4535" t="str">
        <f>'Приложение '!$C$15</f>
        <v>2028 г.</v>
      </c>
      <c r="AY110" s="4535" t="str">
        <f>'Приложение '!$C$16</f>
        <v>2029 г.</v>
      </c>
      <c r="AZ110" s="4535" t="str">
        <f>'Приложение '!$C$17</f>
        <v>2030 г.</v>
      </c>
      <c r="BA110" s="4535" t="str">
        <f>'Приложение '!$C$18</f>
        <v>2031 г.</v>
      </c>
    </row>
    <row r="111" spans="1:53" ht="12.75" customHeight="1">
      <c r="A111" s="5480" t="s">
        <v>1446</v>
      </c>
      <c r="B111" s="5481"/>
      <c r="C111" s="3171">
        <v>1920</v>
      </c>
      <c r="D111" s="3172">
        <v>1960</v>
      </c>
      <c r="E111" s="3172">
        <v>1944</v>
      </c>
      <c r="F111" s="3172">
        <v>1933</v>
      </c>
      <c r="G111" s="3172">
        <v>1912</v>
      </c>
      <c r="H111" s="3171"/>
      <c r="I111" s="3172"/>
      <c r="J111" s="3172"/>
      <c r="K111" s="3172"/>
      <c r="L111" s="3172"/>
      <c r="M111" s="3171"/>
      <c r="N111" s="3172"/>
      <c r="O111" s="3172"/>
      <c r="P111" s="3172"/>
      <c r="Q111" s="3172"/>
      <c r="R111" s="3171"/>
      <c r="S111" s="3172"/>
      <c r="T111" s="3172"/>
      <c r="U111" s="3172"/>
      <c r="V111" s="3172"/>
      <c r="W111" s="3171"/>
      <c r="X111" s="3172"/>
      <c r="Y111" s="3172"/>
      <c r="Z111" s="3172"/>
      <c r="AA111" s="3172"/>
      <c r="AB111" s="4488"/>
      <c r="AC111" s="4538"/>
      <c r="AD111" s="4538"/>
      <c r="AE111" s="4538"/>
      <c r="AF111" s="4538"/>
      <c r="AG111" s="4538"/>
      <c r="AH111" s="4538"/>
      <c r="AI111" s="4538"/>
      <c r="AJ111" s="4538"/>
      <c r="AK111" s="4538"/>
      <c r="AL111" s="4538"/>
      <c r="AM111" s="4538"/>
      <c r="AN111" s="4538"/>
      <c r="AO111" s="4538"/>
      <c r="AP111" s="4538"/>
      <c r="AQ111" s="4538"/>
      <c r="AR111" s="4538"/>
      <c r="AS111" s="4538"/>
      <c r="AT111" s="4538"/>
      <c r="AU111" s="4538"/>
      <c r="AV111" s="4538"/>
      <c r="AW111" s="4538"/>
      <c r="AX111" s="4538"/>
      <c r="AY111" s="4538"/>
      <c r="AZ111" s="4538"/>
      <c r="BA111" s="4538"/>
    </row>
    <row r="112" spans="1:53" ht="12.75" customHeight="1">
      <c r="A112" s="5495" t="s">
        <v>1447</v>
      </c>
      <c r="B112" s="5496"/>
      <c r="C112" s="3173">
        <v>49455.11</v>
      </c>
      <c r="D112" s="3174">
        <v>50139.227588483933</v>
      </c>
      <c r="E112" s="3174">
        <v>50063.285656875269</v>
      </c>
      <c r="F112" s="3174">
        <v>49956.026118660346</v>
      </c>
      <c r="G112" s="3174">
        <v>49776.231522059999</v>
      </c>
      <c r="H112" s="3173"/>
      <c r="I112" s="3174"/>
      <c r="J112" s="3174"/>
      <c r="K112" s="3174"/>
      <c r="L112" s="3174"/>
      <c r="M112" s="3173"/>
      <c r="N112" s="3174"/>
      <c r="O112" s="3174"/>
      <c r="P112" s="3174"/>
      <c r="Q112" s="3174"/>
      <c r="R112" s="3173"/>
      <c r="S112" s="3174"/>
      <c r="T112" s="3174"/>
      <c r="U112" s="3174"/>
      <c r="V112" s="3174"/>
      <c r="W112" s="3173"/>
      <c r="X112" s="3174"/>
      <c r="Y112" s="3174"/>
      <c r="Z112" s="3174"/>
      <c r="AA112" s="3174"/>
      <c r="AB112" s="4488"/>
      <c r="AC112" s="4539"/>
      <c r="AD112" s="4539"/>
      <c r="AE112" s="4539"/>
      <c r="AF112" s="4539"/>
      <c r="AG112" s="4539"/>
      <c r="AH112" s="4539"/>
      <c r="AI112" s="4539"/>
      <c r="AJ112" s="4539"/>
      <c r="AK112" s="4539"/>
      <c r="AL112" s="4539"/>
      <c r="AM112" s="4539"/>
      <c r="AN112" s="4539"/>
      <c r="AO112" s="4539"/>
      <c r="AP112" s="4539"/>
      <c r="AQ112" s="4539"/>
      <c r="AR112" s="4539"/>
      <c r="AS112" s="4539"/>
      <c r="AT112" s="4539"/>
      <c r="AU112" s="4539"/>
      <c r="AV112" s="4539"/>
      <c r="AW112" s="4539"/>
      <c r="AX112" s="4539"/>
      <c r="AY112" s="4539"/>
      <c r="AZ112" s="4539"/>
      <c r="BA112" s="4539"/>
    </row>
    <row r="113" spans="1:53">
      <c r="A113" s="5497" t="s">
        <v>1448</v>
      </c>
      <c r="B113" s="5498"/>
      <c r="C113" s="3175">
        <v>125240</v>
      </c>
      <c r="D113" s="3176">
        <v>119180</v>
      </c>
      <c r="E113" s="3176">
        <v>113119.99999999999</v>
      </c>
      <c r="F113" s="3176">
        <v>107059.99999999999</v>
      </c>
      <c r="G113" s="3176">
        <v>100999.99999999997</v>
      </c>
      <c r="H113" s="3175"/>
      <c r="I113" s="3176"/>
      <c r="J113" s="3176"/>
      <c r="K113" s="3176"/>
      <c r="L113" s="3176"/>
      <c r="M113" s="3175"/>
      <c r="N113" s="3176"/>
      <c r="O113" s="3176"/>
      <c r="P113" s="3176"/>
      <c r="Q113" s="3176"/>
      <c r="R113" s="3175"/>
      <c r="S113" s="3176"/>
      <c r="T113" s="3176"/>
      <c r="U113" s="3176"/>
      <c r="V113" s="3176"/>
      <c r="W113" s="3175"/>
      <c r="X113" s="3176"/>
      <c r="Y113" s="3176"/>
      <c r="Z113" s="3176"/>
      <c r="AA113" s="3176"/>
      <c r="AB113" s="4488"/>
      <c r="AC113" s="4539"/>
      <c r="AD113" s="4539"/>
      <c r="AE113" s="4539"/>
      <c r="AF113" s="4539"/>
      <c r="AG113" s="4539"/>
      <c r="AH113" s="4539"/>
      <c r="AI113" s="4539"/>
      <c r="AJ113" s="4539"/>
      <c r="AK113" s="4539"/>
      <c r="AL113" s="4539"/>
      <c r="AM113" s="4539"/>
      <c r="AN113" s="4539"/>
      <c r="AO113" s="4539"/>
      <c r="AP113" s="4539"/>
      <c r="AQ113" s="4539"/>
      <c r="AR113" s="4539"/>
      <c r="AS113" s="4539"/>
      <c r="AT113" s="4539"/>
      <c r="AU113" s="4539"/>
      <c r="AV113" s="4539"/>
      <c r="AW113" s="4539"/>
      <c r="AX113" s="4539"/>
      <c r="AY113" s="4539"/>
      <c r="AZ113" s="4539"/>
      <c r="BA113" s="4539"/>
    </row>
    <row r="114" spans="1:53" ht="13.8" thickBot="1">
      <c r="A114" s="5507" t="s">
        <v>1449</v>
      </c>
      <c r="B114" s="5508"/>
      <c r="C114" s="3177">
        <v>7</v>
      </c>
      <c r="D114" s="3178">
        <v>7</v>
      </c>
      <c r="E114" s="3178">
        <v>7</v>
      </c>
      <c r="F114" s="3178">
        <v>7</v>
      </c>
      <c r="G114" s="3178">
        <v>7</v>
      </c>
      <c r="H114" s="3177"/>
      <c r="I114" s="3178"/>
      <c r="J114" s="3178"/>
      <c r="K114" s="3178"/>
      <c r="L114" s="3178"/>
      <c r="M114" s="3177"/>
      <c r="N114" s="3178"/>
      <c r="O114" s="3178"/>
      <c r="P114" s="3178"/>
      <c r="Q114" s="3178"/>
      <c r="R114" s="3177"/>
      <c r="S114" s="3178"/>
      <c r="T114" s="3178"/>
      <c r="U114" s="3178"/>
      <c r="V114" s="3178"/>
      <c r="W114" s="3177"/>
      <c r="X114" s="3178"/>
      <c r="Y114" s="3178"/>
      <c r="Z114" s="3178"/>
      <c r="AA114" s="3178"/>
      <c r="AB114" s="4488"/>
      <c r="AC114" s="4540"/>
      <c r="AD114" s="4540"/>
      <c r="AE114" s="4540"/>
      <c r="AF114" s="4540"/>
      <c r="AG114" s="4540"/>
      <c r="AH114" s="4540"/>
      <c r="AI114" s="4540"/>
      <c r="AJ114" s="4540"/>
      <c r="AK114" s="4540"/>
      <c r="AL114" s="4540"/>
      <c r="AM114" s="4540"/>
      <c r="AN114" s="4540"/>
      <c r="AO114" s="4540"/>
      <c r="AP114" s="4540"/>
      <c r="AQ114" s="4540"/>
      <c r="AR114" s="4540"/>
      <c r="AS114" s="4540"/>
      <c r="AT114" s="4540"/>
      <c r="AU114" s="4540"/>
      <c r="AV114" s="4540"/>
      <c r="AW114" s="4540"/>
      <c r="AX114" s="4540"/>
      <c r="AY114" s="4540"/>
      <c r="AZ114" s="4540"/>
      <c r="BA114" s="4540"/>
    </row>
    <row r="115" spans="1:53" s="2" customFormat="1" ht="25.5" customHeight="1" thickBot="1">
      <c r="A115" s="5499" t="s">
        <v>1451</v>
      </c>
      <c r="B115" s="5500"/>
      <c r="C115" s="3179">
        <f t="shared" ref="C115:AA115" si="129">SUM(C116,C121:C125)</f>
        <v>275.73861431770689</v>
      </c>
      <c r="D115" s="3180">
        <f t="shared" si="129"/>
        <v>305.64362680635708</v>
      </c>
      <c r="E115" s="3180">
        <f t="shared" si="129"/>
        <v>338.80529321931391</v>
      </c>
      <c r="F115" s="3180">
        <f t="shared" si="129"/>
        <v>375.9104387540562</v>
      </c>
      <c r="G115" s="3180">
        <f t="shared" si="129"/>
        <v>417.5915640762629</v>
      </c>
      <c r="H115" s="3179">
        <f t="shared" si="129"/>
        <v>0</v>
      </c>
      <c r="I115" s="3180">
        <f t="shared" si="129"/>
        <v>0</v>
      </c>
      <c r="J115" s="3180">
        <f t="shared" si="129"/>
        <v>0</v>
      </c>
      <c r="K115" s="3180">
        <f t="shared" si="129"/>
        <v>0</v>
      </c>
      <c r="L115" s="3180">
        <f t="shared" si="129"/>
        <v>0</v>
      </c>
      <c r="M115" s="3179">
        <f t="shared" si="129"/>
        <v>0</v>
      </c>
      <c r="N115" s="3180">
        <f t="shared" si="129"/>
        <v>0</v>
      </c>
      <c r="O115" s="3180">
        <f t="shared" si="129"/>
        <v>0</v>
      </c>
      <c r="P115" s="3180">
        <f t="shared" si="129"/>
        <v>0</v>
      </c>
      <c r="Q115" s="3180">
        <f t="shared" si="129"/>
        <v>0</v>
      </c>
      <c r="R115" s="3179">
        <f t="shared" si="129"/>
        <v>0</v>
      </c>
      <c r="S115" s="3180">
        <f t="shared" si="129"/>
        <v>0</v>
      </c>
      <c r="T115" s="3180">
        <f t="shared" si="129"/>
        <v>0</v>
      </c>
      <c r="U115" s="3180">
        <f t="shared" si="129"/>
        <v>0</v>
      </c>
      <c r="V115" s="3180">
        <f t="shared" si="129"/>
        <v>0</v>
      </c>
      <c r="W115" s="3179">
        <f t="shared" si="129"/>
        <v>0</v>
      </c>
      <c r="X115" s="3180">
        <f t="shared" si="129"/>
        <v>0</v>
      </c>
      <c r="Y115" s="3180">
        <f t="shared" si="129"/>
        <v>0</v>
      </c>
      <c r="Z115" s="3180">
        <f t="shared" si="129"/>
        <v>0</v>
      </c>
      <c r="AA115" s="3180">
        <f t="shared" si="129"/>
        <v>0</v>
      </c>
      <c r="AB115" s="4488"/>
      <c r="AC115" s="4536">
        <f>IFERROR(C115/$D$1,0)</f>
        <v>140.98291483293892</v>
      </c>
      <c r="AD115" s="4537">
        <f t="shared" ref="AD115:AD125" si="130">IFERROR(D115/$D$1,0)</f>
        <v>156.27310492545726</v>
      </c>
      <c r="AE115" s="4537">
        <f t="shared" ref="AE115:AE125" si="131">IFERROR(E115/$D$1,0)</f>
        <v>173.22839572933941</v>
      </c>
      <c r="AF115" s="4537">
        <f t="shared" ref="AF115:AF125" si="132">IFERROR(F115/$D$1,0)</f>
        <v>192.19995539185726</v>
      </c>
      <c r="AG115" s="4537">
        <f t="shared" ref="AG115:AG125" si="133">IFERROR(G115/$D$1,0)</f>
        <v>213.51117636822369</v>
      </c>
      <c r="AH115" s="4537">
        <f t="shared" ref="AH115:AH125" si="134">IFERROR(H115/$D$1,0)</f>
        <v>0</v>
      </c>
      <c r="AI115" s="4537">
        <f t="shared" ref="AI115:AI125" si="135">IFERROR(I115/$D$1,0)</f>
        <v>0</v>
      </c>
      <c r="AJ115" s="4537">
        <f t="shared" ref="AJ115:AJ125" si="136">IFERROR(J115/$D$1,0)</f>
        <v>0</v>
      </c>
      <c r="AK115" s="4537">
        <f t="shared" ref="AK115:AK125" si="137">IFERROR(K115/$D$1,0)</f>
        <v>0</v>
      </c>
      <c r="AL115" s="4537">
        <f t="shared" ref="AL115:AL125" si="138">IFERROR(L115/$D$1,0)</f>
        <v>0</v>
      </c>
      <c r="AM115" s="4537">
        <f t="shared" ref="AM115:AM125" si="139">IFERROR(M115/$D$1,0)</f>
        <v>0</v>
      </c>
      <c r="AN115" s="4537">
        <f t="shared" ref="AN115:AN125" si="140">IFERROR(N115/$D$1,0)</f>
        <v>0</v>
      </c>
      <c r="AO115" s="4537">
        <f t="shared" ref="AO115:AO125" si="141">IFERROR(O115/$D$1,0)</f>
        <v>0</v>
      </c>
      <c r="AP115" s="4537">
        <f t="shared" ref="AP115:AP125" si="142">IFERROR(P115/$D$1,0)</f>
        <v>0</v>
      </c>
      <c r="AQ115" s="4537">
        <f t="shared" ref="AQ115:AQ125" si="143">IFERROR(Q115/$D$1,0)</f>
        <v>0</v>
      </c>
      <c r="AR115" s="4537">
        <f t="shared" ref="AR115:AR125" si="144">IFERROR(R115/$D$1,0)</f>
        <v>0</v>
      </c>
      <c r="AS115" s="4537">
        <f t="shared" ref="AS115:AS125" si="145">IFERROR(S115/$D$1,0)</f>
        <v>0</v>
      </c>
      <c r="AT115" s="4537">
        <f t="shared" ref="AT115:AT125" si="146">IFERROR(T115/$D$1,0)</f>
        <v>0</v>
      </c>
      <c r="AU115" s="4537">
        <f t="shared" ref="AU115:AU125" si="147">IFERROR(U115/$D$1,0)</f>
        <v>0</v>
      </c>
      <c r="AV115" s="4537">
        <f t="shared" ref="AV115:AV125" si="148">IFERROR(V115/$D$1,0)</f>
        <v>0</v>
      </c>
      <c r="AW115" s="4537">
        <f t="shared" ref="AW115:AW125" si="149">IFERROR(W115/$D$1,0)</f>
        <v>0</v>
      </c>
      <c r="AX115" s="4537">
        <f t="shared" ref="AX115:AX125" si="150">IFERROR(X115/$D$1,0)</f>
        <v>0</v>
      </c>
      <c r="AY115" s="4537">
        <f t="shared" ref="AY115:AY125" si="151">IFERROR(Y115/$D$1,0)</f>
        <v>0</v>
      </c>
      <c r="AZ115" s="4537">
        <f t="shared" ref="AZ115:AZ125" si="152">IFERROR(Z115/$D$1,0)</f>
        <v>0</v>
      </c>
      <c r="BA115" s="4537">
        <f t="shared" ref="BA115:BA125" si="153">IFERROR(AA115/$D$1,0)</f>
        <v>0</v>
      </c>
    </row>
    <row r="116" spans="1:53" ht="12.75" customHeight="1" thickBot="1">
      <c r="A116" s="5501" t="s">
        <v>1450</v>
      </c>
      <c r="B116" s="5502"/>
      <c r="C116" s="3173">
        <v>40.336322719004784</v>
      </c>
      <c r="D116" s="3174">
        <v>38.663594761633583</v>
      </c>
      <c r="E116" s="3174">
        <v>36.990974258262376</v>
      </c>
      <c r="F116" s="3174">
        <v>35.318462283431174</v>
      </c>
      <c r="G116" s="3174">
        <v>33.646059922425373</v>
      </c>
      <c r="H116" s="3173"/>
      <c r="I116" s="3174"/>
      <c r="J116" s="3174"/>
      <c r="K116" s="3174"/>
      <c r="L116" s="3174"/>
      <c r="M116" s="3173"/>
      <c r="N116" s="3174"/>
      <c r="O116" s="3174"/>
      <c r="P116" s="3174"/>
      <c r="Q116" s="3174"/>
      <c r="R116" s="3173"/>
      <c r="S116" s="3174"/>
      <c r="T116" s="3174"/>
      <c r="U116" s="3174"/>
      <c r="V116" s="3174"/>
      <c r="W116" s="3173"/>
      <c r="X116" s="3174"/>
      <c r="Y116" s="3174"/>
      <c r="Z116" s="3174"/>
      <c r="AA116" s="3174"/>
      <c r="AB116" s="4488"/>
      <c r="AC116" s="4493">
        <f t="shared" ref="AC116:AC125" si="154">IFERROR(C116/$D$1,0)</f>
        <v>20.623634323537722</v>
      </c>
      <c r="AD116" s="4493">
        <f t="shared" si="130"/>
        <v>19.768382099483894</v>
      </c>
      <c r="AE116" s="4493">
        <f t="shared" si="131"/>
        <v>18.913184815787865</v>
      </c>
      <c r="AF116" s="4493">
        <f t="shared" si="132"/>
        <v>18.058043021853216</v>
      </c>
      <c r="AG116" s="4493">
        <f t="shared" si="133"/>
        <v>17.202957272577564</v>
      </c>
      <c r="AH116" s="4493">
        <f t="shared" si="134"/>
        <v>0</v>
      </c>
      <c r="AI116" s="4493">
        <f t="shared" si="135"/>
        <v>0</v>
      </c>
      <c r="AJ116" s="4493">
        <f t="shared" si="136"/>
        <v>0</v>
      </c>
      <c r="AK116" s="4493">
        <f t="shared" si="137"/>
        <v>0</v>
      </c>
      <c r="AL116" s="4493">
        <f t="shared" si="138"/>
        <v>0</v>
      </c>
      <c r="AM116" s="4493">
        <f t="shared" si="139"/>
        <v>0</v>
      </c>
      <c r="AN116" s="4493">
        <f t="shared" si="140"/>
        <v>0</v>
      </c>
      <c r="AO116" s="4493">
        <f t="shared" si="141"/>
        <v>0</v>
      </c>
      <c r="AP116" s="4493">
        <f t="shared" si="142"/>
        <v>0</v>
      </c>
      <c r="AQ116" s="4493">
        <f t="shared" si="143"/>
        <v>0</v>
      </c>
      <c r="AR116" s="4493">
        <f t="shared" si="144"/>
        <v>0</v>
      </c>
      <c r="AS116" s="4493">
        <f t="shared" si="145"/>
        <v>0</v>
      </c>
      <c r="AT116" s="4493">
        <f t="shared" si="146"/>
        <v>0</v>
      </c>
      <c r="AU116" s="4493">
        <f t="shared" si="147"/>
        <v>0</v>
      </c>
      <c r="AV116" s="4493">
        <f t="shared" si="148"/>
        <v>0</v>
      </c>
      <c r="AW116" s="4493">
        <f t="shared" si="149"/>
        <v>0</v>
      </c>
      <c r="AX116" s="4493">
        <f t="shared" si="150"/>
        <v>0</v>
      </c>
      <c r="AY116" s="4493">
        <f t="shared" si="151"/>
        <v>0</v>
      </c>
      <c r="AZ116" s="4493">
        <f t="shared" si="152"/>
        <v>0</v>
      </c>
      <c r="BA116" s="4493">
        <f t="shared" si="153"/>
        <v>0</v>
      </c>
    </row>
    <row r="117" spans="1:53" ht="13.8" thickBot="1">
      <c r="A117" s="5503" t="s">
        <v>1462</v>
      </c>
      <c r="B117" s="5504"/>
      <c r="C117" s="3173">
        <v>1.47</v>
      </c>
      <c r="D117" s="3174">
        <v>1.47</v>
      </c>
      <c r="E117" s="3174">
        <v>1.47</v>
      </c>
      <c r="F117" s="3174">
        <v>1.47</v>
      </c>
      <c r="G117" s="3174">
        <v>1.47</v>
      </c>
      <c r="H117" s="3173"/>
      <c r="I117" s="3174"/>
      <c r="J117" s="3174"/>
      <c r="K117" s="3174"/>
      <c r="L117" s="3174"/>
      <c r="M117" s="3173"/>
      <c r="N117" s="3174"/>
      <c r="O117" s="3174"/>
      <c r="P117" s="3174"/>
      <c r="Q117" s="3174"/>
      <c r="R117" s="3173"/>
      <c r="S117" s="3174"/>
      <c r="T117" s="3174"/>
      <c r="U117" s="3174"/>
      <c r="V117" s="3174"/>
      <c r="W117" s="3173"/>
      <c r="X117" s="3174"/>
      <c r="Y117" s="3174"/>
      <c r="Z117" s="3174"/>
      <c r="AA117" s="3174"/>
      <c r="AB117" s="4488"/>
      <c r="AC117" s="4493">
        <f t="shared" si="154"/>
        <v>0.75159906535844112</v>
      </c>
      <c r="AD117" s="4493">
        <f t="shared" si="130"/>
        <v>0.75159906535844112</v>
      </c>
      <c r="AE117" s="4493">
        <f t="shared" si="131"/>
        <v>0.75159906535844112</v>
      </c>
      <c r="AF117" s="4493">
        <f t="shared" si="132"/>
        <v>0.75159906535844112</v>
      </c>
      <c r="AG117" s="4493">
        <f t="shared" si="133"/>
        <v>0.75159906535844112</v>
      </c>
      <c r="AH117" s="4493">
        <f t="shared" si="134"/>
        <v>0</v>
      </c>
      <c r="AI117" s="4493">
        <f t="shared" si="135"/>
        <v>0</v>
      </c>
      <c r="AJ117" s="4493">
        <f t="shared" si="136"/>
        <v>0</v>
      </c>
      <c r="AK117" s="4493">
        <f t="shared" si="137"/>
        <v>0</v>
      </c>
      <c r="AL117" s="4493">
        <f t="shared" si="138"/>
        <v>0</v>
      </c>
      <c r="AM117" s="4493">
        <f t="shared" si="139"/>
        <v>0</v>
      </c>
      <c r="AN117" s="4493">
        <f t="shared" si="140"/>
        <v>0</v>
      </c>
      <c r="AO117" s="4493">
        <f t="shared" si="141"/>
        <v>0</v>
      </c>
      <c r="AP117" s="4493">
        <f t="shared" si="142"/>
        <v>0</v>
      </c>
      <c r="AQ117" s="4493">
        <f t="shared" si="143"/>
        <v>0</v>
      </c>
      <c r="AR117" s="4493">
        <f t="shared" si="144"/>
        <v>0</v>
      </c>
      <c r="AS117" s="4493">
        <f t="shared" si="145"/>
        <v>0</v>
      </c>
      <c r="AT117" s="4493">
        <f t="shared" si="146"/>
        <v>0</v>
      </c>
      <c r="AU117" s="4493">
        <f t="shared" si="147"/>
        <v>0</v>
      </c>
      <c r="AV117" s="4493">
        <f t="shared" si="148"/>
        <v>0</v>
      </c>
      <c r="AW117" s="4493">
        <f t="shared" si="149"/>
        <v>0</v>
      </c>
      <c r="AX117" s="4493">
        <f t="shared" si="150"/>
        <v>0</v>
      </c>
      <c r="AY117" s="4493">
        <f t="shared" si="151"/>
        <v>0</v>
      </c>
      <c r="AZ117" s="4493">
        <f t="shared" si="152"/>
        <v>0</v>
      </c>
      <c r="BA117" s="4493">
        <f t="shared" si="153"/>
        <v>0</v>
      </c>
    </row>
    <row r="118" spans="1:53" ht="12.75" customHeight="1" thickBot="1">
      <c r="A118" s="5478" t="s">
        <v>1452</v>
      </c>
      <c r="B118" s="5479"/>
      <c r="C118" s="3173">
        <v>0</v>
      </c>
      <c r="D118" s="3174">
        <v>0</v>
      </c>
      <c r="E118" s="3174">
        <v>0</v>
      </c>
      <c r="F118" s="3174">
        <v>0</v>
      </c>
      <c r="G118" s="3174">
        <v>0</v>
      </c>
      <c r="H118" s="3173"/>
      <c r="I118" s="3174"/>
      <c r="J118" s="3174"/>
      <c r="K118" s="3174"/>
      <c r="L118" s="3174"/>
      <c r="M118" s="3173"/>
      <c r="N118" s="3174"/>
      <c r="O118" s="3174"/>
      <c r="P118" s="3174"/>
      <c r="Q118" s="3174"/>
      <c r="R118" s="3173"/>
      <c r="S118" s="3174"/>
      <c r="T118" s="3174"/>
      <c r="U118" s="3174"/>
      <c r="V118" s="3174"/>
      <c r="W118" s="3173"/>
      <c r="X118" s="3174"/>
      <c r="Y118" s="3174"/>
      <c r="Z118" s="3174"/>
      <c r="AA118" s="3174"/>
      <c r="AB118" s="4488"/>
      <c r="AC118" s="4493">
        <f t="shared" si="154"/>
        <v>0</v>
      </c>
      <c r="AD118" s="4493">
        <f t="shared" si="130"/>
        <v>0</v>
      </c>
      <c r="AE118" s="4493">
        <f t="shared" si="131"/>
        <v>0</v>
      </c>
      <c r="AF118" s="4493">
        <f t="shared" si="132"/>
        <v>0</v>
      </c>
      <c r="AG118" s="4493">
        <f t="shared" si="133"/>
        <v>0</v>
      </c>
      <c r="AH118" s="4493">
        <f t="shared" si="134"/>
        <v>0</v>
      </c>
      <c r="AI118" s="4493">
        <f t="shared" si="135"/>
        <v>0</v>
      </c>
      <c r="AJ118" s="4493">
        <f t="shared" si="136"/>
        <v>0</v>
      </c>
      <c r="AK118" s="4493">
        <f t="shared" si="137"/>
        <v>0</v>
      </c>
      <c r="AL118" s="4493">
        <f t="shared" si="138"/>
        <v>0</v>
      </c>
      <c r="AM118" s="4493">
        <f t="shared" si="139"/>
        <v>0</v>
      </c>
      <c r="AN118" s="4493">
        <f t="shared" si="140"/>
        <v>0</v>
      </c>
      <c r="AO118" s="4493">
        <f t="shared" si="141"/>
        <v>0</v>
      </c>
      <c r="AP118" s="4493">
        <f t="shared" si="142"/>
        <v>0</v>
      </c>
      <c r="AQ118" s="4493">
        <f t="shared" si="143"/>
        <v>0</v>
      </c>
      <c r="AR118" s="4493">
        <f t="shared" si="144"/>
        <v>0</v>
      </c>
      <c r="AS118" s="4493">
        <f t="shared" si="145"/>
        <v>0</v>
      </c>
      <c r="AT118" s="4493">
        <f t="shared" si="146"/>
        <v>0</v>
      </c>
      <c r="AU118" s="4493">
        <f t="shared" si="147"/>
        <v>0</v>
      </c>
      <c r="AV118" s="4493">
        <f t="shared" si="148"/>
        <v>0</v>
      </c>
      <c r="AW118" s="4493">
        <f t="shared" si="149"/>
        <v>0</v>
      </c>
      <c r="AX118" s="4493">
        <f t="shared" si="150"/>
        <v>0</v>
      </c>
      <c r="AY118" s="4493">
        <f t="shared" si="151"/>
        <v>0</v>
      </c>
      <c r="AZ118" s="4493">
        <f t="shared" si="152"/>
        <v>0</v>
      </c>
      <c r="BA118" s="4493">
        <f t="shared" si="153"/>
        <v>0</v>
      </c>
    </row>
    <row r="119" spans="1:53" ht="12.75" customHeight="1" thickBot="1">
      <c r="A119" s="5478" t="s">
        <v>1453</v>
      </c>
      <c r="B119" s="5479"/>
      <c r="C119" s="3173">
        <v>0.9</v>
      </c>
      <c r="D119" s="3174">
        <v>0.9</v>
      </c>
      <c r="E119" s="3174">
        <v>0.9</v>
      </c>
      <c r="F119" s="3174">
        <v>0.9</v>
      </c>
      <c r="G119" s="3174">
        <v>0.9</v>
      </c>
      <c r="H119" s="3173"/>
      <c r="I119" s="3174"/>
      <c r="J119" s="3174"/>
      <c r="K119" s="3174"/>
      <c r="L119" s="3174"/>
      <c r="M119" s="3173"/>
      <c r="N119" s="3174"/>
      <c r="O119" s="3174"/>
      <c r="P119" s="3174"/>
      <c r="Q119" s="3174"/>
      <c r="R119" s="3173"/>
      <c r="S119" s="3174"/>
      <c r="T119" s="3174"/>
      <c r="U119" s="3174"/>
      <c r="V119" s="3174"/>
      <c r="W119" s="3173"/>
      <c r="X119" s="3174"/>
      <c r="Y119" s="3174"/>
      <c r="Z119" s="3174"/>
      <c r="AA119" s="3174"/>
      <c r="AB119" s="4488"/>
      <c r="AC119" s="4493">
        <f t="shared" si="154"/>
        <v>0.46016269307659668</v>
      </c>
      <c r="AD119" s="4493">
        <f t="shared" si="130"/>
        <v>0.46016269307659668</v>
      </c>
      <c r="AE119" s="4493">
        <f t="shared" si="131"/>
        <v>0.46016269307659668</v>
      </c>
      <c r="AF119" s="4493">
        <f t="shared" si="132"/>
        <v>0.46016269307659668</v>
      </c>
      <c r="AG119" s="4493">
        <f t="shared" si="133"/>
        <v>0.46016269307659668</v>
      </c>
      <c r="AH119" s="4493">
        <f t="shared" si="134"/>
        <v>0</v>
      </c>
      <c r="AI119" s="4493">
        <f t="shared" si="135"/>
        <v>0</v>
      </c>
      <c r="AJ119" s="4493">
        <f t="shared" si="136"/>
        <v>0</v>
      </c>
      <c r="AK119" s="4493">
        <f t="shared" si="137"/>
        <v>0</v>
      </c>
      <c r="AL119" s="4493">
        <f t="shared" si="138"/>
        <v>0</v>
      </c>
      <c r="AM119" s="4493">
        <f t="shared" si="139"/>
        <v>0</v>
      </c>
      <c r="AN119" s="4493">
        <f t="shared" si="140"/>
        <v>0</v>
      </c>
      <c r="AO119" s="4493">
        <f t="shared" si="141"/>
        <v>0</v>
      </c>
      <c r="AP119" s="4493">
        <f t="shared" si="142"/>
        <v>0</v>
      </c>
      <c r="AQ119" s="4493">
        <f t="shared" si="143"/>
        <v>0</v>
      </c>
      <c r="AR119" s="4493">
        <f t="shared" si="144"/>
        <v>0</v>
      </c>
      <c r="AS119" s="4493">
        <f t="shared" si="145"/>
        <v>0</v>
      </c>
      <c r="AT119" s="4493">
        <f t="shared" si="146"/>
        <v>0</v>
      </c>
      <c r="AU119" s="4493">
        <f t="shared" si="147"/>
        <v>0</v>
      </c>
      <c r="AV119" s="4493">
        <f t="shared" si="148"/>
        <v>0</v>
      </c>
      <c r="AW119" s="4493">
        <f t="shared" si="149"/>
        <v>0</v>
      </c>
      <c r="AX119" s="4493">
        <f t="shared" si="150"/>
        <v>0</v>
      </c>
      <c r="AY119" s="4493">
        <f t="shared" si="151"/>
        <v>0</v>
      </c>
      <c r="AZ119" s="4493">
        <f t="shared" si="152"/>
        <v>0</v>
      </c>
      <c r="BA119" s="4493">
        <f t="shared" si="153"/>
        <v>0</v>
      </c>
    </row>
    <row r="120" spans="1:53" ht="12.75" customHeight="1" thickBot="1">
      <c r="A120" s="5478" t="s">
        <v>1454</v>
      </c>
      <c r="B120" s="5479"/>
      <c r="C120" s="3173">
        <v>34.791782719004786</v>
      </c>
      <c r="D120" s="3174">
        <v>33.10830936163358</v>
      </c>
      <c r="E120" s="3174">
        <v>31.424836004262374</v>
      </c>
      <c r="F120" s="3174">
        <v>29.741362646891176</v>
      </c>
      <c r="G120" s="3174">
        <v>28.05788928951997</v>
      </c>
      <c r="H120" s="3173"/>
      <c r="I120" s="3174"/>
      <c r="J120" s="3174"/>
      <c r="K120" s="3174"/>
      <c r="L120" s="3174"/>
      <c r="M120" s="3173"/>
      <c r="N120" s="3174"/>
      <c r="O120" s="3174"/>
      <c r="P120" s="3174"/>
      <c r="Q120" s="3174"/>
      <c r="R120" s="3173"/>
      <c r="S120" s="3174"/>
      <c r="T120" s="3174"/>
      <c r="U120" s="3174"/>
      <c r="V120" s="3174"/>
      <c r="W120" s="3173"/>
      <c r="X120" s="3174"/>
      <c r="Y120" s="3174"/>
      <c r="Z120" s="3174"/>
      <c r="AA120" s="3174"/>
      <c r="AB120" s="4488"/>
      <c r="AC120" s="4493">
        <f t="shared" si="154"/>
        <v>17.788756036570042</v>
      </c>
      <c r="AD120" s="4493">
        <f t="shared" si="130"/>
        <v>16.928009776736005</v>
      </c>
      <c r="AE120" s="4493">
        <f t="shared" si="131"/>
        <v>16.067263516901967</v>
      </c>
      <c r="AF120" s="4493">
        <f t="shared" si="132"/>
        <v>15.206517257067933</v>
      </c>
      <c r="AG120" s="4493">
        <f t="shared" si="133"/>
        <v>14.345770997233895</v>
      </c>
      <c r="AH120" s="4493">
        <f t="shared" si="134"/>
        <v>0</v>
      </c>
      <c r="AI120" s="4493">
        <f t="shared" si="135"/>
        <v>0</v>
      </c>
      <c r="AJ120" s="4493">
        <f t="shared" si="136"/>
        <v>0</v>
      </c>
      <c r="AK120" s="4493">
        <f t="shared" si="137"/>
        <v>0</v>
      </c>
      <c r="AL120" s="4493">
        <f t="shared" si="138"/>
        <v>0</v>
      </c>
      <c r="AM120" s="4493">
        <f t="shared" si="139"/>
        <v>0</v>
      </c>
      <c r="AN120" s="4493">
        <f t="shared" si="140"/>
        <v>0</v>
      </c>
      <c r="AO120" s="4493">
        <f t="shared" si="141"/>
        <v>0</v>
      </c>
      <c r="AP120" s="4493">
        <f t="shared" si="142"/>
        <v>0</v>
      </c>
      <c r="AQ120" s="4493">
        <f t="shared" si="143"/>
        <v>0</v>
      </c>
      <c r="AR120" s="4493">
        <f t="shared" si="144"/>
        <v>0</v>
      </c>
      <c r="AS120" s="4493">
        <f t="shared" si="145"/>
        <v>0</v>
      </c>
      <c r="AT120" s="4493">
        <f t="shared" si="146"/>
        <v>0</v>
      </c>
      <c r="AU120" s="4493">
        <f t="shared" si="147"/>
        <v>0</v>
      </c>
      <c r="AV120" s="4493">
        <f t="shared" si="148"/>
        <v>0</v>
      </c>
      <c r="AW120" s="4493">
        <f t="shared" si="149"/>
        <v>0</v>
      </c>
      <c r="AX120" s="4493">
        <f t="shared" si="150"/>
        <v>0</v>
      </c>
      <c r="AY120" s="4493">
        <f t="shared" si="151"/>
        <v>0</v>
      </c>
      <c r="AZ120" s="4493">
        <f t="shared" si="152"/>
        <v>0</v>
      </c>
      <c r="BA120" s="4493">
        <f t="shared" si="153"/>
        <v>0</v>
      </c>
    </row>
    <row r="121" spans="1:53" ht="13.8" thickBot="1">
      <c r="A121" s="5476" t="s">
        <v>1455</v>
      </c>
      <c r="B121" s="5477"/>
      <c r="C121" s="3173">
        <v>15.3428</v>
      </c>
      <c r="D121" s="3174">
        <v>15.4428</v>
      </c>
      <c r="E121" s="3174">
        <v>15.602399999999999</v>
      </c>
      <c r="F121" s="3174">
        <v>15.702400000000001</v>
      </c>
      <c r="G121" s="3174">
        <v>15.865039999999999</v>
      </c>
      <c r="H121" s="3173"/>
      <c r="I121" s="3174"/>
      <c r="J121" s="3174"/>
      <c r="K121" s="3174"/>
      <c r="L121" s="3174"/>
      <c r="M121" s="3173"/>
      <c r="N121" s="3174"/>
      <c r="O121" s="3174"/>
      <c r="P121" s="3174"/>
      <c r="Q121" s="3174"/>
      <c r="R121" s="3173"/>
      <c r="S121" s="3174"/>
      <c r="T121" s="3174"/>
      <c r="U121" s="3174"/>
      <c r="V121" s="3174"/>
      <c r="W121" s="3173"/>
      <c r="X121" s="3174"/>
      <c r="Y121" s="3174"/>
      <c r="Z121" s="3174"/>
      <c r="AA121" s="3174"/>
      <c r="AB121" s="4488"/>
      <c r="AC121" s="4493">
        <f t="shared" si="154"/>
        <v>7.8446490748173412</v>
      </c>
      <c r="AD121" s="4493">
        <f t="shared" si="130"/>
        <v>7.8957782629369628</v>
      </c>
      <c r="AE121" s="4493">
        <f t="shared" si="131"/>
        <v>7.9773804471758796</v>
      </c>
      <c r="AF121" s="4493">
        <f t="shared" si="132"/>
        <v>8.0285096352955012</v>
      </c>
      <c r="AG121" s="4493">
        <f t="shared" si="133"/>
        <v>8.1116661468532545</v>
      </c>
      <c r="AH121" s="4493">
        <f t="shared" si="134"/>
        <v>0</v>
      </c>
      <c r="AI121" s="4493">
        <f t="shared" si="135"/>
        <v>0</v>
      </c>
      <c r="AJ121" s="4493">
        <f t="shared" si="136"/>
        <v>0</v>
      </c>
      <c r="AK121" s="4493">
        <f t="shared" si="137"/>
        <v>0</v>
      </c>
      <c r="AL121" s="4493">
        <f t="shared" si="138"/>
        <v>0</v>
      </c>
      <c r="AM121" s="4493">
        <f t="shared" si="139"/>
        <v>0</v>
      </c>
      <c r="AN121" s="4493">
        <f t="shared" si="140"/>
        <v>0</v>
      </c>
      <c r="AO121" s="4493">
        <f t="shared" si="141"/>
        <v>0</v>
      </c>
      <c r="AP121" s="4493">
        <f t="shared" si="142"/>
        <v>0</v>
      </c>
      <c r="AQ121" s="4493">
        <f t="shared" si="143"/>
        <v>0</v>
      </c>
      <c r="AR121" s="4493">
        <f t="shared" si="144"/>
        <v>0</v>
      </c>
      <c r="AS121" s="4493">
        <f t="shared" si="145"/>
        <v>0</v>
      </c>
      <c r="AT121" s="4493">
        <f t="shared" si="146"/>
        <v>0</v>
      </c>
      <c r="AU121" s="4493">
        <f t="shared" si="147"/>
        <v>0</v>
      </c>
      <c r="AV121" s="4493">
        <f t="shared" si="148"/>
        <v>0</v>
      </c>
      <c r="AW121" s="4493">
        <f t="shared" si="149"/>
        <v>0</v>
      </c>
      <c r="AX121" s="4493">
        <f t="shared" si="150"/>
        <v>0</v>
      </c>
      <c r="AY121" s="4493">
        <f t="shared" si="151"/>
        <v>0</v>
      </c>
      <c r="AZ121" s="4493">
        <f t="shared" si="152"/>
        <v>0</v>
      </c>
      <c r="BA121" s="4493">
        <f t="shared" si="153"/>
        <v>0</v>
      </c>
    </row>
    <row r="122" spans="1:53" ht="12.75" customHeight="1" thickBot="1">
      <c r="A122" s="5487" t="s">
        <v>1456</v>
      </c>
      <c r="B122" s="5488"/>
      <c r="C122" s="3173">
        <v>166.17049</v>
      </c>
      <c r="D122" s="3174">
        <v>190.01060999999999</v>
      </c>
      <c r="E122" s="3174">
        <v>217.27826999999999</v>
      </c>
      <c r="F122" s="3174">
        <v>248.46436</v>
      </c>
      <c r="G122" s="3174">
        <v>284.12995000000001</v>
      </c>
      <c r="H122" s="3173"/>
      <c r="I122" s="3174"/>
      <c r="J122" s="3174"/>
      <c r="K122" s="3174"/>
      <c r="L122" s="3174"/>
      <c r="M122" s="3173"/>
      <c r="N122" s="3174"/>
      <c r="O122" s="3174"/>
      <c r="P122" s="3174"/>
      <c r="Q122" s="3174"/>
      <c r="R122" s="3173"/>
      <c r="S122" s="3174"/>
      <c r="T122" s="3174"/>
      <c r="U122" s="3174"/>
      <c r="V122" s="3174"/>
      <c r="W122" s="3173"/>
      <c r="X122" s="3174"/>
      <c r="Y122" s="3174"/>
      <c r="Z122" s="3174"/>
      <c r="AA122" s="3174"/>
      <c r="AB122" s="4488"/>
      <c r="AC122" s="4493">
        <f t="shared" si="154"/>
        <v>84.961622431397416</v>
      </c>
      <c r="AD122" s="4493">
        <f t="shared" si="130"/>
        <v>97.150882234140994</v>
      </c>
      <c r="AE122" s="4493">
        <f t="shared" si="131"/>
        <v>111.09261541135989</v>
      </c>
      <c r="AF122" s="4493">
        <f t="shared" si="132"/>
        <v>127.03781003461447</v>
      </c>
      <c r="AG122" s="4493">
        <f t="shared" si="133"/>
        <v>145.2733366396875</v>
      </c>
      <c r="AH122" s="4493">
        <f t="shared" si="134"/>
        <v>0</v>
      </c>
      <c r="AI122" s="4493">
        <f t="shared" si="135"/>
        <v>0</v>
      </c>
      <c r="AJ122" s="4493">
        <f t="shared" si="136"/>
        <v>0</v>
      </c>
      <c r="AK122" s="4493">
        <f t="shared" si="137"/>
        <v>0</v>
      </c>
      <c r="AL122" s="4493">
        <f t="shared" si="138"/>
        <v>0</v>
      </c>
      <c r="AM122" s="4493">
        <f t="shared" si="139"/>
        <v>0</v>
      </c>
      <c r="AN122" s="4493">
        <f t="shared" si="140"/>
        <v>0</v>
      </c>
      <c r="AO122" s="4493">
        <f t="shared" si="141"/>
        <v>0</v>
      </c>
      <c r="AP122" s="4493">
        <f t="shared" si="142"/>
        <v>0</v>
      </c>
      <c r="AQ122" s="4493">
        <f t="shared" si="143"/>
        <v>0</v>
      </c>
      <c r="AR122" s="4493">
        <f t="shared" si="144"/>
        <v>0</v>
      </c>
      <c r="AS122" s="4493">
        <f t="shared" si="145"/>
        <v>0</v>
      </c>
      <c r="AT122" s="4493">
        <f t="shared" si="146"/>
        <v>0</v>
      </c>
      <c r="AU122" s="4493">
        <f t="shared" si="147"/>
        <v>0</v>
      </c>
      <c r="AV122" s="4493">
        <f t="shared" si="148"/>
        <v>0</v>
      </c>
      <c r="AW122" s="4493">
        <f t="shared" si="149"/>
        <v>0</v>
      </c>
      <c r="AX122" s="4493">
        <f t="shared" si="150"/>
        <v>0</v>
      </c>
      <c r="AY122" s="4493">
        <f t="shared" si="151"/>
        <v>0</v>
      </c>
      <c r="AZ122" s="4493">
        <f t="shared" si="152"/>
        <v>0</v>
      </c>
      <c r="BA122" s="4493">
        <f t="shared" si="153"/>
        <v>0</v>
      </c>
    </row>
    <row r="123" spans="1:53" ht="12.75" customHeight="1" thickBot="1">
      <c r="A123" s="5487" t="s">
        <v>1457</v>
      </c>
      <c r="B123" s="5488"/>
      <c r="C123" s="3173">
        <v>47.067940000000007</v>
      </c>
      <c r="D123" s="3174">
        <v>54.697150000000001</v>
      </c>
      <c r="E123" s="3174">
        <v>62.105300000000007</v>
      </c>
      <c r="F123" s="3174">
        <v>69.597940000000008</v>
      </c>
      <c r="G123" s="3174">
        <v>77.125360000000001</v>
      </c>
      <c r="H123" s="3173"/>
      <c r="I123" s="3174"/>
      <c r="J123" s="3174"/>
      <c r="K123" s="3174"/>
      <c r="L123" s="3174"/>
      <c r="M123" s="3173"/>
      <c r="N123" s="3174"/>
      <c r="O123" s="3174"/>
      <c r="P123" s="3174"/>
      <c r="Q123" s="3174"/>
      <c r="R123" s="3173"/>
      <c r="S123" s="3174"/>
      <c r="T123" s="3174"/>
      <c r="U123" s="3174"/>
      <c r="V123" s="3174"/>
      <c r="W123" s="3173"/>
      <c r="X123" s="3174"/>
      <c r="Y123" s="3174"/>
      <c r="Z123" s="3174"/>
      <c r="AA123" s="3174"/>
      <c r="AB123" s="4488"/>
      <c r="AC123" s="4493">
        <f t="shared" si="154"/>
        <v>24.065455586630744</v>
      </c>
      <c r="AD123" s="4493">
        <f t="shared" si="130"/>
        <v>27.966208719571743</v>
      </c>
      <c r="AE123" s="4493">
        <f t="shared" si="131"/>
        <v>31.753935669255512</v>
      </c>
      <c r="AF123" s="4493">
        <f t="shared" si="132"/>
        <v>35.584861669981549</v>
      </c>
      <c r="AG123" s="4493">
        <f t="shared" si="133"/>
        <v>39.433570402335583</v>
      </c>
      <c r="AH123" s="4493">
        <f t="shared" si="134"/>
        <v>0</v>
      </c>
      <c r="AI123" s="4493">
        <f t="shared" si="135"/>
        <v>0</v>
      </c>
      <c r="AJ123" s="4493">
        <f t="shared" si="136"/>
        <v>0</v>
      </c>
      <c r="AK123" s="4493">
        <f t="shared" si="137"/>
        <v>0</v>
      </c>
      <c r="AL123" s="4493">
        <f t="shared" si="138"/>
        <v>0</v>
      </c>
      <c r="AM123" s="4493">
        <f t="shared" si="139"/>
        <v>0</v>
      </c>
      <c r="AN123" s="4493">
        <f t="shared" si="140"/>
        <v>0</v>
      </c>
      <c r="AO123" s="4493">
        <f t="shared" si="141"/>
        <v>0</v>
      </c>
      <c r="AP123" s="4493">
        <f t="shared" si="142"/>
        <v>0</v>
      </c>
      <c r="AQ123" s="4493">
        <f t="shared" si="143"/>
        <v>0</v>
      </c>
      <c r="AR123" s="4493">
        <f t="shared" si="144"/>
        <v>0</v>
      </c>
      <c r="AS123" s="4493">
        <f t="shared" si="145"/>
        <v>0</v>
      </c>
      <c r="AT123" s="4493">
        <f t="shared" si="146"/>
        <v>0</v>
      </c>
      <c r="AU123" s="4493">
        <f t="shared" si="147"/>
        <v>0</v>
      </c>
      <c r="AV123" s="4493">
        <f t="shared" si="148"/>
        <v>0</v>
      </c>
      <c r="AW123" s="4493">
        <f t="shared" si="149"/>
        <v>0</v>
      </c>
      <c r="AX123" s="4493">
        <f t="shared" si="150"/>
        <v>0</v>
      </c>
      <c r="AY123" s="4493">
        <f t="shared" si="151"/>
        <v>0</v>
      </c>
      <c r="AZ123" s="4493">
        <f t="shared" si="152"/>
        <v>0</v>
      </c>
      <c r="BA123" s="4493">
        <f t="shared" si="153"/>
        <v>0</v>
      </c>
    </row>
    <row r="124" spans="1:53" ht="13.8" thickBot="1">
      <c r="A124" s="5487" t="s">
        <v>1458</v>
      </c>
      <c r="B124" s="5488"/>
      <c r="C124" s="3173">
        <v>2.821061598702125</v>
      </c>
      <c r="D124" s="3174">
        <v>2.8294720447234827</v>
      </c>
      <c r="E124" s="3174">
        <v>2.8283489610515664</v>
      </c>
      <c r="F124" s="3174">
        <v>2.8272764706250002</v>
      </c>
      <c r="G124" s="3174">
        <v>2.8251541538375</v>
      </c>
      <c r="H124" s="3173"/>
      <c r="I124" s="3174"/>
      <c r="J124" s="3174"/>
      <c r="K124" s="3174"/>
      <c r="L124" s="3174"/>
      <c r="M124" s="3173"/>
      <c r="N124" s="3174"/>
      <c r="O124" s="3174"/>
      <c r="P124" s="3174"/>
      <c r="Q124" s="3174"/>
      <c r="R124" s="3173"/>
      <c r="S124" s="3174"/>
      <c r="T124" s="3174"/>
      <c r="U124" s="3174"/>
      <c r="V124" s="3174"/>
      <c r="W124" s="3173"/>
      <c r="X124" s="3174"/>
      <c r="Y124" s="3174"/>
      <c r="Z124" s="3174"/>
      <c r="AA124" s="3174"/>
      <c r="AB124" s="4488"/>
      <c r="AC124" s="4493">
        <f t="shared" si="154"/>
        <v>1.4423858917708212</v>
      </c>
      <c r="AD124" s="4493">
        <f t="shared" si="130"/>
        <v>1.4466860845387803</v>
      </c>
      <c r="AE124" s="4493">
        <f t="shared" si="131"/>
        <v>1.4461118609754255</v>
      </c>
      <c r="AF124" s="4493">
        <f t="shared" si="132"/>
        <v>1.4455635053276616</v>
      </c>
      <c r="AG124" s="4493">
        <f t="shared" si="133"/>
        <v>1.4444783819848863</v>
      </c>
      <c r="AH124" s="4493">
        <f t="shared" si="134"/>
        <v>0</v>
      </c>
      <c r="AI124" s="4493">
        <f t="shared" si="135"/>
        <v>0</v>
      </c>
      <c r="AJ124" s="4493">
        <f t="shared" si="136"/>
        <v>0</v>
      </c>
      <c r="AK124" s="4493">
        <f t="shared" si="137"/>
        <v>0</v>
      </c>
      <c r="AL124" s="4493">
        <f t="shared" si="138"/>
        <v>0</v>
      </c>
      <c r="AM124" s="4493">
        <f t="shared" si="139"/>
        <v>0</v>
      </c>
      <c r="AN124" s="4493">
        <f t="shared" si="140"/>
        <v>0</v>
      </c>
      <c r="AO124" s="4493">
        <f t="shared" si="141"/>
        <v>0</v>
      </c>
      <c r="AP124" s="4493">
        <f t="shared" si="142"/>
        <v>0</v>
      </c>
      <c r="AQ124" s="4493">
        <f t="shared" si="143"/>
        <v>0</v>
      </c>
      <c r="AR124" s="4493">
        <f t="shared" si="144"/>
        <v>0</v>
      </c>
      <c r="AS124" s="4493">
        <f t="shared" si="145"/>
        <v>0</v>
      </c>
      <c r="AT124" s="4493">
        <f t="shared" si="146"/>
        <v>0</v>
      </c>
      <c r="AU124" s="4493">
        <f t="shared" si="147"/>
        <v>0</v>
      </c>
      <c r="AV124" s="4493">
        <f t="shared" si="148"/>
        <v>0</v>
      </c>
      <c r="AW124" s="4493">
        <f t="shared" si="149"/>
        <v>0</v>
      </c>
      <c r="AX124" s="4493">
        <f t="shared" si="150"/>
        <v>0</v>
      </c>
      <c r="AY124" s="4493">
        <f t="shared" si="151"/>
        <v>0</v>
      </c>
      <c r="AZ124" s="4493">
        <f t="shared" si="152"/>
        <v>0</v>
      </c>
      <c r="BA124" s="4493">
        <f t="shared" si="153"/>
        <v>0</v>
      </c>
    </row>
    <row r="125" spans="1:53" ht="13.8" thickBot="1">
      <c r="A125" s="5505" t="s">
        <v>1459</v>
      </c>
      <c r="B125" s="5506"/>
      <c r="C125" s="3177">
        <v>4</v>
      </c>
      <c r="D125" s="3178">
        <v>4</v>
      </c>
      <c r="E125" s="3178">
        <v>4</v>
      </c>
      <c r="F125" s="3178">
        <v>4</v>
      </c>
      <c r="G125" s="3178">
        <v>4</v>
      </c>
      <c r="H125" s="3177"/>
      <c r="I125" s="3178"/>
      <c r="J125" s="3178"/>
      <c r="K125" s="3178"/>
      <c r="L125" s="3178"/>
      <c r="M125" s="3177"/>
      <c r="N125" s="3178"/>
      <c r="O125" s="3178"/>
      <c r="P125" s="3178"/>
      <c r="Q125" s="3178"/>
      <c r="R125" s="3177"/>
      <c r="S125" s="3178"/>
      <c r="T125" s="3178"/>
      <c r="U125" s="3178"/>
      <c r="V125" s="3178"/>
      <c r="W125" s="3177"/>
      <c r="X125" s="3178"/>
      <c r="Y125" s="3178"/>
      <c r="Z125" s="3178"/>
      <c r="AA125" s="3178"/>
      <c r="AB125" s="4488"/>
      <c r="AC125" s="4493">
        <f t="shared" si="154"/>
        <v>2.045167524784874</v>
      </c>
      <c r="AD125" s="4493">
        <f t="shared" si="130"/>
        <v>2.045167524784874</v>
      </c>
      <c r="AE125" s="4493">
        <f t="shared" si="131"/>
        <v>2.045167524784874</v>
      </c>
      <c r="AF125" s="4493">
        <f t="shared" si="132"/>
        <v>2.045167524784874</v>
      </c>
      <c r="AG125" s="4493">
        <f t="shared" si="133"/>
        <v>2.045167524784874</v>
      </c>
      <c r="AH125" s="4493">
        <f t="shared" si="134"/>
        <v>0</v>
      </c>
      <c r="AI125" s="4493">
        <f t="shared" si="135"/>
        <v>0</v>
      </c>
      <c r="AJ125" s="4493">
        <f t="shared" si="136"/>
        <v>0</v>
      </c>
      <c r="AK125" s="4493">
        <f t="shared" si="137"/>
        <v>0</v>
      </c>
      <c r="AL125" s="4493">
        <f t="shared" si="138"/>
        <v>0</v>
      </c>
      <c r="AM125" s="4493">
        <f t="shared" si="139"/>
        <v>0</v>
      </c>
      <c r="AN125" s="4493">
        <f t="shared" si="140"/>
        <v>0</v>
      </c>
      <c r="AO125" s="4493">
        <f t="shared" si="141"/>
        <v>0</v>
      </c>
      <c r="AP125" s="4493">
        <f t="shared" si="142"/>
        <v>0</v>
      </c>
      <c r="AQ125" s="4493">
        <f t="shared" si="143"/>
        <v>0</v>
      </c>
      <c r="AR125" s="4493">
        <f t="shared" si="144"/>
        <v>0</v>
      </c>
      <c r="AS125" s="4493">
        <f t="shared" si="145"/>
        <v>0</v>
      </c>
      <c r="AT125" s="4493">
        <f t="shared" si="146"/>
        <v>0</v>
      </c>
      <c r="AU125" s="4493">
        <f t="shared" si="147"/>
        <v>0</v>
      </c>
      <c r="AV125" s="4493">
        <f t="shared" si="148"/>
        <v>0</v>
      </c>
      <c r="AW125" s="4493">
        <f t="shared" si="149"/>
        <v>0</v>
      </c>
      <c r="AX125" s="4493">
        <f t="shared" si="150"/>
        <v>0</v>
      </c>
      <c r="AY125" s="4493">
        <f t="shared" si="151"/>
        <v>0</v>
      </c>
      <c r="AZ125" s="4493">
        <f t="shared" si="152"/>
        <v>0</v>
      </c>
      <c r="BA125" s="4493">
        <f t="shared" si="153"/>
        <v>0</v>
      </c>
    </row>
    <row r="126" spans="1:53" ht="18.75" customHeight="1" thickBot="1">
      <c r="A126" s="5471" t="s">
        <v>1174</v>
      </c>
      <c r="B126" s="5472"/>
      <c r="C126" s="5493">
        <v>6</v>
      </c>
      <c r="D126" s="5494"/>
      <c r="E126" s="5494"/>
      <c r="F126" s="5494"/>
      <c r="G126" s="5494"/>
      <c r="H126" s="5493">
        <f>C126+1</f>
        <v>7</v>
      </c>
      <c r="I126" s="5494"/>
      <c r="J126" s="5494"/>
      <c r="K126" s="5494"/>
      <c r="L126" s="5494"/>
      <c r="M126" s="5493">
        <f>H126+1</f>
        <v>8</v>
      </c>
      <c r="N126" s="5494"/>
      <c r="O126" s="5494"/>
      <c r="P126" s="5494"/>
      <c r="Q126" s="5494"/>
      <c r="R126" s="5493">
        <f>M126+1</f>
        <v>9</v>
      </c>
      <c r="S126" s="5494"/>
      <c r="T126" s="5494"/>
      <c r="U126" s="5494"/>
      <c r="V126" s="5494"/>
      <c r="W126" s="5493">
        <f>R126+1</f>
        <v>10</v>
      </c>
      <c r="X126" s="5494"/>
      <c r="Y126" s="5494"/>
      <c r="Z126" s="5494"/>
      <c r="AA126" s="5494"/>
      <c r="AB126" s="4488"/>
      <c r="AC126" s="5338">
        <f>+C126</f>
        <v>6</v>
      </c>
      <c r="AD126" s="5338"/>
      <c r="AE126" s="5338"/>
      <c r="AF126" s="5338"/>
      <c r="AG126" s="5338"/>
      <c r="AH126" s="5338">
        <f>+H126</f>
        <v>7</v>
      </c>
      <c r="AI126" s="5338"/>
      <c r="AJ126" s="5338"/>
      <c r="AK126" s="5338"/>
      <c r="AL126" s="5338"/>
      <c r="AM126" s="5338">
        <f>+M126</f>
        <v>8</v>
      </c>
      <c r="AN126" s="5338"/>
      <c r="AO126" s="5338"/>
      <c r="AP126" s="5338"/>
      <c r="AQ126" s="5338"/>
      <c r="AR126" s="5338">
        <f>+R126</f>
        <v>9</v>
      </c>
      <c r="AS126" s="5338"/>
      <c r="AT126" s="5338"/>
      <c r="AU126" s="5338"/>
      <c r="AV126" s="5338"/>
      <c r="AW126" s="5338">
        <f>+W126</f>
        <v>10</v>
      </c>
      <c r="AX126" s="5338"/>
      <c r="AY126" s="5338"/>
      <c r="AZ126" s="5338"/>
      <c r="BA126" s="5338"/>
    </row>
    <row r="127" spans="1:53" ht="12.75" customHeight="1" thickBot="1">
      <c r="A127" s="5473" t="s">
        <v>1296</v>
      </c>
      <c r="B127" s="3167" t="s">
        <v>1445</v>
      </c>
      <c r="C127" s="5474"/>
      <c r="D127" s="5475"/>
      <c r="E127" s="5475"/>
      <c r="F127" s="5475"/>
      <c r="G127" s="5475"/>
      <c r="H127" s="5474"/>
      <c r="I127" s="5475"/>
      <c r="J127" s="5475"/>
      <c r="K127" s="5475"/>
      <c r="L127" s="5475"/>
      <c r="M127" s="5474"/>
      <c r="N127" s="5475"/>
      <c r="O127" s="5475"/>
      <c r="P127" s="5475"/>
      <c r="Q127" s="5475"/>
      <c r="R127" s="5474"/>
      <c r="S127" s="5475"/>
      <c r="T127" s="5475"/>
      <c r="U127" s="5475"/>
      <c r="V127" s="5475"/>
      <c r="W127" s="5474"/>
      <c r="X127" s="5475"/>
      <c r="Y127" s="5475"/>
      <c r="Z127" s="5475"/>
      <c r="AA127" s="5475"/>
      <c r="AB127" s="4488"/>
      <c r="AC127" s="5467" t="str">
        <f>IF(C127=0,"",C127)</f>
        <v/>
      </c>
      <c r="AD127" s="5467"/>
      <c r="AE127" s="5467"/>
      <c r="AF127" s="5467"/>
      <c r="AG127" s="5467"/>
      <c r="AH127" s="5467" t="str">
        <f>IF(H127=0,"",H127)</f>
        <v/>
      </c>
      <c r="AI127" s="5467"/>
      <c r="AJ127" s="5467"/>
      <c r="AK127" s="5467"/>
      <c r="AL127" s="5467"/>
      <c r="AM127" s="5467" t="str">
        <f>IF(M127=0,"",M127)</f>
        <v/>
      </c>
      <c r="AN127" s="5467"/>
      <c r="AO127" s="5467"/>
      <c r="AP127" s="5467"/>
      <c r="AQ127" s="5467"/>
      <c r="AR127" s="5467" t="str">
        <f>IF(R127=0,"",R127)</f>
        <v/>
      </c>
      <c r="AS127" s="5467"/>
      <c r="AT127" s="5467"/>
      <c r="AU127" s="5467"/>
      <c r="AV127" s="5467"/>
      <c r="AW127" s="5467" t="str">
        <f>IF(W127=0,"",W127)</f>
        <v/>
      </c>
      <c r="AX127" s="5467"/>
      <c r="AY127" s="5467"/>
      <c r="AZ127" s="5467"/>
      <c r="BA127" s="5467"/>
    </row>
    <row r="128" spans="1:53" ht="13.8" thickBot="1">
      <c r="A128" s="5473"/>
      <c r="B128" s="3167" t="s">
        <v>1297</v>
      </c>
      <c r="C128" s="5474"/>
      <c r="D128" s="5475"/>
      <c r="E128" s="5475"/>
      <c r="F128" s="5475"/>
      <c r="G128" s="5475"/>
      <c r="H128" s="5474"/>
      <c r="I128" s="5475"/>
      <c r="J128" s="5475"/>
      <c r="K128" s="5475"/>
      <c r="L128" s="5475"/>
      <c r="M128" s="5474"/>
      <c r="N128" s="5475"/>
      <c r="O128" s="5475"/>
      <c r="P128" s="5475"/>
      <c r="Q128" s="5475"/>
      <c r="R128" s="5474"/>
      <c r="S128" s="5475"/>
      <c r="T128" s="5475"/>
      <c r="U128" s="5475"/>
      <c r="V128" s="5475"/>
      <c r="W128" s="5474"/>
      <c r="X128" s="5475"/>
      <c r="Y128" s="5475"/>
      <c r="Z128" s="5475"/>
      <c r="AA128" s="5475"/>
      <c r="AB128" s="4488"/>
      <c r="AC128" s="5467" t="str">
        <f t="shared" ref="AC128:AC132" si="155">IF(C128=0,"",C128)</f>
        <v/>
      </c>
      <c r="AD128" s="5467"/>
      <c r="AE128" s="5467"/>
      <c r="AF128" s="5467"/>
      <c r="AG128" s="5467"/>
      <c r="AH128" s="5467" t="str">
        <f t="shared" ref="AH128:AH132" si="156">IF(H128=0,"",H128)</f>
        <v/>
      </c>
      <c r="AI128" s="5467"/>
      <c r="AJ128" s="5467"/>
      <c r="AK128" s="5467"/>
      <c r="AL128" s="5467"/>
      <c r="AM128" s="5467" t="str">
        <f t="shared" ref="AM128:AM132" si="157">IF(M128=0,"",M128)</f>
        <v/>
      </c>
      <c r="AN128" s="5467"/>
      <c r="AO128" s="5467"/>
      <c r="AP128" s="5467"/>
      <c r="AQ128" s="5467"/>
      <c r="AR128" s="5467" t="str">
        <f t="shared" ref="AR128:AR132" si="158">IF(R128=0,"",R128)</f>
        <v/>
      </c>
      <c r="AS128" s="5467"/>
      <c r="AT128" s="5467"/>
      <c r="AU128" s="5467"/>
      <c r="AV128" s="5467"/>
      <c r="AW128" s="5467" t="str">
        <f t="shared" ref="AW128:AW132" si="159">IF(W128=0,"",W128)</f>
        <v/>
      </c>
      <c r="AX128" s="5467"/>
      <c r="AY128" s="5467"/>
      <c r="AZ128" s="5467"/>
      <c r="BA128" s="5467"/>
    </row>
    <row r="129" spans="1:53" ht="13.8" thickBot="1">
      <c r="A129" s="5489" t="s">
        <v>1298</v>
      </c>
      <c r="B129" s="3168" t="s">
        <v>1299</v>
      </c>
      <c r="C129" s="5509"/>
      <c r="D129" s="5475"/>
      <c r="E129" s="5475"/>
      <c r="F129" s="5475"/>
      <c r="G129" s="5475"/>
      <c r="H129" s="5474"/>
      <c r="I129" s="5475"/>
      <c r="J129" s="5475"/>
      <c r="K129" s="5475"/>
      <c r="L129" s="5475"/>
      <c r="M129" s="5474"/>
      <c r="N129" s="5475"/>
      <c r="O129" s="5475"/>
      <c r="P129" s="5475"/>
      <c r="Q129" s="5475"/>
      <c r="R129" s="5474"/>
      <c r="S129" s="5475"/>
      <c r="T129" s="5475"/>
      <c r="U129" s="5475"/>
      <c r="V129" s="5475"/>
      <c r="W129" s="5474"/>
      <c r="X129" s="5475"/>
      <c r="Y129" s="5475"/>
      <c r="Z129" s="5475"/>
      <c r="AA129" s="5475"/>
      <c r="AB129" s="4488"/>
      <c r="AC129" s="5467" t="str">
        <f t="shared" si="155"/>
        <v/>
      </c>
      <c r="AD129" s="5467"/>
      <c r="AE129" s="5467"/>
      <c r="AF129" s="5467"/>
      <c r="AG129" s="5467"/>
      <c r="AH129" s="5467" t="str">
        <f t="shared" si="156"/>
        <v/>
      </c>
      <c r="AI129" s="5467"/>
      <c r="AJ129" s="5467"/>
      <c r="AK129" s="5467"/>
      <c r="AL129" s="5467"/>
      <c r="AM129" s="5467" t="str">
        <f t="shared" si="157"/>
        <v/>
      </c>
      <c r="AN129" s="5467"/>
      <c r="AO129" s="5467"/>
      <c r="AP129" s="5467"/>
      <c r="AQ129" s="5467"/>
      <c r="AR129" s="5467" t="str">
        <f t="shared" si="158"/>
        <v/>
      </c>
      <c r="AS129" s="5467"/>
      <c r="AT129" s="5467"/>
      <c r="AU129" s="5467"/>
      <c r="AV129" s="5467"/>
      <c r="AW129" s="5467" t="str">
        <f t="shared" si="159"/>
        <v/>
      </c>
      <c r="AX129" s="5467"/>
      <c r="AY129" s="5467"/>
      <c r="AZ129" s="5467"/>
      <c r="BA129" s="5467"/>
    </row>
    <row r="130" spans="1:53" ht="13.8" thickBot="1">
      <c r="A130" s="5490"/>
      <c r="B130" s="3167" t="s">
        <v>1300</v>
      </c>
      <c r="C130" s="5474"/>
      <c r="D130" s="5475"/>
      <c r="E130" s="5475"/>
      <c r="F130" s="5475"/>
      <c r="G130" s="5475"/>
      <c r="H130" s="5474"/>
      <c r="I130" s="5475"/>
      <c r="J130" s="5475"/>
      <c r="K130" s="5475"/>
      <c r="L130" s="5475"/>
      <c r="M130" s="5474"/>
      <c r="N130" s="5475"/>
      <c r="O130" s="5475"/>
      <c r="P130" s="5475"/>
      <c r="Q130" s="5475"/>
      <c r="R130" s="5474"/>
      <c r="S130" s="5475"/>
      <c r="T130" s="5475"/>
      <c r="U130" s="5475"/>
      <c r="V130" s="5475"/>
      <c r="W130" s="5474"/>
      <c r="X130" s="5475"/>
      <c r="Y130" s="5475"/>
      <c r="Z130" s="5475"/>
      <c r="AA130" s="5475"/>
      <c r="AB130" s="4488"/>
      <c r="AC130" s="5467" t="str">
        <f t="shared" si="155"/>
        <v/>
      </c>
      <c r="AD130" s="5467"/>
      <c r="AE130" s="5467"/>
      <c r="AF130" s="5467"/>
      <c r="AG130" s="5467"/>
      <c r="AH130" s="5467" t="str">
        <f t="shared" si="156"/>
        <v/>
      </c>
      <c r="AI130" s="5467"/>
      <c r="AJ130" s="5467"/>
      <c r="AK130" s="5467"/>
      <c r="AL130" s="5467"/>
      <c r="AM130" s="5467" t="str">
        <f t="shared" si="157"/>
        <v/>
      </c>
      <c r="AN130" s="5467"/>
      <c r="AO130" s="5467"/>
      <c r="AP130" s="5467"/>
      <c r="AQ130" s="5467"/>
      <c r="AR130" s="5467" t="str">
        <f t="shared" si="158"/>
        <v/>
      </c>
      <c r="AS130" s="5467"/>
      <c r="AT130" s="5467"/>
      <c r="AU130" s="5467"/>
      <c r="AV130" s="5467"/>
      <c r="AW130" s="5467" t="str">
        <f t="shared" si="159"/>
        <v/>
      </c>
      <c r="AX130" s="5467"/>
      <c r="AY130" s="5467"/>
      <c r="AZ130" s="5467"/>
      <c r="BA130" s="5467"/>
    </row>
    <row r="131" spans="1:53" ht="27" thickBot="1">
      <c r="A131" s="3817" t="s">
        <v>1301</v>
      </c>
      <c r="B131" s="3167" t="s">
        <v>1302</v>
      </c>
      <c r="C131" s="5474"/>
      <c r="D131" s="5475"/>
      <c r="E131" s="5475"/>
      <c r="F131" s="5475"/>
      <c r="G131" s="5475"/>
      <c r="H131" s="5474"/>
      <c r="I131" s="5475"/>
      <c r="J131" s="5475"/>
      <c r="K131" s="5475"/>
      <c r="L131" s="5475"/>
      <c r="M131" s="5474"/>
      <c r="N131" s="5475"/>
      <c r="O131" s="5475"/>
      <c r="P131" s="5475"/>
      <c r="Q131" s="5475"/>
      <c r="R131" s="5474"/>
      <c r="S131" s="5475"/>
      <c r="T131" s="5475"/>
      <c r="U131" s="5475"/>
      <c r="V131" s="5475"/>
      <c r="W131" s="5474"/>
      <c r="X131" s="5475"/>
      <c r="Y131" s="5475"/>
      <c r="Z131" s="5475"/>
      <c r="AA131" s="5475"/>
      <c r="AB131" s="4488"/>
      <c r="AC131" s="5467" t="str">
        <f t="shared" si="155"/>
        <v/>
      </c>
      <c r="AD131" s="5467"/>
      <c r="AE131" s="5467"/>
      <c r="AF131" s="5467"/>
      <c r="AG131" s="5467"/>
      <c r="AH131" s="5467" t="str">
        <f t="shared" si="156"/>
        <v/>
      </c>
      <c r="AI131" s="5467"/>
      <c r="AJ131" s="5467"/>
      <c r="AK131" s="5467"/>
      <c r="AL131" s="5467"/>
      <c r="AM131" s="5467" t="str">
        <f t="shared" si="157"/>
        <v/>
      </c>
      <c r="AN131" s="5467"/>
      <c r="AO131" s="5467"/>
      <c r="AP131" s="5467"/>
      <c r="AQ131" s="5467"/>
      <c r="AR131" s="5467" t="str">
        <f t="shared" si="158"/>
        <v/>
      </c>
      <c r="AS131" s="5467"/>
      <c r="AT131" s="5467"/>
      <c r="AU131" s="5467"/>
      <c r="AV131" s="5467"/>
      <c r="AW131" s="5467" t="str">
        <f t="shared" si="159"/>
        <v/>
      </c>
      <c r="AX131" s="5467"/>
      <c r="AY131" s="5467"/>
      <c r="AZ131" s="5467"/>
      <c r="BA131" s="5467"/>
    </row>
    <row r="132" spans="1:53" ht="26.25" customHeight="1" thickBot="1">
      <c r="A132" s="3169" t="s">
        <v>1303</v>
      </c>
      <c r="B132" s="3170" t="s">
        <v>1304</v>
      </c>
      <c r="C132" s="5485"/>
      <c r="D132" s="5486"/>
      <c r="E132" s="5486"/>
      <c r="F132" s="5486"/>
      <c r="G132" s="5486"/>
      <c r="H132" s="5485"/>
      <c r="I132" s="5486"/>
      <c r="J132" s="5486"/>
      <c r="K132" s="5486"/>
      <c r="L132" s="5486"/>
      <c r="M132" s="5485"/>
      <c r="N132" s="5486"/>
      <c r="O132" s="5486"/>
      <c r="P132" s="5486"/>
      <c r="Q132" s="5486"/>
      <c r="R132" s="5485"/>
      <c r="S132" s="5486"/>
      <c r="T132" s="5486"/>
      <c r="U132" s="5486"/>
      <c r="V132" s="5486"/>
      <c r="W132" s="5485"/>
      <c r="X132" s="5486"/>
      <c r="Y132" s="5486"/>
      <c r="Z132" s="5486"/>
      <c r="AA132" s="5486"/>
      <c r="AB132" s="4488"/>
      <c r="AC132" s="5467" t="str">
        <f t="shared" si="155"/>
        <v/>
      </c>
      <c r="AD132" s="5467"/>
      <c r="AE132" s="5467"/>
      <c r="AF132" s="5467"/>
      <c r="AG132" s="5467"/>
      <c r="AH132" s="5467" t="str">
        <f t="shared" si="156"/>
        <v/>
      </c>
      <c r="AI132" s="5467"/>
      <c r="AJ132" s="5467"/>
      <c r="AK132" s="5467"/>
      <c r="AL132" s="5467"/>
      <c r="AM132" s="5467" t="str">
        <f t="shared" si="157"/>
        <v/>
      </c>
      <c r="AN132" s="5467"/>
      <c r="AO132" s="5467"/>
      <c r="AP132" s="5467"/>
      <c r="AQ132" s="5467"/>
      <c r="AR132" s="5467" t="str">
        <f t="shared" si="158"/>
        <v/>
      </c>
      <c r="AS132" s="5467"/>
      <c r="AT132" s="5467"/>
      <c r="AU132" s="5467"/>
      <c r="AV132" s="5467"/>
      <c r="AW132" s="5467" t="str">
        <f t="shared" si="159"/>
        <v/>
      </c>
      <c r="AX132" s="5467"/>
      <c r="AY132" s="5467"/>
      <c r="AZ132" s="5467"/>
      <c r="BA132" s="5467"/>
    </row>
    <row r="133" spans="1:53" ht="13.8" thickBot="1">
      <c r="A133" s="5491" t="s">
        <v>1460</v>
      </c>
      <c r="B133" s="5492"/>
      <c r="C133" s="4274" t="str">
        <f>'Приложение '!$C$14</f>
        <v>2027 г.</v>
      </c>
      <c r="D133" s="4275" t="str">
        <f>'Приложение '!$C$15</f>
        <v>2028 г.</v>
      </c>
      <c r="E133" s="4275" t="str">
        <f>'Приложение '!$C$16</f>
        <v>2029 г.</v>
      </c>
      <c r="F133" s="4275" t="str">
        <f>'Приложение '!$C$17</f>
        <v>2030 г.</v>
      </c>
      <c r="G133" s="4275" t="str">
        <f>'Приложение '!$C$18</f>
        <v>2031 г.</v>
      </c>
      <c r="H133" s="4274" t="str">
        <f>'Приложение '!$C$14</f>
        <v>2027 г.</v>
      </c>
      <c r="I133" s="4275" t="str">
        <f>'Приложение '!$C$15</f>
        <v>2028 г.</v>
      </c>
      <c r="J133" s="4275" t="str">
        <f>'Приложение '!$C$16</f>
        <v>2029 г.</v>
      </c>
      <c r="K133" s="4275" t="str">
        <f>'Приложение '!$C$17</f>
        <v>2030 г.</v>
      </c>
      <c r="L133" s="4275" t="str">
        <f>'Приложение '!$C$18</f>
        <v>2031 г.</v>
      </c>
      <c r="M133" s="4274" t="str">
        <f>'Приложение '!$C$14</f>
        <v>2027 г.</v>
      </c>
      <c r="N133" s="4275" t="str">
        <f>'Приложение '!$C$15</f>
        <v>2028 г.</v>
      </c>
      <c r="O133" s="4275" t="str">
        <f>'Приложение '!$C$16</f>
        <v>2029 г.</v>
      </c>
      <c r="P133" s="4275" t="str">
        <f>'Приложение '!$C$17</f>
        <v>2030 г.</v>
      </c>
      <c r="Q133" s="4275" t="str">
        <f>'Приложение '!$C$18</f>
        <v>2031 г.</v>
      </c>
      <c r="R133" s="4274" t="str">
        <f>'Приложение '!$C$14</f>
        <v>2027 г.</v>
      </c>
      <c r="S133" s="4275" t="str">
        <f>'Приложение '!$C$15</f>
        <v>2028 г.</v>
      </c>
      <c r="T133" s="4275" t="str">
        <f>'Приложение '!$C$16</f>
        <v>2029 г.</v>
      </c>
      <c r="U133" s="4275" t="str">
        <f>'Приложение '!$C$17</f>
        <v>2030 г.</v>
      </c>
      <c r="V133" s="4275" t="str">
        <f>'Приложение '!$C$18</f>
        <v>2031 г.</v>
      </c>
      <c r="W133" s="4274" t="str">
        <f>'Приложение '!$C$14</f>
        <v>2027 г.</v>
      </c>
      <c r="X133" s="4275" t="str">
        <f>'Приложение '!$C$15</f>
        <v>2028 г.</v>
      </c>
      <c r="Y133" s="4275" t="str">
        <f>'Приложение '!$C$16</f>
        <v>2029 г.</v>
      </c>
      <c r="Z133" s="4275" t="str">
        <f>'Приложение '!$C$17</f>
        <v>2030 г.</v>
      </c>
      <c r="AA133" s="4275" t="str">
        <f>'Приложение '!$C$18</f>
        <v>2031 г.</v>
      </c>
      <c r="AB133" s="4488"/>
      <c r="AC133" s="4535" t="str">
        <f>'Приложение '!$C$14</f>
        <v>2027 г.</v>
      </c>
      <c r="AD133" s="4535" t="str">
        <f>'Приложение '!$C$15</f>
        <v>2028 г.</v>
      </c>
      <c r="AE133" s="4535" t="str">
        <f>'Приложение '!$C$16</f>
        <v>2029 г.</v>
      </c>
      <c r="AF133" s="4535" t="str">
        <f>'Приложение '!$C$17</f>
        <v>2030 г.</v>
      </c>
      <c r="AG133" s="4535" t="str">
        <f>'Приложение '!$C$18</f>
        <v>2031 г.</v>
      </c>
      <c r="AH133" s="4535" t="str">
        <f>'Приложение '!$C$14</f>
        <v>2027 г.</v>
      </c>
      <c r="AI133" s="4535" t="str">
        <f>'Приложение '!$C$15</f>
        <v>2028 г.</v>
      </c>
      <c r="AJ133" s="4535" t="str">
        <f>'Приложение '!$C$16</f>
        <v>2029 г.</v>
      </c>
      <c r="AK133" s="4535" t="str">
        <f>'Приложение '!$C$17</f>
        <v>2030 г.</v>
      </c>
      <c r="AL133" s="4535" t="str">
        <f>'Приложение '!$C$18</f>
        <v>2031 г.</v>
      </c>
      <c r="AM133" s="4535" t="str">
        <f>'Приложение '!$C$14</f>
        <v>2027 г.</v>
      </c>
      <c r="AN133" s="4535" t="str">
        <f>'Приложение '!$C$15</f>
        <v>2028 г.</v>
      </c>
      <c r="AO133" s="4535" t="str">
        <f>'Приложение '!$C$16</f>
        <v>2029 г.</v>
      </c>
      <c r="AP133" s="4535" t="str">
        <f>'Приложение '!$C$17</f>
        <v>2030 г.</v>
      </c>
      <c r="AQ133" s="4535" t="str">
        <f>'Приложение '!$C$18</f>
        <v>2031 г.</v>
      </c>
      <c r="AR133" s="4535" t="str">
        <f>'Приложение '!$C$14</f>
        <v>2027 г.</v>
      </c>
      <c r="AS133" s="4535" t="str">
        <f>'Приложение '!$C$15</f>
        <v>2028 г.</v>
      </c>
      <c r="AT133" s="4535" t="str">
        <f>'Приложение '!$C$16</f>
        <v>2029 г.</v>
      </c>
      <c r="AU133" s="4535" t="str">
        <f>'Приложение '!$C$17</f>
        <v>2030 г.</v>
      </c>
      <c r="AV133" s="4535" t="str">
        <f>'Приложение '!$C$18</f>
        <v>2031 г.</v>
      </c>
      <c r="AW133" s="4535" t="str">
        <f>'Приложение '!$C$14</f>
        <v>2027 г.</v>
      </c>
      <c r="AX133" s="4535" t="str">
        <f>'Приложение '!$C$15</f>
        <v>2028 г.</v>
      </c>
      <c r="AY133" s="4535" t="str">
        <f>'Приложение '!$C$16</f>
        <v>2029 г.</v>
      </c>
      <c r="AZ133" s="4535" t="str">
        <f>'Приложение '!$C$17</f>
        <v>2030 г.</v>
      </c>
      <c r="BA133" s="4535" t="str">
        <f>'Приложение '!$C$18</f>
        <v>2031 г.</v>
      </c>
    </row>
    <row r="134" spans="1:53" ht="12.75" customHeight="1">
      <c r="A134" s="5480" t="s">
        <v>1446</v>
      </c>
      <c r="B134" s="5481"/>
      <c r="C134" s="3171"/>
      <c r="D134" s="3172"/>
      <c r="E134" s="3172"/>
      <c r="F134" s="3172"/>
      <c r="G134" s="3172"/>
      <c r="H134" s="3171"/>
      <c r="I134" s="3172"/>
      <c r="J134" s="3172"/>
      <c r="K134" s="3172"/>
      <c r="L134" s="3172"/>
      <c r="M134" s="3171"/>
      <c r="N134" s="3172"/>
      <c r="O134" s="3172"/>
      <c r="P134" s="3172"/>
      <c r="Q134" s="3172"/>
      <c r="R134" s="3171"/>
      <c r="S134" s="3172"/>
      <c r="T134" s="3172"/>
      <c r="U134" s="3172"/>
      <c r="V134" s="3172"/>
      <c r="W134" s="3171"/>
      <c r="X134" s="3172"/>
      <c r="Y134" s="3172"/>
      <c r="Z134" s="3172"/>
      <c r="AA134" s="3172"/>
      <c r="AB134" s="4488"/>
      <c r="AC134" s="4538"/>
      <c r="AD134" s="4538"/>
      <c r="AE134" s="4538"/>
      <c r="AF134" s="4538"/>
      <c r="AG134" s="4538"/>
      <c r="AH134" s="4538"/>
      <c r="AI134" s="4538"/>
      <c r="AJ134" s="4538"/>
      <c r="AK134" s="4538"/>
      <c r="AL134" s="4538"/>
      <c r="AM134" s="4538"/>
      <c r="AN134" s="4538"/>
      <c r="AO134" s="4538"/>
      <c r="AP134" s="4538"/>
      <c r="AQ134" s="4538"/>
      <c r="AR134" s="4538"/>
      <c r="AS134" s="4538"/>
      <c r="AT134" s="4538"/>
      <c r="AU134" s="4538"/>
      <c r="AV134" s="4538"/>
      <c r="AW134" s="4538"/>
      <c r="AX134" s="4538"/>
      <c r="AY134" s="4538"/>
      <c r="AZ134" s="4538"/>
      <c r="BA134" s="4538"/>
    </row>
    <row r="135" spans="1:53" ht="12.75" customHeight="1">
      <c r="A135" s="5495" t="s">
        <v>1447</v>
      </c>
      <c r="B135" s="5496"/>
      <c r="C135" s="3173"/>
      <c r="D135" s="3174"/>
      <c r="E135" s="3174"/>
      <c r="F135" s="3174"/>
      <c r="G135" s="3174"/>
      <c r="H135" s="3173"/>
      <c r="I135" s="3174"/>
      <c r="J135" s="3174"/>
      <c r="K135" s="3174"/>
      <c r="L135" s="3174"/>
      <c r="M135" s="3173"/>
      <c r="N135" s="3174"/>
      <c r="O135" s="3174"/>
      <c r="P135" s="3174"/>
      <c r="Q135" s="3174"/>
      <c r="R135" s="3173"/>
      <c r="S135" s="3174"/>
      <c r="T135" s="3174"/>
      <c r="U135" s="3174"/>
      <c r="V135" s="3174"/>
      <c r="W135" s="3173"/>
      <c r="X135" s="3174"/>
      <c r="Y135" s="3174"/>
      <c r="Z135" s="3174"/>
      <c r="AA135" s="3174"/>
      <c r="AB135" s="4488"/>
      <c r="AC135" s="4539"/>
      <c r="AD135" s="4539"/>
      <c r="AE135" s="4539"/>
      <c r="AF135" s="4539"/>
      <c r="AG135" s="4539"/>
      <c r="AH135" s="4539"/>
      <c r="AI135" s="4539"/>
      <c r="AJ135" s="4539"/>
      <c r="AK135" s="4539"/>
      <c r="AL135" s="4539"/>
      <c r="AM135" s="4539"/>
      <c r="AN135" s="4539"/>
      <c r="AO135" s="4539"/>
      <c r="AP135" s="4539"/>
      <c r="AQ135" s="4539"/>
      <c r="AR135" s="4539"/>
      <c r="AS135" s="4539"/>
      <c r="AT135" s="4539"/>
      <c r="AU135" s="4539"/>
      <c r="AV135" s="4539"/>
      <c r="AW135" s="4539"/>
      <c r="AX135" s="4539"/>
      <c r="AY135" s="4539"/>
      <c r="AZ135" s="4539"/>
      <c r="BA135" s="4539"/>
    </row>
    <row r="136" spans="1:53">
      <c r="A136" s="5497" t="s">
        <v>1448</v>
      </c>
      <c r="B136" s="5498"/>
      <c r="C136" s="3175"/>
      <c r="D136" s="3176"/>
      <c r="E136" s="3176"/>
      <c r="F136" s="3176"/>
      <c r="G136" s="3176"/>
      <c r="H136" s="3175"/>
      <c r="I136" s="3176"/>
      <c r="J136" s="3176"/>
      <c r="K136" s="3176"/>
      <c r="L136" s="3176"/>
      <c r="M136" s="3175"/>
      <c r="N136" s="3176"/>
      <c r="O136" s="3176"/>
      <c r="P136" s="3176"/>
      <c r="Q136" s="3176"/>
      <c r="R136" s="3175"/>
      <c r="S136" s="3176"/>
      <c r="T136" s="3176"/>
      <c r="U136" s="3176"/>
      <c r="V136" s="3176"/>
      <c r="W136" s="3175"/>
      <c r="X136" s="3176"/>
      <c r="Y136" s="3176"/>
      <c r="Z136" s="3176"/>
      <c r="AA136" s="3176"/>
      <c r="AB136" s="4488"/>
      <c r="AC136" s="4539"/>
      <c r="AD136" s="4539"/>
      <c r="AE136" s="4539"/>
      <c r="AF136" s="4539"/>
      <c r="AG136" s="4539"/>
      <c r="AH136" s="4539"/>
      <c r="AI136" s="4539"/>
      <c r="AJ136" s="4539"/>
      <c r="AK136" s="4539"/>
      <c r="AL136" s="4539"/>
      <c r="AM136" s="4539"/>
      <c r="AN136" s="4539"/>
      <c r="AO136" s="4539"/>
      <c r="AP136" s="4539"/>
      <c r="AQ136" s="4539"/>
      <c r="AR136" s="4539"/>
      <c r="AS136" s="4539"/>
      <c r="AT136" s="4539"/>
      <c r="AU136" s="4539"/>
      <c r="AV136" s="4539"/>
      <c r="AW136" s="4539"/>
      <c r="AX136" s="4539"/>
      <c r="AY136" s="4539"/>
      <c r="AZ136" s="4539"/>
      <c r="BA136" s="4539"/>
    </row>
    <row r="137" spans="1:53" ht="13.8" thickBot="1">
      <c r="A137" s="5507" t="s">
        <v>1449</v>
      </c>
      <c r="B137" s="5508"/>
      <c r="C137" s="3177"/>
      <c r="D137" s="3178"/>
      <c r="E137" s="3178"/>
      <c r="F137" s="3178"/>
      <c r="G137" s="3178"/>
      <c r="H137" s="3177"/>
      <c r="I137" s="3178"/>
      <c r="J137" s="3178"/>
      <c r="K137" s="3178"/>
      <c r="L137" s="3178"/>
      <c r="M137" s="3177"/>
      <c r="N137" s="3178"/>
      <c r="O137" s="3178"/>
      <c r="P137" s="3178"/>
      <c r="Q137" s="3178"/>
      <c r="R137" s="3177"/>
      <c r="S137" s="3178"/>
      <c r="T137" s="3178"/>
      <c r="U137" s="3178"/>
      <c r="V137" s="3178"/>
      <c r="W137" s="3177"/>
      <c r="X137" s="3178"/>
      <c r="Y137" s="3178"/>
      <c r="Z137" s="3178"/>
      <c r="AA137" s="3178"/>
      <c r="AB137" s="4488"/>
      <c r="AC137" s="4540"/>
      <c r="AD137" s="4540"/>
      <c r="AE137" s="4540"/>
      <c r="AF137" s="4540"/>
      <c r="AG137" s="4540"/>
      <c r="AH137" s="4540"/>
      <c r="AI137" s="4540"/>
      <c r="AJ137" s="4540"/>
      <c r="AK137" s="4540"/>
      <c r="AL137" s="4540"/>
      <c r="AM137" s="4540"/>
      <c r="AN137" s="4540"/>
      <c r="AO137" s="4540"/>
      <c r="AP137" s="4540"/>
      <c r="AQ137" s="4540"/>
      <c r="AR137" s="4540"/>
      <c r="AS137" s="4540"/>
      <c r="AT137" s="4540"/>
      <c r="AU137" s="4540"/>
      <c r="AV137" s="4540"/>
      <c r="AW137" s="4540"/>
      <c r="AX137" s="4540"/>
      <c r="AY137" s="4540"/>
      <c r="AZ137" s="4540"/>
      <c r="BA137" s="4540"/>
    </row>
    <row r="138" spans="1:53" s="2" customFormat="1" ht="27" customHeight="1" thickBot="1">
      <c r="A138" s="5499" t="s">
        <v>1451</v>
      </c>
      <c r="B138" s="5500"/>
      <c r="C138" s="3179">
        <f t="shared" ref="C138:AA138" si="160">SUM(C139,C144:C148)</f>
        <v>0</v>
      </c>
      <c r="D138" s="3180">
        <f t="shared" si="160"/>
        <v>0</v>
      </c>
      <c r="E138" s="3180">
        <f t="shared" si="160"/>
        <v>0</v>
      </c>
      <c r="F138" s="3180">
        <f t="shared" si="160"/>
        <v>0</v>
      </c>
      <c r="G138" s="3180">
        <f t="shared" si="160"/>
        <v>0</v>
      </c>
      <c r="H138" s="3179">
        <f t="shared" si="160"/>
        <v>0</v>
      </c>
      <c r="I138" s="3180">
        <f t="shared" si="160"/>
        <v>0</v>
      </c>
      <c r="J138" s="3180">
        <f t="shared" si="160"/>
        <v>0</v>
      </c>
      <c r="K138" s="3180">
        <f t="shared" si="160"/>
        <v>0</v>
      </c>
      <c r="L138" s="3180">
        <f t="shared" si="160"/>
        <v>0</v>
      </c>
      <c r="M138" s="3179">
        <f t="shared" si="160"/>
        <v>0</v>
      </c>
      <c r="N138" s="3180">
        <f t="shared" si="160"/>
        <v>0</v>
      </c>
      <c r="O138" s="3180">
        <f t="shared" si="160"/>
        <v>0</v>
      </c>
      <c r="P138" s="3180">
        <f t="shared" si="160"/>
        <v>0</v>
      </c>
      <c r="Q138" s="3180">
        <f t="shared" si="160"/>
        <v>0</v>
      </c>
      <c r="R138" s="3179">
        <f t="shared" si="160"/>
        <v>0</v>
      </c>
      <c r="S138" s="3180">
        <f t="shared" si="160"/>
        <v>0</v>
      </c>
      <c r="T138" s="3180">
        <f t="shared" si="160"/>
        <v>0</v>
      </c>
      <c r="U138" s="3180">
        <f t="shared" si="160"/>
        <v>0</v>
      </c>
      <c r="V138" s="3180">
        <f t="shared" si="160"/>
        <v>0</v>
      </c>
      <c r="W138" s="3179">
        <f t="shared" si="160"/>
        <v>0</v>
      </c>
      <c r="X138" s="3180">
        <f t="shared" si="160"/>
        <v>0</v>
      </c>
      <c r="Y138" s="3180">
        <f t="shared" si="160"/>
        <v>0</v>
      </c>
      <c r="Z138" s="3180">
        <f t="shared" si="160"/>
        <v>0</v>
      </c>
      <c r="AA138" s="3180">
        <f t="shared" si="160"/>
        <v>0</v>
      </c>
      <c r="AB138" s="4488"/>
      <c r="AC138" s="4536">
        <f>IFERROR(C138/$D$1,0)</f>
        <v>0</v>
      </c>
      <c r="AD138" s="4537">
        <f t="shared" ref="AD138:AD148" si="161">IFERROR(D138/$D$1,0)</f>
        <v>0</v>
      </c>
      <c r="AE138" s="4537">
        <f t="shared" ref="AE138:AE148" si="162">IFERROR(E138/$D$1,0)</f>
        <v>0</v>
      </c>
      <c r="AF138" s="4537">
        <f t="shared" ref="AF138:AF148" si="163">IFERROR(F138/$D$1,0)</f>
        <v>0</v>
      </c>
      <c r="AG138" s="4537">
        <f t="shared" ref="AG138:AG148" si="164">IFERROR(G138/$D$1,0)</f>
        <v>0</v>
      </c>
      <c r="AH138" s="4537">
        <f t="shared" ref="AH138:AH148" si="165">IFERROR(H138/$D$1,0)</f>
        <v>0</v>
      </c>
      <c r="AI138" s="4537">
        <f t="shared" ref="AI138:AI148" si="166">IFERROR(I138/$D$1,0)</f>
        <v>0</v>
      </c>
      <c r="AJ138" s="4537">
        <f t="shared" ref="AJ138:AJ148" si="167">IFERROR(J138/$D$1,0)</f>
        <v>0</v>
      </c>
      <c r="AK138" s="4537">
        <f t="shared" ref="AK138:AK148" si="168">IFERROR(K138/$D$1,0)</f>
        <v>0</v>
      </c>
      <c r="AL138" s="4537">
        <f t="shared" ref="AL138:AL148" si="169">IFERROR(L138/$D$1,0)</f>
        <v>0</v>
      </c>
      <c r="AM138" s="4537">
        <f t="shared" ref="AM138:AM148" si="170">IFERROR(M138/$D$1,0)</f>
        <v>0</v>
      </c>
      <c r="AN138" s="4537">
        <f t="shared" ref="AN138:AN148" si="171">IFERROR(N138/$D$1,0)</f>
        <v>0</v>
      </c>
      <c r="AO138" s="4537">
        <f t="shared" ref="AO138:AO148" si="172">IFERROR(O138/$D$1,0)</f>
        <v>0</v>
      </c>
      <c r="AP138" s="4537">
        <f t="shared" ref="AP138:AP148" si="173">IFERROR(P138/$D$1,0)</f>
        <v>0</v>
      </c>
      <c r="AQ138" s="4537">
        <f t="shared" ref="AQ138:AQ148" si="174">IFERROR(Q138/$D$1,0)</f>
        <v>0</v>
      </c>
      <c r="AR138" s="4537">
        <f t="shared" ref="AR138:AR148" si="175">IFERROR(R138/$D$1,0)</f>
        <v>0</v>
      </c>
      <c r="AS138" s="4537">
        <f t="shared" ref="AS138:AS148" si="176">IFERROR(S138/$D$1,0)</f>
        <v>0</v>
      </c>
      <c r="AT138" s="4537">
        <f t="shared" ref="AT138:AT148" si="177">IFERROR(T138/$D$1,0)</f>
        <v>0</v>
      </c>
      <c r="AU138" s="4537">
        <f t="shared" ref="AU138:AU148" si="178">IFERROR(U138/$D$1,0)</f>
        <v>0</v>
      </c>
      <c r="AV138" s="4537">
        <f t="shared" ref="AV138:AV148" si="179">IFERROR(V138/$D$1,0)</f>
        <v>0</v>
      </c>
      <c r="AW138" s="4537">
        <f t="shared" ref="AW138:AW148" si="180">IFERROR(W138/$D$1,0)</f>
        <v>0</v>
      </c>
      <c r="AX138" s="4537">
        <f t="shared" ref="AX138:AX148" si="181">IFERROR(X138/$D$1,0)</f>
        <v>0</v>
      </c>
      <c r="AY138" s="4537">
        <f t="shared" ref="AY138:AY148" si="182">IFERROR(Y138/$D$1,0)</f>
        <v>0</v>
      </c>
      <c r="AZ138" s="4537">
        <f t="shared" ref="AZ138:AZ148" si="183">IFERROR(Z138/$D$1,0)</f>
        <v>0</v>
      </c>
      <c r="BA138" s="4537">
        <f t="shared" ref="BA138:BA148" si="184">IFERROR(AA138/$D$1,0)</f>
        <v>0</v>
      </c>
    </row>
    <row r="139" spans="1:53" ht="12.75" customHeight="1" thickBot="1">
      <c r="A139" s="5501" t="s">
        <v>1450</v>
      </c>
      <c r="B139" s="5502"/>
      <c r="C139" s="3173"/>
      <c r="D139" s="3174"/>
      <c r="E139" s="3174"/>
      <c r="F139" s="3174"/>
      <c r="G139" s="3174"/>
      <c r="H139" s="3173"/>
      <c r="I139" s="3174"/>
      <c r="J139" s="3174"/>
      <c r="K139" s="3174"/>
      <c r="L139" s="3174"/>
      <c r="M139" s="3173"/>
      <c r="N139" s="3174"/>
      <c r="O139" s="3174"/>
      <c r="P139" s="3174"/>
      <c r="Q139" s="3174"/>
      <c r="R139" s="3173"/>
      <c r="S139" s="3174"/>
      <c r="T139" s="3174"/>
      <c r="U139" s="3174"/>
      <c r="V139" s="3174"/>
      <c r="W139" s="3173"/>
      <c r="X139" s="3174"/>
      <c r="Y139" s="3174"/>
      <c r="Z139" s="3174"/>
      <c r="AA139" s="3174"/>
      <c r="AB139" s="4488"/>
      <c r="AC139" s="4493">
        <f t="shared" ref="AC139:AC148" si="185">IFERROR(C139/$D$1,0)</f>
        <v>0</v>
      </c>
      <c r="AD139" s="4493">
        <f t="shared" si="161"/>
        <v>0</v>
      </c>
      <c r="AE139" s="4493">
        <f t="shared" si="162"/>
        <v>0</v>
      </c>
      <c r="AF139" s="4493">
        <f t="shared" si="163"/>
        <v>0</v>
      </c>
      <c r="AG139" s="4493">
        <f t="shared" si="164"/>
        <v>0</v>
      </c>
      <c r="AH139" s="4493">
        <f t="shared" si="165"/>
        <v>0</v>
      </c>
      <c r="AI139" s="4493">
        <f t="shared" si="166"/>
        <v>0</v>
      </c>
      <c r="AJ139" s="4493">
        <f t="shared" si="167"/>
        <v>0</v>
      </c>
      <c r="AK139" s="4493">
        <f t="shared" si="168"/>
        <v>0</v>
      </c>
      <c r="AL139" s="4493">
        <f t="shared" si="169"/>
        <v>0</v>
      </c>
      <c r="AM139" s="4493">
        <f t="shared" si="170"/>
        <v>0</v>
      </c>
      <c r="AN139" s="4493">
        <f t="shared" si="171"/>
        <v>0</v>
      </c>
      <c r="AO139" s="4493">
        <f t="shared" si="172"/>
        <v>0</v>
      </c>
      <c r="AP139" s="4493">
        <f t="shared" si="173"/>
        <v>0</v>
      </c>
      <c r="AQ139" s="4493">
        <f t="shared" si="174"/>
        <v>0</v>
      </c>
      <c r="AR139" s="4493">
        <f t="shared" si="175"/>
        <v>0</v>
      </c>
      <c r="AS139" s="4493">
        <f t="shared" si="176"/>
        <v>0</v>
      </c>
      <c r="AT139" s="4493">
        <f t="shared" si="177"/>
        <v>0</v>
      </c>
      <c r="AU139" s="4493">
        <f t="shared" si="178"/>
        <v>0</v>
      </c>
      <c r="AV139" s="4493">
        <f t="shared" si="179"/>
        <v>0</v>
      </c>
      <c r="AW139" s="4493">
        <f t="shared" si="180"/>
        <v>0</v>
      </c>
      <c r="AX139" s="4493">
        <f t="shared" si="181"/>
        <v>0</v>
      </c>
      <c r="AY139" s="4493">
        <f t="shared" si="182"/>
        <v>0</v>
      </c>
      <c r="AZ139" s="4493">
        <f t="shared" si="183"/>
        <v>0</v>
      </c>
      <c r="BA139" s="4493">
        <f t="shared" si="184"/>
        <v>0</v>
      </c>
    </row>
    <row r="140" spans="1:53" ht="13.8" thickBot="1">
      <c r="A140" s="5503" t="s">
        <v>1462</v>
      </c>
      <c r="B140" s="5504"/>
      <c r="C140" s="3173"/>
      <c r="D140" s="3174"/>
      <c r="E140" s="3174"/>
      <c r="F140" s="3174"/>
      <c r="G140" s="3174"/>
      <c r="H140" s="3173"/>
      <c r="I140" s="3174"/>
      <c r="J140" s="3174"/>
      <c r="K140" s="3174"/>
      <c r="L140" s="3174"/>
      <c r="M140" s="3173"/>
      <c r="N140" s="3174"/>
      <c r="O140" s="3174"/>
      <c r="P140" s="3174"/>
      <c r="Q140" s="3174"/>
      <c r="R140" s="3173"/>
      <c r="S140" s="3174"/>
      <c r="T140" s="3174"/>
      <c r="U140" s="3174"/>
      <c r="V140" s="3174"/>
      <c r="W140" s="3173"/>
      <c r="X140" s="3174"/>
      <c r="Y140" s="3174"/>
      <c r="Z140" s="3174"/>
      <c r="AA140" s="3174"/>
      <c r="AB140" s="4488"/>
      <c r="AC140" s="4493">
        <f t="shared" si="185"/>
        <v>0</v>
      </c>
      <c r="AD140" s="4493">
        <f t="shared" si="161"/>
        <v>0</v>
      </c>
      <c r="AE140" s="4493">
        <f t="shared" si="162"/>
        <v>0</v>
      </c>
      <c r="AF140" s="4493">
        <f t="shared" si="163"/>
        <v>0</v>
      </c>
      <c r="AG140" s="4493">
        <f t="shared" si="164"/>
        <v>0</v>
      </c>
      <c r="AH140" s="4493">
        <f t="shared" si="165"/>
        <v>0</v>
      </c>
      <c r="AI140" s="4493">
        <f t="shared" si="166"/>
        <v>0</v>
      </c>
      <c r="AJ140" s="4493">
        <f t="shared" si="167"/>
        <v>0</v>
      </c>
      <c r="AK140" s="4493">
        <f t="shared" si="168"/>
        <v>0</v>
      </c>
      <c r="AL140" s="4493">
        <f t="shared" si="169"/>
        <v>0</v>
      </c>
      <c r="AM140" s="4493">
        <f t="shared" si="170"/>
        <v>0</v>
      </c>
      <c r="AN140" s="4493">
        <f t="shared" si="171"/>
        <v>0</v>
      </c>
      <c r="AO140" s="4493">
        <f t="shared" si="172"/>
        <v>0</v>
      </c>
      <c r="AP140" s="4493">
        <f t="shared" si="173"/>
        <v>0</v>
      </c>
      <c r="AQ140" s="4493">
        <f t="shared" si="174"/>
        <v>0</v>
      </c>
      <c r="AR140" s="4493">
        <f t="shared" si="175"/>
        <v>0</v>
      </c>
      <c r="AS140" s="4493">
        <f t="shared" si="176"/>
        <v>0</v>
      </c>
      <c r="AT140" s="4493">
        <f t="shared" si="177"/>
        <v>0</v>
      </c>
      <c r="AU140" s="4493">
        <f t="shared" si="178"/>
        <v>0</v>
      </c>
      <c r="AV140" s="4493">
        <f t="shared" si="179"/>
        <v>0</v>
      </c>
      <c r="AW140" s="4493">
        <f t="shared" si="180"/>
        <v>0</v>
      </c>
      <c r="AX140" s="4493">
        <f t="shared" si="181"/>
        <v>0</v>
      </c>
      <c r="AY140" s="4493">
        <f t="shared" si="182"/>
        <v>0</v>
      </c>
      <c r="AZ140" s="4493">
        <f t="shared" si="183"/>
        <v>0</v>
      </c>
      <c r="BA140" s="4493">
        <f t="shared" si="184"/>
        <v>0</v>
      </c>
    </row>
    <row r="141" spans="1:53" ht="12.75" customHeight="1" thickBot="1">
      <c r="A141" s="5478" t="s">
        <v>1452</v>
      </c>
      <c r="B141" s="5479"/>
      <c r="C141" s="3173"/>
      <c r="D141" s="3174"/>
      <c r="E141" s="3174"/>
      <c r="F141" s="3174"/>
      <c r="G141" s="3174"/>
      <c r="H141" s="3173"/>
      <c r="I141" s="3174"/>
      <c r="J141" s="3174"/>
      <c r="K141" s="3174"/>
      <c r="L141" s="3174"/>
      <c r="M141" s="3173"/>
      <c r="N141" s="3174"/>
      <c r="O141" s="3174"/>
      <c r="P141" s="3174"/>
      <c r="Q141" s="3174"/>
      <c r="R141" s="3173"/>
      <c r="S141" s="3174"/>
      <c r="T141" s="3174"/>
      <c r="U141" s="3174"/>
      <c r="V141" s="3174"/>
      <c r="W141" s="3173"/>
      <c r="X141" s="3174"/>
      <c r="Y141" s="3174"/>
      <c r="Z141" s="3174"/>
      <c r="AA141" s="3174"/>
      <c r="AB141" s="4488"/>
      <c r="AC141" s="4493">
        <f t="shared" si="185"/>
        <v>0</v>
      </c>
      <c r="AD141" s="4493">
        <f t="shared" si="161"/>
        <v>0</v>
      </c>
      <c r="AE141" s="4493">
        <f t="shared" si="162"/>
        <v>0</v>
      </c>
      <c r="AF141" s="4493">
        <f t="shared" si="163"/>
        <v>0</v>
      </c>
      <c r="AG141" s="4493">
        <f t="shared" si="164"/>
        <v>0</v>
      </c>
      <c r="AH141" s="4493">
        <f t="shared" si="165"/>
        <v>0</v>
      </c>
      <c r="AI141" s="4493">
        <f t="shared" si="166"/>
        <v>0</v>
      </c>
      <c r="AJ141" s="4493">
        <f t="shared" si="167"/>
        <v>0</v>
      </c>
      <c r="AK141" s="4493">
        <f t="shared" si="168"/>
        <v>0</v>
      </c>
      <c r="AL141" s="4493">
        <f t="shared" si="169"/>
        <v>0</v>
      </c>
      <c r="AM141" s="4493">
        <f t="shared" si="170"/>
        <v>0</v>
      </c>
      <c r="AN141" s="4493">
        <f t="shared" si="171"/>
        <v>0</v>
      </c>
      <c r="AO141" s="4493">
        <f t="shared" si="172"/>
        <v>0</v>
      </c>
      <c r="AP141" s="4493">
        <f t="shared" si="173"/>
        <v>0</v>
      </c>
      <c r="AQ141" s="4493">
        <f t="shared" si="174"/>
        <v>0</v>
      </c>
      <c r="AR141" s="4493">
        <f t="shared" si="175"/>
        <v>0</v>
      </c>
      <c r="AS141" s="4493">
        <f t="shared" si="176"/>
        <v>0</v>
      </c>
      <c r="AT141" s="4493">
        <f t="shared" si="177"/>
        <v>0</v>
      </c>
      <c r="AU141" s="4493">
        <f t="shared" si="178"/>
        <v>0</v>
      </c>
      <c r="AV141" s="4493">
        <f t="shared" si="179"/>
        <v>0</v>
      </c>
      <c r="AW141" s="4493">
        <f t="shared" si="180"/>
        <v>0</v>
      </c>
      <c r="AX141" s="4493">
        <f t="shared" si="181"/>
        <v>0</v>
      </c>
      <c r="AY141" s="4493">
        <f t="shared" si="182"/>
        <v>0</v>
      </c>
      <c r="AZ141" s="4493">
        <f t="shared" si="183"/>
        <v>0</v>
      </c>
      <c r="BA141" s="4493">
        <f t="shared" si="184"/>
        <v>0</v>
      </c>
    </row>
    <row r="142" spans="1:53" ht="12.75" customHeight="1" thickBot="1">
      <c r="A142" s="5478" t="s">
        <v>1453</v>
      </c>
      <c r="B142" s="5479"/>
      <c r="C142" s="3173"/>
      <c r="D142" s="3174"/>
      <c r="E142" s="3174"/>
      <c r="F142" s="3174"/>
      <c r="G142" s="3174"/>
      <c r="H142" s="3173"/>
      <c r="I142" s="3174"/>
      <c r="J142" s="3174"/>
      <c r="K142" s="3174"/>
      <c r="L142" s="3174"/>
      <c r="M142" s="3173"/>
      <c r="N142" s="3174"/>
      <c r="O142" s="3174"/>
      <c r="P142" s="3174"/>
      <c r="Q142" s="3174"/>
      <c r="R142" s="3173"/>
      <c r="S142" s="3174"/>
      <c r="T142" s="3174"/>
      <c r="U142" s="3174"/>
      <c r="V142" s="3174"/>
      <c r="W142" s="3173"/>
      <c r="X142" s="3174"/>
      <c r="Y142" s="3174"/>
      <c r="Z142" s="3174"/>
      <c r="AA142" s="3174"/>
      <c r="AB142" s="4488"/>
      <c r="AC142" s="4493">
        <f t="shared" si="185"/>
        <v>0</v>
      </c>
      <c r="AD142" s="4493">
        <f t="shared" si="161"/>
        <v>0</v>
      </c>
      <c r="AE142" s="4493">
        <f t="shared" si="162"/>
        <v>0</v>
      </c>
      <c r="AF142" s="4493">
        <f t="shared" si="163"/>
        <v>0</v>
      </c>
      <c r="AG142" s="4493">
        <f t="shared" si="164"/>
        <v>0</v>
      </c>
      <c r="AH142" s="4493">
        <f t="shared" si="165"/>
        <v>0</v>
      </c>
      <c r="AI142" s="4493">
        <f t="shared" si="166"/>
        <v>0</v>
      </c>
      <c r="AJ142" s="4493">
        <f t="shared" si="167"/>
        <v>0</v>
      </c>
      <c r="AK142" s="4493">
        <f t="shared" si="168"/>
        <v>0</v>
      </c>
      <c r="AL142" s="4493">
        <f t="shared" si="169"/>
        <v>0</v>
      </c>
      <c r="AM142" s="4493">
        <f t="shared" si="170"/>
        <v>0</v>
      </c>
      <c r="AN142" s="4493">
        <f t="shared" si="171"/>
        <v>0</v>
      </c>
      <c r="AO142" s="4493">
        <f t="shared" si="172"/>
        <v>0</v>
      </c>
      <c r="AP142" s="4493">
        <f t="shared" si="173"/>
        <v>0</v>
      </c>
      <c r="AQ142" s="4493">
        <f t="shared" si="174"/>
        <v>0</v>
      </c>
      <c r="AR142" s="4493">
        <f t="shared" si="175"/>
        <v>0</v>
      </c>
      <c r="AS142" s="4493">
        <f t="shared" si="176"/>
        <v>0</v>
      </c>
      <c r="AT142" s="4493">
        <f t="shared" si="177"/>
        <v>0</v>
      </c>
      <c r="AU142" s="4493">
        <f t="shared" si="178"/>
        <v>0</v>
      </c>
      <c r="AV142" s="4493">
        <f t="shared" si="179"/>
        <v>0</v>
      </c>
      <c r="AW142" s="4493">
        <f t="shared" si="180"/>
        <v>0</v>
      </c>
      <c r="AX142" s="4493">
        <f t="shared" si="181"/>
        <v>0</v>
      </c>
      <c r="AY142" s="4493">
        <f t="shared" si="182"/>
        <v>0</v>
      </c>
      <c r="AZ142" s="4493">
        <f t="shared" si="183"/>
        <v>0</v>
      </c>
      <c r="BA142" s="4493">
        <f t="shared" si="184"/>
        <v>0</v>
      </c>
    </row>
    <row r="143" spans="1:53" ht="12.75" customHeight="1" thickBot="1">
      <c r="A143" s="5478" t="s">
        <v>1454</v>
      </c>
      <c r="B143" s="5479"/>
      <c r="C143" s="3173"/>
      <c r="D143" s="3174"/>
      <c r="E143" s="3174"/>
      <c r="F143" s="3174"/>
      <c r="G143" s="3174"/>
      <c r="H143" s="3173"/>
      <c r="I143" s="3174"/>
      <c r="J143" s="3174"/>
      <c r="K143" s="3174"/>
      <c r="L143" s="3174"/>
      <c r="M143" s="3173"/>
      <c r="N143" s="3174"/>
      <c r="O143" s="3174"/>
      <c r="P143" s="3174"/>
      <c r="Q143" s="3174"/>
      <c r="R143" s="3173"/>
      <c r="S143" s="3174"/>
      <c r="T143" s="3174"/>
      <c r="U143" s="3174"/>
      <c r="V143" s="3174"/>
      <c r="W143" s="3173"/>
      <c r="X143" s="3174"/>
      <c r="Y143" s="3174"/>
      <c r="Z143" s="3174"/>
      <c r="AA143" s="3174"/>
      <c r="AB143" s="4488"/>
      <c r="AC143" s="4493">
        <f t="shared" si="185"/>
        <v>0</v>
      </c>
      <c r="AD143" s="4493">
        <f t="shared" si="161"/>
        <v>0</v>
      </c>
      <c r="AE143" s="4493">
        <f t="shared" si="162"/>
        <v>0</v>
      </c>
      <c r="AF143" s="4493">
        <f t="shared" si="163"/>
        <v>0</v>
      </c>
      <c r="AG143" s="4493">
        <f t="shared" si="164"/>
        <v>0</v>
      </c>
      <c r="AH143" s="4493">
        <f t="shared" si="165"/>
        <v>0</v>
      </c>
      <c r="AI143" s="4493">
        <f t="shared" si="166"/>
        <v>0</v>
      </c>
      <c r="AJ143" s="4493">
        <f t="shared" si="167"/>
        <v>0</v>
      </c>
      <c r="AK143" s="4493">
        <f t="shared" si="168"/>
        <v>0</v>
      </c>
      <c r="AL143" s="4493">
        <f t="shared" si="169"/>
        <v>0</v>
      </c>
      <c r="AM143" s="4493">
        <f t="shared" si="170"/>
        <v>0</v>
      </c>
      <c r="AN143" s="4493">
        <f t="shared" si="171"/>
        <v>0</v>
      </c>
      <c r="AO143" s="4493">
        <f t="shared" si="172"/>
        <v>0</v>
      </c>
      <c r="AP143" s="4493">
        <f t="shared" si="173"/>
        <v>0</v>
      </c>
      <c r="AQ143" s="4493">
        <f t="shared" si="174"/>
        <v>0</v>
      </c>
      <c r="AR143" s="4493">
        <f t="shared" si="175"/>
        <v>0</v>
      </c>
      <c r="AS143" s="4493">
        <f t="shared" si="176"/>
        <v>0</v>
      </c>
      <c r="AT143" s="4493">
        <f t="shared" si="177"/>
        <v>0</v>
      </c>
      <c r="AU143" s="4493">
        <f t="shared" si="178"/>
        <v>0</v>
      </c>
      <c r="AV143" s="4493">
        <f t="shared" si="179"/>
        <v>0</v>
      </c>
      <c r="AW143" s="4493">
        <f t="shared" si="180"/>
        <v>0</v>
      </c>
      <c r="AX143" s="4493">
        <f t="shared" si="181"/>
        <v>0</v>
      </c>
      <c r="AY143" s="4493">
        <f t="shared" si="182"/>
        <v>0</v>
      </c>
      <c r="AZ143" s="4493">
        <f t="shared" si="183"/>
        <v>0</v>
      </c>
      <c r="BA143" s="4493">
        <f t="shared" si="184"/>
        <v>0</v>
      </c>
    </row>
    <row r="144" spans="1:53" ht="13.8" thickBot="1">
      <c r="A144" s="5476" t="s">
        <v>1455</v>
      </c>
      <c r="B144" s="5477"/>
      <c r="C144" s="3173"/>
      <c r="D144" s="3174"/>
      <c r="E144" s="3174"/>
      <c r="F144" s="3174"/>
      <c r="G144" s="3174"/>
      <c r="H144" s="3173"/>
      <c r="I144" s="3174"/>
      <c r="J144" s="3174"/>
      <c r="K144" s="3174"/>
      <c r="L144" s="3174"/>
      <c r="M144" s="3173"/>
      <c r="N144" s="3174"/>
      <c r="O144" s="3174"/>
      <c r="P144" s="3174"/>
      <c r="Q144" s="3174"/>
      <c r="R144" s="3173"/>
      <c r="S144" s="3174"/>
      <c r="T144" s="3174"/>
      <c r="U144" s="3174"/>
      <c r="V144" s="3174"/>
      <c r="W144" s="3173"/>
      <c r="X144" s="3174"/>
      <c r="Y144" s="3174"/>
      <c r="Z144" s="3174"/>
      <c r="AA144" s="3174"/>
      <c r="AB144" s="4488"/>
      <c r="AC144" s="4493">
        <f t="shared" si="185"/>
        <v>0</v>
      </c>
      <c r="AD144" s="4493">
        <f t="shared" si="161"/>
        <v>0</v>
      </c>
      <c r="AE144" s="4493">
        <f t="shared" si="162"/>
        <v>0</v>
      </c>
      <c r="AF144" s="4493">
        <f t="shared" si="163"/>
        <v>0</v>
      </c>
      <c r="AG144" s="4493">
        <f t="shared" si="164"/>
        <v>0</v>
      </c>
      <c r="AH144" s="4493">
        <f t="shared" si="165"/>
        <v>0</v>
      </c>
      <c r="AI144" s="4493">
        <f t="shared" si="166"/>
        <v>0</v>
      </c>
      <c r="AJ144" s="4493">
        <f t="shared" si="167"/>
        <v>0</v>
      </c>
      <c r="AK144" s="4493">
        <f t="shared" si="168"/>
        <v>0</v>
      </c>
      <c r="AL144" s="4493">
        <f t="shared" si="169"/>
        <v>0</v>
      </c>
      <c r="AM144" s="4493">
        <f t="shared" si="170"/>
        <v>0</v>
      </c>
      <c r="AN144" s="4493">
        <f t="shared" si="171"/>
        <v>0</v>
      </c>
      <c r="AO144" s="4493">
        <f t="shared" si="172"/>
        <v>0</v>
      </c>
      <c r="AP144" s="4493">
        <f t="shared" si="173"/>
        <v>0</v>
      </c>
      <c r="AQ144" s="4493">
        <f t="shared" si="174"/>
        <v>0</v>
      </c>
      <c r="AR144" s="4493">
        <f t="shared" si="175"/>
        <v>0</v>
      </c>
      <c r="AS144" s="4493">
        <f t="shared" si="176"/>
        <v>0</v>
      </c>
      <c r="AT144" s="4493">
        <f t="shared" si="177"/>
        <v>0</v>
      </c>
      <c r="AU144" s="4493">
        <f t="shared" si="178"/>
        <v>0</v>
      </c>
      <c r="AV144" s="4493">
        <f t="shared" si="179"/>
        <v>0</v>
      </c>
      <c r="AW144" s="4493">
        <f t="shared" si="180"/>
        <v>0</v>
      </c>
      <c r="AX144" s="4493">
        <f t="shared" si="181"/>
        <v>0</v>
      </c>
      <c r="AY144" s="4493">
        <f t="shared" si="182"/>
        <v>0</v>
      </c>
      <c r="AZ144" s="4493">
        <f t="shared" si="183"/>
        <v>0</v>
      </c>
      <c r="BA144" s="4493">
        <f t="shared" si="184"/>
        <v>0</v>
      </c>
    </row>
    <row r="145" spans="1:61" ht="12.75" customHeight="1" thickBot="1">
      <c r="A145" s="5487" t="s">
        <v>1456</v>
      </c>
      <c r="B145" s="5488"/>
      <c r="C145" s="3173"/>
      <c r="D145" s="3174"/>
      <c r="E145" s="3174"/>
      <c r="F145" s="3174"/>
      <c r="G145" s="3174"/>
      <c r="H145" s="3173"/>
      <c r="I145" s="3174"/>
      <c r="J145" s="3174"/>
      <c r="K145" s="3174"/>
      <c r="L145" s="3174"/>
      <c r="M145" s="3173"/>
      <c r="N145" s="3174"/>
      <c r="O145" s="3174"/>
      <c r="P145" s="3174"/>
      <c r="Q145" s="3174"/>
      <c r="R145" s="3173"/>
      <c r="S145" s="3174"/>
      <c r="T145" s="3174"/>
      <c r="U145" s="3174"/>
      <c r="V145" s="3174"/>
      <c r="W145" s="3173"/>
      <c r="X145" s="3174"/>
      <c r="Y145" s="3174"/>
      <c r="Z145" s="3174"/>
      <c r="AA145" s="3174"/>
      <c r="AB145" s="4488"/>
      <c r="AC145" s="4493">
        <f t="shared" si="185"/>
        <v>0</v>
      </c>
      <c r="AD145" s="4493">
        <f t="shared" si="161"/>
        <v>0</v>
      </c>
      <c r="AE145" s="4493">
        <f t="shared" si="162"/>
        <v>0</v>
      </c>
      <c r="AF145" s="4493">
        <f t="shared" si="163"/>
        <v>0</v>
      </c>
      <c r="AG145" s="4493">
        <f t="shared" si="164"/>
        <v>0</v>
      </c>
      <c r="AH145" s="4493">
        <f t="shared" si="165"/>
        <v>0</v>
      </c>
      <c r="AI145" s="4493">
        <f t="shared" si="166"/>
        <v>0</v>
      </c>
      <c r="AJ145" s="4493">
        <f t="shared" si="167"/>
        <v>0</v>
      </c>
      <c r="AK145" s="4493">
        <f t="shared" si="168"/>
        <v>0</v>
      </c>
      <c r="AL145" s="4493">
        <f t="shared" si="169"/>
        <v>0</v>
      </c>
      <c r="AM145" s="4493">
        <f t="shared" si="170"/>
        <v>0</v>
      </c>
      <c r="AN145" s="4493">
        <f t="shared" si="171"/>
        <v>0</v>
      </c>
      <c r="AO145" s="4493">
        <f t="shared" si="172"/>
        <v>0</v>
      </c>
      <c r="AP145" s="4493">
        <f t="shared" si="173"/>
        <v>0</v>
      </c>
      <c r="AQ145" s="4493">
        <f t="shared" si="174"/>
        <v>0</v>
      </c>
      <c r="AR145" s="4493">
        <f t="shared" si="175"/>
        <v>0</v>
      </c>
      <c r="AS145" s="4493">
        <f t="shared" si="176"/>
        <v>0</v>
      </c>
      <c r="AT145" s="4493">
        <f t="shared" si="177"/>
        <v>0</v>
      </c>
      <c r="AU145" s="4493">
        <f t="shared" si="178"/>
        <v>0</v>
      </c>
      <c r="AV145" s="4493">
        <f t="shared" si="179"/>
        <v>0</v>
      </c>
      <c r="AW145" s="4493">
        <f t="shared" si="180"/>
        <v>0</v>
      </c>
      <c r="AX145" s="4493">
        <f t="shared" si="181"/>
        <v>0</v>
      </c>
      <c r="AY145" s="4493">
        <f t="shared" si="182"/>
        <v>0</v>
      </c>
      <c r="AZ145" s="4493">
        <f t="shared" si="183"/>
        <v>0</v>
      </c>
      <c r="BA145" s="4493">
        <f t="shared" si="184"/>
        <v>0</v>
      </c>
    </row>
    <row r="146" spans="1:61" ht="12.75" customHeight="1" thickBot="1">
      <c r="A146" s="5487" t="s">
        <v>1457</v>
      </c>
      <c r="B146" s="5488"/>
      <c r="C146" s="3173"/>
      <c r="D146" s="3174"/>
      <c r="E146" s="3174"/>
      <c r="F146" s="3174"/>
      <c r="G146" s="3174"/>
      <c r="H146" s="3173"/>
      <c r="I146" s="3174"/>
      <c r="J146" s="3174"/>
      <c r="K146" s="3174"/>
      <c r="L146" s="3174"/>
      <c r="M146" s="3173"/>
      <c r="N146" s="3174"/>
      <c r="O146" s="3174"/>
      <c r="P146" s="3174"/>
      <c r="Q146" s="3174"/>
      <c r="R146" s="3173"/>
      <c r="S146" s="3174"/>
      <c r="T146" s="3174"/>
      <c r="U146" s="3174"/>
      <c r="V146" s="3174"/>
      <c r="W146" s="3173"/>
      <c r="X146" s="3174"/>
      <c r="Y146" s="3174"/>
      <c r="Z146" s="3174"/>
      <c r="AA146" s="3174"/>
      <c r="AB146" s="4488"/>
      <c r="AC146" s="4493">
        <f t="shared" si="185"/>
        <v>0</v>
      </c>
      <c r="AD146" s="4493">
        <f t="shared" si="161"/>
        <v>0</v>
      </c>
      <c r="AE146" s="4493">
        <f t="shared" si="162"/>
        <v>0</v>
      </c>
      <c r="AF146" s="4493">
        <f t="shared" si="163"/>
        <v>0</v>
      </c>
      <c r="AG146" s="4493">
        <f t="shared" si="164"/>
        <v>0</v>
      </c>
      <c r="AH146" s="4493">
        <f t="shared" si="165"/>
        <v>0</v>
      </c>
      <c r="AI146" s="4493">
        <f t="shared" si="166"/>
        <v>0</v>
      </c>
      <c r="AJ146" s="4493">
        <f t="shared" si="167"/>
        <v>0</v>
      </c>
      <c r="AK146" s="4493">
        <f t="shared" si="168"/>
        <v>0</v>
      </c>
      <c r="AL146" s="4493">
        <f t="shared" si="169"/>
        <v>0</v>
      </c>
      <c r="AM146" s="4493">
        <f t="shared" si="170"/>
        <v>0</v>
      </c>
      <c r="AN146" s="4493">
        <f t="shared" si="171"/>
        <v>0</v>
      </c>
      <c r="AO146" s="4493">
        <f t="shared" si="172"/>
        <v>0</v>
      </c>
      <c r="AP146" s="4493">
        <f t="shared" si="173"/>
        <v>0</v>
      </c>
      <c r="AQ146" s="4493">
        <f t="shared" si="174"/>
        <v>0</v>
      </c>
      <c r="AR146" s="4493">
        <f t="shared" si="175"/>
        <v>0</v>
      </c>
      <c r="AS146" s="4493">
        <f t="shared" si="176"/>
        <v>0</v>
      </c>
      <c r="AT146" s="4493">
        <f t="shared" si="177"/>
        <v>0</v>
      </c>
      <c r="AU146" s="4493">
        <f t="shared" si="178"/>
        <v>0</v>
      </c>
      <c r="AV146" s="4493">
        <f t="shared" si="179"/>
        <v>0</v>
      </c>
      <c r="AW146" s="4493">
        <f t="shared" si="180"/>
        <v>0</v>
      </c>
      <c r="AX146" s="4493">
        <f t="shared" si="181"/>
        <v>0</v>
      </c>
      <c r="AY146" s="4493">
        <f t="shared" si="182"/>
        <v>0</v>
      </c>
      <c r="AZ146" s="4493">
        <f t="shared" si="183"/>
        <v>0</v>
      </c>
      <c r="BA146" s="4493">
        <f t="shared" si="184"/>
        <v>0</v>
      </c>
    </row>
    <row r="147" spans="1:61" ht="13.8" thickBot="1">
      <c r="A147" s="5487" t="s">
        <v>1458</v>
      </c>
      <c r="B147" s="5488"/>
      <c r="C147" s="3173"/>
      <c r="D147" s="3174"/>
      <c r="E147" s="3174"/>
      <c r="F147" s="3174"/>
      <c r="G147" s="3174"/>
      <c r="H147" s="3173"/>
      <c r="I147" s="3174"/>
      <c r="J147" s="3174"/>
      <c r="K147" s="3174"/>
      <c r="L147" s="3174"/>
      <c r="M147" s="3173"/>
      <c r="N147" s="3174"/>
      <c r="O147" s="3174"/>
      <c r="P147" s="3174"/>
      <c r="Q147" s="3174"/>
      <c r="R147" s="3173"/>
      <c r="S147" s="3174"/>
      <c r="T147" s="3174"/>
      <c r="U147" s="3174"/>
      <c r="V147" s="3174"/>
      <c r="W147" s="3173"/>
      <c r="X147" s="3174"/>
      <c r="Y147" s="3174"/>
      <c r="Z147" s="3174"/>
      <c r="AA147" s="3174"/>
      <c r="AB147" s="4488"/>
      <c r="AC147" s="4493">
        <f t="shared" si="185"/>
        <v>0</v>
      </c>
      <c r="AD147" s="4493">
        <f t="shared" si="161"/>
        <v>0</v>
      </c>
      <c r="AE147" s="4493">
        <f t="shared" si="162"/>
        <v>0</v>
      </c>
      <c r="AF147" s="4493">
        <f t="shared" si="163"/>
        <v>0</v>
      </c>
      <c r="AG147" s="4493">
        <f t="shared" si="164"/>
        <v>0</v>
      </c>
      <c r="AH147" s="4493">
        <f t="shared" si="165"/>
        <v>0</v>
      </c>
      <c r="AI147" s="4493">
        <f t="shared" si="166"/>
        <v>0</v>
      </c>
      <c r="AJ147" s="4493">
        <f t="shared" si="167"/>
        <v>0</v>
      </c>
      <c r="AK147" s="4493">
        <f t="shared" si="168"/>
        <v>0</v>
      </c>
      <c r="AL147" s="4493">
        <f t="shared" si="169"/>
        <v>0</v>
      </c>
      <c r="AM147" s="4493">
        <f t="shared" si="170"/>
        <v>0</v>
      </c>
      <c r="AN147" s="4493">
        <f t="shared" si="171"/>
        <v>0</v>
      </c>
      <c r="AO147" s="4493">
        <f t="shared" si="172"/>
        <v>0</v>
      </c>
      <c r="AP147" s="4493">
        <f t="shared" si="173"/>
        <v>0</v>
      </c>
      <c r="AQ147" s="4493">
        <f t="shared" si="174"/>
        <v>0</v>
      </c>
      <c r="AR147" s="4493">
        <f t="shared" si="175"/>
        <v>0</v>
      </c>
      <c r="AS147" s="4493">
        <f t="shared" si="176"/>
        <v>0</v>
      </c>
      <c r="AT147" s="4493">
        <f t="shared" si="177"/>
        <v>0</v>
      </c>
      <c r="AU147" s="4493">
        <f t="shared" si="178"/>
        <v>0</v>
      </c>
      <c r="AV147" s="4493">
        <f t="shared" si="179"/>
        <v>0</v>
      </c>
      <c r="AW147" s="4493">
        <f t="shared" si="180"/>
        <v>0</v>
      </c>
      <c r="AX147" s="4493">
        <f t="shared" si="181"/>
        <v>0</v>
      </c>
      <c r="AY147" s="4493">
        <f t="shared" si="182"/>
        <v>0</v>
      </c>
      <c r="AZ147" s="4493">
        <f t="shared" si="183"/>
        <v>0</v>
      </c>
      <c r="BA147" s="4493">
        <f t="shared" si="184"/>
        <v>0</v>
      </c>
    </row>
    <row r="148" spans="1:61" ht="13.8" thickBot="1">
      <c r="A148" s="5505" t="s">
        <v>1459</v>
      </c>
      <c r="B148" s="5506"/>
      <c r="C148" s="3177"/>
      <c r="D148" s="3178"/>
      <c r="E148" s="3178"/>
      <c r="F148" s="3178"/>
      <c r="G148" s="3178"/>
      <c r="H148" s="3177"/>
      <c r="I148" s="3178"/>
      <c r="J148" s="3178"/>
      <c r="K148" s="3178"/>
      <c r="L148" s="3178"/>
      <c r="M148" s="3177"/>
      <c r="N148" s="3178"/>
      <c r="O148" s="3178"/>
      <c r="P148" s="3178"/>
      <c r="Q148" s="3178"/>
      <c r="R148" s="3177"/>
      <c r="S148" s="3178"/>
      <c r="T148" s="3178"/>
      <c r="U148" s="3178"/>
      <c r="V148" s="3178"/>
      <c r="W148" s="3177"/>
      <c r="X148" s="3178"/>
      <c r="Y148" s="3178"/>
      <c r="Z148" s="3178"/>
      <c r="AA148" s="3178"/>
      <c r="AB148" s="4488"/>
      <c r="AC148" s="4493">
        <f t="shared" si="185"/>
        <v>0</v>
      </c>
      <c r="AD148" s="4493">
        <f t="shared" si="161"/>
        <v>0</v>
      </c>
      <c r="AE148" s="4493">
        <f t="shared" si="162"/>
        <v>0</v>
      </c>
      <c r="AF148" s="4493">
        <f t="shared" si="163"/>
        <v>0</v>
      </c>
      <c r="AG148" s="4493">
        <f t="shared" si="164"/>
        <v>0</v>
      </c>
      <c r="AH148" s="4493">
        <f t="shared" si="165"/>
        <v>0</v>
      </c>
      <c r="AI148" s="4493">
        <f t="shared" si="166"/>
        <v>0</v>
      </c>
      <c r="AJ148" s="4493">
        <f t="shared" si="167"/>
        <v>0</v>
      </c>
      <c r="AK148" s="4493">
        <f t="shared" si="168"/>
        <v>0</v>
      </c>
      <c r="AL148" s="4493">
        <f t="shared" si="169"/>
        <v>0</v>
      </c>
      <c r="AM148" s="4493">
        <f t="shared" si="170"/>
        <v>0</v>
      </c>
      <c r="AN148" s="4493">
        <f t="shared" si="171"/>
        <v>0</v>
      </c>
      <c r="AO148" s="4493">
        <f t="shared" si="172"/>
        <v>0</v>
      </c>
      <c r="AP148" s="4493">
        <f t="shared" si="173"/>
        <v>0</v>
      </c>
      <c r="AQ148" s="4493">
        <f t="shared" si="174"/>
        <v>0</v>
      </c>
      <c r="AR148" s="4493">
        <f t="shared" si="175"/>
        <v>0</v>
      </c>
      <c r="AS148" s="4493">
        <f t="shared" si="176"/>
        <v>0</v>
      </c>
      <c r="AT148" s="4493">
        <f t="shared" si="177"/>
        <v>0</v>
      </c>
      <c r="AU148" s="4493">
        <f t="shared" si="178"/>
        <v>0</v>
      </c>
      <c r="AV148" s="4493">
        <f t="shared" si="179"/>
        <v>0</v>
      </c>
      <c r="AW148" s="4493">
        <f t="shared" si="180"/>
        <v>0</v>
      </c>
      <c r="AX148" s="4493">
        <f t="shared" si="181"/>
        <v>0</v>
      </c>
      <c r="AY148" s="4493">
        <f t="shared" si="182"/>
        <v>0</v>
      </c>
      <c r="AZ148" s="4493">
        <f t="shared" si="183"/>
        <v>0</v>
      </c>
      <c r="BA148" s="4493">
        <f t="shared" si="184"/>
        <v>0</v>
      </c>
    </row>
    <row r="149" spans="1:61" s="44" customFormat="1" ht="13.8">
      <c r="A149" s="700"/>
      <c r="B149" s="700"/>
      <c r="C149" s="700"/>
      <c r="D149" s="847"/>
      <c r="E149" s="696"/>
      <c r="F149" s="847"/>
      <c r="G149" s="696"/>
      <c r="H149" s="696"/>
      <c r="I149" s="847"/>
      <c r="J149" s="696"/>
      <c r="K149" s="847"/>
      <c r="L149" s="696"/>
      <c r="M149" s="847"/>
      <c r="N149" s="696"/>
      <c r="O149" s="847"/>
      <c r="P149" s="696"/>
      <c r="Q149" s="847"/>
      <c r="R149" s="847"/>
      <c r="S149" s="696"/>
      <c r="T149" s="847"/>
      <c r="U149" s="696"/>
      <c r="V149" s="696"/>
      <c r="W149" s="696"/>
      <c r="X149" s="713"/>
      <c r="Y149" s="696"/>
      <c r="Z149" s="713"/>
      <c r="AA149" s="696"/>
      <c r="AB149" s="696"/>
      <c r="AC149" s="700"/>
      <c r="AD149" s="847"/>
      <c r="AE149" s="696"/>
      <c r="AF149" s="847"/>
      <c r="AG149" s="696"/>
      <c r="AH149" s="696"/>
      <c r="AI149" s="847"/>
      <c r="AJ149" s="696"/>
      <c r="AK149" s="847"/>
      <c r="AL149" s="696"/>
      <c r="AM149" s="847"/>
      <c r="AN149" s="696"/>
      <c r="AO149" s="847"/>
      <c r="AP149" s="696"/>
      <c r="AQ149" s="847"/>
      <c r="AR149" s="847"/>
      <c r="AS149" s="696"/>
      <c r="AT149" s="847"/>
      <c r="AU149" s="696"/>
      <c r="AV149" s="696"/>
      <c r="AW149" s="696"/>
      <c r="AX149" s="713"/>
      <c r="AY149" s="696"/>
      <c r="AZ149" s="713"/>
      <c r="BA149" s="696"/>
    </row>
    <row r="150" spans="1:61" s="44" customFormat="1" ht="13.8">
      <c r="A150" s="700"/>
      <c r="B150" s="700"/>
      <c r="C150" s="700"/>
      <c r="D150" s="847"/>
      <c r="E150" s="696"/>
      <c r="F150" s="847"/>
      <c r="G150" s="696"/>
      <c r="H150" s="696"/>
      <c r="I150" s="847"/>
      <c r="J150" s="696"/>
      <c r="K150" s="847"/>
      <c r="L150" s="696"/>
      <c r="M150" s="847"/>
      <c r="N150" s="696"/>
      <c r="O150" s="847"/>
      <c r="P150" s="696"/>
      <c r="Q150" s="847"/>
      <c r="R150" s="847"/>
      <c r="S150" s="696"/>
      <c r="T150" s="847"/>
      <c r="U150" s="696"/>
      <c r="AB150" s="696"/>
      <c r="AC150" s="700"/>
      <c r="AD150" s="847"/>
      <c r="AE150" s="696"/>
      <c r="AF150" s="847"/>
      <c r="AG150" s="696"/>
      <c r="AH150" s="696"/>
      <c r="AI150" s="847"/>
      <c r="AJ150" s="696"/>
      <c r="AK150" s="847"/>
      <c r="AL150" s="696"/>
      <c r="AM150" s="847"/>
      <c r="AN150" s="696"/>
      <c r="AO150" s="847"/>
      <c r="AP150" s="696"/>
      <c r="AQ150" s="847"/>
      <c r="AR150" s="847"/>
      <c r="AS150" s="696"/>
      <c r="AT150" s="847"/>
      <c r="AU150" s="696"/>
    </row>
    <row r="151" spans="1:61" s="44" customFormat="1" ht="13.8">
      <c r="A151" s="3157"/>
      <c r="B151" s="700"/>
      <c r="C151" s="1438" t="str">
        <f>'Приложение '!B82</f>
        <v>Дата: 16.03.2026</v>
      </c>
      <c r="D151" s="847"/>
      <c r="E151" s="696"/>
      <c r="F151" s="847"/>
      <c r="G151" s="696"/>
      <c r="N151" s="696"/>
      <c r="O151" s="847"/>
      <c r="P151" s="696"/>
      <c r="Q151" s="847"/>
      <c r="S151" s="696"/>
      <c r="T151" s="847"/>
      <c r="U151" s="696"/>
      <c r="V151" s="696"/>
      <c r="W151" s="3159"/>
      <c r="X151" s="2428"/>
      <c r="Y151" s="696"/>
      <c r="Z151" s="696"/>
      <c r="AA151" s="847"/>
      <c r="AB151" s="696"/>
      <c r="AC151" s="1438"/>
      <c r="AD151" s="847"/>
      <c r="AE151" s="696"/>
      <c r="AF151" s="847"/>
      <c r="AG151" s="696"/>
      <c r="AN151" s="696"/>
      <c r="AO151" s="847"/>
      <c r="AP151" s="696"/>
      <c r="AQ151" s="847"/>
      <c r="AS151" s="696"/>
      <c r="AT151" s="847"/>
      <c r="AU151" s="696"/>
      <c r="AV151" s="696"/>
      <c r="AW151" s="3159"/>
      <c r="AX151" s="2428"/>
      <c r="AY151" s="696"/>
      <c r="AZ151" s="696"/>
      <c r="BA151" s="847"/>
    </row>
    <row r="152" spans="1:61" s="669" customFormat="1" ht="13.8">
      <c r="B152" s="3157"/>
      <c r="C152" s="3157"/>
      <c r="D152" s="844"/>
      <c r="E152" s="45"/>
      <c r="F152" s="844"/>
      <c r="G152" s="45"/>
      <c r="N152" s="688"/>
      <c r="O152" s="696"/>
      <c r="P152" s="45"/>
      <c r="Q152" s="844"/>
      <c r="R152" s="844"/>
      <c r="S152" s="45"/>
      <c r="T152" s="844"/>
      <c r="U152" s="45"/>
      <c r="V152" s="45"/>
      <c r="W152" s="3159"/>
      <c r="X152" s="3162"/>
      <c r="Y152" s="32"/>
      <c r="Z152" s="32"/>
      <c r="AA152" s="32"/>
      <c r="AB152" s="41"/>
      <c r="AC152" s="3157"/>
      <c r="AD152" s="844"/>
      <c r="AE152" s="45"/>
      <c r="AF152" s="844"/>
      <c r="AG152" s="45"/>
      <c r="AN152" s="688"/>
      <c r="AO152" s="696"/>
      <c r="AP152" s="45"/>
      <c r="AQ152" s="844"/>
      <c r="AR152" s="844"/>
      <c r="AS152" s="45"/>
      <c r="AT152" s="844"/>
      <c r="AU152" s="45"/>
      <c r="AV152" s="45"/>
      <c r="AW152" s="3159"/>
      <c r="AX152" s="3162"/>
      <c r="AY152" s="32"/>
      <c r="AZ152" s="32"/>
      <c r="BA152" s="32"/>
      <c r="BB152" s="44"/>
      <c r="BC152" s="44"/>
      <c r="BD152" s="44"/>
      <c r="BE152" s="44"/>
      <c r="BF152" s="44"/>
      <c r="BG152" s="44"/>
      <c r="BH152" s="44"/>
      <c r="BI152" s="44"/>
    </row>
    <row r="153" spans="1:61" s="44" customFormat="1" ht="13.8">
      <c r="D153" s="844"/>
      <c r="E153" s="45"/>
      <c r="F153" s="844"/>
      <c r="G153" s="45"/>
      <c r="N153" s="688"/>
      <c r="O153" s="696"/>
      <c r="P153" s="45"/>
      <c r="Q153" s="844"/>
      <c r="R153" s="844"/>
      <c r="S153" s="45"/>
      <c r="T153" s="844"/>
      <c r="U153" s="45"/>
      <c r="V153" s="45"/>
      <c r="Y153" s="691"/>
      <c r="Z153" s="692"/>
      <c r="AA153" s="32"/>
      <c r="AB153" s="688"/>
      <c r="AD153" s="844"/>
      <c r="AE153" s="45"/>
      <c r="AF153" s="844"/>
      <c r="AG153" s="45"/>
      <c r="AN153" s="688"/>
      <c r="AO153" s="696"/>
      <c r="AP153" s="45"/>
      <c r="AQ153" s="844"/>
      <c r="AR153" s="844"/>
      <c r="AS153" s="45"/>
      <c r="AT153" s="844"/>
      <c r="AU153" s="45"/>
      <c r="AV153" s="45"/>
      <c r="AY153" s="691"/>
      <c r="AZ153" s="692"/>
      <c r="BA153" s="32"/>
    </row>
    <row r="154" spans="1:61" s="44" customFormat="1" ht="13.8">
      <c r="B154" s="3163"/>
      <c r="C154" s="3163" t="s">
        <v>187</v>
      </c>
      <c r="D154" s="844"/>
      <c r="E154" s="45"/>
      <c r="F154" s="844"/>
      <c r="G154" s="45"/>
      <c r="N154" s="688"/>
      <c r="O154" s="696"/>
      <c r="P154" s="45"/>
      <c r="Q154" s="844"/>
      <c r="R154" s="844"/>
      <c r="S154" s="45"/>
      <c r="T154" s="844"/>
      <c r="U154" s="45"/>
      <c r="V154" s="45"/>
      <c r="W154" s="3159"/>
      <c r="X154" s="2428"/>
      <c r="Y154" s="32"/>
      <c r="Z154" s="32"/>
      <c r="AA154" s="32"/>
      <c r="AB154" s="688"/>
      <c r="AC154" s="3163"/>
      <c r="AD154" s="844"/>
      <c r="AE154" s="45"/>
      <c r="AF154" s="844"/>
      <c r="AG154" s="45"/>
      <c r="AN154" s="688"/>
      <c r="AO154" s="696"/>
      <c r="AP154" s="45"/>
      <c r="AQ154" s="844"/>
      <c r="AR154" s="844"/>
      <c r="AS154" s="45"/>
      <c r="AT154" s="844"/>
      <c r="AU154" s="45"/>
      <c r="AV154" s="45"/>
      <c r="AW154" s="3159"/>
      <c r="AX154" s="2428"/>
      <c r="AY154" s="32"/>
      <c r="AZ154" s="32"/>
      <c r="BA154" s="32"/>
    </row>
    <row r="155" spans="1:61" s="44" customFormat="1" ht="13.8">
      <c r="B155" s="387"/>
      <c r="C155" s="44" t="s">
        <v>1057</v>
      </c>
      <c r="D155" s="844"/>
      <c r="E155" s="45"/>
      <c r="F155" s="844"/>
      <c r="G155" s="45"/>
      <c r="N155" s="688"/>
      <c r="O155" s="696"/>
      <c r="P155" s="45"/>
      <c r="Q155" s="844"/>
      <c r="R155" s="844"/>
      <c r="S155" s="45"/>
      <c r="T155" s="844"/>
      <c r="U155" s="45"/>
      <c r="V155" s="45"/>
      <c r="X155" s="3162"/>
      <c r="Y155" s="691"/>
      <c r="Z155" s="692"/>
      <c r="AA155" s="32"/>
      <c r="AB155" s="45"/>
      <c r="AD155" s="844"/>
      <c r="AE155" s="45"/>
      <c r="AF155" s="844"/>
      <c r="AG155" s="45"/>
      <c r="AN155" s="688"/>
      <c r="AO155" s="696"/>
      <c r="AP155" s="45"/>
      <c r="AQ155" s="844"/>
      <c r="AR155" s="844"/>
      <c r="AS155" s="45"/>
      <c r="AT155" s="844"/>
      <c r="AU155" s="45"/>
      <c r="AV155" s="45"/>
      <c r="AX155" s="3162"/>
      <c r="AY155" s="691"/>
      <c r="AZ155" s="692"/>
      <c r="BA155" s="32"/>
    </row>
    <row r="156" spans="1:61" ht="13.8">
      <c r="N156" s="688"/>
      <c r="O156" s="696"/>
      <c r="AN156" s="688"/>
      <c r="AO156" s="696"/>
    </row>
  </sheetData>
  <sheetProtection algorithmName="SHA-512" hashValue="M76tjsUrTuTpo113TVAns48qc0YlXv//HV1Ja87KSiLaKo/IyFM5y8tAgxCY2tZwiQ/UlCgCeI/alsZaW1PB4g==" saltValue="cAgn5ijJMVqAV04+V1U6Jg==" spinCount="100000" sheet="1" formatCells="0" formatColumns="0" formatRows="0"/>
  <mergeCells count="547">
    <mergeCell ref="A12:A13"/>
    <mergeCell ref="A17:B17"/>
    <mergeCell ref="A18:B18"/>
    <mergeCell ref="A47:B47"/>
    <mergeCell ref="A48:B48"/>
    <mergeCell ref="A49:B49"/>
    <mergeCell ref="A67:B67"/>
    <mergeCell ref="H58:L58"/>
    <mergeCell ref="H13:L13"/>
    <mergeCell ref="H14:L14"/>
    <mergeCell ref="A27:B27"/>
    <mergeCell ref="H12:L12"/>
    <mergeCell ref="A57:A58"/>
    <mergeCell ref="A59:A60"/>
    <mergeCell ref="A39:B39"/>
    <mergeCell ref="A56:B56"/>
    <mergeCell ref="A63:B63"/>
    <mergeCell ref="C57:G57"/>
    <mergeCell ref="H57:L57"/>
    <mergeCell ref="H32:L32"/>
    <mergeCell ref="C32:G32"/>
    <mergeCell ref="A32:B32"/>
    <mergeCell ref="H38:L38"/>
    <mergeCell ref="C35:G35"/>
    <mergeCell ref="H35:L35"/>
    <mergeCell ref="A43:B43"/>
    <mergeCell ref="A33:A34"/>
    <mergeCell ref="A50:B50"/>
    <mergeCell ref="A51:B51"/>
    <mergeCell ref="A52:B52"/>
    <mergeCell ref="A53:B53"/>
    <mergeCell ref="H36:L36"/>
    <mergeCell ref="A54:B54"/>
    <mergeCell ref="H33:L33"/>
    <mergeCell ref="A72:B72"/>
    <mergeCell ref="A73:B73"/>
    <mergeCell ref="A74:B74"/>
    <mergeCell ref="A75:B75"/>
    <mergeCell ref="A76:B76"/>
    <mergeCell ref="A64:B64"/>
    <mergeCell ref="A65:B65"/>
    <mergeCell ref="A66:B66"/>
    <mergeCell ref="A68:B68"/>
    <mergeCell ref="A69:B69"/>
    <mergeCell ref="A70:B70"/>
    <mergeCell ref="A71:B71"/>
    <mergeCell ref="A100:B100"/>
    <mergeCell ref="A101:B101"/>
    <mergeCell ref="A77:B77"/>
    <mergeCell ref="A90:B90"/>
    <mergeCell ref="W108:AA108"/>
    <mergeCell ref="C109:G109"/>
    <mergeCell ref="H109:L109"/>
    <mergeCell ref="M109:Q109"/>
    <mergeCell ref="R109:V109"/>
    <mergeCell ref="W109:AA109"/>
    <mergeCell ref="R108:V108"/>
    <mergeCell ref="C108:G108"/>
    <mergeCell ref="H108:L108"/>
    <mergeCell ref="M108:Q108"/>
    <mergeCell ref="W106:AA106"/>
    <mergeCell ref="C107:G107"/>
    <mergeCell ref="H107:L107"/>
    <mergeCell ref="M107:Q107"/>
    <mergeCell ref="R107:V107"/>
    <mergeCell ref="W107:AA107"/>
    <mergeCell ref="W104:AA104"/>
    <mergeCell ref="C105:G105"/>
    <mergeCell ref="H105:L105"/>
    <mergeCell ref="M105:Q105"/>
    <mergeCell ref="W126:AA126"/>
    <mergeCell ref="C129:G129"/>
    <mergeCell ref="H129:L129"/>
    <mergeCell ref="M129:Q129"/>
    <mergeCell ref="R129:V129"/>
    <mergeCell ref="W129:AA129"/>
    <mergeCell ref="H127:L127"/>
    <mergeCell ref="W127:AA127"/>
    <mergeCell ref="C128:G128"/>
    <mergeCell ref="H128:L128"/>
    <mergeCell ref="M128:Q128"/>
    <mergeCell ref="R128:V128"/>
    <mergeCell ref="W128:AA128"/>
    <mergeCell ref="C127:G127"/>
    <mergeCell ref="M126:Q126"/>
    <mergeCell ref="R105:V105"/>
    <mergeCell ref="W105:AA105"/>
    <mergeCell ref="R104:V104"/>
    <mergeCell ref="C104:G104"/>
    <mergeCell ref="H104:L104"/>
    <mergeCell ref="M104:Q104"/>
    <mergeCell ref="C106:G106"/>
    <mergeCell ref="H106:L106"/>
    <mergeCell ref="M106:Q106"/>
    <mergeCell ref="W103:AA103"/>
    <mergeCell ref="H62:L62"/>
    <mergeCell ref="M62:Q62"/>
    <mergeCell ref="R62:V62"/>
    <mergeCell ref="W62:AA62"/>
    <mergeCell ref="C80:G80"/>
    <mergeCell ref="H80:L80"/>
    <mergeCell ref="M80:Q80"/>
    <mergeCell ref="R80:V80"/>
    <mergeCell ref="W80:AA80"/>
    <mergeCell ref="M103:Q103"/>
    <mergeCell ref="M79:Q79"/>
    <mergeCell ref="R79:V79"/>
    <mergeCell ref="W79:AA79"/>
    <mergeCell ref="R85:V85"/>
    <mergeCell ref="W85:AA85"/>
    <mergeCell ref="R81:V81"/>
    <mergeCell ref="W81:AA81"/>
    <mergeCell ref="M82:Q82"/>
    <mergeCell ref="R82:V82"/>
    <mergeCell ref="W82:AA82"/>
    <mergeCell ref="M84:Q84"/>
    <mergeCell ref="R84:V84"/>
    <mergeCell ref="H83:L83"/>
    <mergeCell ref="M60:Q60"/>
    <mergeCell ref="R60:V60"/>
    <mergeCell ref="W60:AA60"/>
    <mergeCell ref="C61:G61"/>
    <mergeCell ref="H61:L61"/>
    <mergeCell ref="M61:Q61"/>
    <mergeCell ref="R61:V61"/>
    <mergeCell ref="W61:AA61"/>
    <mergeCell ref="C59:G59"/>
    <mergeCell ref="H59:L59"/>
    <mergeCell ref="M59:Q59"/>
    <mergeCell ref="R59:V59"/>
    <mergeCell ref="W59:AA59"/>
    <mergeCell ref="H60:L60"/>
    <mergeCell ref="M36:Q36"/>
    <mergeCell ref="C56:G56"/>
    <mergeCell ref="R36:V36"/>
    <mergeCell ref="R37:V37"/>
    <mergeCell ref="M38:Q38"/>
    <mergeCell ref="R38:V38"/>
    <mergeCell ref="H56:L56"/>
    <mergeCell ref="C37:G37"/>
    <mergeCell ref="H37:L37"/>
    <mergeCell ref="M37:Q37"/>
    <mergeCell ref="R57:V57"/>
    <mergeCell ref="W38:AA38"/>
    <mergeCell ref="M56:Q56"/>
    <mergeCell ref="R56:V56"/>
    <mergeCell ref="W56:AA56"/>
    <mergeCell ref="W57:AA57"/>
    <mergeCell ref="M58:Q58"/>
    <mergeCell ref="W12:AA12"/>
    <mergeCell ref="W13:AA13"/>
    <mergeCell ref="W14:AA14"/>
    <mergeCell ref="R32:V32"/>
    <mergeCell ref="W32:AA32"/>
    <mergeCell ref="W33:AA33"/>
    <mergeCell ref="W34:AA34"/>
    <mergeCell ref="M33:Q33"/>
    <mergeCell ref="R35:V35"/>
    <mergeCell ref="R12:V12"/>
    <mergeCell ref="R13:V13"/>
    <mergeCell ref="R14:V14"/>
    <mergeCell ref="M12:Q12"/>
    <mergeCell ref="M13:Q13"/>
    <mergeCell ref="M14:Q14"/>
    <mergeCell ref="M15:Q15"/>
    <mergeCell ref="M32:Q32"/>
    <mergeCell ref="A147:B147"/>
    <mergeCell ref="A148:B148"/>
    <mergeCell ref="C10:G10"/>
    <mergeCell ref="C11:G11"/>
    <mergeCell ref="C12:G12"/>
    <mergeCell ref="C13:G13"/>
    <mergeCell ref="C14:G14"/>
    <mergeCell ref="C15:G15"/>
    <mergeCell ref="C36:G36"/>
    <mergeCell ref="C38:G38"/>
    <mergeCell ref="C58:G58"/>
    <mergeCell ref="C60:G60"/>
    <mergeCell ref="C62:G62"/>
    <mergeCell ref="C81:G81"/>
    <mergeCell ref="A141:B141"/>
    <mergeCell ref="A142:B142"/>
    <mergeCell ref="A143:B143"/>
    <mergeCell ref="A144:B144"/>
    <mergeCell ref="A145:B145"/>
    <mergeCell ref="A135:B135"/>
    <mergeCell ref="A136:B136"/>
    <mergeCell ref="A138:B138"/>
    <mergeCell ref="A139:B139"/>
    <mergeCell ref="C33:G33"/>
    <mergeCell ref="A146:B146"/>
    <mergeCell ref="W132:AA132"/>
    <mergeCell ref="C131:G131"/>
    <mergeCell ref="H131:L131"/>
    <mergeCell ref="M131:Q131"/>
    <mergeCell ref="R131:V131"/>
    <mergeCell ref="W131:AA131"/>
    <mergeCell ref="C130:G130"/>
    <mergeCell ref="H130:L130"/>
    <mergeCell ref="M130:Q130"/>
    <mergeCell ref="R130:V130"/>
    <mergeCell ref="W130:AA130"/>
    <mergeCell ref="A140:B140"/>
    <mergeCell ref="A133:B133"/>
    <mergeCell ref="C132:G132"/>
    <mergeCell ref="H132:L132"/>
    <mergeCell ref="M132:Q132"/>
    <mergeCell ref="R132:V132"/>
    <mergeCell ref="A137:B137"/>
    <mergeCell ref="A127:A128"/>
    <mergeCell ref="A129:A130"/>
    <mergeCell ref="R103:V103"/>
    <mergeCell ref="R106:V106"/>
    <mergeCell ref="A113:B113"/>
    <mergeCell ref="A125:B125"/>
    <mergeCell ref="A115:B115"/>
    <mergeCell ref="A112:B112"/>
    <mergeCell ref="A103:B103"/>
    <mergeCell ref="M127:Q127"/>
    <mergeCell ref="R127:V127"/>
    <mergeCell ref="C126:G126"/>
    <mergeCell ref="H126:L126"/>
    <mergeCell ref="A126:B126"/>
    <mergeCell ref="R126:V126"/>
    <mergeCell ref="A114:B114"/>
    <mergeCell ref="A122:B122"/>
    <mergeCell ref="A123:B123"/>
    <mergeCell ref="A124:B124"/>
    <mergeCell ref="A116:B116"/>
    <mergeCell ref="A117:B117"/>
    <mergeCell ref="A118:B118"/>
    <mergeCell ref="A119:B119"/>
    <mergeCell ref="A120:B120"/>
    <mergeCell ref="R15:V15"/>
    <mergeCell ref="A19:B19"/>
    <mergeCell ref="A21:B21"/>
    <mergeCell ref="A22:B22"/>
    <mergeCell ref="H15:L15"/>
    <mergeCell ref="A20:B20"/>
    <mergeCell ref="A16:B16"/>
    <mergeCell ref="M35:Q35"/>
    <mergeCell ref="W84:AA84"/>
    <mergeCell ref="M83:Q83"/>
    <mergeCell ref="R83:V83"/>
    <mergeCell ref="W83:AA83"/>
    <mergeCell ref="M81:Q81"/>
    <mergeCell ref="R33:V33"/>
    <mergeCell ref="C34:G34"/>
    <mergeCell ref="H34:L34"/>
    <mergeCell ref="M34:Q34"/>
    <mergeCell ref="R34:V34"/>
    <mergeCell ref="W15:AA15"/>
    <mergeCell ref="W36:AA36"/>
    <mergeCell ref="W37:AA37"/>
    <mergeCell ref="R58:V58"/>
    <mergeCell ref="W58:AA58"/>
    <mergeCell ref="W35:AA35"/>
    <mergeCell ref="M57:Q57"/>
    <mergeCell ref="A98:B98"/>
    <mergeCell ref="A80:A81"/>
    <mergeCell ref="A82:A83"/>
    <mergeCell ref="A23:B23"/>
    <mergeCell ref="A24:B24"/>
    <mergeCell ref="A25:B25"/>
    <mergeCell ref="A26:B26"/>
    <mergeCell ref="A28:B28"/>
    <mergeCell ref="A29:B29"/>
    <mergeCell ref="A30:B30"/>
    <mergeCell ref="A31:B31"/>
    <mergeCell ref="A35:A36"/>
    <mergeCell ref="A40:B40"/>
    <mergeCell ref="A41:B41"/>
    <mergeCell ref="A42:B42"/>
    <mergeCell ref="A44:B44"/>
    <mergeCell ref="A97:B97"/>
    <mergeCell ref="A87:B87"/>
    <mergeCell ref="A78:B78"/>
    <mergeCell ref="A79:B79"/>
    <mergeCell ref="A86:B86"/>
    <mergeCell ref="A45:B45"/>
    <mergeCell ref="A46:B46"/>
    <mergeCell ref="C85:G85"/>
    <mergeCell ref="H85:L85"/>
    <mergeCell ref="M85:Q85"/>
    <mergeCell ref="A99:B99"/>
    <mergeCell ref="A104:A105"/>
    <mergeCell ref="A106:A107"/>
    <mergeCell ref="A111:B111"/>
    <mergeCell ref="A110:B110"/>
    <mergeCell ref="C79:G79"/>
    <mergeCell ref="H79:L79"/>
    <mergeCell ref="C103:G103"/>
    <mergeCell ref="H103:L103"/>
    <mergeCell ref="H81:L81"/>
    <mergeCell ref="C82:G82"/>
    <mergeCell ref="H82:L82"/>
    <mergeCell ref="C84:G84"/>
    <mergeCell ref="H84:L84"/>
    <mergeCell ref="C83:G83"/>
    <mergeCell ref="A88:B88"/>
    <mergeCell ref="A89:B89"/>
    <mergeCell ref="A91:B91"/>
    <mergeCell ref="A92:B92"/>
    <mergeCell ref="A93:B93"/>
    <mergeCell ref="A94:B94"/>
    <mergeCell ref="A121:B121"/>
    <mergeCell ref="A95:B95"/>
    <mergeCell ref="A96:B96"/>
    <mergeCell ref="A134:B134"/>
    <mergeCell ref="A1:C1"/>
    <mergeCell ref="D1:E1"/>
    <mergeCell ref="AR1:AX1"/>
    <mergeCell ref="AR2:AX2"/>
    <mergeCell ref="AC9:AG9"/>
    <mergeCell ref="AH9:AL9"/>
    <mergeCell ref="AM9:AQ9"/>
    <mergeCell ref="AR9:AV9"/>
    <mergeCell ref="AW9:BA9"/>
    <mergeCell ref="R1:X1"/>
    <mergeCell ref="A2:Q2"/>
    <mergeCell ref="R2:X2"/>
    <mergeCell ref="A4:Q4"/>
    <mergeCell ref="A5:Q5"/>
    <mergeCell ref="R9:V9"/>
    <mergeCell ref="W9:AA9"/>
    <mergeCell ref="C9:G9"/>
    <mergeCell ref="H9:L9"/>
    <mergeCell ref="M9:Q9"/>
    <mergeCell ref="C3:L3"/>
    <mergeCell ref="A9:B9"/>
    <mergeCell ref="AC10:AG10"/>
    <mergeCell ref="AH10:AL10"/>
    <mergeCell ref="AM10:AQ10"/>
    <mergeCell ref="AR10:AV10"/>
    <mergeCell ref="AW10:BA10"/>
    <mergeCell ref="AC11:AG11"/>
    <mergeCell ref="AH11:AL11"/>
    <mergeCell ref="AM11:AQ11"/>
    <mergeCell ref="AR11:AV11"/>
    <mergeCell ref="AW11:BA11"/>
    <mergeCell ref="A10:A11"/>
    <mergeCell ref="M10:Q10"/>
    <mergeCell ref="M11:Q11"/>
    <mergeCell ref="R10:V10"/>
    <mergeCell ref="R11:V11"/>
    <mergeCell ref="H10:L10"/>
    <mergeCell ref="H11:L11"/>
    <mergeCell ref="W10:AA10"/>
    <mergeCell ref="W11:AA11"/>
    <mergeCell ref="AC12:AG12"/>
    <mergeCell ref="AH12:AL12"/>
    <mergeCell ref="AM12:AQ12"/>
    <mergeCell ref="AR12:AV12"/>
    <mergeCell ref="AW12:BA12"/>
    <mergeCell ref="AC13:AG13"/>
    <mergeCell ref="AH13:AL13"/>
    <mergeCell ref="AM13:AQ13"/>
    <mergeCell ref="AR13:AV13"/>
    <mergeCell ref="AW13:BA13"/>
    <mergeCell ref="AC14:AG14"/>
    <mergeCell ref="AH14:AL14"/>
    <mergeCell ref="AM14:AQ14"/>
    <mergeCell ref="AR14:AV14"/>
    <mergeCell ref="AW14:BA14"/>
    <mergeCell ref="AC15:AG15"/>
    <mergeCell ref="AH15:AL15"/>
    <mergeCell ref="AM15:AQ15"/>
    <mergeCell ref="AR15:AV15"/>
    <mergeCell ref="AW15:BA15"/>
    <mergeCell ref="AC32:AG32"/>
    <mergeCell ref="AH32:AL32"/>
    <mergeCell ref="AM32:AQ32"/>
    <mergeCell ref="AR32:AV32"/>
    <mergeCell ref="AW32:BA32"/>
    <mergeCell ref="AC33:AG33"/>
    <mergeCell ref="AH33:AL33"/>
    <mergeCell ref="AM33:AQ33"/>
    <mergeCell ref="AR33:AV33"/>
    <mergeCell ref="AW33:BA33"/>
    <mergeCell ref="AC34:AG34"/>
    <mergeCell ref="AH34:AL34"/>
    <mergeCell ref="AM34:AQ34"/>
    <mergeCell ref="AR34:AV34"/>
    <mergeCell ref="AW34:BA34"/>
    <mergeCell ref="AC35:AG35"/>
    <mergeCell ref="AH35:AL35"/>
    <mergeCell ref="AM35:AQ35"/>
    <mergeCell ref="AR35:AV35"/>
    <mergeCell ref="AW35:BA35"/>
    <mergeCell ref="AC36:AG36"/>
    <mergeCell ref="AH36:AL36"/>
    <mergeCell ref="AM36:AQ36"/>
    <mergeCell ref="AR36:AV36"/>
    <mergeCell ref="AW36:BA36"/>
    <mergeCell ref="AC37:AG37"/>
    <mergeCell ref="AH37:AL37"/>
    <mergeCell ref="AM37:AQ37"/>
    <mergeCell ref="AR37:AV37"/>
    <mergeCell ref="AW37:BA37"/>
    <mergeCell ref="AC38:AG38"/>
    <mergeCell ref="AH38:AL38"/>
    <mergeCell ref="AM38:AQ38"/>
    <mergeCell ref="AR38:AV38"/>
    <mergeCell ref="AW38:BA38"/>
    <mergeCell ref="AC56:AG56"/>
    <mergeCell ref="AH56:AL56"/>
    <mergeCell ref="AM56:AQ56"/>
    <mergeCell ref="AR56:AV56"/>
    <mergeCell ref="AW56:BA56"/>
    <mergeCell ref="AC57:AG57"/>
    <mergeCell ref="AH57:AL57"/>
    <mergeCell ref="AM57:AQ57"/>
    <mergeCell ref="AR57:AV57"/>
    <mergeCell ref="AW57:BA57"/>
    <mergeCell ref="AC58:AG58"/>
    <mergeCell ref="AH58:AL58"/>
    <mergeCell ref="AM58:AQ58"/>
    <mergeCell ref="AR58:AV58"/>
    <mergeCell ref="AW58:BA58"/>
    <mergeCell ref="AC59:AG59"/>
    <mergeCell ref="AH59:AL59"/>
    <mergeCell ref="AM59:AQ59"/>
    <mergeCell ref="AR59:AV59"/>
    <mergeCell ref="AW59:BA59"/>
    <mergeCell ref="AC60:AG60"/>
    <mergeCell ref="AH60:AL60"/>
    <mergeCell ref="AM60:AQ60"/>
    <mergeCell ref="AR60:AV60"/>
    <mergeCell ref="AW60:BA60"/>
    <mergeCell ref="AC61:AG61"/>
    <mergeCell ref="AH61:AL61"/>
    <mergeCell ref="AM61:AQ61"/>
    <mergeCell ref="AR61:AV61"/>
    <mergeCell ref="AW61:BA61"/>
    <mergeCell ref="AC62:AG62"/>
    <mergeCell ref="AH62:AL62"/>
    <mergeCell ref="AM62:AQ62"/>
    <mergeCell ref="AR62:AV62"/>
    <mergeCell ref="AW62:BA62"/>
    <mergeCell ref="AC79:AG79"/>
    <mergeCell ref="AH79:AL79"/>
    <mergeCell ref="AM79:AQ79"/>
    <mergeCell ref="AR79:AV79"/>
    <mergeCell ref="AW79:BA79"/>
    <mergeCell ref="AC80:AG80"/>
    <mergeCell ref="AH80:AL80"/>
    <mergeCell ref="AM80:AQ80"/>
    <mergeCell ref="AR80:AV80"/>
    <mergeCell ref="AW80:BA80"/>
    <mergeCell ref="AC81:AG81"/>
    <mergeCell ref="AH81:AL81"/>
    <mergeCell ref="AM81:AQ81"/>
    <mergeCell ref="AR81:AV81"/>
    <mergeCell ref="AW81:BA81"/>
    <mergeCell ref="AC82:AG82"/>
    <mergeCell ref="AH82:AL82"/>
    <mergeCell ref="AM82:AQ82"/>
    <mergeCell ref="AR82:AV82"/>
    <mergeCell ref="AW82:BA82"/>
    <mergeCell ref="AC83:AG83"/>
    <mergeCell ref="AH83:AL83"/>
    <mergeCell ref="AM83:AQ83"/>
    <mergeCell ref="AR83:AV83"/>
    <mergeCell ref="AW83:BA83"/>
    <mergeCell ref="AC84:AG84"/>
    <mergeCell ref="AH84:AL84"/>
    <mergeCell ref="AM84:AQ84"/>
    <mergeCell ref="AR84:AV84"/>
    <mergeCell ref="AW84:BA84"/>
    <mergeCell ref="AC85:AG85"/>
    <mergeCell ref="AH85:AL85"/>
    <mergeCell ref="AM85:AQ85"/>
    <mergeCell ref="AR85:AV85"/>
    <mergeCell ref="AW85:BA85"/>
    <mergeCell ref="AC103:AG103"/>
    <mergeCell ref="AH103:AL103"/>
    <mergeCell ref="AM103:AQ103"/>
    <mergeCell ref="AR103:AV103"/>
    <mergeCell ref="AW103:BA103"/>
    <mergeCell ref="AC104:AG104"/>
    <mergeCell ref="AH104:AL104"/>
    <mergeCell ref="AM104:AQ104"/>
    <mergeCell ref="AR104:AV104"/>
    <mergeCell ref="AW104:BA104"/>
    <mergeCell ref="AC105:AG105"/>
    <mergeCell ref="AH105:AL105"/>
    <mergeCell ref="AM105:AQ105"/>
    <mergeCell ref="AR105:AV105"/>
    <mergeCell ref="AW105:BA105"/>
    <mergeCell ref="AC106:AG106"/>
    <mergeCell ref="AH106:AL106"/>
    <mergeCell ref="AM106:AQ106"/>
    <mergeCell ref="AR106:AV106"/>
    <mergeCell ref="AW106:BA106"/>
    <mergeCell ref="AC107:AG107"/>
    <mergeCell ref="AH107:AL107"/>
    <mergeCell ref="AM107:AQ107"/>
    <mergeCell ref="AR107:AV107"/>
    <mergeCell ref="AW107:BA107"/>
    <mergeCell ref="AC108:AG108"/>
    <mergeCell ref="AH108:AL108"/>
    <mergeCell ref="AM108:AQ108"/>
    <mergeCell ref="AR108:AV108"/>
    <mergeCell ref="AW108:BA108"/>
    <mergeCell ref="AC109:AG109"/>
    <mergeCell ref="AH109:AL109"/>
    <mergeCell ref="AM109:AQ109"/>
    <mergeCell ref="AR109:AV109"/>
    <mergeCell ref="AW109:BA109"/>
    <mergeCell ref="AH129:AL129"/>
    <mergeCell ref="AM129:AQ129"/>
    <mergeCell ref="AR129:AV129"/>
    <mergeCell ref="AW129:BA129"/>
    <mergeCell ref="AC126:AG126"/>
    <mergeCell ref="AH126:AL126"/>
    <mergeCell ref="AM126:AQ126"/>
    <mergeCell ref="AR126:AV126"/>
    <mergeCell ref="AW126:BA126"/>
    <mergeCell ref="AC127:AG127"/>
    <mergeCell ref="AH127:AL127"/>
    <mergeCell ref="AM127:AQ127"/>
    <mergeCell ref="AR127:AV127"/>
    <mergeCell ref="AW127:BA127"/>
    <mergeCell ref="AC132:AG132"/>
    <mergeCell ref="AH132:AL132"/>
    <mergeCell ref="AM132:AQ132"/>
    <mergeCell ref="AR132:AV132"/>
    <mergeCell ref="AW132:BA132"/>
    <mergeCell ref="AC8:BA8"/>
    <mergeCell ref="AC55:BA55"/>
    <mergeCell ref="AC102:BA102"/>
    <mergeCell ref="AC130:AG130"/>
    <mergeCell ref="AH130:AL130"/>
    <mergeCell ref="AM130:AQ130"/>
    <mergeCell ref="AR130:AV130"/>
    <mergeCell ref="AW130:BA130"/>
    <mergeCell ref="AC131:AG131"/>
    <mergeCell ref="AH131:AL131"/>
    <mergeCell ref="AM131:AQ131"/>
    <mergeCell ref="AR131:AV131"/>
    <mergeCell ref="AW131:BA131"/>
    <mergeCell ref="AC128:AG128"/>
    <mergeCell ref="AH128:AL128"/>
    <mergeCell ref="AM128:AQ128"/>
    <mergeCell ref="AR128:AV128"/>
    <mergeCell ref="AW128:BA128"/>
    <mergeCell ref="AC129:AG129"/>
  </mergeCells>
  <printOptions horizontalCentered="1"/>
  <pageMargins left="0" right="0" top="0.74803149606299213" bottom="0.35433070866141736" header="0.31496062992125984" footer="0.11811023622047245"/>
  <pageSetup paperSize="9" scale="59" pageOrder="overThenDown" orientation="landscape" r:id="rId1"/>
  <headerFooter alignWithMargins="0">
    <oddFooter>&amp;C&amp;A&amp;RСтр. &amp;P от &amp;N</oddFooter>
  </headerFooter>
  <rowBreaks count="2" manualBreakCount="2">
    <brk id="54" max="31" man="1"/>
    <brk id="101" max="31" man="1"/>
  </rowBreaks>
  <colBreaks count="1" manualBreakCount="1">
    <brk id="17" max="156" man="1"/>
  </col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3">
    <tabColor theme="5" tint="0.79998168889431442"/>
    <pageSetUpPr fitToPage="1"/>
  </sheetPr>
  <dimension ref="A1:R110"/>
  <sheetViews>
    <sheetView showGridLines="0" topLeftCell="A2" zoomScale="110" zoomScaleNormal="110" zoomScaleSheetLayoutView="130" workbookViewId="0">
      <selection activeCell="B22" sqref="B22"/>
    </sheetView>
  </sheetViews>
  <sheetFormatPr defaultRowHeight="13.2"/>
  <cols>
    <col min="1" max="1" width="46" style="1" customWidth="1"/>
    <col min="2" max="2" width="16.6640625" style="1" customWidth="1"/>
    <col min="3" max="9" width="10.6640625" style="1" customWidth="1"/>
    <col min="10" max="10" width="2.6640625" style="1" customWidth="1"/>
    <col min="11" max="11" width="17.88671875" style="1" customWidth="1"/>
    <col min="12" max="256" width="9.109375" style="1"/>
    <col min="257" max="257" width="44.6640625" style="1" customWidth="1"/>
    <col min="258" max="258" width="16.6640625" style="1" customWidth="1"/>
    <col min="259" max="265" width="10.6640625" style="1" customWidth="1"/>
    <col min="266" max="266" width="9.109375" style="1"/>
    <col min="267" max="267" width="16.44140625" style="1" customWidth="1"/>
    <col min="268" max="512" width="9.109375" style="1"/>
    <col min="513" max="513" width="44.6640625" style="1" customWidth="1"/>
    <col min="514" max="514" width="16.6640625" style="1" customWidth="1"/>
    <col min="515" max="521" width="10.6640625" style="1" customWidth="1"/>
    <col min="522" max="522" width="9.109375" style="1"/>
    <col min="523" max="523" width="16.44140625" style="1" customWidth="1"/>
    <col min="524" max="768" width="9.109375" style="1"/>
    <col min="769" max="769" width="44.6640625" style="1" customWidth="1"/>
    <col min="770" max="770" width="16.6640625" style="1" customWidth="1"/>
    <col min="771" max="777" width="10.6640625" style="1" customWidth="1"/>
    <col min="778" max="778" width="9.109375" style="1"/>
    <col min="779" max="779" width="16.44140625" style="1" customWidth="1"/>
    <col min="780" max="1024" width="9.109375" style="1"/>
    <col min="1025" max="1025" width="44.6640625" style="1" customWidth="1"/>
    <col min="1026" max="1026" width="16.6640625" style="1" customWidth="1"/>
    <col min="1027" max="1033" width="10.6640625" style="1" customWidth="1"/>
    <col min="1034" max="1034" width="9.109375" style="1"/>
    <col min="1035" max="1035" width="16.44140625" style="1" customWidth="1"/>
    <col min="1036" max="1280" width="9.109375" style="1"/>
    <col min="1281" max="1281" width="44.6640625" style="1" customWidth="1"/>
    <col min="1282" max="1282" width="16.6640625" style="1" customWidth="1"/>
    <col min="1283" max="1289" width="10.6640625" style="1" customWidth="1"/>
    <col min="1290" max="1290" width="9.109375" style="1"/>
    <col min="1291" max="1291" width="16.44140625" style="1" customWidth="1"/>
    <col min="1292" max="1536" width="9.109375" style="1"/>
    <col min="1537" max="1537" width="44.6640625" style="1" customWidth="1"/>
    <col min="1538" max="1538" width="16.6640625" style="1" customWidth="1"/>
    <col min="1539" max="1545" width="10.6640625" style="1" customWidth="1"/>
    <col min="1546" max="1546" width="9.109375" style="1"/>
    <col min="1547" max="1547" width="16.44140625" style="1" customWidth="1"/>
    <col min="1548" max="1792" width="9.109375" style="1"/>
    <col min="1793" max="1793" width="44.6640625" style="1" customWidth="1"/>
    <col min="1794" max="1794" width="16.6640625" style="1" customWidth="1"/>
    <col min="1795" max="1801" width="10.6640625" style="1" customWidth="1"/>
    <col min="1802" max="1802" width="9.109375" style="1"/>
    <col min="1803" max="1803" width="16.44140625" style="1" customWidth="1"/>
    <col min="1804" max="2048" width="9.109375" style="1"/>
    <col min="2049" max="2049" width="44.6640625" style="1" customWidth="1"/>
    <col min="2050" max="2050" width="16.6640625" style="1" customWidth="1"/>
    <col min="2051" max="2057" width="10.6640625" style="1" customWidth="1"/>
    <col min="2058" max="2058" width="9.109375" style="1"/>
    <col min="2059" max="2059" width="16.44140625" style="1" customWidth="1"/>
    <col min="2060" max="2304" width="9.109375" style="1"/>
    <col min="2305" max="2305" width="44.6640625" style="1" customWidth="1"/>
    <col min="2306" max="2306" width="16.6640625" style="1" customWidth="1"/>
    <col min="2307" max="2313" width="10.6640625" style="1" customWidth="1"/>
    <col min="2314" max="2314" width="9.109375" style="1"/>
    <col min="2315" max="2315" width="16.44140625" style="1" customWidth="1"/>
    <col min="2316" max="2560" width="9.109375" style="1"/>
    <col min="2561" max="2561" width="44.6640625" style="1" customWidth="1"/>
    <col min="2562" max="2562" width="16.6640625" style="1" customWidth="1"/>
    <col min="2563" max="2569" width="10.6640625" style="1" customWidth="1"/>
    <col min="2570" max="2570" width="9.109375" style="1"/>
    <col min="2571" max="2571" width="16.44140625" style="1" customWidth="1"/>
    <col min="2572" max="2816" width="9.109375" style="1"/>
    <col min="2817" max="2817" width="44.6640625" style="1" customWidth="1"/>
    <col min="2818" max="2818" width="16.6640625" style="1" customWidth="1"/>
    <col min="2819" max="2825" width="10.6640625" style="1" customWidth="1"/>
    <col min="2826" max="2826" width="9.109375" style="1"/>
    <col min="2827" max="2827" width="16.44140625" style="1" customWidth="1"/>
    <col min="2828" max="3072" width="9.109375" style="1"/>
    <col min="3073" max="3073" width="44.6640625" style="1" customWidth="1"/>
    <col min="3074" max="3074" width="16.6640625" style="1" customWidth="1"/>
    <col min="3075" max="3081" width="10.6640625" style="1" customWidth="1"/>
    <col min="3082" max="3082" width="9.109375" style="1"/>
    <col min="3083" max="3083" width="16.44140625" style="1" customWidth="1"/>
    <col min="3084" max="3328" width="9.109375" style="1"/>
    <col min="3329" max="3329" width="44.6640625" style="1" customWidth="1"/>
    <col min="3330" max="3330" width="16.6640625" style="1" customWidth="1"/>
    <col min="3331" max="3337" width="10.6640625" style="1" customWidth="1"/>
    <col min="3338" max="3338" width="9.109375" style="1"/>
    <col min="3339" max="3339" width="16.44140625" style="1" customWidth="1"/>
    <col min="3340" max="3584" width="9.109375" style="1"/>
    <col min="3585" max="3585" width="44.6640625" style="1" customWidth="1"/>
    <col min="3586" max="3586" width="16.6640625" style="1" customWidth="1"/>
    <col min="3587" max="3593" width="10.6640625" style="1" customWidth="1"/>
    <col min="3594" max="3594" width="9.109375" style="1"/>
    <col min="3595" max="3595" width="16.44140625" style="1" customWidth="1"/>
    <col min="3596" max="3840" width="9.109375" style="1"/>
    <col min="3841" max="3841" width="44.6640625" style="1" customWidth="1"/>
    <col min="3842" max="3842" width="16.6640625" style="1" customWidth="1"/>
    <col min="3843" max="3849" width="10.6640625" style="1" customWidth="1"/>
    <col min="3850" max="3850" width="9.109375" style="1"/>
    <col min="3851" max="3851" width="16.44140625" style="1" customWidth="1"/>
    <col min="3852" max="4096" width="9.109375" style="1"/>
    <col min="4097" max="4097" width="44.6640625" style="1" customWidth="1"/>
    <col min="4098" max="4098" width="16.6640625" style="1" customWidth="1"/>
    <col min="4099" max="4105" width="10.6640625" style="1" customWidth="1"/>
    <col min="4106" max="4106" width="9.109375" style="1"/>
    <col min="4107" max="4107" width="16.44140625" style="1" customWidth="1"/>
    <col min="4108" max="4352" width="9.109375" style="1"/>
    <col min="4353" max="4353" width="44.6640625" style="1" customWidth="1"/>
    <col min="4354" max="4354" width="16.6640625" style="1" customWidth="1"/>
    <col min="4355" max="4361" width="10.6640625" style="1" customWidth="1"/>
    <col min="4362" max="4362" width="9.109375" style="1"/>
    <col min="4363" max="4363" width="16.44140625" style="1" customWidth="1"/>
    <col min="4364" max="4608" width="9.109375" style="1"/>
    <col min="4609" max="4609" width="44.6640625" style="1" customWidth="1"/>
    <col min="4610" max="4610" width="16.6640625" style="1" customWidth="1"/>
    <col min="4611" max="4617" width="10.6640625" style="1" customWidth="1"/>
    <col min="4618" max="4618" width="9.109375" style="1"/>
    <col min="4619" max="4619" width="16.44140625" style="1" customWidth="1"/>
    <col min="4620" max="4864" width="9.109375" style="1"/>
    <col min="4865" max="4865" width="44.6640625" style="1" customWidth="1"/>
    <col min="4866" max="4866" width="16.6640625" style="1" customWidth="1"/>
    <col min="4867" max="4873" width="10.6640625" style="1" customWidth="1"/>
    <col min="4874" max="4874" width="9.109375" style="1"/>
    <col min="4875" max="4875" width="16.44140625" style="1" customWidth="1"/>
    <col min="4876" max="5120" width="9.109375" style="1"/>
    <col min="5121" max="5121" width="44.6640625" style="1" customWidth="1"/>
    <col min="5122" max="5122" width="16.6640625" style="1" customWidth="1"/>
    <col min="5123" max="5129" width="10.6640625" style="1" customWidth="1"/>
    <col min="5130" max="5130" width="9.109375" style="1"/>
    <col min="5131" max="5131" width="16.44140625" style="1" customWidth="1"/>
    <col min="5132" max="5376" width="9.109375" style="1"/>
    <col min="5377" max="5377" width="44.6640625" style="1" customWidth="1"/>
    <col min="5378" max="5378" width="16.6640625" style="1" customWidth="1"/>
    <col min="5379" max="5385" width="10.6640625" style="1" customWidth="1"/>
    <col min="5386" max="5386" width="9.109375" style="1"/>
    <col min="5387" max="5387" width="16.44140625" style="1" customWidth="1"/>
    <col min="5388" max="5632" width="9.109375" style="1"/>
    <col min="5633" max="5633" width="44.6640625" style="1" customWidth="1"/>
    <col min="5634" max="5634" width="16.6640625" style="1" customWidth="1"/>
    <col min="5635" max="5641" width="10.6640625" style="1" customWidth="1"/>
    <col min="5642" max="5642" width="9.109375" style="1"/>
    <col min="5643" max="5643" width="16.44140625" style="1" customWidth="1"/>
    <col min="5644" max="5888" width="9.109375" style="1"/>
    <col min="5889" max="5889" width="44.6640625" style="1" customWidth="1"/>
    <col min="5890" max="5890" width="16.6640625" style="1" customWidth="1"/>
    <col min="5891" max="5897" width="10.6640625" style="1" customWidth="1"/>
    <col min="5898" max="5898" width="9.109375" style="1"/>
    <col min="5899" max="5899" width="16.44140625" style="1" customWidth="1"/>
    <col min="5900" max="6144" width="9.109375" style="1"/>
    <col min="6145" max="6145" width="44.6640625" style="1" customWidth="1"/>
    <col min="6146" max="6146" width="16.6640625" style="1" customWidth="1"/>
    <col min="6147" max="6153" width="10.6640625" style="1" customWidth="1"/>
    <col min="6154" max="6154" width="9.109375" style="1"/>
    <col min="6155" max="6155" width="16.44140625" style="1" customWidth="1"/>
    <col min="6156" max="6400" width="9.109375" style="1"/>
    <col min="6401" max="6401" width="44.6640625" style="1" customWidth="1"/>
    <col min="6402" max="6402" width="16.6640625" style="1" customWidth="1"/>
    <col min="6403" max="6409" width="10.6640625" style="1" customWidth="1"/>
    <col min="6410" max="6410" width="9.109375" style="1"/>
    <col min="6411" max="6411" width="16.44140625" style="1" customWidth="1"/>
    <col min="6412" max="6656" width="9.109375" style="1"/>
    <col min="6657" max="6657" width="44.6640625" style="1" customWidth="1"/>
    <col min="6658" max="6658" width="16.6640625" style="1" customWidth="1"/>
    <col min="6659" max="6665" width="10.6640625" style="1" customWidth="1"/>
    <col min="6666" max="6666" width="9.109375" style="1"/>
    <col min="6667" max="6667" width="16.44140625" style="1" customWidth="1"/>
    <col min="6668" max="6912" width="9.109375" style="1"/>
    <col min="6913" max="6913" width="44.6640625" style="1" customWidth="1"/>
    <col min="6914" max="6914" width="16.6640625" style="1" customWidth="1"/>
    <col min="6915" max="6921" width="10.6640625" style="1" customWidth="1"/>
    <col min="6922" max="6922" width="9.109375" style="1"/>
    <col min="6923" max="6923" width="16.44140625" style="1" customWidth="1"/>
    <col min="6924" max="7168" width="9.109375" style="1"/>
    <col min="7169" max="7169" width="44.6640625" style="1" customWidth="1"/>
    <col min="7170" max="7170" width="16.6640625" style="1" customWidth="1"/>
    <col min="7171" max="7177" width="10.6640625" style="1" customWidth="1"/>
    <col min="7178" max="7178" width="9.109375" style="1"/>
    <col min="7179" max="7179" width="16.44140625" style="1" customWidth="1"/>
    <col min="7180" max="7424" width="9.109375" style="1"/>
    <col min="7425" max="7425" width="44.6640625" style="1" customWidth="1"/>
    <col min="7426" max="7426" width="16.6640625" style="1" customWidth="1"/>
    <col min="7427" max="7433" width="10.6640625" style="1" customWidth="1"/>
    <col min="7434" max="7434" width="9.109375" style="1"/>
    <col min="7435" max="7435" width="16.44140625" style="1" customWidth="1"/>
    <col min="7436" max="7680" width="9.109375" style="1"/>
    <col min="7681" max="7681" width="44.6640625" style="1" customWidth="1"/>
    <col min="7682" max="7682" width="16.6640625" style="1" customWidth="1"/>
    <col min="7683" max="7689" width="10.6640625" style="1" customWidth="1"/>
    <col min="7690" max="7690" width="9.109375" style="1"/>
    <col min="7691" max="7691" width="16.44140625" style="1" customWidth="1"/>
    <col min="7692" max="7936" width="9.109375" style="1"/>
    <col min="7937" max="7937" width="44.6640625" style="1" customWidth="1"/>
    <col min="7938" max="7938" width="16.6640625" style="1" customWidth="1"/>
    <col min="7939" max="7945" width="10.6640625" style="1" customWidth="1"/>
    <col min="7946" max="7946" width="9.109375" style="1"/>
    <col min="7947" max="7947" width="16.44140625" style="1" customWidth="1"/>
    <col min="7948" max="8192" width="9.109375" style="1"/>
    <col min="8193" max="8193" width="44.6640625" style="1" customWidth="1"/>
    <col min="8194" max="8194" width="16.6640625" style="1" customWidth="1"/>
    <col min="8195" max="8201" width="10.6640625" style="1" customWidth="1"/>
    <col min="8202" max="8202" width="9.109375" style="1"/>
    <col min="8203" max="8203" width="16.44140625" style="1" customWidth="1"/>
    <col min="8204" max="8448" width="9.109375" style="1"/>
    <col min="8449" max="8449" width="44.6640625" style="1" customWidth="1"/>
    <col min="8450" max="8450" width="16.6640625" style="1" customWidth="1"/>
    <col min="8451" max="8457" width="10.6640625" style="1" customWidth="1"/>
    <col min="8458" max="8458" width="9.109375" style="1"/>
    <col min="8459" max="8459" width="16.44140625" style="1" customWidth="1"/>
    <col min="8460" max="8704" width="9.109375" style="1"/>
    <col min="8705" max="8705" width="44.6640625" style="1" customWidth="1"/>
    <col min="8706" max="8706" width="16.6640625" style="1" customWidth="1"/>
    <col min="8707" max="8713" width="10.6640625" style="1" customWidth="1"/>
    <col min="8714" max="8714" width="9.109375" style="1"/>
    <col min="8715" max="8715" width="16.44140625" style="1" customWidth="1"/>
    <col min="8716" max="8960" width="9.109375" style="1"/>
    <col min="8961" max="8961" width="44.6640625" style="1" customWidth="1"/>
    <col min="8962" max="8962" width="16.6640625" style="1" customWidth="1"/>
    <col min="8963" max="8969" width="10.6640625" style="1" customWidth="1"/>
    <col min="8970" max="8970" width="9.109375" style="1"/>
    <col min="8971" max="8971" width="16.44140625" style="1" customWidth="1"/>
    <col min="8972" max="9216" width="9.109375" style="1"/>
    <col min="9217" max="9217" width="44.6640625" style="1" customWidth="1"/>
    <col min="9218" max="9218" width="16.6640625" style="1" customWidth="1"/>
    <col min="9219" max="9225" width="10.6640625" style="1" customWidth="1"/>
    <col min="9226" max="9226" width="9.109375" style="1"/>
    <col min="9227" max="9227" width="16.44140625" style="1" customWidth="1"/>
    <col min="9228" max="9472" width="9.109375" style="1"/>
    <col min="9473" max="9473" width="44.6640625" style="1" customWidth="1"/>
    <col min="9474" max="9474" width="16.6640625" style="1" customWidth="1"/>
    <col min="9475" max="9481" width="10.6640625" style="1" customWidth="1"/>
    <col min="9482" max="9482" width="9.109375" style="1"/>
    <col min="9483" max="9483" width="16.44140625" style="1" customWidth="1"/>
    <col min="9484" max="9728" width="9.109375" style="1"/>
    <col min="9729" max="9729" width="44.6640625" style="1" customWidth="1"/>
    <col min="9730" max="9730" width="16.6640625" style="1" customWidth="1"/>
    <col min="9731" max="9737" width="10.6640625" style="1" customWidth="1"/>
    <col min="9738" max="9738" width="9.109375" style="1"/>
    <col min="9739" max="9739" width="16.44140625" style="1" customWidth="1"/>
    <col min="9740" max="9984" width="9.109375" style="1"/>
    <col min="9985" max="9985" width="44.6640625" style="1" customWidth="1"/>
    <col min="9986" max="9986" width="16.6640625" style="1" customWidth="1"/>
    <col min="9987" max="9993" width="10.6640625" style="1" customWidth="1"/>
    <col min="9994" max="9994" width="9.109375" style="1"/>
    <col min="9995" max="9995" width="16.44140625" style="1" customWidth="1"/>
    <col min="9996" max="10240" width="9.109375" style="1"/>
    <col min="10241" max="10241" width="44.6640625" style="1" customWidth="1"/>
    <col min="10242" max="10242" width="16.6640625" style="1" customWidth="1"/>
    <col min="10243" max="10249" width="10.6640625" style="1" customWidth="1"/>
    <col min="10250" max="10250" width="9.109375" style="1"/>
    <col min="10251" max="10251" width="16.44140625" style="1" customWidth="1"/>
    <col min="10252" max="10496" width="9.109375" style="1"/>
    <col min="10497" max="10497" width="44.6640625" style="1" customWidth="1"/>
    <col min="10498" max="10498" width="16.6640625" style="1" customWidth="1"/>
    <col min="10499" max="10505" width="10.6640625" style="1" customWidth="1"/>
    <col min="10506" max="10506" width="9.109375" style="1"/>
    <col min="10507" max="10507" width="16.44140625" style="1" customWidth="1"/>
    <col min="10508" max="10752" width="9.109375" style="1"/>
    <col min="10753" max="10753" width="44.6640625" style="1" customWidth="1"/>
    <col min="10754" max="10754" width="16.6640625" style="1" customWidth="1"/>
    <col min="10755" max="10761" width="10.6640625" style="1" customWidth="1"/>
    <col min="10762" max="10762" width="9.109375" style="1"/>
    <col min="10763" max="10763" width="16.44140625" style="1" customWidth="1"/>
    <col min="10764" max="11008" width="9.109375" style="1"/>
    <col min="11009" max="11009" width="44.6640625" style="1" customWidth="1"/>
    <col min="11010" max="11010" width="16.6640625" style="1" customWidth="1"/>
    <col min="11011" max="11017" width="10.6640625" style="1" customWidth="1"/>
    <col min="11018" max="11018" width="9.109375" style="1"/>
    <col min="11019" max="11019" width="16.44140625" style="1" customWidth="1"/>
    <col min="11020" max="11264" width="9.109375" style="1"/>
    <col min="11265" max="11265" width="44.6640625" style="1" customWidth="1"/>
    <col min="11266" max="11266" width="16.6640625" style="1" customWidth="1"/>
    <col min="11267" max="11273" width="10.6640625" style="1" customWidth="1"/>
    <col min="11274" max="11274" width="9.109375" style="1"/>
    <col min="11275" max="11275" width="16.44140625" style="1" customWidth="1"/>
    <col min="11276" max="11520" width="9.109375" style="1"/>
    <col min="11521" max="11521" width="44.6640625" style="1" customWidth="1"/>
    <col min="11522" max="11522" width="16.6640625" style="1" customWidth="1"/>
    <col min="11523" max="11529" width="10.6640625" style="1" customWidth="1"/>
    <col min="11530" max="11530" width="9.109375" style="1"/>
    <col min="11531" max="11531" width="16.44140625" style="1" customWidth="1"/>
    <col min="11532" max="11776" width="9.109375" style="1"/>
    <col min="11777" max="11777" width="44.6640625" style="1" customWidth="1"/>
    <col min="11778" max="11778" width="16.6640625" style="1" customWidth="1"/>
    <col min="11779" max="11785" width="10.6640625" style="1" customWidth="1"/>
    <col min="11786" max="11786" width="9.109375" style="1"/>
    <col min="11787" max="11787" width="16.44140625" style="1" customWidth="1"/>
    <col min="11788" max="12032" width="9.109375" style="1"/>
    <col min="12033" max="12033" width="44.6640625" style="1" customWidth="1"/>
    <col min="12034" max="12034" width="16.6640625" style="1" customWidth="1"/>
    <col min="12035" max="12041" width="10.6640625" style="1" customWidth="1"/>
    <col min="12042" max="12042" width="9.109375" style="1"/>
    <col min="12043" max="12043" width="16.44140625" style="1" customWidth="1"/>
    <col min="12044" max="12288" width="9.109375" style="1"/>
    <col min="12289" max="12289" width="44.6640625" style="1" customWidth="1"/>
    <col min="12290" max="12290" width="16.6640625" style="1" customWidth="1"/>
    <col min="12291" max="12297" width="10.6640625" style="1" customWidth="1"/>
    <col min="12298" max="12298" width="9.109375" style="1"/>
    <col min="12299" max="12299" width="16.44140625" style="1" customWidth="1"/>
    <col min="12300" max="12544" width="9.109375" style="1"/>
    <col min="12545" max="12545" width="44.6640625" style="1" customWidth="1"/>
    <col min="12546" max="12546" width="16.6640625" style="1" customWidth="1"/>
    <col min="12547" max="12553" width="10.6640625" style="1" customWidth="1"/>
    <col min="12554" max="12554" width="9.109375" style="1"/>
    <col min="12555" max="12555" width="16.44140625" style="1" customWidth="1"/>
    <col min="12556" max="12800" width="9.109375" style="1"/>
    <col min="12801" max="12801" width="44.6640625" style="1" customWidth="1"/>
    <col min="12802" max="12802" width="16.6640625" style="1" customWidth="1"/>
    <col min="12803" max="12809" width="10.6640625" style="1" customWidth="1"/>
    <col min="12810" max="12810" width="9.109375" style="1"/>
    <col min="12811" max="12811" width="16.44140625" style="1" customWidth="1"/>
    <col min="12812" max="13056" width="9.109375" style="1"/>
    <col min="13057" max="13057" width="44.6640625" style="1" customWidth="1"/>
    <col min="13058" max="13058" width="16.6640625" style="1" customWidth="1"/>
    <col min="13059" max="13065" width="10.6640625" style="1" customWidth="1"/>
    <col min="13066" max="13066" width="9.109375" style="1"/>
    <col min="13067" max="13067" width="16.44140625" style="1" customWidth="1"/>
    <col min="13068" max="13312" width="9.109375" style="1"/>
    <col min="13313" max="13313" width="44.6640625" style="1" customWidth="1"/>
    <col min="13314" max="13314" width="16.6640625" style="1" customWidth="1"/>
    <col min="13315" max="13321" width="10.6640625" style="1" customWidth="1"/>
    <col min="13322" max="13322" width="9.109375" style="1"/>
    <col min="13323" max="13323" width="16.44140625" style="1" customWidth="1"/>
    <col min="13324" max="13568" width="9.109375" style="1"/>
    <col min="13569" max="13569" width="44.6640625" style="1" customWidth="1"/>
    <col min="13570" max="13570" width="16.6640625" style="1" customWidth="1"/>
    <col min="13571" max="13577" width="10.6640625" style="1" customWidth="1"/>
    <col min="13578" max="13578" width="9.109375" style="1"/>
    <col min="13579" max="13579" width="16.44140625" style="1" customWidth="1"/>
    <col min="13580" max="13824" width="9.109375" style="1"/>
    <col min="13825" max="13825" width="44.6640625" style="1" customWidth="1"/>
    <col min="13826" max="13826" width="16.6640625" style="1" customWidth="1"/>
    <col min="13827" max="13833" width="10.6640625" style="1" customWidth="1"/>
    <col min="13834" max="13834" width="9.109375" style="1"/>
    <col min="13835" max="13835" width="16.44140625" style="1" customWidth="1"/>
    <col min="13836" max="14080" width="9.109375" style="1"/>
    <col min="14081" max="14081" width="44.6640625" style="1" customWidth="1"/>
    <col min="14082" max="14082" width="16.6640625" style="1" customWidth="1"/>
    <col min="14083" max="14089" width="10.6640625" style="1" customWidth="1"/>
    <col min="14090" max="14090" width="9.109375" style="1"/>
    <col min="14091" max="14091" width="16.44140625" style="1" customWidth="1"/>
    <col min="14092" max="14336" width="9.109375" style="1"/>
    <col min="14337" max="14337" width="44.6640625" style="1" customWidth="1"/>
    <col min="14338" max="14338" width="16.6640625" style="1" customWidth="1"/>
    <col min="14339" max="14345" width="10.6640625" style="1" customWidth="1"/>
    <col min="14346" max="14346" width="9.109375" style="1"/>
    <col min="14347" max="14347" width="16.44140625" style="1" customWidth="1"/>
    <col min="14348" max="14592" width="9.109375" style="1"/>
    <col min="14593" max="14593" width="44.6640625" style="1" customWidth="1"/>
    <col min="14594" max="14594" width="16.6640625" style="1" customWidth="1"/>
    <col min="14595" max="14601" width="10.6640625" style="1" customWidth="1"/>
    <col min="14602" max="14602" width="9.109375" style="1"/>
    <col min="14603" max="14603" width="16.44140625" style="1" customWidth="1"/>
    <col min="14604" max="14848" width="9.109375" style="1"/>
    <col min="14849" max="14849" width="44.6640625" style="1" customWidth="1"/>
    <col min="14850" max="14850" width="16.6640625" style="1" customWidth="1"/>
    <col min="14851" max="14857" width="10.6640625" style="1" customWidth="1"/>
    <col min="14858" max="14858" width="9.109375" style="1"/>
    <col min="14859" max="14859" width="16.44140625" style="1" customWidth="1"/>
    <col min="14860" max="15104" width="9.109375" style="1"/>
    <col min="15105" max="15105" width="44.6640625" style="1" customWidth="1"/>
    <col min="15106" max="15106" width="16.6640625" style="1" customWidth="1"/>
    <col min="15107" max="15113" width="10.6640625" style="1" customWidth="1"/>
    <col min="15114" max="15114" width="9.109375" style="1"/>
    <col min="15115" max="15115" width="16.44140625" style="1" customWidth="1"/>
    <col min="15116" max="15360" width="9.109375" style="1"/>
    <col min="15361" max="15361" width="44.6640625" style="1" customWidth="1"/>
    <col min="15362" max="15362" width="16.6640625" style="1" customWidth="1"/>
    <col min="15363" max="15369" width="10.6640625" style="1" customWidth="1"/>
    <col min="15370" max="15370" width="9.109375" style="1"/>
    <col min="15371" max="15371" width="16.44140625" style="1" customWidth="1"/>
    <col min="15372" max="15616" width="9.109375" style="1"/>
    <col min="15617" max="15617" width="44.6640625" style="1" customWidth="1"/>
    <col min="15618" max="15618" width="16.6640625" style="1" customWidth="1"/>
    <col min="15619" max="15625" width="10.6640625" style="1" customWidth="1"/>
    <col min="15626" max="15626" width="9.109375" style="1"/>
    <col min="15627" max="15627" width="16.44140625" style="1" customWidth="1"/>
    <col min="15628" max="15872" width="9.109375" style="1"/>
    <col min="15873" max="15873" width="44.6640625" style="1" customWidth="1"/>
    <col min="15874" max="15874" width="16.6640625" style="1" customWidth="1"/>
    <col min="15875" max="15881" width="10.6640625" style="1" customWidth="1"/>
    <col min="15882" max="15882" width="9.109375" style="1"/>
    <col min="15883" max="15883" width="16.44140625" style="1" customWidth="1"/>
    <col min="15884" max="16128" width="9.109375" style="1"/>
    <col min="16129" max="16129" width="44.6640625" style="1" customWidth="1"/>
    <col min="16130" max="16130" width="16.6640625" style="1" customWidth="1"/>
    <col min="16131" max="16137" width="10.6640625" style="1" customWidth="1"/>
    <col min="16138" max="16138" width="9.109375" style="1"/>
    <col min="16139" max="16139" width="16.44140625" style="1" customWidth="1"/>
    <col min="16140" max="16384" width="9.109375" style="1"/>
  </cols>
  <sheetData>
    <row r="1" spans="1:18" ht="16.8" thickBot="1">
      <c r="A1" s="4548" t="str">
        <f>+'1. Обща информация'!B40</f>
        <v>Фиксиран курс на лева към 1 евро</v>
      </c>
      <c r="B1" s="4508">
        <f>+'1. Обща информация'!$C$40</f>
        <v>1.95583</v>
      </c>
      <c r="C1" s="4547"/>
      <c r="D1" s="4534"/>
      <c r="E1" s="4534"/>
      <c r="F1" s="1326"/>
      <c r="G1" s="1326"/>
      <c r="H1" s="1655"/>
      <c r="I1" s="3182" t="s">
        <v>278</v>
      </c>
      <c r="J1" s="1655"/>
      <c r="K1" s="1327"/>
      <c r="L1" s="1327"/>
      <c r="M1" s="1327"/>
    </row>
    <row r="2" spans="1:18" s="656" customFormat="1" ht="36.75" customHeight="1">
      <c r="A2" s="5006" t="s">
        <v>607</v>
      </c>
      <c r="B2" s="5006"/>
      <c r="C2" s="5006"/>
      <c r="D2" s="5006"/>
      <c r="E2" s="5006"/>
      <c r="F2" s="5006"/>
      <c r="G2" s="5006"/>
      <c r="H2" s="5006"/>
      <c r="I2" s="5006"/>
      <c r="J2" s="3183"/>
      <c r="K2" s="1328"/>
      <c r="L2" s="1327"/>
      <c r="M2" s="1327"/>
    </row>
    <row r="3" spans="1:18" s="656" customFormat="1" ht="18">
      <c r="A3" s="5317" t="str">
        <f>'1. Обща информация'!A4:D4</f>
        <v>на "В И К" АД, гр. Ловеч</v>
      </c>
      <c r="B3" s="5317"/>
      <c r="C3" s="5317"/>
      <c r="D3" s="5317"/>
      <c r="E3" s="5317"/>
      <c r="F3" s="5317"/>
      <c r="G3" s="5317"/>
      <c r="H3" s="5317"/>
      <c r="I3" s="5317"/>
      <c r="J3" s="3184"/>
      <c r="K3" s="1329"/>
      <c r="L3" s="1327"/>
      <c r="M3" s="1327"/>
    </row>
    <row r="4" spans="1:18" s="656" customFormat="1" ht="18">
      <c r="A4" s="5317" t="str">
        <f>'1. Обща информация'!A5:D5</f>
        <v>ЕИК по БУЛСТАТ: 110549443</v>
      </c>
      <c r="B4" s="5317"/>
      <c r="C4" s="5317"/>
      <c r="D4" s="5317"/>
      <c r="E4" s="5317"/>
      <c r="F4" s="5317"/>
      <c r="G4" s="5317"/>
      <c r="H4" s="5317"/>
      <c r="I4" s="5317"/>
      <c r="J4" s="3184"/>
      <c r="K4" s="1329"/>
      <c r="L4" s="1327"/>
      <c r="M4" s="1327"/>
    </row>
    <row r="5" spans="1:18" ht="12" customHeight="1" thickBot="1">
      <c r="A5" s="3185"/>
      <c r="B5" s="3186"/>
      <c r="C5" s="3186"/>
      <c r="D5" s="3186"/>
      <c r="E5" s="3186"/>
      <c r="F5" s="3186"/>
      <c r="G5" s="3186"/>
      <c r="H5" s="3186"/>
      <c r="I5" s="3186"/>
      <c r="J5" s="3187"/>
      <c r="K5" s="1328"/>
      <c r="L5" s="1327"/>
      <c r="M5" s="1327"/>
    </row>
    <row r="6" spans="1:18" s="333" customFormat="1" ht="13.8" thickBot="1">
      <c r="A6" s="5514" t="s">
        <v>279</v>
      </c>
      <c r="B6" s="5514" t="s">
        <v>280</v>
      </c>
      <c r="C6" s="3188" t="s">
        <v>192</v>
      </c>
      <c r="D6" s="5516" t="s">
        <v>193</v>
      </c>
      <c r="E6" s="5517"/>
      <c r="F6" s="5517"/>
      <c r="G6" s="5517"/>
      <c r="H6" s="5517"/>
      <c r="I6" s="5518"/>
      <c r="J6" s="4488"/>
      <c r="K6" s="5512" t="s">
        <v>280</v>
      </c>
      <c r="L6" s="4541" t="s">
        <v>192</v>
      </c>
      <c r="M6" s="5512" t="s">
        <v>193</v>
      </c>
      <c r="N6" s="5512"/>
      <c r="O6" s="5512"/>
      <c r="P6" s="5512"/>
      <c r="Q6" s="5512"/>
      <c r="R6" s="5512"/>
    </row>
    <row r="7" spans="1:18" s="333" customFormat="1" ht="13.8" thickBot="1">
      <c r="A7" s="5515"/>
      <c r="B7" s="5515"/>
      <c r="C7" s="2857" t="str">
        <f>'9.Инвестиционна програма'!G9</f>
        <v>2025 г.</v>
      </c>
      <c r="D7" s="2853" t="str">
        <f>'Приложение '!$C13</f>
        <v>2026 г.</v>
      </c>
      <c r="E7" s="2854" t="str">
        <f>'Приложение '!$C14</f>
        <v>2027 г.</v>
      </c>
      <c r="F7" s="2855" t="str">
        <f>'Приложение '!$C15</f>
        <v>2028 г.</v>
      </c>
      <c r="G7" s="2858" t="str">
        <f>'Приложение '!$C16</f>
        <v>2029 г.</v>
      </c>
      <c r="H7" s="2855" t="str">
        <f>'Приложение '!$C17</f>
        <v>2030 г.</v>
      </c>
      <c r="I7" s="2859" t="str">
        <f>'Приложение '!$C18</f>
        <v>2031 г.</v>
      </c>
      <c r="J7" s="4488"/>
      <c r="K7" s="5513"/>
      <c r="L7" s="4542" t="str">
        <f>+C7</f>
        <v>2025 г.</v>
      </c>
      <c r="M7" s="4542" t="str">
        <f t="shared" ref="M7:R7" si="0">+D7</f>
        <v>2026 г.</v>
      </c>
      <c r="N7" s="4542" t="str">
        <f t="shared" si="0"/>
        <v>2027 г.</v>
      </c>
      <c r="O7" s="4542" t="str">
        <f t="shared" si="0"/>
        <v>2028 г.</v>
      </c>
      <c r="P7" s="4542" t="str">
        <f t="shared" si="0"/>
        <v>2029 г.</v>
      </c>
      <c r="Q7" s="4542" t="str">
        <f t="shared" si="0"/>
        <v>2030 г.</v>
      </c>
      <c r="R7" s="4542" t="str">
        <f t="shared" si="0"/>
        <v>2031 г.</v>
      </c>
    </row>
    <row r="8" spans="1:18" ht="15" customHeight="1" thickBot="1">
      <c r="A8" s="3189" t="s">
        <v>281</v>
      </c>
      <c r="B8" s="3190" t="s">
        <v>282</v>
      </c>
      <c r="C8" s="4606">
        <v>2.7949999999999999</v>
      </c>
      <c r="D8" s="4607">
        <v>2.8839999999999999</v>
      </c>
      <c r="E8" s="1441">
        <f>'20.Цени '!D10</f>
        <v>3.6840000000000002</v>
      </c>
      <c r="F8" s="405">
        <f>'20.Цени '!E10</f>
        <v>3.9590000000000001</v>
      </c>
      <c r="G8" s="405">
        <f>'20.Цени '!F10</f>
        <v>4.2560000000000002</v>
      </c>
      <c r="H8" s="405">
        <f>'20.Цени '!G10</f>
        <v>4.593</v>
      </c>
      <c r="I8" s="406">
        <f>'20.Цени '!H10</f>
        <v>4.9539999999999997</v>
      </c>
      <c r="J8" s="4488"/>
      <c r="K8" s="4543" t="s">
        <v>1890</v>
      </c>
      <c r="L8" s="4575">
        <f>IFERROR(C8/$B$1,0)</f>
        <v>1.4290608079434306</v>
      </c>
      <c r="M8" s="4575">
        <f t="shared" ref="M8:M11" si="1">IFERROR(D8/$B$1,0)</f>
        <v>1.4745657853698941</v>
      </c>
      <c r="N8" s="4575">
        <f t="shared" ref="N8:N11" si="2">IFERROR(E8/$B$1,0)</f>
        <v>1.883599290326869</v>
      </c>
      <c r="O8" s="4575">
        <f t="shared" ref="O8:O11" si="3">IFERROR(F8/$B$1,0)</f>
        <v>2.0242045576558292</v>
      </c>
      <c r="P8" s="4575">
        <f t="shared" ref="P8:P11" si="4">IFERROR(G8/$B$1,0)</f>
        <v>2.176058246371106</v>
      </c>
      <c r="Q8" s="4575">
        <f t="shared" ref="Q8:Q11" si="5">IFERROR(H8/$B$1,0)</f>
        <v>2.3483636103342316</v>
      </c>
      <c r="R8" s="4575">
        <f t="shared" ref="R8:R11" si="6">IFERROR(I8/$B$1,0)</f>
        <v>2.5329399794460663</v>
      </c>
    </row>
    <row r="9" spans="1:18" ht="15" customHeight="1" thickBot="1">
      <c r="A9" s="3191" t="s">
        <v>283</v>
      </c>
      <c r="B9" s="3192" t="s">
        <v>282</v>
      </c>
      <c r="C9" s="404">
        <v>0.18</v>
      </c>
      <c r="D9" s="4607">
        <v>0.20899999999999999</v>
      </c>
      <c r="E9" s="1442">
        <f>'20.Цени '!D12</f>
        <v>0.30499999999999999</v>
      </c>
      <c r="F9" s="407">
        <f>'20.Цени '!E12</f>
        <v>0.33500000000000002</v>
      </c>
      <c r="G9" s="407">
        <f>'20.Цени '!F12</f>
        <v>0.36599999999999999</v>
      </c>
      <c r="H9" s="407">
        <f>'20.Цени '!G12</f>
        <v>0.40200000000000002</v>
      </c>
      <c r="I9" s="408">
        <f>'20.Цени '!H12</f>
        <v>0.44</v>
      </c>
      <c r="J9" s="4488"/>
      <c r="K9" s="4543" t="s">
        <v>1890</v>
      </c>
      <c r="L9" s="4575">
        <f t="shared" ref="L9:L11" si="7">IFERROR(C9/$B$1,0)</f>
        <v>9.203253861531932E-2</v>
      </c>
      <c r="M9" s="4575">
        <f t="shared" si="1"/>
        <v>0.10686000317000967</v>
      </c>
      <c r="N9" s="4575">
        <f t="shared" si="2"/>
        <v>0.15594402376484665</v>
      </c>
      <c r="O9" s="4575">
        <f t="shared" si="3"/>
        <v>0.1712827802007332</v>
      </c>
      <c r="P9" s="4575">
        <f t="shared" si="4"/>
        <v>0.18713282851781596</v>
      </c>
      <c r="Q9" s="4575">
        <f t="shared" si="5"/>
        <v>0.20553933624087986</v>
      </c>
      <c r="R9" s="4575">
        <f t="shared" si="6"/>
        <v>0.22496842772633613</v>
      </c>
    </row>
    <row r="10" spans="1:18" ht="15" customHeight="1" thickBot="1">
      <c r="A10" s="3191" t="s">
        <v>284</v>
      </c>
      <c r="B10" s="3192" t="s">
        <v>282</v>
      </c>
      <c r="C10" s="4606">
        <v>1.091</v>
      </c>
      <c r="D10" s="4374">
        <v>1.1379999999999999</v>
      </c>
      <c r="E10" s="1442">
        <f>'20.Цени '!D14</f>
        <v>1.492</v>
      </c>
      <c r="F10" s="407">
        <f>'20.Цени '!E14</f>
        <v>1.6240000000000001</v>
      </c>
      <c r="G10" s="407">
        <f>'20.Цени '!F14</f>
        <v>1.7669999999999999</v>
      </c>
      <c r="H10" s="407">
        <f>'20.Цени '!G14</f>
        <v>1.9259999999999999</v>
      </c>
      <c r="I10" s="408">
        <f>'20.Цени '!H14</f>
        <v>2.1040000000000001</v>
      </c>
      <c r="J10" s="4488"/>
      <c r="K10" s="4543" t="s">
        <v>1890</v>
      </c>
      <c r="L10" s="4575">
        <f t="shared" si="7"/>
        <v>0.55781944238507442</v>
      </c>
      <c r="M10" s="4575">
        <f t="shared" si="1"/>
        <v>0.58185016080129659</v>
      </c>
      <c r="N10" s="4575">
        <f t="shared" si="2"/>
        <v>0.762847486744758</v>
      </c>
      <c r="O10" s="4575">
        <f t="shared" si="3"/>
        <v>0.83033801506265892</v>
      </c>
      <c r="P10" s="4575">
        <f t="shared" si="4"/>
        <v>0.90345275407371806</v>
      </c>
      <c r="Q10" s="4575">
        <f t="shared" si="5"/>
        <v>0.98474816318391678</v>
      </c>
      <c r="R10" s="4575">
        <f t="shared" si="6"/>
        <v>1.0757581180368438</v>
      </c>
    </row>
    <row r="11" spans="1:18" ht="15" customHeight="1" thickBot="1">
      <c r="A11" s="3193" t="s">
        <v>194</v>
      </c>
      <c r="B11" s="3194" t="s">
        <v>285</v>
      </c>
      <c r="C11" s="4576">
        <f t="shared" ref="C11:I11" si="8">SUM(C8:C10)*1.2</f>
        <v>4.8792</v>
      </c>
      <c r="D11" s="4577">
        <f t="shared" si="8"/>
        <v>5.0771999999999995</v>
      </c>
      <c r="E11" s="4578">
        <f t="shared" si="8"/>
        <v>6.5771999999999995</v>
      </c>
      <c r="F11" s="4579">
        <f t="shared" si="8"/>
        <v>7.1016000000000012</v>
      </c>
      <c r="G11" s="4579">
        <f t="shared" si="8"/>
        <v>7.6667999999999985</v>
      </c>
      <c r="H11" s="4579">
        <f t="shared" si="8"/>
        <v>8.3051999999999992</v>
      </c>
      <c r="I11" s="4580">
        <f t="shared" si="8"/>
        <v>8.9976000000000003</v>
      </c>
      <c r="J11" s="4488"/>
      <c r="K11" s="4544" t="s">
        <v>1891</v>
      </c>
      <c r="L11" s="4581">
        <f t="shared" si="7"/>
        <v>2.4946953467325894</v>
      </c>
      <c r="M11" s="4581">
        <f t="shared" si="1"/>
        <v>2.5959311392094402</v>
      </c>
      <c r="N11" s="4581">
        <f t="shared" si="2"/>
        <v>3.3628689610037679</v>
      </c>
      <c r="O11" s="4581">
        <f t="shared" si="3"/>
        <v>3.6309904235030661</v>
      </c>
      <c r="P11" s="4581">
        <f t="shared" si="4"/>
        <v>3.9199725947551673</v>
      </c>
      <c r="Q11" s="4581">
        <f t="shared" si="5"/>
        <v>4.2463813317108334</v>
      </c>
      <c r="R11" s="4581">
        <f t="shared" si="6"/>
        <v>4.6003998302510958</v>
      </c>
    </row>
    <row r="12" spans="1:18" ht="15" customHeight="1" thickBot="1">
      <c r="A12" s="3191" t="s">
        <v>286</v>
      </c>
      <c r="B12" s="3192" t="s">
        <v>287</v>
      </c>
      <c r="C12" s="379">
        <v>2.8</v>
      </c>
      <c r="D12" s="4375">
        <v>2.8</v>
      </c>
      <c r="E12" s="1443">
        <v>2.8</v>
      </c>
      <c r="F12" s="274">
        <v>2.8</v>
      </c>
      <c r="G12" s="272">
        <v>2.8</v>
      </c>
      <c r="H12" s="274">
        <v>2.8</v>
      </c>
      <c r="I12" s="273">
        <v>2.8</v>
      </c>
      <c r="J12" s="4488"/>
      <c r="K12" s="4545"/>
      <c r="L12" s="1327"/>
      <c r="M12" s="1326"/>
    </row>
    <row r="13" spans="1:18" ht="15" customHeight="1" thickBot="1">
      <c r="A13" s="3191" t="s">
        <v>339</v>
      </c>
      <c r="B13" s="3192" t="s">
        <v>288</v>
      </c>
      <c r="C13" s="380">
        <f t="shared" ref="C13:I13" si="9">C11*C12</f>
        <v>13.661759999999999</v>
      </c>
      <c r="D13" s="4376">
        <f t="shared" si="9"/>
        <v>14.216159999999997</v>
      </c>
      <c r="E13" s="1444">
        <f t="shared" si="9"/>
        <v>18.416159999999998</v>
      </c>
      <c r="F13" s="276">
        <f t="shared" si="9"/>
        <v>19.884480000000003</v>
      </c>
      <c r="G13" s="275">
        <f t="shared" si="9"/>
        <v>21.467039999999994</v>
      </c>
      <c r="H13" s="275">
        <f t="shared" si="9"/>
        <v>23.254559999999998</v>
      </c>
      <c r="I13" s="277">
        <f t="shared" si="9"/>
        <v>25.193279999999998</v>
      </c>
      <c r="J13" s="4488"/>
      <c r="K13" s="4543" t="s">
        <v>1871</v>
      </c>
      <c r="L13" s="4549">
        <f t="shared" ref="L13:L14" si="10">IFERROR(C13/$B$1,0)</f>
        <v>6.9851469708512495</v>
      </c>
      <c r="M13" s="4549">
        <f t="shared" ref="M13:M14" si="11">IFERROR(D13/$B$1,0)</f>
        <v>7.2686071897864322</v>
      </c>
      <c r="N13" s="4549">
        <f t="shared" ref="N13:N14" si="12">IFERROR(E13/$B$1,0)</f>
        <v>9.4160330908105507</v>
      </c>
      <c r="O13" s="4549">
        <f t="shared" ref="O13:O14" si="13">IFERROR(F13/$B$1,0)</f>
        <v>10.166773185808584</v>
      </c>
      <c r="P13" s="4549">
        <f t="shared" ref="P13:P14" si="14">IFERROR(G13/$B$1,0)</f>
        <v>10.975923265314467</v>
      </c>
      <c r="Q13" s="4549">
        <f t="shared" ref="Q13:Q14" si="15">IFERROR(H13/$B$1,0)</f>
        <v>11.889867728790334</v>
      </c>
      <c r="R13" s="4549">
        <f t="shared" ref="R13:R14" si="16">IFERROR(I13/$B$1,0)</f>
        <v>12.881119524703067</v>
      </c>
    </row>
    <row r="14" spans="1:18" ht="15" customHeight="1" thickBot="1">
      <c r="A14" s="3195" t="s">
        <v>289</v>
      </c>
      <c r="B14" s="3192" t="s">
        <v>290</v>
      </c>
      <c r="C14" s="411">
        <v>850</v>
      </c>
      <c r="D14" s="4377">
        <f>C14*(1+D15)</f>
        <v>868.7</v>
      </c>
      <c r="E14" s="3714">
        <f>D14*(1+E15)</f>
        <v>895.62969999999996</v>
      </c>
      <c r="F14" s="1458">
        <f t="shared" ref="F14:I14" si="17">E14*(1+F15)</f>
        <v>923.39422069999989</v>
      </c>
      <c r="G14" s="3307">
        <f t="shared" si="17"/>
        <v>952.01944154169985</v>
      </c>
      <c r="H14" s="1458">
        <f t="shared" si="17"/>
        <v>981.5320442294925</v>
      </c>
      <c r="I14" s="1459">
        <f t="shared" si="17"/>
        <v>1011.9595376006067</v>
      </c>
      <c r="J14" s="4488"/>
      <c r="K14" s="4543" t="s">
        <v>1892</v>
      </c>
      <c r="L14" s="4493">
        <f t="shared" si="10"/>
        <v>434.59809901678574</v>
      </c>
      <c r="M14" s="4493">
        <f t="shared" si="11"/>
        <v>444.15925719515502</v>
      </c>
      <c r="N14" s="4493">
        <f t="shared" si="12"/>
        <v>457.92819416820481</v>
      </c>
      <c r="O14" s="4493">
        <f t="shared" si="13"/>
        <v>472.12396818741911</v>
      </c>
      <c r="P14" s="4493">
        <f t="shared" si="14"/>
        <v>486.75981120122907</v>
      </c>
      <c r="Q14" s="4493">
        <f t="shared" si="15"/>
        <v>501.84936534846713</v>
      </c>
      <c r="R14" s="4493">
        <f t="shared" si="16"/>
        <v>517.4066956742696</v>
      </c>
    </row>
    <row r="15" spans="1:18" ht="13.8" thickBot="1">
      <c r="A15" s="3196" t="s">
        <v>1866</v>
      </c>
      <c r="B15" s="3197" t="s">
        <v>170</v>
      </c>
      <c r="C15" s="3198"/>
      <c r="D15" s="4372">
        <v>2.1999999999999999E-2</v>
      </c>
      <c r="E15" s="4379">
        <v>3.1E-2</v>
      </c>
      <c r="F15" s="4373">
        <f>E15</f>
        <v>3.1E-2</v>
      </c>
      <c r="G15" s="4373">
        <f>E15</f>
        <v>3.1E-2</v>
      </c>
      <c r="H15" s="4373">
        <f>E15</f>
        <v>3.1E-2</v>
      </c>
      <c r="I15" s="4380">
        <f>E15</f>
        <v>3.1E-2</v>
      </c>
      <c r="J15" s="4488"/>
      <c r="K15" s="4545"/>
      <c r="L15" s="1327"/>
      <c r="M15" s="1326"/>
    </row>
    <row r="16" spans="1:18" ht="15" customHeight="1" thickBot="1">
      <c r="A16" s="3196" t="s">
        <v>740</v>
      </c>
      <c r="B16" s="3199" t="s">
        <v>288</v>
      </c>
      <c r="C16" s="381">
        <f>C14*2.5%</f>
        <v>21.25</v>
      </c>
      <c r="D16" s="4378">
        <f>D14*2.5%</f>
        <v>21.717500000000001</v>
      </c>
      <c r="E16" s="1445">
        <f t="shared" ref="E16:I16" si="18">E14*2.5%</f>
        <v>22.390742500000002</v>
      </c>
      <c r="F16" s="279">
        <f t="shared" si="18"/>
        <v>23.084855517499999</v>
      </c>
      <c r="G16" s="278">
        <f t="shared" si="18"/>
        <v>23.800486038542498</v>
      </c>
      <c r="H16" s="278">
        <f t="shared" si="18"/>
        <v>24.538301105737315</v>
      </c>
      <c r="I16" s="280">
        <f t="shared" si="18"/>
        <v>25.298988440015169</v>
      </c>
      <c r="J16" s="4488"/>
      <c r="K16" s="4543" t="s">
        <v>1871</v>
      </c>
      <c r="L16" s="4549">
        <f t="shared" ref="L16:L17" si="19">IFERROR(C16/$B$1,0)</f>
        <v>10.864952475419644</v>
      </c>
      <c r="M16" s="4549">
        <f t="shared" ref="M16:M17" si="20">IFERROR(D16/$B$1,0)</f>
        <v>11.103981429878877</v>
      </c>
      <c r="N16" s="4549">
        <f t="shared" ref="N16:N17" si="21">IFERROR(E16/$B$1,0)</f>
        <v>11.448204854205121</v>
      </c>
      <c r="O16" s="4549">
        <f t="shared" ref="O16:O17" si="22">IFERROR(F16/$B$1,0)</f>
        <v>11.803099204685479</v>
      </c>
      <c r="P16" s="4549">
        <f t="shared" ref="P16:P17" si="23">IFERROR(G16/$B$1,0)</f>
        <v>12.168995280030728</v>
      </c>
      <c r="Q16" s="4549">
        <f t="shared" ref="Q16:Q17" si="24">IFERROR(H16/$B$1,0)</f>
        <v>12.54623413371168</v>
      </c>
      <c r="R16" s="4549">
        <f t="shared" ref="R16:R17" si="25">IFERROR(I16/$B$1,0)</f>
        <v>12.935167391856741</v>
      </c>
    </row>
    <row r="17" spans="1:18" ht="20.25" customHeight="1" thickBot="1">
      <c r="A17" s="3200" t="s">
        <v>291</v>
      </c>
      <c r="B17" s="3201" t="s">
        <v>292</v>
      </c>
      <c r="C17" s="4582">
        <f>C16/C12</f>
        <v>7.5892857142857144</v>
      </c>
      <c r="D17" s="4583">
        <f t="shared" ref="D17:I17" si="26">D16/D12</f>
        <v>7.7562500000000005</v>
      </c>
      <c r="E17" s="4584">
        <f t="shared" si="26"/>
        <v>7.9966937500000013</v>
      </c>
      <c r="F17" s="4585">
        <f t="shared" si="26"/>
        <v>8.2445912562500006</v>
      </c>
      <c r="G17" s="4586">
        <f t="shared" si="26"/>
        <v>8.5001735851937497</v>
      </c>
      <c r="H17" s="4586">
        <f t="shared" si="26"/>
        <v>8.763678966334755</v>
      </c>
      <c r="I17" s="4587">
        <f t="shared" si="26"/>
        <v>9.0353530142911325</v>
      </c>
      <c r="J17" s="4488"/>
      <c r="K17" s="4541" t="s">
        <v>1893</v>
      </c>
      <c r="L17" s="4588">
        <f t="shared" si="19"/>
        <v>3.8803401697927296</v>
      </c>
      <c r="M17" s="4588">
        <f t="shared" si="20"/>
        <v>3.9657076535281699</v>
      </c>
      <c r="N17" s="4588">
        <f t="shared" si="21"/>
        <v>4.0886445907875437</v>
      </c>
      <c r="O17" s="4588">
        <f t="shared" si="22"/>
        <v>4.2153925731019575</v>
      </c>
      <c r="P17" s="4588">
        <f t="shared" si="23"/>
        <v>4.3460697428681172</v>
      </c>
      <c r="Q17" s="4588">
        <f t="shared" si="24"/>
        <v>4.4807979048970283</v>
      </c>
      <c r="R17" s="4588">
        <f t="shared" si="25"/>
        <v>4.6197026399488363</v>
      </c>
    </row>
    <row r="18" spans="1:18" ht="13.8" thickBot="1">
      <c r="A18" s="1326"/>
      <c r="B18" s="3202"/>
      <c r="C18" s="3202"/>
      <c r="D18" s="3202"/>
      <c r="E18" s="3202"/>
      <c r="F18" s="3202"/>
      <c r="G18" s="3202"/>
      <c r="H18" s="3202"/>
      <c r="I18" s="3202"/>
      <c r="J18" s="4488"/>
      <c r="K18" s="1328"/>
      <c r="L18" s="1327"/>
      <c r="M18" s="1326"/>
    </row>
    <row r="19" spans="1:18" ht="27" customHeight="1" thickBot="1">
      <c r="A19" s="3200" t="s">
        <v>291</v>
      </c>
      <c r="B19" s="3203" t="s">
        <v>170</v>
      </c>
      <c r="C19" s="382">
        <f t="shared" ref="C19:I19" si="27">IFERROR(C13/C14,0)</f>
        <v>1.6072658823529411E-2</v>
      </c>
      <c r="D19" s="383">
        <f t="shared" si="27"/>
        <v>1.6364867042707489E-2</v>
      </c>
      <c r="E19" s="384">
        <f t="shared" si="27"/>
        <v>2.0562247991552759E-2</v>
      </c>
      <c r="F19" s="385">
        <f t="shared" si="27"/>
        <v>2.1534117881879446E-2</v>
      </c>
      <c r="G19" s="384">
        <f t="shared" si="27"/>
        <v>2.2548951274814596E-2</v>
      </c>
      <c r="H19" s="384">
        <f t="shared" si="27"/>
        <v>2.369210474249462E-2</v>
      </c>
      <c r="I19" s="386">
        <f t="shared" si="27"/>
        <v>2.4895540843198328E-2</v>
      </c>
      <c r="J19" s="4488"/>
      <c r="K19" s="1328"/>
      <c r="L19" s="1327"/>
      <c r="M19" s="1326"/>
    </row>
    <row r="20" spans="1:18">
      <c r="A20" s="1326"/>
      <c r="B20" s="1326"/>
      <c r="C20" s="1326"/>
      <c r="D20" s="1326"/>
      <c r="E20" s="1326"/>
      <c r="F20" s="1326"/>
      <c r="G20" s="1326"/>
      <c r="H20" s="1326"/>
      <c r="I20" s="1326"/>
      <c r="K20" s="1328"/>
      <c r="L20" s="1327"/>
      <c r="M20" s="1326"/>
    </row>
    <row r="21" spans="1:18">
      <c r="A21" s="1326"/>
      <c r="K21" s="1328"/>
      <c r="L21" s="1327"/>
      <c r="M21" s="1326"/>
    </row>
    <row r="22" spans="1:18">
      <c r="A22" s="3204" t="str">
        <f>'Приложение '!B82</f>
        <v>Дата: 16.03.2026</v>
      </c>
      <c r="K22" s="1328"/>
      <c r="L22" s="1327"/>
      <c r="M22" s="1326"/>
    </row>
    <row r="23" spans="1:18">
      <c r="A23" s="3204"/>
      <c r="K23" s="1328"/>
      <c r="L23" s="1327"/>
      <c r="M23" s="1326"/>
    </row>
    <row r="24" spans="1:18">
      <c r="A24" s="659"/>
      <c r="K24" s="1330"/>
      <c r="L24" s="1327"/>
      <c r="M24" s="1326"/>
    </row>
    <row r="25" spans="1:18">
      <c r="A25" s="1365" t="s">
        <v>187</v>
      </c>
      <c r="B25" s="1365"/>
      <c r="C25" s="1365"/>
      <c r="D25" s="1365"/>
      <c r="E25" s="3205"/>
      <c r="F25" s="3205"/>
      <c r="G25" s="3205"/>
      <c r="H25" s="3205"/>
      <c r="K25" s="1328"/>
      <c r="L25" s="1327"/>
      <c r="M25" s="1326"/>
    </row>
    <row r="26" spans="1:18">
      <c r="A26" s="1782" t="s">
        <v>188</v>
      </c>
      <c r="L26" s="1326"/>
      <c r="M26" s="1326"/>
    </row>
    <row r="27" spans="1:18">
      <c r="A27" s="1782" t="s">
        <v>1461</v>
      </c>
      <c r="L27" s="1326"/>
      <c r="M27" s="1326"/>
    </row>
    <row r="28" spans="1:18">
      <c r="L28" s="1326"/>
      <c r="M28" s="1326"/>
    </row>
    <row r="29" spans="1:18">
      <c r="L29" s="1326"/>
      <c r="M29" s="1326"/>
    </row>
    <row r="35" ht="11.25" customHeight="1"/>
    <row r="56" spans="8:8">
      <c r="H56" s="1" t="s">
        <v>202</v>
      </c>
    </row>
    <row r="95" spans="11:11">
      <c r="K95" s="1331"/>
    </row>
    <row r="96" spans="11:11">
      <c r="K96" s="1331"/>
    </row>
    <row r="97" spans="11:11">
      <c r="K97" s="1331"/>
    </row>
    <row r="98" spans="11:11">
      <c r="K98" s="1331"/>
    </row>
    <row r="99" spans="11:11">
      <c r="K99" s="1331"/>
    </row>
    <row r="100" spans="11:11">
      <c r="K100" s="1331"/>
    </row>
    <row r="101" spans="11:11">
      <c r="K101" s="1331"/>
    </row>
    <row r="102" spans="11:11">
      <c r="K102" s="1331"/>
    </row>
    <row r="103" spans="11:11">
      <c r="K103" s="1331"/>
    </row>
    <row r="104" spans="11:11">
      <c r="K104" s="1331"/>
    </row>
    <row r="105" spans="11:11">
      <c r="K105" s="1331"/>
    </row>
    <row r="106" spans="11:11">
      <c r="K106" s="1331"/>
    </row>
    <row r="107" spans="11:11">
      <c r="K107" s="1331"/>
    </row>
    <row r="108" spans="11:11">
      <c r="K108" s="1331"/>
    </row>
    <row r="109" spans="11:11">
      <c r="K109" s="1331"/>
    </row>
    <row r="110" spans="11:11">
      <c r="K110" s="1331"/>
    </row>
  </sheetData>
  <sheetProtection algorithmName="SHA-512" hashValue="mYm1DPyJwjR3ujoTUxbwF4lhts6IycK/hI+DNqopz/jsLwi9T4FoHCLPZmcfKxr4doGo87u6RNZAj44rOJtxVQ==" saltValue="8aOkJnuaVSJp+VhFcxozbQ==" spinCount="100000" sheet="1" formatCells="0" formatColumns="0" formatRows="0"/>
  <mergeCells count="8">
    <mergeCell ref="K6:K7"/>
    <mergeCell ref="M6:R6"/>
    <mergeCell ref="A2:I2"/>
    <mergeCell ref="A3:I3"/>
    <mergeCell ref="A4:I4"/>
    <mergeCell ref="A6:A7"/>
    <mergeCell ref="B6:B7"/>
    <mergeCell ref="D6:I6"/>
  </mergeCells>
  <conditionalFormatting sqref="C19:I19">
    <cfRule type="cellIs" dxfId="41" priority="2" operator="greaterThan">
      <formula>0.025</formula>
    </cfRule>
  </conditionalFormatting>
  <printOptions horizontalCentered="1"/>
  <pageMargins left="0" right="0.19685039370078741" top="0.82677165354330717" bottom="0.55118110236220474" header="0.31496062992125984" footer="0.31496062992125984"/>
  <pageSetup paperSize="9" orientation="landscape" r:id="rId1"/>
  <headerFooter alignWithMargins="0">
    <oddFooter>&amp;C&amp;A</oddFooter>
  </headerFooter>
  <ignoredErrors>
    <ignoredError sqref="F14:I14" unlockedFormula="1"/>
  </ignoredError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5">
    <tabColor theme="8" tint="0.79998168889431442"/>
    <pageSetUpPr fitToPage="1"/>
  </sheetPr>
  <dimension ref="A1:N51"/>
  <sheetViews>
    <sheetView showGridLines="0" zoomScaleNormal="100" zoomScaleSheetLayoutView="100" workbookViewId="0">
      <pane xSplit="1" ySplit="7" topLeftCell="B25" activePane="bottomRight" state="frozen"/>
      <selection pane="topRight" activeCell="B1" sqref="B1"/>
      <selection pane="bottomLeft" activeCell="A8" sqref="A8"/>
      <selection pane="bottomRight" activeCell="R1" sqref="R1"/>
    </sheetView>
  </sheetViews>
  <sheetFormatPr defaultColWidth="9.109375" defaultRowHeight="13.2"/>
  <cols>
    <col min="1" max="1" width="49.109375" style="22" customWidth="1"/>
    <col min="2" max="5" width="9.6640625" style="22" customWidth="1"/>
    <col min="6" max="7" width="9.109375" style="17"/>
    <col min="8" max="8" width="3.33203125" style="17" customWidth="1"/>
    <col min="9" max="16384" width="9.109375" style="17"/>
  </cols>
  <sheetData>
    <row r="1" spans="1:14" ht="16.8" thickBot="1">
      <c r="A1" s="4546" t="str">
        <f>+'1. Обща информация'!B40</f>
        <v>Фиксиран курс на лева към 1 евро</v>
      </c>
      <c r="B1" s="5406">
        <f>+'1. Обща информация'!$C$40</f>
        <v>1.95583</v>
      </c>
      <c r="C1" s="5407"/>
      <c r="G1" s="3182" t="s">
        <v>346</v>
      </c>
    </row>
    <row r="2" spans="1:14" ht="25.5" customHeight="1">
      <c r="A2" s="5067" t="s">
        <v>1487</v>
      </c>
      <c r="B2" s="5067"/>
      <c r="C2" s="5067"/>
      <c r="D2" s="5067"/>
      <c r="E2" s="5067"/>
      <c r="F2" s="5067"/>
      <c r="G2" s="5067"/>
    </row>
    <row r="3" spans="1:14" ht="20.25" customHeight="1">
      <c r="A3" s="5067" t="s">
        <v>1486</v>
      </c>
      <c r="B3" s="5067"/>
      <c r="C3" s="5067"/>
      <c r="D3" s="5067"/>
      <c r="E3" s="5067"/>
      <c r="F3" s="5067"/>
      <c r="G3" s="5067"/>
    </row>
    <row r="4" spans="1:14" ht="15.6">
      <c r="A4" s="5522" t="str">
        <f>'1. Обща информация'!A4:D4</f>
        <v>на "В И К" АД, гр. Ловеч</v>
      </c>
      <c r="B4" s="5522"/>
      <c r="C4" s="5522"/>
      <c r="D4" s="5522"/>
      <c r="E4" s="5522"/>
      <c r="F4" s="5522"/>
      <c r="G4" s="5522"/>
    </row>
    <row r="5" spans="1:14" ht="15.6">
      <c r="A5" s="5522" t="str">
        <f>'1. Обща информация'!A5:D5</f>
        <v>ЕИК по БУЛСТАТ: 110549443</v>
      </c>
      <c r="B5" s="5522"/>
      <c r="C5" s="5522"/>
      <c r="D5" s="5522"/>
      <c r="E5" s="5522"/>
      <c r="F5" s="5522"/>
      <c r="G5" s="5522"/>
    </row>
    <row r="6" spans="1:14" ht="13.8" thickBot="1">
      <c r="A6" s="3206"/>
      <c r="B6" s="3206"/>
      <c r="C6" s="3206"/>
      <c r="D6" s="3206"/>
      <c r="E6" s="3206"/>
      <c r="G6" s="3207" t="s">
        <v>190</v>
      </c>
      <c r="N6" s="660" t="s">
        <v>1889</v>
      </c>
    </row>
    <row r="7" spans="1:14" ht="13.8" thickBot="1">
      <c r="A7" s="3208" t="s">
        <v>488</v>
      </c>
      <c r="B7" s="257" t="str">
        <f>'Приложение '!$C12</f>
        <v>2024 г.</v>
      </c>
      <c r="C7" s="258" t="str">
        <f>'Приложение '!$C14</f>
        <v>2027 г.</v>
      </c>
      <c r="D7" s="259" t="str">
        <f>'Приложение '!$C15</f>
        <v>2028 г.</v>
      </c>
      <c r="E7" s="259" t="str">
        <f>'Приложение '!$C16</f>
        <v>2029 г.</v>
      </c>
      <c r="F7" s="259" t="str">
        <f>'Приложение '!$C17</f>
        <v>2030 г.</v>
      </c>
      <c r="G7" s="260" t="str">
        <f>'Приложение '!$C18</f>
        <v>2031 г.</v>
      </c>
      <c r="H7" s="4488"/>
      <c r="I7" s="4550" t="str">
        <f>'Приложение '!$C12</f>
        <v>2024 г.</v>
      </c>
      <c r="J7" s="4550" t="str">
        <f>'Приложение '!$C14</f>
        <v>2027 г.</v>
      </c>
      <c r="K7" s="4550" t="str">
        <f>'Приложение '!$C15</f>
        <v>2028 г.</v>
      </c>
      <c r="L7" s="4550" t="str">
        <f>'Приложение '!$C16</f>
        <v>2029 г.</v>
      </c>
      <c r="M7" s="4550" t="str">
        <f>'Приложение '!$C17</f>
        <v>2030 г.</v>
      </c>
      <c r="N7" s="4550" t="str">
        <f>'Приложение '!$C18</f>
        <v>2031 г.</v>
      </c>
    </row>
    <row r="8" spans="1:14" ht="13.8" thickBot="1">
      <c r="A8" s="3209" t="s">
        <v>489</v>
      </c>
      <c r="B8" s="3210">
        <f t="shared" ref="B8:G8" si="0">B9+B16</f>
        <v>18577.712489999998</v>
      </c>
      <c r="C8" s="3211">
        <f t="shared" si="0"/>
        <v>23043.773135523767</v>
      </c>
      <c r="D8" s="3212">
        <f t="shared" si="0"/>
        <v>24380.954242923497</v>
      </c>
      <c r="E8" s="3212">
        <f t="shared" si="0"/>
        <v>26190.115648644285</v>
      </c>
      <c r="F8" s="3212">
        <f t="shared" si="0"/>
        <v>28290.904796248564</v>
      </c>
      <c r="G8" s="3213">
        <f t="shared" si="0"/>
        <v>30515.711510139809</v>
      </c>
      <c r="H8" s="4488"/>
      <c r="I8" s="4493">
        <f>IFERROR(B8/$B$1,0)</f>
        <v>9498.6335673345839</v>
      </c>
      <c r="J8" s="4493">
        <f t="shared" ref="J8:N8" si="1">IFERROR(C8/$B$1,0)</f>
        <v>11782.09411632083</v>
      </c>
      <c r="K8" s="4493">
        <f t="shared" si="1"/>
        <v>12465.78396022328</v>
      </c>
      <c r="L8" s="4493">
        <f t="shared" si="1"/>
        <v>13390.793498741858</v>
      </c>
      <c r="M8" s="4493">
        <f t="shared" si="1"/>
        <v>14464.909934017049</v>
      </c>
      <c r="N8" s="4493">
        <f t="shared" si="1"/>
        <v>15602.43554406048</v>
      </c>
    </row>
    <row r="9" spans="1:14" ht="13.8" thickBot="1">
      <c r="A9" s="3214" t="s">
        <v>490</v>
      </c>
      <c r="B9" s="3215">
        <f t="shared" ref="B9:G9" si="2">SUM(B10:B15)</f>
        <v>18577.712489999998</v>
      </c>
      <c r="C9" s="3216">
        <f t="shared" si="2"/>
        <v>23043.773135523767</v>
      </c>
      <c r="D9" s="3217">
        <f t="shared" si="2"/>
        <v>24380.954242923497</v>
      </c>
      <c r="E9" s="3217">
        <f t="shared" si="2"/>
        <v>26190.115648644285</v>
      </c>
      <c r="F9" s="3217">
        <f t="shared" si="2"/>
        <v>28290.904796248564</v>
      </c>
      <c r="G9" s="3218">
        <f t="shared" si="2"/>
        <v>30515.711510139809</v>
      </c>
      <c r="H9" s="4488"/>
      <c r="I9" s="4493">
        <f t="shared" ref="I9:I43" si="3">IFERROR(B9/$B$1,0)</f>
        <v>9498.6335673345839</v>
      </c>
      <c r="J9" s="4493">
        <f t="shared" ref="J9:J43" si="4">IFERROR(C9/$B$1,0)</f>
        <v>11782.09411632083</v>
      </c>
      <c r="K9" s="4493">
        <f t="shared" ref="K9:K43" si="5">IFERROR(D9/$B$1,0)</f>
        <v>12465.78396022328</v>
      </c>
      <c r="L9" s="4493">
        <f t="shared" ref="L9:L43" si="6">IFERROR(E9/$B$1,0)</f>
        <v>13390.793498741858</v>
      </c>
      <c r="M9" s="4493">
        <f t="shared" ref="M9:M43" si="7">IFERROR(F9/$B$1,0)</f>
        <v>14464.909934017049</v>
      </c>
      <c r="N9" s="4493">
        <f t="shared" ref="N9:N43" si="8">IFERROR(G9/$B$1,0)</f>
        <v>15602.43554406048</v>
      </c>
    </row>
    <row r="10" spans="1:14" ht="13.8" thickBot="1">
      <c r="A10" s="3219" t="s">
        <v>1022</v>
      </c>
      <c r="B10" s="411">
        <v>15607.385651649</v>
      </c>
      <c r="C10" s="3220">
        <f>+'16. Необходими приходи'!D11+'16. Необходими приходи'!D17+'16. Необходими приходи'!D25+'16. Необходими приходи'!D36+'16. Необходими приходи'!D42</f>
        <v>20571.295555523768</v>
      </c>
      <c r="D10" s="3221">
        <f>+'16. Необходими приходи'!E11+'16. Необходими приходи'!E17+'16. Необходими приходи'!E25+'16. Необходими приходи'!E36+'16. Необходими приходи'!E42</f>
        <v>22053.476662923498</v>
      </c>
      <c r="E10" s="3221">
        <f>+'16. Необходими приходи'!F11+'16. Необходими приходи'!F17+'16. Необходими приходи'!F25+'16. Необходими приходи'!F36+'16. Необходими приходи'!F42</f>
        <v>23831.638068644286</v>
      </c>
      <c r="F10" s="3221">
        <f>+'16. Необходими приходи'!G11+'16. Необходими приходи'!G17+'16. Необходими приходи'!G25+'16. Необходими приходи'!G36+'16. Необходими приходи'!G42</f>
        <v>25891.427216248565</v>
      </c>
      <c r="G10" s="3222">
        <f>+'16. Необходими приходи'!H11+'16. Необходими приходи'!H17+'16. Необходими приходи'!H25+'16. Необходими приходи'!H36+'16. Необходими приходи'!H42</f>
        <v>28123.23393013981</v>
      </c>
      <c r="H10" s="4488"/>
      <c r="I10" s="4493">
        <f t="shared" si="3"/>
        <v>7979.9295703864855</v>
      </c>
      <c r="J10" s="4493">
        <f t="shared" si="4"/>
        <v>10517.936403227155</v>
      </c>
      <c r="K10" s="4493">
        <f t="shared" si="5"/>
        <v>11275.763569903058</v>
      </c>
      <c r="L10" s="4493">
        <f t="shared" si="6"/>
        <v>12184.923060104553</v>
      </c>
      <c r="M10" s="4493">
        <f t="shared" si="7"/>
        <v>13238.0765282507</v>
      </c>
      <c r="N10" s="4493">
        <f t="shared" si="8"/>
        <v>14379.181181462505</v>
      </c>
    </row>
    <row r="11" spans="1:14" ht="13.8" thickBot="1">
      <c r="A11" s="3219" t="s">
        <v>1023</v>
      </c>
      <c r="B11" s="411">
        <v>151.47757999999999</v>
      </c>
      <c r="C11" s="269">
        <v>156.47757999999999</v>
      </c>
      <c r="D11" s="413">
        <v>161.47757999999999</v>
      </c>
      <c r="E11" s="413">
        <v>166.47757999999999</v>
      </c>
      <c r="F11" s="413">
        <v>171.47757999999999</v>
      </c>
      <c r="G11" s="270">
        <v>176.47757999999999</v>
      </c>
      <c r="H11" s="4488"/>
      <c r="I11" s="4493">
        <f t="shared" si="3"/>
        <v>77.449256837250672</v>
      </c>
      <c r="J11" s="4493">
        <f t="shared" si="4"/>
        <v>80.005716243231774</v>
      </c>
      <c r="K11" s="4493">
        <f t="shared" si="5"/>
        <v>82.562175649212861</v>
      </c>
      <c r="L11" s="4493">
        <f t="shared" si="6"/>
        <v>85.118635055193948</v>
      </c>
      <c r="M11" s="4493">
        <f t="shared" si="7"/>
        <v>87.67509446117505</v>
      </c>
      <c r="N11" s="4493">
        <f t="shared" si="8"/>
        <v>90.231553867156137</v>
      </c>
    </row>
    <row r="12" spans="1:14" ht="13.8" thickBot="1">
      <c r="A12" s="3223" t="s">
        <v>491</v>
      </c>
      <c r="B12" s="411">
        <v>437.46800000000002</v>
      </c>
      <c r="C12" s="269">
        <v>450</v>
      </c>
      <c r="D12" s="413">
        <v>450</v>
      </c>
      <c r="E12" s="413">
        <v>450</v>
      </c>
      <c r="F12" s="413">
        <v>450</v>
      </c>
      <c r="G12" s="270">
        <v>450</v>
      </c>
      <c r="H12" s="4488"/>
      <c r="I12" s="4493">
        <f t="shared" si="3"/>
        <v>223.67383668314733</v>
      </c>
      <c r="J12" s="4493">
        <f t="shared" si="4"/>
        <v>230.08134653829833</v>
      </c>
      <c r="K12" s="4493">
        <f t="shared" si="5"/>
        <v>230.08134653829833</v>
      </c>
      <c r="L12" s="4493">
        <f t="shared" si="6"/>
        <v>230.08134653829833</v>
      </c>
      <c r="M12" s="4493">
        <f t="shared" si="7"/>
        <v>230.08134653829833</v>
      </c>
      <c r="N12" s="4493">
        <f t="shared" si="8"/>
        <v>230.08134653829833</v>
      </c>
    </row>
    <row r="13" spans="1:14" ht="13.8" thickBot="1">
      <c r="A13" s="3224" t="s">
        <v>492</v>
      </c>
      <c r="B13" s="411">
        <v>1008.47425</v>
      </c>
      <c r="C13" s="3225">
        <f>'9.Инвестиционна програма'!I126</f>
        <v>1066</v>
      </c>
      <c r="D13" s="3226">
        <f>'9.Инвестиционна програма'!J126</f>
        <v>916</v>
      </c>
      <c r="E13" s="3226">
        <f>'9.Инвестиционна програма'!K126</f>
        <v>942</v>
      </c>
      <c r="F13" s="3226">
        <f>'9.Инвестиционна програма'!L126</f>
        <v>978</v>
      </c>
      <c r="G13" s="3227">
        <f>'9.Инвестиционна програма'!M126</f>
        <v>966</v>
      </c>
      <c r="H13" s="4488"/>
      <c r="I13" s="4493">
        <f t="shared" si="3"/>
        <v>515.6246964204455</v>
      </c>
      <c r="J13" s="4493">
        <f t="shared" si="4"/>
        <v>545.03714535516895</v>
      </c>
      <c r="K13" s="4493">
        <f t="shared" si="5"/>
        <v>468.34336317573616</v>
      </c>
      <c r="L13" s="4493">
        <f t="shared" si="6"/>
        <v>481.63695208683782</v>
      </c>
      <c r="M13" s="4493">
        <f t="shared" si="7"/>
        <v>500.04345980990166</v>
      </c>
      <c r="N13" s="4493">
        <f t="shared" si="8"/>
        <v>493.90795723554709</v>
      </c>
    </row>
    <row r="14" spans="1:14" ht="13.8" thickBot="1">
      <c r="A14" s="3228" t="s">
        <v>493</v>
      </c>
      <c r="B14" s="411">
        <v>386.45352000000003</v>
      </c>
      <c r="C14" s="269">
        <v>0</v>
      </c>
      <c r="D14" s="413">
        <v>0</v>
      </c>
      <c r="E14" s="413">
        <v>0</v>
      </c>
      <c r="F14" s="413">
        <v>0</v>
      </c>
      <c r="G14" s="270">
        <v>0</v>
      </c>
      <c r="H14" s="4488"/>
      <c r="I14" s="4493">
        <f t="shared" si="3"/>
        <v>197.59054723570046</v>
      </c>
      <c r="J14" s="4493">
        <f t="shared" si="4"/>
        <v>0</v>
      </c>
      <c r="K14" s="4493">
        <f t="shared" si="5"/>
        <v>0</v>
      </c>
      <c r="L14" s="4493">
        <f t="shared" si="6"/>
        <v>0</v>
      </c>
      <c r="M14" s="4493">
        <f t="shared" si="7"/>
        <v>0</v>
      </c>
      <c r="N14" s="4493">
        <f t="shared" si="8"/>
        <v>0</v>
      </c>
    </row>
    <row r="15" spans="1:14" ht="13.8" thickBot="1">
      <c r="A15" s="3228" t="s">
        <v>1019</v>
      </c>
      <c r="B15" s="411">
        <v>986.45348835099867</v>
      </c>
      <c r="C15" s="269">
        <v>800</v>
      </c>
      <c r="D15" s="413">
        <v>800</v>
      </c>
      <c r="E15" s="413">
        <v>800</v>
      </c>
      <c r="F15" s="413">
        <v>800</v>
      </c>
      <c r="G15" s="270">
        <v>800</v>
      </c>
      <c r="H15" s="4488"/>
      <c r="I15" s="4493">
        <f t="shared" si="3"/>
        <v>504.36565977155414</v>
      </c>
      <c r="J15" s="4493">
        <f t="shared" si="4"/>
        <v>409.03350495697481</v>
      </c>
      <c r="K15" s="4493">
        <f t="shared" si="5"/>
        <v>409.03350495697481</v>
      </c>
      <c r="L15" s="4493">
        <f t="shared" si="6"/>
        <v>409.03350495697481</v>
      </c>
      <c r="M15" s="4493">
        <f t="shared" si="7"/>
        <v>409.03350495697481</v>
      </c>
      <c r="N15" s="4493">
        <f t="shared" si="8"/>
        <v>409.03350495697481</v>
      </c>
    </row>
    <row r="16" spans="1:14" ht="13.8" thickBot="1">
      <c r="A16" s="3229" t="s">
        <v>494</v>
      </c>
      <c r="B16" s="3215">
        <f>SUM(B17:B20)</f>
        <v>0</v>
      </c>
      <c r="C16" s="3216">
        <f t="shared" ref="C16:G16" si="9">SUM(C17:C20)</f>
        <v>0</v>
      </c>
      <c r="D16" s="3217">
        <f t="shared" si="9"/>
        <v>0</v>
      </c>
      <c r="E16" s="3217">
        <f t="shared" si="9"/>
        <v>0</v>
      </c>
      <c r="F16" s="3217">
        <f t="shared" si="9"/>
        <v>0</v>
      </c>
      <c r="G16" s="3218">
        <f t="shared" si="9"/>
        <v>0</v>
      </c>
      <c r="H16" s="4488"/>
      <c r="I16" s="4493">
        <f t="shared" si="3"/>
        <v>0</v>
      </c>
      <c r="J16" s="4493">
        <f t="shared" si="4"/>
        <v>0</v>
      </c>
      <c r="K16" s="4493">
        <f t="shared" si="5"/>
        <v>0</v>
      </c>
      <c r="L16" s="4493">
        <f t="shared" si="6"/>
        <v>0</v>
      </c>
      <c r="M16" s="4493">
        <f t="shared" si="7"/>
        <v>0</v>
      </c>
      <c r="N16" s="4493">
        <f t="shared" si="8"/>
        <v>0</v>
      </c>
    </row>
    <row r="17" spans="1:14" ht="13.8" thickBot="1">
      <c r="A17" s="3223" t="s">
        <v>495</v>
      </c>
      <c r="B17" s="411"/>
      <c r="C17" s="269"/>
      <c r="D17" s="413"/>
      <c r="E17" s="413"/>
      <c r="F17" s="413"/>
      <c r="G17" s="270"/>
      <c r="H17" s="4488"/>
      <c r="I17" s="4493">
        <f t="shared" si="3"/>
        <v>0</v>
      </c>
      <c r="J17" s="4493">
        <f t="shared" si="4"/>
        <v>0</v>
      </c>
      <c r="K17" s="4493">
        <f t="shared" si="5"/>
        <v>0</v>
      </c>
      <c r="L17" s="4493">
        <f t="shared" si="6"/>
        <v>0</v>
      </c>
      <c r="M17" s="4493">
        <f t="shared" si="7"/>
        <v>0</v>
      </c>
      <c r="N17" s="4493">
        <f t="shared" si="8"/>
        <v>0</v>
      </c>
    </row>
    <row r="18" spans="1:14" ht="13.8" thickBot="1">
      <c r="A18" s="3228" t="s">
        <v>496</v>
      </c>
      <c r="B18" s="411"/>
      <c r="C18" s="269"/>
      <c r="D18" s="413"/>
      <c r="E18" s="413"/>
      <c r="F18" s="413"/>
      <c r="G18" s="270"/>
      <c r="H18" s="4488"/>
      <c r="I18" s="4493">
        <f t="shared" si="3"/>
        <v>0</v>
      </c>
      <c r="J18" s="4493">
        <f t="shared" si="4"/>
        <v>0</v>
      </c>
      <c r="K18" s="4493">
        <f t="shared" si="5"/>
        <v>0</v>
      </c>
      <c r="L18" s="4493">
        <f t="shared" si="6"/>
        <v>0</v>
      </c>
      <c r="M18" s="4493">
        <f t="shared" si="7"/>
        <v>0</v>
      </c>
      <c r="N18" s="4493">
        <f t="shared" si="8"/>
        <v>0</v>
      </c>
    </row>
    <row r="19" spans="1:14" ht="13.8" thickBot="1">
      <c r="A19" s="3228" t="s">
        <v>497</v>
      </c>
      <c r="B19" s="411"/>
      <c r="C19" s="269"/>
      <c r="D19" s="413"/>
      <c r="E19" s="413"/>
      <c r="F19" s="413"/>
      <c r="G19" s="270"/>
      <c r="H19" s="4488"/>
      <c r="I19" s="4493">
        <f t="shared" si="3"/>
        <v>0</v>
      </c>
      <c r="J19" s="4493">
        <f t="shared" si="4"/>
        <v>0</v>
      </c>
      <c r="K19" s="4493">
        <f t="shared" si="5"/>
        <v>0</v>
      </c>
      <c r="L19" s="4493">
        <f t="shared" si="6"/>
        <v>0</v>
      </c>
      <c r="M19" s="4493">
        <f t="shared" si="7"/>
        <v>0</v>
      </c>
      <c r="N19" s="4493">
        <f t="shared" si="8"/>
        <v>0</v>
      </c>
    </row>
    <row r="20" spans="1:14" ht="13.8" thickBot="1">
      <c r="A20" s="3223" t="s">
        <v>498</v>
      </c>
      <c r="B20" s="411"/>
      <c r="C20" s="269"/>
      <c r="D20" s="413"/>
      <c r="E20" s="413"/>
      <c r="F20" s="413"/>
      <c r="G20" s="270"/>
      <c r="H20" s="4488"/>
      <c r="I20" s="4493">
        <f t="shared" si="3"/>
        <v>0</v>
      </c>
      <c r="J20" s="4493">
        <f t="shared" si="4"/>
        <v>0</v>
      </c>
      <c r="K20" s="4493">
        <f t="shared" si="5"/>
        <v>0</v>
      </c>
      <c r="L20" s="4493">
        <f t="shared" si="6"/>
        <v>0</v>
      </c>
      <c r="M20" s="4493">
        <f t="shared" si="7"/>
        <v>0</v>
      </c>
      <c r="N20" s="4493">
        <f t="shared" si="8"/>
        <v>0</v>
      </c>
    </row>
    <row r="21" spans="1:14" ht="13.8" thickBot="1">
      <c r="A21" s="3230" t="s">
        <v>499</v>
      </c>
      <c r="B21" s="3231">
        <f t="shared" ref="B21:G21" si="10">B22+B34</f>
        <v>17850.52167657996</v>
      </c>
      <c r="C21" s="3232">
        <f t="shared" si="10"/>
        <v>22703.428726680311</v>
      </c>
      <c r="D21" s="3233">
        <f t="shared" si="10"/>
        <v>23990.577034169655</v>
      </c>
      <c r="E21" s="3233">
        <f t="shared" si="10"/>
        <v>25744.234633287153</v>
      </c>
      <c r="F21" s="3233">
        <f t="shared" si="10"/>
        <v>27786.118916212621</v>
      </c>
      <c r="G21" s="3234">
        <f t="shared" si="10"/>
        <v>29954.669730539095</v>
      </c>
      <c r="H21" s="4488"/>
      <c r="I21" s="4493">
        <f t="shared" si="3"/>
        <v>9126.8268083524435</v>
      </c>
      <c r="J21" s="4493">
        <f t="shared" si="4"/>
        <v>11608.078783268644</v>
      </c>
      <c r="K21" s="4493">
        <f t="shared" si="5"/>
        <v>12266.1872627834</v>
      </c>
      <c r="L21" s="4493">
        <f t="shared" si="6"/>
        <v>13162.818155610228</v>
      </c>
      <c r="M21" s="4493">
        <f t="shared" si="7"/>
        <v>14206.817011812183</v>
      </c>
      <c r="N21" s="4493">
        <f t="shared" si="8"/>
        <v>15315.579437138758</v>
      </c>
    </row>
    <row r="22" spans="1:14" ht="13.8" thickBot="1">
      <c r="A22" s="3214" t="s">
        <v>500</v>
      </c>
      <c r="B22" s="3215">
        <f t="shared" ref="B22:G22" si="11">SUM(B23:B33)</f>
        <v>17828.818521606798</v>
      </c>
      <c r="C22" s="3216">
        <f t="shared" si="11"/>
        <v>22693.173390549691</v>
      </c>
      <c r="D22" s="3217">
        <f t="shared" si="11"/>
        <v>23986.045559179558</v>
      </c>
      <c r="E22" s="3217">
        <f t="shared" si="11"/>
        <v>25743.996110766126</v>
      </c>
      <c r="F22" s="3217">
        <f t="shared" si="11"/>
        <v>27786.118916212621</v>
      </c>
      <c r="G22" s="3218">
        <f t="shared" si="11"/>
        <v>29954.669730539095</v>
      </c>
      <c r="H22" s="4488"/>
      <c r="I22" s="4493">
        <f t="shared" si="3"/>
        <v>9115.7301614183234</v>
      </c>
      <c r="J22" s="4493">
        <f t="shared" si="4"/>
        <v>11602.835313166119</v>
      </c>
      <c r="K22" s="4493">
        <f t="shared" si="5"/>
        <v>12263.870356411118</v>
      </c>
      <c r="L22" s="4493">
        <f t="shared" si="6"/>
        <v>13162.696200981745</v>
      </c>
      <c r="M22" s="4493">
        <f t="shared" si="7"/>
        <v>14206.817011812183</v>
      </c>
      <c r="N22" s="4493">
        <f t="shared" si="8"/>
        <v>15315.579437138758</v>
      </c>
    </row>
    <row r="23" spans="1:14" ht="13.8" thickBot="1">
      <c r="A23" s="3223" t="s">
        <v>501</v>
      </c>
      <c r="B23" s="3235">
        <f>'12. Разходи'!C11+'12. Разходи'!K11+'12. Разходи'!S11+'12. Разходи'!AA11+'12. Разходи'!AI11</f>
        <v>3421.7032156622008</v>
      </c>
      <c r="C23" s="3220">
        <f>'12. Разходи'!D11+'12. Разходи'!L11+'12. Разходи'!T11+'12. Разходи'!AB11+'12. Разходи'!AJ11</f>
        <v>4117.6217177812341</v>
      </c>
      <c r="D23" s="3221">
        <f>'12. Разходи'!E11+'12. Разходи'!M11+'12. Разходи'!U11+'12. Разходи'!AC11+'12. Разходи'!AK11</f>
        <v>4069.6496259655569</v>
      </c>
      <c r="E23" s="3221">
        <f>'12. Разходи'!F11+'12. Разходи'!N11+'12. Разходи'!V11+'12. Разходи'!AD11+'12. Разходи'!AL11</f>
        <v>4018.7513154180269</v>
      </c>
      <c r="F23" s="3221">
        <f>'12. Разходи'!G11+'12. Разходи'!O11+'12. Разходи'!W11+'12. Разходи'!AE11+'12. Разходи'!AM11</f>
        <v>3949.5578077659106</v>
      </c>
      <c r="G23" s="3222">
        <f>'12. Разходи'!H11+'12. Разходи'!P11+'12. Разходи'!X11+'12. Разходи'!AF11+'12. Разходи'!AN11</f>
        <v>3854.7011779155341</v>
      </c>
      <c r="H23" s="4488"/>
      <c r="I23" s="4493">
        <f t="shared" si="3"/>
        <v>1749.4890740310768</v>
      </c>
      <c r="J23" s="4493">
        <f t="shared" si="4"/>
        <v>2105.3065541387718</v>
      </c>
      <c r="K23" s="4493">
        <f t="shared" si="5"/>
        <v>2080.7788130694166</v>
      </c>
      <c r="L23" s="4493">
        <f t="shared" si="6"/>
        <v>2054.7549201198608</v>
      </c>
      <c r="M23" s="4493">
        <f t="shared" si="7"/>
        <v>2019.3768414258452</v>
      </c>
      <c r="N23" s="4493">
        <f t="shared" si="8"/>
        <v>1970.8774167057127</v>
      </c>
    </row>
    <row r="24" spans="1:14" ht="13.8" thickBot="1">
      <c r="A24" s="3223" t="s">
        <v>502</v>
      </c>
      <c r="B24" s="3235">
        <f>'12. Разходи'!C29+'12. Разходи'!K29+'12. Разходи'!S29+'12. Разходи'!AA29+'12. Разходи'!AI29</f>
        <v>1146.4083461228829</v>
      </c>
      <c r="C24" s="3220">
        <f>'12. Разходи'!D29+'12. Разходи'!L29+'12. Разходи'!T29+'12. Разходи'!AB29+'12. Разходи'!AJ29</f>
        <v>1290.5629670248661</v>
      </c>
      <c r="D24" s="3221">
        <f>'12. Разходи'!E29+'12. Разходи'!M29+'12. Разходи'!U29+'12. Разходи'!AC29+'12. Разходи'!AK29</f>
        <v>1293.3627871310571</v>
      </c>
      <c r="E24" s="3221">
        <f>'12. Разходи'!F29+'12. Разходи'!N29+'12. Разходи'!V29+'12. Разходи'!AD29+'12. Разходи'!AL29</f>
        <v>1287.8096371541146</v>
      </c>
      <c r="F24" s="3221">
        <f>'12. Разходи'!G29+'12. Разходи'!O29+'12. Разходи'!W29+'12. Разходи'!AE29+'12. Разходи'!AM29</f>
        <v>1294.269736851292</v>
      </c>
      <c r="G24" s="3222">
        <f>'12. Разходи'!H29+'12. Разходи'!P29+'12. Разходи'!X29+'12. Разходи'!AF29+'12. Разходи'!AN29</f>
        <v>1289.1407304796089</v>
      </c>
      <c r="H24" s="4488"/>
      <c r="I24" s="4493">
        <f t="shared" si="3"/>
        <v>586.14927990821434</v>
      </c>
      <c r="J24" s="4493">
        <f t="shared" si="4"/>
        <v>659.85436721231713</v>
      </c>
      <c r="K24" s="4493">
        <f t="shared" si="5"/>
        <v>661.2858925014225</v>
      </c>
      <c r="L24" s="4493">
        <f t="shared" si="6"/>
        <v>658.44661200314681</v>
      </c>
      <c r="M24" s="4493">
        <f t="shared" si="7"/>
        <v>661.74960853003176</v>
      </c>
      <c r="N24" s="4493">
        <f t="shared" si="8"/>
        <v>659.12718921358658</v>
      </c>
    </row>
    <row r="25" spans="1:14" ht="13.8" thickBot="1">
      <c r="A25" s="3223" t="s">
        <v>448</v>
      </c>
      <c r="B25" s="3235">
        <f>'12. Разходи'!C59+'12. Разходи'!K59+'12. Разходи'!S59+'12. Разходи'!AA59+'12. Разходи'!AI59</f>
        <v>6276.8459204440032</v>
      </c>
      <c r="C25" s="3220">
        <f>'12. Разходи'!D59+'12. Разходи'!L59+'12. Разходи'!T59+'12. Разходи'!AB59+'12. Разходи'!AJ59</f>
        <v>9363.3918098351041</v>
      </c>
      <c r="D25" s="3221">
        <f>'12. Разходи'!E59+'12. Разходи'!M59+'12. Разходи'!U59+'12. Разходи'!AC59+'12. Разходи'!AK59</f>
        <v>10606.058050268859</v>
      </c>
      <c r="E25" s="3221">
        <f>'12. Разходи'!F59+'12. Разходи'!N59+'12. Разходи'!V59+'12. Разходи'!AD59+'12. Разходи'!AL59</f>
        <v>12058.735049094534</v>
      </c>
      <c r="F25" s="3221">
        <f>'12. Разходи'!G59+'12. Разходи'!O59+'12. Разходи'!W59+'12. Разходи'!AE59+'12. Разходи'!AM59</f>
        <v>13719.990618084381</v>
      </c>
      <c r="G25" s="3222">
        <f>'12. Разходи'!H59+'12. Разходи'!P59+'12. Разходи'!X59+'12. Разходи'!AF59+'12. Разходи'!AN59</f>
        <v>15614.926858554705</v>
      </c>
      <c r="H25" s="4488"/>
      <c r="I25" s="4493">
        <f t="shared" si="3"/>
        <v>3209.3003586426239</v>
      </c>
      <c r="J25" s="4493">
        <f t="shared" si="4"/>
        <v>4787.4262128278551</v>
      </c>
      <c r="K25" s="4493">
        <f t="shared" si="5"/>
        <v>5422.7913725982626</v>
      </c>
      <c r="L25" s="4493">
        <f t="shared" si="6"/>
        <v>6165.5333280983186</v>
      </c>
      <c r="M25" s="4493">
        <f t="shared" si="7"/>
        <v>7014.9198131148314</v>
      </c>
      <c r="N25" s="4493">
        <f t="shared" si="8"/>
        <v>7983.7853282517935</v>
      </c>
    </row>
    <row r="26" spans="1:14" ht="13.8" thickBot="1">
      <c r="A26" s="3223" t="s">
        <v>503</v>
      </c>
      <c r="B26" s="3235">
        <f>'12. Разходи'!C63+'12. Разходи'!K63+'12. Разходи'!S63+'12. Разходи'!AA63+'12. Разходи'!AI63</f>
        <v>1657.8527224573436</v>
      </c>
      <c r="C26" s="3220">
        <f>'12. Разходи'!D63+'12. Разходи'!L63+'12. Разходи'!T63+'12. Разходи'!AB63+'12. Разходи'!AJ63</f>
        <v>2562.3353221269631</v>
      </c>
      <c r="D26" s="3221">
        <f>'12. Разходи'!E63+'12. Разходи'!M63+'12. Разходи'!U63+'12. Разходи'!AC63+'12. Разходи'!AK63</f>
        <v>2950.1833868549147</v>
      </c>
      <c r="E26" s="3221">
        <f>'12. Разходи'!F63+'12. Разходи'!N63+'12. Разходи'!V63+'12. Разходи'!AD63+'12. Разходи'!AL63</f>
        <v>3335.1636527675928</v>
      </c>
      <c r="F26" s="3221">
        <f>'12. Разходи'!G63+'12. Разходи'!O63+'12. Разходи'!W63+'12. Разходи'!AE63+'12. Разходи'!AM63</f>
        <v>3725.1882114592436</v>
      </c>
      <c r="G26" s="3222">
        <f>'12. Разходи'!H63+'12. Разходи'!P63+'12. Разходи'!X63+'12. Разходи'!AF63+'12. Разходи'!AN63</f>
        <v>4116.1997365060515</v>
      </c>
      <c r="H26" s="4488"/>
      <c r="I26" s="4493">
        <f t="shared" si="3"/>
        <v>847.64663721148747</v>
      </c>
      <c r="J26" s="4493">
        <f t="shared" si="4"/>
        <v>1310.1012471058134</v>
      </c>
      <c r="K26" s="4493">
        <f t="shared" si="5"/>
        <v>1508.4048137388806</v>
      </c>
      <c r="L26" s="4493">
        <f t="shared" si="6"/>
        <v>1705.2420981207943</v>
      </c>
      <c r="M26" s="4493">
        <f t="shared" si="7"/>
        <v>1904.6584884469733</v>
      </c>
      <c r="N26" s="4493">
        <f t="shared" si="8"/>
        <v>2104.5795066575579</v>
      </c>
    </row>
    <row r="27" spans="1:14" ht="13.8" thickBot="1">
      <c r="A27" s="3223" t="s">
        <v>504</v>
      </c>
      <c r="B27" s="3235">
        <f>'12. Разходи'!C55+'12. Разходи'!K55+'12. Разходи'!S55+'12. Разходи'!AA55+'12. Разходи'!AI55</f>
        <v>1118.8810027941838</v>
      </c>
      <c r="C27" s="3220">
        <f>'12. Разходи'!D55+'12. Разходи'!L55+'12. Разходи'!T55+'12. Разходи'!AB55+'12. Разходи'!AJ55</f>
        <v>1389.4438090365791</v>
      </c>
      <c r="D27" s="3221">
        <f>'12. Разходи'!E55+'12. Разходи'!M55+'12. Разходи'!U55+'12. Разходи'!AC55+'12. Разходи'!AK55</f>
        <v>1244.6638090365791</v>
      </c>
      <c r="E27" s="3221">
        <f>'12. Разходи'!F55+'12. Разходи'!N55+'12. Разходи'!V55+'12. Разходи'!AD55+'12. Разходи'!AL55</f>
        <v>1193.2084374018514</v>
      </c>
      <c r="F27" s="3221">
        <f>'12. Разходи'!G55+'12. Разходи'!O55+'12. Разходи'!W55+'12. Разходи'!AE55+'12. Разходи'!AM55</f>
        <v>1209.0361306511709</v>
      </c>
      <c r="G27" s="3222">
        <f>'12. Разходи'!H55+'12. Разходи'!P55+'12. Разходи'!X55+'12. Разходи'!AF55+'12. Разходи'!AN55</f>
        <v>1202.956130651171</v>
      </c>
      <c r="H27" s="4488"/>
      <c r="I27" s="4493">
        <f t="shared" si="3"/>
        <v>572.07477275334963</v>
      </c>
      <c r="J27" s="4493">
        <f t="shared" si="4"/>
        <v>710.4113389387519</v>
      </c>
      <c r="K27" s="4493">
        <f t="shared" si="5"/>
        <v>636.38650037916341</v>
      </c>
      <c r="L27" s="4493">
        <f t="shared" si="6"/>
        <v>610.07778661839291</v>
      </c>
      <c r="M27" s="4493">
        <f t="shared" si="7"/>
        <v>618.17035767483412</v>
      </c>
      <c r="N27" s="4493">
        <f t="shared" si="8"/>
        <v>615.06170303716124</v>
      </c>
    </row>
    <row r="28" spans="1:14" ht="13.8" thickBot="1">
      <c r="A28" s="3223" t="s">
        <v>505</v>
      </c>
      <c r="B28" s="411">
        <v>63.74483</v>
      </c>
      <c r="C28" s="269">
        <v>60</v>
      </c>
      <c r="D28" s="413">
        <v>60</v>
      </c>
      <c r="E28" s="413">
        <v>60</v>
      </c>
      <c r="F28" s="413">
        <v>60</v>
      </c>
      <c r="G28" s="270">
        <v>60</v>
      </c>
      <c r="H28" s="4488"/>
      <c r="I28" s="4493">
        <f t="shared" si="3"/>
        <v>32.592214047233142</v>
      </c>
      <c r="J28" s="4493">
        <f t="shared" si="4"/>
        <v>30.677512871773111</v>
      </c>
      <c r="K28" s="4493">
        <f t="shared" si="5"/>
        <v>30.677512871773111</v>
      </c>
      <c r="L28" s="4493">
        <f t="shared" si="6"/>
        <v>30.677512871773111</v>
      </c>
      <c r="M28" s="4493">
        <f t="shared" si="7"/>
        <v>30.677512871773111</v>
      </c>
      <c r="N28" s="4493">
        <f t="shared" si="8"/>
        <v>30.677512871773111</v>
      </c>
    </row>
    <row r="29" spans="1:14" ht="13.8" thickBot="1">
      <c r="A29" s="3224" t="s">
        <v>506</v>
      </c>
      <c r="B29" s="411">
        <v>1008.47425</v>
      </c>
      <c r="C29" s="3225">
        <f>'9.Инвестиционна програма'!I126</f>
        <v>1066</v>
      </c>
      <c r="D29" s="3226">
        <f>'9.Инвестиционна програма'!J126</f>
        <v>916</v>
      </c>
      <c r="E29" s="3226">
        <f>'9.Инвестиционна програма'!K126</f>
        <v>942</v>
      </c>
      <c r="F29" s="3226">
        <f>'9.Инвестиционна програма'!L126</f>
        <v>978</v>
      </c>
      <c r="G29" s="3227">
        <f>'9.Инвестиционна програма'!M126</f>
        <v>966</v>
      </c>
      <c r="H29" s="4488"/>
      <c r="I29" s="4493">
        <f t="shared" si="3"/>
        <v>515.6246964204455</v>
      </c>
      <c r="J29" s="4493">
        <f t="shared" si="4"/>
        <v>545.03714535516895</v>
      </c>
      <c r="K29" s="4493">
        <f t="shared" si="5"/>
        <v>468.34336317573616</v>
      </c>
      <c r="L29" s="4493">
        <f t="shared" si="6"/>
        <v>481.63695208683782</v>
      </c>
      <c r="M29" s="4493">
        <f t="shared" si="7"/>
        <v>500.04345980990166</v>
      </c>
      <c r="N29" s="4493">
        <f t="shared" si="8"/>
        <v>493.90795723554709</v>
      </c>
    </row>
    <row r="30" spans="1:14" ht="13.8" thickBot="1">
      <c r="A30" s="3223" t="s">
        <v>450</v>
      </c>
      <c r="B30" s="3235">
        <f>'12. Разходи'!C70+'12. Разходи'!K70+'12. Разходи'!S70+'12. Разходи'!AA70+'12. Разходи'!AI70</f>
        <v>638.9067586306287</v>
      </c>
      <c r="C30" s="3220">
        <f>'12. Разходи'!D70+'12. Разходи'!L70+'12. Разходи'!T70+'12. Разходи'!AB70+'12. Разходи'!AJ70</f>
        <v>678.8216703811064</v>
      </c>
      <c r="D30" s="3221">
        <f>'12. Разходи'!E70+'12. Разходи'!M70+'12. Разходи'!U70+'12. Разходи'!AC70+'12. Разходи'!AK70</f>
        <v>676.82173104210642</v>
      </c>
      <c r="E30" s="3221">
        <f>'12. Разходи'!F70+'12. Разходи'!N70+'12. Разходи'!V70+'12. Разходи'!AD70+'12. Разходи'!AL70</f>
        <v>674.22655231438375</v>
      </c>
      <c r="F30" s="3221">
        <f>'12. Разходи'!G70+'12. Разходи'!O70+'12. Разходи'!W70+'12. Разходи'!AE70+'12. Разходи'!AM70</f>
        <v>670.63644687389501</v>
      </c>
      <c r="G30" s="3222">
        <f>'12. Разходи'!H70+'12. Разходи'!P70+'12. Разходи'!X70+'12. Разходи'!AF70+'12. Разходи'!AN70</f>
        <v>665.35503916766174</v>
      </c>
      <c r="H30" s="4488"/>
      <c r="I30" s="4493">
        <f t="shared" si="3"/>
        <v>326.66783852923248</v>
      </c>
      <c r="J30" s="4493">
        <f t="shared" si="4"/>
        <v>347.07600884591523</v>
      </c>
      <c r="K30" s="4493">
        <f t="shared" si="5"/>
        <v>346.05345609899962</v>
      </c>
      <c r="L30" s="4493">
        <f t="shared" si="6"/>
        <v>344.72656228526188</v>
      </c>
      <c r="M30" s="4493">
        <f t="shared" si="7"/>
        <v>342.89097052090165</v>
      </c>
      <c r="N30" s="4493">
        <f t="shared" si="8"/>
        <v>340.19062963941741</v>
      </c>
    </row>
    <row r="31" spans="1:14" ht="13.8" thickBot="1">
      <c r="A31" s="3228" t="s">
        <v>507</v>
      </c>
      <c r="B31" s="3235">
        <f>('12. Разходи'!C76+'12. Разходи'!K76+'12. Разходи'!S76)+'12. Разходи'!AA76+'12. Разходи'!AI76</f>
        <v>98.427822231070991</v>
      </c>
      <c r="C31" s="3220">
        <f>('12. Разходи'!D76+'12. Разходи'!L76+'12. Разходи'!T76)+'12. Разходи'!AB76+'12. Разходи'!AJ76</f>
        <v>108.07694655021079</v>
      </c>
      <c r="D31" s="3221">
        <f>('12. Разходи'!E76+'12. Разходи'!M76+'12. Разходи'!U76)+'12. Разходи'!AC76+'12. Разходи'!AK76</f>
        <v>108.07694655021079</v>
      </c>
      <c r="E31" s="3221">
        <f>('12. Разходи'!F76+'12. Разходи'!N76+'12. Разходи'!V76)+'12. Разходи'!AD76+'12. Разходи'!AL76</f>
        <v>108.07694655021079</v>
      </c>
      <c r="F31" s="3221">
        <f>('12. Разходи'!G76+'12. Разходи'!O76+'12. Разходи'!W76)+'12. Разходи'!AE76+'12. Разходи'!AM76</f>
        <v>108.07694655021079</v>
      </c>
      <c r="G31" s="3222">
        <f>('12. Разходи'!H76+'12. Разходи'!P76+'12. Разходи'!X76)+'12. Разходи'!AF76+'12. Разходи'!AN76</f>
        <v>108.07694655021079</v>
      </c>
      <c r="H31" s="4488"/>
      <c r="I31" s="4493">
        <f t="shared" si="3"/>
        <v>50.325346390571262</v>
      </c>
      <c r="J31" s="4493">
        <f t="shared" si="4"/>
        <v>55.258865315600431</v>
      </c>
      <c r="K31" s="4493">
        <f t="shared" si="5"/>
        <v>55.258865315600431</v>
      </c>
      <c r="L31" s="4493">
        <f t="shared" si="6"/>
        <v>55.258865315600431</v>
      </c>
      <c r="M31" s="4493">
        <f t="shared" si="7"/>
        <v>55.258865315600431</v>
      </c>
      <c r="N31" s="4493">
        <f t="shared" si="8"/>
        <v>55.258865315600431</v>
      </c>
    </row>
    <row r="32" spans="1:14" ht="13.8" thickBot="1">
      <c r="A32" s="3228" t="s">
        <v>225</v>
      </c>
      <c r="B32" s="3235">
        <f>'12. Разходи'!AQ88</f>
        <v>82.9488715612909</v>
      </c>
      <c r="C32" s="3220">
        <f>'12. Разходи'!AR88</f>
        <v>56.919147813625038</v>
      </c>
      <c r="D32" s="3221">
        <f>'12. Разходи'!AS88</f>
        <v>61.229222330271035</v>
      </c>
      <c r="E32" s="3221">
        <f>'12. Разходи'!AT88</f>
        <v>66.024520065405341</v>
      </c>
      <c r="F32" s="3221">
        <f>'12. Разходи'!AU88</f>
        <v>71.363017976517639</v>
      </c>
      <c r="G32" s="3222">
        <f>'12. Разходи'!AV88</f>
        <v>77.313110714148948</v>
      </c>
      <c r="H32" s="4488"/>
      <c r="I32" s="4493">
        <f t="shared" si="3"/>
        <v>42.411084583675937</v>
      </c>
      <c r="J32" s="4493">
        <f t="shared" si="4"/>
        <v>29.102298161713971</v>
      </c>
      <c r="K32" s="4493">
        <f t="shared" si="5"/>
        <v>31.306004269425788</v>
      </c>
      <c r="L32" s="4493">
        <f t="shared" si="6"/>
        <v>33.757801069318575</v>
      </c>
      <c r="M32" s="4493">
        <f t="shared" si="7"/>
        <v>36.487331709053265</v>
      </c>
      <c r="N32" s="4493">
        <f t="shared" si="8"/>
        <v>39.529565818168734</v>
      </c>
    </row>
    <row r="33" spans="1:14" ht="13.8" thickBot="1">
      <c r="A33" s="3236" t="s">
        <v>1017</v>
      </c>
      <c r="B33" s="411">
        <v>2314.6247817031945</v>
      </c>
      <c r="C33" s="269">
        <v>2000</v>
      </c>
      <c r="D33" s="413">
        <v>2000</v>
      </c>
      <c r="E33" s="413">
        <v>2000</v>
      </c>
      <c r="F33" s="413">
        <v>2000</v>
      </c>
      <c r="G33" s="270">
        <v>2000</v>
      </c>
      <c r="H33" s="4488"/>
      <c r="I33" s="4493">
        <f t="shared" si="3"/>
        <v>1183.4488589004129</v>
      </c>
      <c r="J33" s="4493">
        <f t="shared" si="4"/>
        <v>1022.5837623924369</v>
      </c>
      <c r="K33" s="4493">
        <f t="shared" si="5"/>
        <v>1022.5837623924369</v>
      </c>
      <c r="L33" s="4493">
        <f t="shared" si="6"/>
        <v>1022.5837623924369</v>
      </c>
      <c r="M33" s="4493">
        <f t="shared" si="7"/>
        <v>1022.5837623924369</v>
      </c>
      <c r="N33" s="4493">
        <f t="shared" si="8"/>
        <v>1022.5837623924369</v>
      </c>
    </row>
    <row r="34" spans="1:14" ht="13.8" thickBot="1">
      <c r="A34" s="3237" t="s">
        <v>508</v>
      </c>
      <c r="B34" s="3215">
        <f>SUM(B35:B38)</f>
        <v>21.703154973160999</v>
      </c>
      <c r="C34" s="3238">
        <f t="shared" ref="C34:G34" si="12">SUM(C35:C38)</f>
        <v>10.255336130618831</v>
      </c>
      <c r="D34" s="3217">
        <f t="shared" si="12"/>
        <v>4.531474990096795</v>
      </c>
      <c r="E34" s="3217">
        <f>SUM(E35:E38)</f>
        <v>0.23852252102736687</v>
      </c>
      <c r="F34" s="3217">
        <f>SUM(F35:F38)</f>
        <v>0</v>
      </c>
      <c r="G34" s="3239">
        <f t="shared" si="12"/>
        <v>0</v>
      </c>
      <c r="H34" s="4488"/>
      <c r="I34" s="4493">
        <f t="shared" si="3"/>
        <v>11.096646934120551</v>
      </c>
      <c r="J34" s="4493">
        <f t="shared" si="4"/>
        <v>5.2434701025236503</v>
      </c>
      <c r="K34" s="4493">
        <f t="shared" si="5"/>
        <v>2.3169063722802057</v>
      </c>
      <c r="L34" s="4493">
        <f t="shared" si="6"/>
        <v>0.121954628483747</v>
      </c>
      <c r="M34" s="4493">
        <f t="shared" si="7"/>
        <v>0</v>
      </c>
      <c r="N34" s="4493">
        <f t="shared" si="8"/>
        <v>0</v>
      </c>
    </row>
    <row r="35" spans="1:14" ht="13.8" thickBot="1">
      <c r="A35" s="3223" t="s">
        <v>509</v>
      </c>
      <c r="B35" s="3240">
        <f>+'10. Финансиране на ИП'!AR40+'10. Финансиране на ИП'!AR51</f>
        <v>21.703154973160999</v>
      </c>
      <c r="C35" s="3241">
        <f>+'10. Финансиране на ИП'!AT40+'10. Финансиране на ИП'!AT51+'10. Финансиране на ИП'!AT62+'10. Финансиране на ИП'!AT73</f>
        <v>10.255336130618831</v>
      </c>
      <c r="D35" s="3226">
        <f>+'10. Финансиране на ИП'!AU40+'10. Финансиране на ИП'!AU51+'10. Финансиране на ИП'!AU62+'10. Финансиране на ИП'!AU73</f>
        <v>4.531474990096795</v>
      </c>
      <c r="E35" s="3226">
        <f>+'10. Финансиране на ИП'!AV40+'10. Финансиране на ИП'!AV51+'10. Финансиране на ИП'!AV62+'10. Финансиране на ИП'!AV73</f>
        <v>0.23852252102736687</v>
      </c>
      <c r="F35" s="3226">
        <f>+'10. Финансиране на ИП'!AW40+'10. Финансиране на ИП'!AW51+'10. Финансиране на ИП'!AW62+'10. Финансиране на ИП'!AW73</f>
        <v>0</v>
      </c>
      <c r="G35" s="3242">
        <f>+'10. Финансиране на ИП'!AX40+'10. Финансиране на ИП'!AX51+'10. Финансиране на ИП'!AX62+'10. Финансиране на ИП'!AX73</f>
        <v>0</v>
      </c>
      <c r="H35" s="4488"/>
      <c r="I35" s="4493">
        <f t="shared" si="3"/>
        <v>11.096646934120551</v>
      </c>
      <c r="J35" s="4493">
        <f t="shared" si="4"/>
        <v>5.2434701025236503</v>
      </c>
      <c r="K35" s="4493">
        <f t="shared" si="5"/>
        <v>2.3169063722802057</v>
      </c>
      <c r="L35" s="4493">
        <f t="shared" si="6"/>
        <v>0.121954628483747</v>
      </c>
      <c r="M35" s="4493">
        <f t="shared" si="7"/>
        <v>0</v>
      </c>
      <c r="N35" s="4493">
        <f t="shared" si="8"/>
        <v>0</v>
      </c>
    </row>
    <row r="36" spans="1:14" ht="13.8" thickBot="1">
      <c r="A36" s="3223" t="s">
        <v>510</v>
      </c>
      <c r="B36" s="411"/>
      <c r="C36" s="269"/>
      <c r="D36" s="413"/>
      <c r="E36" s="413"/>
      <c r="F36" s="413"/>
      <c r="G36" s="270"/>
      <c r="H36" s="4488"/>
      <c r="I36" s="4493">
        <f t="shared" si="3"/>
        <v>0</v>
      </c>
      <c r="J36" s="4493">
        <f t="shared" si="4"/>
        <v>0</v>
      </c>
      <c r="K36" s="4493">
        <f t="shared" si="5"/>
        <v>0</v>
      </c>
      <c r="L36" s="4493">
        <f t="shared" si="6"/>
        <v>0</v>
      </c>
      <c r="M36" s="4493">
        <f t="shared" si="7"/>
        <v>0</v>
      </c>
      <c r="N36" s="4493">
        <f t="shared" si="8"/>
        <v>0</v>
      </c>
    </row>
    <row r="37" spans="1:14" ht="13.8" thickBot="1">
      <c r="A37" s="3223" t="s">
        <v>511</v>
      </c>
      <c r="B37" s="411"/>
      <c r="C37" s="269"/>
      <c r="D37" s="413"/>
      <c r="E37" s="413"/>
      <c r="F37" s="413"/>
      <c r="G37" s="270"/>
      <c r="H37" s="4488"/>
      <c r="I37" s="4493">
        <f t="shared" si="3"/>
        <v>0</v>
      </c>
      <c r="J37" s="4493">
        <f t="shared" si="4"/>
        <v>0</v>
      </c>
      <c r="K37" s="4493">
        <f t="shared" si="5"/>
        <v>0</v>
      </c>
      <c r="L37" s="4493">
        <f t="shared" si="6"/>
        <v>0</v>
      </c>
      <c r="M37" s="4493">
        <f t="shared" si="7"/>
        <v>0</v>
      </c>
      <c r="N37" s="4493">
        <f t="shared" si="8"/>
        <v>0</v>
      </c>
    </row>
    <row r="38" spans="1:14" ht="13.8" thickBot="1">
      <c r="A38" s="3243" t="s">
        <v>512</v>
      </c>
      <c r="B38" s="411"/>
      <c r="C38" s="269"/>
      <c r="D38" s="413"/>
      <c r="E38" s="413"/>
      <c r="F38" s="413"/>
      <c r="G38" s="270"/>
      <c r="H38" s="4488"/>
      <c r="I38" s="4493">
        <f t="shared" si="3"/>
        <v>0</v>
      </c>
      <c r="J38" s="4493">
        <f t="shared" si="4"/>
        <v>0</v>
      </c>
      <c r="K38" s="4493">
        <f t="shared" si="5"/>
        <v>0</v>
      </c>
      <c r="L38" s="4493">
        <f t="shared" si="6"/>
        <v>0</v>
      </c>
      <c r="M38" s="4493">
        <f t="shared" si="7"/>
        <v>0</v>
      </c>
      <c r="N38" s="4493">
        <f t="shared" si="8"/>
        <v>0</v>
      </c>
    </row>
    <row r="39" spans="1:14" ht="13.8" thickBot="1">
      <c r="A39" s="3244" t="s">
        <v>513</v>
      </c>
      <c r="B39" s="3245">
        <f t="shared" ref="B39:G39" si="13">B9-B22</f>
        <v>748.89396839320034</v>
      </c>
      <c r="C39" s="3246">
        <f t="shared" si="13"/>
        <v>350.59974497407529</v>
      </c>
      <c r="D39" s="3247">
        <f t="shared" si="13"/>
        <v>394.90868374393904</v>
      </c>
      <c r="E39" s="3247">
        <f t="shared" si="13"/>
        <v>446.11953787815946</v>
      </c>
      <c r="F39" s="3247">
        <f t="shared" si="13"/>
        <v>504.78588003594268</v>
      </c>
      <c r="G39" s="3248">
        <f t="shared" si="13"/>
        <v>561.0417796007132</v>
      </c>
      <c r="H39" s="4488"/>
      <c r="I39" s="4493">
        <f t="shared" si="3"/>
        <v>382.90340591626079</v>
      </c>
      <c r="J39" s="4493">
        <f t="shared" si="4"/>
        <v>179.2588031547094</v>
      </c>
      <c r="K39" s="4493">
        <f t="shared" si="5"/>
        <v>201.91360381216111</v>
      </c>
      <c r="L39" s="4493">
        <f t="shared" si="6"/>
        <v>228.09729776011181</v>
      </c>
      <c r="M39" s="4493">
        <f t="shared" si="7"/>
        <v>258.09292220486583</v>
      </c>
      <c r="N39" s="4493">
        <f t="shared" si="8"/>
        <v>286.85610692172287</v>
      </c>
    </row>
    <row r="40" spans="1:14" ht="13.8" thickBot="1">
      <c r="A40" s="3244" t="s">
        <v>514</v>
      </c>
      <c r="B40" s="3245">
        <f t="shared" ref="B40:G40" si="14">B8-B21</f>
        <v>727.19081342003847</v>
      </c>
      <c r="C40" s="3246">
        <f t="shared" si="14"/>
        <v>340.34440884345531</v>
      </c>
      <c r="D40" s="3247">
        <f t="shared" si="14"/>
        <v>390.37720875384184</v>
      </c>
      <c r="E40" s="3247">
        <f t="shared" si="14"/>
        <v>445.88101535713213</v>
      </c>
      <c r="F40" s="3247">
        <f t="shared" si="14"/>
        <v>504.78588003594268</v>
      </c>
      <c r="G40" s="3248">
        <f t="shared" si="14"/>
        <v>561.0417796007132</v>
      </c>
      <c r="H40" s="4488"/>
      <c r="I40" s="4493">
        <f t="shared" si="3"/>
        <v>371.8067589821398</v>
      </c>
      <c r="J40" s="4493">
        <f t="shared" si="4"/>
        <v>174.01533305218516</v>
      </c>
      <c r="K40" s="4493">
        <f t="shared" si="5"/>
        <v>199.5966974398807</v>
      </c>
      <c r="L40" s="4493">
        <f t="shared" si="6"/>
        <v>227.97534313162808</v>
      </c>
      <c r="M40" s="4493">
        <f t="shared" si="7"/>
        <v>258.09292220486583</v>
      </c>
      <c r="N40" s="4493">
        <f t="shared" si="8"/>
        <v>286.85610692172287</v>
      </c>
    </row>
    <row r="41" spans="1:14" ht="13.8" thickBot="1">
      <c r="A41" s="3249" t="s">
        <v>515</v>
      </c>
      <c r="B41" s="411">
        <v>58.29298</v>
      </c>
      <c r="C41" s="3220">
        <f t="shared" ref="C41:G41" si="15">10%*(C40-C28)</f>
        <v>28.034440884345532</v>
      </c>
      <c r="D41" s="3221">
        <f t="shared" si="15"/>
        <v>33.037720875384188</v>
      </c>
      <c r="E41" s="3221">
        <f t="shared" si="15"/>
        <v>38.588101535713214</v>
      </c>
      <c r="F41" s="3221">
        <f t="shared" si="15"/>
        <v>44.478588003594268</v>
      </c>
      <c r="G41" s="3222">
        <f t="shared" si="15"/>
        <v>50.104177960071326</v>
      </c>
      <c r="H41" s="4488"/>
      <c r="I41" s="4493">
        <f t="shared" si="3"/>
        <v>29.804727404733541</v>
      </c>
      <c r="J41" s="4493">
        <f t="shared" si="4"/>
        <v>14.333782018041207</v>
      </c>
      <c r="K41" s="4493">
        <f t="shared" si="5"/>
        <v>16.89191845681076</v>
      </c>
      <c r="L41" s="4493">
        <f t="shared" si="6"/>
        <v>19.729783025985498</v>
      </c>
      <c r="M41" s="4493">
        <f t="shared" si="7"/>
        <v>22.74154093330927</v>
      </c>
      <c r="N41" s="4493">
        <f t="shared" si="8"/>
        <v>25.617859404994977</v>
      </c>
    </row>
    <row r="42" spans="1:14" ht="13.8" thickBot="1">
      <c r="A42" s="3250" t="s">
        <v>516</v>
      </c>
      <c r="B42" s="411">
        <v>-19.78782</v>
      </c>
      <c r="C42" s="269"/>
      <c r="D42" s="413"/>
      <c r="E42" s="413"/>
      <c r="F42" s="413"/>
      <c r="G42" s="270"/>
      <c r="H42" s="4488"/>
      <c r="I42" s="4493">
        <f t="shared" si="3"/>
        <v>-10.117351712572157</v>
      </c>
      <c r="J42" s="4493">
        <f t="shared" si="4"/>
        <v>0</v>
      </c>
      <c r="K42" s="4493">
        <f t="shared" si="5"/>
        <v>0</v>
      </c>
      <c r="L42" s="4493">
        <f t="shared" si="6"/>
        <v>0</v>
      </c>
      <c r="M42" s="4493">
        <f t="shared" si="7"/>
        <v>0</v>
      </c>
      <c r="N42" s="4493">
        <f t="shared" si="8"/>
        <v>0</v>
      </c>
    </row>
    <row r="43" spans="1:14" ht="13.8" thickBot="1">
      <c r="A43" s="3251" t="s">
        <v>517</v>
      </c>
      <c r="B43" s="3252">
        <f>B40-B41-B42</f>
        <v>688.68565342003853</v>
      </c>
      <c r="C43" s="3253">
        <f t="shared" ref="C43:G43" si="16">C40-C41-C42</f>
        <v>312.30996795910977</v>
      </c>
      <c r="D43" s="3254">
        <f t="shared" si="16"/>
        <v>357.33948787845765</v>
      </c>
      <c r="E43" s="3254">
        <f t="shared" si="16"/>
        <v>407.29291382141889</v>
      </c>
      <c r="F43" s="3254">
        <f t="shared" si="16"/>
        <v>460.30729203234841</v>
      </c>
      <c r="G43" s="3255">
        <f t="shared" si="16"/>
        <v>510.9376016406419</v>
      </c>
      <c r="H43" s="4488"/>
      <c r="I43" s="4493">
        <f t="shared" si="3"/>
        <v>352.11938328997843</v>
      </c>
      <c r="J43" s="4493">
        <f t="shared" si="4"/>
        <v>159.68155103414395</v>
      </c>
      <c r="K43" s="4493">
        <f t="shared" si="5"/>
        <v>182.70477898306993</v>
      </c>
      <c r="L43" s="4493">
        <f t="shared" si="6"/>
        <v>208.24556010564257</v>
      </c>
      <c r="M43" s="4493">
        <f t="shared" si="7"/>
        <v>235.35138127155653</v>
      </c>
      <c r="N43" s="4493">
        <f t="shared" si="8"/>
        <v>261.23824751672788</v>
      </c>
    </row>
    <row r="46" spans="1:14" s="24" customFormat="1">
      <c r="A46" s="1644" t="str">
        <f>'Приложение '!B82</f>
        <v>Дата: 16.03.2026</v>
      </c>
      <c r="B46" s="3256"/>
      <c r="C46" s="36"/>
      <c r="D46" s="3257"/>
    </row>
    <row r="47" spans="1:14" s="24" customFormat="1">
      <c r="C47" s="1644"/>
      <c r="D47" s="3257"/>
      <c r="E47" s="3258"/>
      <c r="F47" s="35"/>
    </row>
    <row r="48" spans="1:14" s="24" customFormat="1">
      <c r="A48" s="1653"/>
      <c r="B48" s="1653"/>
      <c r="C48" s="32"/>
      <c r="D48" s="3257"/>
      <c r="E48" s="3259"/>
      <c r="F48" s="35"/>
    </row>
    <row r="49" spans="1:7" s="24" customFormat="1">
      <c r="A49" s="5520" t="s">
        <v>187</v>
      </c>
      <c r="B49" s="5520"/>
      <c r="C49" s="5520"/>
      <c r="D49" s="3260"/>
      <c r="E49" s="3261"/>
      <c r="F49" s="3260"/>
      <c r="G49" s="3260"/>
    </row>
    <row r="50" spans="1:7" s="24" customFormat="1">
      <c r="A50" s="5521" t="s">
        <v>188</v>
      </c>
      <c r="B50" s="5521"/>
      <c r="C50" s="5521"/>
      <c r="D50" s="3260"/>
      <c r="E50" s="3260"/>
      <c r="F50" s="3260"/>
      <c r="G50" s="3260"/>
    </row>
    <row r="51" spans="1:7">
      <c r="A51" s="5519" t="s">
        <v>1480</v>
      </c>
      <c r="B51" s="5519"/>
      <c r="F51" s="22"/>
      <c r="G51" s="22"/>
    </row>
  </sheetData>
  <sheetProtection algorithmName="SHA-512" hashValue="/aaPGgS+vefjP3PNHiwzkKa977aZejb4vIHIuWYiyQyV57ovsuB31a7yaVP4RtyVC0HV3olvciDVP6UBHtieLQ==" saltValue="xS89uoeFjju1sShiSwkVOg==" spinCount="100000" sheet="1" formatCells="0" formatColumns="0" formatRows="0"/>
  <mergeCells count="8">
    <mergeCell ref="B1:C1"/>
    <mergeCell ref="A51:B51"/>
    <mergeCell ref="A49:C49"/>
    <mergeCell ref="A50:C50"/>
    <mergeCell ref="A2:G2"/>
    <mergeCell ref="A4:G4"/>
    <mergeCell ref="A5:G5"/>
    <mergeCell ref="A3:G3"/>
  </mergeCells>
  <printOptions horizontalCentered="1"/>
  <pageMargins left="0.70866141732283472" right="7.874015748031496E-2" top="0.74803149606299213" bottom="0.55118110236220474" header="0.31496062992125984" footer="0.31496062992125984"/>
  <pageSetup paperSize="9" scale="91" orientation="portrait" r:id="rId1"/>
  <headerFooter alignWithMargins="0">
    <oddFooter>&amp;C&amp;A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6">
    <tabColor theme="8" tint="0.79998168889431442"/>
    <pageSetUpPr fitToPage="1"/>
  </sheetPr>
  <dimension ref="A1:N55"/>
  <sheetViews>
    <sheetView showGridLines="0" zoomScaleNormal="100" zoomScaleSheetLayoutView="100" workbookViewId="0">
      <pane xSplit="1" ySplit="7" topLeftCell="B27" activePane="bottomRight" state="frozen"/>
      <selection pane="topRight" activeCell="B1" sqref="B1"/>
      <selection pane="bottomLeft" activeCell="A8" sqref="A8"/>
      <selection pane="bottomRight" activeCell="A7" sqref="A7"/>
    </sheetView>
  </sheetViews>
  <sheetFormatPr defaultColWidth="9.109375" defaultRowHeight="13.2"/>
  <cols>
    <col min="1" max="1" width="51" style="22" bestFit="1" customWidth="1"/>
    <col min="2" max="2" width="9.33203125" style="22" bestFit="1" customWidth="1"/>
    <col min="3" max="4" width="8.109375" style="22" bestFit="1" customWidth="1"/>
    <col min="5" max="5" width="11.109375" style="22" customWidth="1"/>
    <col min="6" max="6" width="10.33203125" style="17" customWidth="1"/>
    <col min="7" max="7" width="12.109375" style="17" customWidth="1"/>
    <col min="8" max="8" width="2.6640625" style="17" customWidth="1"/>
    <col min="9" max="16384" width="9.109375" style="17"/>
  </cols>
  <sheetData>
    <row r="1" spans="1:14" ht="18.75" customHeight="1" thickBot="1">
      <c r="A1" s="4546" t="str">
        <f>+'1. Обща информация'!B40</f>
        <v>Фиксиран курс на лева към 1 евро</v>
      </c>
      <c r="B1" s="5406">
        <f>+'1. Обща информация'!$C$40</f>
        <v>1.95583</v>
      </c>
      <c r="C1" s="5407"/>
      <c r="F1" s="3266"/>
      <c r="G1" s="3182" t="str">
        <f>'14. ОПР'!G1</f>
        <v>Приложение № 5</v>
      </c>
    </row>
    <row r="2" spans="1:14" ht="21" customHeight="1">
      <c r="A2" s="5067" t="s">
        <v>1485</v>
      </c>
      <c r="B2" s="5067"/>
      <c r="C2" s="5067"/>
      <c r="D2" s="5067"/>
      <c r="E2" s="5067"/>
      <c r="F2" s="5067"/>
      <c r="G2" s="5067"/>
    </row>
    <row r="3" spans="1:14" ht="17.399999999999999">
      <c r="A3" s="5067" t="s">
        <v>1484</v>
      </c>
      <c r="B3" s="5067"/>
      <c r="C3" s="5067"/>
      <c r="D3" s="5067"/>
      <c r="E3" s="5067"/>
      <c r="F3" s="5067"/>
      <c r="G3" s="5067"/>
    </row>
    <row r="4" spans="1:14" ht="18.75" customHeight="1">
      <c r="A4" s="5522" t="str">
        <f>'1. Обща информация'!A4:D4</f>
        <v>на "В И К" АД, гр. Ловеч</v>
      </c>
      <c r="B4" s="5522"/>
      <c r="C4" s="5522"/>
      <c r="D4" s="5522"/>
      <c r="E4" s="5522"/>
      <c r="F4" s="5522"/>
      <c r="G4" s="5522"/>
    </row>
    <row r="5" spans="1:14" ht="18.75" customHeight="1">
      <c r="A5" s="5522" t="str">
        <f>'1. Обща информация'!A5:D5</f>
        <v>ЕИК по БУЛСТАТ: 110549443</v>
      </c>
      <c r="B5" s="5522"/>
      <c r="C5" s="5522"/>
      <c r="D5" s="5522"/>
      <c r="E5" s="5522"/>
      <c r="F5" s="5522"/>
      <c r="G5" s="5522"/>
    </row>
    <row r="6" spans="1:14" ht="18.75" customHeight="1" thickBot="1">
      <c r="A6" s="3206"/>
      <c r="B6" s="3206"/>
      <c r="C6" s="3206"/>
      <c r="D6" s="3206"/>
      <c r="E6" s="3206"/>
      <c r="G6" s="660" t="s">
        <v>190</v>
      </c>
      <c r="N6" s="660" t="s">
        <v>1889</v>
      </c>
    </row>
    <row r="7" spans="1:14" ht="13.8" thickBot="1">
      <c r="A7" s="3208" t="s">
        <v>488</v>
      </c>
      <c r="B7" s="257" t="str">
        <f>'Приложение '!$C12</f>
        <v>2024 г.</v>
      </c>
      <c r="C7" s="258" t="str">
        <f>'Приложение '!$C14</f>
        <v>2027 г.</v>
      </c>
      <c r="D7" s="259" t="str">
        <f>'Приложение '!$C15</f>
        <v>2028 г.</v>
      </c>
      <c r="E7" s="259" t="str">
        <f>'Приложение '!$C16</f>
        <v>2029 г.</v>
      </c>
      <c r="F7" s="259" t="str">
        <f>'Приложение '!$C17</f>
        <v>2030 г.</v>
      </c>
      <c r="G7" s="260" t="str">
        <f>'Приложение '!$C18</f>
        <v>2031 г.</v>
      </c>
      <c r="H7" s="4488"/>
      <c r="I7" s="4550" t="str">
        <f>'Приложение '!$C12</f>
        <v>2024 г.</v>
      </c>
      <c r="J7" s="4550" t="str">
        <f>'Приложение '!$C14</f>
        <v>2027 г.</v>
      </c>
      <c r="K7" s="4550" t="str">
        <f>'Приложение '!$C15</f>
        <v>2028 г.</v>
      </c>
      <c r="L7" s="4550" t="str">
        <f>'Приложение '!$C16</f>
        <v>2029 г.</v>
      </c>
      <c r="M7" s="4550" t="str">
        <f>'Приложение '!$C17</f>
        <v>2030 г.</v>
      </c>
      <c r="N7" s="4550" t="str">
        <f>'Приложение '!$C18</f>
        <v>2031 г.</v>
      </c>
    </row>
    <row r="8" spans="1:14" ht="13.8" thickBot="1">
      <c r="A8" s="3209" t="s">
        <v>518</v>
      </c>
      <c r="B8" s="3267">
        <f t="shared" ref="B8:G8" si="0">B9+B14</f>
        <v>18628.609170000003</v>
      </c>
      <c r="C8" s="3211">
        <f t="shared" si="0"/>
        <v>25495.554666628523</v>
      </c>
      <c r="D8" s="3212">
        <f t="shared" si="0"/>
        <v>27297.649575508196</v>
      </c>
      <c r="E8" s="3212">
        <f t="shared" si="0"/>
        <v>29448.443262373141</v>
      </c>
      <c r="F8" s="3212">
        <f t="shared" si="0"/>
        <v>31937.190239498275</v>
      </c>
      <c r="G8" s="3213">
        <f t="shared" si="0"/>
        <v>34632.358296167775</v>
      </c>
      <c r="H8" s="4488"/>
      <c r="I8" s="4493">
        <f>IFERROR(B8/$B$1,0)</f>
        <v>9524.6566265984275</v>
      </c>
      <c r="J8" s="4493">
        <f t="shared" ref="J8:N8" si="1">IFERROR(C8/$B$1,0)</f>
        <v>13035.670107641525</v>
      </c>
      <c r="K8" s="4493">
        <f t="shared" si="1"/>
        <v>13957.066603696741</v>
      </c>
      <c r="L8" s="4493">
        <f t="shared" si="1"/>
        <v>15056.749953918868</v>
      </c>
      <c r="M8" s="4493">
        <f t="shared" si="1"/>
        <v>16329.226077674581</v>
      </c>
      <c r="N8" s="4493">
        <f t="shared" si="1"/>
        <v>17707.243623509086</v>
      </c>
    </row>
    <row r="9" spans="1:14" ht="13.8" thickBot="1">
      <c r="A9" s="3214" t="s">
        <v>519</v>
      </c>
      <c r="B9" s="3215">
        <f t="shared" ref="B9:G9" si="2">SUM(B10:B13)</f>
        <v>16271.137061649</v>
      </c>
      <c r="C9" s="3216">
        <f t="shared" si="2"/>
        <v>21271.295555523768</v>
      </c>
      <c r="D9" s="3217">
        <f t="shared" si="2"/>
        <v>22774.954242923497</v>
      </c>
      <c r="E9" s="3217">
        <f t="shared" si="2"/>
        <v>24568.115648644285</v>
      </c>
      <c r="F9" s="3217">
        <f t="shared" si="2"/>
        <v>26642.904796248564</v>
      </c>
      <c r="G9" s="3218">
        <f t="shared" si="2"/>
        <v>28889.711510139809</v>
      </c>
      <c r="H9" s="4488"/>
      <c r="I9" s="4493">
        <f t="shared" ref="I9:I46" si="3">IFERROR(B9/$B$1,0)</f>
        <v>8319.3002774520282</v>
      </c>
      <c r="J9" s="4493">
        <f t="shared" ref="J9:J46" si="4">IFERROR(C9/$B$1,0)</f>
        <v>10875.840720064509</v>
      </c>
      <c r="K9" s="4493">
        <f t="shared" ref="K9:K46" si="5">IFERROR(D9/$B$1,0)</f>
        <v>11644.649199022153</v>
      </c>
      <c r="L9" s="4493">
        <f t="shared" ref="L9:L46" si="6">IFERROR(E9/$B$1,0)</f>
        <v>12561.478067441591</v>
      </c>
      <c r="M9" s="4493">
        <f t="shared" ref="M9:M46" si="7">IFERROR(F9/$B$1,0)</f>
        <v>13622.30091380568</v>
      </c>
      <c r="N9" s="4493">
        <f t="shared" ref="N9:N46" si="8">IFERROR(G9/$B$1,0)</f>
        <v>14771.074945235428</v>
      </c>
    </row>
    <row r="10" spans="1:14" ht="13.8" thickBot="1">
      <c r="A10" s="3219" t="s">
        <v>1020</v>
      </c>
      <c r="B10" s="3240">
        <f>+'14. ОПР'!B10</f>
        <v>15607.385651649</v>
      </c>
      <c r="C10" s="3220">
        <f>+'14. ОПР'!C10</f>
        <v>20571.295555523768</v>
      </c>
      <c r="D10" s="3221">
        <f>+'14. ОПР'!D10</f>
        <v>22053.476662923498</v>
      </c>
      <c r="E10" s="3221">
        <f>+'14. ОПР'!E10</f>
        <v>23831.638068644286</v>
      </c>
      <c r="F10" s="3221">
        <f>+'14. ОПР'!F10</f>
        <v>25891.427216248565</v>
      </c>
      <c r="G10" s="3222">
        <f>+'14. ОПР'!G10</f>
        <v>28123.23393013981</v>
      </c>
      <c r="H10" s="4488"/>
      <c r="I10" s="4493">
        <f t="shared" si="3"/>
        <v>7979.9295703864855</v>
      </c>
      <c r="J10" s="4493">
        <f t="shared" si="4"/>
        <v>10517.936403227155</v>
      </c>
      <c r="K10" s="4493">
        <f t="shared" si="5"/>
        <v>11275.763569903058</v>
      </c>
      <c r="L10" s="4493">
        <f t="shared" si="6"/>
        <v>12184.923060104553</v>
      </c>
      <c r="M10" s="4493">
        <f t="shared" si="7"/>
        <v>13238.0765282507</v>
      </c>
      <c r="N10" s="4493">
        <f t="shared" si="8"/>
        <v>14379.181181462505</v>
      </c>
    </row>
    <row r="11" spans="1:14" ht="13.8" thickBot="1">
      <c r="A11" s="3219" t="s">
        <v>1021</v>
      </c>
      <c r="B11" s="411">
        <v>151.47757999999999</v>
      </c>
      <c r="C11" s="400">
        <v>150</v>
      </c>
      <c r="D11" s="413">
        <v>161.47757999999999</v>
      </c>
      <c r="E11" s="413">
        <v>166.47757999999999</v>
      </c>
      <c r="F11" s="413">
        <v>171.47757999999999</v>
      </c>
      <c r="G11" s="414">
        <v>176.47757999999999</v>
      </c>
      <c r="H11" s="4488"/>
      <c r="I11" s="4493">
        <f t="shared" si="3"/>
        <v>77.449256837250672</v>
      </c>
      <c r="J11" s="4493">
        <f t="shared" si="4"/>
        <v>76.693782179432773</v>
      </c>
      <c r="K11" s="4493">
        <f t="shared" si="5"/>
        <v>82.562175649212861</v>
      </c>
      <c r="L11" s="4493">
        <f t="shared" si="6"/>
        <v>85.118635055193948</v>
      </c>
      <c r="M11" s="4493">
        <f t="shared" si="7"/>
        <v>87.67509446117505</v>
      </c>
      <c r="N11" s="4493">
        <f t="shared" si="8"/>
        <v>90.231553867156137</v>
      </c>
    </row>
    <row r="12" spans="1:14" ht="14.25" customHeight="1" thickBot="1">
      <c r="A12" s="3228" t="s">
        <v>520</v>
      </c>
      <c r="B12" s="411">
        <v>437.46800000000002</v>
      </c>
      <c r="C12" s="400">
        <v>450</v>
      </c>
      <c r="D12" s="413">
        <v>450</v>
      </c>
      <c r="E12" s="413">
        <v>450</v>
      </c>
      <c r="F12" s="413">
        <v>450</v>
      </c>
      <c r="G12" s="414">
        <v>450</v>
      </c>
      <c r="H12" s="4488"/>
      <c r="I12" s="4493">
        <f t="shared" si="3"/>
        <v>223.67383668314733</v>
      </c>
      <c r="J12" s="4493">
        <f t="shared" si="4"/>
        <v>230.08134653829833</v>
      </c>
      <c r="K12" s="4493">
        <f t="shared" si="5"/>
        <v>230.08134653829833</v>
      </c>
      <c r="L12" s="4493">
        <f t="shared" si="6"/>
        <v>230.08134653829833</v>
      </c>
      <c r="M12" s="4493">
        <f t="shared" si="7"/>
        <v>230.08134653829833</v>
      </c>
      <c r="N12" s="4493">
        <f t="shared" si="8"/>
        <v>230.08134653829833</v>
      </c>
    </row>
    <row r="13" spans="1:14" ht="14.25" customHeight="1" thickBot="1">
      <c r="A13" s="3228" t="s">
        <v>1018</v>
      </c>
      <c r="B13" s="411">
        <v>74.80583</v>
      </c>
      <c r="C13" s="400">
        <v>100</v>
      </c>
      <c r="D13" s="413">
        <v>110</v>
      </c>
      <c r="E13" s="413">
        <v>120</v>
      </c>
      <c r="F13" s="413">
        <v>130</v>
      </c>
      <c r="G13" s="414">
        <v>140</v>
      </c>
      <c r="H13" s="4488"/>
      <c r="I13" s="4493">
        <f t="shared" si="3"/>
        <v>38.247613545144517</v>
      </c>
      <c r="J13" s="4493">
        <f t="shared" si="4"/>
        <v>51.129188119621851</v>
      </c>
      <c r="K13" s="4493">
        <f t="shared" si="5"/>
        <v>56.242106931584033</v>
      </c>
      <c r="L13" s="4493">
        <f t="shared" si="6"/>
        <v>61.355025743546221</v>
      </c>
      <c r="M13" s="4493">
        <f t="shared" si="7"/>
        <v>66.46794455550841</v>
      </c>
      <c r="N13" s="4493">
        <f t="shared" si="8"/>
        <v>71.580863367470585</v>
      </c>
    </row>
    <row r="14" spans="1:14" ht="13.8" thickBot="1">
      <c r="A14" s="3229" t="s">
        <v>521</v>
      </c>
      <c r="B14" s="3215">
        <f>SUM(B15:B18)</f>
        <v>2357.472108351003</v>
      </c>
      <c r="C14" s="3268">
        <f t="shared" ref="C14:G14" si="9">SUM(C15:C18)</f>
        <v>4224.2591111047541</v>
      </c>
      <c r="D14" s="3217">
        <f t="shared" si="9"/>
        <v>4522.6953325846998</v>
      </c>
      <c r="E14" s="3217">
        <f t="shared" si="9"/>
        <v>4880.3276137288576</v>
      </c>
      <c r="F14" s="3217">
        <f t="shared" si="9"/>
        <v>5294.2854432497134</v>
      </c>
      <c r="G14" s="3218">
        <f t="shared" si="9"/>
        <v>5742.6467860279627</v>
      </c>
      <c r="H14" s="4488"/>
      <c r="I14" s="4493">
        <f t="shared" si="3"/>
        <v>1205.3563491463997</v>
      </c>
      <c r="J14" s="4493">
        <f t="shared" si="4"/>
        <v>2159.8293875770155</v>
      </c>
      <c r="K14" s="4493">
        <f t="shared" si="5"/>
        <v>2312.4174046745884</v>
      </c>
      <c r="L14" s="4493">
        <f t="shared" si="6"/>
        <v>2495.2718864772796</v>
      </c>
      <c r="M14" s="4493">
        <f t="shared" si="7"/>
        <v>2706.9251638689016</v>
      </c>
      <c r="N14" s="4493">
        <f t="shared" si="8"/>
        <v>2936.1686782736551</v>
      </c>
    </row>
    <row r="15" spans="1:14" ht="13.8" thickBot="1">
      <c r="A15" s="3223" t="s">
        <v>522</v>
      </c>
      <c r="B15" s="411"/>
      <c r="C15" s="400"/>
      <c r="D15" s="413"/>
      <c r="E15" s="413"/>
      <c r="F15" s="413"/>
      <c r="G15" s="414"/>
      <c r="H15" s="4488"/>
      <c r="I15" s="4493">
        <f t="shared" si="3"/>
        <v>0</v>
      </c>
      <c r="J15" s="4493">
        <f t="shared" si="4"/>
        <v>0</v>
      </c>
      <c r="K15" s="4493">
        <f t="shared" si="5"/>
        <v>0</v>
      </c>
      <c r="L15" s="4493">
        <f t="shared" si="6"/>
        <v>0</v>
      </c>
      <c r="M15" s="4493">
        <f t="shared" si="7"/>
        <v>0</v>
      </c>
      <c r="N15" s="4493">
        <f t="shared" si="8"/>
        <v>0</v>
      </c>
    </row>
    <row r="16" spans="1:14" ht="13.8" thickBot="1">
      <c r="A16" s="3223" t="s">
        <v>523</v>
      </c>
      <c r="B16" s="3240">
        <f>'10. Финансиране на ИП'!D16+'10. Финансиране на ИП'!D19+'10. Финансиране на ИП'!L16+'10. Финансиране на ИП'!L19+'10. Финансиране на ИП'!T16+'10. Финансиране на ИП'!T19</f>
        <v>0</v>
      </c>
      <c r="C16" s="3269">
        <f>'10. Финансиране на ИП'!F16+'10. Финансиране на ИП'!F19+'10. Финансиране на ИП'!N16+'10. Финансиране на ИП'!N19+'10. Финансиране на ИП'!V16+'10. Финансиране на ИП'!V19</f>
        <v>0</v>
      </c>
      <c r="D16" s="3226">
        <f>'10. Финансиране на ИП'!G16+'10. Финансиране на ИП'!G19+'10. Финансиране на ИП'!O16+'10. Финансиране на ИП'!O19+'10. Финансиране на ИП'!W16+'10. Финансиране на ИП'!W19</f>
        <v>0</v>
      </c>
      <c r="E16" s="3226">
        <f>'10. Финансиране на ИП'!H16+'10. Финансиране на ИП'!H19+'10. Финансиране на ИП'!P16+'10. Финансиране на ИП'!P19+'10. Финансиране на ИП'!X16+'10. Финансиране на ИП'!X19</f>
        <v>0</v>
      </c>
      <c r="F16" s="3226">
        <f>'10. Финансиране на ИП'!I16+'10. Финансиране на ИП'!I19+'10. Финансиране на ИП'!Q16+'10. Финансиране на ИП'!Q19+'10. Финансиране на ИП'!Y16+'10. Финансиране на ИП'!Y19</f>
        <v>0</v>
      </c>
      <c r="G16" s="3227">
        <f>'10. Финансиране на ИП'!J16+'10. Финансиране на ИП'!J19+'10. Финансиране на ИП'!R16+'10. Финансиране на ИП'!R19+'10. Финансиране на ИП'!Z16+'10. Финансиране на ИП'!Z19</f>
        <v>0</v>
      </c>
      <c r="H16" s="4488"/>
      <c r="I16" s="4493">
        <f t="shared" si="3"/>
        <v>0</v>
      </c>
      <c r="J16" s="4493">
        <f t="shared" si="4"/>
        <v>0</v>
      </c>
      <c r="K16" s="4493">
        <f t="shared" si="5"/>
        <v>0</v>
      </c>
      <c r="L16" s="4493">
        <f t="shared" si="6"/>
        <v>0</v>
      </c>
      <c r="M16" s="4493">
        <f t="shared" si="7"/>
        <v>0</v>
      </c>
      <c r="N16" s="4493">
        <f t="shared" si="8"/>
        <v>0</v>
      </c>
    </row>
    <row r="17" spans="1:14" ht="13.8" thickBot="1">
      <c r="A17" s="3223" t="s">
        <v>524</v>
      </c>
      <c r="B17" s="411"/>
      <c r="C17" s="400"/>
      <c r="D17" s="413"/>
      <c r="E17" s="413"/>
      <c r="F17" s="413"/>
      <c r="G17" s="414"/>
      <c r="H17" s="4488"/>
      <c r="I17" s="4493">
        <f t="shared" si="3"/>
        <v>0</v>
      </c>
      <c r="J17" s="4493">
        <f t="shared" si="4"/>
        <v>0</v>
      </c>
      <c r="K17" s="4493">
        <f t="shared" si="5"/>
        <v>0</v>
      </c>
      <c r="L17" s="4493">
        <f t="shared" si="6"/>
        <v>0</v>
      </c>
      <c r="M17" s="4493">
        <f t="shared" si="7"/>
        <v>0</v>
      </c>
      <c r="N17" s="4493">
        <f t="shared" si="8"/>
        <v>0</v>
      </c>
    </row>
    <row r="18" spans="1:14" ht="13.8" thickBot="1">
      <c r="A18" s="3270" t="s">
        <v>1061</v>
      </c>
      <c r="B18" s="411">
        <v>2357.472108351003</v>
      </c>
      <c r="C18" s="3262">
        <f>SUM(C9-C11)*20%</f>
        <v>4224.2591111047541</v>
      </c>
      <c r="D18" s="3263">
        <f>SUM(D9-D11)*20%</f>
        <v>4522.6953325846998</v>
      </c>
      <c r="E18" s="3263">
        <f>SUM(E9-E11)*20%</f>
        <v>4880.3276137288576</v>
      </c>
      <c r="F18" s="3263">
        <f>SUM(F9-F11)*20%</f>
        <v>5294.2854432497134</v>
      </c>
      <c r="G18" s="3264">
        <f>SUM(G9-G11)*20%</f>
        <v>5742.6467860279627</v>
      </c>
      <c r="H18" s="4488"/>
      <c r="I18" s="4493">
        <f t="shared" si="3"/>
        <v>1205.3563491463997</v>
      </c>
      <c r="J18" s="4493">
        <f t="shared" si="4"/>
        <v>2159.8293875770155</v>
      </c>
      <c r="K18" s="4493">
        <f t="shared" si="5"/>
        <v>2312.4174046745884</v>
      </c>
      <c r="L18" s="4493">
        <f t="shared" si="6"/>
        <v>2495.2718864772796</v>
      </c>
      <c r="M18" s="4493">
        <f t="shared" si="7"/>
        <v>2706.9251638689016</v>
      </c>
      <c r="N18" s="4493">
        <f t="shared" si="8"/>
        <v>2936.1686782736551</v>
      </c>
    </row>
    <row r="19" spans="1:14" ht="13.8" thickBot="1">
      <c r="A19" s="3230" t="s">
        <v>525</v>
      </c>
      <c r="B19" s="3231">
        <f t="shared" ref="B19:G19" si="10">B20+B31+B34</f>
        <v>-18819.074562082584</v>
      </c>
      <c r="C19" s="3232">
        <f t="shared" si="10"/>
        <v>-24916.337121069533</v>
      </c>
      <c r="D19" s="3233">
        <f t="shared" si="10"/>
        <v>-26640.90527603107</v>
      </c>
      <c r="E19" s="3233">
        <f t="shared" si="10"/>
        <v>-28691.576456312887</v>
      </c>
      <c r="F19" s="3233">
        <f t="shared" si="10"/>
        <v>-30996.835507220774</v>
      </c>
      <c r="G19" s="3234">
        <f t="shared" si="10"/>
        <v>-33478.194013087137</v>
      </c>
      <c r="H19" s="4488"/>
      <c r="I19" s="4493">
        <f t="shared" si="3"/>
        <v>-9622.0400352191064</v>
      </c>
      <c r="J19" s="4493">
        <f t="shared" si="4"/>
        <v>-12739.520879150812</v>
      </c>
      <c r="K19" s="4493">
        <f t="shared" si="5"/>
        <v>-13621.278575352188</v>
      </c>
      <c r="L19" s="4493">
        <f t="shared" si="6"/>
        <v>-14669.770100833348</v>
      </c>
      <c r="M19" s="4493">
        <f t="shared" si="7"/>
        <v>-15848.430337616652</v>
      </c>
      <c r="N19" s="4493">
        <f t="shared" si="8"/>
        <v>-17117.128796003301</v>
      </c>
    </row>
    <row r="20" spans="1:14" ht="13.8" thickBot="1">
      <c r="A20" s="3214" t="s">
        <v>526</v>
      </c>
      <c r="B20" s="3271">
        <f t="shared" ref="B20:G20" si="11">SUM(B21:B30)</f>
        <v>-13323.093657109423</v>
      </c>
      <c r="C20" s="3216">
        <f t="shared" si="11"/>
        <v>-18477.729581513111</v>
      </c>
      <c r="D20" s="3217">
        <f t="shared" si="11"/>
        <v>-20065.38175014298</v>
      </c>
      <c r="E20" s="3217">
        <f t="shared" si="11"/>
        <v>-21848.787673364273</v>
      </c>
      <c r="F20" s="3217">
        <f t="shared" si="11"/>
        <v>-23839.082785561452</v>
      </c>
      <c r="G20" s="3218">
        <f t="shared" si="11"/>
        <v>-26025.71359988792</v>
      </c>
      <c r="H20" s="4488"/>
      <c r="I20" s="4493">
        <f t="shared" si="3"/>
        <v>-6811.9896192968827</v>
      </c>
      <c r="J20" s="4493">
        <f t="shared" si="4"/>
        <v>-9447.5131179668533</v>
      </c>
      <c r="K20" s="4493">
        <f t="shared" si="5"/>
        <v>-10259.266781950875</v>
      </c>
      <c r="L20" s="4493">
        <f t="shared" si="6"/>
        <v>-11171.10775137117</v>
      </c>
      <c r="M20" s="4493">
        <f t="shared" si="7"/>
        <v>-12188.729483422103</v>
      </c>
      <c r="N20" s="4493">
        <f t="shared" si="8"/>
        <v>-13306.736065960702</v>
      </c>
    </row>
    <row r="21" spans="1:14" ht="13.8" thickBot="1">
      <c r="A21" s="3223" t="s">
        <v>501</v>
      </c>
      <c r="B21" s="3235">
        <f>-'14. ОПР'!B23</f>
        <v>-3421.7032156622008</v>
      </c>
      <c r="C21" s="3220">
        <f>-'14. ОПР'!C23</f>
        <v>-4117.6217177812341</v>
      </c>
      <c r="D21" s="3221">
        <f>-'14. ОПР'!D23</f>
        <v>-4069.6496259655569</v>
      </c>
      <c r="E21" s="3221">
        <f>-'14. ОПР'!E23</f>
        <v>-4018.7513154180269</v>
      </c>
      <c r="F21" s="3221">
        <f>-'14. ОПР'!F23</f>
        <v>-3949.5578077659106</v>
      </c>
      <c r="G21" s="3222">
        <f>-'14. ОПР'!G23</f>
        <v>-3854.7011779155341</v>
      </c>
      <c r="H21" s="4488"/>
      <c r="I21" s="4493">
        <f t="shared" si="3"/>
        <v>-1749.4890740310768</v>
      </c>
      <c r="J21" s="4493">
        <f t="shared" si="4"/>
        <v>-2105.3065541387718</v>
      </c>
      <c r="K21" s="4493">
        <f t="shared" si="5"/>
        <v>-2080.7788130694166</v>
      </c>
      <c r="L21" s="4493">
        <f t="shared" si="6"/>
        <v>-2054.7549201198608</v>
      </c>
      <c r="M21" s="4493">
        <f t="shared" si="7"/>
        <v>-2019.3768414258452</v>
      </c>
      <c r="N21" s="4493">
        <f t="shared" si="8"/>
        <v>-1970.8774167057127</v>
      </c>
    </row>
    <row r="22" spans="1:14" ht="13.8" thickBot="1">
      <c r="A22" s="3223" t="s">
        <v>502</v>
      </c>
      <c r="B22" s="3235">
        <f>-'14. ОПР'!B24</f>
        <v>-1146.4083461228829</v>
      </c>
      <c r="C22" s="3220">
        <f>-'14. ОПР'!C24</f>
        <v>-1290.5629670248661</v>
      </c>
      <c r="D22" s="3221">
        <f>-'14. ОПР'!D24</f>
        <v>-1293.3627871310571</v>
      </c>
      <c r="E22" s="3221">
        <f>-'14. ОПР'!E24</f>
        <v>-1287.8096371541146</v>
      </c>
      <c r="F22" s="3221">
        <f>-'14. ОПР'!F24</f>
        <v>-1294.269736851292</v>
      </c>
      <c r="G22" s="3222">
        <f>-'14. ОПР'!G24</f>
        <v>-1289.1407304796089</v>
      </c>
      <c r="H22" s="4488"/>
      <c r="I22" s="4493">
        <f t="shared" si="3"/>
        <v>-586.14927990821434</v>
      </c>
      <c r="J22" s="4493">
        <f t="shared" si="4"/>
        <v>-659.85436721231713</v>
      </c>
      <c r="K22" s="4493">
        <f t="shared" si="5"/>
        <v>-661.2858925014225</v>
      </c>
      <c r="L22" s="4493">
        <f t="shared" si="6"/>
        <v>-658.44661200314681</v>
      </c>
      <c r="M22" s="4493">
        <f t="shared" si="7"/>
        <v>-661.74960853003176</v>
      </c>
      <c r="N22" s="4493">
        <f t="shared" si="8"/>
        <v>-659.12718921358658</v>
      </c>
    </row>
    <row r="23" spans="1:14" ht="13.8" thickBot="1">
      <c r="A23" s="3223" t="s">
        <v>527</v>
      </c>
      <c r="B23" s="3235">
        <f>-'14. ОПР'!B25</f>
        <v>-6276.8459204440032</v>
      </c>
      <c r="C23" s="3220">
        <f>-'14. ОПР'!C25</f>
        <v>-9363.3918098351041</v>
      </c>
      <c r="D23" s="3221">
        <f>-'14. ОПР'!D25</f>
        <v>-10606.058050268859</v>
      </c>
      <c r="E23" s="3221">
        <f>-'14. ОПР'!E25</f>
        <v>-12058.735049094534</v>
      </c>
      <c r="F23" s="3221">
        <f>-'14. ОПР'!F25</f>
        <v>-13719.990618084381</v>
      </c>
      <c r="G23" s="3222">
        <f>-'14. ОПР'!G25</f>
        <v>-15614.926858554705</v>
      </c>
      <c r="H23" s="4488"/>
      <c r="I23" s="4493">
        <f t="shared" si="3"/>
        <v>-3209.3003586426239</v>
      </c>
      <c r="J23" s="4493">
        <f t="shared" si="4"/>
        <v>-4787.4262128278551</v>
      </c>
      <c r="K23" s="4493">
        <f t="shared" si="5"/>
        <v>-5422.7913725982626</v>
      </c>
      <c r="L23" s="4493">
        <f t="shared" si="6"/>
        <v>-6165.5333280983186</v>
      </c>
      <c r="M23" s="4493">
        <f t="shared" si="7"/>
        <v>-7014.9198131148314</v>
      </c>
      <c r="N23" s="4493">
        <f t="shared" si="8"/>
        <v>-7983.7853282517935</v>
      </c>
    </row>
    <row r="24" spans="1:14" ht="13.8" thickBot="1">
      <c r="A24" s="3223" t="s">
        <v>528</v>
      </c>
      <c r="B24" s="3235">
        <f>-'14. ОПР'!B26</f>
        <v>-1657.8527224573436</v>
      </c>
      <c r="C24" s="3220">
        <f>-'14. ОПР'!C26</f>
        <v>-2562.3353221269631</v>
      </c>
      <c r="D24" s="3221">
        <f>-'14. ОПР'!D26</f>
        <v>-2950.1833868549147</v>
      </c>
      <c r="E24" s="3221">
        <f>-'14. ОПР'!E26</f>
        <v>-3335.1636527675928</v>
      </c>
      <c r="F24" s="3221">
        <f>-'14. ОПР'!F26</f>
        <v>-3725.1882114592436</v>
      </c>
      <c r="G24" s="3222">
        <f>-'14. ОПР'!G26</f>
        <v>-4116.1997365060515</v>
      </c>
      <c r="H24" s="4488"/>
      <c r="I24" s="4493">
        <f t="shared" si="3"/>
        <v>-847.64663721148747</v>
      </c>
      <c r="J24" s="4493">
        <f t="shared" si="4"/>
        <v>-1310.1012471058134</v>
      </c>
      <c r="K24" s="4493">
        <f t="shared" si="5"/>
        <v>-1508.4048137388806</v>
      </c>
      <c r="L24" s="4493">
        <f t="shared" si="6"/>
        <v>-1705.2420981207943</v>
      </c>
      <c r="M24" s="4493">
        <f t="shared" si="7"/>
        <v>-1904.6584884469733</v>
      </c>
      <c r="N24" s="4493">
        <f t="shared" si="8"/>
        <v>-2104.5795066575579</v>
      </c>
    </row>
    <row r="25" spans="1:14" ht="13.8" thickBot="1">
      <c r="A25" s="3223" t="s">
        <v>529</v>
      </c>
      <c r="B25" s="3235">
        <f>-('12. Разходи'!C73+'12. Разходи'!K73+'12. Разходи'!S73+'12. Разходи'!AA73+'12. Разходи'!AI73)</f>
        <v>-540.93286000000001</v>
      </c>
      <c r="C25" s="3220">
        <f>-('12. Разходи'!D73+'12. Разходи'!L73+'12. Разходи'!T73+'12. Разходи'!AB73+'12. Разходи'!AJ73)</f>
        <v>-574.68172000000004</v>
      </c>
      <c r="D25" s="3221">
        <f>-('12. Разходи'!E73+'12. Разходи'!M73+'12. Разходи'!U73+'12. Разходи'!AC73+'12. Разходи'!AK73)</f>
        <v>-572.30788000000007</v>
      </c>
      <c r="E25" s="3221">
        <f>-('12. Разходи'!F73+'12. Разходи'!N73+'12. Разходи'!V73+'12. Разходи'!AD73+'12. Разходи'!AL73)</f>
        <v>-569.45434</v>
      </c>
      <c r="F25" s="3221">
        <f>-('12. Разходи'!G73+'12. Разходи'!O73+'12. Разходи'!W73+'12. Разходи'!AE73+'12. Разходи'!AM73)</f>
        <v>-565.58104000000003</v>
      </c>
      <c r="G25" s="3222">
        <f>-('12. Разходи'!H73+'12. Разходи'!P73+'12. Разходи'!X73+'12. Разходи'!AF73+'12. Разходи'!AN73)</f>
        <v>-559.99810000000002</v>
      </c>
      <c r="H25" s="4488"/>
      <c r="I25" s="4493">
        <f t="shared" si="3"/>
        <v>-276.57457959025072</v>
      </c>
      <c r="J25" s="4493">
        <f t="shared" si="4"/>
        <v>-293.83009770787851</v>
      </c>
      <c r="K25" s="4493">
        <f t="shared" si="5"/>
        <v>-292.6163725886197</v>
      </c>
      <c r="L25" s="4493">
        <f t="shared" si="6"/>
        <v>-291.15738075395103</v>
      </c>
      <c r="M25" s="4493">
        <f t="shared" si="7"/>
        <v>-289.17699391051372</v>
      </c>
      <c r="N25" s="4493">
        <f t="shared" si="8"/>
        <v>-286.32248201530808</v>
      </c>
    </row>
    <row r="26" spans="1:14" ht="13.8" thickBot="1">
      <c r="A26" s="3223" t="s">
        <v>530</v>
      </c>
      <c r="B26" s="3235">
        <f>-('12. Разходи'!C74+'12. Разходи'!K74+'12. Разходи'!S74+'12. Разходи'!AA74+'12. Разходи'!AI74)</f>
        <v>-14.197737016522183</v>
      </c>
      <c r="C26" s="3220">
        <f>-('12. Разходи'!D74+'12. Разходи'!L74+'12. Разходи'!T74+'12. Разходи'!AB74+'12. Разходи'!AJ74)</f>
        <v>-14.283830000000004</v>
      </c>
      <c r="D26" s="3221">
        <f>-('12. Разходи'!E74+'12. Разходи'!M74+'12. Разходи'!U74+'12. Разходи'!AC74+'12. Разходи'!AK74)</f>
        <v>-14.320390000000002</v>
      </c>
      <c r="E26" s="3221">
        <f>-('12. Разходи'!F74+'12. Разходи'!N74+'12. Разходи'!V74+'12. Разходи'!AD74+'12. Разходи'!AL74)</f>
        <v>-14.383039999999999</v>
      </c>
      <c r="F26" s="3221">
        <f>-('12. Разходи'!G74+'12. Разходи'!O74+'12. Разходи'!W74+'12. Разходи'!AE74+'12. Разходи'!AM74)</f>
        <v>-14.471610000000002</v>
      </c>
      <c r="G26" s="3222">
        <f>-('12. Разходи'!H74+'12. Разходи'!P74+'12. Разходи'!X74+'12. Разходи'!AF74+'12. Разходи'!AN74)</f>
        <v>-14.56588</v>
      </c>
      <c r="H26" s="4488"/>
      <c r="I26" s="4493">
        <f t="shared" si="3"/>
        <v>-7.2591876679068132</v>
      </c>
      <c r="J26" s="4493">
        <f t="shared" si="4"/>
        <v>-7.3032063113869832</v>
      </c>
      <c r="K26" s="4493">
        <f t="shared" si="5"/>
        <v>-7.3218991425635158</v>
      </c>
      <c r="L26" s="4493">
        <f t="shared" si="6"/>
        <v>-7.3539315789204585</v>
      </c>
      <c r="M26" s="4493">
        <f t="shared" si="7"/>
        <v>-7.3992167008380081</v>
      </c>
      <c r="N26" s="4493">
        <f t="shared" si="8"/>
        <v>-7.4474161864783754</v>
      </c>
    </row>
    <row r="27" spans="1:14" ht="13.8" thickBot="1">
      <c r="A27" s="3228" t="s">
        <v>531</v>
      </c>
      <c r="B27" s="3235">
        <f>-('12. Разходи'!C72+'12. Разходи'!K72+'12. Разходи'!S72+'12. Разходи'!AA72+'12. Разходи'!AI72)</f>
        <v>-20.822510000000001</v>
      </c>
      <c r="C27" s="3220">
        <f>-('12. Разходи'!D72+'12. Разходи'!L72+'12. Разходи'!T72+'12. Разходи'!AB72+'12. Разходи'!AJ72)</f>
        <v>-24.567468767000001</v>
      </c>
      <c r="D27" s="3221">
        <f>-('12. Разходи'!E72+'12. Разходи'!M72+'12. Разходи'!U72+'12. Разходи'!AC72+'12. Разходи'!AK72)</f>
        <v>-24.769809428000002</v>
      </c>
      <c r="E27" s="3221">
        <f>-('12. Разходи'!F72+'12. Разходи'!N72+'12. Разходи'!V72+'12. Разходи'!AD72+'12. Разходи'!AL72)</f>
        <v>-24.830520700277212</v>
      </c>
      <c r="F27" s="3221">
        <f>-('12. Разходи'!G72+'12. Разходи'!O72+'12. Разходи'!W72+'12. Разходи'!AE72+'12. Разходи'!AM72)</f>
        <v>-24.890145259788603</v>
      </c>
      <c r="G27" s="3222">
        <f>-('12. Разходи'!H72+'12. Разходи'!P72+'12. Разходи'!X72+'12. Разходи'!AF72+'12. Разходи'!AN72)</f>
        <v>-24.962407553555266</v>
      </c>
      <c r="H27" s="4488"/>
      <c r="I27" s="4493">
        <f t="shared" si="3"/>
        <v>-10.646380309127073</v>
      </c>
      <c r="J27" s="4493">
        <f t="shared" si="4"/>
        <v>-12.561147322108773</v>
      </c>
      <c r="K27" s="4493">
        <f t="shared" si="5"/>
        <v>-12.664602459313949</v>
      </c>
      <c r="L27" s="4493">
        <f t="shared" si="6"/>
        <v>-12.695643639926381</v>
      </c>
      <c r="M27" s="4493">
        <f t="shared" si="7"/>
        <v>-12.726129193124455</v>
      </c>
      <c r="N27" s="4493">
        <f t="shared" si="8"/>
        <v>-12.763076317243966</v>
      </c>
    </row>
    <row r="28" spans="1:14" ht="13.8" thickBot="1">
      <c r="A28" s="3228" t="s">
        <v>532</v>
      </c>
      <c r="B28" s="3235">
        <f>-'14. ОПР'!B30-'14. ОПР'!B31-SUM(B25:B27)</f>
        <v>-161.38147384517754</v>
      </c>
      <c r="C28" s="3220">
        <f>-'14. ОПР'!C30-'14. ОПР'!C31-SUM(C25:C27)</f>
        <v>-173.36559816431713</v>
      </c>
      <c r="D28" s="3221">
        <f>-'14. ОПР'!D30-'14. ОПР'!D31-SUM(D25:D27)</f>
        <v>-173.50059816431713</v>
      </c>
      <c r="E28" s="3221">
        <f>-'14. ОПР'!E30-'14. ОПР'!E31-SUM(E25:E27)</f>
        <v>-173.63559816431723</v>
      </c>
      <c r="F28" s="3221">
        <f>-'14. ОПР'!F30-'14. ОПР'!F31-SUM(F25:F27)</f>
        <v>-173.77059816431711</v>
      </c>
      <c r="G28" s="3222">
        <f>-'14. ОПР'!G30-'14. ОПР'!G31-SUM(G25:G27)</f>
        <v>-173.90559816431721</v>
      </c>
      <c r="H28" s="4488"/>
      <c r="I28" s="4493">
        <f t="shared" si="3"/>
        <v>-82.513037352519163</v>
      </c>
      <c r="J28" s="4493">
        <f t="shared" si="4"/>
        <v>-88.640422820141396</v>
      </c>
      <c r="K28" s="4493">
        <f t="shared" si="5"/>
        <v>-88.709447224102874</v>
      </c>
      <c r="L28" s="4493">
        <f t="shared" si="6"/>
        <v>-88.778471628064423</v>
      </c>
      <c r="M28" s="4493">
        <f t="shared" si="7"/>
        <v>-88.847496032025845</v>
      </c>
      <c r="N28" s="4493">
        <f t="shared" si="8"/>
        <v>-88.916520435987394</v>
      </c>
    </row>
    <row r="29" spans="1:14" ht="13.8" thickBot="1">
      <c r="A29" s="3228" t="s">
        <v>225</v>
      </c>
      <c r="B29" s="3235">
        <f>-'14. ОПР'!B32</f>
        <v>-82.9488715612909</v>
      </c>
      <c r="C29" s="3272">
        <f>-'14. ОПР'!C32</f>
        <v>-56.919147813625038</v>
      </c>
      <c r="D29" s="3273">
        <f>-'14. ОПР'!D32</f>
        <v>-61.229222330271035</v>
      </c>
      <c r="E29" s="3273">
        <f>-'14. ОПР'!E32</f>
        <v>-66.024520065405341</v>
      </c>
      <c r="F29" s="3273">
        <f>-'14. ОПР'!F32</f>
        <v>-71.363017976517639</v>
      </c>
      <c r="G29" s="3274">
        <f>-'14. ОПР'!G32</f>
        <v>-77.313110714148948</v>
      </c>
      <c r="H29" s="4488"/>
      <c r="I29" s="4493">
        <f t="shared" si="3"/>
        <v>-42.411084583675937</v>
      </c>
      <c r="J29" s="4493">
        <f t="shared" si="4"/>
        <v>-29.102298161713971</v>
      </c>
      <c r="K29" s="4493">
        <f t="shared" si="5"/>
        <v>-31.306004269425788</v>
      </c>
      <c r="L29" s="4493">
        <f t="shared" si="6"/>
        <v>-33.757801069318575</v>
      </c>
      <c r="M29" s="4493">
        <f t="shared" si="7"/>
        <v>-36.487331709053265</v>
      </c>
      <c r="N29" s="4493">
        <f t="shared" si="8"/>
        <v>-39.529565818168734</v>
      </c>
    </row>
    <row r="30" spans="1:14" ht="13.8" thickBot="1">
      <c r="A30" s="3236" t="s">
        <v>1017</v>
      </c>
      <c r="B30" s="402"/>
      <c r="C30" s="269">
        <v>-300</v>
      </c>
      <c r="D30" s="413">
        <v>-300</v>
      </c>
      <c r="E30" s="413">
        <v>-300</v>
      </c>
      <c r="F30" s="413">
        <v>-300</v>
      </c>
      <c r="G30" s="270">
        <v>-300</v>
      </c>
      <c r="H30" s="4488"/>
      <c r="I30" s="4493">
        <f t="shared" si="3"/>
        <v>0</v>
      </c>
      <c r="J30" s="4493">
        <f t="shared" si="4"/>
        <v>-153.38756435886555</v>
      </c>
      <c r="K30" s="4493">
        <f t="shared" si="5"/>
        <v>-153.38756435886555</v>
      </c>
      <c r="L30" s="4493">
        <f t="shared" si="6"/>
        <v>-153.38756435886555</v>
      </c>
      <c r="M30" s="4493">
        <f t="shared" si="7"/>
        <v>-153.38756435886555</v>
      </c>
      <c r="N30" s="4493">
        <f t="shared" si="8"/>
        <v>-153.38756435886555</v>
      </c>
    </row>
    <row r="31" spans="1:14" ht="13.8" thickBot="1">
      <c r="A31" s="3237" t="s">
        <v>533</v>
      </c>
      <c r="B31" s="3275">
        <f>SUM(B32:B33)</f>
        <v>-1065.8453</v>
      </c>
      <c r="C31" s="3216">
        <f t="shared" ref="C31:G31" si="12">SUM(C32:C33)</f>
        <v>-1106</v>
      </c>
      <c r="D31" s="3217">
        <f t="shared" si="12"/>
        <v>-950</v>
      </c>
      <c r="E31" s="3217">
        <f t="shared" si="12"/>
        <v>-995</v>
      </c>
      <c r="F31" s="3217">
        <f t="shared" si="12"/>
        <v>-1025</v>
      </c>
      <c r="G31" s="3218">
        <f t="shared" si="12"/>
        <v>-1000</v>
      </c>
      <c r="H31" s="4488"/>
      <c r="I31" s="4493">
        <f t="shared" si="3"/>
        <v>-544.9580485011478</v>
      </c>
      <c r="J31" s="4493">
        <f t="shared" si="4"/>
        <v>-565.48882060301764</v>
      </c>
      <c r="K31" s="4493">
        <f t="shared" si="5"/>
        <v>-485.7272871364076</v>
      </c>
      <c r="L31" s="4493">
        <f t="shared" si="6"/>
        <v>-508.73542179023741</v>
      </c>
      <c r="M31" s="4493">
        <f t="shared" si="7"/>
        <v>-524.07417822612399</v>
      </c>
      <c r="N31" s="4493">
        <f t="shared" si="8"/>
        <v>-511.29188119621847</v>
      </c>
    </row>
    <row r="32" spans="1:14" ht="13.8" thickBot="1">
      <c r="A32" s="3223" t="s">
        <v>329</v>
      </c>
      <c r="B32" s="411">
        <v>-1065.8453</v>
      </c>
      <c r="C32" s="3220">
        <f>-'9.Инвестиционна програма'!I124</f>
        <v>-1106</v>
      </c>
      <c r="D32" s="3221">
        <f>-'9.Инвестиционна програма'!J124</f>
        <v>-950</v>
      </c>
      <c r="E32" s="3221">
        <f>-'9.Инвестиционна програма'!K124</f>
        <v>-995</v>
      </c>
      <c r="F32" s="3221">
        <f>-'9.Инвестиционна програма'!L124</f>
        <v>-1025</v>
      </c>
      <c r="G32" s="3222">
        <f>-'9.Инвестиционна програма'!M124</f>
        <v>-1000</v>
      </c>
      <c r="H32" s="4488"/>
      <c r="I32" s="4493">
        <f t="shared" si="3"/>
        <v>-544.9580485011478</v>
      </c>
      <c r="J32" s="4493">
        <f t="shared" si="4"/>
        <v>-565.48882060301764</v>
      </c>
      <c r="K32" s="4493">
        <f t="shared" si="5"/>
        <v>-485.7272871364076</v>
      </c>
      <c r="L32" s="4493">
        <f t="shared" si="6"/>
        <v>-508.73542179023741</v>
      </c>
      <c r="M32" s="4493">
        <f t="shared" si="7"/>
        <v>-524.07417822612399</v>
      </c>
      <c r="N32" s="4493">
        <f t="shared" si="8"/>
        <v>-511.29188119621847</v>
      </c>
    </row>
    <row r="33" spans="1:14" ht="13.8" thickBot="1">
      <c r="A33" s="3243" t="s">
        <v>534</v>
      </c>
      <c r="B33" s="411"/>
      <c r="C33" s="269"/>
      <c r="D33" s="413"/>
      <c r="E33" s="413"/>
      <c r="F33" s="413"/>
      <c r="G33" s="270"/>
      <c r="H33" s="4488"/>
      <c r="I33" s="4493">
        <f t="shared" si="3"/>
        <v>0</v>
      </c>
      <c r="J33" s="4493">
        <f t="shared" si="4"/>
        <v>0</v>
      </c>
      <c r="K33" s="4493">
        <f t="shared" si="5"/>
        <v>0</v>
      </c>
      <c r="L33" s="4493">
        <f t="shared" si="6"/>
        <v>0</v>
      </c>
      <c r="M33" s="4493">
        <f t="shared" si="7"/>
        <v>0</v>
      </c>
      <c r="N33" s="4493">
        <f t="shared" si="8"/>
        <v>0</v>
      </c>
    </row>
    <row r="34" spans="1:14" ht="13.8" thickBot="1">
      <c r="A34" s="3237" t="s">
        <v>535</v>
      </c>
      <c r="B34" s="3215">
        <f t="shared" ref="B34:G34" si="13">SUM(B35:B41)</f>
        <v>-4430.1356049731603</v>
      </c>
      <c r="C34" s="3216">
        <f t="shared" si="13"/>
        <v>-5332.6075395564212</v>
      </c>
      <c r="D34" s="3217">
        <f t="shared" si="13"/>
        <v>-5625.5235258880903</v>
      </c>
      <c r="E34" s="3217">
        <f t="shared" si="13"/>
        <v>-5847.7887829486144</v>
      </c>
      <c r="F34" s="3217">
        <f t="shared" si="13"/>
        <v>-6132.7527216593217</v>
      </c>
      <c r="G34" s="3218">
        <f t="shared" si="13"/>
        <v>-6452.4804131992187</v>
      </c>
      <c r="H34" s="4488"/>
      <c r="I34" s="4493">
        <f t="shared" si="3"/>
        <v>-2265.0923674210744</v>
      </c>
      <c r="J34" s="4493">
        <f t="shared" si="4"/>
        <v>-2726.5189405809406</v>
      </c>
      <c r="K34" s="4493">
        <f t="shared" si="5"/>
        <v>-2876.2845062649058</v>
      </c>
      <c r="L34" s="4493">
        <f t="shared" si="6"/>
        <v>-2989.9269276719419</v>
      </c>
      <c r="M34" s="4493">
        <f t="shared" si="7"/>
        <v>-3135.6266759684236</v>
      </c>
      <c r="N34" s="4493">
        <f t="shared" si="8"/>
        <v>-3299.1008488463817</v>
      </c>
    </row>
    <row r="35" spans="1:14" ht="13.8" thickBot="1">
      <c r="A35" s="3223" t="s">
        <v>536</v>
      </c>
      <c r="B35" s="3276">
        <f>-'14. ОПР'!B35</f>
        <v>-21.703154973160999</v>
      </c>
      <c r="C35" s="3272">
        <f>-'14. ОПР'!C35</f>
        <v>-10.255336130618831</v>
      </c>
      <c r="D35" s="3273">
        <f>-'14. ОПР'!D35</f>
        <v>-4.531474990096795</v>
      </c>
      <c r="E35" s="3273">
        <f>-'14. ОПР'!E35</f>
        <v>-0.23852252102736687</v>
      </c>
      <c r="F35" s="3273">
        <f>-'14. ОПР'!F35</f>
        <v>0</v>
      </c>
      <c r="G35" s="3274">
        <f>-'14. ОПР'!G35</f>
        <v>0</v>
      </c>
      <c r="H35" s="4488"/>
      <c r="I35" s="4493">
        <f t="shared" si="3"/>
        <v>-11.096646934120551</v>
      </c>
      <c r="J35" s="4493">
        <f t="shared" si="4"/>
        <v>-5.2434701025236503</v>
      </c>
      <c r="K35" s="4493">
        <f t="shared" si="5"/>
        <v>-2.3169063722802057</v>
      </c>
      <c r="L35" s="4493">
        <f t="shared" si="6"/>
        <v>-0.121954628483747</v>
      </c>
      <c r="M35" s="4493">
        <f t="shared" si="7"/>
        <v>0</v>
      </c>
      <c r="N35" s="4493">
        <f t="shared" si="8"/>
        <v>0</v>
      </c>
    </row>
    <row r="36" spans="1:14" ht="13.8" thickBot="1">
      <c r="A36" s="3223" t="s">
        <v>537</v>
      </c>
      <c r="B36" s="411">
        <v>-731.60767999999996</v>
      </c>
      <c r="C36" s="269">
        <v>-352.02229725344199</v>
      </c>
      <c r="D36" s="413">
        <v>-362.39955725344203</v>
      </c>
      <c r="E36" s="413">
        <v>-247.703564313361</v>
      </c>
      <c r="F36" s="413">
        <v>-127.14934</v>
      </c>
      <c r="G36" s="270"/>
      <c r="H36" s="4488"/>
      <c r="I36" s="4493">
        <f t="shared" si="3"/>
        <v>-374.06506700480099</v>
      </c>
      <c r="J36" s="4493">
        <f t="shared" si="4"/>
        <v>-179.98614258572678</v>
      </c>
      <c r="K36" s="4493">
        <f t="shared" si="5"/>
        <v>-185.29195137278907</v>
      </c>
      <c r="L36" s="4493">
        <f t="shared" si="6"/>
        <v>-126.64882137678684</v>
      </c>
      <c r="M36" s="4493">
        <f t="shared" si="7"/>
        <v>-65.010425241457597</v>
      </c>
      <c r="N36" s="4493">
        <f t="shared" si="8"/>
        <v>0</v>
      </c>
    </row>
    <row r="37" spans="1:14" ht="13.8" thickBot="1">
      <c r="A37" s="3243" t="s">
        <v>538</v>
      </c>
      <c r="B37" s="411">
        <v>-108.53626</v>
      </c>
      <c r="C37" s="269">
        <v>-52.249124686499997</v>
      </c>
      <c r="D37" s="413">
        <v>-31.0409891334</v>
      </c>
      <c r="E37" s="413">
        <v>-12.2548091956</v>
      </c>
      <c r="F37" s="413">
        <v>-2.0933900000000101</v>
      </c>
      <c r="G37" s="270"/>
      <c r="H37" s="4488"/>
      <c r="I37" s="4493">
        <f t="shared" si="3"/>
        <v>-55.493708553401881</v>
      </c>
      <c r="J37" s="4493">
        <f t="shared" si="4"/>
        <v>-26.714553251816362</v>
      </c>
      <c r="K37" s="4493">
        <f t="shared" si="5"/>
        <v>-15.871005728207463</v>
      </c>
      <c r="L37" s="4493">
        <f t="shared" si="6"/>
        <v>-6.2657844473190414</v>
      </c>
      <c r="M37" s="4493">
        <f t="shared" si="7"/>
        <v>-1.070333311177357</v>
      </c>
      <c r="N37" s="4493">
        <f t="shared" si="8"/>
        <v>0</v>
      </c>
    </row>
    <row r="38" spans="1:14" ht="13.8" thickBot="1">
      <c r="A38" s="3243" t="s">
        <v>539</v>
      </c>
      <c r="B38" s="411">
        <v>-9.6</v>
      </c>
      <c r="C38" s="400">
        <v>-15</v>
      </c>
      <c r="D38" s="3220">
        <f>-'14. ОПР'!C41</f>
        <v>-28.034440884345532</v>
      </c>
      <c r="E38" s="3221">
        <f>-'14. ОПР'!D41</f>
        <v>-33.037720875384188</v>
      </c>
      <c r="F38" s="3221">
        <f>-'14. ОПР'!E41</f>
        <v>-38.588101535713214</v>
      </c>
      <c r="G38" s="3222">
        <f>-'14. ОПР'!F41</f>
        <v>-44.478588003594268</v>
      </c>
      <c r="H38" s="4488"/>
      <c r="I38" s="4493">
        <f t="shared" si="3"/>
        <v>-4.9084020594836977</v>
      </c>
      <c r="J38" s="4493">
        <f t="shared" si="4"/>
        <v>-7.6693782179432777</v>
      </c>
      <c r="K38" s="4493">
        <f t="shared" si="5"/>
        <v>-14.333782018041207</v>
      </c>
      <c r="L38" s="4493">
        <f t="shared" si="6"/>
        <v>-16.89191845681076</v>
      </c>
      <c r="M38" s="4493">
        <f t="shared" si="7"/>
        <v>-19.729783025985498</v>
      </c>
      <c r="N38" s="4493">
        <f t="shared" si="8"/>
        <v>-22.74154093330927</v>
      </c>
    </row>
    <row r="39" spans="1:14" ht="13.8" thickBot="1">
      <c r="A39" s="3277" t="s">
        <v>1060</v>
      </c>
      <c r="B39" s="63">
        <v>-1941.1270199999999</v>
      </c>
      <c r="C39" s="3265">
        <f>SUM(C21+C22+C28+C29+C32)*20%</f>
        <v>-1348.8938861568085</v>
      </c>
      <c r="D39" s="3263">
        <f t="shared" ref="D39:G39" si="14">SUM(D21+D22+D28+D29+D32)*20%</f>
        <v>-1309.5484467182405</v>
      </c>
      <c r="E39" s="3263">
        <f t="shared" si="14"/>
        <v>-1308.2442141603728</v>
      </c>
      <c r="F39" s="3263">
        <f t="shared" si="14"/>
        <v>-1302.7922321516078</v>
      </c>
      <c r="G39" s="3264">
        <f t="shared" si="14"/>
        <v>-1279.0121234547219</v>
      </c>
      <c r="H39" s="4488"/>
      <c r="I39" s="4493">
        <f t="shared" si="3"/>
        <v>-992.48248569660961</v>
      </c>
      <c r="J39" s="4493">
        <f t="shared" si="4"/>
        <v>-689.67849258719241</v>
      </c>
      <c r="K39" s="4493">
        <f t="shared" si="5"/>
        <v>-669.56148884015511</v>
      </c>
      <c r="L39" s="4493">
        <f t="shared" si="6"/>
        <v>-668.8946453221256</v>
      </c>
      <c r="M39" s="4493">
        <f t="shared" si="7"/>
        <v>-666.10709118461614</v>
      </c>
      <c r="N39" s="4493">
        <f t="shared" si="8"/>
        <v>-653.94851467393482</v>
      </c>
    </row>
    <row r="40" spans="1:14" ht="13.8" thickBot="1">
      <c r="A40" s="3243" t="s">
        <v>540</v>
      </c>
      <c r="B40" s="403">
        <v>-1069</v>
      </c>
      <c r="C40" s="3272">
        <f>-20%*(C10+C12+C13)-20%*(C21+C22+C28+C29+C32)</f>
        <v>-2875.3652249479455</v>
      </c>
      <c r="D40" s="3273">
        <f t="shared" ref="D40:G40" si="15">-20%*(D10+D12+D13)-20%*(D21+D22+D28+D29+D32)</f>
        <v>-3213.1468858664593</v>
      </c>
      <c r="E40" s="3273">
        <f t="shared" si="15"/>
        <v>-3572.0833995684848</v>
      </c>
      <c r="F40" s="3273">
        <f t="shared" si="15"/>
        <v>-3991.4932110981053</v>
      </c>
      <c r="G40" s="3274">
        <f t="shared" si="15"/>
        <v>-4463.6346625732403</v>
      </c>
      <c r="H40" s="4488"/>
      <c r="I40" s="4493">
        <f t="shared" si="3"/>
        <v>-546.5710209987576</v>
      </c>
      <c r="J40" s="4493">
        <f t="shared" si="4"/>
        <v>-1470.150894989823</v>
      </c>
      <c r="K40" s="4493">
        <f t="shared" si="5"/>
        <v>-1642.8559158344331</v>
      </c>
      <c r="L40" s="4493">
        <f t="shared" si="6"/>
        <v>-1826.377241155154</v>
      </c>
      <c r="M40" s="4493">
        <f t="shared" si="7"/>
        <v>-2040.8180726842852</v>
      </c>
      <c r="N40" s="4493">
        <f t="shared" si="8"/>
        <v>-2282.2201635997199</v>
      </c>
    </row>
    <row r="41" spans="1:14" ht="13.8" thickBot="1">
      <c r="A41" s="3243" t="s">
        <v>541</v>
      </c>
      <c r="B41" s="411">
        <v>-548.56149000000005</v>
      </c>
      <c r="C41" s="269">
        <v>-678.82167038110595</v>
      </c>
      <c r="D41" s="413">
        <v>-676.82173104210597</v>
      </c>
      <c r="E41" s="413">
        <v>-674.22655231438398</v>
      </c>
      <c r="F41" s="413">
        <v>-670.63644687389501</v>
      </c>
      <c r="G41" s="270">
        <v>-665.35503916766197</v>
      </c>
      <c r="H41" s="4488"/>
      <c r="I41" s="4493">
        <f t="shared" si="3"/>
        <v>-280.47503617390061</v>
      </c>
      <c r="J41" s="4493">
        <f t="shared" si="4"/>
        <v>-347.076008845915</v>
      </c>
      <c r="K41" s="4493">
        <f t="shared" si="5"/>
        <v>-346.05345609899939</v>
      </c>
      <c r="L41" s="4493">
        <f t="shared" si="6"/>
        <v>-344.72656228526199</v>
      </c>
      <c r="M41" s="4493">
        <f t="shared" si="7"/>
        <v>-342.89097052090165</v>
      </c>
      <c r="N41" s="4493">
        <f t="shared" si="8"/>
        <v>-340.19062963941752</v>
      </c>
    </row>
    <row r="42" spans="1:14" ht="13.8" thickBot="1">
      <c r="A42" s="3278" t="s">
        <v>542</v>
      </c>
      <c r="B42" s="3231">
        <f t="shared" ref="B42:G42" si="16">B9+B20</f>
        <v>2948.0434045395778</v>
      </c>
      <c r="C42" s="3232">
        <f t="shared" si="16"/>
        <v>2793.5659740106566</v>
      </c>
      <c r="D42" s="3233">
        <f t="shared" si="16"/>
        <v>2709.5724927805168</v>
      </c>
      <c r="E42" s="3233">
        <f t="shared" si="16"/>
        <v>2719.3279752800117</v>
      </c>
      <c r="F42" s="3233">
        <f t="shared" si="16"/>
        <v>2803.8220106871122</v>
      </c>
      <c r="G42" s="3234">
        <f t="shared" si="16"/>
        <v>2863.9979102518882</v>
      </c>
      <c r="H42" s="4488"/>
      <c r="I42" s="4493">
        <f t="shared" si="3"/>
        <v>1507.3106581551453</v>
      </c>
      <c r="J42" s="4493">
        <f t="shared" si="4"/>
        <v>1428.327602097655</v>
      </c>
      <c r="K42" s="4493">
        <f t="shared" si="5"/>
        <v>1385.3824170712776</v>
      </c>
      <c r="L42" s="4493">
        <f t="shared" si="6"/>
        <v>1390.370316070421</v>
      </c>
      <c r="M42" s="4493">
        <f t="shared" si="7"/>
        <v>1433.5714303835775</v>
      </c>
      <c r="N42" s="4493">
        <f t="shared" si="8"/>
        <v>1464.3388792747264</v>
      </c>
    </row>
    <row r="43" spans="1:14" ht="13.8" thickBot="1">
      <c r="A43" s="3278" t="s">
        <v>543</v>
      </c>
      <c r="B43" s="3231">
        <f>B42+B31</f>
        <v>1882.1981045395778</v>
      </c>
      <c r="C43" s="3232">
        <f>C42+C31</f>
        <v>1687.5659740106566</v>
      </c>
      <c r="D43" s="3233">
        <f t="shared" ref="D43:G43" si="17">D42+D31</f>
        <v>1759.5724927805168</v>
      </c>
      <c r="E43" s="3233">
        <f t="shared" si="17"/>
        <v>1724.3279752800117</v>
      </c>
      <c r="F43" s="3233">
        <f t="shared" si="17"/>
        <v>1778.8220106871122</v>
      </c>
      <c r="G43" s="3234">
        <f t="shared" si="17"/>
        <v>1863.9979102518882</v>
      </c>
      <c r="H43" s="4488"/>
      <c r="I43" s="4493">
        <f t="shared" si="3"/>
        <v>962.35260965399743</v>
      </c>
      <c r="J43" s="4493">
        <f t="shared" si="4"/>
        <v>862.83878149463737</v>
      </c>
      <c r="K43" s="4493">
        <f t="shared" si="5"/>
        <v>899.65512993487005</v>
      </c>
      <c r="L43" s="4493">
        <f t="shared" si="6"/>
        <v>881.63489428018374</v>
      </c>
      <c r="M43" s="4493">
        <f t="shared" si="7"/>
        <v>909.49725215745343</v>
      </c>
      <c r="N43" s="4493">
        <f t="shared" si="8"/>
        <v>953.04699807850795</v>
      </c>
    </row>
    <row r="44" spans="1:14" ht="13.8" thickBot="1">
      <c r="A44" s="3278" t="s">
        <v>544</v>
      </c>
      <c r="B44" s="3231">
        <f t="shared" ref="B44:G44" si="18">B43+(B14+B34)</f>
        <v>-190.46539208257946</v>
      </c>
      <c r="C44" s="3232">
        <f t="shared" si="18"/>
        <v>579.21754555898951</v>
      </c>
      <c r="D44" s="3233">
        <f t="shared" si="18"/>
        <v>656.74429947712633</v>
      </c>
      <c r="E44" s="3233">
        <f t="shared" si="18"/>
        <v>756.86680606025493</v>
      </c>
      <c r="F44" s="3233">
        <f t="shared" si="18"/>
        <v>940.3547322775039</v>
      </c>
      <c r="G44" s="3234">
        <f t="shared" si="18"/>
        <v>1154.1642830806322</v>
      </c>
      <c r="H44" s="4488"/>
      <c r="I44" s="4493">
        <f t="shared" si="3"/>
        <v>-97.383408620677386</v>
      </c>
      <c r="J44" s="4493">
        <f t="shared" si="4"/>
        <v>296.14922849071212</v>
      </c>
      <c r="K44" s="4493">
        <f t="shared" si="5"/>
        <v>335.78802834455263</v>
      </c>
      <c r="L44" s="4493">
        <f t="shared" si="6"/>
        <v>386.9798530855212</v>
      </c>
      <c r="M44" s="4493">
        <f t="shared" si="7"/>
        <v>480.79574005793137</v>
      </c>
      <c r="N44" s="4493">
        <f t="shared" si="8"/>
        <v>590.11482750578136</v>
      </c>
    </row>
    <row r="45" spans="1:14" ht="13.8" thickBot="1">
      <c r="A45" s="3279" t="s">
        <v>545</v>
      </c>
      <c r="B45" s="411">
        <v>276.73945000000151</v>
      </c>
      <c r="C45" s="400">
        <v>86.274057917422056</v>
      </c>
      <c r="D45" s="3362">
        <f t="shared" ref="D45:F45" si="19">C46</f>
        <v>665.49160347641157</v>
      </c>
      <c r="E45" s="3280">
        <f t="shared" si="19"/>
        <v>1322.2359029535378</v>
      </c>
      <c r="F45" s="3280">
        <f t="shared" si="19"/>
        <v>2079.1027090137927</v>
      </c>
      <c r="G45" s="3281">
        <f>F46</f>
        <v>3019.4574412912966</v>
      </c>
      <c r="H45" s="4488"/>
      <c r="I45" s="4493">
        <f t="shared" si="3"/>
        <v>141.49463399170762</v>
      </c>
      <c r="J45" s="4493">
        <f t="shared" si="4"/>
        <v>44.11122537103023</v>
      </c>
      <c r="K45" s="4493">
        <f t="shared" si="5"/>
        <v>340.26045386174235</v>
      </c>
      <c r="L45" s="4493">
        <f t="shared" si="6"/>
        <v>676.04848220629492</v>
      </c>
      <c r="M45" s="4493">
        <f t="shared" si="7"/>
        <v>1063.0283352918161</v>
      </c>
      <c r="N45" s="4493">
        <f t="shared" si="8"/>
        <v>1543.8240753497475</v>
      </c>
    </row>
    <row r="46" spans="1:14" ht="13.8" thickBot="1">
      <c r="A46" s="3282" t="s">
        <v>546</v>
      </c>
      <c r="B46" s="3283">
        <f>SUM(B44:B45)</f>
        <v>86.274057917422056</v>
      </c>
      <c r="C46" s="3284">
        <f>SUM(C44:C45)</f>
        <v>665.49160347641157</v>
      </c>
      <c r="D46" s="3285">
        <f t="shared" ref="D46:G46" si="20">SUM(D44:D45)</f>
        <v>1322.2359029535378</v>
      </c>
      <c r="E46" s="3285">
        <f t="shared" si="20"/>
        <v>2079.1027090137927</v>
      </c>
      <c r="F46" s="3285">
        <f t="shared" si="20"/>
        <v>3019.4574412912966</v>
      </c>
      <c r="G46" s="3286">
        <f t="shared" si="20"/>
        <v>4173.6217243719293</v>
      </c>
      <c r="H46" s="4488"/>
      <c r="I46" s="4493">
        <f t="shared" si="3"/>
        <v>44.11122537103023</v>
      </c>
      <c r="J46" s="4493">
        <f t="shared" si="4"/>
        <v>340.26045386174235</v>
      </c>
      <c r="K46" s="4493">
        <f t="shared" si="5"/>
        <v>676.04848220629492</v>
      </c>
      <c r="L46" s="4493">
        <f t="shared" si="6"/>
        <v>1063.0283352918161</v>
      </c>
      <c r="M46" s="4493">
        <f t="shared" si="7"/>
        <v>1543.8240753497475</v>
      </c>
      <c r="N46" s="4493">
        <f t="shared" si="8"/>
        <v>2133.9389028555292</v>
      </c>
    </row>
    <row r="47" spans="1:14">
      <c r="A47" s="3287"/>
      <c r="B47" s="3287"/>
      <c r="C47" s="3287"/>
      <c r="D47" s="3287"/>
      <c r="E47" s="3287"/>
    </row>
    <row r="48" spans="1:14">
      <c r="C48" s="3288">
        <f>C18+C39+C40</f>
        <v>0</v>
      </c>
      <c r="D48" s="3288">
        <f>D18+D39+D40</f>
        <v>0</v>
      </c>
      <c r="E48" s="3288">
        <f>E18+E39+E40</f>
        <v>0</v>
      </c>
      <c r="F48" s="3288">
        <f>F18+F39+F40</f>
        <v>0</v>
      </c>
      <c r="G48" s="3288">
        <f>G18+G39+G40</f>
        <v>0</v>
      </c>
      <c r="J48" s="4551">
        <f t="shared" ref="J48" si="21">IFERROR(C48/$B$1,0)</f>
        <v>0</v>
      </c>
      <c r="K48" s="4551">
        <f t="shared" ref="K48" si="22">IFERROR(D48/$B$1,0)</f>
        <v>0</v>
      </c>
      <c r="L48" s="4551">
        <f t="shared" ref="L48" si="23">IFERROR(E48/$B$1,0)</f>
        <v>0</v>
      </c>
      <c r="M48" s="4551">
        <f t="shared" ref="M48" si="24">IFERROR(F48/$B$1,0)</f>
        <v>0</v>
      </c>
      <c r="N48" s="4551">
        <f>IFERROR(G48/$B$1,0)</f>
        <v>0</v>
      </c>
    </row>
    <row r="49" spans="1:7" s="24" customFormat="1">
      <c r="A49" s="3289" t="str">
        <f>'Приложение '!B82</f>
        <v>Дата: 16.03.2026</v>
      </c>
      <c r="B49" s="3256"/>
      <c r="C49" s="36"/>
      <c r="D49" s="33"/>
    </row>
    <row r="50" spans="1:7" s="24" customFormat="1">
      <c r="C50" s="32"/>
      <c r="D50" s="3290"/>
      <c r="E50" s="3291"/>
      <c r="F50" s="35"/>
    </row>
    <row r="51" spans="1:7" s="24" customFormat="1">
      <c r="A51" s="1653"/>
      <c r="B51" s="1653"/>
      <c r="C51" s="32"/>
      <c r="D51" s="3290"/>
      <c r="E51" s="3292"/>
      <c r="F51" s="35"/>
    </row>
    <row r="52" spans="1:7" s="24" customFormat="1">
      <c r="A52" s="5520" t="s">
        <v>187</v>
      </c>
      <c r="B52" s="5520"/>
      <c r="C52" s="5520"/>
      <c r="D52" s="3260"/>
      <c r="E52" s="3260"/>
      <c r="F52" s="3260"/>
      <c r="G52" s="3260"/>
    </row>
    <row r="53" spans="1:7" s="24" customFormat="1">
      <c r="A53" s="5523" t="s">
        <v>188</v>
      </c>
      <c r="B53" s="5523"/>
      <c r="C53" s="5523"/>
      <c r="D53" s="3260"/>
      <c r="E53" s="3260"/>
      <c r="F53" s="3260"/>
      <c r="G53" s="3260"/>
    </row>
    <row r="54" spans="1:7">
      <c r="A54" s="5524" t="s">
        <v>720</v>
      </c>
      <c r="B54" s="5524"/>
      <c r="C54" s="5524"/>
    </row>
    <row r="55" spans="1:7">
      <c r="A55" s="5519" t="s">
        <v>1481</v>
      </c>
      <c r="B55" s="5519"/>
    </row>
  </sheetData>
  <sheetProtection algorithmName="SHA-512" hashValue="N++N8S0KVO+jAyeGtWPduhkzcu0cPESWtC8PWZ1y6J3CAICU+KZkdzLpjJ9xQz7uOFuv0/8vpIX7XSr/bZN8Sw==" saltValue="1lFoIvOEumjDQm8ntL8QPQ==" spinCount="100000" sheet="1" formatCells="0" formatColumns="0" formatRows="0"/>
  <mergeCells count="9">
    <mergeCell ref="A55:B55"/>
    <mergeCell ref="A52:C52"/>
    <mergeCell ref="A53:C53"/>
    <mergeCell ref="A3:G3"/>
    <mergeCell ref="B1:C1"/>
    <mergeCell ref="A2:G2"/>
    <mergeCell ref="A4:G4"/>
    <mergeCell ref="A5:G5"/>
    <mergeCell ref="A54:C54"/>
  </mergeCells>
  <printOptions horizontalCentered="1"/>
  <pageMargins left="0.70866141732283472" right="7.874015748031496E-2" top="0.74803149606299213" bottom="0.55118110236220474" header="0.31496062992125984" footer="0.31496062992125984"/>
  <pageSetup paperSize="9" scale="88" orientation="portrait" verticalDpi="2" r:id="rId1"/>
  <headerFooter alignWithMargins="0">
    <oddFooter>&amp;C&amp;A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9">
    <tabColor rgb="FF0070C0"/>
    <pageSetUpPr fitToPage="1"/>
  </sheetPr>
  <dimension ref="A1:O70"/>
  <sheetViews>
    <sheetView showGridLines="0" topLeftCell="A37" zoomScaleNormal="100" zoomScaleSheetLayoutView="100" workbookViewId="0">
      <selection activeCell="D43" sqref="D43"/>
    </sheetView>
  </sheetViews>
  <sheetFormatPr defaultRowHeight="13.2"/>
  <cols>
    <col min="1" max="1" width="6.44140625" customWidth="1"/>
    <col min="2" max="2" width="54.88671875" bestFit="1" customWidth="1"/>
    <col min="3" max="3" width="10.33203125" style="182" customWidth="1"/>
    <col min="4" max="8" width="8.6640625" style="182" customWidth="1"/>
    <col min="9" max="9" width="3" customWidth="1"/>
    <col min="254" max="254" width="6.44140625" customWidth="1"/>
    <col min="255" max="255" width="60.5546875" customWidth="1"/>
    <col min="256" max="256" width="10.33203125" customWidth="1"/>
    <col min="257" max="257" width="13.88671875" customWidth="1"/>
    <col min="258" max="258" width="13.5546875" customWidth="1"/>
    <col min="259" max="259" width="14.109375" customWidth="1"/>
    <col min="260" max="260" width="8.33203125" customWidth="1"/>
    <col min="261" max="261" width="11" customWidth="1"/>
    <col min="510" max="510" width="6.44140625" customWidth="1"/>
    <col min="511" max="511" width="60.5546875" customWidth="1"/>
    <col min="512" max="512" width="10.33203125" customWidth="1"/>
    <col min="513" max="513" width="13.88671875" customWidth="1"/>
    <col min="514" max="514" width="13.5546875" customWidth="1"/>
    <col min="515" max="515" width="14.109375" customWidth="1"/>
    <col min="516" max="516" width="8.33203125" customWidth="1"/>
    <col min="517" max="517" width="11" customWidth="1"/>
    <col min="766" max="766" width="6.44140625" customWidth="1"/>
    <col min="767" max="767" width="60.5546875" customWidth="1"/>
    <col min="768" max="768" width="10.33203125" customWidth="1"/>
    <col min="769" max="769" width="13.88671875" customWidth="1"/>
    <col min="770" max="770" width="13.5546875" customWidth="1"/>
    <col min="771" max="771" width="14.109375" customWidth="1"/>
    <col min="772" max="772" width="8.33203125" customWidth="1"/>
    <col min="773" max="773" width="11" customWidth="1"/>
    <col min="1022" max="1022" width="6.44140625" customWidth="1"/>
    <col min="1023" max="1023" width="60.5546875" customWidth="1"/>
    <col min="1024" max="1024" width="10.33203125" customWidth="1"/>
    <col min="1025" max="1025" width="13.88671875" customWidth="1"/>
    <col min="1026" max="1026" width="13.5546875" customWidth="1"/>
    <col min="1027" max="1027" width="14.109375" customWidth="1"/>
    <col min="1028" max="1028" width="8.33203125" customWidth="1"/>
    <col min="1029" max="1029" width="11" customWidth="1"/>
    <col min="1278" max="1278" width="6.44140625" customWidth="1"/>
    <col min="1279" max="1279" width="60.5546875" customWidth="1"/>
    <col min="1280" max="1280" width="10.33203125" customWidth="1"/>
    <col min="1281" max="1281" width="13.88671875" customWidth="1"/>
    <col min="1282" max="1282" width="13.5546875" customWidth="1"/>
    <col min="1283" max="1283" width="14.109375" customWidth="1"/>
    <col min="1284" max="1284" width="8.33203125" customWidth="1"/>
    <col min="1285" max="1285" width="11" customWidth="1"/>
    <col min="1534" max="1534" width="6.44140625" customWidth="1"/>
    <col min="1535" max="1535" width="60.5546875" customWidth="1"/>
    <col min="1536" max="1536" width="10.33203125" customWidth="1"/>
    <col min="1537" max="1537" width="13.88671875" customWidth="1"/>
    <col min="1538" max="1538" width="13.5546875" customWidth="1"/>
    <col min="1539" max="1539" width="14.109375" customWidth="1"/>
    <col min="1540" max="1540" width="8.33203125" customWidth="1"/>
    <col min="1541" max="1541" width="11" customWidth="1"/>
    <col min="1790" max="1790" width="6.44140625" customWidth="1"/>
    <col min="1791" max="1791" width="60.5546875" customWidth="1"/>
    <col min="1792" max="1792" width="10.33203125" customWidth="1"/>
    <col min="1793" max="1793" width="13.88671875" customWidth="1"/>
    <col min="1794" max="1794" width="13.5546875" customWidth="1"/>
    <col min="1795" max="1795" width="14.109375" customWidth="1"/>
    <col min="1796" max="1796" width="8.33203125" customWidth="1"/>
    <col min="1797" max="1797" width="11" customWidth="1"/>
    <col min="2046" max="2046" width="6.44140625" customWidth="1"/>
    <col min="2047" max="2047" width="60.5546875" customWidth="1"/>
    <col min="2048" max="2048" width="10.33203125" customWidth="1"/>
    <col min="2049" max="2049" width="13.88671875" customWidth="1"/>
    <col min="2050" max="2050" width="13.5546875" customWidth="1"/>
    <col min="2051" max="2051" width="14.109375" customWidth="1"/>
    <col min="2052" max="2052" width="8.33203125" customWidth="1"/>
    <col min="2053" max="2053" width="11" customWidth="1"/>
    <col min="2302" max="2302" width="6.44140625" customWidth="1"/>
    <col min="2303" max="2303" width="60.5546875" customWidth="1"/>
    <col min="2304" max="2304" width="10.33203125" customWidth="1"/>
    <col min="2305" max="2305" width="13.88671875" customWidth="1"/>
    <col min="2306" max="2306" width="13.5546875" customWidth="1"/>
    <col min="2307" max="2307" width="14.109375" customWidth="1"/>
    <col min="2308" max="2308" width="8.33203125" customWidth="1"/>
    <col min="2309" max="2309" width="11" customWidth="1"/>
    <col min="2558" max="2558" width="6.44140625" customWidth="1"/>
    <col min="2559" max="2559" width="60.5546875" customWidth="1"/>
    <col min="2560" max="2560" width="10.33203125" customWidth="1"/>
    <col min="2561" max="2561" width="13.88671875" customWidth="1"/>
    <col min="2562" max="2562" width="13.5546875" customWidth="1"/>
    <col min="2563" max="2563" width="14.109375" customWidth="1"/>
    <col min="2564" max="2564" width="8.33203125" customWidth="1"/>
    <col min="2565" max="2565" width="11" customWidth="1"/>
    <col min="2814" max="2814" width="6.44140625" customWidth="1"/>
    <col min="2815" max="2815" width="60.5546875" customWidth="1"/>
    <col min="2816" max="2816" width="10.33203125" customWidth="1"/>
    <col min="2817" max="2817" width="13.88671875" customWidth="1"/>
    <col min="2818" max="2818" width="13.5546875" customWidth="1"/>
    <col min="2819" max="2819" width="14.109375" customWidth="1"/>
    <col min="2820" max="2820" width="8.33203125" customWidth="1"/>
    <col min="2821" max="2821" width="11" customWidth="1"/>
    <col min="3070" max="3070" width="6.44140625" customWidth="1"/>
    <col min="3071" max="3071" width="60.5546875" customWidth="1"/>
    <col min="3072" max="3072" width="10.33203125" customWidth="1"/>
    <col min="3073" max="3073" width="13.88671875" customWidth="1"/>
    <col min="3074" max="3074" width="13.5546875" customWidth="1"/>
    <col min="3075" max="3075" width="14.109375" customWidth="1"/>
    <col min="3076" max="3076" width="8.33203125" customWidth="1"/>
    <col min="3077" max="3077" width="11" customWidth="1"/>
    <col min="3326" max="3326" width="6.44140625" customWidth="1"/>
    <col min="3327" max="3327" width="60.5546875" customWidth="1"/>
    <col min="3328" max="3328" width="10.33203125" customWidth="1"/>
    <col min="3329" max="3329" width="13.88671875" customWidth="1"/>
    <col min="3330" max="3330" width="13.5546875" customWidth="1"/>
    <col min="3331" max="3331" width="14.109375" customWidth="1"/>
    <col min="3332" max="3332" width="8.33203125" customWidth="1"/>
    <col min="3333" max="3333" width="11" customWidth="1"/>
    <col min="3582" max="3582" width="6.44140625" customWidth="1"/>
    <col min="3583" max="3583" width="60.5546875" customWidth="1"/>
    <col min="3584" max="3584" width="10.33203125" customWidth="1"/>
    <col min="3585" max="3585" width="13.88671875" customWidth="1"/>
    <col min="3586" max="3586" width="13.5546875" customWidth="1"/>
    <col min="3587" max="3587" width="14.109375" customWidth="1"/>
    <col min="3588" max="3588" width="8.33203125" customWidth="1"/>
    <col min="3589" max="3589" width="11" customWidth="1"/>
    <col min="3838" max="3838" width="6.44140625" customWidth="1"/>
    <col min="3839" max="3839" width="60.5546875" customWidth="1"/>
    <col min="3840" max="3840" width="10.33203125" customWidth="1"/>
    <col min="3841" max="3841" width="13.88671875" customWidth="1"/>
    <col min="3842" max="3842" width="13.5546875" customWidth="1"/>
    <col min="3843" max="3843" width="14.109375" customWidth="1"/>
    <col min="3844" max="3844" width="8.33203125" customWidth="1"/>
    <col min="3845" max="3845" width="11" customWidth="1"/>
    <col min="4094" max="4094" width="6.44140625" customWidth="1"/>
    <col min="4095" max="4095" width="60.5546875" customWidth="1"/>
    <col min="4096" max="4096" width="10.33203125" customWidth="1"/>
    <col min="4097" max="4097" width="13.88671875" customWidth="1"/>
    <col min="4098" max="4098" width="13.5546875" customWidth="1"/>
    <col min="4099" max="4099" width="14.109375" customWidth="1"/>
    <col min="4100" max="4100" width="8.33203125" customWidth="1"/>
    <col min="4101" max="4101" width="11" customWidth="1"/>
    <col min="4350" max="4350" width="6.44140625" customWidth="1"/>
    <col min="4351" max="4351" width="60.5546875" customWidth="1"/>
    <col min="4352" max="4352" width="10.33203125" customWidth="1"/>
    <col min="4353" max="4353" width="13.88671875" customWidth="1"/>
    <col min="4354" max="4354" width="13.5546875" customWidth="1"/>
    <col min="4355" max="4355" width="14.109375" customWidth="1"/>
    <col min="4356" max="4356" width="8.33203125" customWidth="1"/>
    <col min="4357" max="4357" width="11" customWidth="1"/>
    <col min="4606" max="4606" width="6.44140625" customWidth="1"/>
    <col min="4607" max="4607" width="60.5546875" customWidth="1"/>
    <col min="4608" max="4608" width="10.33203125" customWidth="1"/>
    <col min="4609" max="4609" width="13.88671875" customWidth="1"/>
    <col min="4610" max="4610" width="13.5546875" customWidth="1"/>
    <col min="4611" max="4611" width="14.109375" customWidth="1"/>
    <col min="4612" max="4612" width="8.33203125" customWidth="1"/>
    <col min="4613" max="4613" width="11" customWidth="1"/>
    <col min="4862" max="4862" width="6.44140625" customWidth="1"/>
    <col min="4863" max="4863" width="60.5546875" customWidth="1"/>
    <col min="4864" max="4864" width="10.33203125" customWidth="1"/>
    <col min="4865" max="4865" width="13.88671875" customWidth="1"/>
    <col min="4866" max="4866" width="13.5546875" customWidth="1"/>
    <col min="4867" max="4867" width="14.109375" customWidth="1"/>
    <col min="4868" max="4868" width="8.33203125" customWidth="1"/>
    <col min="4869" max="4869" width="11" customWidth="1"/>
    <col min="5118" max="5118" width="6.44140625" customWidth="1"/>
    <col min="5119" max="5119" width="60.5546875" customWidth="1"/>
    <col min="5120" max="5120" width="10.33203125" customWidth="1"/>
    <col min="5121" max="5121" width="13.88671875" customWidth="1"/>
    <col min="5122" max="5122" width="13.5546875" customWidth="1"/>
    <col min="5123" max="5123" width="14.109375" customWidth="1"/>
    <col min="5124" max="5124" width="8.33203125" customWidth="1"/>
    <col min="5125" max="5125" width="11" customWidth="1"/>
    <col min="5374" max="5374" width="6.44140625" customWidth="1"/>
    <col min="5375" max="5375" width="60.5546875" customWidth="1"/>
    <col min="5376" max="5376" width="10.33203125" customWidth="1"/>
    <col min="5377" max="5377" width="13.88671875" customWidth="1"/>
    <col min="5378" max="5378" width="13.5546875" customWidth="1"/>
    <col min="5379" max="5379" width="14.109375" customWidth="1"/>
    <col min="5380" max="5380" width="8.33203125" customWidth="1"/>
    <col min="5381" max="5381" width="11" customWidth="1"/>
    <col min="5630" max="5630" width="6.44140625" customWidth="1"/>
    <col min="5631" max="5631" width="60.5546875" customWidth="1"/>
    <col min="5632" max="5632" width="10.33203125" customWidth="1"/>
    <col min="5633" max="5633" width="13.88671875" customWidth="1"/>
    <col min="5634" max="5634" width="13.5546875" customWidth="1"/>
    <col min="5635" max="5635" width="14.109375" customWidth="1"/>
    <col min="5636" max="5636" width="8.33203125" customWidth="1"/>
    <col min="5637" max="5637" width="11" customWidth="1"/>
    <col min="5886" max="5886" width="6.44140625" customWidth="1"/>
    <col min="5887" max="5887" width="60.5546875" customWidth="1"/>
    <col min="5888" max="5888" width="10.33203125" customWidth="1"/>
    <col min="5889" max="5889" width="13.88671875" customWidth="1"/>
    <col min="5890" max="5890" width="13.5546875" customWidth="1"/>
    <col min="5891" max="5891" width="14.109375" customWidth="1"/>
    <col min="5892" max="5892" width="8.33203125" customWidth="1"/>
    <col min="5893" max="5893" width="11" customWidth="1"/>
    <col min="6142" max="6142" width="6.44140625" customWidth="1"/>
    <col min="6143" max="6143" width="60.5546875" customWidth="1"/>
    <col min="6144" max="6144" width="10.33203125" customWidth="1"/>
    <col min="6145" max="6145" width="13.88671875" customWidth="1"/>
    <col min="6146" max="6146" width="13.5546875" customWidth="1"/>
    <col min="6147" max="6147" width="14.109375" customWidth="1"/>
    <col min="6148" max="6148" width="8.33203125" customWidth="1"/>
    <col min="6149" max="6149" width="11" customWidth="1"/>
    <col min="6398" max="6398" width="6.44140625" customWidth="1"/>
    <col min="6399" max="6399" width="60.5546875" customWidth="1"/>
    <col min="6400" max="6400" width="10.33203125" customWidth="1"/>
    <col min="6401" max="6401" width="13.88671875" customWidth="1"/>
    <col min="6402" max="6402" width="13.5546875" customWidth="1"/>
    <col min="6403" max="6403" width="14.109375" customWidth="1"/>
    <col min="6404" max="6404" width="8.33203125" customWidth="1"/>
    <col min="6405" max="6405" width="11" customWidth="1"/>
    <col min="6654" max="6654" width="6.44140625" customWidth="1"/>
    <col min="6655" max="6655" width="60.5546875" customWidth="1"/>
    <col min="6656" max="6656" width="10.33203125" customWidth="1"/>
    <col min="6657" max="6657" width="13.88671875" customWidth="1"/>
    <col min="6658" max="6658" width="13.5546875" customWidth="1"/>
    <col min="6659" max="6659" width="14.109375" customWidth="1"/>
    <col min="6660" max="6660" width="8.33203125" customWidth="1"/>
    <col min="6661" max="6661" width="11" customWidth="1"/>
    <col min="6910" max="6910" width="6.44140625" customWidth="1"/>
    <col min="6911" max="6911" width="60.5546875" customWidth="1"/>
    <col min="6912" max="6912" width="10.33203125" customWidth="1"/>
    <col min="6913" max="6913" width="13.88671875" customWidth="1"/>
    <col min="6914" max="6914" width="13.5546875" customWidth="1"/>
    <col min="6915" max="6915" width="14.109375" customWidth="1"/>
    <col min="6916" max="6916" width="8.33203125" customWidth="1"/>
    <col min="6917" max="6917" width="11" customWidth="1"/>
    <col min="7166" max="7166" width="6.44140625" customWidth="1"/>
    <col min="7167" max="7167" width="60.5546875" customWidth="1"/>
    <col min="7168" max="7168" width="10.33203125" customWidth="1"/>
    <col min="7169" max="7169" width="13.88671875" customWidth="1"/>
    <col min="7170" max="7170" width="13.5546875" customWidth="1"/>
    <col min="7171" max="7171" width="14.109375" customWidth="1"/>
    <col min="7172" max="7172" width="8.33203125" customWidth="1"/>
    <col min="7173" max="7173" width="11" customWidth="1"/>
    <col min="7422" max="7422" width="6.44140625" customWidth="1"/>
    <col min="7423" max="7423" width="60.5546875" customWidth="1"/>
    <col min="7424" max="7424" width="10.33203125" customWidth="1"/>
    <col min="7425" max="7425" width="13.88671875" customWidth="1"/>
    <col min="7426" max="7426" width="13.5546875" customWidth="1"/>
    <col min="7427" max="7427" width="14.109375" customWidth="1"/>
    <col min="7428" max="7428" width="8.33203125" customWidth="1"/>
    <col min="7429" max="7429" width="11" customWidth="1"/>
    <col min="7678" max="7678" width="6.44140625" customWidth="1"/>
    <col min="7679" max="7679" width="60.5546875" customWidth="1"/>
    <col min="7680" max="7680" width="10.33203125" customWidth="1"/>
    <col min="7681" max="7681" width="13.88671875" customWidth="1"/>
    <col min="7682" max="7682" width="13.5546875" customWidth="1"/>
    <col min="7683" max="7683" width="14.109375" customWidth="1"/>
    <col min="7684" max="7684" width="8.33203125" customWidth="1"/>
    <col min="7685" max="7685" width="11" customWidth="1"/>
    <col min="7934" max="7934" width="6.44140625" customWidth="1"/>
    <col min="7935" max="7935" width="60.5546875" customWidth="1"/>
    <col min="7936" max="7936" width="10.33203125" customWidth="1"/>
    <col min="7937" max="7937" width="13.88671875" customWidth="1"/>
    <col min="7938" max="7938" width="13.5546875" customWidth="1"/>
    <col min="7939" max="7939" width="14.109375" customWidth="1"/>
    <col min="7940" max="7940" width="8.33203125" customWidth="1"/>
    <col min="7941" max="7941" width="11" customWidth="1"/>
    <col min="8190" max="8190" width="6.44140625" customWidth="1"/>
    <col min="8191" max="8191" width="60.5546875" customWidth="1"/>
    <col min="8192" max="8192" width="10.33203125" customWidth="1"/>
    <col min="8193" max="8193" width="13.88671875" customWidth="1"/>
    <col min="8194" max="8194" width="13.5546875" customWidth="1"/>
    <col min="8195" max="8195" width="14.109375" customWidth="1"/>
    <col min="8196" max="8196" width="8.33203125" customWidth="1"/>
    <col min="8197" max="8197" width="11" customWidth="1"/>
    <col min="8446" max="8446" width="6.44140625" customWidth="1"/>
    <col min="8447" max="8447" width="60.5546875" customWidth="1"/>
    <col min="8448" max="8448" width="10.33203125" customWidth="1"/>
    <col min="8449" max="8449" width="13.88671875" customWidth="1"/>
    <col min="8450" max="8450" width="13.5546875" customWidth="1"/>
    <col min="8451" max="8451" width="14.109375" customWidth="1"/>
    <col min="8452" max="8452" width="8.33203125" customWidth="1"/>
    <col min="8453" max="8453" width="11" customWidth="1"/>
    <col min="8702" max="8702" width="6.44140625" customWidth="1"/>
    <col min="8703" max="8703" width="60.5546875" customWidth="1"/>
    <col min="8704" max="8704" width="10.33203125" customWidth="1"/>
    <col min="8705" max="8705" width="13.88671875" customWidth="1"/>
    <col min="8706" max="8706" width="13.5546875" customWidth="1"/>
    <col min="8707" max="8707" width="14.109375" customWidth="1"/>
    <col min="8708" max="8708" width="8.33203125" customWidth="1"/>
    <col min="8709" max="8709" width="11" customWidth="1"/>
    <col min="8958" max="8958" width="6.44140625" customWidth="1"/>
    <col min="8959" max="8959" width="60.5546875" customWidth="1"/>
    <col min="8960" max="8960" width="10.33203125" customWidth="1"/>
    <col min="8961" max="8961" width="13.88671875" customWidth="1"/>
    <col min="8962" max="8962" width="13.5546875" customWidth="1"/>
    <col min="8963" max="8963" width="14.109375" customWidth="1"/>
    <col min="8964" max="8964" width="8.33203125" customWidth="1"/>
    <col min="8965" max="8965" width="11" customWidth="1"/>
    <col min="9214" max="9214" width="6.44140625" customWidth="1"/>
    <col min="9215" max="9215" width="60.5546875" customWidth="1"/>
    <col min="9216" max="9216" width="10.33203125" customWidth="1"/>
    <col min="9217" max="9217" width="13.88671875" customWidth="1"/>
    <col min="9218" max="9218" width="13.5546875" customWidth="1"/>
    <col min="9219" max="9219" width="14.109375" customWidth="1"/>
    <col min="9220" max="9220" width="8.33203125" customWidth="1"/>
    <col min="9221" max="9221" width="11" customWidth="1"/>
    <col min="9470" max="9470" width="6.44140625" customWidth="1"/>
    <col min="9471" max="9471" width="60.5546875" customWidth="1"/>
    <col min="9472" max="9472" width="10.33203125" customWidth="1"/>
    <col min="9473" max="9473" width="13.88671875" customWidth="1"/>
    <col min="9474" max="9474" width="13.5546875" customWidth="1"/>
    <col min="9475" max="9475" width="14.109375" customWidth="1"/>
    <col min="9476" max="9476" width="8.33203125" customWidth="1"/>
    <col min="9477" max="9477" width="11" customWidth="1"/>
    <col min="9726" max="9726" width="6.44140625" customWidth="1"/>
    <col min="9727" max="9727" width="60.5546875" customWidth="1"/>
    <col min="9728" max="9728" width="10.33203125" customWidth="1"/>
    <col min="9729" max="9729" width="13.88671875" customWidth="1"/>
    <col min="9730" max="9730" width="13.5546875" customWidth="1"/>
    <col min="9731" max="9731" width="14.109375" customWidth="1"/>
    <col min="9732" max="9732" width="8.33203125" customWidth="1"/>
    <col min="9733" max="9733" width="11" customWidth="1"/>
    <col min="9982" max="9982" width="6.44140625" customWidth="1"/>
    <col min="9983" max="9983" width="60.5546875" customWidth="1"/>
    <col min="9984" max="9984" width="10.33203125" customWidth="1"/>
    <col min="9985" max="9985" width="13.88671875" customWidth="1"/>
    <col min="9986" max="9986" width="13.5546875" customWidth="1"/>
    <col min="9987" max="9987" width="14.109375" customWidth="1"/>
    <col min="9988" max="9988" width="8.33203125" customWidth="1"/>
    <col min="9989" max="9989" width="11" customWidth="1"/>
    <col min="10238" max="10238" width="6.44140625" customWidth="1"/>
    <col min="10239" max="10239" width="60.5546875" customWidth="1"/>
    <col min="10240" max="10240" width="10.33203125" customWidth="1"/>
    <col min="10241" max="10241" width="13.88671875" customWidth="1"/>
    <col min="10242" max="10242" width="13.5546875" customWidth="1"/>
    <col min="10243" max="10243" width="14.109375" customWidth="1"/>
    <col min="10244" max="10244" width="8.33203125" customWidth="1"/>
    <col min="10245" max="10245" width="11" customWidth="1"/>
    <col min="10494" max="10494" width="6.44140625" customWidth="1"/>
    <col min="10495" max="10495" width="60.5546875" customWidth="1"/>
    <col min="10496" max="10496" width="10.33203125" customWidth="1"/>
    <col min="10497" max="10497" width="13.88671875" customWidth="1"/>
    <col min="10498" max="10498" width="13.5546875" customWidth="1"/>
    <col min="10499" max="10499" width="14.109375" customWidth="1"/>
    <col min="10500" max="10500" width="8.33203125" customWidth="1"/>
    <col min="10501" max="10501" width="11" customWidth="1"/>
    <col min="10750" max="10750" width="6.44140625" customWidth="1"/>
    <col min="10751" max="10751" width="60.5546875" customWidth="1"/>
    <col min="10752" max="10752" width="10.33203125" customWidth="1"/>
    <col min="10753" max="10753" width="13.88671875" customWidth="1"/>
    <col min="10754" max="10754" width="13.5546875" customWidth="1"/>
    <col min="10755" max="10755" width="14.109375" customWidth="1"/>
    <col min="10756" max="10756" width="8.33203125" customWidth="1"/>
    <col min="10757" max="10757" width="11" customWidth="1"/>
    <col min="11006" max="11006" width="6.44140625" customWidth="1"/>
    <col min="11007" max="11007" width="60.5546875" customWidth="1"/>
    <col min="11008" max="11008" width="10.33203125" customWidth="1"/>
    <col min="11009" max="11009" width="13.88671875" customWidth="1"/>
    <col min="11010" max="11010" width="13.5546875" customWidth="1"/>
    <col min="11011" max="11011" width="14.109375" customWidth="1"/>
    <col min="11012" max="11012" width="8.33203125" customWidth="1"/>
    <col min="11013" max="11013" width="11" customWidth="1"/>
    <col min="11262" max="11262" width="6.44140625" customWidth="1"/>
    <col min="11263" max="11263" width="60.5546875" customWidth="1"/>
    <col min="11264" max="11264" width="10.33203125" customWidth="1"/>
    <col min="11265" max="11265" width="13.88671875" customWidth="1"/>
    <col min="11266" max="11266" width="13.5546875" customWidth="1"/>
    <col min="11267" max="11267" width="14.109375" customWidth="1"/>
    <col min="11268" max="11268" width="8.33203125" customWidth="1"/>
    <col min="11269" max="11269" width="11" customWidth="1"/>
    <col min="11518" max="11518" width="6.44140625" customWidth="1"/>
    <col min="11519" max="11519" width="60.5546875" customWidth="1"/>
    <col min="11520" max="11520" width="10.33203125" customWidth="1"/>
    <col min="11521" max="11521" width="13.88671875" customWidth="1"/>
    <col min="11522" max="11522" width="13.5546875" customWidth="1"/>
    <col min="11523" max="11523" width="14.109375" customWidth="1"/>
    <col min="11524" max="11524" width="8.33203125" customWidth="1"/>
    <col min="11525" max="11525" width="11" customWidth="1"/>
    <col min="11774" max="11774" width="6.44140625" customWidth="1"/>
    <col min="11775" max="11775" width="60.5546875" customWidth="1"/>
    <col min="11776" max="11776" width="10.33203125" customWidth="1"/>
    <col min="11777" max="11777" width="13.88671875" customWidth="1"/>
    <col min="11778" max="11778" width="13.5546875" customWidth="1"/>
    <col min="11779" max="11779" width="14.109375" customWidth="1"/>
    <col min="11780" max="11780" width="8.33203125" customWidth="1"/>
    <col min="11781" max="11781" width="11" customWidth="1"/>
    <col min="12030" max="12030" width="6.44140625" customWidth="1"/>
    <col min="12031" max="12031" width="60.5546875" customWidth="1"/>
    <col min="12032" max="12032" width="10.33203125" customWidth="1"/>
    <col min="12033" max="12033" width="13.88671875" customWidth="1"/>
    <col min="12034" max="12034" width="13.5546875" customWidth="1"/>
    <col min="12035" max="12035" width="14.109375" customWidth="1"/>
    <col min="12036" max="12036" width="8.33203125" customWidth="1"/>
    <col min="12037" max="12037" width="11" customWidth="1"/>
    <col min="12286" max="12286" width="6.44140625" customWidth="1"/>
    <col min="12287" max="12287" width="60.5546875" customWidth="1"/>
    <col min="12288" max="12288" width="10.33203125" customWidth="1"/>
    <col min="12289" max="12289" width="13.88671875" customWidth="1"/>
    <col min="12290" max="12290" width="13.5546875" customWidth="1"/>
    <col min="12291" max="12291" width="14.109375" customWidth="1"/>
    <col min="12292" max="12292" width="8.33203125" customWidth="1"/>
    <col min="12293" max="12293" width="11" customWidth="1"/>
    <col min="12542" max="12542" width="6.44140625" customWidth="1"/>
    <col min="12543" max="12543" width="60.5546875" customWidth="1"/>
    <col min="12544" max="12544" width="10.33203125" customWidth="1"/>
    <col min="12545" max="12545" width="13.88671875" customWidth="1"/>
    <col min="12546" max="12546" width="13.5546875" customWidth="1"/>
    <col min="12547" max="12547" width="14.109375" customWidth="1"/>
    <col min="12548" max="12548" width="8.33203125" customWidth="1"/>
    <col min="12549" max="12549" width="11" customWidth="1"/>
    <col min="12798" max="12798" width="6.44140625" customWidth="1"/>
    <col min="12799" max="12799" width="60.5546875" customWidth="1"/>
    <col min="12800" max="12800" width="10.33203125" customWidth="1"/>
    <col min="12801" max="12801" width="13.88671875" customWidth="1"/>
    <col min="12802" max="12802" width="13.5546875" customWidth="1"/>
    <col min="12803" max="12803" width="14.109375" customWidth="1"/>
    <col min="12804" max="12804" width="8.33203125" customWidth="1"/>
    <col min="12805" max="12805" width="11" customWidth="1"/>
    <col min="13054" max="13054" width="6.44140625" customWidth="1"/>
    <col min="13055" max="13055" width="60.5546875" customWidth="1"/>
    <col min="13056" max="13056" width="10.33203125" customWidth="1"/>
    <col min="13057" max="13057" width="13.88671875" customWidth="1"/>
    <col min="13058" max="13058" width="13.5546875" customWidth="1"/>
    <col min="13059" max="13059" width="14.109375" customWidth="1"/>
    <col min="13060" max="13060" width="8.33203125" customWidth="1"/>
    <col min="13061" max="13061" width="11" customWidth="1"/>
    <col min="13310" max="13310" width="6.44140625" customWidth="1"/>
    <col min="13311" max="13311" width="60.5546875" customWidth="1"/>
    <col min="13312" max="13312" width="10.33203125" customWidth="1"/>
    <col min="13313" max="13313" width="13.88671875" customWidth="1"/>
    <col min="13314" max="13314" width="13.5546875" customWidth="1"/>
    <col min="13315" max="13315" width="14.109375" customWidth="1"/>
    <col min="13316" max="13316" width="8.33203125" customWidth="1"/>
    <col min="13317" max="13317" width="11" customWidth="1"/>
    <col min="13566" max="13566" width="6.44140625" customWidth="1"/>
    <col min="13567" max="13567" width="60.5546875" customWidth="1"/>
    <col min="13568" max="13568" width="10.33203125" customWidth="1"/>
    <col min="13569" max="13569" width="13.88671875" customWidth="1"/>
    <col min="13570" max="13570" width="13.5546875" customWidth="1"/>
    <col min="13571" max="13571" width="14.109375" customWidth="1"/>
    <col min="13572" max="13572" width="8.33203125" customWidth="1"/>
    <col min="13573" max="13573" width="11" customWidth="1"/>
    <col min="13822" max="13822" width="6.44140625" customWidth="1"/>
    <col min="13823" max="13823" width="60.5546875" customWidth="1"/>
    <col min="13824" max="13824" width="10.33203125" customWidth="1"/>
    <col min="13825" max="13825" width="13.88671875" customWidth="1"/>
    <col min="13826" max="13826" width="13.5546875" customWidth="1"/>
    <col min="13827" max="13827" width="14.109375" customWidth="1"/>
    <col min="13828" max="13828" width="8.33203125" customWidth="1"/>
    <col min="13829" max="13829" width="11" customWidth="1"/>
    <col min="14078" max="14078" width="6.44140625" customWidth="1"/>
    <col min="14079" max="14079" width="60.5546875" customWidth="1"/>
    <col min="14080" max="14080" width="10.33203125" customWidth="1"/>
    <col min="14081" max="14081" width="13.88671875" customWidth="1"/>
    <col min="14082" max="14082" width="13.5546875" customWidth="1"/>
    <col min="14083" max="14083" width="14.109375" customWidth="1"/>
    <col min="14084" max="14084" width="8.33203125" customWidth="1"/>
    <col min="14085" max="14085" width="11" customWidth="1"/>
    <col min="14334" max="14334" width="6.44140625" customWidth="1"/>
    <col min="14335" max="14335" width="60.5546875" customWidth="1"/>
    <col min="14336" max="14336" width="10.33203125" customWidth="1"/>
    <col min="14337" max="14337" width="13.88671875" customWidth="1"/>
    <col min="14338" max="14338" width="13.5546875" customWidth="1"/>
    <col min="14339" max="14339" width="14.109375" customWidth="1"/>
    <col min="14340" max="14340" width="8.33203125" customWidth="1"/>
    <col min="14341" max="14341" width="11" customWidth="1"/>
    <col min="14590" max="14590" width="6.44140625" customWidth="1"/>
    <col min="14591" max="14591" width="60.5546875" customWidth="1"/>
    <col min="14592" max="14592" width="10.33203125" customWidth="1"/>
    <col min="14593" max="14593" width="13.88671875" customWidth="1"/>
    <col min="14594" max="14594" width="13.5546875" customWidth="1"/>
    <col min="14595" max="14595" width="14.109375" customWidth="1"/>
    <col min="14596" max="14596" width="8.33203125" customWidth="1"/>
    <col min="14597" max="14597" width="11" customWidth="1"/>
    <col min="14846" max="14846" width="6.44140625" customWidth="1"/>
    <col min="14847" max="14847" width="60.5546875" customWidth="1"/>
    <col min="14848" max="14848" width="10.33203125" customWidth="1"/>
    <col min="14849" max="14849" width="13.88671875" customWidth="1"/>
    <col min="14850" max="14850" width="13.5546875" customWidth="1"/>
    <col min="14851" max="14851" width="14.109375" customWidth="1"/>
    <col min="14852" max="14852" width="8.33203125" customWidth="1"/>
    <col min="14853" max="14853" width="11" customWidth="1"/>
    <col min="15102" max="15102" width="6.44140625" customWidth="1"/>
    <col min="15103" max="15103" width="60.5546875" customWidth="1"/>
    <col min="15104" max="15104" width="10.33203125" customWidth="1"/>
    <col min="15105" max="15105" width="13.88671875" customWidth="1"/>
    <col min="15106" max="15106" width="13.5546875" customWidth="1"/>
    <col min="15107" max="15107" width="14.109375" customWidth="1"/>
    <col min="15108" max="15108" width="8.33203125" customWidth="1"/>
    <col min="15109" max="15109" width="11" customWidth="1"/>
    <col min="15358" max="15358" width="6.44140625" customWidth="1"/>
    <col min="15359" max="15359" width="60.5546875" customWidth="1"/>
    <col min="15360" max="15360" width="10.33203125" customWidth="1"/>
    <col min="15361" max="15361" width="13.88671875" customWidth="1"/>
    <col min="15362" max="15362" width="13.5546875" customWidth="1"/>
    <col min="15363" max="15363" width="14.109375" customWidth="1"/>
    <col min="15364" max="15364" width="8.33203125" customWidth="1"/>
    <col min="15365" max="15365" width="11" customWidth="1"/>
    <col min="15614" max="15614" width="6.44140625" customWidth="1"/>
    <col min="15615" max="15615" width="60.5546875" customWidth="1"/>
    <col min="15616" max="15616" width="10.33203125" customWidth="1"/>
    <col min="15617" max="15617" width="13.88671875" customWidth="1"/>
    <col min="15618" max="15618" width="13.5546875" customWidth="1"/>
    <col min="15619" max="15619" width="14.109375" customWidth="1"/>
    <col min="15620" max="15620" width="8.33203125" customWidth="1"/>
    <col min="15621" max="15621" width="11" customWidth="1"/>
    <col min="15870" max="15870" width="6.44140625" customWidth="1"/>
    <col min="15871" max="15871" width="60.5546875" customWidth="1"/>
    <col min="15872" max="15872" width="10.33203125" customWidth="1"/>
    <col min="15873" max="15873" width="13.88671875" customWidth="1"/>
    <col min="15874" max="15874" width="13.5546875" customWidth="1"/>
    <col min="15875" max="15875" width="14.109375" customWidth="1"/>
    <col min="15876" max="15876" width="8.33203125" customWidth="1"/>
    <col min="15877" max="15877" width="11" customWidth="1"/>
    <col min="16126" max="16126" width="6.44140625" customWidth="1"/>
    <col min="16127" max="16127" width="60.5546875" customWidth="1"/>
    <col min="16128" max="16128" width="10.33203125" customWidth="1"/>
    <col min="16129" max="16129" width="13.88671875" customWidth="1"/>
    <col min="16130" max="16130" width="13.5546875" customWidth="1"/>
    <col min="16131" max="16131" width="14.109375" customWidth="1"/>
    <col min="16132" max="16132" width="8.33203125" customWidth="1"/>
    <col min="16133" max="16133" width="11" customWidth="1"/>
  </cols>
  <sheetData>
    <row r="1" spans="1:15" ht="16.8" thickBot="1">
      <c r="A1" s="5009" t="str">
        <f>+'1. Обща информация'!B40</f>
        <v>Фиксиран курс на лева към 1 евро</v>
      </c>
      <c r="B1" s="5009"/>
      <c r="C1" s="5010">
        <f>+'1. Обща информация'!$C$40</f>
        <v>1.95583</v>
      </c>
      <c r="D1" s="5010"/>
      <c r="H1" s="3182" t="s">
        <v>552</v>
      </c>
    </row>
    <row r="2" spans="1:15" s="4" customFormat="1" ht="17.399999999999999">
      <c r="A2" s="5553" t="s">
        <v>1488</v>
      </c>
      <c r="B2" s="5553"/>
      <c r="C2" s="5553"/>
      <c r="D2" s="5553"/>
      <c r="E2" s="5553"/>
      <c r="F2" s="5553"/>
      <c r="G2" s="5553"/>
      <c r="H2" s="5553"/>
    </row>
    <row r="3" spans="1:15" ht="17.399999999999999">
      <c r="A3" s="5553" t="s">
        <v>1011</v>
      </c>
      <c r="B3" s="5553"/>
      <c r="C3" s="5553"/>
      <c r="D3" s="5553"/>
      <c r="E3" s="5553"/>
      <c r="F3" s="5553"/>
      <c r="G3" s="5553"/>
      <c r="H3" s="5553"/>
    </row>
    <row r="4" spans="1:15" ht="16.5" customHeight="1">
      <c r="A4" s="5554" t="str">
        <f>'1. Обща информация'!A4:D4</f>
        <v>на "В И К" АД, гр. Ловеч</v>
      </c>
      <c r="B4" s="5554"/>
      <c r="C4" s="5554"/>
      <c r="D4" s="5554"/>
      <c r="E4" s="5554"/>
      <c r="F4" s="5554"/>
      <c r="G4" s="5554"/>
      <c r="H4" s="5554"/>
    </row>
    <row r="5" spans="1:15" ht="15.75" customHeight="1">
      <c r="A5" s="5554" t="str">
        <f>'1. Обща информация'!A5:D5</f>
        <v>ЕИК по БУЛСТАТ: 110549443</v>
      </c>
      <c r="B5" s="5554"/>
      <c r="C5" s="5554"/>
      <c r="D5" s="5554"/>
      <c r="E5" s="5554"/>
      <c r="F5" s="5554"/>
      <c r="G5" s="5554"/>
      <c r="H5" s="5554"/>
    </row>
    <row r="6" spans="1:15" ht="13.5" customHeight="1" thickBot="1">
      <c r="A6" s="3293"/>
      <c r="B6" s="3293"/>
      <c r="C6" s="3293"/>
      <c r="D6" s="3294"/>
      <c r="E6" s="3294"/>
      <c r="F6" s="3294"/>
      <c r="G6" s="3294"/>
      <c r="H6" s="3294"/>
    </row>
    <row r="7" spans="1:15" ht="13.5" customHeight="1" thickBot="1">
      <c r="A7" s="5531" t="s">
        <v>1</v>
      </c>
      <c r="B7" s="5533" t="s">
        <v>293</v>
      </c>
      <c r="C7" s="5535" t="s">
        <v>166</v>
      </c>
      <c r="D7" s="5529" t="s">
        <v>210</v>
      </c>
      <c r="E7" s="5529"/>
      <c r="F7" s="5529"/>
      <c r="G7" s="5529"/>
      <c r="H7" s="5530"/>
      <c r="I7" s="4488"/>
      <c r="J7" s="5525" t="s">
        <v>166</v>
      </c>
      <c r="K7" s="5526" t="s">
        <v>210</v>
      </c>
      <c r="L7" s="5526"/>
      <c r="M7" s="5526"/>
      <c r="N7" s="5526"/>
      <c r="O7" s="5526"/>
    </row>
    <row r="8" spans="1:15" ht="13.8" thickBot="1">
      <c r="A8" s="5532"/>
      <c r="B8" s="5534"/>
      <c r="C8" s="5536"/>
      <c r="D8" s="645" t="str">
        <f>'Приложение '!$C14</f>
        <v>2027 г.</v>
      </c>
      <c r="E8" s="261" t="str">
        <f>'Приложение '!$C15</f>
        <v>2028 г.</v>
      </c>
      <c r="F8" s="261" t="str">
        <f>'Приложение '!$C16</f>
        <v>2029 г.</v>
      </c>
      <c r="G8" s="261" t="str">
        <f>'Приложение '!$C17</f>
        <v>2030 г.</v>
      </c>
      <c r="H8" s="262" t="str">
        <f>'Приложение '!$C18</f>
        <v>2031 г.</v>
      </c>
      <c r="I8" s="4488"/>
      <c r="J8" s="5525"/>
      <c r="K8" s="4553" t="str">
        <f>'Приложение '!$C14</f>
        <v>2027 г.</v>
      </c>
      <c r="L8" s="4553" t="str">
        <f>'Приложение '!$C15</f>
        <v>2028 г.</v>
      </c>
      <c r="M8" s="4553" t="str">
        <f>'Приложение '!$C16</f>
        <v>2029 г.</v>
      </c>
      <c r="N8" s="4553" t="str">
        <f>'Приложение '!$C17</f>
        <v>2030 г.</v>
      </c>
      <c r="O8" s="4553" t="str">
        <f>'Приложение '!$C18</f>
        <v>2031 г.</v>
      </c>
    </row>
    <row r="9" spans="1:15" ht="15" customHeight="1" thickBot="1">
      <c r="A9" s="3295">
        <v>1</v>
      </c>
      <c r="B9" s="3296" t="s">
        <v>294</v>
      </c>
      <c r="C9" s="3297" t="s">
        <v>295</v>
      </c>
      <c r="D9" s="3298">
        <f>'19. HB'!D17</f>
        <v>822.50462657273886</v>
      </c>
      <c r="E9" s="3299">
        <f>'19. HB'!E17</f>
        <v>847.29701930722865</v>
      </c>
      <c r="F9" s="3299">
        <f>'19. HB'!F17</f>
        <v>878.56700871573537</v>
      </c>
      <c r="G9" s="3299">
        <f>'19. HB'!G17</f>
        <v>915.25941612160079</v>
      </c>
      <c r="H9" s="3300">
        <f>'19. HB'!H17</f>
        <v>950.46216204664552</v>
      </c>
      <c r="I9" s="4488"/>
      <c r="J9" s="4552" t="s">
        <v>1894</v>
      </c>
      <c r="K9" s="4493">
        <f>IFERROR(D9/$C$1,0)</f>
        <v>420.53993781296884</v>
      </c>
      <c r="L9" s="4493">
        <f t="shared" ref="L9:O9" si="0">IFERROR(E9/$C$1,0)</f>
        <v>433.21608693354159</v>
      </c>
      <c r="M9" s="4493">
        <f t="shared" si="0"/>
        <v>449.20417864320285</v>
      </c>
      <c r="N9" s="4493">
        <f t="shared" si="0"/>
        <v>467.96470865136581</v>
      </c>
      <c r="O9" s="4493">
        <f t="shared" si="0"/>
        <v>485.96358683865446</v>
      </c>
    </row>
    <row r="10" spans="1:15" ht="15" customHeight="1" thickBot="1">
      <c r="A10" s="3301">
        <v>2</v>
      </c>
      <c r="B10" s="3302" t="s">
        <v>296</v>
      </c>
      <c r="C10" s="3303" t="s">
        <v>295</v>
      </c>
      <c r="D10" s="3304">
        <f>'12. Разходи'!D88</f>
        <v>13156.606403515611</v>
      </c>
      <c r="E10" s="3305">
        <f>'12. Разходи'!E88</f>
        <v>14216.279881309692</v>
      </c>
      <c r="F10" s="3305">
        <f>'12. Разходи'!F88</f>
        <v>15356.712012403028</v>
      </c>
      <c r="G10" s="3305">
        <f>'12. Разходи'!G88</f>
        <v>16663.644871407112</v>
      </c>
      <c r="H10" s="3306">
        <f>'12. Разходи'!H88</f>
        <v>18090.444511418325</v>
      </c>
      <c r="I10" s="4488"/>
      <c r="J10" s="4552" t="s">
        <v>1894</v>
      </c>
      <c r="K10" s="4493">
        <f t="shared" ref="K10:K11" si="1">IFERROR(D10/$C$1,0)</f>
        <v>6726.8660382117114</v>
      </c>
      <c r="L10" s="4493">
        <f t="shared" ref="L10:L11" si="2">IFERROR(E10/$C$1,0)</f>
        <v>7268.6684841267861</v>
      </c>
      <c r="M10" s="4493">
        <f t="shared" ref="M10:M11" si="3">IFERROR(F10/$C$1,0)</f>
        <v>7851.7621738101107</v>
      </c>
      <c r="N10" s="4493">
        <f t="shared" ref="N10:N11" si="4">IFERROR(G10/$C$1,0)</f>
        <v>8519.9863338874602</v>
      </c>
      <c r="O10" s="4493">
        <f t="shared" ref="O10:O11" si="5">IFERROR(H10/$C$1,0)</f>
        <v>9249.4974059188808</v>
      </c>
    </row>
    <row r="11" spans="1:15" ht="15" customHeight="1" thickBot="1">
      <c r="A11" s="3301">
        <v>3</v>
      </c>
      <c r="B11" s="3302" t="s">
        <v>297</v>
      </c>
      <c r="C11" s="3303" t="s">
        <v>295</v>
      </c>
      <c r="D11" s="3307">
        <f t="shared" ref="D11:H11" si="6">D9+D10</f>
        <v>13979.11103008835</v>
      </c>
      <c r="E11" s="1458">
        <f t="shared" si="6"/>
        <v>15063.576900616921</v>
      </c>
      <c r="F11" s="1458">
        <f t="shared" si="6"/>
        <v>16235.279021118764</v>
      </c>
      <c r="G11" s="1458">
        <f t="shared" si="6"/>
        <v>17578.904287528712</v>
      </c>
      <c r="H11" s="1459">
        <f t="shared" si="6"/>
        <v>19040.906673464971</v>
      </c>
      <c r="I11" s="4488"/>
      <c r="J11" s="4552" t="s">
        <v>1894</v>
      </c>
      <c r="K11" s="4493">
        <f t="shared" si="1"/>
        <v>7147.4059760246801</v>
      </c>
      <c r="L11" s="4493">
        <f t="shared" si="2"/>
        <v>7701.8845710603282</v>
      </c>
      <c r="M11" s="4493">
        <f t="shared" si="3"/>
        <v>8300.9663524533134</v>
      </c>
      <c r="N11" s="4493">
        <f t="shared" si="4"/>
        <v>8987.9510425388271</v>
      </c>
      <c r="O11" s="4493">
        <f t="shared" si="5"/>
        <v>9735.4609927575366</v>
      </c>
    </row>
    <row r="12" spans="1:15" ht="15" customHeight="1" thickBot="1">
      <c r="A12" s="124">
        <v>4</v>
      </c>
      <c r="B12" s="3302" t="s">
        <v>340</v>
      </c>
      <c r="C12" s="3308" t="s">
        <v>920</v>
      </c>
      <c r="D12" s="3307">
        <f>('4. Отчет и прогн. потребление'!E9-'4. Отчет и прогн. потребление'!E43)/1000</f>
        <v>3794.9682379999999</v>
      </c>
      <c r="E12" s="1458">
        <f>('4. Отчет и прогн. потребление'!F9-'4. Отчет и прогн. потребление'!F43)/1000</f>
        <v>3805.0867833795342</v>
      </c>
      <c r="F12" s="1458">
        <f>('4. Отчет и прогн. потребление'!G9-'4. Отчет и прогн. потребление'!G43)/1000</f>
        <v>3815.0242099647671</v>
      </c>
      <c r="G12" s="1458">
        <f>('4. Отчет и прогн. потребление'!H9-'4. Отчет и прогн. потребление'!H43)/1000</f>
        <v>3827.0679255925434</v>
      </c>
      <c r="H12" s="1459">
        <f>('4. Отчет и прогн. потребление'!I9-'4. Отчет и прогн. потребление'!I43)/1000</f>
        <v>3843.4963642007206</v>
      </c>
      <c r="I12" s="4488"/>
      <c r="J12" s="4554"/>
      <c r="K12" s="4555"/>
      <c r="L12" s="4555"/>
      <c r="M12" s="4555"/>
      <c r="N12" s="4555"/>
      <c r="O12" s="4555"/>
    </row>
    <row r="13" spans="1:15" ht="15" customHeight="1" thickBot="1">
      <c r="A13" s="5531" t="s">
        <v>1</v>
      </c>
      <c r="B13" s="5533" t="s">
        <v>293</v>
      </c>
      <c r="C13" s="5551" t="s">
        <v>166</v>
      </c>
      <c r="D13" s="5528" t="s">
        <v>174</v>
      </c>
      <c r="E13" s="5529"/>
      <c r="F13" s="5529"/>
      <c r="G13" s="5529"/>
      <c r="H13" s="5530"/>
      <c r="I13" s="4488"/>
      <c r="J13" s="5525" t="s">
        <v>166</v>
      </c>
      <c r="K13" s="5526" t="s">
        <v>174</v>
      </c>
      <c r="L13" s="5526"/>
      <c r="M13" s="5526"/>
      <c r="N13" s="5526"/>
      <c r="O13" s="5526"/>
    </row>
    <row r="14" spans="1:15" ht="15" customHeight="1" thickBot="1">
      <c r="A14" s="5532"/>
      <c r="B14" s="5534"/>
      <c r="C14" s="5552"/>
      <c r="D14" s="263" t="str">
        <f t="shared" ref="D14:H14" si="7">D8</f>
        <v>2027 г.</v>
      </c>
      <c r="E14" s="261" t="str">
        <f t="shared" si="7"/>
        <v>2028 г.</v>
      </c>
      <c r="F14" s="261" t="str">
        <f t="shared" si="7"/>
        <v>2029 г.</v>
      </c>
      <c r="G14" s="261" t="str">
        <f t="shared" si="7"/>
        <v>2030 г.</v>
      </c>
      <c r="H14" s="262" t="str">
        <f t="shared" si="7"/>
        <v>2031 г.</v>
      </c>
      <c r="I14" s="4488"/>
      <c r="J14" s="5525"/>
      <c r="K14" s="4553" t="str">
        <f t="shared" ref="K14:O14" si="8">K8</f>
        <v>2027 г.</v>
      </c>
      <c r="L14" s="4553" t="str">
        <f t="shared" si="8"/>
        <v>2028 г.</v>
      </c>
      <c r="M14" s="4553" t="str">
        <f t="shared" si="8"/>
        <v>2029 г.</v>
      </c>
      <c r="N14" s="4553" t="str">
        <f t="shared" si="8"/>
        <v>2030 г.</v>
      </c>
      <c r="O14" s="4553" t="str">
        <f t="shared" si="8"/>
        <v>2031 г.</v>
      </c>
    </row>
    <row r="15" spans="1:15" ht="15" customHeight="1" thickBot="1">
      <c r="A15" s="3295">
        <v>1</v>
      </c>
      <c r="B15" s="3296" t="s">
        <v>294</v>
      </c>
      <c r="C15" s="3297" t="s">
        <v>295</v>
      </c>
      <c r="D15" s="3299">
        <f>'19. HB'!D18</f>
        <v>49.728173437725701</v>
      </c>
      <c r="E15" s="3309">
        <f>'19. HB'!E18</f>
        <v>53.417867180109241</v>
      </c>
      <c r="F15" s="3309">
        <f>'19. HB'!F18</f>
        <v>57.701856138119368</v>
      </c>
      <c r="G15" s="3309">
        <f>'19. HB'!G18</f>
        <v>61.997230947835945</v>
      </c>
      <c r="H15" s="3310">
        <f>'19. HB'!H18</f>
        <v>65.958329378679238</v>
      </c>
      <c r="I15" s="4488"/>
      <c r="J15" s="4552" t="s">
        <v>1894</v>
      </c>
      <c r="K15" s="4493">
        <f t="shared" ref="K15:K17" si="9">IFERROR(D15/$C$1,0)</f>
        <v>25.425611345426596</v>
      </c>
      <c r="L15" s="4493">
        <f t="shared" ref="L15:L17" si="10">IFERROR(E15/$C$1,0)</f>
        <v>27.312121800007795</v>
      </c>
      <c r="M15" s="4493">
        <f t="shared" ref="M15:M17" si="11">IFERROR(F15/$C$1,0)</f>
        <v>29.502490573372619</v>
      </c>
      <c r="N15" s="4493">
        <f t="shared" ref="N15:N17" si="12">IFERROR(G15/$C$1,0)</f>
        <v>31.698680840275458</v>
      </c>
      <c r="O15" s="4493">
        <f t="shared" ref="O15:O17" si="13">IFERROR(H15/$C$1,0)</f>
        <v>33.723958308584713</v>
      </c>
    </row>
    <row r="16" spans="1:15" ht="15" customHeight="1" thickBot="1">
      <c r="A16" s="3301">
        <v>2</v>
      </c>
      <c r="B16" s="3302" t="s">
        <v>296</v>
      </c>
      <c r="C16" s="3303" t="s">
        <v>295</v>
      </c>
      <c r="D16" s="3305">
        <f>'12. Разходи'!L88</f>
        <v>526.97021263788019</v>
      </c>
      <c r="E16" s="3305">
        <f>'12. Разходи'!M88</f>
        <v>580.90103584563087</v>
      </c>
      <c r="F16" s="3305">
        <f>'12. Разходи'!N88</f>
        <v>639.38016930271624</v>
      </c>
      <c r="G16" s="3305">
        <f>'12. Разходи'!O88</f>
        <v>708.47551570131156</v>
      </c>
      <c r="H16" s="3306">
        <f>'12. Разходи'!P88</f>
        <v>781.80155724618749</v>
      </c>
      <c r="I16" s="4488"/>
      <c r="J16" s="4552" t="s">
        <v>1894</v>
      </c>
      <c r="K16" s="4493">
        <f t="shared" si="9"/>
        <v>269.43559135399306</v>
      </c>
      <c r="L16" s="4493">
        <f t="shared" si="10"/>
        <v>297.00998340634459</v>
      </c>
      <c r="M16" s="4493">
        <f t="shared" si="11"/>
        <v>326.90988956234247</v>
      </c>
      <c r="N16" s="4493">
        <f t="shared" si="12"/>
        <v>362.23777920438465</v>
      </c>
      <c r="O16" s="4493">
        <f t="shared" si="13"/>
        <v>399.72878892653631</v>
      </c>
    </row>
    <row r="17" spans="1:15" ht="15" customHeight="1" thickBot="1">
      <c r="A17" s="3301">
        <v>3</v>
      </c>
      <c r="B17" s="3302" t="s">
        <v>297</v>
      </c>
      <c r="C17" s="3303" t="s">
        <v>295</v>
      </c>
      <c r="D17" s="3307">
        <f t="shared" ref="D17:H17" si="14">D15+D16</f>
        <v>576.69838607560587</v>
      </c>
      <c r="E17" s="1458">
        <f t="shared" si="14"/>
        <v>634.31890302574016</v>
      </c>
      <c r="F17" s="1458">
        <f t="shared" si="14"/>
        <v>697.08202544083565</v>
      </c>
      <c r="G17" s="1458">
        <f t="shared" si="14"/>
        <v>770.47274664914755</v>
      </c>
      <c r="H17" s="1459">
        <f t="shared" si="14"/>
        <v>847.75988662486668</v>
      </c>
      <c r="I17" s="4488"/>
      <c r="J17" s="4552" t="s">
        <v>1894</v>
      </c>
      <c r="K17" s="4493">
        <f t="shared" si="9"/>
        <v>294.86120269941961</v>
      </c>
      <c r="L17" s="4493">
        <f t="shared" si="10"/>
        <v>324.32210520635238</v>
      </c>
      <c r="M17" s="4493">
        <f t="shared" si="11"/>
        <v>356.41238013571513</v>
      </c>
      <c r="N17" s="4493">
        <f t="shared" si="12"/>
        <v>393.93646004466012</v>
      </c>
      <c r="O17" s="4493">
        <f t="shared" si="13"/>
        <v>433.45274723512102</v>
      </c>
    </row>
    <row r="18" spans="1:15" ht="15" customHeight="1">
      <c r="A18" s="103">
        <v>4</v>
      </c>
      <c r="B18" s="3302" t="s">
        <v>298</v>
      </c>
      <c r="C18" s="3311" t="s">
        <v>920</v>
      </c>
      <c r="D18" s="3312">
        <f>D19+D20</f>
        <v>1889.5652776666668</v>
      </c>
      <c r="E18" s="3313">
        <f>E19+E20</f>
        <v>1895.1583957083928</v>
      </c>
      <c r="F18" s="3313">
        <f>F19+F20</f>
        <v>1903.2958178917993</v>
      </c>
      <c r="G18" s="3313">
        <f>G19+G20</f>
        <v>1914.7228651251785</v>
      </c>
      <c r="H18" s="3314">
        <f>H19+H20</f>
        <v>1926.7732897072683</v>
      </c>
      <c r="I18" s="4488"/>
      <c r="J18" s="4556"/>
      <c r="K18" s="4557"/>
      <c r="L18" s="4557"/>
      <c r="M18" s="4557"/>
      <c r="N18" s="4557"/>
      <c r="O18" s="4557"/>
    </row>
    <row r="19" spans="1:15" ht="15" customHeight="1">
      <c r="A19" s="104" t="s">
        <v>101</v>
      </c>
      <c r="B19" s="3315" t="s">
        <v>299</v>
      </c>
      <c r="C19" s="3311" t="s">
        <v>920</v>
      </c>
      <c r="D19" s="3312">
        <f>'4. Отчет и прогн. потребление'!E50/1000</f>
        <v>1586.5972233333334</v>
      </c>
      <c r="E19" s="3313">
        <f>'4. Отчет и прогн. потребление'!F50/1000</f>
        <v>1592.1933957083929</v>
      </c>
      <c r="F19" s="3313">
        <f>'4. Отчет и прогн. потребление'!G50/1000</f>
        <v>1591.9308178917993</v>
      </c>
      <c r="G19" s="3313">
        <f>'4. Отчет и прогн. потребление'!H50/1000</f>
        <v>1594.9078651251784</v>
      </c>
      <c r="H19" s="3314">
        <f>'4. Отчет и прогн. потребление'!I50/1000</f>
        <v>1598.5582897072684</v>
      </c>
      <c r="I19" s="4488"/>
      <c r="J19" s="4558"/>
      <c r="K19" s="4559"/>
      <c r="L19" s="4559"/>
      <c r="M19" s="4559"/>
      <c r="N19" s="4559"/>
      <c r="O19" s="4559"/>
    </row>
    <row r="20" spans="1:15" ht="24.6" thickBot="1">
      <c r="A20" s="104" t="s">
        <v>102</v>
      </c>
      <c r="B20" s="3316" t="s">
        <v>300</v>
      </c>
      <c r="C20" s="3311" t="s">
        <v>920</v>
      </c>
      <c r="D20" s="3317">
        <f>'4. Отчет и прогн. потребление'!E51/1000</f>
        <v>302.96805433333333</v>
      </c>
      <c r="E20" s="3318">
        <f>'4. Отчет и прогн. потребление'!F51/1000</f>
        <v>302.96499999999997</v>
      </c>
      <c r="F20" s="3318">
        <f>'4. Отчет и прогн. потребление'!G51/1000</f>
        <v>311.36500000000001</v>
      </c>
      <c r="G20" s="3318">
        <f>'4. Отчет и прогн. потребление'!H51/1000</f>
        <v>319.815</v>
      </c>
      <c r="H20" s="3319">
        <f>'4. Отчет и прогн. потребление'!I51/1000</f>
        <v>328.21499999999997</v>
      </c>
      <c r="I20" s="4488"/>
      <c r="J20" s="4560"/>
      <c r="K20" s="4561"/>
      <c r="L20" s="4561"/>
      <c r="M20" s="4561"/>
      <c r="N20" s="4561"/>
      <c r="O20" s="4561"/>
    </row>
    <row r="21" spans="1:15" ht="15" customHeight="1" thickBot="1">
      <c r="A21" s="5531" t="s">
        <v>1</v>
      </c>
      <c r="B21" s="5533" t="s">
        <v>293</v>
      </c>
      <c r="C21" s="5535" t="s">
        <v>166</v>
      </c>
      <c r="D21" s="5528" t="s">
        <v>184</v>
      </c>
      <c r="E21" s="5529"/>
      <c r="F21" s="5529"/>
      <c r="G21" s="5529"/>
      <c r="H21" s="5530"/>
      <c r="I21" s="4488"/>
      <c r="J21" s="5525" t="s">
        <v>166</v>
      </c>
      <c r="K21" s="5526" t="s">
        <v>184</v>
      </c>
      <c r="L21" s="5526"/>
      <c r="M21" s="5526"/>
      <c r="N21" s="5526"/>
      <c r="O21" s="5526"/>
    </row>
    <row r="22" spans="1:15" ht="15" customHeight="1" thickBot="1">
      <c r="A22" s="5532"/>
      <c r="B22" s="5534"/>
      <c r="C22" s="5536"/>
      <c r="D22" s="263" t="str">
        <f t="shared" ref="D22:H22" si="15">D14</f>
        <v>2027 г.</v>
      </c>
      <c r="E22" s="261" t="str">
        <f t="shared" si="15"/>
        <v>2028 г.</v>
      </c>
      <c r="F22" s="261" t="str">
        <f t="shared" si="15"/>
        <v>2029 г.</v>
      </c>
      <c r="G22" s="261" t="str">
        <f t="shared" si="15"/>
        <v>2030 г.</v>
      </c>
      <c r="H22" s="262" t="str">
        <f t="shared" si="15"/>
        <v>2031 г.</v>
      </c>
      <c r="I22" s="4488"/>
      <c r="J22" s="5525"/>
      <c r="K22" s="4553" t="str">
        <f t="shared" ref="K22:O22" si="16">K14</f>
        <v>2027 г.</v>
      </c>
      <c r="L22" s="4553" t="str">
        <f t="shared" si="16"/>
        <v>2028 г.</v>
      </c>
      <c r="M22" s="4553" t="str">
        <f t="shared" si="16"/>
        <v>2029 г.</v>
      </c>
      <c r="N22" s="4553" t="str">
        <f t="shared" si="16"/>
        <v>2030 г.</v>
      </c>
      <c r="O22" s="4553" t="str">
        <f t="shared" si="16"/>
        <v>2031 г.</v>
      </c>
    </row>
    <row r="23" spans="1:15" ht="15" customHeight="1" thickBot="1">
      <c r="A23" s="3295">
        <v>1</v>
      </c>
      <c r="B23" s="3296" t="s">
        <v>294</v>
      </c>
      <c r="C23" s="3297" t="s">
        <v>295</v>
      </c>
      <c r="D23" s="3309">
        <f>'19. HB'!D19</f>
        <v>99.555435825961126</v>
      </c>
      <c r="E23" s="3309">
        <f>'19. HB'!E19</f>
        <v>104.51455400917877</v>
      </c>
      <c r="F23" s="3309">
        <f>'19. HB'!F19</f>
        <v>110.63019401131756</v>
      </c>
      <c r="G23" s="3309">
        <f>'19. HB'!G19</f>
        <v>117.42709178797882</v>
      </c>
      <c r="H23" s="3310">
        <f>'19. HB'!H19</f>
        <v>124.38766838291994</v>
      </c>
      <c r="I23" s="4488"/>
      <c r="J23" s="4552" t="s">
        <v>1894</v>
      </c>
      <c r="K23" s="4493">
        <f t="shared" ref="K23:K25" si="17">IFERROR(D23/$C$1,0)</f>
        <v>50.901886066765073</v>
      </c>
      <c r="L23" s="4493">
        <f t="shared" ref="L23:L25" si="18">IFERROR(E23/$C$1,0)</f>
        <v>53.43744293173679</v>
      </c>
      <c r="M23" s="4493">
        <f t="shared" ref="M23:M25" si="19">IFERROR(F23/$C$1,0)</f>
        <v>56.564320013149178</v>
      </c>
      <c r="N23" s="4493">
        <f t="shared" ref="N23:N25" si="20">IFERROR(G23/$C$1,0)</f>
        <v>60.039518663676716</v>
      </c>
      <c r="O23" s="4493">
        <f t="shared" ref="O23:O25" si="21">IFERROR(H23/$C$1,0)</f>
        <v>63.598404965114526</v>
      </c>
    </row>
    <row r="24" spans="1:15" ht="15" customHeight="1" thickBot="1">
      <c r="A24" s="3301">
        <v>2</v>
      </c>
      <c r="B24" s="3302" t="s">
        <v>296</v>
      </c>
      <c r="C24" s="3303" t="s">
        <v>295</v>
      </c>
      <c r="D24" s="3305">
        <f>'12. Разходи'!T88</f>
        <v>2937.6640781596852</v>
      </c>
      <c r="E24" s="3305">
        <f>'12. Разходи'!U88</f>
        <v>3212.0819780416168</v>
      </c>
      <c r="F24" s="3305">
        <f>'12. Разходи'!V88</f>
        <v>3513.6683358754253</v>
      </c>
      <c r="G24" s="3305">
        <f>'12. Разходи'!W88</f>
        <v>3854.9099102170394</v>
      </c>
      <c r="H24" s="3306">
        <f>'12. Разходи'!X88</f>
        <v>4240.6949508577209</v>
      </c>
      <c r="I24" s="4488"/>
      <c r="J24" s="4552" t="s">
        <v>1894</v>
      </c>
      <c r="K24" s="4493">
        <f t="shared" si="17"/>
        <v>1502.0037928448205</v>
      </c>
      <c r="L24" s="4493">
        <f t="shared" si="18"/>
        <v>1642.3114371093689</v>
      </c>
      <c r="M24" s="4493">
        <f t="shared" si="19"/>
        <v>1796.5100933493327</v>
      </c>
      <c r="N24" s="4493">
        <f t="shared" si="20"/>
        <v>1970.9841398368158</v>
      </c>
      <c r="O24" s="4493">
        <f t="shared" si="21"/>
        <v>2168.2328990033493</v>
      </c>
    </row>
    <row r="25" spans="1:15" ht="15" customHeight="1" thickBot="1">
      <c r="A25" s="3301">
        <v>3</v>
      </c>
      <c r="B25" s="3302" t="s">
        <v>297</v>
      </c>
      <c r="C25" s="3303" t="s">
        <v>295</v>
      </c>
      <c r="D25" s="1458">
        <f t="shared" ref="D25:H25" si="22">D23+D24</f>
        <v>3037.2195139856462</v>
      </c>
      <c r="E25" s="1458">
        <f t="shared" si="22"/>
        <v>3316.5965320507958</v>
      </c>
      <c r="F25" s="1458">
        <f t="shared" si="22"/>
        <v>3624.2985298867429</v>
      </c>
      <c r="G25" s="1458">
        <f t="shared" si="22"/>
        <v>3972.3370020050183</v>
      </c>
      <c r="H25" s="1459">
        <f t="shared" si="22"/>
        <v>4365.0826192406412</v>
      </c>
      <c r="I25" s="4488"/>
      <c r="J25" s="4552" t="s">
        <v>1894</v>
      </c>
      <c r="K25" s="4493">
        <f t="shared" si="17"/>
        <v>1552.9056789115855</v>
      </c>
      <c r="L25" s="4493">
        <f t="shared" si="18"/>
        <v>1695.7488800411058</v>
      </c>
      <c r="M25" s="4493">
        <f t="shared" si="19"/>
        <v>1853.0744133624819</v>
      </c>
      <c r="N25" s="4493">
        <f t="shared" si="20"/>
        <v>2031.0236585004925</v>
      </c>
      <c r="O25" s="4493">
        <f t="shared" si="21"/>
        <v>2231.831303968464</v>
      </c>
    </row>
    <row r="26" spans="1:15" ht="15" customHeight="1">
      <c r="A26" s="103">
        <v>4</v>
      </c>
      <c r="B26" s="3302" t="s">
        <v>298</v>
      </c>
      <c r="C26" s="3311" t="s">
        <v>920</v>
      </c>
      <c r="D26" s="3313">
        <f t="shared" ref="D26:H26" si="23">D27+D28</f>
        <v>1809.1302706666665</v>
      </c>
      <c r="E26" s="3313">
        <f t="shared" si="23"/>
        <v>1816.0858674087426</v>
      </c>
      <c r="F26" s="3313">
        <f t="shared" si="23"/>
        <v>1823.6646078461222</v>
      </c>
      <c r="G26" s="3313">
        <f t="shared" si="23"/>
        <v>1834.0324324627582</v>
      </c>
      <c r="H26" s="3314">
        <f t="shared" si="23"/>
        <v>1844.8010711397849</v>
      </c>
      <c r="I26" s="4488"/>
      <c r="J26" s="4558"/>
      <c r="K26" s="4559"/>
      <c r="L26" s="4559"/>
      <c r="M26" s="4559"/>
      <c r="N26" s="4559"/>
      <c r="O26" s="4559"/>
    </row>
    <row r="27" spans="1:15" ht="15" customHeight="1">
      <c r="A27" s="104" t="s">
        <v>101</v>
      </c>
      <c r="B27" s="3315" t="s">
        <v>299</v>
      </c>
      <c r="C27" s="3311" t="s">
        <v>920</v>
      </c>
      <c r="D27" s="3313">
        <f>'4. Отчет и прогн. потребление'!E55/1000</f>
        <v>1506.1622163333332</v>
      </c>
      <c r="E27" s="3313">
        <f>'4. Отчет и прогн. потребление'!F55/1000</f>
        <v>1513.1208674087427</v>
      </c>
      <c r="F27" s="3313">
        <f>'4. Отчет и прогн. потребление'!G55/1000</f>
        <v>1512.2996078461222</v>
      </c>
      <c r="G27" s="3313">
        <f>'4. Отчет и прогн. потребление'!H55/1000</f>
        <v>1514.2174324627581</v>
      </c>
      <c r="H27" s="3314">
        <f>'4. Отчет и прогн. потребление'!I55/1000</f>
        <v>1516.586071139785</v>
      </c>
      <c r="I27" s="4488"/>
      <c r="J27" s="4558"/>
      <c r="K27" s="4559"/>
      <c r="L27" s="4559"/>
      <c r="M27" s="4559"/>
      <c r="N27" s="4559"/>
      <c r="O27" s="4559"/>
    </row>
    <row r="28" spans="1:15" ht="24">
      <c r="A28" s="104" t="s">
        <v>102</v>
      </c>
      <c r="B28" s="3316" t="s">
        <v>300</v>
      </c>
      <c r="C28" s="3311" t="s">
        <v>920</v>
      </c>
      <c r="D28" s="1458">
        <f>'4. Отчет и прогн. потребление'!E56/1000</f>
        <v>302.96805433333333</v>
      </c>
      <c r="E28" s="1458">
        <f>'4. Отчет и прогн. потребление'!F56/1000</f>
        <v>302.96499999999997</v>
      </c>
      <c r="F28" s="1458">
        <f>'4. Отчет и прогн. потребление'!G56/1000</f>
        <v>311.36500000000001</v>
      </c>
      <c r="G28" s="1458">
        <f>'4. Отчет и прогн. потребление'!H56/1000</f>
        <v>319.815</v>
      </c>
      <c r="H28" s="1459">
        <f>'4. Отчет и прогн. потребление'!I56/1000</f>
        <v>328.21499999999997</v>
      </c>
      <c r="I28" s="4488"/>
      <c r="J28" s="4558"/>
      <c r="K28" s="4559"/>
      <c r="L28" s="4559"/>
      <c r="M28" s="4559"/>
      <c r="N28" s="4559"/>
      <c r="O28" s="4559"/>
    </row>
    <row r="29" spans="1:15" ht="15" customHeight="1">
      <c r="A29" s="104" t="s">
        <v>1274</v>
      </c>
      <c r="B29" s="3320" t="s">
        <v>997</v>
      </c>
      <c r="C29" s="3311" t="s">
        <v>920</v>
      </c>
      <c r="D29" s="3321">
        <f>'4. Отчет и прогн. потребление'!E58/1000</f>
        <v>62.153054333333337</v>
      </c>
      <c r="E29" s="3321">
        <f>'4. Отчет и прогн. потребление'!F58/1000</f>
        <v>62.15</v>
      </c>
      <c r="F29" s="3321">
        <f>'4. Отчет и прогн. потребление'!G58/1000</f>
        <v>70.55</v>
      </c>
      <c r="G29" s="3321">
        <f>'4. Отчет и прогн. потребление'!H58/1000</f>
        <v>79</v>
      </c>
      <c r="H29" s="3322">
        <f>'4. Отчет и прогн. потребление'!I58/1000</f>
        <v>87.4</v>
      </c>
      <c r="I29" s="4488"/>
      <c r="J29" s="4558"/>
      <c r="K29" s="4559"/>
      <c r="L29" s="4559"/>
      <c r="M29" s="4559"/>
      <c r="N29" s="4559"/>
      <c r="O29" s="4559"/>
    </row>
    <row r="30" spans="1:15" ht="15" customHeight="1">
      <c r="A30" s="104" t="s">
        <v>1275</v>
      </c>
      <c r="B30" s="3320" t="s">
        <v>998</v>
      </c>
      <c r="C30" s="3311" t="s">
        <v>920</v>
      </c>
      <c r="D30" s="3321">
        <f>'4. Отчет и прогн. потребление'!E59/1000</f>
        <v>213.25</v>
      </c>
      <c r="E30" s="3321">
        <f>'4. Отчет и прогн. потребление'!F59/1000</f>
        <v>213.25</v>
      </c>
      <c r="F30" s="3321">
        <f>'4. Отчет и прогн. потребление'!G59/1000</f>
        <v>213.25</v>
      </c>
      <c r="G30" s="3321">
        <f>'4. Отчет и прогн. потребление'!H59/1000</f>
        <v>213.25</v>
      </c>
      <c r="H30" s="3322">
        <f>'4. Отчет и прогн. потребление'!I59/1000</f>
        <v>213.25</v>
      </c>
      <c r="I30" s="4488"/>
      <c r="J30" s="4558"/>
      <c r="K30" s="4559"/>
      <c r="L30" s="4559"/>
      <c r="M30" s="4559"/>
      <c r="N30" s="4559"/>
      <c r="O30" s="4559"/>
    </row>
    <row r="31" spans="1:15" ht="15" customHeight="1" thickBot="1">
      <c r="A31" s="105" t="s">
        <v>1276</v>
      </c>
      <c r="B31" s="3323" t="s">
        <v>999</v>
      </c>
      <c r="C31" s="3308" t="s">
        <v>920</v>
      </c>
      <c r="D31" s="3324">
        <f>'4. Отчет и прогн. потребление'!E60/1000</f>
        <v>27.565000000000001</v>
      </c>
      <c r="E31" s="3324">
        <f>'4. Отчет и прогн. потребление'!F60/1000</f>
        <v>27.565000000000001</v>
      </c>
      <c r="F31" s="3324">
        <f>'4. Отчет и прогн. потребление'!G60/1000</f>
        <v>27.565000000000001</v>
      </c>
      <c r="G31" s="3324">
        <f>'4. Отчет и прогн. потребление'!H60/1000</f>
        <v>27.565000000000001</v>
      </c>
      <c r="H31" s="3325">
        <f>'4. Отчет и прогн. потребление'!I60/1000</f>
        <v>27.565000000000001</v>
      </c>
      <c r="I31" s="4488"/>
      <c r="J31" s="4558"/>
      <c r="K31" s="4559"/>
      <c r="L31" s="4559"/>
      <c r="M31" s="4559"/>
      <c r="N31" s="4559"/>
      <c r="O31" s="4559"/>
    </row>
    <row r="32" spans="1:15" s="11" customFormat="1" ht="15" customHeight="1" thickBot="1">
      <c r="A32" s="5531" t="s">
        <v>1</v>
      </c>
      <c r="B32" s="5533" t="s">
        <v>293</v>
      </c>
      <c r="C32" s="5535" t="s">
        <v>166</v>
      </c>
      <c r="D32" s="5528" t="s">
        <v>1235</v>
      </c>
      <c r="E32" s="5529"/>
      <c r="F32" s="5529"/>
      <c r="G32" s="5529"/>
      <c r="H32" s="5530"/>
      <c r="I32" s="4488"/>
      <c r="J32" s="5525" t="s">
        <v>166</v>
      </c>
      <c r="K32" s="5526" t="s">
        <v>1235</v>
      </c>
      <c r="L32" s="5526"/>
      <c r="M32" s="5526"/>
      <c r="N32" s="5526"/>
      <c r="O32" s="5526"/>
    </row>
    <row r="33" spans="1:15" s="11" customFormat="1" ht="15" customHeight="1" thickBot="1">
      <c r="A33" s="5532"/>
      <c r="B33" s="5534"/>
      <c r="C33" s="5536"/>
      <c r="D33" s="282" t="str">
        <f t="shared" ref="D33:H33" si="24">D22</f>
        <v>2027 г.</v>
      </c>
      <c r="E33" s="282" t="str">
        <f t="shared" si="24"/>
        <v>2028 г.</v>
      </c>
      <c r="F33" s="282" t="str">
        <f t="shared" si="24"/>
        <v>2029 г.</v>
      </c>
      <c r="G33" s="282" t="str">
        <f t="shared" si="24"/>
        <v>2030 г.</v>
      </c>
      <c r="H33" s="283" t="str">
        <f t="shared" si="24"/>
        <v>2031 г.</v>
      </c>
      <c r="I33" s="4488"/>
      <c r="J33" s="5525"/>
      <c r="K33" s="4553" t="str">
        <f t="shared" ref="K33:O33" si="25">K22</f>
        <v>2027 г.</v>
      </c>
      <c r="L33" s="4553" t="str">
        <f t="shared" si="25"/>
        <v>2028 г.</v>
      </c>
      <c r="M33" s="4553" t="str">
        <f t="shared" si="25"/>
        <v>2029 г.</v>
      </c>
      <c r="N33" s="4553" t="str">
        <f t="shared" si="25"/>
        <v>2030 г.</v>
      </c>
      <c r="O33" s="4553" t="str">
        <f t="shared" si="25"/>
        <v>2031 г.</v>
      </c>
    </row>
    <row r="34" spans="1:15" s="11" customFormat="1" ht="15" customHeight="1" thickBot="1">
      <c r="A34" s="3295">
        <v>1</v>
      </c>
      <c r="B34" s="3296" t="s">
        <v>294</v>
      </c>
      <c r="C34" s="3297" t="s">
        <v>295</v>
      </c>
      <c r="D34" s="3298">
        <f>'19. HB'!D20</f>
        <v>0</v>
      </c>
      <c r="E34" s="3298">
        <f>'19. HB'!E20</f>
        <v>0</v>
      </c>
      <c r="F34" s="3298">
        <f>'19. HB'!F20</f>
        <v>0</v>
      </c>
      <c r="G34" s="3298">
        <f>'19. HB'!G20</f>
        <v>0</v>
      </c>
      <c r="H34" s="3298">
        <f>'19. HB'!H20</f>
        <v>0</v>
      </c>
      <c r="I34" s="4488"/>
      <c r="J34" s="4552" t="s">
        <v>1894</v>
      </c>
      <c r="K34" s="4493">
        <f t="shared" ref="K34:K36" si="26">IFERROR(D34/$C$1,0)</f>
        <v>0</v>
      </c>
      <c r="L34" s="4493">
        <f t="shared" ref="L34:L36" si="27">IFERROR(E34/$C$1,0)</f>
        <v>0</v>
      </c>
      <c r="M34" s="4493">
        <f t="shared" ref="M34:M36" si="28">IFERROR(F34/$C$1,0)</f>
        <v>0</v>
      </c>
      <c r="N34" s="4493">
        <f t="shared" ref="N34:N36" si="29">IFERROR(G34/$C$1,0)</f>
        <v>0</v>
      </c>
      <c r="O34" s="4493">
        <f t="shared" ref="O34:O36" si="30">IFERROR(H34/$C$1,0)</f>
        <v>0</v>
      </c>
    </row>
    <row r="35" spans="1:15" s="11" customFormat="1" ht="15" customHeight="1" thickBot="1">
      <c r="A35" s="3301">
        <v>2</v>
      </c>
      <c r="B35" s="3302" t="s">
        <v>296</v>
      </c>
      <c r="C35" s="3303" t="s">
        <v>295</v>
      </c>
      <c r="D35" s="3326">
        <f>'12. Разходи'!AB88</f>
        <v>0</v>
      </c>
      <c r="E35" s="3327">
        <f>'12. Разходи'!AC88</f>
        <v>0</v>
      </c>
      <c r="F35" s="3327">
        <f>'12. Разходи'!AD88</f>
        <v>0</v>
      </c>
      <c r="G35" s="3327">
        <f>'12. Разходи'!AE88</f>
        <v>0</v>
      </c>
      <c r="H35" s="3328">
        <f>'12. Разходи'!AF88</f>
        <v>0</v>
      </c>
      <c r="I35" s="4488"/>
      <c r="J35" s="4552" t="s">
        <v>1894</v>
      </c>
      <c r="K35" s="4493">
        <f t="shared" si="26"/>
        <v>0</v>
      </c>
      <c r="L35" s="4493">
        <f t="shared" si="27"/>
        <v>0</v>
      </c>
      <c r="M35" s="4493">
        <f t="shared" si="28"/>
        <v>0</v>
      </c>
      <c r="N35" s="4493">
        <f t="shared" si="29"/>
        <v>0</v>
      </c>
      <c r="O35" s="4493">
        <f t="shared" si="30"/>
        <v>0</v>
      </c>
    </row>
    <row r="36" spans="1:15" s="11" customFormat="1" ht="15" customHeight="1" thickBot="1">
      <c r="A36" s="3301">
        <v>3</v>
      </c>
      <c r="B36" s="3302" t="s">
        <v>297</v>
      </c>
      <c r="C36" s="3303" t="s">
        <v>295</v>
      </c>
      <c r="D36" s="2009">
        <f t="shared" ref="D36:H36" si="31">D34+D35</f>
        <v>0</v>
      </c>
      <c r="E36" s="2009">
        <f t="shared" si="31"/>
        <v>0</v>
      </c>
      <c r="F36" s="2009">
        <f t="shared" si="31"/>
        <v>0</v>
      </c>
      <c r="G36" s="2009">
        <f t="shared" si="31"/>
        <v>0</v>
      </c>
      <c r="H36" s="3329">
        <f t="shared" si="31"/>
        <v>0</v>
      </c>
      <c r="I36" s="4488"/>
      <c r="J36" s="4552" t="s">
        <v>1894</v>
      </c>
      <c r="K36" s="4493">
        <f t="shared" si="26"/>
        <v>0</v>
      </c>
      <c r="L36" s="4493">
        <f t="shared" si="27"/>
        <v>0</v>
      </c>
      <c r="M36" s="4493">
        <f t="shared" si="28"/>
        <v>0</v>
      </c>
      <c r="N36" s="4493">
        <f t="shared" si="29"/>
        <v>0</v>
      </c>
      <c r="O36" s="4493">
        <f t="shared" si="30"/>
        <v>0</v>
      </c>
    </row>
    <row r="37" spans="1:15" s="11" customFormat="1" ht="15" customHeight="1" thickBot="1">
      <c r="A37" s="124">
        <v>4</v>
      </c>
      <c r="B37" s="3302" t="s">
        <v>340</v>
      </c>
      <c r="C37" s="3311" t="s">
        <v>920</v>
      </c>
      <c r="D37" s="2009">
        <f>('4. Отчет и прогн. потребление'!E62-'4. Отчет и прогн. потребление'!E88)/1000</f>
        <v>0</v>
      </c>
      <c r="E37" s="2009">
        <f>('4. Отчет и прогн. потребление'!F62-'4. Отчет и прогн. потребление'!F88)/1000</f>
        <v>0</v>
      </c>
      <c r="F37" s="2009">
        <f>('4. Отчет и прогн. потребление'!G62-'4. Отчет и прогн. потребление'!G88)/1000</f>
        <v>0</v>
      </c>
      <c r="G37" s="2009">
        <f>('4. Отчет и прогн. потребление'!H62-'4. Отчет и прогн. потребление'!H88)/1000</f>
        <v>0</v>
      </c>
      <c r="H37" s="3329">
        <f>('4. Отчет и прогн. потребление'!I62-'4. Отчет и прогн. потребление'!I88)/1000</f>
        <v>0</v>
      </c>
      <c r="I37" s="4488"/>
      <c r="J37" s="4558"/>
      <c r="K37" s="4559"/>
      <c r="L37" s="4559"/>
      <c r="M37" s="4559"/>
      <c r="N37" s="4559"/>
      <c r="O37" s="4559"/>
    </row>
    <row r="38" spans="1:15" s="11" customFormat="1" ht="15" customHeight="1" thickBot="1">
      <c r="A38" s="5531" t="s">
        <v>1</v>
      </c>
      <c r="B38" s="5533" t="s">
        <v>293</v>
      </c>
      <c r="C38" s="5535" t="s">
        <v>166</v>
      </c>
      <c r="D38" s="5528" t="s">
        <v>1236</v>
      </c>
      <c r="E38" s="5529"/>
      <c r="F38" s="5529"/>
      <c r="G38" s="5529"/>
      <c r="H38" s="5530"/>
      <c r="I38" s="4488"/>
      <c r="J38" s="5525" t="s">
        <v>166</v>
      </c>
      <c r="K38" s="5526" t="s">
        <v>1236</v>
      </c>
      <c r="L38" s="5526"/>
      <c r="M38" s="5526"/>
      <c r="N38" s="5526"/>
      <c r="O38" s="5526"/>
    </row>
    <row r="39" spans="1:15" s="11" customFormat="1" ht="15" customHeight="1" thickBot="1">
      <c r="A39" s="5532"/>
      <c r="B39" s="5534"/>
      <c r="C39" s="5536"/>
      <c r="D39" s="282" t="str">
        <f t="shared" ref="D39:H39" si="32">D33</f>
        <v>2027 г.</v>
      </c>
      <c r="E39" s="282" t="str">
        <f t="shared" si="32"/>
        <v>2028 г.</v>
      </c>
      <c r="F39" s="282" t="str">
        <f t="shared" si="32"/>
        <v>2029 г.</v>
      </c>
      <c r="G39" s="282" t="str">
        <f t="shared" si="32"/>
        <v>2030 г.</v>
      </c>
      <c r="H39" s="283" t="str">
        <f t="shared" si="32"/>
        <v>2031 г.</v>
      </c>
      <c r="I39" s="4488"/>
      <c r="J39" s="5525"/>
      <c r="K39" s="4553" t="str">
        <f t="shared" ref="K39:O39" si="33">K33</f>
        <v>2027 г.</v>
      </c>
      <c r="L39" s="4553" t="str">
        <f t="shared" si="33"/>
        <v>2028 г.</v>
      </c>
      <c r="M39" s="4553" t="str">
        <f t="shared" si="33"/>
        <v>2029 г.</v>
      </c>
      <c r="N39" s="4553" t="str">
        <f t="shared" si="33"/>
        <v>2030 г.</v>
      </c>
      <c r="O39" s="4553" t="str">
        <f t="shared" si="33"/>
        <v>2031 г.</v>
      </c>
    </row>
    <row r="40" spans="1:15" s="11" customFormat="1" ht="15" customHeight="1" thickBot="1">
      <c r="A40" s="3295">
        <v>1</v>
      </c>
      <c r="B40" s="3296" t="s">
        <v>294</v>
      </c>
      <c r="C40" s="3297" t="s">
        <v>295</v>
      </c>
      <c r="D40" s="3298">
        <f>'19. HB'!D21</f>
        <v>89.253076951278388</v>
      </c>
      <c r="E40" s="3298">
        <f>'19. HB'!E21</f>
        <v>99.43088557769623</v>
      </c>
      <c r="F40" s="3298">
        <f>'19. HB'!F21</f>
        <v>108.767419078399</v>
      </c>
      <c r="G40" s="3298">
        <f>'19. HB'!G21</f>
        <v>119.98757915504642</v>
      </c>
      <c r="H40" s="3330">
        <f>'19. HB'!H21</f>
        <v>131.06915050662528</v>
      </c>
      <c r="I40" s="4488"/>
      <c r="J40" s="4552" t="s">
        <v>1894</v>
      </c>
      <c r="K40" s="4493">
        <f t="shared" ref="K40:K41" si="34">IFERROR(D40/$C$1,0)</f>
        <v>45.634373616969974</v>
      </c>
      <c r="L40" s="4493">
        <f t="shared" ref="L40:L42" si="35">IFERROR(E40/$C$1,0)</f>
        <v>50.838204536026254</v>
      </c>
      <c r="M40" s="4493">
        <f t="shared" ref="M40:M42" si="36">IFERROR(F40/$C$1,0)</f>
        <v>55.611898313452095</v>
      </c>
      <c r="N40" s="4493">
        <f t="shared" ref="N40:N42" si="37">IFERROR(G40/$C$1,0)</f>
        <v>61.348675066363853</v>
      </c>
      <c r="O40" s="4493">
        <f t="shared" ref="O40:O42" si="38">IFERROR(H40/$C$1,0)</f>
        <v>67.014592529322726</v>
      </c>
    </row>
    <row r="41" spans="1:15" s="11" customFormat="1" ht="15" customHeight="1" thickBot="1">
      <c r="A41" s="3301">
        <v>2</v>
      </c>
      <c r="B41" s="3302" t="s">
        <v>296</v>
      </c>
      <c r="C41" s="3303" t="s">
        <v>295</v>
      </c>
      <c r="D41" s="3326">
        <f>'12. Разходи'!AJ88</f>
        <v>2889.0135484228877</v>
      </c>
      <c r="E41" s="3327">
        <f>'12. Разходи'!AK88</f>
        <v>2939.5534416523446</v>
      </c>
      <c r="F41" s="3327">
        <f>'12. Разходи'!AL88</f>
        <v>3166.2110731195448</v>
      </c>
      <c r="G41" s="3327">
        <f>'12. Разходи'!AM88</f>
        <v>3449.7256009106445</v>
      </c>
      <c r="H41" s="3328">
        <f>'12. Разходи'!AN88</f>
        <v>3738.4156003027051</v>
      </c>
      <c r="I41" s="4488"/>
      <c r="J41" s="4552" t="s">
        <v>1894</v>
      </c>
      <c r="K41" s="4493">
        <f t="shared" si="34"/>
        <v>1477.1291719745007</v>
      </c>
      <c r="L41" s="4493">
        <f t="shared" si="35"/>
        <v>1502.9698090592458</v>
      </c>
      <c r="M41" s="4493">
        <f t="shared" si="36"/>
        <v>1618.8580158395898</v>
      </c>
      <c r="N41" s="4493">
        <f t="shared" si="37"/>
        <v>1763.8166921003588</v>
      </c>
      <c r="O41" s="4493">
        <f t="shared" si="38"/>
        <v>1911.4215449720605</v>
      </c>
    </row>
    <row r="42" spans="1:15" s="11" customFormat="1" ht="15" customHeight="1" thickBot="1">
      <c r="A42" s="3301">
        <v>3</v>
      </c>
      <c r="B42" s="3302" t="s">
        <v>297</v>
      </c>
      <c r="C42" s="3303" t="s">
        <v>295</v>
      </c>
      <c r="D42" s="2009">
        <f t="shared" ref="D42:H42" si="39">D40+D41</f>
        <v>2978.2666253741659</v>
      </c>
      <c r="E42" s="2009">
        <f t="shared" si="39"/>
        <v>3038.9843272300409</v>
      </c>
      <c r="F42" s="2009">
        <f t="shared" si="39"/>
        <v>3274.978492197944</v>
      </c>
      <c r="G42" s="2009">
        <f t="shared" si="39"/>
        <v>3569.7131800656907</v>
      </c>
      <c r="H42" s="3329">
        <f t="shared" si="39"/>
        <v>3869.4847508093303</v>
      </c>
      <c r="I42" s="4488"/>
      <c r="J42" s="4552" t="s">
        <v>1894</v>
      </c>
      <c r="K42" s="4493">
        <f>IFERROR(D42/$C$1,0)</f>
        <v>1522.7635455914706</v>
      </c>
      <c r="L42" s="4493">
        <f t="shared" si="35"/>
        <v>1553.8080135952721</v>
      </c>
      <c r="M42" s="4493">
        <f t="shared" si="36"/>
        <v>1674.4699141530421</v>
      </c>
      <c r="N42" s="4493">
        <f t="shared" si="37"/>
        <v>1825.1653671667225</v>
      </c>
      <c r="O42" s="4493">
        <f t="shared" si="38"/>
        <v>1978.4361375013832</v>
      </c>
    </row>
    <row r="43" spans="1:15" s="11" customFormat="1" ht="15" customHeight="1" thickBot="1">
      <c r="A43" s="3595">
        <v>4</v>
      </c>
      <c r="B43" s="3331" t="s">
        <v>340</v>
      </c>
      <c r="C43" s="3308" t="s">
        <v>920</v>
      </c>
      <c r="D43" s="3332">
        <f>('4. Отчет и прогн. потребление'!E93-'4. Отчет и прогн. потребление'!E110)/1000</f>
        <v>18322.085999999999</v>
      </c>
      <c r="E43" s="3332">
        <f>('4. Отчет и прогн. потребление'!F93-'4. Отчет и прогн. потребление'!F110)/1000</f>
        <v>18321.758000000002</v>
      </c>
      <c r="F43" s="3332">
        <f>('4. Отчет и прогн. потребление'!G93-'4. Отчет и прогн. потребление'!G110)/1000</f>
        <v>18321.429</v>
      </c>
      <c r="G43" s="3332">
        <f>('4. Отчет и прогн. потребление'!H93-'4. Отчет и прогн. потребление'!H110)/1000</f>
        <v>18321.099999999999</v>
      </c>
      <c r="H43" s="3333">
        <f>('4. Отчет и прогн. потребление'!I93-'4. Отчет и прогн. потребление'!I110)/1000</f>
        <v>18320.772000000001</v>
      </c>
      <c r="I43" s="4488"/>
      <c r="J43" s="4558"/>
      <c r="K43" s="4559"/>
      <c r="L43" s="4559"/>
      <c r="M43" s="4559"/>
      <c r="N43" s="4559"/>
      <c r="O43" s="4559"/>
    </row>
    <row r="44" spans="1:15" ht="15" customHeight="1">
      <c r="A44" s="5"/>
      <c r="B44" s="3334" t="s">
        <v>202</v>
      </c>
      <c r="C44" s="3335"/>
      <c r="D44" s="3336"/>
      <c r="E44" s="3337"/>
      <c r="F44" s="3338"/>
      <c r="G44" s="3339"/>
      <c r="H44" s="3339"/>
    </row>
    <row r="45" spans="1:15" ht="15" customHeight="1" thickBot="1">
      <c r="A45" s="5537" t="s">
        <v>301</v>
      </c>
      <c r="B45" s="5537"/>
      <c r="C45" s="5537"/>
      <c r="D45" s="3336"/>
      <c r="E45" s="3337"/>
      <c r="F45" s="3338"/>
      <c r="G45" s="3339"/>
      <c r="H45" s="3339"/>
    </row>
    <row r="46" spans="1:15" ht="15" customHeight="1">
      <c r="A46" s="5539" t="s">
        <v>1</v>
      </c>
      <c r="B46" s="5541" t="s">
        <v>293</v>
      </c>
      <c r="C46" s="5535" t="s">
        <v>166</v>
      </c>
      <c r="D46" s="5528" t="s">
        <v>184</v>
      </c>
      <c r="E46" s="5529"/>
      <c r="F46" s="5529"/>
      <c r="G46" s="5529"/>
      <c r="H46" s="5530"/>
    </row>
    <row r="47" spans="1:15" ht="13.8" thickBot="1">
      <c r="A47" s="5540"/>
      <c r="B47" s="5542"/>
      <c r="C47" s="5538"/>
      <c r="D47" s="282" t="str">
        <f>+D39</f>
        <v>2027 г.</v>
      </c>
      <c r="E47" s="282" t="str">
        <f t="shared" ref="E47:H47" si="40">+E39</f>
        <v>2028 г.</v>
      </c>
      <c r="F47" s="282" t="str">
        <f t="shared" si="40"/>
        <v>2029 г.</v>
      </c>
      <c r="G47" s="282" t="str">
        <f t="shared" si="40"/>
        <v>2030 г.</v>
      </c>
      <c r="H47" s="283" t="str">
        <f t="shared" si="40"/>
        <v>2031 г.</v>
      </c>
    </row>
    <row r="48" spans="1:15" ht="13.5" customHeight="1" thickBot="1">
      <c r="A48" s="281">
        <v>1</v>
      </c>
      <c r="B48" s="3340" t="s">
        <v>1502</v>
      </c>
      <c r="C48" s="3341"/>
      <c r="D48" s="3342"/>
      <c r="E48" s="3342"/>
      <c r="F48" s="3342"/>
      <c r="G48" s="3342"/>
      <c r="H48" s="3343"/>
    </row>
    <row r="49" spans="1:8">
      <c r="A49" s="106" t="s">
        <v>90</v>
      </c>
      <c r="B49" s="3344" t="s">
        <v>302</v>
      </c>
      <c r="C49" s="3590" t="s">
        <v>921</v>
      </c>
      <c r="D49" s="3587">
        <f>IFERROR($C66+((D55/($D$55+$D$56+$D$57))*$E66),0)</f>
        <v>1.1016537444363554</v>
      </c>
      <c r="E49" s="3464">
        <f>IFERROR($C66+((E55/($E$55+$E$56+$E$57))*$E66),0)</f>
        <v>1.101697659744022</v>
      </c>
      <c r="F49" s="3464">
        <f>IFERROR($C66+((F55/($F$55+$F$56+$F$57))*$E66),0)</f>
        <v>1.1017453626308811</v>
      </c>
      <c r="G49" s="3464">
        <f>IFERROR($C66+((G55/($G$55+$G$56+$G$57))*$E66),0)</f>
        <v>1.1018098397620257</v>
      </c>
      <c r="H49" s="3464">
        <f>IFERROR($C66+((H55/($H$55+$H$56+$H$57))*$E66),0)</f>
        <v>1.1018355375860174</v>
      </c>
    </row>
    <row r="50" spans="1:8">
      <c r="A50" s="6" t="s">
        <v>91</v>
      </c>
      <c r="B50" s="3345" t="s">
        <v>303</v>
      </c>
      <c r="C50" s="3591" t="s">
        <v>921</v>
      </c>
      <c r="D50" s="3588">
        <f>IFERROR($C67+((D56/($D$55+$D$56+$D$57))*$E67),0)</f>
        <v>1.8828074817596185</v>
      </c>
      <c r="E50" s="3465">
        <f>IFERROR($C67+((E56/($E$55+$E$56+$E$57))*$E67),0)</f>
        <v>1.884740052125083</v>
      </c>
      <c r="F50" s="3465">
        <f>IFERROR($C67+((F56/($F$55+$F$56+$F$57))*$E67),0)</f>
        <v>1.8866779842083978</v>
      </c>
      <c r="G50" s="3465">
        <f>IFERROR($C67+((G56/($G$55+$G$56+$G$57))*$E67),0)</f>
        <v>1.8886137551847439</v>
      </c>
      <c r="H50" s="3465">
        <f>IFERROR($C67+((H56/($H$55+$H$56+$H$57))*$E67),0)</f>
        <v>1.8909567094532744</v>
      </c>
    </row>
    <row r="51" spans="1:8" ht="13.8" thickBot="1">
      <c r="A51" s="107" t="s">
        <v>93</v>
      </c>
      <c r="B51" s="3346" t="s">
        <v>304</v>
      </c>
      <c r="C51" s="3592" t="s">
        <v>921</v>
      </c>
      <c r="D51" s="3589">
        <f>IFERROR($C68+((D57/($D$55+$D$56+$D$57))*$E68),0)</f>
        <v>2.1448369033641215</v>
      </c>
      <c r="E51" s="3466">
        <f>IFERROR($C68+((E57/($E$55+$E$56+$E$57))*$E68),0)</f>
        <v>2.1423772750996242</v>
      </c>
      <c r="F51" s="3466">
        <f>IFERROR($C68+((F57/($F$55+$F$56+$F$57))*$E68),0)</f>
        <v>2.1399071571086217</v>
      </c>
      <c r="G51" s="3466">
        <f>IFERROR($C68+((G57/($G$55+$G$56+$G$57))*$E68),0)</f>
        <v>2.1374229662570445</v>
      </c>
      <c r="H51" s="3466">
        <f>IFERROR($C68+((H57/($H$55+$H$56+$H$57))*$E68),0)</f>
        <v>2.1344685755973898</v>
      </c>
    </row>
    <row r="52" spans="1:8" ht="16.2" thickBot="1">
      <c r="A52" s="3468"/>
      <c r="B52" s="3467" t="s">
        <v>1721</v>
      </c>
      <c r="C52" s="3467"/>
      <c r="D52" s="3467"/>
      <c r="E52" s="3463"/>
      <c r="F52" s="3463"/>
      <c r="G52" s="3463"/>
      <c r="H52" s="3463"/>
    </row>
    <row r="53" spans="1:8">
      <c r="A53" s="5539" t="s">
        <v>1</v>
      </c>
      <c r="B53" s="5544" t="s">
        <v>293</v>
      </c>
      <c r="C53" s="5546" t="s">
        <v>166</v>
      </c>
      <c r="D53" s="5548" t="s">
        <v>184</v>
      </c>
      <c r="E53" s="5549"/>
      <c r="F53" s="5549"/>
      <c r="G53" s="5549"/>
      <c r="H53" s="5550"/>
    </row>
    <row r="54" spans="1:8" ht="13.5" customHeight="1" thickBot="1">
      <c r="A54" s="5543"/>
      <c r="B54" s="5545"/>
      <c r="C54" s="5547"/>
      <c r="D54" s="4276" t="str">
        <f>+D47</f>
        <v>2027 г.</v>
      </c>
      <c r="E54" s="4277" t="str">
        <f t="shared" ref="E54:H54" si="41">+E47</f>
        <v>2028 г.</v>
      </c>
      <c r="F54" s="4277" t="str">
        <f t="shared" si="41"/>
        <v>2029 г.</v>
      </c>
      <c r="G54" s="4277" t="str">
        <f t="shared" si="41"/>
        <v>2030 г.</v>
      </c>
      <c r="H54" s="4278" t="str">
        <f t="shared" si="41"/>
        <v>2031 г.</v>
      </c>
    </row>
    <row r="55" spans="1:8">
      <c r="A55" s="106" t="s">
        <v>463</v>
      </c>
      <c r="B55" s="3344" t="s">
        <v>1719</v>
      </c>
      <c r="C55" s="3590" t="s">
        <v>1711</v>
      </c>
      <c r="D55" s="3593">
        <v>546.92842557588597</v>
      </c>
      <c r="E55" s="3585">
        <v>560.37503383487069</v>
      </c>
      <c r="F55" s="3585">
        <v>575.01791861989011</v>
      </c>
      <c r="G55" s="3585">
        <v>595.13606904329856</v>
      </c>
      <c r="H55" s="3585">
        <v>604.51073605020417</v>
      </c>
    </row>
    <row r="56" spans="1:8">
      <c r="A56" s="6" t="s">
        <v>465</v>
      </c>
      <c r="B56" s="3345" t="s">
        <v>1718</v>
      </c>
      <c r="C56" s="3591" t="s">
        <v>1711</v>
      </c>
      <c r="D56" s="415">
        <v>116913.05450493311</v>
      </c>
      <c r="E56" s="413">
        <v>117486.15771329065</v>
      </c>
      <c r="F56" s="413">
        <v>118059.26092164817</v>
      </c>
      <c r="G56" s="413">
        <v>118632.36413000568</v>
      </c>
      <c r="H56" s="413">
        <v>119778.5705467207</v>
      </c>
    </row>
    <row r="57" spans="1:8" ht="13.8" thickBot="1">
      <c r="A57" s="107" t="s">
        <v>466</v>
      </c>
      <c r="B57" s="3346" t="s">
        <v>1720</v>
      </c>
      <c r="C57" s="3592" t="s">
        <v>1711</v>
      </c>
      <c r="D57" s="3594">
        <v>47900.641586924678</v>
      </c>
      <c r="E57" s="3586">
        <v>46996.855896605346</v>
      </c>
      <c r="F57" s="3586">
        <v>46093.070206286015</v>
      </c>
      <c r="G57" s="3586">
        <v>45189.284515966676</v>
      </c>
      <c r="H57" s="3586">
        <v>44285.498825647337</v>
      </c>
    </row>
    <row r="59" spans="1:8" s="4428" customFormat="1">
      <c r="B59" s="4428" t="str">
        <f>'Приложение '!B82</f>
        <v>Дата: 16.03.2026</v>
      </c>
      <c r="C59" s="4429"/>
      <c r="D59" s="4429"/>
      <c r="E59" s="4429"/>
      <c r="F59" s="4429"/>
      <c r="G59" s="4429"/>
      <c r="H59" s="4429"/>
    </row>
    <row r="62" spans="1:8" s="4428" customFormat="1">
      <c r="B62" s="4428" t="s">
        <v>187</v>
      </c>
      <c r="C62" s="4429"/>
      <c r="D62" s="4429"/>
      <c r="E62" s="4429"/>
      <c r="F62" s="4429"/>
      <c r="G62" s="4429"/>
      <c r="H62" s="4429"/>
    </row>
    <row r="63" spans="1:8">
      <c r="B63" s="3731" t="s">
        <v>188</v>
      </c>
      <c r="C63" s="3347"/>
      <c r="D63" s="3347"/>
      <c r="E63" s="3347"/>
      <c r="F63" s="3347"/>
      <c r="G63" s="3347"/>
    </row>
    <row r="64" spans="1:8">
      <c r="B64" s="3731" t="s">
        <v>983</v>
      </c>
      <c r="C64" s="3731"/>
    </row>
    <row r="65" spans="1:8" ht="24">
      <c r="A65" s="11"/>
      <c r="B65" s="3580" t="s">
        <v>1712</v>
      </c>
      <c r="C65" s="3583" t="s">
        <v>1716</v>
      </c>
      <c r="D65" s="3583" t="s">
        <v>1717</v>
      </c>
      <c r="E65" s="3584" t="s">
        <v>725</v>
      </c>
    </row>
    <row r="66" spans="1:8">
      <c r="A66" s="11"/>
      <c r="B66" s="3582" t="s">
        <v>1713</v>
      </c>
      <c r="C66" s="3581">
        <v>1.1000000000000001</v>
      </c>
      <c r="D66" s="3581">
        <v>1.6</v>
      </c>
      <c r="E66" s="3581">
        <f>D66-C66</f>
        <v>0.5</v>
      </c>
    </row>
    <row r="67" spans="1:8">
      <c r="A67" s="11"/>
      <c r="B67" s="3582" t="s">
        <v>1714</v>
      </c>
      <c r="C67" s="3581">
        <v>1.6</v>
      </c>
      <c r="D67" s="3581">
        <v>2</v>
      </c>
      <c r="E67" s="3581">
        <f t="shared" ref="E67:E68" si="42">D67-C67</f>
        <v>0.39999999999999991</v>
      </c>
    </row>
    <row r="68" spans="1:8">
      <c r="A68" s="11"/>
      <c r="B68" s="3582" t="s">
        <v>1715</v>
      </c>
      <c r="C68" s="3581">
        <v>2</v>
      </c>
      <c r="D68" s="3581">
        <v>2.5</v>
      </c>
      <c r="E68" s="3581">
        <f t="shared" si="42"/>
        <v>0.5</v>
      </c>
    </row>
    <row r="69" spans="1:8" ht="30" customHeight="1">
      <c r="B69" s="5527" t="s">
        <v>1723</v>
      </c>
      <c r="C69" s="5527"/>
      <c r="D69" s="5527"/>
      <c r="E69" s="5527"/>
      <c r="F69" s="5527"/>
      <c r="G69" s="5527"/>
      <c r="H69" s="5527"/>
    </row>
    <row r="70" spans="1:8" ht="29.25" customHeight="1">
      <c r="B70" s="5527" t="str">
        <f>+"ВиК операторът прилага обосновката за избраните стойности на коефициентите на замърсеност към текстовата част на бизнес плана, която включва и данни за базовата "&amp;'15. ОПП'!B7&amp;" относно товар БПК5 (кг/год.) за степени на замърсеност 1,2 и 3."</f>
        <v>ВиК операторът прилага обосновката за избраните стойности на коефициентите на замърсеност към текстовата част на бизнес плана, която включва и данни за базовата 2024 г. относно товар БПК5 (кг/год.) за степени на замърсеност 1,2 и 3.</v>
      </c>
      <c r="C70" s="5527"/>
      <c r="D70" s="5527"/>
      <c r="E70" s="5527"/>
      <c r="F70" s="5527"/>
      <c r="G70" s="5527"/>
      <c r="H70" s="5527"/>
    </row>
  </sheetData>
  <sheetProtection algorithmName="SHA-512" hashValue="jj2xhSs+AWdS3OF53QP0l6ek+ek3uKqsvjg5veJUSW/7jQe47a20XURRNjzVukHbz6Zt2rk02B6lJQQXEUm21g==" saltValue="rwYuDxGmmyE/uOeZhL4m0Q==" spinCount="100000" sheet="1" formatCells="0" formatColumns="0" formatRows="0"/>
  <mergeCells count="47">
    <mergeCell ref="A2:H2"/>
    <mergeCell ref="D7:H7"/>
    <mergeCell ref="A7:A8"/>
    <mergeCell ref="B7:B8"/>
    <mergeCell ref="C7:C8"/>
    <mergeCell ref="A5:H5"/>
    <mergeCell ref="A4:H4"/>
    <mergeCell ref="A3:H3"/>
    <mergeCell ref="C13:C14"/>
    <mergeCell ref="A21:A22"/>
    <mergeCell ref="A38:A39"/>
    <mergeCell ref="B38:B39"/>
    <mergeCell ref="C38:C39"/>
    <mergeCell ref="B70:H70"/>
    <mergeCell ref="A45:C45"/>
    <mergeCell ref="C46:C47"/>
    <mergeCell ref="A46:A47"/>
    <mergeCell ref="B46:B47"/>
    <mergeCell ref="A53:A54"/>
    <mergeCell ref="B53:B54"/>
    <mergeCell ref="C53:C54"/>
    <mergeCell ref="D53:H53"/>
    <mergeCell ref="D46:H46"/>
    <mergeCell ref="C1:D1"/>
    <mergeCell ref="A1:B1"/>
    <mergeCell ref="J7:J8"/>
    <mergeCell ref="K7:O7"/>
    <mergeCell ref="B69:H69"/>
    <mergeCell ref="D38:H38"/>
    <mergeCell ref="D32:H32"/>
    <mergeCell ref="D21:H21"/>
    <mergeCell ref="D13:H13"/>
    <mergeCell ref="A13:A14"/>
    <mergeCell ref="B21:B22"/>
    <mergeCell ref="A32:A33"/>
    <mergeCell ref="B32:B33"/>
    <mergeCell ref="C32:C33"/>
    <mergeCell ref="C21:C22"/>
    <mergeCell ref="B13:B14"/>
    <mergeCell ref="J38:J39"/>
    <mergeCell ref="K38:O38"/>
    <mergeCell ref="J13:J14"/>
    <mergeCell ref="K13:O13"/>
    <mergeCell ref="J21:J22"/>
    <mergeCell ref="K21:O21"/>
    <mergeCell ref="J32:J33"/>
    <mergeCell ref="K32:O32"/>
  </mergeCells>
  <printOptions horizontalCentered="1"/>
  <pageMargins left="0.59055118110236227" right="7.874015748031496E-2" top="0.59055118110236227" bottom="0.19685039370078741" header="0.31496062992125984" footer="0.11811023622047245"/>
  <pageSetup paperSize="9" scale="77" orientation="portrait" r:id="rId1"/>
  <headerFooter alignWithMargins="0">
    <oddFooter>&amp;C&amp;A</oddFooter>
  </headerFooter>
  <ignoredErrors>
    <ignoredError sqref="A29:A31" twoDigitTextYear="1"/>
  </ignoredError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0">
    <tabColor rgb="FF0070C0"/>
    <pageSetUpPr fitToPage="1"/>
  </sheetPr>
  <dimension ref="A1:M86"/>
  <sheetViews>
    <sheetView showGridLines="0" zoomScaleNormal="100" zoomScaleSheetLayoutView="100" workbookViewId="0">
      <pane xSplit="2" ySplit="9" topLeftCell="C10" activePane="bottomRight" state="frozen"/>
      <selection pane="topRight" activeCell="C1" sqref="C1"/>
      <selection pane="bottomLeft" activeCell="A10" sqref="A10"/>
      <selection pane="bottomRight" activeCell="B11" sqref="B11"/>
    </sheetView>
  </sheetViews>
  <sheetFormatPr defaultColWidth="9.109375" defaultRowHeight="12"/>
  <cols>
    <col min="1" max="1" width="6" style="20" customWidth="1"/>
    <col min="2" max="2" width="76.6640625" style="20" customWidth="1"/>
    <col min="3" max="7" width="9.6640625" style="636" bestFit="1" customWidth="1"/>
    <col min="8" max="8" width="2.6640625" style="20" customWidth="1"/>
    <col min="9" max="104" width="9.109375" style="20"/>
    <col min="105" max="105" width="4.33203125" style="20" customWidth="1"/>
    <col min="106" max="106" width="40.6640625" style="20" customWidth="1"/>
    <col min="107" max="114" width="8.6640625" style="20" customWidth="1"/>
    <col min="115" max="116" width="0" style="20" hidden="1" customWidth="1"/>
    <col min="117" max="360" width="9.109375" style="20"/>
    <col min="361" max="361" width="4.33203125" style="20" customWidth="1"/>
    <col min="362" max="362" width="40.6640625" style="20" customWidth="1"/>
    <col min="363" max="370" width="8.6640625" style="20" customWidth="1"/>
    <col min="371" max="372" width="0" style="20" hidden="1" customWidth="1"/>
    <col min="373" max="616" width="9.109375" style="20"/>
    <col min="617" max="617" width="4.33203125" style="20" customWidth="1"/>
    <col min="618" max="618" width="40.6640625" style="20" customWidth="1"/>
    <col min="619" max="626" width="8.6640625" style="20" customWidth="1"/>
    <col min="627" max="628" width="0" style="20" hidden="1" customWidth="1"/>
    <col min="629" max="16384" width="9.109375" style="20"/>
  </cols>
  <sheetData>
    <row r="1" spans="1:13" ht="16.8" thickBot="1">
      <c r="A1" s="5009" t="s">
        <v>1895</v>
      </c>
      <c r="B1" s="5009"/>
      <c r="C1" s="5010">
        <f>+'1. Обща информация'!$C$40</f>
        <v>1.95583</v>
      </c>
      <c r="D1" s="5010"/>
      <c r="G1" s="3928" t="str">
        <f>'16. Необходими приходи'!H1</f>
        <v>Приложение № 6</v>
      </c>
    </row>
    <row r="2" spans="1:13" ht="17.399999999999999">
      <c r="A2" s="5556" t="s">
        <v>1489</v>
      </c>
      <c r="B2" s="5556"/>
      <c r="C2" s="5556"/>
      <c r="D2" s="5556"/>
      <c r="E2" s="5556"/>
      <c r="F2" s="5556"/>
      <c r="G2" s="5556"/>
    </row>
    <row r="3" spans="1:13" ht="17.399999999999999">
      <c r="A3" s="5556" t="s">
        <v>305</v>
      </c>
      <c r="B3" s="5556"/>
      <c r="C3" s="5556"/>
      <c r="D3" s="5556"/>
      <c r="E3" s="5556"/>
      <c r="F3" s="5556"/>
      <c r="G3" s="5556"/>
    </row>
    <row r="4" spans="1:13" ht="13.8">
      <c r="A4" s="5557" t="str">
        <f>'1. Обща информация'!A4:D4</f>
        <v>на "В И К" АД, гр. Ловеч</v>
      </c>
      <c r="B4" s="5557"/>
      <c r="C4" s="5557"/>
      <c r="D4" s="5557"/>
      <c r="E4" s="5557"/>
      <c r="F4" s="5557"/>
      <c r="G4" s="5557"/>
    </row>
    <row r="5" spans="1:13" ht="13.8">
      <c r="A5" s="5557" t="str">
        <f>'1. Обща информация'!A5:D5</f>
        <v>ЕИК по БУЛСТАТ: 110549443</v>
      </c>
      <c r="B5" s="5557"/>
      <c r="C5" s="5557"/>
      <c r="D5" s="5557"/>
      <c r="E5" s="5557"/>
      <c r="F5" s="5557"/>
      <c r="G5" s="5557"/>
    </row>
    <row r="6" spans="1:13" ht="13.8" thickBot="1">
      <c r="D6" s="637"/>
      <c r="G6" s="660" t="s">
        <v>190</v>
      </c>
      <c r="M6" s="660" t="s">
        <v>1889</v>
      </c>
    </row>
    <row r="7" spans="1:13" s="21" customFormat="1" ht="13.8" thickBot="1">
      <c r="A7" s="5561" t="s">
        <v>1</v>
      </c>
      <c r="B7" s="5566" t="s">
        <v>87</v>
      </c>
      <c r="C7" s="5558" t="s">
        <v>224</v>
      </c>
      <c r="D7" s="5559"/>
      <c r="E7" s="5559"/>
      <c r="F7" s="5559"/>
      <c r="G7" s="5560"/>
      <c r="H7" s="4488"/>
      <c r="I7" s="5555" t="s">
        <v>224</v>
      </c>
      <c r="J7" s="5555"/>
      <c r="K7" s="5555"/>
      <c r="L7" s="5555"/>
      <c r="M7" s="5555"/>
    </row>
    <row r="8" spans="1:13" s="21" customFormat="1" ht="13.8" thickBot="1">
      <c r="A8" s="5565"/>
      <c r="B8" s="5567"/>
      <c r="C8" s="5569" t="s">
        <v>210</v>
      </c>
      <c r="D8" s="5570"/>
      <c r="E8" s="5570"/>
      <c r="F8" s="5570"/>
      <c r="G8" s="5571"/>
      <c r="H8" s="4488"/>
      <c r="I8" s="5555" t="s">
        <v>210</v>
      </c>
      <c r="J8" s="5555"/>
      <c r="K8" s="5555"/>
      <c r="L8" s="5555"/>
      <c r="M8" s="5555"/>
    </row>
    <row r="9" spans="1:13" ht="13.8" thickBot="1">
      <c r="A9" s="5562"/>
      <c r="B9" s="5568"/>
      <c r="C9" s="1241" t="str">
        <f>'Приложение '!$C14</f>
        <v>2027 г.</v>
      </c>
      <c r="D9" s="1242" t="str">
        <f>'Приложение '!$C15</f>
        <v>2028 г.</v>
      </c>
      <c r="E9" s="1242" t="str">
        <f>'Приложение '!$C16</f>
        <v>2029 г.</v>
      </c>
      <c r="F9" s="1242" t="str">
        <f>'Приложение '!$C17</f>
        <v>2030 г.</v>
      </c>
      <c r="G9" s="1243" t="str">
        <f>'Приложение '!$C18</f>
        <v>2031 г.</v>
      </c>
      <c r="H9" s="4488"/>
      <c r="I9" s="4562" t="str">
        <f>'Приложение '!$C14</f>
        <v>2027 г.</v>
      </c>
      <c r="J9" s="4562" t="str">
        <f>'Приложение '!$C15</f>
        <v>2028 г.</v>
      </c>
      <c r="K9" s="4562" t="str">
        <f>'Приложение '!$C16</f>
        <v>2029 г.</v>
      </c>
      <c r="L9" s="4562" t="str">
        <f>'Приложение '!$C17</f>
        <v>2030 г.</v>
      </c>
      <c r="M9" s="4562" t="str">
        <f>'Приложение '!$C18</f>
        <v>2031 г.</v>
      </c>
    </row>
    <row r="10" spans="1:13" s="139" customFormat="1" ht="13.8" thickBot="1">
      <c r="A10" s="141" t="s">
        <v>141</v>
      </c>
      <c r="B10" s="142" t="s">
        <v>547</v>
      </c>
      <c r="C10" s="3978">
        <f t="shared" ref="C10:G10" si="0">C11-C12</f>
        <v>12447.76622419534</v>
      </c>
      <c r="D10" s="3979">
        <f t="shared" si="0"/>
        <v>13113.099557528672</v>
      </c>
      <c r="E10" s="3979">
        <f t="shared" si="0"/>
        <v>13781.432890862006</v>
      </c>
      <c r="F10" s="3979">
        <f t="shared" si="0"/>
        <v>14487.099557528672</v>
      </c>
      <c r="G10" s="3980">
        <f t="shared" si="0"/>
        <v>15201.766224195337</v>
      </c>
      <c r="H10" s="4488"/>
      <c r="I10" s="4493">
        <f>IFERROR(C10/$C$1,0)</f>
        <v>6364.4418094595849</v>
      </c>
      <c r="J10" s="4493">
        <f t="shared" ref="J10:M10" si="1">IFERROR(D10/$C$1,0)</f>
        <v>6704.6213410821356</v>
      </c>
      <c r="K10" s="4493">
        <f t="shared" si="1"/>
        <v>7046.3347483482748</v>
      </c>
      <c r="L10" s="4493">
        <f t="shared" si="1"/>
        <v>7407.1363858457398</v>
      </c>
      <c r="M10" s="4493">
        <f t="shared" si="1"/>
        <v>7772.5396502739695</v>
      </c>
    </row>
    <row r="11" spans="1:13" ht="13.8" thickBot="1">
      <c r="A11" s="1239" t="s">
        <v>90</v>
      </c>
      <c r="B11" s="1240" t="s">
        <v>686</v>
      </c>
      <c r="C11" s="3981">
        <f>'11. Амортиз. план'!F10+'11. Амортиз. план'!F111</f>
        <v>12447.76622419534</v>
      </c>
      <c r="D11" s="3982">
        <f>'11. Амортиз. план'!G10+'11. Амортиз. план'!G111</f>
        <v>13113.099557528672</v>
      </c>
      <c r="E11" s="3982">
        <f>'11. Амортиз. план'!H10+'11. Амортиз. план'!H111</f>
        <v>13781.432890862006</v>
      </c>
      <c r="F11" s="3982">
        <f>'11. Амортиз. план'!I10+'11. Амортиз. план'!I111</f>
        <v>14487.099557528672</v>
      </c>
      <c r="G11" s="3983">
        <f>'11. Амортиз. план'!J10+'11. Амортиз. план'!J111</f>
        <v>15201.766224195337</v>
      </c>
      <c r="H11" s="4488"/>
      <c r="I11" s="4493">
        <f t="shared" ref="I11:I21" si="2">IFERROR(C11/$C$1,0)</f>
        <v>6364.4418094595849</v>
      </c>
      <c r="J11" s="4493">
        <f t="shared" ref="J11:J21" si="3">IFERROR(D11/$C$1,0)</f>
        <v>6704.6213410821356</v>
      </c>
      <c r="K11" s="4493">
        <f t="shared" ref="K11:K21" si="4">IFERROR(E11/$C$1,0)</f>
        <v>7046.3347483482748</v>
      </c>
      <c r="L11" s="4493">
        <f t="shared" ref="L11:L21" si="5">IFERROR(F11/$C$1,0)</f>
        <v>7407.1363858457398</v>
      </c>
      <c r="M11" s="4493">
        <f t="shared" ref="M11:M21" si="6">IFERROR(G11/$C$1,0)</f>
        <v>7772.5396502739695</v>
      </c>
    </row>
    <row r="12" spans="1:13" ht="13.8" thickBot="1">
      <c r="A12" s="1239" t="s">
        <v>91</v>
      </c>
      <c r="B12" s="1240" t="s">
        <v>649</v>
      </c>
      <c r="C12" s="3981">
        <f>'11. Амортиз. план'!G32</f>
        <v>0</v>
      </c>
      <c r="D12" s="3982">
        <f>'11. Амортиз. план'!H32</f>
        <v>0</v>
      </c>
      <c r="E12" s="3982">
        <f>'11. Амортиз. план'!I32</f>
        <v>0</v>
      </c>
      <c r="F12" s="3982">
        <f>'11. Амортиз. план'!J32</f>
        <v>0</v>
      </c>
      <c r="G12" s="3983">
        <f>'11. Амортиз. план'!K32</f>
        <v>0</v>
      </c>
      <c r="H12" s="4488"/>
      <c r="I12" s="4493">
        <f t="shared" si="2"/>
        <v>0</v>
      </c>
      <c r="J12" s="4493">
        <f t="shared" si="3"/>
        <v>0</v>
      </c>
      <c r="K12" s="4493">
        <f t="shared" si="4"/>
        <v>0</v>
      </c>
      <c r="L12" s="4493">
        <f t="shared" si="5"/>
        <v>0</v>
      </c>
      <c r="M12" s="4493">
        <f t="shared" si="6"/>
        <v>0</v>
      </c>
    </row>
    <row r="13" spans="1:13" s="139" customFormat="1" ht="13.8" thickBot="1">
      <c r="A13" s="140" t="s">
        <v>95</v>
      </c>
      <c r="B13" s="138" t="s">
        <v>548</v>
      </c>
      <c r="C13" s="3984">
        <f t="shared" ref="C13:G13" si="7">C14-C15</f>
        <v>5349.338563522294</v>
      </c>
      <c r="D13" s="3985">
        <f t="shared" si="7"/>
        <v>5744.3790189655392</v>
      </c>
      <c r="E13" s="3985">
        <f t="shared" si="7"/>
        <v>6173.7216063602882</v>
      </c>
      <c r="F13" s="3985">
        <f t="shared" si="7"/>
        <v>6639.4802257651918</v>
      </c>
      <c r="G13" s="3986">
        <f t="shared" si="7"/>
        <v>7144.4119457020915</v>
      </c>
      <c r="H13" s="4488"/>
      <c r="I13" s="4493">
        <f t="shared" si="2"/>
        <v>2735.073377298791</v>
      </c>
      <c r="J13" s="4493">
        <f t="shared" si="3"/>
        <v>2937.0543549109784</v>
      </c>
      <c r="K13" s="4493">
        <f t="shared" si="4"/>
        <v>3156.5737340976916</v>
      </c>
      <c r="L13" s="4493">
        <f t="shared" si="5"/>
        <v>3394.7123347965785</v>
      </c>
      <c r="M13" s="4493">
        <f t="shared" si="6"/>
        <v>3652.879823758758</v>
      </c>
    </row>
    <row r="14" spans="1:13" ht="13.8" thickBot="1">
      <c r="A14" s="122" t="s">
        <v>96</v>
      </c>
      <c r="B14" s="123" t="s">
        <v>687</v>
      </c>
      <c r="C14" s="3981">
        <f>'11. Амортиз. план'!F60+'11. Амортиз. план'!F151</f>
        <v>5349.338563522294</v>
      </c>
      <c r="D14" s="3982">
        <f>'11. Амортиз. план'!G60+'11. Амортиз. план'!G151</f>
        <v>5744.3790189655392</v>
      </c>
      <c r="E14" s="3982">
        <f>'11. Амортиз. план'!H60+'11. Амортиз. план'!H151</f>
        <v>6173.7216063602882</v>
      </c>
      <c r="F14" s="3982">
        <f>'11. Амортиз. план'!I60+'11. Амортиз. план'!I151</f>
        <v>6639.4802257651918</v>
      </c>
      <c r="G14" s="3983">
        <f>'11. Амортиз. план'!J60+'11. Амортиз. план'!J151</f>
        <v>7144.4119457020915</v>
      </c>
      <c r="H14" s="4488"/>
      <c r="I14" s="4493">
        <f t="shared" si="2"/>
        <v>2735.073377298791</v>
      </c>
      <c r="J14" s="4493">
        <f t="shared" si="3"/>
        <v>2937.0543549109784</v>
      </c>
      <c r="K14" s="4493">
        <f t="shared" si="4"/>
        <v>3156.5737340976916</v>
      </c>
      <c r="L14" s="4493">
        <f t="shared" si="5"/>
        <v>3394.7123347965785</v>
      </c>
      <c r="M14" s="4493">
        <f t="shared" si="6"/>
        <v>3652.879823758758</v>
      </c>
    </row>
    <row r="15" spans="1:13" ht="13.8" thickBot="1">
      <c r="A15" s="122" t="s">
        <v>97</v>
      </c>
      <c r="B15" s="123" t="s">
        <v>650</v>
      </c>
      <c r="C15" s="3987">
        <f>'11. Амортиз. план'!G82</f>
        <v>0</v>
      </c>
      <c r="D15" s="3988">
        <f>'11. Амортиз. план'!H82</f>
        <v>0</v>
      </c>
      <c r="E15" s="3988">
        <f>'11. Амортиз. план'!I82</f>
        <v>0</v>
      </c>
      <c r="F15" s="3988">
        <f>'11. Амортиз. план'!J82</f>
        <v>0</v>
      </c>
      <c r="G15" s="3989">
        <f>'11. Амортиз. план'!K82</f>
        <v>0</v>
      </c>
      <c r="H15" s="4488"/>
      <c r="I15" s="4493">
        <f t="shared" si="2"/>
        <v>0</v>
      </c>
      <c r="J15" s="4493">
        <f t="shared" si="3"/>
        <v>0</v>
      </c>
      <c r="K15" s="4493">
        <f t="shared" si="4"/>
        <v>0</v>
      </c>
      <c r="L15" s="4493">
        <f t="shared" si="5"/>
        <v>0</v>
      </c>
      <c r="M15" s="4493">
        <f t="shared" si="6"/>
        <v>0</v>
      </c>
    </row>
    <row r="16" spans="1:13" s="139" customFormat="1" ht="23.4" thickBot="1">
      <c r="A16" s="137" t="s">
        <v>99</v>
      </c>
      <c r="B16" s="138" t="s">
        <v>549</v>
      </c>
      <c r="C16" s="3990">
        <f t="shared" ref="C16:G16" si="8">(C17+C18)/2</f>
        <v>251.61206673513362</v>
      </c>
      <c r="D16" s="3991">
        <f t="shared" si="8"/>
        <v>107.83402226177776</v>
      </c>
      <c r="E16" s="3991">
        <f t="shared" si="8"/>
        <v>17.972500012549915</v>
      </c>
      <c r="F16" s="3991">
        <f t="shared" si="8"/>
        <v>0</v>
      </c>
      <c r="G16" s="3992">
        <f t="shared" si="8"/>
        <v>0</v>
      </c>
      <c r="H16" s="4488"/>
      <c r="I16" s="4493">
        <f t="shared" si="2"/>
        <v>128.64720693267495</v>
      </c>
      <c r="J16" s="4493">
        <f t="shared" si="3"/>
        <v>55.134660099179257</v>
      </c>
      <c r="K16" s="4493">
        <f t="shared" si="4"/>
        <v>9.1891933412157059</v>
      </c>
      <c r="L16" s="4493">
        <f t="shared" si="5"/>
        <v>0</v>
      </c>
      <c r="M16" s="4493">
        <f t="shared" si="6"/>
        <v>0</v>
      </c>
    </row>
    <row r="17" spans="1:13" ht="13.8" thickBot="1">
      <c r="A17" s="122" t="s">
        <v>171</v>
      </c>
      <c r="B17" s="123" t="s">
        <v>195</v>
      </c>
      <c r="C17" s="3929">
        <f>IF('10. Финансиране на ИП'!F37=0,0,'10. Финансиране на ИП'!F37)</f>
        <v>323.50108897181155</v>
      </c>
      <c r="D17" s="3930">
        <f>IF('10. Финансиране на ИП'!G37=0,0,'10. Финансиране на ИП'!G37)</f>
        <v>179.72304449845569</v>
      </c>
      <c r="E17" s="3930">
        <f>IF('10. Финансиране на ИП'!H37=0,0,'10. Финансиране на ИП'!H37)</f>
        <v>35.94500002509983</v>
      </c>
      <c r="F17" s="3930">
        <f>IF('10. Финансиране на ИП'!I37=0,0,'10. Финансиране на ИП'!I37)</f>
        <v>0</v>
      </c>
      <c r="G17" s="3931">
        <f>IF('10. Финансиране на ИП'!J37=0,0,'10. Финансиране на ИП'!J37)</f>
        <v>0</v>
      </c>
      <c r="H17" s="4488"/>
      <c r="I17" s="4493">
        <f t="shared" si="2"/>
        <v>165.40348034942278</v>
      </c>
      <c r="J17" s="4493">
        <f t="shared" si="3"/>
        <v>91.890933515927102</v>
      </c>
      <c r="K17" s="4493">
        <f t="shared" si="4"/>
        <v>18.378386682431412</v>
      </c>
      <c r="L17" s="4493">
        <f t="shared" si="5"/>
        <v>0</v>
      </c>
      <c r="M17" s="4493">
        <f t="shared" si="6"/>
        <v>0</v>
      </c>
    </row>
    <row r="18" spans="1:13" ht="13.8" thickBot="1">
      <c r="A18" s="122" t="s">
        <v>172</v>
      </c>
      <c r="B18" s="123" t="s">
        <v>550</v>
      </c>
      <c r="C18" s="3929">
        <f>IF('10. Финансиране на ИП'!F43=0,0,'10. Финансиране на ИП'!F43)</f>
        <v>179.72304449845569</v>
      </c>
      <c r="D18" s="3930">
        <f>IF('10. Финансиране на ИП'!G43=0,0,'10. Финансиране на ИП'!G43)</f>
        <v>35.94500002509983</v>
      </c>
      <c r="E18" s="3930">
        <f>IF('10. Финансиране на ИП'!H43=0,0,'10. Финансиране на ИП'!H43)</f>
        <v>0</v>
      </c>
      <c r="F18" s="3930">
        <f>IF('10. Финансиране на ИП'!I43=0,0,'10. Финансиране на ИП'!I43)</f>
        <v>0</v>
      </c>
      <c r="G18" s="3931">
        <f>IF('10. Финансиране на ИП'!J43=0,0,'10. Финансиране на ИП'!J43)</f>
        <v>0</v>
      </c>
      <c r="H18" s="4488"/>
      <c r="I18" s="4493">
        <f t="shared" si="2"/>
        <v>91.890933515927102</v>
      </c>
      <c r="J18" s="4493">
        <f t="shared" si="3"/>
        <v>18.378386682431412</v>
      </c>
      <c r="K18" s="4493">
        <f t="shared" si="4"/>
        <v>0</v>
      </c>
      <c r="L18" s="4493">
        <f t="shared" si="5"/>
        <v>0</v>
      </c>
      <c r="M18" s="4493">
        <f t="shared" si="6"/>
        <v>0</v>
      </c>
    </row>
    <row r="19" spans="1:13" s="139" customFormat="1" ht="13.8" thickBot="1">
      <c r="A19" s="140" t="s">
        <v>100</v>
      </c>
      <c r="B19" s="138" t="s">
        <v>329</v>
      </c>
      <c r="C19" s="3990">
        <f>'9.Инвестиционна програма'!I140</f>
        <v>665.33333333333337</v>
      </c>
      <c r="D19" s="3991">
        <f>'9.Инвестиционна програма'!J140</f>
        <v>668.33333333333337</v>
      </c>
      <c r="E19" s="3991">
        <f>'9.Инвестиционна програма'!K140</f>
        <v>705.66666666666663</v>
      </c>
      <c r="F19" s="3991">
        <f>'9.Инвестиционна програма'!L140</f>
        <v>714.66666666666663</v>
      </c>
      <c r="G19" s="3992">
        <f>'9.Инвестиционна програма'!M140</f>
        <v>698.33333333333337</v>
      </c>
      <c r="H19" s="4488"/>
      <c r="I19" s="4493">
        <f t="shared" si="2"/>
        <v>340.17953162255071</v>
      </c>
      <c r="J19" s="4493">
        <f t="shared" si="3"/>
        <v>341.71340726613937</v>
      </c>
      <c r="K19" s="4493">
        <f t="shared" si="4"/>
        <v>360.80163749746481</v>
      </c>
      <c r="L19" s="4493">
        <f t="shared" si="5"/>
        <v>365.40326442823078</v>
      </c>
      <c r="M19" s="4493">
        <f t="shared" si="6"/>
        <v>357.05216370202595</v>
      </c>
    </row>
    <row r="20" spans="1:13" s="139" customFormat="1" ht="13.8" thickBot="1">
      <c r="A20" s="143">
        <v>5</v>
      </c>
      <c r="B20" s="144" t="s">
        <v>306</v>
      </c>
      <c r="C20" s="3993">
        <f>'18. OK'!D25</f>
        <v>2012.4535975552221</v>
      </c>
      <c r="D20" s="3994">
        <f>'18. OK'!E25</f>
        <v>2185.2031025432698</v>
      </c>
      <c r="E20" s="3994">
        <f>'18. OK'!F25</f>
        <v>2379.9785632346952</v>
      </c>
      <c r="F20" s="3994">
        <f>'18. OK'!G25</f>
        <v>2596.3901666936786</v>
      </c>
      <c r="G20" s="3995">
        <f>'18. OK'!H25</f>
        <v>2832.1740224457194</v>
      </c>
      <c r="H20" s="4488"/>
      <c r="I20" s="4493">
        <f t="shared" si="2"/>
        <v>1028.9511857141072</v>
      </c>
      <c r="J20" s="4493">
        <f t="shared" si="3"/>
        <v>1117.2766050951616</v>
      </c>
      <c r="K20" s="4493">
        <f t="shared" si="4"/>
        <v>1216.8637168029406</v>
      </c>
      <c r="L20" s="4493">
        <f t="shared" si="5"/>
        <v>1327.5132126481742</v>
      </c>
      <c r="M20" s="4493">
        <f t="shared" si="6"/>
        <v>1448.067583811333</v>
      </c>
    </row>
    <row r="21" spans="1:13" ht="13.8" thickBot="1">
      <c r="A21" s="126">
        <v>6</v>
      </c>
      <c r="B21" s="127" t="s">
        <v>305</v>
      </c>
      <c r="C21" s="638">
        <f t="shared" ref="C21:G21" si="9">C10-C13+C16+C19+C20</f>
        <v>10027.826658296735</v>
      </c>
      <c r="D21" s="639">
        <f t="shared" si="9"/>
        <v>10330.090996701514</v>
      </c>
      <c r="E21" s="639">
        <f t="shared" si="9"/>
        <v>10711.329014415631</v>
      </c>
      <c r="F21" s="639">
        <f t="shared" si="9"/>
        <v>11158.676165123825</v>
      </c>
      <c r="G21" s="640">
        <f t="shared" si="9"/>
        <v>11587.861634272298</v>
      </c>
      <c r="H21" s="4488"/>
      <c r="I21" s="4493">
        <f t="shared" si="2"/>
        <v>5127.1463564301275</v>
      </c>
      <c r="J21" s="4493">
        <f t="shared" si="3"/>
        <v>5281.6916586316365</v>
      </c>
      <c r="K21" s="4493">
        <f t="shared" si="4"/>
        <v>5476.6155618922048</v>
      </c>
      <c r="L21" s="4493">
        <f t="shared" si="5"/>
        <v>5705.3405281255655</v>
      </c>
      <c r="M21" s="4493">
        <f t="shared" si="6"/>
        <v>5924.7795740285701</v>
      </c>
    </row>
    <row r="22" spans="1:13" ht="13.8" thickBot="1">
      <c r="A22" s="5561" t="s">
        <v>1</v>
      </c>
      <c r="B22" s="5563" t="s">
        <v>87</v>
      </c>
      <c r="C22" s="5569" t="s">
        <v>174</v>
      </c>
      <c r="D22" s="5570"/>
      <c r="E22" s="5570"/>
      <c r="F22" s="5570"/>
      <c r="G22" s="5571"/>
      <c r="H22" s="4488"/>
      <c r="I22" s="5555" t="s">
        <v>174</v>
      </c>
      <c r="J22" s="5555"/>
      <c r="K22" s="5555"/>
      <c r="L22" s="5555"/>
      <c r="M22" s="5555"/>
    </row>
    <row r="23" spans="1:13" ht="13.8" thickBot="1">
      <c r="A23" s="5562"/>
      <c r="B23" s="5564"/>
      <c r="C23" s="1241" t="str">
        <f t="shared" ref="C23:G23" si="10">C9</f>
        <v>2027 г.</v>
      </c>
      <c r="D23" s="1242" t="str">
        <f t="shared" si="10"/>
        <v>2028 г.</v>
      </c>
      <c r="E23" s="1242" t="str">
        <f t="shared" si="10"/>
        <v>2029 г.</v>
      </c>
      <c r="F23" s="1242" t="str">
        <f t="shared" si="10"/>
        <v>2030 г.</v>
      </c>
      <c r="G23" s="1243" t="str">
        <f t="shared" si="10"/>
        <v>2031 г.</v>
      </c>
      <c r="H23" s="4488"/>
      <c r="I23" s="4562" t="str">
        <f t="shared" ref="I23:M23" si="11">I9</f>
        <v>2027 г.</v>
      </c>
      <c r="J23" s="4562" t="str">
        <f t="shared" si="11"/>
        <v>2028 г.</v>
      </c>
      <c r="K23" s="4562" t="str">
        <f t="shared" si="11"/>
        <v>2029 г.</v>
      </c>
      <c r="L23" s="4562" t="str">
        <f t="shared" si="11"/>
        <v>2030 г.</v>
      </c>
      <c r="M23" s="4562" t="str">
        <f t="shared" si="11"/>
        <v>2031 г.</v>
      </c>
    </row>
    <row r="24" spans="1:13" ht="13.8" thickBot="1">
      <c r="A24" s="141" t="s">
        <v>141</v>
      </c>
      <c r="B24" s="142" t="s">
        <v>547</v>
      </c>
      <c r="C24" s="3978">
        <f t="shared" ref="C24:G24" si="12">C25-C26</f>
        <v>1390.4609992991768</v>
      </c>
      <c r="D24" s="3979">
        <f t="shared" si="12"/>
        <v>1450.7943326325101</v>
      </c>
      <c r="E24" s="3979">
        <f t="shared" si="12"/>
        <v>1509.1276659658429</v>
      </c>
      <c r="F24" s="3979">
        <f t="shared" si="12"/>
        <v>1573.7943326325103</v>
      </c>
      <c r="G24" s="3980">
        <f t="shared" si="12"/>
        <v>1636.4609992991766</v>
      </c>
      <c r="H24" s="4488"/>
      <c r="I24" s="4493">
        <f t="shared" ref="I24:I35" si="13">IFERROR(C24/$C$1,0)</f>
        <v>710.93142006164999</v>
      </c>
      <c r="J24" s="4493">
        <f t="shared" ref="J24:J35" si="14">IFERROR(D24/$C$1,0)</f>
        <v>741.77936356048849</v>
      </c>
      <c r="K24" s="4493">
        <f t="shared" ref="K24:K35" si="15">IFERROR(E24/$C$1,0)</f>
        <v>771.60472329693425</v>
      </c>
      <c r="L24" s="4493">
        <f t="shared" ref="L24:L35" si="16">IFERROR(F24/$C$1,0)</f>
        <v>804.66826494762347</v>
      </c>
      <c r="M24" s="4493">
        <f t="shared" ref="M24:M35" si="17">IFERROR(G24/$C$1,0)</f>
        <v>836.7092228359196</v>
      </c>
    </row>
    <row r="25" spans="1:13" ht="13.8" thickBot="1">
      <c r="A25" s="1239" t="s">
        <v>90</v>
      </c>
      <c r="B25" s="1240" t="s">
        <v>686</v>
      </c>
      <c r="C25" s="3981">
        <f>'11. Амортиз. план'!M10+'11. Амортиз. план'!M111</f>
        <v>1390.4609992991768</v>
      </c>
      <c r="D25" s="3982">
        <f>'11. Амортиз. план'!N10+'11. Амортиз. план'!N111</f>
        <v>1450.7943326325101</v>
      </c>
      <c r="E25" s="3982">
        <f>'11. Амортиз. план'!O10+'11. Амортиз. план'!O111</f>
        <v>1509.1276659658429</v>
      </c>
      <c r="F25" s="3982">
        <f>'11. Амортиз. план'!P10+'11. Амортиз. план'!P111</f>
        <v>1573.7943326325103</v>
      </c>
      <c r="G25" s="3983">
        <f>'11. Амортиз. план'!Q10+'11. Амортиз. план'!Q111</f>
        <v>1636.4609992991766</v>
      </c>
      <c r="H25" s="4488"/>
      <c r="I25" s="4493">
        <f t="shared" si="13"/>
        <v>710.93142006164999</v>
      </c>
      <c r="J25" s="4493">
        <f t="shared" si="14"/>
        <v>741.77936356048849</v>
      </c>
      <c r="K25" s="4493">
        <f t="shared" si="15"/>
        <v>771.60472329693425</v>
      </c>
      <c r="L25" s="4493">
        <f t="shared" si="16"/>
        <v>804.66826494762347</v>
      </c>
      <c r="M25" s="4493">
        <f t="shared" si="17"/>
        <v>836.7092228359196</v>
      </c>
    </row>
    <row r="26" spans="1:13" ht="13.8" thickBot="1">
      <c r="A26" s="1239" t="s">
        <v>91</v>
      </c>
      <c r="B26" s="1240" t="s">
        <v>649</v>
      </c>
      <c r="C26" s="3981">
        <f>'11. Амортиз. план'!N32</f>
        <v>0</v>
      </c>
      <c r="D26" s="3982">
        <f>'11. Амортиз. план'!O32</f>
        <v>0</v>
      </c>
      <c r="E26" s="3982">
        <f>'11. Амортиз. план'!P32</f>
        <v>0</v>
      </c>
      <c r="F26" s="3982">
        <f>'11. Амортиз. план'!Q32</f>
        <v>0</v>
      </c>
      <c r="G26" s="3983">
        <f>'11. Амортиз. план'!R32</f>
        <v>0</v>
      </c>
      <c r="H26" s="4488"/>
      <c r="I26" s="4493">
        <f t="shared" si="13"/>
        <v>0</v>
      </c>
      <c r="J26" s="4493">
        <f t="shared" si="14"/>
        <v>0</v>
      </c>
      <c r="K26" s="4493">
        <f t="shared" si="15"/>
        <v>0</v>
      </c>
      <c r="L26" s="4493">
        <f t="shared" si="16"/>
        <v>0</v>
      </c>
      <c r="M26" s="4493">
        <f t="shared" si="17"/>
        <v>0</v>
      </c>
    </row>
    <row r="27" spans="1:13" ht="13.8" thickBot="1">
      <c r="A27" s="140" t="s">
        <v>95</v>
      </c>
      <c r="B27" s="138" t="s">
        <v>548</v>
      </c>
      <c r="C27" s="3984">
        <f t="shared" ref="C27:G27" si="18">C28-C29</f>
        <v>924.05261108044283</v>
      </c>
      <c r="D27" s="3985">
        <f t="shared" si="18"/>
        <v>944.03108262898957</v>
      </c>
      <c r="E27" s="3985">
        <f t="shared" si="18"/>
        <v>964.6579293658682</v>
      </c>
      <c r="F27" s="3985">
        <f t="shared" si="18"/>
        <v>985.97565755106132</v>
      </c>
      <c r="G27" s="3986">
        <f t="shared" si="18"/>
        <v>1008.0067292790825</v>
      </c>
      <c r="H27" s="4488"/>
      <c r="I27" s="4493">
        <f t="shared" si="13"/>
        <v>472.46059784359727</v>
      </c>
      <c r="J27" s="4493">
        <f t="shared" si="14"/>
        <v>482.67542814507885</v>
      </c>
      <c r="K27" s="4493">
        <f t="shared" si="15"/>
        <v>493.22176741632364</v>
      </c>
      <c r="L27" s="4493">
        <f t="shared" si="16"/>
        <v>504.12134876296068</v>
      </c>
      <c r="M27" s="4493">
        <f t="shared" si="17"/>
        <v>515.38565687154937</v>
      </c>
    </row>
    <row r="28" spans="1:13" ht="13.8" thickBot="1">
      <c r="A28" s="122" t="s">
        <v>96</v>
      </c>
      <c r="B28" s="123" t="s">
        <v>687</v>
      </c>
      <c r="C28" s="3981">
        <f>'11. Амортиз. план'!M60+'11. Амортиз. план'!M151</f>
        <v>924.05261108044283</v>
      </c>
      <c r="D28" s="3982">
        <f>'11. Амортиз. план'!N60+'11. Амортиз. план'!N151</f>
        <v>944.03108262898957</v>
      </c>
      <c r="E28" s="3982">
        <f>'11. Амортиз. план'!O60+'11. Амортиз. план'!O151</f>
        <v>964.6579293658682</v>
      </c>
      <c r="F28" s="3982">
        <f>'11. Амортиз. план'!P60+'11. Амортиз. план'!P151</f>
        <v>985.97565755106132</v>
      </c>
      <c r="G28" s="3983">
        <f>'11. Амортиз. план'!Q60+'11. Амортиз. план'!Q151</f>
        <v>1008.0067292790825</v>
      </c>
      <c r="H28" s="4488"/>
      <c r="I28" s="4493">
        <f t="shared" si="13"/>
        <v>472.46059784359727</v>
      </c>
      <c r="J28" s="4493">
        <f t="shared" si="14"/>
        <v>482.67542814507885</v>
      </c>
      <c r="K28" s="4493">
        <f t="shared" si="15"/>
        <v>493.22176741632364</v>
      </c>
      <c r="L28" s="4493">
        <f t="shared" si="16"/>
        <v>504.12134876296068</v>
      </c>
      <c r="M28" s="4493">
        <f t="shared" si="17"/>
        <v>515.38565687154937</v>
      </c>
    </row>
    <row r="29" spans="1:13" ht="13.8" thickBot="1">
      <c r="A29" s="122" t="s">
        <v>97</v>
      </c>
      <c r="B29" s="123" t="s">
        <v>650</v>
      </c>
      <c r="C29" s="3987">
        <f>'11. Амортиз. план'!N82</f>
        <v>0</v>
      </c>
      <c r="D29" s="3988">
        <f>'11. Амортиз. план'!O82</f>
        <v>0</v>
      </c>
      <c r="E29" s="3988">
        <f>'11. Амортиз. план'!P82</f>
        <v>0</v>
      </c>
      <c r="F29" s="3988">
        <f>'11. Амортиз. план'!Q82</f>
        <v>0</v>
      </c>
      <c r="G29" s="3989">
        <f>'11. Амортиз. план'!R82</f>
        <v>0</v>
      </c>
      <c r="H29" s="4488"/>
      <c r="I29" s="4493">
        <f t="shared" si="13"/>
        <v>0</v>
      </c>
      <c r="J29" s="4493">
        <f t="shared" si="14"/>
        <v>0</v>
      </c>
      <c r="K29" s="4493">
        <f t="shared" si="15"/>
        <v>0</v>
      </c>
      <c r="L29" s="4493">
        <f t="shared" si="16"/>
        <v>0</v>
      </c>
      <c r="M29" s="4493">
        <f t="shared" si="17"/>
        <v>0</v>
      </c>
    </row>
    <row r="30" spans="1:13" ht="23.4" thickBot="1">
      <c r="A30" s="137" t="s">
        <v>99</v>
      </c>
      <c r="B30" s="138" t="s">
        <v>549</v>
      </c>
      <c r="C30" s="3990">
        <f t="shared" ref="C30:G30" si="19">(C31+C32)/2</f>
        <v>3.8051049942546644</v>
      </c>
      <c r="D30" s="3991">
        <f t="shared" si="19"/>
        <v>1.6307691826786648</v>
      </c>
      <c r="E30" s="3991">
        <f t="shared" si="19"/>
        <v>0.27180063844533164</v>
      </c>
      <c r="F30" s="3991">
        <f t="shared" si="19"/>
        <v>-1.5543122344752192E-15</v>
      </c>
      <c r="G30" s="3992">
        <f t="shared" si="19"/>
        <v>-1.5543122344752192E-15</v>
      </c>
      <c r="H30" s="4488"/>
      <c r="I30" s="4493">
        <f t="shared" si="13"/>
        <v>1.9455192906615935</v>
      </c>
      <c r="J30" s="4493">
        <f t="shared" si="14"/>
        <v>0.83379904320859421</v>
      </c>
      <c r="K30" s="4493">
        <f t="shared" si="15"/>
        <v>0.13896945974104685</v>
      </c>
      <c r="L30" s="4493">
        <f t="shared" si="16"/>
        <v>-7.9470722633113262E-16</v>
      </c>
      <c r="M30" s="4493">
        <f t="shared" si="17"/>
        <v>-7.9470722633113262E-16</v>
      </c>
    </row>
    <row r="31" spans="1:13" ht="13.8" thickBot="1">
      <c r="A31" s="122" t="s">
        <v>171</v>
      </c>
      <c r="B31" s="123" t="s">
        <v>195</v>
      </c>
      <c r="C31" s="3929">
        <f>IF('10. Финансиране на ИП'!N37=0,0,'10. Финансиране на ИП'!N37)</f>
        <v>4.8922729000426646</v>
      </c>
      <c r="D31" s="3930">
        <f>IF('10. Финансиране на ИП'!O37=0,0,'10. Финансиране на ИП'!O37)</f>
        <v>2.7179370884666647</v>
      </c>
      <c r="E31" s="3930">
        <f>IF('10. Финансиране на ИП'!P37=0,0,'10. Финансиране на ИП'!P37)</f>
        <v>0.54360127689066484</v>
      </c>
      <c r="F31" s="3930">
        <f>IF('10. Финансиране на ИП'!Q37=0,0,'10. Финансиране на ИП'!Q37)</f>
        <v>-1.5543122344752192E-15</v>
      </c>
      <c r="G31" s="3931">
        <f>IF('10. Финансиране на ИП'!R37=0,0,'10. Финансиране на ИП'!R37)</f>
        <v>-1.5543122344752192E-15</v>
      </c>
      <c r="H31" s="4488"/>
      <c r="I31" s="4493">
        <f t="shared" si="13"/>
        <v>2.5013794143880932</v>
      </c>
      <c r="J31" s="4493">
        <f t="shared" si="14"/>
        <v>1.3896591669350939</v>
      </c>
      <c r="K31" s="4493">
        <f t="shared" si="15"/>
        <v>0.27793891948209448</v>
      </c>
      <c r="L31" s="4493">
        <f t="shared" si="16"/>
        <v>-7.9470722633113262E-16</v>
      </c>
      <c r="M31" s="4493">
        <f t="shared" si="17"/>
        <v>-7.9470722633113262E-16</v>
      </c>
    </row>
    <row r="32" spans="1:13" ht="13.8" thickBot="1">
      <c r="A32" s="122" t="s">
        <v>172</v>
      </c>
      <c r="B32" s="123" t="s">
        <v>550</v>
      </c>
      <c r="C32" s="3929">
        <f>IF('10. Финансиране на ИП'!N43=0,0,'10. Финансиране на ИП'!N43)</f>
        <v>2.7179370884666647</v>
      </c>
      <c r="D32" s="3930">
        <f>IF('10. Финансиране на ИП'!O43=0,0,'10. Финансиране на ИП'!O43)</f>
        <v>0.54360127689066484</v>
      </c>
      <c r="E32" s="3930">
        <f>IF('10. Финансиране на ИП'!P43=0,0,'10. Финансиране на ИП'!P43)</f>
        <v>-1.5543122344752192E-15</v>
      </c>
      <c r="F32" s="3930">
        <f>IF('10. Финансиране на ИП'!Q43=0,0,'10. Финансиране на ИП'!Q43)</f>
        <v>-1.5543122344752192E-15</v>
      </c>
      <c r="G32" s="3931">
        <f>IF('10. Финансиране на ИП'!R43=0,0,'10. Финансиране на ИП'!R43)</f>
        <v>-1.5543122344752192E-15</v>
      </c>
      <c r="H32" s="4488"/>
      <c r="I32" s="4493">
        <f t="shared" si="13"/>
        <v>1.3896591669350939</v>
      </c>
      <c r="J32" s="4493">
        <f t="shared" si="14"/>
        <v>0.27793891948209448</v>
      </c>
      <c r="K32" s="4493">
        <f t="shared" si="15"/>
        <v>-7.9470722633113262E-16</v>
      </c>
      <c r="L32" s="4493">
        <f t="shared" si="16"/>
        <v>-7.9470722633113262E-16</v>
      </c>
      <c r="M32" s="4493">
        <f t="shared" si="17"/>
        <v>-7.9470722633113262E-16</v>
      </c>
    </row>
    <row r="33" spans="1:13" ht="13.8" thickBot="1">
      <c r="A33" s="140" t="s">
        <v>100</v>
      </c>
      <c r="B33" s="138" t="s">
        <v>329</v>
      </c>
      <c r="C33" s="3990">
        <f>'9.Инвестиционна програма'!I141</f>
        <v>60.333333333333329</v>
      </c>
      <c r="D33" s="3991">
        <f>'9.Инвестиционна програма'!J141</f>
        <v>58.333333333333329</v>
      </c>
      <c r="E33" s="3991">
        <f>'9.Инвестиционна програма'!K141</f>
        <v>64.666666666666657</v>
      </c>
      <c r="F33" s="3991">
        <f>'9.Инвестиционна програма'!L141</f>
        <v>62.666666666666664</v>
      </c>
      <c r="G33" s="3992">
        <f>'9.Инвестиционна програма'!M141</f>
        <v>58.333333333333329</v>
      </c>
      <c r="H33" s="4488"/>
      <c r="I33" s="4493">
        <f t="shared" si="13"/>
        <v>30.847943498838514</v>
      </c>
      <c r="J33" s="4493">
        <f t="shared" si="14"/>
        <v>29.825359736446078</v>
      </c>
      <c r="K33" s="4493">
        <f t="shared" si="15"/>
        <v>33.063541650688791</v>
      </c>
      <c r="L33" s="4493">
        <f t="shared" si="16"/>
        <v>32.040957888296354</v>
      </c>
      <c r="M33" s="4493">
        <f t="shared" si="17"/>
        <v>29.825359736446078</v>
      </c>
    </row>
    <row r="34" spans="1:13" ht="13.8" thickBot="1">
      <c r="A34" s="143">
        <v>5</v>
      </c>
      <c r="B34" s="144" t="s">
        <v>306</v>
      </c>
      <c r="C34" s="3993">
        <f>'18. OK'!D26</f>
        <v>75.730010272333303</v>
      </c>
      <c r="D34" s="3994">
        <f>'18. OK'!E26</f>
        <v>84.533558644086042</v>
      </c>
      <c r="E34" s="3994">
        <f>'18. OK'!F26</f>
        <v>94.082320672364347</v>
      </c>
      <c r="F34" s="3994">
        <f>'18. OK'!G26</f>
        <v>105.37361047421369</v>
      </c>
      <c r="G34" s="3995">
        <f>'18. OK'!H26</f>
        <v>117.36433976241263</v>
      </c>
      <c r="H34" s="4488"/>
      <c r="I34" s="4493">
        <f t="shared" si="13"/>
        <v>38.720139415150243</v>
      </c>
      <c r="J34" s="4493">
        <f t="shared" si="14"/>
        <v>43.221322223345609</v>
      </c>
      <c r="K34" s="4493">
        <f t="shared" si="15"/>
        <v>48.103526723879042</v>
      </c>
      <c r="L34" s="4493">
        <f t="shared" si="16"/>
        <v>53.876671527798273</v>
      </c>
      <c r="M34" s="4493">
        <f t="shared" si="17"/>
        <v>60.007434062476101</v>
      </c>
    </row>
    <row r="35" spans="1:13" ht="13.8" thickBot="1">
      <c r="A35" s="126">
        <v>6</v>
      </c>
      <c r="B35" s="127" t="s">
        <v>305</v>
      </c>
      <c r="C35" s="638">
        <f t="shared" ref="C35:G35" si="20">C24-C27+C30+C33+C34</f>
        <v>606.27683681865528</v>
      </c>
      <c r="D35" s="639">
        <f t="shared" si="20"/>
        <v>651.26091116361852</v>
      </c>
      <c r="E35" s="639">
        <f t="shared" si="20"/>
        <v>703.49052457745097</v>
      </c>
      <c r="F35" s="639">
        <f t="shared" si="20"/>
        <v>755.85895222232932</v>
      </c>
      <c r="G35" s="640">
        <f t="shared" si="20"/>
        <v>804.15194311584014</v>
      </c>
      <c r="H35" s="4488"/>
      <c r="I35" s="4493">
        <f t="shared" si="13"/>
        <v>309.98442442270306</v>
      </c>
      <c r="J35" s="4493">
        <f t="shared" si="14"/>
        <v>332.98441641840986</v>
      </c>
      <c r="K35" s="4493">
        <f t="shared" si="15"/>
        <v>359.68899371491949</v>
      </c>
      <c r="L35" s="4493">
        <f t="shared" si="16"/>
        <v>386.46454560075739</v>
      </c>
      <c r="M35" s="4493">
        <f t="shared" si="17"/>
        <v>411.15635976329241</v>
      </c>
    </row>
    <row r="36" spans="1:13" ht="13.8" thickBot="1">
      <c r="A36" s="5561" t="s">
        <v>1</v>
      </c>
      <c r="B36" s="5563" t="s">
        <v>87</v>
      </c>
      <c r="C36" s="5569" t="s">
        <v>184</v>
      </c>
      <c r="D36" s="5570"/>
      <c r="E36" s="5570"/>
      <c r="F36" s="5570"/>
      <c r="G36" s="5571"/>
      <c r="H36" s="4488"/>
      <c r="I36" s="5555" t="s">
        <v>184</v>
      </c>
      <c r="J36" s="5555"/>
      <c r="K36" s="5555"/>
      <c r="L36" s="5555"/>
      <c r="M36" s="5555"/>
    </row>
    <row r="37" spans="1:13" ht="13.8" thickBot="1">
      <c r="A37" s="5562"/>
      <c r="B37" s="5564"/>
      <c r="C37" s="1241" t="str">
        <f t="shared" ref="C37:G37" si="21">C23</f>
        <v>2027 г.</v>
      </c>
      <c r="D37" s="1242" t="str">
        <f t="shared" si="21"/>
        <v>2028 г.</v>
      </c>
      <c r="E37" s="1242" t="str">
        <f t="shared" si="21"/>
        <v>2029 г.</v>
      </c>
      <c r="F37" s="1242" t="str">
        <f t="shared" si="21"/>
        <v>2030 г.</v>
      </c>
      <c r="G37" s="1243" t="str">
        <f t="shared" si="21"/>
        <v>2031 г.</v>
      </c>
      <c r="H37" s="4488"/>
      <c r="I37" s="4562" t="str">
        <f t="shared" ref="I37:M37" si="22">I23</f>
        <v>2027 г.</v>
      </c>
      <c r="J37" s="4562" t="str">
        <f t="shared" si="22"/>
        <v>2028 г.</v>
      </c>
      <c r="K37" s="4562" t="str">
        <f t="shared" si="22"/>
        <v>2029 г.</v>
      </c>
      <c r="L37" s="4562" t="str">
        <f t="shared" si="22"/>
        <v>2030 г.</v>
      </c>
      <c r="M37" s="4562" t="str">
        <f t="shared" si="22"/>
        <v>2031 г.</v>
      </c>
    </row>
    <row r="38" spans="1:13" ht="13.8" thickBot="1">
      <c r="A38" s="141" t="s">
        <v>141</v>
      </c>
      <c r="B38" s="142" t="s">
        <v>547</v>
      </c>
      <c r="C38" s="3978">
        <f t="shared" ref="C38:G38" si="23">C39-C40</f>
        <v>1578.9546536962414</v>
      </c>
      <c r="D38" s="3979">
        <f t="shared" si="23"/>
        <v>1663.2879870295747</v>
      </c>
      <c r="E38" s="3979">
        <f t="shared" si="23"/>
        <v>1745.6213203629079</v>
      </c>
      <c r="F38" s="3979">
        <f t="shared" si="23"/>
        <v>1834.2879870295749</v>
      </c>
      <c r="G38" s="3980">
        <f t="shared" si="23"/>
        <v>1920.9546536962416</v>
      </c>
      <c r="H38" s="4488"/>
      <c r="I38" s="4493">
        <f t="shared" ref="I38:I49" si="24">IFERROR(C38/$C$1,0)</f>
        <v>807.30669521187497</v>
      </c>
      <c r="J38" s="4493">
        <f t="shared" ref="J38:J49" si="25">IFERROR(D38/$C$1,0)</f>
        <v>850.42564385942273</v>
      </c>
      <c r="K38" s="4493">
        <f t="shared" ref="K38:K49" si="26">IFERROR(E38/$C$1,0)</f>
        <v>892.52200874457799</v>
      </c>
      <c r="L38" s="4493">
        <f t="shared" ref="L38:L49" si="27">IFERROR(F38/$C$1,0)</f>
        <v>937.85655554397613</v>
      </c>
      <c r="M38" s="4493">
        <f t="shared" ref="M38:M49" si="28">IFERROR(G38/$C$1,0)</f>
        <v>982.16851858098187</v>
      </c>
    </row>
    <row r="39" spans="1:13" ht="13.8" thickBot="1">
      <c r="A39" s="1239" t="s">
        <v>90</v>
      </c>
      <c r="B39" s="1240" t="s">
        <v>686</v>
      </c>
      <c r="C39" s="3987">
        <f>'11. Амортиз. план'!T10+'11. Амортиз. план'!T111</f>
        <v>1578.9546536962414</v>
      </c>
      <c r="D39" s="3988">
        <f>'11. Амортиз. план'!U10+'11. Амортиз. план'!U111</f>
        <v>1663.2879870295747</v>
      </c>
      <c r="E39" s="3988">
        <f>'11. Амортиз. план'!V10+'11. Амортиз. план'!V111</f>
        <v>1745.6213203629079</v>
      </c>
      <c r="F39" s="3988">
        <f>'11. Амортиз. план'!W10+'11. Амортиз. план'!W111</f>
        <v>1834.2879870295749</v>
      </c>
      <c r="G39" s="3989">
        <f>'11. Амортиз. план'!X10+'11. Амортиз. план'!X111</f>
        <v>1920.9546536962416</v>
      </c>
      <c r="H39" s="4488"/>
      <c r="I39" s="4493">
        <f t="shared" si="24"/>
        <v>807.30669521187497</v>
      </c>
      <c r="J39" s="4493">
        <f t="shared" si="25"/>
        <v>850.42564385942273</v>
      </c>
      <c r="K39" s="4493">
        <f t="shared" si="26"/>
        <v>892.52200874457799</v>
      </c>
      <c r="L39" s="4493">
        <f t="shared" si="27"/>
        <v>937.85655554397613</v>
      </c>
      <c r="M39" s="4493">
        <f t="shared" si="28"/>
        <v>982.16851858098187</v>
      </c>
    </row>
    <row r="40" spans="1:13" ht="13.8" thickBot="1">
      <c r="A40" s="1239" t="s">
        <v>91</v>
      </c>
      <c r="B40" s="1240" t="s">
        <v>649</v>
      </c>
      <c r="C40" s="3987">
        <f>'11. Амортиз. план'!U32</f>
        <v>0</v>
      </c>
      <c r="D40" s="3988">
        <f>'11. Амортиз. план'!V32</f>
        <v>0</v>
      </c>
      <c r="E40" s="3988">
        <f>'11. Амортиз. план'!W32</f>
        <v>0</v>
      </c>
      <c r="F40" s="3988">
        <f>'11. Амортиз. план'!X32</f>
        <v>0</v>
      </c>
      <c r="G40" s="3989">
        <f>'11. Амортиз. план'!Y32</f>
        <v>0</v>
      </c>
      <c r="H40" s="4488"/>
      <c r="I40" s="4493">
        <f t="shared" si="24"/>
        <v>0</v>
      </c>
      <c r="J40" s="4493">
        <f t="shared" si="25"/>
        <v>0</v>
      </c>
      <c r="K40" s="4493">
        <f t="shared" si="26"/>
        <v>0</v>
      </c>
      <c r="L40" s="4493">
        <f t="shared" si="27"/>
        <v>0</v>
      </c>
      <c r="M40" s="4493">
        <f t="shared" si="28"/>
        <v>0</v>
      </c>
    </row>
    <row r="41" spans="1:13" ht="13.8" thickBot="1">
      <c r="A41" s="140" t="s">
        <v>95</v>
      </c>
      <c r="B41" s="138" t="s">
        <v>548</v>
      </c>
      <c r="C41" s="3990">
        <f t="shared" ref="C41:G41" si="29">C42-C43</f>
        <v>939.45971801144879</v>
      </c>
      <c r="D41" s="3991">
        <f t="shared" si="29"/>
        <v>993.32105205470214</v>
      </c>
      <c r="E41" s="3991">
        <f t="shared" si="29"/>
        <v>1049.3418789581169</v>
      </c>
      <c r="F41" s="3991">
        <f t="shared" si="29"/>
        <v>1107.7057924030671</v>
      </c>
      <c r="G41" s="3992">
        <f t="shared" si="29"/>
        <v>1168.5132617731895</v>
      </c>
      <c r="H41" s="4488"/>
      <c r="I41" s="4493">
        <f t="shared" si="24"/>
        <v>480.33812653014257</v>
      </c>
      <c r="J41" s="4493">
        <f t="shared" si="25"/>
        <v>507.87698933685556</v>
      </c>
      <c r="K41" s="4493">
        <f t="shared" si="26"/>
        <v>536.51998331047025</v>
      </c>
      <c r="L41" s="4493">
        <f t="shared" si="27"/>
        <v>566.36097840971206</v>
      </c>
      <c r="M41" s="4493">
        <f t="shared" si="28"/>
        <v>597.45134381474338</v>
      </c>
    </row>
    <row r="42" spans="1:13" ht="13.8" thickBot="1">
      <c r="A42" s="122" t="s">
        <v>96</v>
      </c>
      <c r="B42" s="123" t="s">
        <v>687</v>
      </c>
      <c r="C42" s="3987">
        <f>'11. Амортиз. план'!T60+'11. Амортиз. план'!T151</f>
        <v>939.45971801144879</v>
      </c>
      <c r="D42" s="3988">
        <f>'11. Амортиз. план'!U60+'11. Амортиз. план'!U151</f>
        <v>993.32105205470214</v>
      </c>
      <c r="E42" s="3988">
        <f>'11. Амортиз. план'!V60+'11. Амортиз. план'!V151</f>
        <v>1049.3418789581169</v>
      </c>
      <c r="F42" s="3988">
        <f>'11. Амортиз. план'!W60+'11. Амортиз. план'!W151</f>
        <v>1107.7057924030671</v>
      </c>
      <c r="G42" s="3989">
        <f>'11. Амортиз. план'!X60+'11. Амортиз. план'!X151</f>
        <v>1168.5132617731895</v>
      </c>
      <c r="H42" s="4488"/>
      <c r="I42" s="4493">
        <f t="shared" si="24"/>
        <v>480.33812653014257</v>
      </c>
      <c r="J42" s="4493">
        <f t="shared" si="25"/>
        <v>507.87698933685556</v>
      </c>
      <c r="K42" s="4493">
        <f t="shared" si="26"/>
        <v>536.51998331047025</v>
      </c>
      <c r="L42" s="4493">
        <f t="shared" si="27"/>
        <v>566.36097840971206</v>
      </c>
      <c r="M42" s="4493">
        <f t="shared" si="28"/>
        <v>597.45134381474338</v>
      </c>
    </row>
    <row r="43" spans="1:13" ht="13.8" thickBot="1">
      <c r="A43" s="122" t="s">
        <v>97</v>
      </c>
      <c r="B43" s="123" t="s">
        <v>650</v>
      </c>
      <c r="C43" s="3987">
        <f>'11. Амортиз. план'!U82</f>
        <v>0</v>
      </c>
      <c r="D43" s="3988">
        <f>'11. Амортиз. план'!V82</f>
        <v>0</v>
      </c>
      <c r="E43" s="3988">
        <f>'11. Амортиз. план'!W82</f>
        <v>0</v>
      </c>
      <c r="F43" s="3988">
        <f>'11. Амортиз. план'!X82</f>
        <v>0</v>
      </c>
      <c r="G43" s="3989">
        <f>'11. Амортиз. план'!Y82</f>
        <v>0</v>
      </c>
      <c r="H43" s="4488"/>
      <c r="I43" s="4493">
        <f t="shared" si="24"/>
        <v>0</v>
      </c>
      <c r="J43" s="4493">
        <f t="shared" si="25"/>
        <v>0</v>
      </c>
      <c r="K43" s="4493">
        <f t="shared" si="26"/>
        <v>0</v>
      </c>
      <c r="L43" s="4493">
        <f t="shared" si="27"/>
        <v>0</v>
      </c>
      <c r="M43" s="4493">
        <f t="shared" si="28"/>
        <v>0</v>
      </c>
    </row>
    <row r="44" spans="1:13" ht="23.4" thickBot="1">
      <c r="A44" s="137" t="s">
        <v>99</v>
      </c>
      <c r="B44" s="138" t="s">
        <v>549</v>
      </c>
      <c r="C44" s="3990">
        <f t="shared" ref="C44:G44" si="30">(C45+C46)/2</f>
        <v>22.828712674799725</v>
      </c>
      <c r="D44" s="3991">
        <f t="shared" si="30"/>
        <v>9.7837695960557269</v>
      </c>
      <c r="E44" s="3991">
        <f t="shared" si="30"/>
        <v>1.630649028341862</v>
      </c>
      <c r="F44" s="3991">
        <f t="shared" si="30"/>
        <v>-5.773159728050814E-15</v>
      </c>
      <c r="G44" s="3992">
        <f t="shared" si="30"/>
        <v>-5.773159728050814E-15</v>
      </c>
      <c r="H44" s="4488"/>
      <c r="I44" s="4493">
        <f t="shared" si="24"/>
        <v>11.672135448786308</v>
      </c>
      <c r="J44" s="4493">
        <f t="shared" si="25"/>
        <v>5.0023619619576998</v>
      </c>
      <c r="K44" s="4493">
        <f t="shared" si="26"/>
        <v>0.83373760927169638</v>
      </c>
      <c r="L44" s="4493">
        <f t="shared" si="27"/>
        <v>-2.9517696978013499E-15</v>
      </c>
      <c r="M44" s="4493">
        <f t="shared" si="28"/>
        <v>-2.9517696978013499E-15</v>
      </c>
    </row>
    <row r="45" spans="1:13" ht="13.8" thickBot="1">
      <c r="A45" s="122" t="s">
        <v>171</v>
      </c>
      <c r="B45" s="123" t="s">
        <v>195</v>
      </c>
      <c r="C45" s="3929">
        <f>IF('10. Финансиране на ИП'!V37=0,0,'10. Финансиране на ИП'!V37)</f>
        <v>29.351184214171724</v>
      </c>
      <c r="D45" s="3930">
        <f>IF('10. Финансиране на ИП'!W37=0,0,'10. Финансиране на ИП'!W37)</f>
        <v>16.306241135427726</v>
      </c>
      <c r="E45" s="3930">
        <f>IF('10. Финансиране на ИП'!X37=0,0,'10. Финансиране на ИП'!X37)</f>
        <v>3.2612980566837297</v>
      </c>
      <c r="F45" s="3930">
        <f>IF('10. Финансиране на ИП'!Y37=0,0,'10. Финансиране на ИП'!Y37)</f>
        <v>-5.773159728050814E-15</v>
      </c>
      <c r="G45" s="3931">
        <f>IF('10. Финансиране на ИП'!Z37=0,0,'10. Финансиране на ИП'!Z37)</f>
        <v>-5.773159728050814E-15</v>
      </c>
      <c r="H45" s="4488"/>
      <c r="I45" s="4493">
        <f t="shared" si="24"/>
        <v>15.007022192200612</v>
      </c>
      <c r="J45" s="4493">
        <f t="shared" si="25"/>
        <v>8.3372487053720032</v>
      </c>
      <c r="K45" s="4493">
        <f t="shared" si="26"/>
        <v>1.6674752185433959</v>
      </c>
      <c r="L45" s="4493">
        <f t="shared" si="27"/>
        <v>-2.9517696978013499E-15</v>
      </c>
      <c r="M45" s="4493">
        <f t="shared" si="28"/>
        <v>-2.9517696978013499E-15</v>
      </c>
    </row>
    <row r="46" spans="1:13" ht="13.8" thickBot="1">
      <c r="A46" s="122" t="s">
        <v>172</v>
      </c>
      <c r="B46" s="123" t="s">
        <v>550</v>
      </c>
      <c r="C46" s="3929">
        <f>IF('10. Финансиране на ИП'!V43=0,0,'10. Финансиране на ИП'!V43)</f>
        <v>16.306241135427726</v>
      </c>
      <c r="D46" s="3930">
        <f>IF('10. Финансиране на ИП'!W43=0,0,'10. Финансиране на ИП'!W43)</f>
        <v>3.2612980566837297</v>
      </c>
      <c r="E46" s="3930">
        <f>IF('10. Финансиране на ИП'!X43=0,0,'10. Финансиране на ИП'!X43)</f>
        <v>-5.773159728050814E-15</v>
      </c>
      <c r="F46" s="3930">
        <f>IF('10. Финансиране на ИП'!Y43=0,0,'10. Финансиране на ИП'!Y43)</f>
        <v>-5.773159728050814E-15</v>
      </c>
      <c r="G46" s="3931">
        <f>IF('10. Финансиране на ИП'!Z43=0,0,'10. Финансиране на ИП'!Z43)</f>
        <v>-5.773159728050814E-15</v>
      </c>
      <c r="H46" s="4488"/>
      <c r="I46" s="4493">
        <f t="shared" si="24"/>
        <v>8.3372487053720032</v>
      </c>
      <c r="J46" s="4493">
        <f t="shared" si="25"/>
        <v>1.6674752185433959</v>
      </c>
      <c r="K46" s="4493">
        <f t="shared" si="26"/>
        <v>-2.9517696978013499E-15</v>
      </c>
      <c r="L46" s="4493">
        <f t="shared" si="27"/>
        <v>-2.9517696978013499E-15</v>
      </c>
      <c r="M46" s="4493">
        <f t="shared" si="28"/>
        <v>-2.9517696978013499E-15</v>
      </c>
    </row>
    <row r="47" spans="1:13" ht="13.8" thickBot="1">
      <c r="A47" s="140" t="s">
        <v>100</v>
      </c>
      <c r="B47" s="138" t="s">
        <v>329</v>
      </c>
      <c r="C47" s="3932">
        <f>'9.Инвестиционна програма'!I142</f>
        <v>84.333333333333329</v>
      </c>
      <c r="D47" s="3933">
        <f>'9.Инвестиционна програма'!J142</f>
        <v>82.333333333333329</v>
      </c>
      <c r="E47" s="3933">
        <f>'9.Инвестиционна програма'!K142</f>
        <v>88.666666666666657</v>
      </c>
      <c r="F47" s="3933">
        <f>'9.Инвестиционна програма'!L142</f>
        <v>86.666666666666657</v>
      </c>
      <c r="G47" s="3934">
        <f>'9.Инвестиционна програма'!M142</f>
        <v>82.333333333333329</v>
      </c>
      <c r="H47" s="4488"/>
      <c r="I47" s="4493">
        <f t="shared" si="24"/>
        <v>43.118948647547761</v>
      </c>
      <c r="J47" s="4493">
        <f t="shared" si="25"/>
        <v>42.096364885155317</v>
      </c>
      <c r="K47" s="4493">
        <f t="shared" si="26"/>
        <v>45.334546799398034</v>
      </c>
      <c r="L47" s="4493">
        <f t="shared" si="27"/>
        <v>44.311963037005597</v>
      </c>
      <c r="M47" s="4493">
        <f t="shared" si="28"/>
        <v>42.096364885155317</v>
      </c>
    </row>
    <row r="48" spans="1:13" ht="13.8" thickBot="1">
      <c r="A48" s="143">
        <v>5</v>
      </c>
      <c r="B48" s="144" t="s">
        <v>306</v>
      </c>
      <c r="C48" s="3993">
        <f>'18. OK'!D27</f>
        <v>467.10476638842096</v>
      </c>
      <c r="D48" s="3994">
        <f>'18. OK'!E27</f>
        <v>512.13837618759555</v>
      </c>
      <c r="E48" s="3994">
        <f>'18. OK'!F27</f>
        <v>562.2064264573097</v>
      </c>
      <c r="F48" s="3994">
        <f>'18. OK'!G27</f>
        <v>618.40086248332182</v>
      </c>
      <c r="G48" s="3995">
        <f>'18. OK'!H27</f>
        <v>681.73708109186646</v>
      </c>
      <c r="H48" s="4488"/>
      <c r="I48" s="4493">
        <f t="shared" si="24"/>
        <v>238.82687472245593</v>
      </c>
      <c r="J48" s="4493">
        <f t="shared" si="25"/>
        <v>261.85219379373234</v>
      </c>
      <c r="K48" s="4493">
        <f t="shared" si="26"/>
        <v>287.45158140396137</v>
      </c>
      <c r="L48" s="4493">
        <f t="shared" si="27"/>
        <v>316.18334031246161</v>
      </c>
      <c r="M48" s="4493">
        <f t="shared" si="28"/>
        <v>348.56663467267936</v>
      </c>
    </row>
    <row r="49" spans="1:13" ht="13.8" thickBot="1">
      <c r="A49" s="126">
        <v>6</v>
      </c>
      <c r="B49" s="127" t="s">
        <v>305</v>
      </c>
      <c r="C49" s="638">
        <f t="shared" ref="C49:G49" si="31">C38-C41+C44+C47+C48</f>
        <v>1213.7617480813467</v>
      </c>
      <c r="D49" s="639">
        <f t="shared" si="31"/>
        <v>1274.2224140918572</v>
      </c>
      <c r="E49" s="639">
        <f t="shared" si="31"/>
        <v>1348.7831835571092</v>
      </c>
      <c r="F49" s="639">
        <f t="shared" si="31"/>
        <v>1431.6497237764961</v>
      </c>
      <c r="G49" s="640">
        <f t="shared" si="31"/>
        <v>1516.5118063482519</v>
      </c>
      <c r="H49" s="4488"/>
      <c r="I49" s="4493">
        <f t="shared" si="24"/>
        <v>620.58652750052238</v>
      </c>
      <c r="J49" s="4493">
        <f t="shared" si="25"/>
        <v>651.4995751634126</v>
      </c>
      <c r="K49" s="4493">
        <f t="shared" si="26"/>
        <v>689.62189124673887</v>
      </c>
      <c r="L49" s="4493">
        <f t="shared" si="27"/>
        <v>731.9908804837313</v>
      </c>
      <c r="M49" s="4493">
        <f t="shared" si="28"/>
        <v>775.3801743240731</v>
      </c>
    </row>
    <row r="50" spans="1:13" s="1336" customFormat="1" ht="13.8" thickBot="1">
      <c r="A50" s="5561" t="s">
        <v>1</v>
      </c>
      <c r="B50" s="5563" t="s">
        <v>87</v>
      </c>
      <c r="C50" s="5569" t="s">
        <v>1235</v>
      </c>
      <c r="D50" s="5570"/>
      <c r="E50" s="5570"/>
      <c r="F50" s="5570"/>
      <c r="G50" s="5571"/>
      <c r="H50" s="4488"/>
      <c r="I50" s="5555" t="s">
        <v>1235</v>
      </c>
      <c r="J50" s="5555"/>
      <c r="K50" s="5555"/>
      <c r="L50" s="5555"/>
      <c r="M50" s="5555"/>
    </row>
    <row r="51" spans="1:13" s="1336" customFormat="1" ht="13.8" thickBot="1">
      <c r="A51" s="5562"/>
      <c r="B51" s="5564"/>
      <c r="C51" s="1241" t="str">
        <f t="shared" ref="C51:G51" si="32">C37</f>
        <v>2027 г.</v>
      </c>
      <c r="D51" s="1242" t="str">
        <f t="shared" si="32"/>
        <v>2028 г.</v>
      </c>
      <c r="E51" s="1242" t="str">
        <f t="shared" si="32"/>
        <v>2029 г.</v>
      </c>
      <c r="F51" s="1242" t="str">
        <f t="shared" si="32"/>
        <v>2030 г.</v>
      </c>
      <c r="G51" s="1243" t="str">
        <f t="shared" si="32"/>
        <v>2031 г.</v>
      </c>
      <c r="H51" s="4488"/>
      <c r="I51" s="4562" t="str">
        <f t="shared" ref="I51:M51" si="33">I37</f>
        <v>2027 г.</v>
      </c>
      <c r="J51" s="4562" t="str">
        <f t="shared" si="33"/>
        <v>2028 г.</v>
      </c>
      <c r="K51" s="4562" t="str">
        <f t="shared" si="33"/>
        <v>2029 г.</v>
      </c>
      <c r="L51" s="4562" t="str">
        <f t="shared" si="33"/>
        <v>2030 г.</v>
      </c>
      <c r="M51" s="4562" t="str">
        <f t="shared" si="33"/>
        <v>2031 г.</v>
      </c>
    </row>
    <row r="52" spans="1:13" s="1339" customFormat="1" ht="13.8" thickBot="1">
      <c r="A52" s="1337" t="s">
        <v>141</v>
      </c>
      <c r="B52" s="1338" t="s">
        <v>547</v>
      </c>
      <c r="C52" s="3996">
        <f t="shared" ref="C52:G52" si="34">C53-C54</f>
        <v>0</v>
      </c>
      <c r="D52" s="3997">
        <f t="shared" si="34"/>
        <v>0</v>
      </c>
      <c r="E52" s="3997">
        <f t="shared" si="34"/>
        <v>0</v>
      </c>
      <c r="F52" s="3997">
        <f t="shared" si="34"/>
        <v>0</v>
      </c>
      <c r="G52" s="3998">
        <f t="shared" si="34"/>
        <v>0</v>
      </c>
      <c r="H52" s="4488"/>
      <c r="I52" s="4493">
        <f t="shared" ref="I52:I63" si="35">IFERROR(C52/$C$1,0)</f>
        <v>0</v>
      </c>
      <c r="J52" s="4493">
        <f t="shared" ref="J52:J63" si="36">IFERROR(D52/$C$1,0)</f>
        <v>0</v>
      </c>
      <c r="K52" s="4493">
        <f t="shared" ref="K52:K63" si="37">IFERROR(E52/$C$1,0)</f>
        <v>0</v>
      </c>
      <c r="L52" s="4493">
        <f t="shared" ref="L52:L63" si="38">IFERROR(F52/$C$1,0)</f>
        <v>0</v>
      </c>
      <c r="M52" s="4493">
        <f t="shared" ref="M52:M63" si="39">IFERROR(G52/$C$1,0)</f>
        <v>0</v>
      </c>
    </row>
    <row r="53" spans="1:13" s="1336" customFormat="1" ht="13.8" thickBot="1">
      <c r="A53" s="1340" t="s">
        <v>90</v>
      </c>
      <c r="B53" s="1341" t="s">
        <v>686</v>
      </c>
      <c r="C53" s="3999">
        <f>'11. Амортиз. план'!AA10+'11. Амортиз. план'!AA111</f>
        <v>0</v>
      </c>
      <c r="D53" s="4000">
        <f>'11. Амортиз. план'!AB10+'11. Амортиз. план'!AB111</f>
        <v>0</v>
      </c>
      <c r="E53" s="4000">
        <f>'11. Амортиз. план'!AC10+'11. Амортиз. план'!AC111</f>
        <v>0</v>
      </c>
      <c r="F53" s="4000">
        <f>'11. Амортиз. план'!AD10+'11. Амортиз. план'!AD111</f>
        <v>0</v>
      </c>
      <c r="G53" s="4001">
        <f>'11. Амортиз. план'!AE10+'11. Амортиз. план'!AE111</f>
        <v>0</v>
      </c>
      <c r="H53" s="4488"/>
      <c r="I53" s="4493">
        <f t="shared" si="35"/>
        <v>0</v>
      </c>
      <c r="J53" s="4493">
        <f t="shared" si="36"/>
        <v>0</v>
      </c>
      <c r="K53" s="4493">
        <f t="shared" si="37"/>
        <v>0</v>
      </c>
      <c r="L53" s="4493">
        <f t="shared" si="38"/>
        <v>0</v>
      </c>
      <c r="M53" s="4493">
        <f t="shared" si="39"/>
        <v>0</v>
      </c>
    </row>
    <row r="54" spans="1:13" s="1336" customFormat="1" ht="13.8" thickBot="1">
      <c r="A54" s="1340" t="s">
        <v>91</v>
      </c>
      <c r="B54" s="1341" t="s">
        <v>649</v>
      </c>
      <c r="C54" s="3999">
        <f>'11. Амортиз. план'!AB32</f>
        <v>0</v>
      </c>
      <c r="D54" s="4000">
        <f>'11. Амортиз. план'!AC32</f>
        <v>0</v>
      </c>
      <c r="E54" s="4000">
        <f>'11. Амортиз. план'!AD32</f>
        <v>0</v>
      </c>
      <c r="F54" s="4000">
        <f>'11. Амортиз. план'!AE32</f>
        <v>0</v>
      </c>
      <c r="G54" s="4002">
        <f>'11. Амортиз. план'!AF32</f>
        <v>0</v>
      </c>
      <c r="H54" s="4488"/>
      <c r="I54" s="4493">
        <f t="shared" si="35"/>
        <v>0</v>
      </c>
      <c r="J54" s="4493">
        <f t="shared" si="36"/>
        <v>0</v>
      </c>
      <c r="K54" s="4493">
        <f t="shared" si="37"/>
        <v>0</v>
      </c>
      <c r="L54" s="4493">
        <f t="shared" si="38"/>
        <v>0</v>
      </c>
      <c r="M54" s="4493">
        <f t="shared" si="39"/>
        <v>0</v>
      </c>
    </row>
    <row r="55" spans="1:13" s="1339" customFormat="1" ht="13.8" thickBot="1">
      <c r="A55" s="1342" t="s">
        <v>95</v>
      </c>
      <c r="B55" s="1343" t="s">
        <v>548</v>
      </c>
      <c r="C55" s="4003">
        <f t="shared" ref="C55:G55" si="40">C56-C57</f>
        <v>0</v>
      </c>
      <c r="D55" s="4004">
        <f t="shared" si="40"/>
        <v>0</v>
      </c>
      <c r="E55" s="4004">
        <f t="shared" si="40"/>
        <v>0</v>
      </c>
      <c r="F55" s="4004">
        <f t="shared" si="40"/>
        <v>0</v>
      </c>
      <c r="G55" s="4005">
        <f t="shared" si="40"/>
        <v>0</v>
      </c>
      <c r="H55" s="4488"/>
      <c r="I55" s="4493">
        <f t="shared" si="35"/>
        <v>0</v>
      </c>
      <c r="J55" s="4493">
        <f t="shared" si="36"/>
        <v>0</v>
      </c>
      <c r="K55" s="4493">
        <f t="shared" si="37"/>
        <v>0</v>
      </c>
      <c r="L55" s="4493">
        <f t="shared" si="38"/>
        <v>0</v>
      </c>
      <c r="M55" s="4493">
        <f t="shared" si="39"/>
        <v>0</v>
      </c>
    </row>
    <row r="56" spans="1:13" s="1336" customFormat="1" ht="13.8" thickBot="1">
      <c r="A56" s="1340" t="s">
        <v>96</v>
      </c>
      <c r="B56" s="1341" t="s">
        <v>687</v>
      </c>
      <c r="C56" s="3999">
        <f>'11. Амортиз. план'!AA60+'11. Амортиз. план'!AA151</f>
        <v>0</v>
      </c>
      <c r="D56" s="4000">
        <f>'11. Амортиз. план'!AB60+'11. Амортиз. план'!AB151</f>
        <v>0</v>
      </c>
      <c r="E56" s="4000">
        <f>'11. Амортиз. план'!AC60+'11. Амортиз. план'!AC151</f>
        <v>0</v>
      </c>
      <c r="F56" s="4000">
        <f>'11. Амортиз. план'!AD60+'11. Амортиз. план'!AD151</f>
        <v>0</v>
      </c>
      <c r="G56" s="4002">
        <f>'11. Амортиз. план'!AE60+'11. Амортиз. план'!AE151</f>
        <v>0</v>
      </c>
      <c r="H56" s="4488"/>
      <c r="I56" s="4493">
        <f t="shared" si="35"/>
        <v>0</v>
      </c>
      <c r="J56" s="4493">
        <f t="shared" si="36"/>
        <v>0</v>
      </c>
      <c r="K56" s="4493">
        <f t="shared" si="37"/>
        <v>0</v>
      </c>
      <c r="L56" s="4493">
        <f t="shared" si="38"/>
        <v>0</v>
      </c>
      <c r="M56" s="4493">
        <f t="shared" si="39"/>
        <v>0</v>
      </c>
    </row>
    <row r="57" spans="1:13" s="1336" customFormat="1" ht="13.8" thickBot="1">
      <c r="A57" s="1340" t="s">
        <v>97</v>
      </c>
      <c r="B57" s="1341" t="s">
        <v>650</v>
      </c>
      <c r="C57" s="3999">
        <f>'11. Амортиз. план'!AB82</f>
        <v>0</v>
      </c>
      <c r="D57" s="4000">
        <f>'11. Амортиз. план'!AC82</f>
        <v>0</v>
      </c>
      <c r="E57" s="4000">
        <f>'11. Амортиз. план'!AD82</f>
        <v>0</v>
      </c>
      <c r="F57" s="4000">
        <f>'11. Амортиз. план'!AE82</f>
        <v>0</v>
      </c>
      <c r="G57" s="4002">
        <f>'11. Амортиз. план'!AF82</f>
        <v>0</v>
      </c>
      <c r="H57" s="4488"/>
      <c r="I57" s="4493">
        <f t="shared" si="35"/>
        <v>0</v>
      </c>
      <c r="J57" s="4493">
        <f t="shared" si="36"/>
        <v>0</v>
      </c>
      <c r="K57" s="4493">
        <f t="shared" si="37"/>
        <v>0</v>
      </c>
      <c r="L57" s="4493">
        <f t="shared" si="38"/>
        <v>0</v>
      </c>
      <c r="M57" s="4493">
        <f t="shared" si="39"/>
        <v>0</v>
      </c>
    </row>
    <row r="58" spans="1:13" s="1339" customFormat="1" ht="23.4" thickBot="1">
      <c r="A58" s="1342" t="s">
        <v>99</v>
      </c>
      <c r="B58" s="1343" t="s">
        <v>549</v>
      </c>
      <c r="C58" s="4003">
        <f t="shared" ref="C58:G58" si="41">(C59+C60)/2</f>
        <v>0</v>
      </c>
      <c r="D58" s="4004">
        <f t="shared" si="41"/>
        <v>0</v>
      </c>
      <c r="E58" s="4004">
        <f t="shared" si="41"/>
        <v>0</v>
      </c>
      <c r="F58" s="4004">
        <f t="shared" si="41"/>
        <v>0</v>
      </c>
      <c r="G58" s="4005">
        <f t="shared" si="41"/>
        <v>0</v>
      </c>
      <c r="H58" s="4488"/>
      <c r="I58" s="4493">
        <f t="shared" si="35"/>
        <v>0</v>
      </c>
      <c r="J58" s="4493">
        <f t="shared" si="36"/>
        <v>0</v>
      </c>
      <c r="K58" s="4493">
        <f t="shared" si="37"/>
        <v>0</v>
      </c>
      <c r="L58" s="4493">
        <f t="shared" si="38"/>
        <v>0</v>
      </c>
      <c r="M58" s="4493">
        <f t="shared" si="39"/>
        <v>0</v>
      </c>
    </row>
    <row r="59" spans="1:13" s="1336" customFormat="1" ht="13.8" thickBot="1">
      <c r="A59" s="1340" t="s">
        <v>171</v>
      </c>
      <c r="B59" s="1341" t="s">
        <v>195</v>
      </c>
      <c r="C59" s="3935">
        <f>IF('10. Финансиране на ИП'!AD37=0,0,'10. Финансиране на ИП'!AD37)</f>
        <v>0</v>
      </c>
      <c r="D59" s="3936">
        <f>IF('10. Финансиране на ИП'!AE37=0,0,'10. Финансиране на ИП'!AE37)</f>
        <v>0</v>
      </c>
      <c r="E59" s="3936">
        <f>IF('10. Финансиране на ИП'!AF37=0,0,'10. Финансиране на ИП'!AF37)</f>
        <v>0</v>
      </c>
      <c r="F59" s="3936">
        <f>IF('10. Финансиране на ИП'!AG37=0,0,'10. Финансиране на ИП'!AG37)</f>
        <v>0</v>
      </c>
      <c r="G59" s="3937">
        <f>IF('10. Финансиране на ИП'!AH37=0,0,'10. Финансиране на ИП'!AH37)</f>
        <v>0</v>
      </c>
      <c r="H59" s="4488"/>
      <c r="I59" s="4493">
        <f t="shared" si="35"/>
        <v>0</v>
      </c>
      <c r="J59" s="4493">
        <f t="shared" si="36"/>
        <v>0</v>
      </c>
      <c r="K59" s="4493">
        <f t="shared" si="37"/>
        <v>0</v>
      </c>
      <c r="L59" s="4493">
        <f t="shared" si="38"/>
        <v>0</v>
      </c>
      <c r="M59" s="4493">
        <f t="shared" si="39"/>
        <v>0</v>
      </c>
    </row>
    <row r="60" spans="1:13" s="1336" customFormat="1" ht="13.8" thickBot="1">
      <c r="A60" s="1340" t="s">
        <v>172</v>
      </c>
      <c r="B60" s="1341" t="s">
        <v>550</v>
      </c>
      <c r="C60" s="3935">
        <f>IF('10. Финансиране на ИП'!AD43=0,0,'10. Финансиране на ИП'!AD43)</f>
        <v>0</v>
      </c>
      <c r="D60" s="3936">
        <f>IF('10. Финансиране на ИП'!AE43=0,0,'10. Финансиране на ИП'!AE43)</f>
        <v>0</v>
      </c>
      <c r="E60" s="3936">
        <f>IF('10. Финансиране на ИП'!AF43=0,0,'10. Финансиране на ИП'!AF43)</f>
        <v>0</v>
      </c>
      <c r="F60" s="3936">
        <f>IF('10. Финансиране на ИП'!AG43=0,0,'10. Финансиране на ИП'!AG43)</f>
        <v>0</v>
      </c>
      <c r="G60" s="3937">
        <f>IF('10. Финансиране на ИП'!AH43=0,0,'10. Финансиране на ИП'!AH43)</f>
        <v>0</v>
      </c>
      <c r="H60" s="4488"/>
      <c r="I60" s="4493">
        <f t="shared" si="35"/>
        <v>0</v>
      </c>
      <c r="J60" s="4493">
        <f t="shared" si="36"/>
        <v>0</v>
      </c>
      <c r="K60" s="4493">
        <f t="shared" si="37"/>
        <v>0</v>
      </c>
      <c r="L60" s="4493">
        <f t="shared" si="38"/>
        <v>0</v>
      </c>
      <c r="M60" s="4493">
        <f t="shared" si="39"/>
        <v>0</v>
      </c>
    </row>
    <row r="61" spans="1:13" s="1339" customFormat="1" ht="13.8" thickBot="1">
      <c r="A61" s="1342" t="s">
        <v>100</v>
      </c>
      <c r="B61" s="1343" t="s">
        <v>329</v>
      </c>
      <c r="C61" s="4003">
        <f>'9.Инвестиционна програма'!I143</f>
        <v>0</v>
      </c>
      <c r="D61" s="4004">
        <f>'9.Инвестиционна програма'!J143</f>
        <v>0</v>
      </c>
      <c r="E61" s="4004">
        <f>'9.Инвестиционна програма'!K143</f>
        <v>0</v>
      </c>
      <c r="F61" s="4004">
        <f>'9.Инвестиционна програма'!L143</f>
        <v>0</v>
      </c>
      <c r="G61" s="4005">
        <f>'9.Инвестиционна програма'!M143</f>
        <v>0</v>
      </c>
      <c r="H61" s="4488"/>
      <c r="I61" s="4493">
        <f t="shared" si="35"/>
        <v>0</v>
      </c>
      <c r="J61" s="4493">
        <f t="shared" si="36"/>
        <v>0</v>
      </c>
      <c r="K61" s="4493">
        <f t="shared" si="37"/>
        <v>0</v>
      </c>
      <c r="L61" s="4493">
        <f t="shared" si="38"/>
        <v>0</v>
      </c>
      <c r="M61" s="4493">
        <f t="shared" si="39"/>
        <v>0</v>
      </c>
    </row>
    <row r="62" spans="1:13" s="1339" customFormat="1" ht="13.8" thickBot="1">
      <c r="A62" s="1344">
        <v>5</v>
      </c>
      <c r="B62" s="1345" t="s">
        <v>306</v>
      </c>
      <c r="C62" s="4006">
        <f>'18. OK'!D28</f>
        <v>0</v>
      </c>
      <c r="D62" s="4007">
        <f>'18. OK'!E28</f>
        <v>0</v>
      </c>
      <c r="E62" s="4007">
        <f>'18. OK'!F28</f>
        <v>0</v>
      </c>
      <c r="F62" s="4007">
        <f>'18. OK'!G28</f>
        <v>0</v>
      </c>
      <c r="G62" s="4008">
        <f>'18. OK'!H28</f>
        <v>0</v>
      </c>
      <c r="H62" s="4488"/>
      <c r="I62" s="4493">
        <f t="shared" si="35"/>
        <v>0</v>
      </c>
      <c r="J62" s="4493">
        <f t="shared" si="36"/>
        <v>0</v>
      </c>
      <c r="K62" s="4493">
        <f t="shared" si="37"/>
        <v>0</v>
      </c>
      <c r="L62" s="4493">
        <f t="shared" si="38"/>
        <v>0</v>
      </c>
      <c r="M62" s="4493">
        <f t="shared" si="39"/>
        <v>0</v>
      </c>
    </row>
    <row r="63" spans="1:13" s="1336" customFormat="1" ht="13.8" thickBot="1">
      <c r="A63" s="126">
        <v>6</v>
      </c>
      <c r="B63" s="127" t="s">
        <v>305</v>
      </c>
      <c r="C63" s="638">
        <f t="shared" ref="C63:G63" si="42">C52-C55+C58+C61+C62</f>
        <v>0</v>
      </c>
      <c r="D63" s="639">
        <f t="shared" si="42"/>
        <v>0</v>
      </c>
      <c r="E63" s="639">
        <f t="shared" si="42"/>
        <v>0</v>
      </c>
      <c r="F63" s="639">
        <f t="shared" si="42"/>
        <v>0</v>
      </c>
      <c r="G63" s="640">
        <f t="shared" si="42"/>
        <v>0</v>
      </c>
      <c r="H63" s="4488"/>
      <c r="I63" s="4493">
        <f t="shared" si="35"/>
        <v>0</v>
      </c>
      <c r="J63" s="4493">
        <f t="shared" si="36"/>
        <v>0</v>
      </c>
      <c r="K63" s="4493">
        <f t="shared" si="37"/>
        <v>0</v>
      </c>
      <c r="L63" s="4493">
        <f t="shared" si="38"/>
        <v>0</v>
      </c>
      <c r="M63" s="4493">
        <f t="shared" si="39"/>
        <v>0</v>
      </c>
    </row>
    <row r="64" spans="1:13" s="1336" customFormat="1" ht="13.8" thickBot="1">
      <c r="A64" s="5561" t="s">
        <v>1</v>
      </c>
      <c r="B64" s="5563" t="s">
        <v>87</v>
      </c>
      <c r="C64" s="5569" t="s">
        <v>1236</v>
      </c>
      <c r="D64" s="5570"/>
      <c r="E64" s="5570"/>
      <c r="F64" s="5570"/>
      <c r="G64" s="5571"/>
      <c r="H64" s="4488"/>
      <c r="I64" s="5555" t="s">
        <v>1236</v>
      </c>
      <c r="J64" s="5555"/>
      <c r="K64" s="5555"/>
      <c r="L64" s="5555"/>
      <c r="M64" s="5555"/>
    </row>
    <row r="65" spans="1:13" s="1336" customFormat="1" ht="13.8" thickBot="1">
      <c r="A65" s="5562"/>
      <c r="B65" s="5564"/>
      <c r="C65" s="1241" t="str">
        <f t="shared" ref="C65:G65" si="43">C51</f>
        <v>2027 г.</v>
      </c>
      <c r="D65" s="1242" t="str">
        <f t="shared" si="43"/>
        <v>2028 г.</v>
      </c>
      <c r="E65" s="1242" t="str">
        <f t="shared" si="43"/>
        <v>2029 г.</v>
      </c>
      <c r="F65" s="1242" t="str">
        <f t="shared" si="43"/>
        <v>2030 г.</v>
      </c>
      <c r="G65" s="1243" t="str">
        <f t="shared" si="43"/>
        <v>2031 г.</v>
      </c>
      <c r="H65" s="4488"/>
      <c r="I65" s="4562" t="str">
        <f t="shared" ref="I65:M65" si="44">I51</f>
        <v>2027 г.</v>
      </c>
      <c r="J65" s="4562" t="str">
        <f t="shared" si="44"/>
        <v>2028 г.</v>
      </c>
      <c r="K65" s="4562" t="str">
        <f t="shared" si="44"/>
        <v>2029 г.</v>
      </c>
      <c r="L65" s="4562" t="str">
        <f t="shared" si="44"/>
        <v>2030 г.</v>
      </c>
      <c r="M65" s="4562" t="str">
        <f t="shared" si="44"/>
        <v>2031 г.</v>
      </c>
    </row>
    <row r="66" spans="1:13" s="1339" customFormat="1" ht="13.8" thickBot="1">
      <c r="A66" s="1346" t="s">
        <v>141</v>
      </c>
      <c r="B66" s="1347" t="s">
        <v>547</v>
      </c>
      <c r="C66" s="3996">
        <f t="shared" ref="C66:G66" si="45">C67-C68</f>
        <v>954.28410286249175</v>
      </c>
      <c r="D66" s="3997">
        <f t="shared" si="45"/>
        <v>1250.2841028624919</v>
      </c>
      <c r="E66" s="3997">
        <f t="shared" si="45"/>
        <v>1391.2841028624919</v>
      </c>
      <c r="F66" s="3997">
        <f t="shared" si="45"/>
        <v>1527.2841028624919</v>
      </c>
      <c r="G66" s="3998">
        <f t="shared" si="45"/>
        <v>1688.2841028624919</v>
      </c>
      <c r="H66" s="4488"/>
      <c r="I66" s="4493">
        <f t="shared" ref="I66:I77" si="46">IFERROR(C66/$C$1,0)</f>
        <v>487.91771414820909</v>
      </c>
      <c r="J66" s="4493">
        <f t="shared" ref="J66:J77" si="47">IFERROR(D66/$C$1,0)</f>
        <v>639.2601109822898</v>
      </c>
      <c r="K66" s="4493">
        <f t="shared" ref="K66:K77" si="48">IFERROR(E66/$C$1,0)</f>
        <v>711.35226623095662</v>
      </c>
      <c r="L66" s="4493">
        <f t="shared" ref="L66:L77" si="49">IFERROR(F66/$C$1,0)</f>
        <v>780.88796207364237</v>
      </c>
      <c r="M66" s="4493">
        <f t="shared" ref="M66:M76" si="50">IFERROR(G66/$C$1,0)</f>
        <v>863.20595494623353</v>
      </c>
    </row>
    <row r="67" spans="1:13" s="1336" customFormat="1" ht="13.8" thickBot="1">
      <c r="A67" s="1340" t="s">
        <v>90</v>
      </c>
      <c r="B67" s="1341" t="s">
        <v>686</v>
      </c>
      <c r="C67" s="3999">
        <f>'11. Амортиз. план'!AH10+'11. Амортиз. план'!AH111</f>
        <v>954.28410286249175</v>
      </c>
      <c r="D67" s="4000">
        <f>'11. Амортиз. план'!AI10+'11. Амортиз. план'!AI111</f>
        <v>1250.2841028624919</v>
      </c>
      <c r="E67" s="4000">
        <f>'11. Амортиз. план'!AJ10+'11. Амортиз. план'!AJ111</f>
        <v>1391.2841028624919</v>
      </c>
      <c r="F67" s="4000">
        <f>'11. Амортиз. план'!AK10+'11. Амортиз. план'!AK111</f>
        <v>1527.2841028624919</v>
      </c>
      <c r="G67" s="4002">
        <f>'11. Амортиз. план'!AL10+'11. Амортиз. план'!AL111</f>
        <v>1688.2841028624919</v>
      </c>
      <c r="H67" s="4488"/>
      <c r="I67" s="4493">
        <f t="shared" si="46"/>
        <v>487.91771414820909</v>
      </c>
      <c r="J67" s="4493">
        <f t="shared" si="47"/>
        <v>639.2601109822898</v>
      </c>
      <c r="K67" s="4493">
        <f t="shared" si="48"/>
        <v>711.35226623095662</v>
      </c>
      <c r="L67" s="4493">
        <f t="shared" si="49"/>
        <v>780.88796207364237</v>
      </c>
      <c r="M67" s="4493">
        <f t="shared" si="50"/>
        <v>863.20595494623353</v>
      </c>
    </row>
    <row r="68" spans="1:13" s="1336" customFormat="1" ht="13.8" thickBot="1">
      <c r="A68" s="1340" t="s">
        <v>91</v>
      </c>
      <c r="B68" s="1341" t="s">
        <v>649</v>
      </c>
      <c r="C68" s="3999">
        <f>'11. Амортиз. план'!AI32</f>
        <v>0</v>
      </c>
      <c r="D68" s="4000">
        <f>'11. Амортиз. план'!AJ32</f>
        <v>0</v>
      </c>
      <c r="E68" s="4000">
        <f>'11. Амортиз. план'!AK32</f>
        <v>0</v>
      </c>
      <c r="F68" s="4000">
        <f>'11. Амортиз. план'!AL32</f>
        <v>0</v>
      </c>
      <c r="G68" s="4002">
        <f>'11. Амортиз. план'!AM32</f>
        <v>0</v>
      </c>
      <c r="H68" s="4488"/>
      <c r="I68" s="4493">
        <f t="shared" si="46"/>
        <v>0</v>
      </c>
      <c r="J68" s="4493">
        <f t="shared" si="47"/>
        <v>0</v>
      </c>
      <c r="K68" s="4493">
        <f t="shared" si="48"/>
        <v>0</v>
      </c>
      <c r="L68" s="4493">
        <f t="shared" si="49"/>
        <v>0</v>
      </c>
      <c r="M68" s="4493">
        <f t="shared" si="50"/>
        <v>0</v>
      </c>
    </row>
    <row r="69" spans="1:13" s="1339" customFormat="1" ht="13.8" thickBot="1">
      <c r="A69" s="1342" t="s">
        <v>95</v>
      </c>
      <c r="B69" s="1343" t="s">
        <v>548</v>
      </c>
      <c r="C69" s="4003">
        <f t="shared" ref="C69:G69" si="51">C70-C71</f>
        <v>585.6018232359761</v>
      </c>
      <c r="D69" s="4004">
        <f t="shared" si="51"/>
        <v>636.20458305210241</v>
      </c>
      <c r="E69" s="4004">
        <f t="shared" si="51"/>
        <v>696.35734286822913</v>
      </c>
      <c r="F69" s="4004">
        <f t="shared" si="51"/>
        <v>762.96010268435566</v>
      </c>
      <c r="G69" s="4005">
        <f t="shared" si="51"/>
        <v>836.21286250048217</v>
      </c>
      <c r="H69" s="4488"/>
      <c r="I69" s="4493">
        <f t="shared" si="46"/>
        <v>299.41345783425766</v>
      </c>
      <c r="J69" s="4493">
        <f t="shared" si="47"/>
        <v>325.28623809436527</v>
      </c>
      <c r="K69" s="4493">
        <f t="shared" si="48"/>
        <v>356.04185581989702</v>
      </c>
      <c r="L69" s="4493">
        <f t="shared" si="49"/>
        <v>390.09530617914425</v>
      </c>
      <c r="M69" s="4493">
        <f t="shared" si="50"/>
        <v>427.54884754834632</v>
      </c>
    </row>
    <row r="70" spans="1:13" s="1336" customFormat="1" ht="13.8" thickBot="1">
      <c r="A70" s="1340" t="s">
        <v>96</v>
      </c>
      <c r="B70" s="1341" t="s">
        <v>687</v>
      </c>
      <c r="C70" s="3999">
        <f>'11. Амортиз. план'!AH60+'11. Амортиз. план'!AH151</f>
        <v>585.6018232359761</v>
      </c>
      <c r="D70" s="4000">
        <f>'11. Амортиз. план'!AI60+'11. Амортиз. план'!AI151</f>
        <v>636.20458305210241</v>
      </c>
      <c r="E70" s="4000">
        <f>'11. Амортиз. план'!AJ60+'11. Амортиз. план'!AJ151</f>
        <v>696.35734286822913</v>
      </c>
      <c r="F70" s="4000">
        <f>'11. Амортиз. план'!AK60+'11. Амортиз. план'!AK151</f>
        <v>762.96010268435566</v>
      </c>
      <c r="G70" s="4002">
        <f>'11. Амортиз. план'!AL60+'11. Амортиз. план'!AL151</f>
        <v>836.21286250048217</v>
      </c>
      <c r="H70" s="4488"/>
      <c r="I70" s="4493">
        <f t="shared" si="46"/>
        <v>299.41345783425766</v>
      </c>
      <c r="J70" s="4493">
        <f t="shared" si="47"/>
        <v>325.28623809436527</v>
      </c>
      <c r="K70" s="4493">
        <f t="shared" si="48"/>
        <v>356.04185581989702</v>
      </c>
      <c r="L70" s="4493">
        <f t="shared" si="49"/>
        <v>390.09530617914425</v>
      </c>
      <c r="M70" s="4493">
        <f t="shared" si="50"/>
        <v>427.54884754834632</v>
      </c>
    </row>
    <row r="71" spans="1:13" s="1336" customFormat="1" ht="13.8" thickBot="1">
      <c r="A71" s="1340" t="s">
        <v>97</v>
      </c>
      <c r="B71" s="1341" t="s">
        <v>650</v>
      </c>
      <c r="C71" s="3999">
        <f>'11. Амортиз. план'!AI82</f>
        <v>0</v>
      </c>
      <c r="D71" s="4000">
        <f>'11. Амортиз. план'!AJ82</f>
        <v>0</v>
      </c>
      <c r="E71" s="4000">
        <f>'11. Амортиз. план'!AK82</f>
        <v>0</v>
      </c>
      <c r="F71" s="4000">
        <f>'11. Амортиз. план'!AL82</f>
        <v>0</v>
      </c>
      <c r="G71" s="4002">
        <f>'11. Амортиз. план'!AM82</f>
        <v>0</v>
      </c>
      <c r="H71" s="4488"/>
      <c r="I71" s="4493">
        <f t="shared" si="46"/>
        <v>0</v>
      </c>
      <c r="J71" s="4493">
        <f t="shared" si="47"/>
        <v>0</v>
      </c>
      <c r="K71" s="4493">
        <f t="shared" si="48"/>
        <v>0</v>
      </c>
      <c r="L71" s="4493">
        <f t="shared" si="49"/>
        <v>0</v>
      </c>
      <c r="M71" s="4493">
        <f t="shared" si="50"/>
        <v>0</v>
      </c>
    </row>
    <row r="72" spans="1:13" s="1339" customFormat="1" ht="23.4" thickBot="1">
      <c r="A72" s="1342" t="s">
        <v>99</v>
      </c>
      <c r="B72" s="1343" t="s">
        <v>549</v>
      </c>
      <c r="C72" s="4003">
        <f t="shared" ref="C72:G72" si="52">(C73+C74)/2</f>
        <v>0</v>
      </c>
      <c r="D72" s="4004">
        <f t="shared" si="52"/>
        <v>0</v>
      </c>
      <c r="E72" s="4004">
        <f t="shared" si="52"/>
        <v>0</v>
      </c>
      <c r="F72" s="4004">
        <f t="shared" si="52"/>
        <v>0</v>
      </c>
      <c r="G72" s="4005">
        <f t="shared" si="52"/>
        <v>0</v>
      </c>
      <c r="H72" s="4488"/>
      <c r="I72" s="4493">
        <f t="shared" si="46"/>
        <v>0</v>
      </c>
      <c r="J72" s="4493">
        <f t="shared" si="47"/>
        <v>0</v>
      </c>
      <c r="K72" s="4493">
        <f t="shared" si="48"/>
        <v>0</v>
      </c>
      <c r="L72" s="4493">
        <f t="shared" si="49"/>
        <v>0</v>
      </c>
      <c r="M72" s="4493">
        <f t="shared" si="50"/>
        <v>0</v>
      </c>
    </row>
    <row r="73" spans="1:13" s="1336" customFormat="1" ht="13.8" thickBot="1">
      <c r="A73" s="1340" t="s">
        <v>171</v>
      </c>
      <c r="B73" s="1341" t="s">
        <v>195</v>
      </c>
      <c r="C73" s="3935">
        <f>IF('10. Финансиране на ИП'!AL37=0,0,'10. Финансиране на ИП'!AL37)</f>
        <v>0</v>
      </c>
      <c r="D73" s="3938">
        <f>IF('10. Финансиране на ИП'!AM37=0,0,'10. Финансиране на ИП'!AM37)</f>
        <v>0</v>
      </c>
      <c r="E73" s="3938">
        <f>IF('10. Финансиране на ИП'!AN37=0,0,'10. Финансиране на ИП'!AN37)</f>
        <v>0</v>
      </c>
      <c r="F73" s="3938">
        <f>IF('10. Финансиране на ИП'!AO37=0,0,'10. Финансиране на ИП'!AO37)</f>
        <v>0</v>
      </c>
      <c r="G73" s="3937">
        <f>IF('10. Финансиране на ИП'!AP37=0,0,'10. Финансиране на ИП'!AP37)</f>
        <v>0</v>
      </c>
      <c r="H73" s="4488"/>
      <c r="I73" s="4493">
        <f t="shared" si="46"/>
        <v>0</v>
      </c>
      <c r="J73" s="4493">
        <f t="shared" si="47"/>
        <v>0</v>
      </c>
      <c r="K73" s="4493">
        <f t="shared" si="48"/>
        <v>0</v>
      </c>
      <c r="L73" s="4493">
        <f t="shared" si="49"/>
        <v>0</v>
      </c>
      <c r="M73" s="4493">
        <f t="shared" si="50"/>
        <v>0</v>
      </c>
    </row>
    <row r="74" spans="1:13" s="1336" customFormat="1" ht="13.8" thickBot="1">
      <c r="A74" s="1340" t="s">
        <v>172</v>
      </c>
      <c r="B74" s="1341" t="s">
        <v>550</v>
      </c>
      <c r="C74" s="3935">
        <f>IF('10. Финансиране на ИП'!AL43=0,0,'10. Финансиране на ИП'!AL43)</f>
        <v>0</v>
      </c>
      <c r="D74" s="3938">
        <f>IF('10. Финансиране на ИП'!AM43=0,0,'10. Финансиране на ИП'!AM43)</f>
        <v>0</v>
      </c>
      <c r="E74" s="3938">
        <f>IF('10. Финансиране на ИП'!AN43=0,0,'10. Финансиране на ИП'!AN43)</f>
        <v>0</v>
      </c>
      <c r="F74" s="3938">
        <f>IF('10. Финансиране на ИП'!AO43=0,0,'10. Финансиране на ИП'!AO43)</f>
        <v>0</v>
      </c>
      <c r="G74" s="3937">
        <f>IF('10. Финансиране на ИП'!AP43=0,0,'10. Финансиране на ИП'!AP43)</f>
        <v>0</v>
      </c>
      <c r="H74" s="4488"/>
      <c r="I74" s="4493">
        <f t="shared" si="46"/>
        <v>0</v>
      </c>
      <c r="J74" s="4493">
        <f t="shared" si="47"/>
        <v>0</v>
      </c>
      <c r="K74" s="4493">
        <f t="shared" si="48"/>
        <v>0</v>
      </c>
      <c r="L74" s="4493">
        <f t="shared" si="49"/>
        <v>0</v>
      </c>
      <c r="M74" s="4493">
        <f t="shared" si="50"/>
        <v>0</v>
      </c>
    </row>
    <row r="75" spans="1:13" s="1339" customFormat="1" ht="13.8" thickBot="1">
      <c r="A75" s="1342" t="s">
        <v>100</v>
      </c>
      <c r="B75" s="1343" t="s">
        <v>329</v>
      </c>
      <c r="C75" s="4003">
        <f>'9.Инвестиционна програма'!I144</f>
        <v>296</v>
      </c>
      <c r="D75" s="4004">
        <f>'9.Инвестиционна програма'!J144</f>
        <v>141</v>
      </c>
      <c r="E75" s="4004">
        <f>'9.Инвестиционна програма'!K144</f>
        <v>136</v>
      </c>
      <c r="F75" s="4004">
        <f>'9.Инвестиционна програма'!L144</f>
        <v>161</v>
      </c>
      <c r="G75" s="4005">
        <f>'9.Инвестиционна програма'!M144</f>
        <v>161</v>
      </c>
      <c r="H75" s="4488"/>
      <c r="I75" s="4493">
        <f t="shared" si="46"/>
        <v>151.34239683408069</v>
      </c>
      <c r="J75" s="4493">
        <f t="shared" si="47"/>
        <v>72.092155248666813</v>
      </c>
      <c r="K75" s="4493">
        <f t="shared" si="48"/>
        <v>69.535695842685712</v>
      </c>
      <c r="L75" s="4493">
        <f t="shared" si="49"/>
        <v>82.317992872591176</v>
      </c>
      <c r="M75" s="4493">
        <f t="shared" si="50"/>
        <v>82.317992872591176</v>
      </c>
    </row>
    <row r="76" spans="1:13" s="1339" customFormat="1" ht="13.8" thickBot="1">
      <c r="A76" s="1348">
        <v>5</v>
      </c>
      <c r="B76" s="1349" t="s">
        <v>306</v>
      </c>
      <c r="C76" s="4006">
        <f>'18. OK'!D29</f>
        <v>423.47498474832247</v>
      </c>
      <c r="D76" s="4007">
        <f>'18. OK'!E29</f>
        <v>457.16373432028797</v>
      </c>
      <c r="E76" s="4007">
        <f>'18. OK'!F29</f>
        <v>495.14581072585514</v>
      </c>
      <c r="F76" s="4007">
        <f>'18. OK'!G29</f>
        <v>537.5427194038441</v>
      </c>
      <c r="G76" s="4008">
        <f>'18. OK'!H29</f>
        <v>584.89997957788148</v>
      </c>
      <c r="H76" s="4488"/>
      <c r="I76" s="4493">
        <f t="shared" si="46"/>
        <v>216.51932159150974</v>
      </c>
      <c r="J76" s="4493">
        <f t="shared" si="47"/>
        <v>233.74410573530827</v>
      </c>
      <c r="K76" s="4493">
        <f t="shared" si="48"/>
        <v>253.16403303244923</v>
      </c>
      <c r="L76" s="4493">
        <f t="shared" si="49"/>
        <v>274.84122822732246</v>
      </c>
      <c r="M76" s="4493">
        <f t="shared" si="50"/>
        <v>299.05461087000481</v>
      </c>
    </row>
    <row r="77" spans="1:13" s="1336" customFormat="1" ht="13.8" thickBot="1">
      <c r="A77" s="126">
        <v>6</v>
      </c>
      <c r="B77" s="127" t="s">
        <v>305</v>
      </c>
      <c r="C77" s="638">
        <f t="shared" ref="C77:G77" si="53">C66-C69+C72+C75+C76</f>
        <v>1088.1572643748382</v>
      </c>
      <c r="D77" s="639">
        <f t="shared" si="53"/>
        <v>1212.2432541306775</v>
      </c>
      <c r="E77" s="639">
        <f t="shared" si="53"/>
        <v>1326.0725707201179</v>
      </c>
      <c r="F77" s="639">
        <f t="shared" si="53"/>
        <v>1462.8667195819803</v>
      </c>
      <c r="G77" s="640">
        <f t="shared" si="53"/>
        <v>1597.9712199398912</v>
      </c>
      <c r="H77" s="4488"/>
      <c r="I77" s="4493">
        <f t="shared" si="46"/>
        <v>556.36597473954191</v>
      </c>
      <c r="J77" s="4493">
        <f t="shared" si="47"/>
        <v>619.81013387189967</v>
      </c>
      <c r="K77" s="4493">
        <f t="shared" si="48"/>
        <v>678.01013928619454</v>
      </c>
      <c r="L77" s="4493">
        <f t="shared" si="49"/>
        <v>747.9518769944118</v>
      </c>
      <c r="M77" s="4493">
        <f>IFERROR(G77/$C$1,0)</f>
        <v>817.02971114048319</v>
      </c>
    </row>
    <row r="78" spans="1:13" ht="13.2">
      <c r="C78" s="1326"/>
      <c r="D78" s="1326"/>
      <c r="E78" s="1326"/>
      <c r="F78" s="1326"/>
      <c r="G78" s="1326"/>
    </row>
    <row r="80" spans="1:13" s="4431" customFormat="1" ht="13.2">
      <c r="B80" s="4432" t="str">
        <f>'Приложение '!B82</f>
        <v>Дата: 16.03.2026</v>
      </c>
      <c r="C80" s="4433"/>
      <c r="D80" s="4433"/>
      <c r="E80" s="4433"/>
      <c r="F80" s="4433"/>
      <c r="G80" s="4433"/>
      <c r="H80" s="4434"/>
    </row>
    <row r="81" spans="2:8" s="4430" customFormat="1" ht="13.2">
      <c r="B81" s="4"/>
      <c r="C81" s="636"/>
      <c r="D81" s="636"/>
      <c r="E81" s="636"/>
      <c r="F81" s="636"/>
      <c r="G81" s="636"/>
      <c r="H81" s="20"/>
    </row>
    <row r="82" spans="2:8" s="4430" customFormat="1" ht="13.2">
      <c r="B82" s="4"/>
      <c r="C82" s="636"/>
      <c r="D82" s="636"/>
      <c r="E82" s="636"/>
      <c r="F82" s="636"/>
      <c r="G82" s="636"/>
      <c r="H82" s="20"/>
    </row>
    <row r="83" spans="2:8" s="4431" customFormat="1" ht="13.2">
      <c r="B83" s="4432" t="s">
        <v>187</v>
      </c>
      <c r="C83" s="4433"/>
      <c r="D83" s="4433"/>
      <c r="E83" s="4433"/>
      <c r="F83" s="4433"/>
      <c r="G83" s="4433"/>
      <c r="H83" s="4434"/>
    </row>
    <row r="84" spans="2:8" s="4435" customFormat="1" ht="13.2">
      <c r="B84" s="4436" t="s">
        <v>1479</v>
      </c>
      <c r="C84" s="4437"/>
      <c r="D84" s="4437"/>
      <c r="E84" s="4437"/>
      <c r="F84" s="4437"/>
      <c r="G84" s="4437"/>
      <c r="H84" s="4438"/>
    </row>
    <row r="85" spans="2:8" s="1326" customFormat="1" ht="13.2">
      <c r="B85" s="1327"/>
      <c r="C85" s="636"/>
      <c r="D85" s="636"/>
      <c r="E85" s="636"/>
      <c r="F85" s="636"/>
      <c r="G85" s="636"/>
      <c r="H85" s="20"/>
    </row>
    <row r="86" spans="2:8" s="1326" customFormat="1" ht="13.2">
      <c r="B86" s="1327"/>
      <c r="C86" s="636"/>
      <c r="D86" s="636"/>
      <c r="E86" s="636"/>
      <c r="F86" s="636"/>
      <c r="G86" s="636"/>
      <c r="H86" s="20"/>
    </row>
  </sheetData>
  <sheetProtection algorithmName="SHA-512" hashValue="HKuc5DsuM4N7U5NPeuakywK4sCdWgujwR7Rs981jes4fW/0eIqXPTabsQGZWGHGc0FGh+b5VI8k9mYCbgxdNSw==" saltValue="0BNp5VfqzlDjvfFHkRDXQA==" spinCount="100000" sheet="1" formatCells="0" formatColumns="0" formatRows="0"/>
  <mergeCells count="28">
    <mergeCell ref="B7:B9"/>
    <mergeCell ref="C22:G22"/>
    <mergeCell ref="C8:G8"/>
    <mergeCell ref="A64:A65"/>
    <mergeCell ref="B64:B65"/>
    <mergeCell ref="C64:G64"/>
    <mergeCell ref="C50:G50"/>
    <mergeCell ref="C36:G36"/>
    <mergeCell ref="A36:A37"/>
    <mergeCell ref="B36:B37"/>
    <mergeCell ref="A50:A51"/>
    <mergeCell ref="B50:B51"/>
    <mergeCell ref="I36:M36"/>
    <mergeCell ref="I50:M50"/>
    <mergeCell ref="I64:M64"/>
    <mergeCell ref="A1:B1"/>
    <mergeCell ref="C1:D1"/>
    <mergeCell ref="I7:M7"/>
    <mergeCell ref="I8:M8"/>
    <mergeCell ref="I22:M22"/>
    <mergeCell ref="A2:G2"/>
    <mergeCell ref="A3:G3"/>
    <mergeCell ref="A4:G4"/>
    <mergeCell ref="A5:G5"/>
    <mergeCell ref="C7:G7"/>
    <mergeCell ref="A22:A23"/>
    <mergeCell ref="B22:B23"/>
    <mergeCell ref="A7:A9"/>
  </mergeCells>
  <printOptions horizontalCentered="1"/>
  <pageMargins left="0.59055118110236227" right="0.11811023622047245" top="0.59055118110236227" bottom="0.19685039370078741" header="0.51181102362204722" footer="0.11811023622047245"/>
  <pageSetup paperSize="9" scale="67" orientation="portrait" r:id="rId1"/>
  <headerFooter alignWithMargins="0">
    <oddFooter>&amp;C&amp;A</oddFooter>
  </headerFooter>
  <ignoredErrors>
    <ignoredError sqref="C10:G10 C21:G21 C20:G20 C13:G13 D11:G11 D12:G12 D14:G14 D15:G15 D19:G19 C16:G16" unlockedFormula="1"/>
    <ignoredError sqref="A10:A21" numberStoredAsText="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2">
    <tabColor rgb="FF0070C0"/>
    <pageSetUpPr fitToPage="1"/>
  </sheetPr>
  <dimension ref="A1:O44"/>
  <sheetViews>
    <sheetView showGridLines="0" zoomScaleNormal="100" zoomScaleSheetLayoutView="100" workbookViewId="0">
      <pane xSplit="2" ySplit="7" topLeftCell="C8" activePane="bottomRight" state="frozen"/>
      <selection pane="topRight" activeCell="C1" sqref="C1"/>
      <selection pane="bottomLeft" activeCell="A8" sqref="A8"/>
      <selection pane="bottomRight" activeCell="F16" sqref="F16"/>
    </sheetView>
  </sheetViews>
  <sheetFormatPr defaultRowHeight="13.2"/>
  <cols>
    <col min="1" max="1" width="4.5546875" style="1" customWidth="1"/>
    <col min="2" max="2" width="45" style="1" customWidth="1"/>
    <col min="3" max="8" width="8.6640625" style="1" customWidth="1"/>
    <col min="9" max="9" width="2.33203125" style="1" customWidth="1"/>
    <col min="10" max="253" width="9.109375" style="1"/>
    <col min="254" max="254" width="3.6640625" style="1" customWidth="1"/>
    <col min="255" max="255" width="75.6640625" style="1" customWidth="1"/>
    <col min="256" max="256" width="9.109375" style="1"/>
    <col min="257" max="258" width="9.88671875" style="1" customWidth="1"/>
    <col min="259" max="509" width="9.109375" style="1"/>
    <col min="510" max="510" width="3.6640625" style="1" customWidth="1"/>
    <col min="511" max="511" width="75.6640625" style="1" customWidth="1"/>
    <col min="512" max="512" width="9.109375" style="1"/>
    <col min="513" max="514" width="9.88671875" style="1" customWidth="1"/>
    <col min="515" max="765" width="9.109375" style="1"/>
    <col min="766" max="766" width="3.6640625" style="1" customWidth="1"/>
    <col min="767" max="767" width="75.6640625" style="1" customWidth="1"/>
    <col min="768" max="768" width="9.109375" style="1"/>
    <col min="769" max="770" width="9.88671875" style="1" customWidth="1"/>
    <col min="771" max="1021" width="9.109375" style="1"/>
    <col min="1022" max="1022" width="3.6640625" style="1" customWidth="1"/>
    <col min="1023" max="1023" width="75.6640625" style="1" customWidth="1"/>
    <col min="1024" max="1024" width="9.109375" style="1"/>
    <col min="1025" max="1026" width="9.88671875" style="1" customWidth="1"/>
    <col min="1027" max="1277" width="9.109375" style="1"/>
    <col min="1278" max="1278" width="3.6640625" style="1" customWidth="1"/>
    <col min="1279" max="1279" width="75.6640625" style="1" customWidth="1"/>
    <col min="1280" max="1280" width="9.109375" style="1"/>
    <col min="1281" max="1282" width="9.88671875" style="1" customWidth="1"/>
    <col min="1283" max="1533" width="9.109375" style="1"/>
    <col min="1534" max="1534" width="3.6640625" style="1" customWidth="1"/>
    <col min="1535" max="1535" width="75.6640625" style="1" customWidth="1"/>
    <col min="1536" max="1536" width="9.109375" style="1"/>
    <col min="1537" max="1538" width="9.88671875" style="1" customWidth="1"/>
    <col min="1539" max="1789" width="9.109375" style="1"/>
    <col min="1790" max="1790" width="3.6640625" style="1" customWidth="1"/>
    <col min="1791" max="1791" width="75.6640625" style="1" customWidth="1"/>
    <col min="1792" max="1792" width="9.109375" style="1"/>
    <col min="1793" max="1794" width="9.88671875" style="1" customWidth="1"/>
    <col min="1795" max="2045" width="9.109375" style="1"/>
    <col min="2046" max="2046" width="3.6640625" style="1" customWidth="1"/>
    <col min="2047" max="2047" width="75.6640625" style="1" customWidth="1"/>
    <col min="2048" max="2048" width="9.109375" style="1"/>
    <col min="2049" max="2050" width="9.88671875" style="1" customWidth="1"/>
    <col min="2051" max="2301" width="9.109375" style="1"/>
    <col min="2302" max="2302" width="3.6640625" style="1" customWidth="1"/>
    <col min="2303" max="2303" width="75.6640625" style="1" customWidth="1"/>
    <col min="2304" max="2304" width="9.109375" style="1"/>
    <col min="2305" max="2306" width="9.88671875" style="1" customWidth="1"/>
    <col min="2307" max="2557" width="9.109375" style="1"/>
    <col min="2558" max="2558" width="3.6640625" style="1" customWidth="1"/>
    <col min="2559" max="2559" width="75.6640625" style="1" customWidth="1"/>
    <col min="2560" max="2560" width="9.109375" style="1"/>
    <col min="2561" max="2562" width="9.88671875" style="1" customWidth="1"/>
    <col min="2563" max="2813" width="9.109375" style="1"/>
    <col min="2814" max="2814" width="3.6640625" style="1" customWidth="1"/>
    <col min="2815" max="2815" width="75.6640625" style="1" customWidth="1"/>
    <col min="2816" max="2816" width="9.109375" style="1"/>
    <col min="2817" max="2818" width="9.88671875" style="1" customWidth="1"/>
    <col min="2819" max="3069" width="9.109375" style="1"/>
    <col min="3070" max="3070" width="3.6640625" style="1" customWidth="1"/>
    <col min="3071" max="3071" width="75.6640625" style="1" customWidth="1"/>
    <col min="3072" max="3072" width="9.109375" style="1"/>
    <col min="3073" max="3074" width="9.88671875" style="1" customWidth="1"/>
    <col min="3075" max="3325" width="9.109375" style="1"/>
    <col min="3326" max="3326" width="3.6640625" style="1" customWidth="1"/>
    <col min="3327" max="3327" width="75.6640625" style="1" customWidth="1"/>
    <col min="3328" max="3328" width="9.109375" style="1"/>
    <col min="3329" max="3330" width="9.88671875" style="1" customWidth="1"/>
    <col min="3331" max="3581" width="9.109375" style="1"/>
    <col min="3582" max="3582" width="3.6640625" style="1" customWidth="1"/>
    <col min="3583" max="3583" width="75.6640625" style="1" customWidth="1"/>
    <col min="3584" max="3584" width="9.109375" style="1"/>
    <col min="3585" max="3586" width="9.88671875" style="1" customWidth="1"/>
    <col min="3587" max="3837" width="9.109375" style="1"/>
    <col min="3838" max="3838" width="3.6640625" style="1" customWidth="1"/>
    <col min="3839" max="3839" width="75.6640625" style="1" customWidth="1"/>
    <col min="3840" max="3840" width="9.109375" style="1"/>
    <col min="3841" max="3842" width="9.88671875" style="1" customWidth="1"/>
    <col min="3843" max="4093" width="9.109375" style="1"/>
    <col min="4094" max="4094" width="3.6640625" style="1" customWidth="1"/>
    <col min="4095" max="4095" width="75.6640625" style="1" customWidth="1"/>
    <col min="4096" max="4096" width="9.109375" style="1"/>
    <col min="4097" max="4098" width="9.88671875" style="1" customWidth="1"/>
    <col min="4099" max="4349" width="9.109375" style="1"/>
    <col min="4350" max="4350" width="3.6640625" style="1" customWidth="1"/>
    <col min="4351" max="4351" width="75.6640625" style="1" customWidth="1"/>
    <col min="4352" max="4352" width="9.109375" style="1"/>
    <col min="4353" max="4354" width="9.88671875" style="1" customWidth="1"/>
    <col min="4355" max="4605" width="9.109375" style="1"/>
    <col min="4606" max="4606" width="3.6640625" style="1" customWidth="1"/>
    <col min="4607" max="4607" width="75.6640625" style="1" customWidth="1"/>
    <col min="4608" max="4608" width="9.109375" style="1"/>
    <col min="4609" max="4610" width="9.88671875" style="1" customWidth="1"/>
    <col min="4611" max="4861" width="9.109375" style="1"/>
    <col min="4862" max="4862" width="3.6640625" style="1" customWidth="1"/>
    <col min="4863" max="4863" width="75.6640625" style="1" customWidth="1"/>
    <col min="4864" max="4864" width="9.109375" style="1"/>
    <col min="4865" max="4866" width="9.88671875" style="1" customWidth="1"/>
    <col min="4867" max="5117" width="9.109375" style="1"/>
    <col min="5118" max="5118" width="3.6640625" style="1" customWidth="1"/>
    <col min="5119" max="5119" width="75.6640625" style="1" customWidth="1"/>
    <col min="5120" max="5120" width="9.109375" style="1"/>
    <col min="5121" max="5122" width="9.88671875" style="1" customWidth="1"/>
    <col min="5123" max="5373" width="9.109375" style="1"/>
    <col min="5374" max="5374" width="3.6640625" style="1" customWidth="1"/>
    <col min="5375" max="5375" width="75.6640625" style="1" customWidth="1"/>
    <col min="5376" max="5376" width="9.109375" style="1"/>
    <col min="5377" max="5378" width="9.88671875" style="1" customWidth="1"/>
    <col min="5379" max="5629" width="9.109375" style="1"/>
    <col min="5630" max="5630" width="3.6640625" style="1" customWidth="1"/>
    <col min="5631" max="5631" width="75.6640625" style="1" customWidth="1"/>
    <col min="5632" max="5632" width="9.109375" style="1"/>
    <col min="5633" max="5634" width="9.88671875" style="1" customWidth="1"/>
    <col min="5635" max="5885" width="9.109375" style="1"/>
    <col min="5886" max="5886" width="3.6640625" style="1" customWidth="1"/>
    <col min="5887" max="5887" width="75.6640625" style="1" customWidth="1"/>
    <col min="5888" max="5888" width="9.109375" style="1"/>
    <col min="5889" max="5890" width="9.88671875" style="1" customWidth="1"/>
    <col min="5891" max="6141" width="9.109375" style="1"/>
    <col min="6142" max="6142" width="3.6640625" style="1" customWidth="1"/>
    <col min="6143" max="6143" width="75.6640625" style="1" customWidth="1"/>
    <col min="6144" max="6144" width="9.109375" style="1"/>
    <col min="6145" max="6146" width="9.88671875" style="1" customWidth="1"/>
    <col min="6147" max="6397" width="9.109375" style="1"/>
    <col min="6398" max="6398" width="3.6640625" style="1" customWidth="1"/>
    <col min="6399" max="6399" width="75.6640625" style="1" customWidth="1"/>
    <col min="6400" max="6400" width="9.109375" style="1"/>
    <col min="6401" max="6402" width="9.88671875" style="1" customWidth="1"/>
    <col min="6403" max="6653" width="9.109375" style="1"/>
    <col min="6654" max="6654" width="3.6640625" style="1" customWidth="1"/>
    <col min="6655" max="6655" width="75.6640625" style="1" customWidth="1"/>
    <col min="6656" max="6656" width="9.109375" style="1"/>
    <col min="6657" max="6658" width="9.88671875" style="1" customWidth="1"/>
    <col min="6659" max="6909" width="9.109375" style="1"/>
    <col min="6910" max="6910" width="3.6640625" style="1" customWidth="1"/>
    <col min="6911" max="6911" width="75.6640625" style="1" customWidth="1"/>
    <col min="6912" max="6912" width="9.109375" style="1"/>
    <col min="6913" max="6914" width="9.88671875" style="1" customWidth="1"/>
    <col min="6915" max="7165" width="9.109375" style="1"/>
    <col min="7166" max="7166" width="3.6640625" style="1" customWidth="1"/>
    <col min="7167" max="7167" width="75.6640625" style="1" customWidth="1"/>
    <col min="7168" max="7168" width="9.109375" style="1"/>
    <col min="7169" max="7170" width="9.88671875" style="1" customWidth="1"/>
    <col min="7171" max="7421" width="9.109375" style="1"/>
    <col min="7422" max="7422" width="3.6640625" style="1" customWidth="1"/>
    <col min="7423" max="7423" width="75.6640625" style="1" customWidth="1"/>
    <col min="7424" max="7424" width="9.109375" style="1"/>
    <col min="7425" max="7426" width="9.88671875" style="1" customWidth="1"/>
    <col min="7427" max="7677" width="9.109375" style="1"/>
    <col min="7678" max="7678" width="3.6640625" style="1" customWidth="1"/>
    <col min="7679" max="7679" width="75.6640625" style="1" customWidth="1"/>
    <col min="7680" max="7680" width="9.109375" style="1"/>
    <col min="7681" max="7682" width="9.88671875" style="1" customWidth="1"/>
    <col min="7683" max="7933" width="9.109375" style="1"/>
    <col min="7934" max="7934" width="3.6640625" style="1" customWidth="1"/>
    <col min="7935" max="7935" width="75.6640625" style="1" customWidth="1"/>
    <col min="7936" max="7936" width="9.109375" style="1"/>
    <col min="7937" max="7938" width="9.88671875" style="1" customWidth="1"/>
    <col min="7939" max="8189" width="9.109375" style="1"/>
    <col min="8190" max="8190" width="3.6640625" style="1" customWidth="1"/>
    <col min="8191" max="8191" width="75.6640625" style="1" customWidth="1"/>
    <col min="8192" max="8192" width="9.109375" style="1"/>
    <col min="8193" max="8194" width="9.88671875" style="1" customWidth="1"/>
    <col min="8195" max="8445" width="9.109375" style="1"/>
    <col min="8446" max="8446" width="3.6640625" style="1" customWidth="1"/>
    <col min="8447" max="8447" width="75.6640625" style="1" customWidth="1"/>
    <col min="8448" max="8448" width="9.109375" style="1"/>
    <col min="8449" max="8450" width="9.88671875" style="1" customWidth="1"/>
    <col min="8451" max="8701" width="9.109375" style="1"/>
    <col min="8702" max="8702" width="3.6640625" style="1" customWidth="1"/>
    <col min="8703" max="8703" width="75.6640625" style="1" customWidth="1"/>
    <col min="8704" max="8704" width="9.109375" style="1"/>
    <col min="8705" max="8706" width="9.88671875" style="1" customWidth="1"/>
    <col min="8707" max="8957" width="9.109375" style="1"/>
    <col min="8958" max="8958" width="3.6640625" style="1" customWidth="1"/>
    <col min="8959" max="8959" width="75.6640625" style="1" customWidth="1"/>
    <col min="8960" max="8960" width="9.109375" style="1"/>
    <col min="8961" max="8962" width="9.88671875" style="1" customWidth="1"/>
    <col min="8963" max="9213" width="9.109375" style="1"/>
    <col min="9214" max="9214" width="3.6640625" style="1" customWidth="1"/>
    <col min="9215" max="9215" width="75.6640625" style="1" customWidth="1"/>
    <col min="9216" max="9216" width="9.109375" style="1"/>
    <col min="9217" max="9218" width="9.88671875" style="1" customWidth="1"/>
    <col min="9219" max="9469" width="9.109375" style="1"/>
    <col min="9470" max="9470" width="3.6640625" style="1" customWidth="1"/>
    <col min="9471" max="9471" width="75.6640625" style="1" customWidth="1"/>
    <col min="9472" max="9472" width="9.109375" style="1"/>
    <col min="9473" max="9474" width="9.88671875" style="1" customWidth="1"/>
    <col min="9475" max="9725" width="9.109375" style="1"/>
    <col min="9726" max="9726" width="3.6640625" style="1" customWidth="1"/>
    <col min="9727" max="9727" width="75.6640625" style="1" customWidth="1"/>
    <col min="9728" max="9728" width="9.109375" style="1"/>
    <col min="9729" max="9730" width="9.88671875" style="1" customWidth="1"/>
    <col min="9731" max="9981" width="9.109375" style="1"/>
    <col min="9982" max="9982" width="3.6640625" style="1" customWidth="1"/>
    <col min="9983" max="9983" width="75.6640625" style="1" customWidth="1"/>
    <col min="9984" max="9984" width="9.109375" style="1"/>
    <col min="9985" max="9986" width="9.88671875" style="1" customWidth="1"/>
    <col min="9987" max="10237" width="9.109375" style="1"/>
    <col min="10238" max="10238" width="3.6640625" style="1" customWidth="1"/>
    <col min="10239" max="10239" width="75.6640625" style="1" customWidth="1"/>
    <col min="10240" max="10240" width="9.109375" style="1"/>
    <col min="10241" max="10242" width="9.88671875" style="1" customWidth="1"/>
    <col min="10243" max="10493" width="9.109375" style="1"/>
    <col min="10494" max="10494" width="3.6640625" style="1" customWidth="1"/>
    <col min="10495" max="10495" width="75.6640625" style="1" customWidth="1"/>
    <col min="10496" max="10496" width="9.109375" style="1"/>
    <col min="10497" max="10498" width="9.88671875" style="1" customWidth="1"/>
    <col min="10499" max="10749" width="9.109375" style="1"/>
    <col min="10750" max="10750" width="3.6640625" style="1" customWidth="1"/>
    <col min="10751" max="10751" width="75.6640625" style="1" customWidth="1"/>
    <col min="10752" max="10752" width="9.109375" style="1"/>
    <col min="10753" max="10754" width="9.88671875" style="1" customWidth="1"/>
    <col min="10755" max="11005" width="9.109375" style="1"/>
    <col min="11006" max="11006" width="3.6640625" style="1" customWidth="1"/>
    <col min="11007" max="11007" width="75.6640625" style="1" customWidth="1"/>
    <col min="11008" max="11008" width="9.109375" style="1"/>
    <col min="11009" max="11010" width="9.88671875" style="1" customWidth="1"/>
    <col min="11011" max="11261" width="9.109375" style="1"/>
    <col min="11262" max="11262" width="3.6640625" style="1" customWidth="1"/>
    <col min="11263" max="11263" width="75.6640625" style="1" customWidth="1"/>
    <col min="11264" max="11264" width="9.109375" style="1"/>
    <col min="11265" max="11266" width="9.88671875" style="1" customWidth="1"/>
    <col min="11267" max="11517" width="9.109375" style="1"/>
    <col min="11518" max="11518" width="3.6640625" style="1" customWidth="1"/>
    <col min="11519" max="11519" width="75.6640625" style="1" customWidth="1"/>
    <col min="11520" max="11520" width="9.109375" style="1"/>
    <col min="11521" max="11522" width="9.88671875" style="1" customWidth="1"/>
    <col min="11523" max="11773" width="9.109375" style="1"/>
    <col min="11774" max="11774" width="3.6640625" style="1" customWidth="1"/>
    <col min="11775" max="11775" width="75.6640625" style="1" customWidth="1"/>
    <col min="11776" max="11776" width="9.109375" style="1"/>
    <col min="11777" max="11778" width="9.88671875" style="1" customWidth="1"/>
    <col min="11779" max="12029" width="9.109375" style="1"/>
    <col min="12030" max="12030" width="3.6640625" style="1" customWidth="1"/>
    <col min="12031" max="12031" width="75.6640625" style="1" customWidth="1"/>
    <col min="12032" max="12032" width="9.109375" style="1"/>
    <col min="12033" max="12034" width="9.88671875" style="1" customWidth="1"/>
    <col min="12035" max="12285" width="9.109375" style="1"/>
    <col min="12286" max="12286" width="3.6640625" style="1" customWidth="1"/>
    <col min="12287" max="12287" width="75.6640625" style="1" customWidth="1"/>
    <col min="12288" max="12288" width="9.109375" style="1"/>
    <col min="12289" max="12290" width="9.88671875" style="1" customWidth="1"/>
    <col min="12291" max="12541" width="9.109375" style="1"/>
    <col min="12542" max="12542" width="3.6640625" style="1" customWidth="1"/>
    <col min="12543" max="12543" width="75.6640625" style="1" customWidth="1"/>
    <col min="12544" max="12544" width="9.109375" style="1"/>
    <col min="12545" max="12546" width="9.88671875" style="1" customWidth="1"/>
    <col min="12547" max="12797" width="9.109375" style="1"/>
    <col min="12798" max="12798" width="3.6640625" style="1" customWidth="1"/>
    <col min="12799" max="12799" width="75.6640625" style="1" customWidth="1"/>
    <col min="12800" max="12800" width="9.109375" style="1"/>
    <col min="12801" max="12802" width="9.88671875" style="1" customWidth="1"/>
    <col min="12803" max="13053" width="9.109375" style="1"/>
    <col min="13054" max="13054" width="3.6640625" style="1" customWidth="1"/>
    <col min="13055" max="13055" width="75.6640625" style="1" customWidth="1"/>
    <col min="13056" max="13056" width="9.109375" style="1"/>
    <col min="13057" max="13058" width="9.88671875" style="1" customWidth="1"/>
    <col min="13059" max="13309" width="9.109375" style="1"/>
    <col min="13310" max="13310" width="3.6640625" style="1" customWidth="1"/>
    <col min="13311" max="13311" width="75.6640625" style="1" customWidth="1"/>
    <col min="13312" max="13312" width="9.109375" style="1"/>
    <col min="13313" max="13314" width="9.88671875" style="1" customWidth="1"/>
    <col min="13315" max="13565" width="9.109375" style="1"/>
    <col min="13566" max="13566" width="3.6640625" style="1" customWidth="1"/>
    <col min="13567" max="13567" width="75.6640625" style="1" customWidth="1"/>
    <col min="13568" max="13568" width="9.109375" style="1"/>
    <col min="13569" max="13570" width="9.88671875" style="1" customWidth="1"/>
    <col min="13571" max="13821" width="9.109375" style="1"/>
    <col min="13822" max="13822" width="3.6640625" style="1" customWidth="1"/>
    <col min="13823" max="13823" width="75.6640625" style="1" customWidth="1"/>
    <col min="13824" max="13824" width="9.109375" style="1"/>
    <col min="13825" max="13826" width="9.88671875" style="1" customWidth="1"/>
    <col min="13827" max="14077" width="9.109375" style="1"/>
    <col min="14078" max="14078" width="3.6640625" style="1" customWidth="1"/>
    <col min="14079" max="14079" width="75.6640625" style="1" customWidth="1"/>
    <col min="14080" max="14080" width="9.109375" style="1"/>
    <col min="14081" max="14082" width="9.88671875" style="1" customWidth="1"/>
    <col min="14083" max="14333" width="9.109375" style="1"/>
    <col min="14334" max="14334" width="3.6640625" style="1" customWidth="1"/>
    <col min="14335" max="14335" width="75.6640625" style="1" customWidth="1"/>
    <col min="14336" max="14336" width="9.109375" style="1"/>
    <col min="14337" max="14338" width="9.88671875" style="1" customWidth="1"/>
    <col min="14339" max="14589" width="9.109375" style="1"/>
    <col min="14590" max="14590" width="3.6640625" style="1" customWidth="1"/>
    <col min="14591" max="14591" width="75.6640625" style="1" customWidth="1"/>
    <col min="14592" max="14592" width="9.109375" style="1"/>
    <col min="14593" max="14594" width="9.88671875" style="1" customWidth="1"/>
    <col min="14595" max="14845" width="9.109375" style="1"/>
    <col min="14846" max="14846" width="3.6640625" style="1" customWidth="1"/>
    <col min="14847" max="14847" width="75.6640625" style="1" customWidth="1"/>
    <col min="14848" max="14848" width="9.109375" style="1"/>
    <col min="14849" max="14850" width="9.88671875" style="1" customWidth="1"/>
    <col min="14851" max="15101" width="9.109375" style="1"/>
    <col min="15102" max="15102" width="3.6640625" style="1" customWidth="1"/>
    <col min="15103" max="15103" width="75.6640625" style="1" customWidth="1"/>
    <col min="15104" max="15104" width="9.109375" style="1"/>
    <col min="15105" max="15106" width="9.88671875" style="1" customWidth="1"/>
    <col min="15107" max="15357" width="9.109375" style="1"/>
    <col min="15358" max="15358" width="3.6640625" style="1" customWidth="1"/>
    <col min="15359" max="15359" width="75.6640625" style="1" customWidth="1"/>
    <col min="15360" max="15360" width="9.109375" style="1"/>
    <col min="15361" max="15362" width="9.88671875" style="1" customWidth="1"/>
    <col min="15363" max="15613" width="9.109375" style="1"/>
    <col min="15614" max="15614" width="3.6640625" style="1" customWidth="1"/>
    <col min="15615" max="15615" width="75.6640625" style="1" customWidth="1"/>
    <col min="15616" max="15616" width="9.109375" style="1"/>
    <col min="15617" max="15618" width="9.88671875" style="1" customWidth="1"/>
    <col min="15619" max="15869" width="9.109375" style="1"/>
    <col min="15870" max="15870" width="3.6640625" style="1" customWidth="1"/>
    <col min="15871" max="15871" width="75.6640625" style="1" customWidth="1"/>
    <col min="15872" max="15872" width="9.109375" style="1"/>
    <col min="15873" max="15874" width="9.88671875" style="1" customWidth="1"/>
    <col min="15875" max="16125" width="9.109375" style="1"/>
    <col min="16126" max="16126" width="3.6640625" style="1" customWidth="1"/>
    <col min="16127" max="16127" width="75.6640625" style="1" customWidth="1"/>
    <col min="16128" max="16128" width="9.109375" style="1"/>
    <col min="16129" max="16130" width="9.88671875" style="1" customWidth="1"/>
    <col min="16131" max="16384" width="9.109375" style="1"/>
  </cols>
  <sheetData>
    <row r="1" spans="1:15" ht="16.8" thickBot="1">
      <c r="A1" s="5009" t="str">
        <f>+'1. Обща информация'!B40</f>
        <v>Фиксиран курс на лева към 1 евро</v>
      </c>
      <c r="B1" s="5009"/>
      <c r="C1" s="5010">
        <f>+'1. Обща информация'!$C$40</f>
        <v>1.95583</v>
      </c>
      <c r="D1" s="5010"/>
      <c r="G1" s="3266"/>
      <c r="H1" s="3182" t="str">
        <f>'17. РБА'!G1</f>
        <v>Приложение № 6</v>
      </c>
    </row>
    <row r="2" spans="1:15" s="7" customFormat="1" ht="17.399999999999999">
      <c r="A2" s="4886" t="s">
        <v>1490</v>
      </c>
      <c r="B2" s="4886"/>
      <c r="C2" s="4886"/>
      <c r="D2" s="4886"/>
      <c r="E2" s="4886"/>
      <c r="F2" s="4886"/>
      <c r="G2" s="4886"/>
      <c r="H2" s="4886"/>
    </row>
    <row r="3" spans="1:15" s="8" customFormat="1" ht="17.399999999999999">
      <c r="A3" s="5572" t="s">
        <v>1012</v>
      </c>
      <c r="B3" s="5572"/>
      <c r="C3" s="5572"/>
      <c r="D3" s="5572"/>
      <c r="E3" s="5572"/>
      <c r="F3" s="5572"/>
      <c r="G3" s="5572"/>
      <c r="H3" s="5572"/>
    </row>
    <row r="4" spans="1:15" s="1332" customFormat="1" ht="15.75" customHeight="1">
      <c r="A4" s="5573" t="str">
        <f>'1. Обща информация'!A4:D4</f>
        <v>на "В И К" АД, гр. Ловеч</v>
      </c>
      <c r="B4" s="5573"/>
      <c r="C4" s="5573"/>
      <c r="D4" s="5573"/>
      <c r="E4" s="5573"/>
      <c r="F4" s="5573"/>
      <c r="G4" s="5573"/>
      <c r="H4" s="5573"/>
    </row>
    <row r="5" spans="1:15" s="7" customFormat="1" ht="14.25" customHeight="1">
      <c r="A5" s="5573" t="str">
        <f>'1. Обща информация'!A5:D5</f>
        <v>ЕИК по БУЛСТАТ: 110549443</v>
      </c>
      <c r="B5" s="5573"/>
      <c r="C5" s="5573"/>
      <c r="D5" s="5573"/>
      <c r="E5" s="5573"/>
      <c r="F5" s="5573"/>
      <c r="G5" s="5573"/>
      <c r="H5" s="5573"/>
    </row>
    <row r="6" spans="1:15" s="1380" customFormat="1" ht="16.5" customHeight="1" thickBot="1">
      <c r="A6" s="660"/>
      <c r="B6" s="660"/>
      <c r="C6" s="660"/>
      <c r="D6" s="660"/>
      <c r="E6" s="660"/>
      <c r="F6" s="660"/>
      <c r="H6" s="660"/>
    </row>
    <row r="7" spans="1:15" s="659" customFormat="1" ht="25.5" customHeight="1" thickBot="1">
      <c r="A7" s="4479" t="s">
        <v>1</v>
      </c>
      <c r="B7" s="4480" t="s">
        <v>307</v>
      </c>
      <c r="C7" s="4480" t="s">
        <v>166</v>
      </c>
      <c r="D7" s="1448" t="str">
        <f>'Приложение '!$C14</f>
        <v>2027 г.</v>
      </c>
      <c r="E7" s="1448" t="str">
        <f>'Приложение '!$C15</f>
        <v>2028 г.</v>
      </c>
      <c r="F7" s="1448" t="str">
        <f>'Приложение '!$C16</f>
        <v>2029 г.</v>
      </c>
      <c r="G7" s="1448" t="str">
        <f>'Приложение '!$C17</f>
        <v>2030 г.</v>
      </c>
      <c r="H7" s="4481" t="str">
        <f>'Приложение '!$C18</f>
        <v>2031 г.</v>
      </c>
      <c r="I7" s="4488"/>
      <c r="J7" s="4563" t="s">
        <v>166</v>
      </c>
      <c r="K7" s="4564" t="str">
        <f>'Приложение '!$C14</f>
        <v>2027 г.</v>
      </c>
      <c r="L7" s="4564" t="str">
        <f>'Приложение '!$C15</f>
        <v>2028 г.</v>
      </c>
      <c r="M7" s="4564" t="str">
        <f>'Приложение '!$C16</f>
        <v>2029 г.</v>
      </c>
      <c r="N7" s="4564" t="str">
        <f>'Приложение '!$C17</f>
        <v>2030 г.</v>
      </c>
      <c r="O7" s="4564" t="str">
        <f>'Приложение '!$C18</f>
        <v>2031 г.</v>
      </c>
    </row>
    <row r="8" spans="1:15" s="659" customFormat="1">
      <c r="A8" s="1469" t="s">
        <v>205</v>
      </c>
      <c r="B8" s="4474" t="s">
        <v>309</v>
      </c>
      <c r="C8" s="4475" t="s">
        <v>310</v>
      </c>
      <c r="D8" s="4476">
        <v>60</v>
      </c>
      <c r="E8" s="4477">
        <f>+D8</f>
        <v>60</v>
      </c>
      <c r="F8" s="4477">
        <f t="shared" ref="F8:H8" si="0">+E8</f>
        <v>60</v>
      </c>
      <c r="G8" s="4477">
        <f t="shared" si="0"/>
        <v>60</v>
      </c>
      <c r="H8" s="4478">
        <f t="shared" si="0"/>
        <v>60</v>
      </c>
      <c r="I8" s="4488"/>
      <c r="J8" s="4565"/>
      <c r="K8" s="4566"/>
      <c r="L8" s="4567"/>
      <c r="M8" s="4567"/>
      <c r="N8" s="4567"/>
      <c r="O8" s="4567"/>
    </row>
    <row r="9" spans="1:15" s="659" customFormat="1" ht="13.8" thickBot="1">
      <c r="A9" s="1460" t="s">
        <v>206</v>
      </c>
      <c r="B9" s="1463" t="s">
        <v>312</v>
      </c>
      <c r="C9" s="1457" t="s">
        <v>313</v>
      </c>
      <c r="D9" s="966">
        <f>IFERROR(365/D8,0)</f>
        <v>6.083333333333333</v>
      </c>
      <c r="E9" s="966">
        <f t="shared" ref="E9:H9" si="1">IFERROR(365/E8,0)</f>
        <v>6.083333333333333</v>
      </c>
      <c r="F9" s="966">
        <f t="shared" si="1"/>
        <v>6.083333333333333</v>
      </c>
      <c r="G9" s="966">
        <f t="shared" si="1"/>
        <v>6.083333333333333</v>
      </c>
      <c r="H9" s="967">
        <f t="shared" si="1"/>
        <v>6.083333333333333</v>
      </c>
      <c r="I9" s="4488"/>
      <c r="J9" s="4568"/>
      <c r="K9" s="4569"/>
      <c r="L9" s="4569"/>
      <c r="M9" s="4569"/>
      <c r="N9" s="4569"/>
      <c r="O9" s="4569"/>
    </row>
    <row r="10" spans="1:15" s="659" customFormat="1" ht="23.4" thickBot="1">
      <c r="A10" s="1460" t="s">
        <v>219</v>
      </c>
      <c r="B10" s="1461" t="s">
        <v>315</v>
      </c>
      <c r="C10" s="1457" t="s">
        <v>295</v>
      </c>
      <c r="D10" s="966">
        <f t="shared" ref="D10:G10" si="2">D11-D12</f>
        <v>12242.426051794268</v>
      </c>
      <c r="E10" s="966">
        <f t="shared" si="2"/>
        <v>13293.31887380489</v>
      </c>
      <c r="F10" s="966">
        <f t="shared" si="2"/>
        <v>14478.202926344395</v>
      </c>
      <c r="G10" s="966">
        <f t="shared" si="2"/>
        <v>15794.706847386544</v>
      </c>
      <c r="H10" s="967">
        <f t="shared" ref="H10" si="3">H11-H12</f>
        <v>17229.058636544793</v>
      </c>
      <c r="I10" s="4488"/>
      <c r="J10" s="4543" t="s">
        <v>1894</v>
      </c>
      <c r="K10" s="4493">
        <f>IFERROR(D10/$C$1,0)</f>
        <v>6259.4530464274849</v>
      </c>
      <c r="L10" s="4493">
        <f t="shared" ref="L10:O10" si="4">IFERROR(E10/$C$1,0)</f>
        <v>6796.7660143288986</v>
      </c>
      <c r="M10" s="4493">
        <f t="shared" si="4"/>
        <v>7402.5876105512216</v>
      </c>
      <c r="N10" s="4493">
        <f t="shared" si="4"/>
        <v>8075.7053769430595</v>
      </c>
      <c r="O10" s="4493">
        <f t="shared" si="4"/>
        <v>8809.0778015189426</v>
      </c>
    </row>
    <row r="11" spans="1:15" s="659" customFormat="1" ht="13.8" thickBot="1">
      <c r="A11" s="1456" t="s">
        <v>263</v>
      </c>
      <c r="B11" s="101" t="s">
        <v>316</v>
      </c>
      <c r="C11" s="1457" t="s">
        <v>295</v>
      </c>
      <c r="D11" s="1458">
        <f>'12. Разходи'!D88</f>
        <v>13156.606403515611</v>
      </c>
      <c r="E11" s="1458">
        <f>'12. Разходи'!E88</f>
        <v>14216.279881309692</v>
      </c>
      <c r="F11" s="1458">
        <f>'12. Разходи'!F88</f>
        <v>15356.712012403028</v>
      </c>
      <c r="G11" s="1458">
        <f>'12. Разходи'!G88</f>
        <v>16663.644871407112</v>
      </c>
      <c r="H11" s="1459">
        <f>'12. Разходи'!H88</f>
        <v>18090.444511418325</v>
      </c>
      <c r="I11" s="4488"/>
      <c r="J11" s="4543" t="s">
        <v>1894</v>
      </c>
      <c r="K11" s="4493">
        <f t="shared" ref="K11:K29" si="5">IFERROR(D11/$C$1,0)</f>
        <v>6726.8660382117114</v>
      </c>
      <c r="L11" s="4493">
        <f t="shared" ref="L11:L29" si="6">IFERROR(E11/$C$1,0)</f>
        <v>7268.6684841267861</v>
      </c>
      <c r="M11" s="4493">
        <f t="shared" ref="M11:M29" si="7">IFERROR(F11/$C$1,0)</f>
        <v>7851.7621738101107</v>
      </c>
      <c r="N11" s="4493">
        <f t="shared" ref="N11:N29" si="8">IFERROR(G11/$C$1,0)</f>
        <v>8519.9863338874602</v>
      </c>
      <c r="O11" s="4493">
        <f t="shared" ref="O11:O29" si="9">IFERROR(H11/$C$1,0)</f>
        <v>9249.4974059188808</v>
      </c>
    </row>
    <row r="12" spans="1:15" s="659" customFormat="1" ht="24.6" thickBot="1">
      <c r="A12" s="1456" t="s">
        <v>264</v>
      </c>
      <c r="B12" s="101" t="s">
        <v>648</v>
      </c>
      <c r="C12" s="1457" t="s">
        <v>295</v>
      </c>
      <c r="D12" s="1458">
        <f>'12. Разходи'!D55</f>
        <v>914.18035172134239</v>
      </c>
      <c r="E12" s="1458">
        <f>'12. Разходи'!E55</f>
        <v>922.96100750480173</v>
      </c>
      <c r="F12" s="1458">
        <f>'12. Разходи'!F55</f>
        <v>878.50908605863424</v>
      </c>
      <c r="G12" s="1458">
        <f>'12. Разходи'!G55</f>
        <v>868.93802402056804</v>
      </c>
      <c r="H12" s="1459">
        <f>'12. Разходи'!H55</f>
        <v>861.38587487353402</v>
      </c>
      <c r="I12" s="4488"/>
      <c r="J12" s="4543" t="s">
        <v>1894</v>
      </c>
      <c r="K12" s="4493">
        <f t="shared" si="5"/>
        <v>467.41299178422582</v>
      </c>
      <c r="L12" s="4493">
        <f t="shared" si="6"/>
        <v>471.90246979788719</v>
      </c>
      <c r="M12" s="4493">
        <f t="shared" si="7"/>
        <v>449.17456325888969</v>
      </c>
      <c r="N12" s="4493">
        <f t="shared" si="8"/>
        <v>444.28095694440111</v>
      </c>
      <c r="O12" s="4493">
        <f t="shared" si="9"/>
        <v>440.41960439993971</v>
      </c>
    </row>
    <row r="13" spans="1:15" s="659" customFormat="1" ht="24" customHeight="1" thickBot="1">
      <c r="A13" s="1460" t="s">
        <v>221</v>
      </c>
      <c r="B13" s="1461" t="s">
        <v>318</v>
      </c>
      <c r="C13" s="1457" t="s">
        <v>295</v>
      </c>
      <c r="D13" s="966">
        <f t="shared" ref="D13:G13" si="10">D14-D15</f>
        <v>460.6908958233609</v>
      </c>
      <c r="E13" s="966">
        <f t="shared" si="10"/>
        <v>514.24581508485676</v>
      </c>
      <c r="F13" s="966">
        <f t="shared" si="10"/>
        <v>572.33411742354974</v>
      </c>
      <c r="G13" s="966">
        <f t="shared" si="10"/>
        <v>641.02279705146657</v>
      </c>
      <c r="H13" s="967">
        <f t="shared" ref="H13" si="11">H14-H15</f>
        <v>713.96640022134341</v>
      </c>
      <c r="I13" s="4488"/>
      <c r="J13" s="4543" t="s">
        <v>1894</v>
      </c>
      <c r="K13" s="4493">
        <f t="shared" si="5"/>
        <v>235.54751477549732</v>
      </c>
      <c r="L13" s="4493">
        <f t="shared" si="6"/>
        <v>262.92971019201912</v>
      </c>
      <c r="M13" s="4493">
        <f t="shared" si="7"/>
        <v>292.62978757026417</v>
      </c>
      <c r="N13" s="4493">
        <f t="shared" si="8"/>
        <v>327.74975179410615</v>
      </c>
      <c r="O13" s="4493">
        <f t="shared" si="9"/>
        <v>365.04522388006291</v>
      </c>
    </row>
    <row r="14" spans="1:15" s="659" customFormat="1" ht="13.8" thickBot="1">
      <c r="A14" s="1456" t="s">
        <v>566</v>
      </c>
      <c r="B14" s="101" t="s">
        <v>316</v>
      </c>
      <c r="C14" s="1457" t="s">
        <v>295</v>
      </c>
      <c r="D14" s="1458">
        <f>'12. Разходи'!L88</f>
        <v>526.97021263788019</v>
      </c>
      <c r="E14" s="1458">
        <f>'12. Разходи'!M88</f>
        <v>580.90103584563087</v>
      </c>
      <c r="F14" s="1458">
        <f>'12. Разходи'!N88</f>
        <v>639.38016930271624</v>
      </c>
      <c r="G14" s="1458">
        <f>'12. Разходи'!O88</f>
        <v>708.47551570131156</v>
      </c>
      <c r="H14" s="1459">
        <f>'12. Разходи'!P88</f>
        <v>781.80155724618749</v>
      </c>
      <c r="I14" s="4488"/>
      <c r="J14" s="4543" t="s">
        <v>1894</v>
      </c>
      <c r="K14" s="4493">
        <f t="shared" si="5"/>
        <v>269.43559135399306</v>
      </c>
      <c r="L14" s="4493">
        <f t="shared" si="6"/>
        <v>297.00998340634459</v>
      </c>
      <c r="M14" s="4493">
        <f t="shared" si="7"/>
        <v>326.90988956234247</v>
      </c>
      <c r="N14" s="4493">
        <f t="shared" si="8"/>
        <v>362.23777920438465</v>
      </c>
      <c r="O14" s="4493">
        <f t="shared" si="9"/>
        <v>399.72878892653631</v>
      </c>
    </row>
    <row r="15" spans="1:15" s="659" customFormat="1" ht="24.6" thickBot="1">
      <c r="A15" s="1456" t="s">
        <v>567</v>
      </c>
      <c r="B15" s="101" t="s">
        <v>648</v>
      </c>
      <c r="C15" s="1457" t="s">
        <v>295</v>
      </c>
      <c r="D15" s="1462">
        <f>'12. Разходи'!L55</f>
        <v>66.279316814519291</v>
      </c>
      <c r="E15" s="1462">
        <f>'12. Разходи'!M55</f>
        <v>66.6552207607741</v>
      </c>
      <c r="F15" s="1462">
        <f>'12. Разходи'!N55</f>
        <v>67.046051879166512</v>
      </c>
      <c r="G15" s="1462">
        <f>'12. Разходи'!O55</f>
        <v>67.452718649844982</v>
      </c>
      <c r="H15" s="1459">
        <f>'12. Разходи'!P55</f>
        <v>67.835157024844108</v>
      </c>
      <c r="I15" s="4488"/>
      <c r="J15" s="4543" t="s">
        <v>1894</v>
      </c>
      <c r="K15" s="4493">
        <f t="shared" si="5"/>
        <v>33.888076578495728</v>
      </c>
      <c r="L15" s="4493">
        <f t="shared" si="6"/>
        <v>34.08027321432543</v>
      </c>
      <c r="M15" s="4493">
        <f t="shared" si="7"/>
        <v>34.280101992078308</v>
      </c>
      <c r="N15" s="4493">
        <f t="shared" si="8"/>
        <v>34.488027410278491</v>
      </c>
      <c r="O15" s="4493">
        <f t="shared" si="9"/>
        <v>34.683565046473419</v>
      </c>
    </row>
    <row r="16" spans="1:15" s="659" customFormat="1" ht="23.4" thickBot="1">
      <c r="A16" s="1460" t="s">
        <v>308</v>
      </c>
      <c r="B16" s="1461" t="s">
        <v>319</v>
      </c>
      <c r="C16" s="1457" t="s">
        <v>295</v>
      </c>
      <c r="D16" s="966">
        <f t="shared" ref="D16:G16" si="12">D17-D18</f>
        <v>2841.5539955295608</v>
      </c>
      <c r="E16" s="966">
        <f t="shared" si="12"/>
        <v>3115.5084551412065</v>
      </c>
      <c r="F16" s="966">
        <f t="shared" si="12"/>
        <v>3420.0890942819674</v>
      </c>
      <c r="G16" s="966">
        <f t="shared" si="12"/>
        <v>3761.9385801068743</v>
      </c>
      <c r="H16" s="967">
        <f t="shared" ref="H16" si="13">H17-H18</f>
        <v>4147.2339099755209</v>
      </c>
      <c r="I16" s="4488"/>
      <c r="J16" s="4543" t="s">
        <v>1894</v>
      </c>
      <c r="K16" s="4493">
        <f t="shared" si="5"/>
        <v>1452.8634878949401</v>
      </c>
      <c r="L16" s="4493">
        <f t="shared" si="6"/>
        <v>1592.9341789118719</v>
      </c>
      <c r="M16" s="4493">
        <f t="shared" si="7"/>
        <v>1748.6637868740982</v>
      </c>
      <c r="N16" s="4493">
        <f t="shared" si="8"/>
        <v>1923.4486535674748</v>
      </c>
      <c r="O16" s="4493">
        <f t="shared" si="9"/>
        <v>2120.4470275921326</v>
      </c>
    </row>
    <row r="17" spans="1:15" s="659" customFormat="1" ht="13.8" thickBot="1">
      <c r="A17" s="1456" t="s">
        <v>568</v>
      </c>
      <c r="B17" s="101" t="s">
        <v>316</v>
      </c>
      <c r="C17" s="1457" t="s">
        <v>295</v>
      </c>
      <c r="D17" s="1458">
        <f>'12. Разходи'!T88</f>
        <v>2937.6640781596852</v>
      </c>
      <c r="E17" s="1458">
        <f>'12. Разходи'!U88</f>
        <v>3212.0819780416168</v>
      </c>
      <c r="F17" s="1458">
        <f>'12. Разходи'!V88</f>
        <v>3513.6683358754253</v>
      </c>
      <c r="G17" s="1458">
        <f>'12. Разходи'!W88</f>
        <v>3854.9099102170394</v>
      </c>
      <c r="H17" s="1459">
        <f>'12. Разходи'!X88</f>
        <v>4240.6949508577209</v>
      </c>
      <c r="I17" s="4488"/>
      <c r="J17" s="4543" t="s">
        <v>1894</v>
      </c>
      <c r="K17" s="4493">
        <f t="shared" si="5"/>
        <v>1502.0037928448205</v>
      </c>
      <c r="L17" s="4493">
        <f t="shared" si="6"/>
        <v>1642.3114371093689</v>
      </c>
      <c r="M17" s="4493">
        <f t="shared" si="7"/>
        <v>1796.5100933493327</v>
      </c>
      <c r="N17" s="4493">
        <f t="shared" si="8"/>
        <v>1970.9841398368158</v>
      </c>
      <c r="O17" s="4493">
        <f t="shared" si="9"/>
        <v>2168.2328990033493</v>
      </c>
    </row>
    <row r="18" spans="1:15" s="659" customFormat="1" ht="24.6" thickBot="1">
      <c r="A18" s="1464" t="s">
        <v>569</v>
      </c>
      <c r="B18" s="1465" t="s">
        <v>648</v>
      </c>
      <c r="C18" s="1466" t="s">
        <v>295</v>
      </c>
      <c r="D18" s="1467">
        <f>'12. Разходи'!T55</f>
        <v>96.110082630124438</v>
      </c>
      <c r="E18" s="1467">
        <f>'12. Разходи'!U55</f>
        <v>96.57352290041041</v>
      </c>
      <c r="F18" s="1467">
        <f>'12. Разходи'!V55</f>
        <v>93.579241593457738</v>
      </c>
      <c r="G18" s="1467">
        <f>'12. Разходи'!W55</f>
        <v>92.971330110164985</v>
      </c>
      <c r="H18" s="1468">
        <f>'12. Разходи'!X55</f>
        <v>93.461040882199924</v>
      </c>
      <c r="I18" s="4488"/>
      <c r="J18" s="4543" t="s">
        <v>1894</v>
      </c>
      <c r="K18" s="4493">
        <f t="shared" si="5"/>
        <v>49.140304949880324</v>
      </c>
      <c r="L18" s="4493">
        <f t="shared" si="6"/>
        <v>49.377258197496928</v>
      </c>
      <c r="M18" s="4493">
        <f t="shared" si="7"/>
        <v>47.846306475234421</v>
      </c>
      <c r="N18" s="4493">
        <f t="shared" si="8"/>
        <v>47.535486269340886</v>
      </c>
      <c r="O18" s="4493">
        <f t="shared" si="9"/>
        <v>47.785871411216682</v>
      </c>
    </row>
    <row r="19" spans="1:15" s="659" customFormat="1" ht="23.4" thickBot="1">
      <c r="A19" s="1469" t="s">
        <v>311</v>
      </c>
      <c r="B19" s="1470" t="s">
        <v>1243</v>
      </c>
      <c r="C19" s="1471" t="s">
        <v>295</v>
      </c>
      <c r="D19" s="1472">
        <f t="shared" ref="D19:H19" si="14">D20-D21</f>
        <v>0</v>
      </c>
      <c r="E19" s="1472">
        <f t="shared" si="14"/>
        <v>0</v>
      </c>
      <c r="F19" s="1472">
        <f t="shared" si="14"/>
        <v>0</v>
      </c>
      <c r="G19" s="1472">
        <f t="shared" si="14"/>
        <v>0</v>
      </c>
      <c r="H19" s="1473">
        <f t="shared" si="14"/>
        <v>0</v>
      </c>
      <c r="I19" s="4488"/>
      <c r="J19" s="4543" t="s">
        <v>1894</v>
      </c>
      <c r="K19" s="4493">
        <f t="shared" si="5"/>
        <v>0</v>
      </c>
      <c r="L19" s="4493">
        <f t="shared" si="6"/>
        <v>0</v>
      </c>
      <c r="M19" s="4493">
        <f t="shared" si="7"/>
        <v>0</v>
      </c>
      <c r="N19" s="4493">
        <f t="shared" si="8"/>
        <v>0</v>
      </c>
      <c r="O19" s="4493">
        <f t="shared" si="9"/>
        <v>0</v>
      </c>
    </row>
    <row r="20" spans="1:15" s="659" customFormat="1" ht="13.8" thickBot="1">
      <c r="A20" s="1456" t="s">
        <v>956</v>
      </c>
      <c r="B20" s="101" t="s">
        <v>316</v>
      </c>
      <c r="C20" s="1457" t="s">
        <v>295</v>
      </c>
      <c r="D20" s="1458">
        <f>'12. Разходи'!AB88</f>
        <v>0</v>
      </c>
      <c r="E20" s="1458">
        <f>'12. Разходи'!AC88</f>
        <v>0</v>
      </c>
      <c r="F20" s="1458">
        <f>'12. Разходи'!AD88</f>
        <v>0</v>
      </c>
      <c r="G20" s="1458">
        <f>'12. Разходи'!AE88</f>
        <v>0</v>
      </c>
      <c r="H20" s="1459">
        <f>'12. Разходи'!AF88</f>
        <v>0</v>
      </c>
      <c r="I20" s="4488"/>
      <c r="J20" s="4543" t="s">
        <v>1894</v>
      </c>
      <c r="K20" s="4493">
        <f t="shared" si="5"/>
        <v>0</v>
      </c>
      <c r="L20" s="4493">
        <f t="shared" si="6"/>
        <v>0</v>
      </c>
      <c r="M20" s="4493">
        <f t="shared" si="7"/>
        <v>0</v>
      </c>
      <c r="N20" s="4493">
        <f t="shared" si="8"/>
        <v>0</v>
      </c>
      <c r="O20" s="4493">
        <f t="shared" si="9"/>
        <v>0</v>
      </c>
    </row>
    <row r="21" spans="1:15" s="659" customFormat="1" ht="24.6" thickBot="1">
      <c r="A21" s="1456" t="s">
        <v>957</v>
      </c>
      <c r="B21" s="101" t="s">
        <v>648</v>
      </c>
      <c r="C21" s="1457" t="s">
        <v>295</v>
      </c>
      <c r="D21" s="1458">
        <f>'12. Разходи'!AB55</f>
        <v>0</v>
      </c>
      <c r="E21" s="1458">
        <f>'12. Разходи'!AC55</f>
        <v>0</v>
      </c>
      <c r="F21" s="1458">
        <f>'12. Разходи'!AD55</f>
        <v>0</v>
      </c>
      <c r="G21" s="1458">
        <f>'12. Разходи'!AE55</f>
        <v>0</v>
      </c>
      <c r="H21" s="1459">
        <f>'12. Разходи'!AF55</f>
        <v>0</v>
      </c>
      <c r="I21" s="4488"/>
      <c r="J21" s="4543" t="s">
        <v>1894</v>
      </c>
      <c r="K21" s="4493">
        <f t="shared" si="5"/>
        <v>0</v>
      </c>
      <c r="L21" s="4493">
        <f t="shared" si="6"/>
        <v>0</v>
      </c>
      <c r="M21" s="4493">
        <f t="shared" si="7"/>
        <v>0</v>
      </c>
      <c r="N21" s="4493">
        <f t="shared" si="8"/>
        <v>0</v>
      </c>
      <c r="O21" s="4493">
        <f t="shared" si="9"/>
        <v>0</v>
      </c>
    </row>
    <row r="22" spans="1:15" s="659" customFormat="1" ht="23.4" thickBot="1">
      <c r="A22" s="1460" t="s">
        <v>314</v>
      </c>
      <c r="B22" s="1461" t="s">
        <v>1244</v>
      </c>
      <c r="C22" s="1457" t="s">
        <v>295</v>
      </c>
      <c r="D22" s="966">
        <f t="shared" ref="D22:H22" si="15">D23-D24</f>
        <v>2576.1394905522948</v>
      </c>
      <c r="E22" s="966">
        <f t="shared" si="15"/>
        <v>2781.0793837817519</v>
      </c>
      <c r="F22" s="966">
        <f t="shared" si="15"/>
        <v>3012.1370152489521</v>
      </c>
      <c r="G22" s="966">
        <f t="shared" si="15"/>
        <v>3270.0515430400515</v>
      </c>
      <c r="H22" s="967">
        <f t="shared" si="15"/>
        <v>3558.1415424321121</v>
      </c>
      <c r="I22" s="4488"/>
      <c r="J22" s="4543" t="s">
        <v>1894</v>
      </c>
      <c r="K22" s="4493">
        <f t="shared" si="5"/>
        <v>1317.1592063483508</v>
      </c>
      <c r="L22" s="4493">
        <f t="shared" si="6"/>
        <v>1421.9433098897921</v>
      </c>
      <c r="M22" s="4493">
        <f t="shared" si="7"/>
        <v>1540.0812009473993</v>
      </c>
      <c r="N22" s="4493">
        <f t="shared" si="8"/>
        <v>1671.9508050495449</v>
      </c>
      <c r="O22" s="4493">
        <f t="shared" si="9"/>
        <v>1819.2488827925292</v>
      </c>
    </row>
    <row r="23" spans="1:15" s="659" customFormat="1" ht="13.8" thickBot="1">
      <c r="A23" s="1456" t="s">
        <v>958</v>
      </c>
      <c r="B23" s="101" t="s">
        <v>316</v>
      </c>
      <c r="C23" s="1457" t="s">
        <v>295</v>
      </c>
      <c r="D23" s="1458">
        <f>'12. Разходи'!AJ88</f>
        <v>2889.0135484228877</v>
      </c>
      <c r="E23" s="1458">
        <f>'12. Разходи'!AK88</f>
        <v>2939.5534416523446</v>
      </c>
      <c r="F23" s="1458">
        <f>'12. Разходи'!AL88</f>
        <v>3166.2110731195448</v>
      </c>
      <c r="G23" s="1458">
        <f>'12. Разходи'!AM88</f>
        <v>3449.7256009106445</v>
      </c>
      <c r="H23" s="1459">
        <f>'12. Разходи'!AN88</f>
        <v>3738.4156003027051</v>
      </c>
      <c r="I23" s="4488"/>
      <c r="J23" s="4543" t="s">
        <v>1894</v>
      </c>
      <c r="K23" s="4493">
        <f t="shared" si="5"/>
        <v>1477.1291719745007</v>
      </c>
      <c r="L23" s="4493">
        <f t="shared" si="6"/>
        <v>1502.9698090592458</v>
      </c>
      <c r="M23" s="4493">
        <f t="shared" si="7"/>
        <v>1618.8580158395898</v>
      </c>
      <c r="N23" s="4493">
        <f t="shared" si="8"/>
        <v>1763.8166921003588</v>
      </c>
      <c r="O23" s="4493">
        <f t="shared" si="9"/>
        <v>1911.4215449720605</v>
      </c>
    </row>
    <row r="24" spans="1:15" s="659" customFormat="1" ht="24.6" thickBot="1">
      <c r="A24" s="1456" t="s">
        <v>959</v>
      </c>
      <c r="B24" s="101" t="s">
        <v>648</v>
      </c>
      <c r="C24" s="1457" t="s">
        <v>295</v>
      </c>
      <c r="D24" s="1458">
        <f>'12. Разходи'!AJ55</f>
        <v>312.87405787059288</v>
      </c>
      <c r="E24" s="1458">
        <f>'12. Разходи'!AK55</f>
        <v>158.47405787059287</v>
      </c>
      <c r="F24" s="1458">
        <f>'12. Разходи'!AL55</f>
        <v>154.0740578705929</v>
      </c>
      <c r="G24" s="1458">
        <f>'12. Разходи'!AM55</f>
        <v>179.67405787059289</v>
      </c>
      <c r="H24" s="1459">
        <f>'12. Разходи'!AN55</f>
        <v>180.27405787059288</v>
      </c>
      <c r="I24" s="4488"/>
      <c r="J24" s="4543" t="s">
        <v>1894</v>
      </c>
      <c r="K24" s="4493">
        <f t="shared" si="5"/>
        <v>159.96996562614996</v>
      </c>
      <c r="L24" s="4493">
        <f t="shared" si="6"/>
        <v>81.026499169453828</v>
      </c>
      <c r="M24" s="4493">
        <f t="shared" si="7"/>
        <v>78.776814892190473</v>
      </c>
      <c r="N24" s="4493">
        <f t="shared" si="8"/>
        <v>91.865887050813669</v>
      </c>
      <c r="O24" s="4493">
        <f t="shared" si="9"/>
        <v>92.1726621795314</v>
      </c>
    </row>
    <row r="25" spans="1:15" s="659" customFormat="1" ht="13.8" thickBot="1">
      <c r="A25" s="1474" t="s">
        <v>317</v>
      </c>
      <c r="B25" s="1475" t="s">
        <v>320</v>
      </c>
      <c r="C25" s="1476" t="s">
        <v>295</v>
      </c>
      <c r="D25" s="1477">
        <f>IFERROR(D10/D9,0)</f>
        <v>2012.4535975552221</v>
      </c>
      <c r="E25" s="1477">
        <f t="shared" ref="E25:H25" si="16">IFERROR(E10/E9,0)</f>
        <v>2185.2031025432698</v>
      </c>
      <c r="F25" s="1477">
        <f t="shared" si="16"/>
        <v>2379.9785632346952</v>
      </c>
      <c r="G25" s="1477">
        <f t="shared" si="16"/>
        <v>2596.3901666936786</v>
      </c>
      <c r="H25" s="1478">
        <f t="shared" si="16"/>
        <v>2832.1740224457194</v>
      </c>
      <c r="I25" s="4488"/>
      <c r="J25" s="4544" t="s">
        <v>1894</v>
      </c>
      <c r="K25" s="4537">
        <f t="shared" si="5"/>
        <v>1028.9511857141072</v>
      </c>
      <c r="L25" s="4537">
        <f t="shared" si="6"/>
        <v>1117.2766050951616</v>
      </c>
      <c r="M25" s="4537">
        <f t="shared" si="7"/>
        <v>1216.8637168029406</v>
      </c>
      <c r="N25" s="4537">
        <f t="shared" si="8"/>
        <v>1327.5132126481742</v>
      </c>
      <c r="O25" s="4537">
        <f t="shared" si="9"/>
        <v>1448.067583811333</v>
      </c>
    </row>
    <row r="26" spans="1:15" s="659" customFormat="1" ht="13.8" thickBot="1">
      <c r="A26" s="1474" t="s">
        <v>1239</v>
      </c>
      <c r="B26" s="1475" t="s">
        <v>321</v>
      </c>
      <c r="C26" s="1476" t="s">
        <v>295</v>
      </c>
      <c r="D26" s="1477">
        <f>IFERROR(D13/D9,0)</f>
        <v>75.730010272333303</v>
      </c>
      <c r="E26" s="1477">
        <f t="shared" ref="E26:H26" si="17">IFERROR(E13/E9,0)</f>
        <v>84.533558644086042</v>
      </c>
      <c r="F26" s="1477">
        <f t="shared" si="17"/>
        <v>94.082320672364347</v>
      </c>
      <c r="G26" s="1477">
        <f t="shared" si="17"/>
        <v>105.37361047421369</v>
      </c>
      <c r="H26" s="1478">
        <f t="shared" si="17"/>
        <v>117.36433976241263</v>
      </c>
      <c r="I26" s="4488"/>
      <c r="J26" s="4544" t="s">
        <v>1894</v>
      </c>
      <c r="K26" s="4537">
        <f t="shared" si="5"/>
        <v>38.720139415150243</v>
      </c>
      <c r="L26" s="4537">
        <f t="shared" si="6"/>
        <v>43.221322223345609</v>
      </c>
      <c r="M26" s="4537">
        <f t="shared" si="7"/>
        <v>48.103526723879042</v>
      </c>
      <c r="N26" s="4537">
        <f t="shared" si="8"/>
        <v>53.876671527798273</v>
      </c>
      <c r="O26" s="4537">
        <f t="shared" si="9"/>
        <v>60.007434062476101</v>
      </c>
    </row>
    <row r="27" spans="1:15" s="659" customFormat="1" ht="13.8" thickBot="1">
      <c r="A27" s="1474" t="s">
        <v>1241</v>
      </c>
      <c r="B27" s="1475" t="s">
        <v>322</v>
      </c>
      <c r="C27" s="1476" t="s">
        <v>295</v>
      </c>
      <c r="D27" s="1477">
        <f>IFERROR(D16/D9,0)</f>
        <v>467.10476638842096</v>
      </c>
      <c r="E27" s="1477">
        <f t="shared" ref="E27:H27" si="18">IFERROR(E16/E9,0)</f>
        <v>512.13837618759555</v>
      </c>
      <c r="F27" s="1477">
        <f t="shared" si="18"/>
        <v>562.2064264573097</v>
      </c>
      <c r="G27" s="1477">
        <f t="shared" si="18"/>
        <v>618.40086248332182</v>
      </c>
      <c r="H27" s="1478">
        <f t="shared" si="18"/>
        <v>681.73708109186646</v>
      </c>
      <c r="I27" s="4488"/>
      <c r="J27" s="4544" t="s">
        <v>1894</v>
      </c>
      <c r="K27" s="4537">
        <f t="shared" si="5"/>
        <v>238.82687472245593</v>
      </c>
      <c r="L27" s="4537">
        <f t="shared" si="6"/>
        <v>261.85219379373234</v>
      </c>
      <c r="M27" s="4537">
        <f t="shared" si="7"/>
        <v>287.45158140396137</v>
      </c>
      <c r="N27" s="4537">
        <f t="shared" si="8"/>
        <v>316.18334031246161</v>
      </c>
      <c r="O27" s="4537">
        <f t="shared" si="9"/>
        <v>348.56663467267936</v>
      </c>
    </row>
    <row r="28" spans="1:15" s="659" customFormat="1" ht="13.8" thickBot="1">
      <c r="A28" s="1474" t="s">
        <v>1245</v>
      </c>
      <c r="B28" s="1475" t="s">
        <v>1240</v>
      </c>
      <c r="C28" s="1476" t="s">
        <v>295</v>
      </c>
      <c r="D28" s="1477">
        <f>IFERROR(D19/D9,0)</f>
        <v>0</v>
      </c>
      <c r="E28" s="1477">
        <f t="shared" ref="E28:H28" si="19">IFERROR(E19/E9,0)</f>
        <v>0</v>
      </c>
      <c r="F28" s="1477">
        <f t="shared" si="19"/>
        <v>0</v>
      </c>
      <c r="G28" s="1477">
        <f t="shared" si="19"/>
        <v>0</v>
      </c>
      <c r="H28" s="1479">
        <f t="shared" si="19"/>
        <v>0</v>
      </c>
      <c r="I28" s="4488"/>
      <c r="J28" s="4544" t="s">
        <v>1894</v>
      </c>
      <c r="K28" s="4537">
        <f t="shared" si="5"/>
        <v>0</v>
      </c>
      <c r="L28" s="4537">
        <f t="shared" si="6"/>
        <v>0</v>
      </c>
      <c r="M28" s="4537">
        <f t="shared" si="7"/>
        <v>0</v>
      </c>
      <c r="N28" s="4537">
        <f t="shared" si="8"/>
        <v>0</v>
      </c>
      <c r="O28" s="4537">
        <f t="shared" si="9"/>
        <v>0</v>
      </c>
    </row>
    <row r="29" spans="1:15" s="659" customFormat="1" ht="13.8" thickBot="1">
      <c r="A29" s="1474" t="s">
        <v>1246</v>
      </c>
      <c r="B29" s="1475" t="s">
        <v>1242</v>
      </c>
      <c r="C29" s="1476" t="s">
        <v>295</v>
      </c>
      <c r="D29" s="1477">
        <f>IFERROR(D22/D9,0)</f>
        <v>423.47498474832247</v>
      </c>
      <c r="E29" s="1477">
        <f t="shared" ref="E29:H29" si="20">IFERROR(E22/E9,0)</f>
        <v>457.16373432028797</v>
      </c>
      <c r="F29" s="1477">
        <f t="shared" si="20"/>
        <v>495.14581072585514</v>
      </c>
      <c r="G29" s="1477">
        <f t="shared" si="20"/>
        <v>537.5427194038441</v>
      </c>
      <c r="H29" s="1479">
        <f t="shared" si="20"/>
        <v>584.89997957788148</v>
      </c>
      <c r="I29" s="4488"/>
      <c r="J29" s="4544" t="s">
        <v>1894</v>
      </c>
      <c r="K29" s="4537">
        <f t="shared" si="5"/>
        <v>216.51932159150974</v>
      </c>
      <c r="L29" s="4537">
        <f t="shared" si="6"/>
        <v>233.74410573530827</v>
      </c>
      <c r="M29" s="4537">
        <f t="shared" si="7"/>
        <v>253.16403303244923</v>
      </c>
      <c r="N29" s="4537">
        <f t="shared" si="8"/>
        <v>274.84122822732246</v>
      </c>
      <c r="O29" s="4537">
        <f t="shared" si="9"/>
        <v>299.05461087000481</v>
      </c>
    </row>
    <row r="30" spans="1:15" ht="13.8">
      <c r="A30" s="641"/>
      <c r="B30" s="642"/>
      <c r="C30" s="643"/>
      <c r="D30" s="644"/>
      <c r="E30" s="644"/>
      <c r="F30" s="644"/>
      <c r="G30" s="644"/>
      <c r="H30" s="644"/>
    </row>
    <row r="31" spans="1:15" ht="13.8">
      <c r="A31" s="641"/>
      <c r="B31" s="642"/>
      <c r="C31" s="643"/>
      <c r="D31" s="644"/>
      <c r="E31" s="644"/>
      <c r="F31" s="644"/>
      <c r="G31" s="644"/>
      <c r="H31" s="644"/>
    </row>
    <row r="32" spans="1:15" ht="13.8">
      <c r="A32" s="641"/>
      <c r="B32" s="1716" t="str">
        <f>'Приложение '!B82</f>
        <v>Дата: 16.03.2026</v>
      </c>
      <c r="C32" s="644"/>
      <c r="D32" s="644"/>
      <c r="E32" s="644"/>
      <c r="F32" s="644"/>
      <c r="G32" s="644"/>
      <c r="H32" s="644"/>
    </row>
    <row r="33" spans="1:8">
      <c r="A33" s="1335"/>
      <c r="B33" s="3482"/>
    </row>
    <row r="35" spans="1:8">
      <c r="A35" s="5520" t="s">
        <v>187</v>
      </c>
      <c r="B35" s="5520"/>
      <c r="C35" s="5520"/>
    </row>
    <row r="36" spans="1:8">
      <c r="A36" s="5521" t="s">
        <v>1869</v>
      </c>
      <c r="B36" s="5521"/>
      <c r="C36" s="5521"/>
      <c r="D36" s="5521"/>
      <c r="E36" s="5521"/>
      <c r="F36" s="5521"/>
      <c r="G36" s="5521"/>
      <c r="H36" s="5521"/>
    </row>
    <row r="37" spans="1:8">
      <c r="A37" s="5521"/>
      <c r="B37" s="5521"/>
      <c r="C37" s="5521"/>
      <c r="D37" s="5521"/>
      <c r="E37" s="5521"/>
      <c r="F37" s="5521"/>
      <c r="G37" s="5521"/>
      <c r="H37" s="5521"/>
    </row>
    <row r="38" spans="1:8">
      <c r="A38" s="5574"/>
      <c r="B38" s="5574"/>
      <c r="C38" s="5574"/>
      <c r="D38" s="5574"/>
      <c r="E38" s="5574"/>
      <c r="F38" s="5574"/>
      <c r="G38" s="5574"/>
      <c r="H38" s="5574"/>
    </row>
    <row r="39" spans="1:8" ht="15.75" customHeight="1">
      <c r="A39" s="5574"/>
      <c r="B39" s="5574"/>
      <c r="C39" s="5574"/>
      <c r="D39" s="5574"/>
      <c r="E39" s="5574"/>
      <c r="F39" s="5574"/>
      <c r="G39" s="5574"/>
      <c r="H39" s="5574"/>
    </row>
    <row r="40" spans="1:8" ht="12.75" customHeight="1">
      <c r="A40" s="5574"/>
      <c r="B40" s="5574"/>
      <c r="C40" s="5574"/>
      <c r="D40" s="5574"/>
      <c r="E40" s="5574"/>
      <c r="F40" s="5574"/>
      <c r="G40" s="5574"/>
      <c r="H40" s="5574"/>
    </row>
    <row r="41" spans="1:8">
      <c r="A41" s="5574"/>
      <c r="B41" s="5574"/>
      <c r="C41" s="5574"/>
      <c r="D41" s="5574"/>
      <c r="E41" s="5574"/>
      <c r="F41" s="5574"/>
      <c r="G41" s="5574"/>
      <c r="H41" s="5574"/>
    </row>
    <row r="42" spans="1:8">
      <c r="A42" s="5574"/>
      <c r="B42" s="5574"/>
      <c r="C42" s="5574"/>
      <c r="D42" s="5574"/>
      <c r="E42" s="5574"/>
      <c r="F42" s="5574"/>
      <c r="G42" s="5574"/>
      <c r="H42" s="5574"/>
    </row>
    <row r="43" spans="1:8">
      <c r="A43" s="5574"/>
      <c r="B43" s="5574"/>
      <c r="C43" s="5574"/>
      <c r="D43" s="5574"/>
      <c r="E43" s="5574"/>
      <c r="F43" s="5574"/>
      <c r="G43" s="5574"/>
      <c r="H43" s="5574"/>
    </row>
    <row r="44" spans="1:8">
      <c r="A44" s="5574"/>
      <c r="B44" s="5574"/>
      <c r="C44" s="5574"/>
      <c r="D44" s="5574"/>
      <c r="E44" s="5574"/>
      <c r="F44" s="5574"/>
      <c r="G44" s="5574"/>
      <c r="H44" s="5574"/>
    </row>
  </sheetData>
  <sheetProtection algorithmName="SHA-512" hashValue="/uNdaHP/Zhk5dKpL+4ckQoyAnw9jGIrFhIzkSD/VnQSX7PC/vBdrglVupzK9sMMMpYDmoJf6h8GxK9o5wC9F1Q==" saltValue="7uT/JWSJ38tEYS/PcXMJKg==" spinCount="100000" sheet="1" formatCells="0" formatColumns="0" formatRows="0"/>
  <mergeCells count="16">
    <mergeCell ref="A43:H43"/>
    <mergeCell ref="A44:H44"/>
    <mergeCell ref="A35:C35"/>
    <mergeCell ref="A38:H38"/>
    <mergeCell ref="A39:H39"/>
    <mergeCell ref="A40:H40"/>
    <mergeCell ref="A5:H5"/>
    <mergeCell ref="A37:H37"/>
    <mergeCell ref="A36:H36"/>
    <mergeCell ref="A41:H41"/>
    <mergeCell ref="A42:H42"/>
    <mergeCell ref="A1:B1"/>
    <mergeCell ref="C1:D1"/>
    <mergeCell ref="A2:H2"/>
    <mergeCell ref="A3:H3"/>
    <mergeCell ref="A4:H4"/>
  </mergeCells>
  <printOptions horizontalCentered="1" verticalCentered="1"/>
  <pageMargins left="0.59055118110236227" right="0.11811023622047245" top="0.39370078740157483" bottom="0.39370078740157483" header="0.51181102362204722" footer="0.51181102362204722"/>
  <pageSetup paperSize="9" scale="96" orientation="portrait" r:id="rId1"/>
  <headerFooter alignWithMargins="0">
    <oddFooter>&amp;C&amp;A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4">
    <tabColor rgb="FF0070C0"/>
    <pageSetUpPr fitToPage="1"/>
  </sheetPr>
  <dimension ref="A1:O45"/>
  <sheetViews>
    <sheetView showGridLines="0" zoomScale="110" zoomScaleNormal="110" zoomScaleSheetLayoutView="100" workbookViewId="0">
      <selection activeCell="C34" sqref="C34:D37"/>
    </sheetView>
  </sheetViews>
  <sheetFormatPr defaultColWidth="11.44140625" defaultRowHeight="12"/>
  <cols>
    <col min="1" max="1" width="4.5546875" style="10" customWidth="1"/>
    <col min="2" max="2" width="66.44140625" style="10" customWidth="1"/>
    <col min="3" max="3" width="8.6640625" style="10" customWidth="1"/>
    <col min="4" max="4" width="9.88671875" style="1327" customWidth="1"/>
    <col min="5" max="5" width="9.109375" style="1327" customWidth="1"/>
    <col min="6" max="6" width="8.6640625" style="1327" customWidth="1"/>
    <col min="7" max="8" width="8.6640625" style="10" customWidth="1"/>
    <col min="9" max="9" width="2" style="10" customWidth="1"/>
    <col min="10" max="15" width="8.6640625" style="10" customWidth="1"/>
    <col min="16" max="253" width="11.44140625" style="10"/>
    <col min="254" max="254" width="4.5546875" style="10" customWidth="1"/>
    <col min="255" max="255" width="70.6640625" style="10" customWidth="1"/>
    <col min="256" max="256" width="8.6640625" style="10" customWidth="1"/>
    <col min="257" max="258" width="10.6640625" style="10" customWidth="1"/>
    <col min="259" max="259" width="10.88671875" style="10" customWidth="1"/>
    <col min="260" max="261" width="10.44140625" style="10" customWidth="1"/>
    <col min="262" max="509" width="11.44140625" style="10"/>
    <col min="510" max="510" width="4.5546875" style="10" customWidth="1"/>
    <col min="511" max="511" width="70.6640625" style="10" customWidth="1"/>
    <col min="512" max="512" width="8.6640625" style="10" customWidth="1"/>
    <col min="513" max="514" width="10.6640625" style="10" customWidth="1"/>
    <col min="515" max="515" width="10.88671875" style="10" customWidth="1"/>
    <col min="516" max="517" width="10.44140625" style="10" customWidth="1"/>
    <col min="518" max="765" width="11.44140625" style="10"/>
    <col min="766" max="766" width="4.5546875" style="10" customWidth="1"/>
    <col min="767" max="767" width="70.6640625" style="10" customWidth="1"/>
    <col min="768" max="768" width="8.6640625" style="10" customWidth="1"/>
    <col min="769" max="770" width="10.6640625" style="10" customWidth="1"/>
    <col min="771" max="771" width="10.88671875" style="10" customWidth="1"/>
    <col min="772" max="773" width="10.44140625" style="10" customWidth="1"/>
    <col min="774" max="1021" width="11.44140625" style="10"/>
    <col min="1022" max="1022" width="4.5546875" style="10" customWidth="1"/>
    <col min="1023" max="1023" width="70.6640625" style="10" customWidth="1"/>
    <col min="1024" max="1024" width="8.6640625" style="10" customWidth="1"/>
    <col min="1025" max="1026" width="10.6640625" style="10" customWidth="1"/>
    <col min="1027" max="1027" width="10.88671875" style="10" customWidth="1"/>
    <col min="1028" max="1029" width="10.44140625" style="10" customWidth="1"/>
    <col min="1030" max="1277" width="11.44140625" style="10"/>
    <col min="1278" max="1278" width="4.5546875" style="10" customWidth="1"/>
    <col min="1279" max="1279" width="70.6640625" style="10" customWidth="1"/>
    <col min="1280" max="1280" width="8.6640625" style="10" customWidth="1"/>
    <col min="1281" max="1282" width="10.6640625" style="10" customWidth="1"/>
    <col min="1283" max="1283" width="10.88671875" style="10" customWidth="1"/>
    <col min="1284" max="1285" width="10.44140625" style="10" customWidth="1"/>
    <col min="1286" max="1533" width="11.44140625" style="10"/>
    <col min="1534" max="1534" width="4.5546875" style="10" customWidth="1"/>
    <col min="1535" max="1535" width="70.6640625" style="10" customWidth="1"/>
    <col min="1536" max="1536" width="8.6640625" style="10" customWidth="1"/>
    <col min="1537" max="1538" width="10.6640625" style="10" customWidth="1"/>
    <col min="1539" max="1539" width="10.88671875" style="10" customWidth="1"/>
    <col min="1540" max="1541" width="10.44140625" style="10" customWidth="1"/>
    <col min="1542" max="1789" width="11.44140625" style="10"/>
    <col min="1790" max="1790" width="4.5546875" style="10" customWidth="1"/>
    <col min="1791" max="1791" width="70.6640625" style="10" customWidth="1"/>
    <col min="1792" max="1792" width="8.6640625" style="10" customWidth="1"/>
    <col min="1793" max="1794" width="10.6640625" style="10" customWidth="1"/>
    <col min="1795" max="1795" width="10.88671875" style="10" customWidth="1"/>
    <col min="1796" max="1797" width="10.44140625" style="10" customWidth="1"/>
    <col min="1798" max="2045" width="11.44140625" style="10"/>
    <col min="2046" max="2046" width="4.5546875" style="10" customWidth="1"/>
    <col min="2047" max="2047" width="70.6640625" style="10" customWidth="1"/>
    <col min="2048" max="2048" width="8.6640625" style="10" customWidth="1"/>
    <col min="2049" max="2050" width="10.6640625" style="10" customWidth="1"/>
    <col min="2051" max="2051" width="10.88671875" style="10" customWidth="1"/>
    <col min="2052" max="2053" width="10.44140625" style="10" customWidth="1"/>
    <col min="2054" max="2301" width="11.44140625" style="10"/>
    <col min="2302" max="2302" width="4.5546875" style="10" customWidth="1"/>
    <col min="2303" max="2303" width="70.6640625" style="10" customWidth="1"/>
    <col min="2304" max="2304" width="8.6640625" style="10" customWidth="1"/>
    <col min="2305" max="2306" width="10.6640625" style="10" customWidth="1"/>
    <col min="2307" max="2307" width="10.88671875" style="10" customWidth="1"/>
    <col min="2308" max="2309" width="10.44140625" style="10" customWidth="1"/>
    <col min="2310" max="2557" width="11.44140625" style="10"/>
    <col min="2558" max="2558" width="4.5546875" style="10" customWidth="1"/>
    <col min="2559" max="2559" width="70.6640625" style="10" customWidth="1"/>
    <col min="2560" max="2560" width="8.6640625" style="10" customWidth="1"/>
    <col min="2561" max="2562" width="10.6640625" style="10" customWidth="1"/>
    <col min="2563" max="2563" width="10.88671875" style="10" customWidth="1"/>
    <col min="2564" max="2565" width="10.44140625" style="10" customWidth="1"/>
    <col min="2566" max="2813" width="11.44140625" style="10"/>
    <col min="2814" max="2814" width="4.5546875" style="10" customWidth="1"/>
    <col min="2815" max="2815" width="70.6640625" style="10" customWidth="1"/>
    <col min="2816" max="2816" width="8.6640625" style="10" customWidth="1"/>
    <col min="2817" max="2818" width="10.6640625" style="10" customWidth="1"/>
    <col min="2819" max="2819" width="10.88671875" style="10" customWidth="1"/>
    <col min="2820" max="2821" width="10.44140625" style="10" customWidth="1"/>
    <col min="2822" max="3069" width="11.44140625" style="10"/>
    <col min="3070" max="3070" width="4.5546875" style="10" customWidth="1"/>
    <col min="3071" max="3071" width="70.6640625" style="10" customWidth="1"/>
    <col min="3072" max="3072" width="8.6640625" style="10" customWidth="1"/>
    <col min="3073" max="3074" width="10.6640625" style="10" customWidth="1"/>
    <col min="3075" max="3075" width="10.88671875" style="10" customWidth="1"/>
    <col min="3076" max="3077" width="10.44140625" style="10" customWidth="1"/>
    <col min="3078" max="3325" width="11.44140625" style="10"/>
    <col min="3326" max="3326" width="4.5546875" style="10" customWidth="1"/>
    <col min="3327" max="3327" width="70.6640625" style="10" customWidth="1"/>
    <col min="3328" max="3328" width="8.6640625" style="10" customWidth="1"/>
    <col min="3329" max="3330" width="10.6640625" style="10" customWidth="1"/>
    <col min="3331" max="3331" width="10.88671875" style="10" customWidth="1"/>
    <col min="3332" max="3333" width="10.44140625" style="10" customWidth="1"/>
    <col min="3334" max="3581" width="11.44140625" style="10"/>
    <col min="3582" max="3582" width="4.5546875" style="10" customWidth="1"/>
    <col min="3583" max="3583" width="70.6640625" style="10" customWidth="1"/>
    <col min="3584" max="3584" width="8.6640625" style="10" customWidth="1"/>
    <col min="3585" max="3586" width="10.6640625" style="10" customWidth="1"/>
    <col min="3587" max="3587" width="10.88671875" style="10" customWidth="1"/>
    <col min="3588" max="3589" width="10.44140625" style="10" customWidth="1"/>
    <col min="3590" max="3837" width="11.44140625" style="10"/>
    <col min="3838" max="3838" width="4.5546875" style="10" customWidth="1"/>
    <col min="3839" max="3839" width="70.6640625" style="10" customWidth="1"/>
    <col min="3840" max="3840" width="8.6640625" style="10" customWidth="1"/>
    <col min="3841" max="3842" width="10.6640625" style="10" customWidth="1"/>
    <col min="3843" max="3843" width="10.88671875" style="10" customWidth="1"/>
    <col min="3844" max="3845" width="10.44140625" style="10" customWidth="1"/>
    <col min="3846" max="4093" width="11.44140625" style="10"/>
    <col min="4094" max="4094" width="4.5546875" style="10" customWidth="1"/>
    <col min="4095" max="4095" width="70.6640625" style="10" customWidth="1"/>
    <col min="4096" max="4096" width="8.6640625" style="10" customWidth="1"/>
    <col min="4097" max="4098" width="10.6640625" style="10" customWidth="1"/>
    <col min="4099" max="4099" width="10.88671875" style="10" customWidth="1"/>
    <col min="4100" max="4101" width="10.44140625" style="10" customWidth="1"/>
    <col min="4102" max="4349" width="11.44140625" style="10"/>
    <col min="4350" max="4350" width="4.5546875" style="10" customWidth="1"/>
    <col min="4351" max="4351" width="70.6640625" style="10" customWidth="1"/>
    <col min="4352" max="4352" width="8.6640625" style="10" customWidth="1"/>
    <col min="4353" max="4354" width="10.6640625" style="10" customWidth="1"/>
    <col min="4355" max="4355" width="10.88671875" style="10" customWidth="1"/>
    <col min="4356" max="4357" width="10.44140625" style="10" customWidth="1"/>
    <col min="4358" max="4605" width="11.44140625" style="10"/>
    <col min="4606" max="4606" width="4.5546875" style="10" customWidth="1"/>
    <col min="4607" max="4607" width="70.6640625" style="10" customWidth="1"/>
    <col min="4608" max="4608" width="8.6640625" style="10" customWidth="1"/>
    <col min="4609" max="4610" width="10.6640625" style="10" customWidth="1"/>
    <col min="4611" max="4611" width="10.88671875" style="10" customWidth="1"/>
    <col min="4612" max="4613" width="10.44140625" style="10" customWidth="1"/>
    <col min="4614" max="4861" width="11.44140625" style="10"/>
    <col min="4862" max="4862" width="4.5546875" style="10" customWidth="1"/>
    <col min="4863" max="4863" width="70.6640625" style="10" customWidth="1"/>
    <col min="4864" max="4864" width="8.6640625" style="10" customWidth="1"/>
    <col min="4865" max="4866" width="10.6640625" style="10" customWidth="1"/>
    <col min="4867" max="4867" width="10.88671875" style="10" customWidth="1"/>
    <col min="4868" max="4869" width="10.44140625" style="10" customWidth="1"/>
    <col min="4870" max="5117" width="11.44140625" style="10"/>
    <col min="5118" max="5118" width="4.5546875" style="10" customWidth="1"/>
    <col min="5119" max="5119" width="70.6640625" style="10" customWidth="1"/>
    <col min="5120" max="5120" width="8.6640625" style="10" customWidth="1"/>
    <col min="5121" max="5122" width="10.6640625" style="10" customWidth="1"/>
    <col min="5123" max="5123" width="10.88671875" style="10" customWidth="1"/>
    <col min="5124" max="5125" width="10.44140625" style="10" customWidth="1"/>
    <col min="5126" max="5373" width="11.44140625" style="10"/>
    <col min="5374" max="5374" width="4.5546875" style="10" customWidth="1"/>
    <col min="5375" max="5375" width="70.6640625" style="10" customWidth="1"/>
    <col min="5376" max="5376" width="8.6640625" style="10" customWidth="1"/>
    <col min="5377" max="5378" width="10.6640625" style="10" customWidth="1"/>
    <col min="5379" max="5379" width="10.88671875" style="10" customWidth="1"/>
    <col min="5380" max="5381" width="10.44140625" style="10" customWidth="1"/>
    <col min="5382" max="5629" width="11.44140625" style="10"/>
    <col min="5630" max="5630" width="4.5546875" style="10" customWidth="1"/>
    <col min="5631" max="5631" width="70.6640625" style="10" customWidth="1"/>
    <col min="5632" max="5632" width="8.6640625" style="10" customWidth="1"/>
    <col min="5633" max="5634" width="10.6640625" style="10" customWidth="1"/>
    <col min="5635" max="5635" width="10.88671875" style="10" customWidth="1"/>
    <col min="5636" max="5637" width="10.44140625" style="10" customWidth="1"/>
    <col min="5638" max="5885" width="11.44140625" style="10"/>
    <col min="5886" max="5886" width="4.5546875" style="10" customWidth="1"/>
    <col min="5887" max="5887" width="70.6640625" style="10" customWidth="1"/>
    <col min="5888" max="5888" width="8.6640625" style="10" customWidth="1"/>
    <col min="5889" max="5890" width="10.6640625" style="10" customWidth="1"/>
    <col min="5891" max="5891" width="10.88671875" style="10" customWidth="1"/>
    <col min="5892" max="5893" width="10.44140625" style="10" customWidth="1"/>
    <col min="5894" max="6141" width="11.44140625" style="10"/>
    <col min="6142" max="6142" width="4.5546875" style="10" customWidth="1"/>
    <col min="6143" max="6143" width="70.6640625" style="10" customWidth="1"/>
    <col min="6144" max="6144" width="8.6640625" style="10" customWidth="1"/>
    <col min="6145" max="6146" width="10.6640625" style="10" customWidth="1"/>
    <col min="6147" max="6147" width="10.88671875" style="10" customWidth="1"/>
    <col min="6148" max="6149" width="10.44140625" style="10" customWidth="1"/>
    <col min="6150" max="6397" width="11.44140625" style="10"/>
    <col min="6398" max="6398" width="4.5546875" style="10" customWidth="1"/>
    <col min="6399" max="6399" width="70.6640625" style="10" customWidth="1"/>
    <col min="6400" max="6400" width="8.6640625" style="10" customWidth="1"/>
    <col min="6401" max="6402" width="10.6640625" style="10" customWidth="1"/>
    <col min="6403" max="6403" width="10.88671875" style="10" customWidth="1"/>
    <col min="6404" max="6405" width="10.44140625" style="10" customWidth="1"/>
    <col min="6406" max="6653" width="11.44140625" style="10"/>
    <col min="6654" max="6654" width="4.5546875" style="10" customWidth="1"/>
    <col min="6655" max="6655" width="70.6640625" style="10" customWidth="1"/>
    <col min="6656" max="6656" width="8.6640625" style="10" customWidth="1"/>
    <col min="6657" max="6658" width="10.6640625" style="10" customWidth="1"/>
    <col min="6659" max="6659" width="10.88671875" style="10" customWidth="1"/>
    <col min="6660" max="6661" width="10.44140625" style="10" customWidth="1"/>
    <col min="6662" max="6909" width="11.44140625" style="10"/>
    <col min="6910" max="6910" width="4.5546875" style="10" customWidth="1"/>
    <col min="6911" max="6911" width="70.6640625" style="10" customWidth="1"/>
    <col min="6912" max="6912" width="8.6640625" style="10" customWidth="1"/>
    <col min="6913" max="6914" width="10.6640625" style="10" customWidth="1"/>
    <col min="6915" max="6915" width="10.88671875" style="10" customWidth="1"/>
    <col min="6916" max="6917" width="10.44140625" style="10" customWidth="1"/>
    <col min="6918" max="7165" width="11.44140625" style="10"/>
    <col min="7166" max="7166" width="4.5546875" style="10" customWidth="1"/>
    <col min="7167" max="7167" width="70.6640625" style="10" customWidth="1"/>
    <col min="7168" max="7168" width="8.6640625" style="10" customWidth="1"/>
    <col min="7169" max="7170" width="10.6640625" style="10" customWidth="1"/>
    <col min="7171" max="7171" width="10.88671875" style="10" customWidth="1"/>
    <col min="7172" max="7173" width="10.44140625" style="10" customWidth="1"/>
    <col min="7174" max="7421" width="11.44140625" style="10"/>
    <col min="7422" max="7422" width="4.5546875" style="10" customWidth="1"/>
    <col min="7423" max="7423" width="70.6640625" style="10" customWidth="1"/>
    <col min="7424" max="7424" width="8.6640625" style="10" customWidth="1"/>
    <col min="7425" max="7426" width="10.6640625" style="10" customWidth="1"/>
    <col min="7427" max="7427" width="10.88671875" style="10" customWidth="1"/>
    <col min="7428" max="7429" width="10.44140625" style="10" customWidth="1"/>
    <col min="7430" max="7677" width="11.44140625" style="10"/>
    <col min="7678" max="7678" width="4.5546875" style="10" customWidth="1"/>
    <col min="7679" max="7679" width="70.6640625" style="10" customWidth="1"/>
    <col min="7680" max="7680" width="8.6640625" style="10" customWidth="1"/>
    <col min="7681" max="7682" width="10.6640625" style="10" customWidth="1"/>
    <col min="7683" max="7683" width="10.88671875" style="10" customWidth="1"/>
    <col min="7684" max="7685" width="10.44140625" style="10" customWidth="1"/>
    <col min="7686" max="7933" width="11.44140625" style="10"/>
    <col min="7934" max="7934" width="4.5546875" style="10" customWidth="1"/>
    <col min="7935" max="7935" width="70.6640625" style="10" customWidth="1"/>
    <col min="7936" max="7936" width="8.6640625" style="10" customWidth="1"/>
    <col min="7937" max="7938" width="10.6640625" style="10" customWidth="1"/>
    <col min="7939" max="7939" width="10.88671875" style="10" customWidth="1"/>
    <col min="7940" max="7941" width="10.44140625" style="10" customWidth="1"/>
    <col min="7942" max="8189" width="11.44140625" style="10"/>
    <col min="8190" max="8190" width="4.5546875" style="10" customWidth="1"/>
    <col min="8191" max="8191" width="70.6640625" style="10" customWidth="1"/>
    <col min="8192" max="8192" width="8.6640625" style="10" customWidth="1"/>
    <col min="8193" max="8194" width="10.6640625" style="10" customWidth="1"/>
    <col min="8195" max="8195" width="10.88671875" style="10" customWidth="1"/>
    <col min="8196" max="8197" width="10.44140625" style="10" customWidth="1"/>
    <col min="8198" max="8445" width="11.44140625" style="10"/>
    <col min="8446" max="8446" width="4.5546875" style="10" customWidth="1"/>
    <col min="8447" max="8447" width="70.6640625" style="10" customWidth="1"/>
    <col min="8448" max="8448" width="8.6640625" style="10" customWidth="1"/>
    <col min="8449" max="8450" width="10.6640625" style="10" customWidth="1"/>
    <col min="8451" max="8451" width="10.88671875" style="10" customWidth="1"/>
    <col min="8452" max="8453" width="10.44140625" style="10" customWidth="1"/>
    <col min="8454" max="8701" width="11.44140625" style="10"/>
    <col min="8702" max="8702" width="4.5546875" style="10" customWidth="1"/>
    <col min="8703" max="8703" width="70.6640625" style="10" customWidth="1"/>
    <col min="8704" max="8704" width="8.6640625" style="10" customWidth="1"/>
    <col min="8705" max="8706" width="10.6640625" style="10" customWidth="1"/>
    <col min="8707" max="8707" width="10.88671875" style="10" customWidth="1"/>
    <col min="8708" max="8709" width="10.44140625" style="10" customWidth="1"/>
    <col min="8710" max="8957" width="11.44140625" style="10"/>
    <col min="8958" max="8958" width="4.5546875" style="10" customWidth="1"/>
    <col min="8959" max="8959" width="70.6640625" style="10" customWidth="1"/>
    <col min="8960" max="8960" width="8.6640625" style="10" customWidth="1"/>
    <col min="8961" max="8962" width="10.6640625" style="10" customWidth="1"/>
    <col min="8963" max="8963" width="10.88671875" style="10" customWidth="1"/>
    <col min="8964" max="8965" width="10.44140625" style="10" customWidth="1"/>
    <col min="8966" max="9213" width="11.44140625" style="10"/>
    <col min="9214" max="9214" width="4.5546875" style="10" customWidth="1"/>
    <col min="9215" max="9215" width="70.6640625" style="10" customWidth="1"/>
    <col min="9216" max="9216" width="8.6640625" style="10" customWidth="1"/>
    <col min="9217" max="9218" width="10.6640625" style="10" customWidth="1"/>
    <col min="9219" max="9219" width="10.88671875" style="10" customWidth="1"/>
    <col min="9220" max="9221" width="10.44140625" style="10" customWidth="1"/>
    <col min="9222" max="9469" width="11.44140625" style="10"/>
    <col min="9470" max="9470" width="4.5546875" style="10" customWidth="1"/>
    <col min="9471" max="9471" width="70.6640625" style="10" customWidth="1"/>
    <col min="9472" max="9472" width="8.6640625" style="10" customWidth="1"/>
    <col min="9473" max="9474" width="10.6640625" style="10" customWidth="1"/>
    <col min="9475" max="9475" width="10.88671875" style="10" customWidth="1"/>
    <col min="9476" max="9477" width="10.44140625" style="10" customWidth="1"/>
    <col min="9478" max="9725" width="11.44140625" style="10"/>
    <col min="9726" max="9726" width="4.5546875" style="10" customWidth="1"/>
    <col min="9727" max="9727" width="70.6640625" style="10" customWidth="1"/>
    <col min="9728" max="9728" width="8.6640625" style="10" customWidth="1"/>
    <col min="9729" max="9730" width="10.6640625" style="10" customWidth="1"/>
    <col min="9731" max="9731" width="10.88671875" style="10" customWidth="1"/>
    <col min="9732" max="9733" width="10.44140625" style="10" customWidth="1"/>
    <col min="9734" max="9981" width="11.44140625" style="10"/>
    <col min="9982" max="9982" width="4.5546875" style="10" customWidth="1"/>
    <col min="9983" max="9983" width="70.6640625" style="10" customWidth="1"/>
    <col min="9984" max="9984" width="8.6640625" style="10" customWidth="1"/>
    <col min="9985" max="9986" width="10.6640625" style="10" customWidth="1"/>
    <col min="9987" max="9987" width="10.88671875" style="10" customWidth="1"/>
    <col min="9988" max="9989" width="10.44140625" style="10" customWidth="1"/>
    <col min="9990" max="10237" width="11.44140625" style="10"/>
    <col min="10238" max="10238" width="4.5546875" style="10" customWidth="1"/>
    <col min="10239" max="10239" width="70.6640625" style="10" customWidth="1"/>
    <col min="10240" max="10240" width="8.6640625" style="10" customWidth="1"/>
    <col min="10241" max="10242" width="10.6640625" style="10" customWidth="1"/>
    <col min="10243" max="10243" width="10.88671875" style="10" customWidth="1"/>
    <col min="10244" max="10245" width="10.44140625" style="10" customWidth="1"/>
    <col min="10246" max="10493" width="11.44140625" style="10"/>
    <col min="10494" max="10494" width="4.5546875" style="10" customWidth="1"/>
    <col min="10495" max="10495" width="70.6640625" style="10" customWidth="1"/>
    <col min="10496" max="10496" width="8.6640625" style="10" customWidth="1"/>
    <col min="10497" max="10498" width="10.6640625" style="10" customWidth="1"/>
    <col min="10499" max="10499" width="10.88671875" style="10" customWidth="1"/>
    <col min="10500" max="10501" width="10.44140625" style="10" customWidth="1"/>
    <col min="10502" max="10749" width="11.44140625" style="10"/>
    <col min="10750" max="10750" width="4.5546875" style="10" customWidth="1"/>
    <col min="10751" max="10751" width="70.6640625" style="10" customWidth="1"/>
    <col min="10752" max="10752" width="8.6640625" style="10" customWidth="1"/>
    <col min="10753" max="10754" width="10.6640625" style="10" customWidth="1"/>
    <col min="10755" max="10755" width="10.88671875" style="10" customWidth="1"/>
    <col min="10756" max="10757" width="10.44140625" style="10" customWidth="1"/>
    <col min="10758" max="11005" width="11.44140625" style="10"/>
    <col min="11006" max="11006" width="4.5546875" style="10" customWidth="1"/>
    <col min="11007" max="11007" width="70.6640625" style="10" customWidth="1"/>
    <col min="11008" max="11008" width="8.6640625" style="10" customWidth="1"/>
    <col min="11009" max="11010" width="10.6640625" style="10" customWidth="1"/>
    <col min="11011" max="11011" width="10.88671875" style="10" customWidth="1"/>
    <col min="11012" max="11013" width="10.44140625" style="10" customWidth="1"/>
    <col min="11014" max="11261" width="11.44140625" style="10"/>
    <col min="11262" max="11262" width="4.5546875" style="10" customWidth="1"/>
    <col min="11263" max="11263" width="70.6640625" style="10" customWidth="1"/>
    <col min="11264" max="11264" width="8.6640625" style="10" customWidth="1"/>
    <col min="11265" max="11266" width="10.6640625" style="10" customWidth="1"/>
    <col min="11267" max="11267" width="10.88671875" style="10" customWidth="1"/>
    <col min="11268" max="11269" width="10.44140625" style="10" customWidth="1"/>
    <col min="11270" max="11517" width="11.44140625" style="10"/>
    <col min="11518" max="11518" width="4.5546875" style="10" customWidth="1"/>
    <col min="11519" max="11519" width="70.6640625" style="10" customWidth="1"/>
    <col min="11520" max="11520" width="8.6640625" style="10" customWidth="1"/>
    <col min="11521" max="11522" width="10.6640625" style="10" customWidth="1"/>
    <col min="11523" max="11523" width="10.88671875" style="10" customWidth="1"/>
    <col min="11524" max="11525" width="10.44140625" style="10" customWidth="1"/>
    <col min="11526" max="11773" width="11.44140625" style="10"/>
    <col min="11774" max="11774" width="4.5546875" style="10" customWidth="1"/>
    <col min="11775" max="11775" width="70.6640625" style="10" customWidth="1"/>
    <col min="11776" max="11776" width="8.6640625" style="10" customWidth="1"/>
    <col min="11777" max="11778" width="10.6640625" style="10" customWidth="1"/>
    <col min="11779" max="11779" width="10.88671875" style="10" customWidth="1"/>
    <col min="11780" max="11781" width="10.44140625" style="10" customWidth="1"/>
    <col min="11782" max="12029" width="11.44140625" style="10"/>
    <col min="12030" max="12030" width="4.5546875" style="10" customWidth="1"/>
    <col min="12031" max="12031" width="70.6640625" style="10" customWidth="1"/>
    <col min="12032" max="12032" width="8.6640625" style="10" customWidth="1"/>
    <col min="12033" max="12034" width="10.6640625" style="10" customWidth="1"/>
    <col min="12035" max="12035" width="10.88671875" style="10" customWidth="1"/>
    <col min="12036" max="12037" width="10.44140625" style="10" customWidth="1"/>
    <col min="12038" max="12285" width="11.44140625" style="10"/>
    <col min="12286" max="12286" width="4.5546875" style="10" customWidth="1"/>
    <col min="12287" max="12287" width="70.6640625" style="10" customWidth="1"/>
    <col min="12288" max="12288" width="8.6640625" style="10" customWidth="1"/>
    <col min="12289" max="12290" width="10.6640625" style="10" customWidth="1"/>
    <col min="12291" max="12291" width="10.88671875" style="10" customWidth="1"/>
    <col min="12292" max="12293" width="10.44140625" style="10" customWidth="1"/>
    <col min="12294" max="12541" width="11.44140625" style="10"/>
    <col min="12542" max="12542" width="4.5546875" style="10" customWidth="1"/>
    <col min="12543" max="12543" width="70.6640625" style="10" customWidth="1"/>
    <col min="12544" max="12544" width="8.6640625" style="10" customWidth="1"/>
    <col min="12545" max="12546" width="10.6640625" style="10" customWidth="1"/>
    <col min="12547" max="12547" width="10.88671875" style="10" customWidth="1"/>
    <col min="12548" max="12549" width="10.44140625" style="10" customWidth="1"/>
    <col min="12550" max="12797" width="11.44140625" style="10"/>
    <col min="12798" max="12798" width="4.5546875" style="10" customWidth="1"/>
    <col min="12799" max="12799" width="70.6640625" style="10" customWidth="1"/>
    <col min="12800" max="12800" width="8.6640625" style="10" customWidth="1"/>
    <col min="12801" max="12802" width="10.6640625" style="10" customWidth="1"/>
    <col min="12803" max="12803" width="10.88671875" style="10" customWidth="1"/>
    <col min="12804" max="12805" width="10.44140625" style="10" customWidth="1"/>
    <col min="12806" max="13053" width="11.44140625" style="10"/>
    <col min="13054" max="13054" width="4.5546875" style="10" customWidth="1"/>
    <col min="13055" max="13055" width="70.6640625" style="10" customWidth="1"/>
    <col min="13056" max="13056" width="8.6640625" style="10" customWidth="1"/>
    <col min="13057" max="13058" width="10.6640625" style="10" customWidth="1"/>
    <col min="13059" max="13059" width="10.88671875" style="10" customWidth="1"/>
    <col min="13060" max="13061" width="10.44140625" style="10" customWidth="1"/>
    <col min="13062" max="13309" width="11.44140625" style="10"/>
    <col min="13310" max="13310" width="4.5546875" style="10" customWidth="1"/>
    <col min="13311" max="13311" width="70.6640625" style="10" customWidth="1"/>
    <col min="13312" max="13312" width="8.6640625" style="10" customWidth="1"/>
    <col min="13313" max="13314" width="10.6640625" style="10" customWidth="1"/>
    <col min="13315" max="13315" width="10.88671875" style="10" customWidth="1"/>
    <col min="13316" max="13317" width="10.44140625" style="10" customWidth="1"/>
    <col min="13318" max="13565" width="11.44140625" style="10"/>
    <col min="13566" max="13566" width="4.5546875" style="10" customWidth="1"/>
    <col min="13567" max="13567" width="70.6640625" style="10" customWidth="1"/>
    <col min="13568" max="13568" width="8.6640625" style="10" customWidth="1"/>
    <col min="13569" max="13570" width="10.6640625" style="10" customWidth="1"/>
    <col min="13571" max="13571" width="10.88671875" style="10" customWidth="1"/>
    <col min="13572" max="13573" width="10.44140625" style="10" customWidth="1"/>
    <col min="13574" max="13821" width="11.44140625" style="10"/>
    <col min="13822" max="13822" width="4.5546875" style="10" customWidth="1"/>
    <col min="13823" max="13823" width="70.6640625" style="10" customWidth="1"/>
    <col min="13824" max="13824" width="8.6640625" style="10" customWidth="1"/>
    <col min="13825" max="13826" width="10.6640625" style="10" customWidth="1"/>
    <col min="13827" max="13827" width="10.88671875" style="10" customWidth="1"/>
    <col min="13828" max="13829" width="10.44140625" style="10" customWidth="1"/>
    <col min="13830" max="14077" width="11.44140625" style="10"/>
    <col min="14078" max="14078" width="4.5546875" style="10" customWidth="1"/>
    <col min="14079" max="14079" width="70.6640625" style="10" customWidth="1"/>
    <col min="14080" max="14080" width="8.6640625" style="10" customWidth="1"/>
    <col min="14081" max="14082" width="10.6640625" style="10" customWidth="1"/>
    <col min="14083" max="14083" width="10.88671875" style="10" customWidth="1"/>
    <col min="14084" max="14085" width="10.44140625" style="10" customWidth="1"/>
    <col min="14086" max="14333" width="11.44140625" style="10"/>
    <col min="14334" max="14334" width="4.5546875" style="10" customWidth="1"/>
    <col min="14335" max="14335" width="70.6640625" style="10" customWidth="1"/>
    <col min="14336" max="14336" width="8.6640625" style="10" customWidth="1"/>
    <col min="14337" max="14338" width="10.6640625" style="10" customWidth="1"/>
    <col min="14339" max="14339" width="10.88671875" style="10" customWidth="1"/>
    <col min="14340" max="14341" width="10.44140625" style="10" customWidth="1"/>
    <col min="14342" max="14589" width="11.44140625" style="10"/>
    <col min="14590" max="14590" width="4.5546875" style="10" customWidth="1"/>
    <col min="14591" max="14591" width="70.6640625" style="10" customWidth="1"/>
    <col min="14592" max="14592" width="8.6640625" style="10" customWidth="1"/>
    <col min="14593" max="14594" width="10.6640625" style="10" customWidth="1"/>
    <col min="14595" max="14595" width="10.88671875" style="10" customWidth="1"/>
    <col min="14596" max="14597" width="10.44140625" style="10" customWidth="1"/>
    <col min="14598" max="14845" width="11.44140625" style="10"/>
    <col min="14846" max="14846" width="4.5546875" style="10" customWidth="1"/>
    <col min="14847" max="14847" width="70.6640625" style="10" customWidth="1"/>
    <col min="14848" max="14848" width="8.6640625" style="10" customWidth="1"/>
    <col min="14849" max="14850" width="10.6640625" style="10" customWidth="1"/>
    <col min="14851" max="14851" width="10.88671875" style="10" customWidth="1"/>
    <col min="14852" max="14853" width="10.44140625" style="10" customWidth="1"/>
    <col min="14854" max="15101" width="11.44140625" style="10"/>
    <col min="15102" max="15102" width="4.5546875" style="10" customWidth="1"/>
    <col min="15103" max="15103" width="70.6640625" style="10" customWidth="1"/>
    <col min="15104" max="15104" width="8.6640625" style="10" customWidth="1"/>
    <col min="15105" max="15106" width="10.6640625" style="10" customWidth="1"/>
    <col min="15107" max="15107" width="10.88671875" style="10" customWidth="1"/>
    <col min="15108" max="15109" width="10.44140625" style="10" customWidth="1"/>
    <col min="15110" max="15357" width="11.44140625" style="10"/>
    <col min="15358" max="15358" width="4.5546875" style="10" customWidth="1"/>
    <col min="15359" max="15359" width="70.6640625" style="10" customWidth="1"/>
    <col min="15360" max="15360" width="8.6640625" style="10" customWidth="1"/>
    <col min="15361" max="15362" width="10.6640625" style="10" customWidth="1"/>
    <col min="15363" max="15363" width="10.88671875" style="10" customWidth="1"/>
    <col min="15364" max="15365" width="10.44140625" style="10" customWidth="1"/>
    <col min="15366" max="15613" width="11.44140625" style="10"/>
    <col min="15614" max="15614" width="4.5546875" style="10" customWidth="1"/>
    <col min="15615" max="15615" width="70.6640625" style="10" customWidth="1"/>
    <col min="15616" max="15616" width="8.6640625" style="10" customWidth="1"/>
    <col min="15617" max="15618" width="10.6640625" style="10" customWidth="1"/>
    <col min="15619" max="15619" width="10.88671875" style="10" customWidth="1"/>
    <col min="15620" max="15621" width="10.44140625" style="10" customWidth="1"/>
    <col min="15622" max="15869" width="11.44140625" style="10"/>
    <col min="15870" max="15870" width="4.5546875" style="10" customWidth="1"/>
    <col min="15871" max="15871" width="70.6640625" style="10" customWidth="1"/>
    <col min="15872" max="15872" width="8.6640625" style="10" customWidth="1"/>
    <col min="15873" max="15874" width="10.6640625" style="10" customWidth="1"/>
    <col min="15875" max="15875" width="10.88671875" style="10" customWidth="1"/>
    <col min="15876" max="15877" width="10.44140625" style="10" customWidth="1"/>
    <col min="15878" max="16125" width="11.44140625" style="10"/>
    <col min="16126" max="16126" width="4.5546875" style="10" customWidth="1"/>
    <col min="16127" max="16127" width="70.6640625" style="10" customWidth="1"/>
    <col min="16128" max="16128" width="8.6640625" style="10" customWidth="1"/>
    <col min="16129" max="16130" width="10.6640625" style="10" customWidth="1"/>
    <col min="16131" max="16131" width="10.88671875" style="10" customWidth="1"/>
    <col min="16132" max="16133" width="10.44140625" style="10" customWidth="1"/>
    <col min="16134" max="16384" width="11.44140625" style="10"/>
  </cols>
  <sheetData>
    <row r="1" spans="1:15" ht="16.8" thickBot="1">
      <c r="A1" s="5009" t="str">
        <f>+'1. Обща информация'!B40</f>
        <v>Фиксиран курс на лева към 1 евро</v>
      </c>
      <c r="B1" s="5009"/>
      <c r="C1" s="5010">
        <f>+'1. Обща информация'!$C$40</f>
        <v>1.95583</v>
      </c>
      <c r="D1" s="5010"/>
      <c r="G1" s="3266"/>
      <c r="H1" s="3182" t="str">
        <f>'18. OK'!H1</f>
        <v>Приложение № 6</v>
      </c>
    </row>
    <row r="2" spans="1:15" s="4" customFormat="1" ht="14.25" customHeight="1">
      <c r="A2" s="5576" t="s">
        <v>1491</v>
      </c>
      <c r="B2" s="5576"/>
      <c r="C2" s="5576"/>
      <c r="D2" s="5576"/>
      <c r="E2" s="5576"/>
      <c r="F2" s="5576"/>
      <c r="G2" s="5576"/>
      <c r="H2" s="5576"/>
    </row>
    <row r="3" spans="1:15" s="9" customFormat="1" ht="17.399999999999999">
      <c r="A3" s="5577" t="s">
        <v>1013</v>
      </c>
      <c r="B3" s="5577"/>
      <c r="C3" s="5577"/>
      <c r="D3" s="5577"/>
      <c r="E3" s="5577"/>
      <c r="F3" s="5577"/>
      <c r="G3" s="5577"/>
      <c r="H3" s="5577"/>
    </row>
    <row r="4" spans="1:15" ht="14.25" customHeight="1">
      <c r="A4" s="5573" t="str">
        <f>'1. Обща информация'!A4:D4</f>
        <v>на "В И К" АД, гр. Ловеч</v>
      </c>
      <c r="B4" s="5573"/>
      <c r="C4" s="5573"/>
      <c r="D4" s="5573"/>
      <c r="E4" s="5573"/>
      <c r="F4" s="5573"/>
      <c r="G4" s="5573"/>
      <c r="H4" s="5573"/>
    </row>
    <row r="5" spans="1:15" ht="19.5" customHeight="1">
      <c r="A5" s="5573" t="str">
        <f>'1. Обща информация'!A5:D5</f>
        <v>ЕИК по БУЛСТАТ: 110549443</v>
      </c>
      <c r="B5" s="5573"/>
      <c r="C5" s="5573"/>
      <c r="D5" s="5573"/>
      <c r="E5" s="5573"/>
      <c r="F5" s="5573"/>
      <c r="G5" s="5573"/>
      <c r="H5" s="5573"/>
    </row>
    <row r="6" spans="1:15" s="12" customFormat="1" ht="15.75" customHeight="1">
      <c r="A6" s="10"/>
      <c r="B6" s="10"/>
      <c r="C6" s="10"/>
      <c r="D6" s="719"/>
      <c r="E6" s="719"/>
      <c r="F6" s="719"/>
    </row>
    <row r="7" spans="1:15" s="12" customFormat="1" ht="15.75" customHeight="1" thickBot="1">
      <c r="A7" s="10"/>
      <c r="B7" s="10"/>
      <c r="C7" s="10"/>
      <c r="D7" s="719"/>
      <c r="E7" s="719"/>
      <c r="F7" s="719"/>
    </row>
    <row r="8" spans="1:15" s="12" customFormat="1" ht="15.75" customHeight="1" thickBot="1">
      <c r="A8" s="1383"/>
      <c r="B8" s="1379" t="s">
        <v>1388</v>
      </c>
      <c r="C8" s="5578" t="s">
        <v>1391</v>
      </c>
      <c r="D8" s="5579"/>
      <c r="E8" s="5580"/>
      <c r="F8" s="11"/>
    </row>
    <row r="9" spans="1:15" s="12" customFormat="1" ht="15.75" customHeight="1" thickBot="1">
      <c r="A9" s="10"/>
      <c r="B9" s="10"/>
      <c r="C9" s="10"/>
      <c r="D9" s="719"/>
      <c r="E9" s="719"/>
      <c r="F9" s="719"/>
    </row>
    <row r="10" spans="1:15" s="12" customFormat="1" ht="26.25" customHeight="1" thickBot="1">
      <c r="A10" s="264" t="s">
        <v>1</v>
      </c>
      <c r="B10" s="265" t="s">
        <v>87</v>
      </c>
      <c r="C10" s="266" t="s">
        <v>166</v>
      </c>
      <c r="D10" s="1333" t="str">
        <f>'Приложение '!$C14</f>
        <v>2027 г.</v>
      </c>
      <c r="E10" s="1333" t="str">
        <f>'Приложение '!$C15</f>
        <v>2028 г.</v>
      </c>
      <c r="F10" s="1333" t="str">
        <f>'Приложение '!$C16</f>
        <v>2029 г.</v>
      </c>
      <c r="G10" s="1333" t="str">
        <f>'Приложение '!$C17</f>
        <v>2030 г.</v>
      </c>
      <c r="H10" s="1334" t="str">
        <f>'Приложение '!$C18</f>
        <v>2031 г.</v>
      </c>
      <c r="I10" s="4488"/>
      <c r="J10" s="4570" t="s">
        <v>166</v>
      </c>
      <c r="K10" s="4571" t="str">
        <f>'Приложение '!$C14</f>
        <v>2027 г.</v>
      </c>
      <c r="L10" s="4571" t="str">
        <f>'Приложение '!$C15</f>
        <v>2028 г.</v>
      </c>
      <c r="M10" s="4571" t="str">
        <f>'Приложение '!$C16</f>
        <v>2029 г.</v>
      </c>
      <c r="N10" s="4571" t="str">
        <f>'Приложение '!$C17</f>
        <v>2030 г.</v>
      </c>
      <c r="O10" s="4571" t="str">
        <f>'Приложение '!$C18</f>
        <v>2031 г.</v>
      </c>
    </row>
    <row r="11" spans="1:15" s="12" customFormat="1" ht="16.5" customHeight="1">
      <c r="A11" s="124">
        <v>1</v>
      </c>
      <c r="B11" s="114" t="s">
        <v>324</v>
      </c>
      <c r="C11" s="115" t="s">
        <v>170</v>
      </c>
      <c r="D11" s="116">
        <v>0.1</v>
      </c>
      <c r="E11" s="116">
        <v>0.1</v>
      </c>
      <c r="F11" s="116">
        <v>0.1</v>
      </c>
      <c r="G11" s="116">
        <v>0.1</v>
      </c>
      <c r="H11" s="117">
        <v>0.1</v>
      </c>
      <c r="I11" s="4488"/>
    </row>
    <row r="12" spans="1:15" s="12" customFormat="1" ht="17.25" customHeight="1">
      <c r="A12" s="124">
        <v>2</v>
      </c>
      <c r="B12" s="114" t="s">
        <v>923</v>
      </c>
      <c r="C12" s="115" t="s">
        <v>170</v>
      </c>
      <c r="D12" s="1387">
        <f>SUMIF(B34:B37,C8,C34:C37)</f>
        <v>0.10929999999999999</v>
      </c>
      <c r="E12" s="3365">
        <f>+D12</f>
        <v>0.10929999999999999</v>
      </c>
      <c r="F12" s="3365">
        <f t="shared" ref="F12:H13" si="0">+E12</f>
        <v>0.10929999999999999</v>
      </c>
      <c r="G12" s="3365">
        <f t="shared" si="0"/>
        <v>0.10929999999999999</v>
      </c>
      <c r="H12" s="3366">
        <f t="shared" si="0"/>
        <v>0.10929999999999999</v>
      </c>
      <c r="I12" s="4488"/>
    </row>
    <row r="13" spans="1:15" s="12" customFormat="1" ht="13.2">
      <c r="A13" s="124">
        <v>3</v>
      </c>
      <c r="B13" s="114" t="s">
        <v>1393</v>
      </c>
      <c r="C13" s="115" t="s">
        <v>170</v>
      </c>
      <c r="D13" s="1387">
        <f>SUMIF(B34:B37,C8,D34:D37)</f>
        <v>4.2599999999999999E-2</v>
      </c>
      <c r="E13" s="3365">
        <f>+D13</f>
        <v>4.2599999999999999E-2</v>
      </c>
      <c r="F13" s="3365">
        <f t="shared" si="0"/>
        <v>4.2599999999999999E-2</v>
      </c>
      <c r="G13" s="3365">
        <f t="shared" si="0"/>
        <v>4.2599999999999999E-2</v>
      </c>
      <c r="H13" s="3366">
        <f t="shared" si="0"/>
        <v>4.2599999999999999E-2</v>
      </c>
      <c r="I13" s="4488"/>
    </row>
    <row r="14" spans="1:15" s="12" customFormat="1" ht="14.25" customHeight="1">
      <c r="A14" s="124">
        <v>4</v>
      </c>
      <c r="B14" s="114" t="s">
        <v>325</v>
      </c>
      <c r="C14" s="115" t="s">
        <v>170</v>
      </c>
      <c r="D14" s="116">
        <v>0.5</v>
      </c>
      <c r="E14" s="3365">
        <f t="shared" ref="E14:E15" si="1">+D14</f>
        <v>0.5</v>
      </c>
      <c r="F14" s="3365">
        <f t="shared" ref="F14:F15" si="2">+E14</f>
        <v>0.5</v>
      </c>
      <c r="G14" s="3365">
        <f t="shared" ref="G14:G15" si="3">+F14</f>
        <v>0.5</v>
      </c>
      <c r="H14" s="3366">
        <f t="shared" ref="H14:H15" si="4">+G14</f>
        <v>0.5</v>
      </c>
      <c r="I14" s="4488"/>
    </row>
    <row r="15" spans="1:15" s="12" customFormat="1" ht="14.25" customHeight="1">
      <c r="A15" s="124">
        <v>5</v>
      </c>
      <c r="B15" s="114" t="s">
        <v>326</v>
      </c>
      <c r="C15" s="115" t="s">
        <v>170</v>
      </c>
      <c r="D15" s="116">
        <v>0.5</v>
      </c>
      <c r="E15" s="3365">
        <f t="shared" si="1"/>
        <v>0.5</v>
      </c>
      <c r="F15" s="3365">
        <f t="shared" si="2"/>
        <v>0.5</v>
      </c>
      <c r="G15" s="3365">
        <f t="shared" si="3"/>
        <v>0.5</v>
      </c>
      <c r="H15" s="3366">
        <f t="shared" si="4"/>
        <v>0.5</v>
      </c>
      <c r="I15" s="4488"/>
    </row>
    <row r="16" spans="1:15" s="12" customFormat="1" ht="21" customHeight="1" thickBot="1">
      <c r="A16" s="125">
        <v>6</v>
      </c>
      <c r="B16" s="118" t="s">
        <v>694</v>
      </c>
      <c r="C16" s="119" t="s">
        <v>170</v>
      </c>
      <c r="D16" s="1388">
        <f>D13*D15+D12*D14*(D11/(1-D11)+1)</f>
        <v>8.2022222222222219E-2</v>
      </c>
      <c r="E16" s="1388">
        <f t="shared" ref="E16:H16" si="5">E13*E15+E12*E14*(E11/(1-E11)+1)</f>
        <v>8.2022222222222219E-2</v>
      </c>
      <c r="F16" s="1388">
        <f t="shared" si="5"/>
        <v>8.2022222222222219E-2</v>
      </c>
      <c r="G16" s="1388">
        <f t="shared" si="5"/>
        <v>8.2022222222222219E-2</v>
      </c>
      <c r="H16" s="1389">
        <f t="shared" si="5"/>
        <v>8.2022222222222219E-2</v>
      </c>
      <c r="I16" s="4488"/>
    </row>
    <row r="17" spans="1:15" s="12" customFormat="1" ht="13.5" customHeight="1" thickBot="1">
      <c r="A17" s="1259" t="s">
        <v>268</v>
      </c>
      <c r="B17" s="1260" t="s">
        <v>1339</v>
      </c>
      <c r="C17" s="1261" t="s">
        <v>323</v>
      </c>
      <c r="D17" s="120">
        <f>'17. РБА'!C21*'19. HB'!D16</f>
        <v>822.50462657273886</v>
      </c>
      <c r="E17" s="120">
        <f>'17. РБА'!D21*'19. HB'!E16</f>
        <v>847.29701930722865</v>
      </c>
      <c r="F17" s="120">
        <f>'17. РБА'!E21*'19. HB'!F16</f>
        <v>878.56700871573537</v>
      </c>
      <c r="G17" s="120">
        <f>'17. РБА'!F21*'19. HB'!G16</f>
        <v>915.25941612160079</v>
      </c>
      <c r="H17" s="121">
        <f>'17. РБА'!G21*'19. HB'!H16</f>
        <v>950.46216204664552</v>
      </c>
      <c r="I17" s="4488"/>
      <c r="J17" s="4543" t="s">
        <v>1894</v>
      </c>
      <c r="K17" s="4493">
        <f>IFERROR(D17/$C$1,0)</f>
        <v>420.53993781296884</v>
      </c>
      <c r="L17" s="4493">
        <f t="shared" ref="L17:O17" si="6">IFERROR(E17/$C$1,0)</f>
        <v>433.21608693354159</v>
      </c>
      <c r="M17" s="4493">
        <f t="shared" si="6"/>
        <v>449.20417864320285</v>
      </c>
      <c r="N17" s="4493">
        <f t="shared" si="6"/>
        <v>467.96470865136581</v>
      </c>
      <c r="O17" s="4493">
        <f t="shared" si="6"/>
        <v>485.96358683865446</v>
      </c>
    </row>
    <row r="18" spans="1:15" ht="13.5" customHeight="1" thickBot="1">
      <c r="A18" s="1259" t="s">
        <v>270</v>
      </c>
      <c r="B18" s="1260" t="s">
        <v>1398</v>
      </c>
      <c r="C18" s="1261" t="s">
        <v>323</v>
      </c>
      <c r="D18" s="120">
        <f>'17. РБА'!C35*'19. HB'!D16</f>
        <v>49.728173437725701</v>
      </c>
      <c r="E18" s="120">
        <f>'17. РБА'!D35*'19. HB'!E16</f>
        <v>53.417867180109241</v>
      </c>
      <c r="F18" s="120">
        <f>'17. РБА'!E35*'19. HB'!F16</f>
        <v>57.701856138119368</v>
      </c>
      <c r="G18" s="120">
        <f>'17. РБА'!F35*'19. HB'!G16</f>
        <v>61.997230947835945</v>
      </c>
      <c r="H18" s="121">
        <f>'17. РБА'!G35*'19. HB'!H16</f>
        <v>65.958329378679238</v>
      </c>
      <c r="I18" s="4488"/>
      <c r="J18" s="4543" t="s">
        <v>1894</v>
      </c>
      <c r="K18" s="4493">
        <f t="shared" ref="K18:K22" si="7">IFERROR(D18/$C$1,0)</f>
        <v>25.425611345426596</v>
      </c>
      <c r="L18" s="4493">
        <f t="shared" ref="L18:L22" si="8">IFERROR(E18/$C$1,0)</f>
        <v>27.312121800007795</v>
      </c>
      <c r="M18" s="4493">
        <f t="shared" ref="M18:M22" si="9">IFERROR(F18/$C$1,0)</f>
        <v>29.502490573372619</v>
      </c>
      <c r="N18" s="4493">
        <f t="shared" ref="N18:N22" si="10">IFERROR(G18/$C$1,0)</f>
        <v>31.698680840275458</v>
      </c>
      <c r="O18" s="4493">
        <f t="shared" ref="O18:O22" si="11">IFERROR(H18/$C$1,0)</f>
        <v>33.723958308584713</v>
      </c>
    </row>
    <row r="19" spans="1:15" ht="13.5" customHeight="1" thickBot="1">
      <c r="A19" s="1259" t="s">
        <v>272</v>
      </c>
      <c r="B19" s="1260" t="s">
        <v>1399</v>
      </c>
      <c r="C19" s="1261" t="s">
        <v>323</v>
      </c>
      <c r="D19" s="120">
        <f>'17. РБА'!C49*'19. HB'!D16</f>
        <v>99.555435825961126</v>
      </c>
      <c r="E19" s="120">
        <f>'17. РБА'!D49*'19. HB'!E16</f>
        <v>104.51455400917877</v>
      </c>
      <c r="F19" s="120">
        <f>'17. РБА'!E49*'19. HB'!F16</f>
        <v>110.63019401131756</v>
      </c>
      <c r="G19" s="120">
        <f>'17. РБА'!F49*'19. HB'!G16</f>
        <v>117.42709178797882</v>
      </c>
      <c r="H19" s="121">
        <f>'17. РБА'!G49*'19. HB'!H16</f>
        <v>124.38766838291994</v>
      </c>
      <c r="I19" s="4488"/>
      <c r="J19" s="4543" t="s">
        <v>1894</v>
      </c>
      <c r="K19" s="4493">
        <f t="shared" si="7"/>
        <v>50.901886066765073</v>
      </c>
      <c r="L19" s="4493">
        <f t="shared" si="8"/>
        <v>53.43744293173679</v>
      </c>
      <c r="M19" s="4493">
        <f t="shared" si="9"/>
        <v>56.564320013149178</v>
      </c>
      <c r="N19" s="4493">
        <f t="shared" si="10"/>
        <v>60.039518663676716</v>
      </c>
      <c r="O19" s="4493">
        <f t="shared" si="11"/>
        <v>63.598404965114526</v>
      </c>
    </row>
    <row r="20" spans="1:15" ht="13.5" customHeight="1" thickBot="1">
      <c r="A20" s="1259" t="s">
        <v>274</v>
      </c>
      <c r="B20" s="1260" t="s">
        <v>1237</v>
      </c>
      <c r="C20" s="1261" t="s">
        <v>323</v>
      </c>
      <c r="D20" s="1262">
        <f>'17. РБА'!C63*'19. HB'!D16</f>
        <v>0</v>
      </c>
      <c r="E20" s="1262">
        <f>'17. РБА'!D63*'19. HB'!E16</f>
        <v>0</v>
      </c>
      <c r="F20" s="1262">
        <f>'17. РБА'!E63*'19. HB'!F16</f>
        <v>0</v>
      </c>
      <c r="G20" s="1262">
        <f>'17. РБА'!F63*'19. HB'!G16</f>
        <v>0</v>
      </c>
      <c r="H20" s="4009">
        <f>'17. РБА'!G63*'19. HB'!H16</f>
        <v>0</v>
      </c>
      <c r="I20" s="4488"/>
      <c r="J20" s="4543" t="s">
        <v>1894</v>
      </c>
      <c r="K20" s="4493">
        <f t="shared" si="7"/>
        <v>0</v>
      </c>
      <c r="L20" s="4493">
        <f t="shared" si="8"/>
        <v>0</v>
      </c>
      <c r="M20" s="4493">
        <f t="shared" si="9"/>
        <v>0</v>
      </c>
      <c r="N20" s="4493">
        <f t="shared" si="10"/>
        <v>0</v>
      </c>
      <c r="O20" s="4493">
        <f t="shared" si="11"/>
        <v>0</v>
      </c>
    </row>
    <row r="21" spans="1:15" ht="13.5" customHeight="1" thickBot="1">
      <c r="A21" s="1259" t="s">
        <v>276</v>
      </c>
      <c r="B21" s="1260" t="s">
        <v>1238</v>
      </c>
      <c r="C21" s="1261" t="s">
        <v>323</v>
      </c>
      <c r="D21" s="1262">
        <f>'17. РБА'!C77*'19. HB'!D16</f>
        <v>89.253076951278388</v>
      </c>
      <c r="E21" s="1262">
        <f>'17. РБА'!D77*'19. HB'!E16</f>
        <v>99.43088557769623</v>
      </c>
      <c r="F21" s="1262">
        <f>'17. РБА'!E77*'19. HB'!F16</f>
        <v>108.767419078399</v>
      </c>
      <c r="G21" s="1262">
        <f>'17. РБА'!F77*'19. HB'!G16</f>
        <v>119.98757915504642</v>
      </c>
      <c r="H21" s="4009">
        <f>'17. РБА'!G77*'19. HB'!H16</f>
        <v>131.06915050662528</v>
      </c>
      <c r="I21" s="4488"/>
      <c r="J21" s="4543" t="s">
        <v>1894</v>
      </c>
      <c r="K21" s="4493">
        <f t="shared" si="7"/>
        <v>45.634373616969974</v>
      </c>
      <c r="L21" s="4493">
        <f t="shared" si="8"/>
        <v>50.838204536026254</v>
      </c>
      <c r="M21" s="4493">
        <f t="shared" si="9"/>
        <v>55.611898313452095</v>
      </c>
      <c r="N21" s="4493">
        <f t="shared" si="10"/>
        <v>61.348675066363853</v>
      </c>
      <c r="O21" s="4493">
        <f t="shared" si="11"/>
        <v>67.014592529322726</v>
      </c>
    </row>
    <row r="22" spans="1:15" ht="13.5" customHeight="1" thickBot="1">
      <c r="A22" s="1263">
        <v>7</v>
      </c>
      <c r="B22" s="1264" t="s">
        <v>327</v>
      </c>
      <c r="C22" s="1265" t="s">
        <v>323</v>
      </c>
      <c r="D22" s="1266">
        <f>SUM(D17:D21)</f>
        <v>1061.0413127877041</v>
      </c>
      <c r="E22" s="1266">
        <f t="shared" ref="E22:H22" si="12">SUM(E17:E21)</f>
        <v>1104.6603260742129</v>
      </c>
      <c r="F22" s="1266">
        <f t="shared" si="12"/>
        <v>1155.6664779435712</v>
      </c>
      <c r="G22" s="1266">
        <f t="shared" si="12"/>
        <v>1214.6713180124621</v>
      </c>
      <c r="H22" s="4010">
        <f t="shared" si="12"/>
        <v>1271.8773103148699</v>
      </c>
      <c r="I22" s="4488"/>
      <c r="J22" s="4544" t="s">
        <v>1894</v>
      </c>
      <c r="K22" s="4537">
        <f t="shared" si="7"/>
        <v>542.50180884213046</v>
      </c>
      <c r="L22" s="4537">
        <f t="shared" si="8"/>
        <v>564.80385620131244</v>
      </c>
      <c r="M22" s="4537">
        <f t="shared" si="9"/>
        <v>590.88288754317671</v>
      </c>
      <c r="N22" s="4537">
        <f t="shared" si="10"/>
        <v>621.05158322168188</v>
      </c>
      <c r="O22" s="4537">
        <f t="shared" si="11"/>
        <v>650.30054264167643</v>
      </c>
    </row>
    <row r="23" spans="1:15" ht="13.2">
      <c r="B23" s="13"/>
      <c r="C23" s="14"/>
    </row>
    <row r="24" spans="1:15" s="1326" customFormat="1" ht="13.8">
      <c r="A24" s="5"/>
      <c r="B24" s="10"/>
      <c r="C24" s="10"/>
      <c r="D24" s="10"/>
      <c r="E24" s="7"/>
      <c r="F24" s="7"/>
      <c r="G24" s="7"/>
      <c r="H24" s="7"/>
      <c r="I24" s="7"/>
    </row>
    <row r="25" spans="1:15" s="1326" customFormat="1" ht="13.8">
      <c r="A25" s="3481" t="str">
        <f>'Приложение '!B82</f>
        <v>Дата: 16.03.2026</v>
      </c>
      <c r="D25" s="1327"/>
      <c r="E25" s="7"/>
      <c r="F25" s="7"/>
      <c r="G25" s="7"/>
      <c r="H25" s="7"/>
    </row>
    <row r="26" spans="1:15" s="1326" customFormat="1" ht="13.8">
      <c r="D26" s="1327"/>
      <c r="E26" s="7"/>
      <c r="F26" s="7"/>
      <c r="G26" s="7"/>
      <c r="H26" s="7"/>
    </row>
    <row r="27" spans="1:15" s="1326" customFormat="1" ht="13.8">
      <c r="D27" s="1327"/>
      <c r="E27" s="7"/>
      <c r="F27" s="7"/>
      <c r="G27" s="7"/>
      <c r="H27" s="7"/>
    </row>
    <row r="28" spans="1:15" s="1326" customFormat="1" ht="12.75" customHeight="1">
      <c r="A28" s="5581" t="s">
        <v>187</v>
      </c>
      <c r="B28" s="5581"/>
      <c r="C28" s="2521"/>
      <c r="D28" s="2521"/>
      <c r="E28" s="7"/>
      <c r="F28" s="7"/>
      <c r="G28" s="7"/>
      <c r="H28" s="7"/>
    </row>
    <row r="29" spans="1:15" s="1326" customFormat="1" ht="13.5" customHeight="1">
      <c r="A29" s="5350" t="s">
        <v>1765</v>
      </c>
      <c r="B29" s="5350"/>
      <c r="C29" s="5350"/>
      <c r="D29" s="5350"/>
      <c r="E29" s="5350"/>
      <c r="F29" s="5350"/>
      <c r="G29" s="7"/>
      <c r="H29" s="7"/>
    </row>
    <row r="30" spans="1:15" s="1326" customFormat="1" ht="14.4" hidden="1" thickBot="1">
      <c r="A30" s="5216"/>
      <c r="B30" s="5216"/>
      <c r="C30" s="5216"/>
      <c r="D30" s="32"/>
      <c r="E30" s="690"/>
      <c r="F30" s="691"/>
      <c r="G30" s="7"/>
      <c r="H30" s="7"/>
    </row>
    <row r="31" spans="1:15" s="1326" customFormat="1" ht="14.4" hidden="1" thickBot="1">
      <c r="A31" s="5575"/>
      <c r="B31" s="5575"/>
      <c r="C31" s="5575"/>
      <c r="D31" s="32"/>
      <c r="E31" s="690"/>
      <c r="F31" s="691"/>
      <c r="G31" s="7"/>
      <c r="H31" s="7"/>
    </row>
    <row r="32" spans="1:15" s="1326" customFormat="1" ht="14.4" thickBot="1">
      <c r="A32" s="3021"/>
      <c r="B32" s="3021"/>
      <c r="C32" s="3021"/>
      <c r="D32" s="32"/>
      <c r="E32" s="690"/>
      <c r="F32" s="7"/>
      <c r="G32" s="7"/>
      <c r="H32" s="7"/>
    </row>
    <row r="33" spans="1:8" s="1326" customFormat="1" ht="13.8">
      <c r="A33" s="3349" t="s">
        <v>1</v>
      </c>
      <c r="B33" s="1384" t="s">
        <v>1394</v>
      </c>
      <c r="C33" s="1385" t="s">
        <v>1395</v>
      </c>
      <c r="D33" s="1386" t="s">
        <v>1396</v>
      </c>
      <c r="E33" s="7"/>
      <c r="F33" s="7"/>
      <c r="G33" s="7"/>
      <c r="H33" s="7"/>
    </row>
    <row r="34" spans="1:8" s="1326" customFormat="1" ht="13.8">
      <c r="A34" s="3350">
        <v>1</v>
      </c>
      <c r="B34" s="1381" t="s">
        <v>1390</v>
      </c>
      <c r="C34" s="3970">
        <v>0.1057</v>
      </c>
      <c r="D34" s="3971">
        <v>3.9399999999999998E-2</v>
      </c>
      <c r="E34" s="7"/>
      <c r="F34" s="1327"/>
      <c r="G34" s="7"/>
      <c r="H34" s="7"/>
    </row>
    <row r="35" spans="1:8" s="1326" customFormat="1" ht="13.8">
      <c r="A35" s="3350">
        <v>2</v>
      </c>
      <c r="B35" s="1381" t="s">
        <v>1391</v>
      </c>
      <c r="C35" s="3970">
        <v>0.10929999999999999</v>
      </c>
      <c r="D35" s="3971">
        <v>4.2599999999999999E-2</v>
      </c>
      <c r="E35" s="7"/>
      <c r="F35" s="1327"/>
      <c r="G35" s="10"/>
      <c r="H35" s="10"/>
    </row>
    <row r="36" spans="1:8" ht="13.8">
      <c r="A36" s="1392">
        <v>3</v>
      </c>
      <c r="B36" s="1381" t="s">
        <v>1389</v>
      </c>
      <c r="C36" s="3970">
        <v>0.1158</v>
      </c>
      <c r="D36" s="3971">
        <v>4.8399999999999999E-2</v>
      </c>
      <c r="E36" s="7"/>
    </row>
    <row r="37" spans="1:8" ht="14.4" thickBot="1">
      <c r="A37" s="1393">
        <v>4</v>
      </c>
      <c r="B37" s="1382" t="s">
        <v>1392</v>
      </c>
      <c r="C37" s="3972">
        <v>0.1166</v>
      </c>
      <c r="D37" s="3973">
        <v>4.9099999999999998E-2</v>
      </c>
      <c r="E37" s="7"/>
    </row>
    <row r="38" spans="1:8" ht="12.75" customHeight="1">
      <c r="B38" s="284"/>
    </row>
    <row r="39" spans="1:8" ht="12.75" customHeight="1">
      <c r="B39" s="284"/>
    </row>
    <row r="40" spans="1:8">
      <c r="B40" s="284"/>
    </row>
    <row r="41" spans="1:8" ht="54" customHeight="1">
      <c r="A41" s="5527"/>
      <c r="B41" s="5527"/>
      <c r="C41" s="5527"/>
    </row>
    <row r="42" spans="1:8">
      <c r="B42" s="284"/>
    </row>
    <row r="43" spans="1:8">
      <c r="B43" s="284"/>
    </row>
    <row r="44" spans="1:8">
      <c r="B44" s="284"/>
    </row>
    <row r="45" spans="1:8">
      <c r="B45" s="284"/>
    </row>
  </sheetData>
  <sheetProtection algorithmName="SHA-512" hashValue="Ari4rVetavzHv2P7mf3VI1amMRTqCpi2gy2v1DaCnWS4jCdt5b9yqvBOjGFfrz1DRAN35Rg5NsU8yFrHs5hWAQ==" saltValue="2x1Zhy7GcxWTE0iq/G3bWQ==" spinCount="100000" sheet="1" formatCells="0" formatColumns="0" formatRows="0"/>
  <mergeCells count="12">
    <mergeCell ref="A1:B1"/>
    <mergeCell ref="C1:D1"/>
    <mergeCell ref="A41:C41"/>
    <mergeCell ref="A30:C30"/>
    <mergeCell ref="A31:C31"/>
    <mergeCell ref="A2:H2"/>
    <mergeCell ref="A3:H3"/>
    <mergeCell ref="A4:H4"/>
    <mergeCell ref="A5:H5"/>
    <mergeCell ref="C8:E8"/>
    <mergeCell ref="A29:F29"/>
    <mergeCell ref="A28:B28"/>
  </mergeCells>
  <dataValidations count="1">
    <dataValidation type="list" allowBlank="1" showInputMessage="1" showErrorMessage="1" sqref="C8:E8" xr:uid="{00000000-0002-0000-1A00-000000000000}">
      <formula1>$B$34:$B$37</formula1>
    </dataValidation>
  </dataValidations>
  <printOptions horizontalCentered="1" verticalCentered="1"/>
  <pageMargins left="0" right="0" top="0.59055118110236227" bottom="0.19685039370078741" header="0.51181102362204722" footer="0.11811023622047245"/>
  <pageSetup paperSize="9" orientation="landscape" r:id="rId1"/>
  <headerFooter alignWithMargins="0">
    <oddFooter>&amp;C&amp;A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5">
    <tabColor rgb="FF0070C0"/>
  </sheetPr>
  <dimension ref="A1:N30"/>
  <sheetViews>
    <sheetView showGridLines="0" view="pageBreakPreview" topLeftCell="A5" zoomScale="90" zoomScaleNormal="90" zoomScaleSheetLayoutView="90" workbookViewId="0">
      <selection activeCell="A5" sqref="A1:XFD1048576"/>
    </sheetView>
  </sheetViews>
  <sheetFormatPr defaultRowHeight="13.2"/>
  <cols>
    <col min="1" max="1" width="5.5546875" style="1" customWidth="1"/>
    <col min="2" max="2" width="38.109375" style="1" customWidth="1"/>
    <col min="3" max="3" width="9.88671875" style="1" customWidth="1"/>
    <col min="4" max="8" width="7.6640625" style="1" customWidth="1"/>
    <col min="9" max="9" width="9" style="1" bestFit="1" customWidth="1"/>
    <col min="10" max="10" width="10.109375" style="1" customWidth="1"/>
    <col min="11" max="258" width="8.6640625" style="1"/>
    <col min="259" max="259" width="6.44140625" style="1" customWidth="1"/>
    <col min="260" max="260" width="51.88671875" style="1" customWidth="1"/>
    <col min="261" max="261" width="9.6640625" style="1" customWidth="1"/>
    <col min="262" max="264" width="13.6640625" style="1" customWidth="1"/>
    <col min="265" max="265" width="8.33203125" style="1" customWidth="1"/>
    <col min="266" max="266" width="11" style="1" customWidth="1"/>
    <col min="267" max="514" width="8.6640625" style="1"/>
    <col min="515" max="515" width="6.44140625" style="1" customWidth="1"/>
    <col min="516" max="516" width="51.88671875" style="1" customWidth="1"/>
    <col min="517" max="517" width="9.6640625" style="1" customWidth="1"/>
    <col min="518" max="520" width="13.6640625" style="1" customWidth="1"/>
    <col min="521" max="521" width="8.33203125" style="1" customWidth="1"/>
    <col min="522" max="522" width="11" style="1" customWidth="1"/>
    <col min="523" max="770" width="8.6640625" style="1"/>
    <col min="771" max="771" width="6.44140625" style="1" customWidth="1"/>
    <col min="772" max="772" width="51.88671875" style="1" customWidth="1"/>
    <col min="773" max="773" width="9.6640625" style="1" customWidth="1"/>
    <col min="774" max="776" width="13.6640625" style="1" customWidth="1"/>
    <col min="777" max="777" width="8.33203125" style="1" customWidth="1"/>
    <col min="778" max="778" width="11" style="1" customWidth="1"/>
    <col min="779" max="1026" width="8.6640625" style="1"/>
    <col min="1027" max="1027" width="6.44140625" style="1" customWidth="1"/>
    <col min="1028" max="1028" width="51.88671875" style="1" customWidth="1"/>
    <col min="1029" max="1029" width="9.6640625" style="1" customWidth="1"/>
    <col min="1030" max="1032" width="13.6640625" style="1" customWidth="1"/>
    <col min="1033" max="1033" width="8.33203125" style="1" customWidth="1"/>
    <col min="1034" max="1034" width="11" style="1" customWidth="1"/>
    <col min="1035" max="1282" width="8.6640625" style="1"/>
    <col min="1283" max="1283" width="6.44140625" style="1" customWidth="1"/>
    <col min="1284" max="1284" width="51.88671875" style="1" customWidth="1"/>
    <col min="1285" max="1285" width="9.6640625" style="1" customWidth="1"/>
    <col min="1286" max="1288" width="13.6640625" style="1" customWidth="1"/>
    <col min="1289" max="1289" width="8.33203125" style="1" customWidth="1"/>
    <col min="1290" max="1290" width="11" style="1" customWidth="1"/>
    <col min="1291" max="1538" width="8.6640625" style="1"/>
    <col min="1539" max="1539" width="6.44140625" style="1" customWidth="1"/>
    <col min="1540" max="1540" width="51.88671875" style="1" customWidth="1"/>
    <col min="1541" max="1541" width="9.6640625" style="1" customWidth="1"/>
    <col min="1542" max="1544" width="13.6640625" style="1" customWidth="1"/>
    <col min="1545" max="1545" width="8.33203125" style="1" customWidth="1"/>
    <col min="1546" max="1546" width="11" style="1" customWidth="1"/>
    <col min="1547" max="1794" width="8.6640625" style="1"/>
    <col min="1795" max="1795" width="6.44140625" style="1" customWidth="1"/>
    <col min="1796" max="1796" width="51.88671875" style="1" customWidth="1"/>
    <col min="1797" max="1797" width="9.6640625" style="1" customWidth="1"/>
    <col min="1798" max="1800" width="13.6640625" style="1" customWidth="1"/>
    <col min="1801" max="1801" width="8.33203125" style="1" customWidth="1"/>
    <col min="1802" max="1802" width="11" style="1" customWidth="1"/>
    <col min="1803" max="2050" width="8.6640625" style="1"/>
    <col min="2051" max="2051" width="6.44140625" style="1" customWidth="1"/>
    <col min="2052" max="2052" width="51.88671875" style="1" customWidth="1"/>
    <col min="2053" max="2053" width="9.6640625" style="1" customWidth="1"/>
    <col min="2054" max="2056" width="13.6640625" style="1" customWidth="1"/>
    <col min="2057" max="2057" width="8.33203125" style="1" customWidth="1"/>
    <col min="2058" max="2058" width="11" style="1" customWidth="1"/>
    <col min="2059" max="2306" width="8.6640625" style="1"/>
    <col min="2307" max="2307" width="6.44140625" style="1" customWidth="1"/>
    <col min="2308" max="2308" width="51.88671875" style="1" customWidth="1"/>
    <col min="2309" max="2309" width="9.6640625" style="1" customWidth="1"/>
    <col min="2310" max="2312" width="13.6640625" style="1" customWidth="1"/>
    <col min="2313" max="2313" width="8.33203125" style="1" customWidth="1"/>
    <col min="2314" max="2314" width="11" style="1" customWidth="1"/>
    <col min="2315" max="2562" width="8.6640625" style="1"/>
    <col min="2563" max="2563" width="6.44140625" style="1" customWidth="1"/>
    <col min="2564" max="2564" width="51.88671875" style="1" customWidth="1"/>
    <col min="2565" max="2565" width="9.6640625" style="1" customWidth="1"/>
    <col min="2566" max="2568" width="13.6640625" style="1" customWidth="1"/>
    <col min="2569" max="2569" width="8.33203125" style="1" customWidth="1"/>
    <col min="2570" max="2570" width="11" style="1" customWidth="1"/>
    <col min="2571" max="2818" width="8.6640625" style="1"/>
    <col min="2819" max="2819" width="6.44140625" style="1" customWidth="1"/>
    <col min="2820" max="2820" width="51.88671875" style="1" customWidth="1"/>
    <col min="2821" max="2821" width="9.6640625" style="1" customWidth="1"/>
    <col min="2822" max="2824" width="13.6640625" style="1" customWidth="1"/>
    <col min="2825" max="2825" width="8.33203125" style="1" customWidth="1"/>
    <col min="2826" max="2826" width="11" style="1" customWidth="1"/>
    <col min="2827" max="3074" width="8.6640625" style="1"/>
    <col min="3075" max="3075" width="6.44140625" style="1" customWidth="1"/>
    <col min="3076" max="3076" width="51.88671875" style="1" customWidth="1"/>
    <col min="3077" max="3077" width="9.6640625" style="1" customWidth="1"/>
    <col min="3078" max="3080" width="13.6640625" style="1" customWidth="1"/>
    <col min="3081" max="3081" width="8.33203125" style="1" customWidth="1"/>
    <col min="3082" max="3082" width="11" style="1" customWidth="1"/>
    <col min="3083" max="3330" width="8.6640625" style="1"/>
    <col min="3331" max="3331" width="6.44140625" style="1" customWidth="1"/>
    <col min="3332" max="3332" width="51.88671875" style="1" customWidth="1"/>
    <col min="3333" max="3333" width="9.6640625" style="1" customWidth="1"/>
    <col min="3334" max="3336" width="13.6640625" style="1" customWidth="1"/>
    <col min="3337" max="3337" width="8.33203125" style="1" customWidth="1"/>
    <col min="3338" max="3338" width="11" style="1" customWidth="1"/>
    <col min="3339" max="3586" width="8.6640625" style="1"/>
    <col min="3587" max="3587" width="6.44140625" style="1" customWidth="1"/>
    <col min="3588" max="3588" width="51.88671875" style="1" customWidth="1"/>
    <col min="3589" max="3589" width="9.6640625" style="1" customWidth="1"/>
    <col min="3590" max="3592" width="13.6640625" style="1" customWidth="1"/>
    <col min="3593" max="3593" width="8.33203125" style="1" customWidth="1"/>
    <col min="3594" max="3594" width="11" style="1" customWidth="1"/>
    <col min="3595" max="3842" width="8.6640625" style="1"/>
    <col min="3843" max="3843" width="6.44140625" style="1" customWidth="1"/>
    <col min="3844" max="3844" width="51.88671875" style="1" customWidth="1"/>
    <col min="3845" max="3845" width="9.6640625" style="1" customWidth="1"/>
    <col min="3846" max="3848" width="13.6640625" style="1" customWidth="1"/>
    <col min="3849" max="3849" width="8.33203125" style="1" customWidth="1"/>
    <col min="3850" max="3850" width="11" style="1" customWidth="1"/>
    <col min="3851" max="4098" width="8.6640625" style="1"/>
    <col min="4099" max="4099" width="6.44140625" style="1" customWidth="1"/>
    <col min="4100" max="4100" width="51.88671875" style="1" customWidth="1"/>
    <col min="4101" max="4101" width="9.6640625" style="1" customWidth="1"/>
    <col min="4102" max="4104" width="13.6640625" style="1" customWidth="1"/>
    <col min="4105" max="4105" width="8.33203125" style="1" customWidth="1"/>
    <col min="4106" max="4106" width="11" style="1" customWidth="1"/>
    <col min="4107" max="4354" width="8.6640625" style="1"/>
    <col min="4355" max="4355" width="6.44140625" style="1" customWidth="1"/>
    <col min="4356" max="4356" width="51.88671875" style="1" customWidth="1"/>
    <col min="4357" max="4357" width="9.6640625" style="1" customWidth="1"/>
    <col min="4358" max="4360" width="13.6640625" style="1" customWidth="1"/>
    <col min="4361" max="4361" width="8.33203125" style="1" customWidth="1"/>
    <col min="4362" max="4362" width="11" style="1" customWidth="1"/>
    <col min="4363" max="4610" width="8.6640625" style="1"/>
    <col min="4611" max="4611" width="6.44140625" style="1" customWidth="1"/>
    <col min="4612" max="4612" width="51.88671875" style="1" customWidth="1"/>
    <col min="4613" max="4613" width="9.6640625" style="1" customWidth="1"/>
    <col min="4614" max="4616" width="13.6640625" style="1" customWidth="1"/>
    <col min="4617" max="4617" width="8.33203125" style="1" customWidth="1"/>
    <col min="4618" max="4618" width="11" style="1" customWidth="1"/>
    <col min="4619" max="4866" width="8.6640625" style="1"/>
    <col min="4867" max="4867" width="6.44140625" style="1" customWidth="1"/>
    <col min="4868" max="4868" width="51.88671875" style="1" customWidth="1"/>
    <col min="4869" max="4869" width="9.6640625" style="1" customWidth="1"/>
    <col min="4870" max="4872" width="13.6640625" style="1" customWidth="1"/>
    <col min="4873" max="4873" width="8.33203125" style="1" customWidth="1"/>
    <col min="4874" max="4874" width="11" style="1" customWidth="1"/>
    <col min="4875" max="5122" width="8.6640625" style="1"/>
    <col min="5123" max="5123" width="6.44140625" style="1" customWidth="1"/>
    <col min="5124" max="5124" width="51.88671875" style="1" customWidth="1"/>
    <col min="5125" max="5125" width="9.6640625" style="1" customWidth="1"/>
    <col min="5126" max="5128" width="13.6640625" style="1" customWidth="1"/>
    <col min="5129" max="5129" width="8.33203125" style="1" customWidth="1"/>
    <col min="5130" max="5130" width="11" style="1" customWidth="1"/>
    <col min="5131" max="5378" width="8.6640625" style="1"/>
    <col min="5379" max="5379" width="6.44140625" style="1" customWidth="1"/>
    <col min="5380" max="5380" width="51.88671875" style="1" customWidth="1"/>
    <col min="5381" max="5381" width="9.6640625" style="1" customWidth="1"/>
    <col min="5382" max="5384" width="13.6640625" style="1" customWidth="1"/>
    <col min="5385" max="5385" width="8.33203125" style="1" customWidth="1"/>
    <col min="5386" max="5386" width="11" style="1" customWidth="1"/>
    <col min="5387" max="5634" width="8.6640625" style="1"/>
    <col min="5635" max="5635" width="6.44140625" style="1" customWidth="1"/>
    <col min="5636" max="5636" width="51.88671875" style="1" customWidth="1"/>
    <col min="5637" max="5637" width="9.6640625" style="1" customWidth="1"/>
    <col min="5638" max="5640" width="13.6640625" style="1" customWidth="1"/>
    <col min="5641" max="5641" width="8.33203125" style="1" customWidth="1"/>
    <col min="5642" max="5642" width="11" style="1" customWidth="1"/>
    <col min="5643" max="5890" width="8.6640625" style="1"/>
    <col min="5891" max="5891" width="6.44140625" style="1" customWidth="1"/>
    <col min="5892" max="5892" width="51.88671875" style="1" customWidth="1"/>
    <col min="5893" max="5893" width="9.6640625" style="1" customWidth="1"/>
    <col min="5894" max="5896" width="13.6640625" style="1" customWidth="1"/>
    <col min="5897" max="5897" width="8.33203125" style="1" customWidth="1"/>
    <col min="5898" max="5898" width="11" style="1" customWidth="1"/>
    <col min="5899" max="6146" width="8.6640625" style="1"/>
    <col min="6147" max="6147" width="6.44140625" style="1" customWidth="1"/>
    <col min="6148" max="6148" width="51.88671875" style="1" customWidth="1"/>
    <col min="6149" max="6149" width="9.6640625" style="1" customWidth="1"/>
    <col min="6150" max="6152" width="13.6640625" style="1" customWidth="1"/>
    <col min="6153" max="6153" width="8.33203125" style="1" customWidth="1"/>
    <col min="6154" max="6154" width="11" style="1" customWidth="1"/>
    <col min="6155" max="6402" width="8.6640625" style="1"/>
    <col min="6403" max="6403" width="6.44140625" style="1" customWidth="1"/>
    <col min="6404" max="6404" width="51.88671875" style="1" customWidth="1"/>
    <col min="6405" max="6405" width="9.6640625" style="1" customWidth="1"/>
    <col min="6406" max="6408" width="13.6640625" style="1" customWidth="1"/>
    <col min="6409" max="6409" width="8.33203125" style="1" customWidth="1"/>
    <col min="6410" max="6410" width="11" style="1" customWidth="1"/>
    <col min="6411" max="6658" width="8.6640625" style="1"/>
    <col min="6659" max="6659" width="6.44140625" style="1" customWidth="1"/>
    <col min="6660" max="6660" width="51.88671875" style="1" customWidth="1"/>
    <col min="6661" max="6661" width="9.6640625" style="1" customWidth="1"/>
    <col min="6662" max="6664" width="13.6640625" style="1" customWidth="1"/>
    <col min="6665" max="6665" width="8.33203125" style="1" customWidth="1"/>
    <col min="6666" max="6666" width="11" style="1" customWidth="1"/>
    <col min="6667" max="6914" width="8.6640625" style="1"/>
    <col min="6915" max="6915" width="6.44140625" style="1" customWidth="1"/>
    <col min="6916" max="6916" width="51.88671875" style="1" customWidth="1"/>
    <col min="6917" max="6917" width="9.6640625" style="1" customWidth="1"/>
    <col min="6918" max="6920" width="13.6640625" style="1" customWidth="1"/>
    <col min="6921" max="6921" width="8.33203125" style="1" customWidth="1"/>
    <col min="6922" max="6922" width="11" style="1" customWidth="1"/>
    <col min="6923" max="7170" width="8.6640625" style="1"/>
    <col min="7171" max="7171" width="6.44140625" style="1" customWidth="1"/>
    <col min="7172" max="7172" width="51.88671875" style="1" customWidth="1"/>
    <col min="7173" max="7173" width="9.6640625" style="1" customWidth="1"/>
    <col min="7174" max="7176" width="13.6640625" style="1" customWidth="1"/>
    <col min="7177" max="7177" width="8.33203125" style="1" customWidth="1"/>
    <col min="7178" max="7178" width="11" style="1" customWidth="1"/>
    <col min="7179" max="7426" width="8.6640625" style="1"/>
    <col min="7427" max="7427" width="6.44140625" style="1" customWidth="1"/>
    <col min="7428" max="7428" width="51.88671875" style="1" customWidth="1"/>
    <col min="7429" max="7429" width="9.6640625" style="1" customWidth="1"/>
    <col min="7430" max="7432" width="13.6640625" style="1" customWidth="1"/>
    <col min="7433" max="7433" width="8.33203125" style="1" customWidth="1"/>
    <col min="7434" max="7434" width="11" style="1" customWidth="1"/>
    <col min="7435" max="7682" width="8.6640625" style="1"/>
    <col min="7683" max="7683" width="6.44140625" style="1" customWidth="1"/>
    <col min="7684" max="7684" width="51.88671875" style="1" customWidth="1"/>
    <col min="7685" max="7685" width="9.6640625" style="1" customWidth="1"/>
    <col min="7686" max="7688" width="13.6640625" style="1" customWidth="1"/>
    <col min="7689" max="7689" width="8.33203125" style="1" customWidth="1"/>
    <col min="7690" max="7690" width="11" style="1" customWidth="1"/>
    <col min="7691" max="7938" width="8.6640625" style="1"/>
    <col min="7939" max="7939" width="6.44140625" style="1" customWidth="1"/>
    <col min="7940" max="7940" width="51.88671875" style="1" customWidth="1"/>
    <col min="7941" max="7941" width="9.6640625" style="1" customWidth="1"/>
    <col min="7942" max="7944" width="13.6640625" style="1" customWidth="1"/>
    <col min="7945" max="7945" width="8.33203125" style="1" customWidth="1"/>
    <col min="7946" max="7946" width="11" style="1" customWidth="1"/>
    <col min="7947" max="8194" width="8.6640625" style="1"/>
    <col min="8195" max="8195" width="6.44140625" style="1" customWidth="1"/>
    <col min="8196" max="8196" width="51.88671875" style="1" customWidth="1"/>
    <col min="8197" max="8197" width="9.6640625" style="1" customWidth="1"/>
    <col min="8198" max="8200" width="13.6640625" style="1" customWidth="1"/>
    <col min="8201" max="8201" width="8.33203125" style="1" customWidth="1"/>
    <col min="8202" max="8202" width="11" style="1" customWidth="1"/>
    <col min="8203" max="8450" width="8.6640625" style="1"/>
    <col min="8451" max="8451" width="6.44140625" style="1" customWidth="1"/>
    <col min="8452" max="8452" width="51.88671875" style="1" customWidth="1"/>
    <col min="8453" max="8453" width="9.6640625" style="1" customWidth="1"/>
    <col min="8454" max="8456" width="13.6640625" style="1" customWidth="1"/>
    <col min="8457" max="8457" width="8.33203125" style="1" customWidth="1"/>
    <col min="8458" max="8458" width="11" style="1" customWidth="1"/>
    <col min="8459" max="8706" width="8.6640625" style="1"/>
    <col min="8707" max="8707" width="6.44140625" style="1" customWidth="1"/>
    <col min="8708" max="8708" width="51.88671875" style="1" customWidth="1"/>
    <col min="8709" max="8709" width="9.6640625" style="1" customWidth="1"/>
    <col min="8710" max="8712" width="13.6640625" style="1" customWidth="1"/>
    <col min="8713" max="8713" width="8.33203125" style="1" customWidth="1"/>
    <col min="8714" max="8714" width="11" style="1" customWidth="1"/>
    <col min="8715" max="8962" width="8.6640625" style="1"/>
    <col min="8963" max="8963" width="6.44140625" style="1" customWidth="1"/>
    <col min="8964" max="8964" width="51.88671875" style="1" customWidth="1"/>
    <col min="8965" max="8965" width="9.6640625" style="1" customWidth="1"/>
    <col min="8966" max="8968" width="13.6640625" style="1" customWidth="1"/>
    <col min="8969" max="8969" width="8.33203125" style="1" customWidth="1"/>
    <col min="8970" max="8970" width="11" style="1" customWidth="1"/>
    <col min="8971" max="9218" width="8.6640625" style="1"/>
    <col min="9219" max="9219" width="6.44140625" style="1" customWidth="1"/>
    <col min="9220" max="9220" width="51.88671875" style="1" customWidth="1"/>
    <col min="9221" max="9221" width="9.6640625" style="1" customWidth="1"/>
    <col min="9222" max="9224" width="13.6640625" style="1" customWidth="1"/>
    <col min="9225" max="9225" width="8.33203125" style="1" customWidth="1"/>
    <col min="9226" max="9226" width="11" style="1" customWidth="1"/>
    <col min="9227" max="9474" width="8.6640625" style="1"/>
    <col min="9475" max="9475" width="6.44140625" style="1" customWidth="1"/>
    <col min="9476" max="9476" width="51.88671875" style="1" customWidth="1"/>
    <col min="9477" max="9477" width="9.6640625" style="1" customWidth="1"/>
    <col min="9478" max="9480" width="13.6640625" style="1" customWidth="1"/>
    <col min="9481" max="9481" width="8.33203125" style="1" customWidth="1"/>
    <col min="9482" max="9482" width="11" style="1" customWidth="1"/>
    <col min="9483" max="9730" width="8.6640625" style="1"/>
    <col min="9731" max="9731" width="6.44140625" style="1" customWidth="1"/>
    <col min="9732" max="9732" width="51.88671875" style="1" customWidth="1"/>
    <col min="9733" max="9733" width="9.6640625" style="1" customWidth="1"/>
    <col min="9734" max="9736" width="13.6640625" style="1" customWidth="1"/>
    <col min="9737" max="9737" width="8.33203125" style="1" customWidth="1"/>
    <col min="9738" max="9738" width="11" style="1" customWidth="1"/>
    <col min="9739" max="9986" width="8.6640625" style="1"/>
    <col min="9987" max="9987" width="6.44140625" style="1" customWidth="1"/>
    <col min="9988" max="9988" width="51.88671875" style="1" customWidth="1"/>
    <col min="9989" max="9989" width="9.6640625" style="1" customWidth="1"/>
    <col min="9990" max="9992" width="13.6640625" style="1" customWidth="1"/>
    <col min="9993" max="9993" width="8.33203125" style="1" customWidth="1"/>
    <col min="9994" max="9994" width="11" style="1" customWidth="1"/>
    <col min="9995" max="10242" width="8.6640625" style="1"/>
    <col min="10243" max="10243" width="6.44140625" style="1" customWidth="1"/>
    <col min="10244" max="10244" width="51.88671875" style="1" customWidth="1"/>
    <col min="10245" max="10245" width="9.6640625" style="1" customWidth="1"/>
    <col min="10246" max="10248" width="13.6640625" style="1" customWidth="1"/>
    <col min="10249" max="10249" width="8.33203125" style="1" customWidth="1"/>
    <col min="10250" max="10250" width="11" style="1" customWidth="1"/>
    <col min="10251" max="10498" width="8.6640625" style="1"/>
    <col min="10499" max="10499" width="6.44140625" style="1" customWidth="1"/>
    <col min="10500" max="10500" width="51.88671875" style="1" customWidth="1"/>
    <col min="10501" max="10501" width="9.6640625" style="1" customWidth="1"/>
    <col min="10502" max="10504" width="13.6640625" style="1" customWidth="1"/>
    <col min="10505" max="10505" width="8.33203125" style="1" customWidth="1"/>
    <col min="10506" max="10506" width="11" style="1" customWidth="1"/>
    <col min="10507" max="10754" width="8.6640625" style="1"/>
    <col min="10755" max="10755" width="6.44140625" style="1" customWidth="1"/>
    <col min="10756" max="10756" width="51.88671875" style="1" customWidth="1"/>
    <col min="10757" max="10757" width="9.6640625" style="1" customWidth="1"/>
    <col min="10758" max="10760" width="13.6640625" style="1" customWidth="1"/>
    <col min="10761" max="10761" width="8.33203125" style="1" customWidth="1"/>
    <col min="10762" max="10762" width="11" style="1" customWidth="1"/>
    <col min="10763" max="11010" width="8.6640625" style="1"/>
    <col min="11011" max="11011" width="6.44140625" style="1" customWidth="1"/>
    <col min="11012" max="11012" width="51.88671875" style="1" customWidth="1"/>
    <col min="11013" max="11013" width="9.6640625" style="1" customWidth="1"/>
    <col min="11014" max="11016" width="13.6640625" style="1" customWidth="1"/>
    <col min="11017" max="11017" width="8.33203125" style="1" customWidth="1"/>
    <col min="11018" max="11018" width="11" style="1" customWidth="1"/>
    <col min="11019" max="11266" width="8.6640625" style="1"/>
    <col min="11267" max="11267" width="6.44140625" style="1" customWidth="1"/>
    <col min="11268" max="11268" width="51.88671875" style="1" customWidth="1"/>
    <col min="11269" max="11269" width="9.6640625" style="1" customWidth="1"/>
    <col min="11270" max="11272" width="13.6640625" style="1" customWidth="1"/>
    <col min="11273" max="11273" width="8.33203125" style="1" customWidth="1"/>
    <col min="11274" max="11274" width="11" style="1" customWidth="1"/>
    <col min="11275" max="11522" width="8.6640625" style="1"/>
    <col min="11523" max="11523" width="6.44140625" style="1" customWidth="1"/>
    <col min="11524" max="11524" width="51.88671875" style="1" customWidth="1"/>
    <col min="11525" max="11525" width="9.6640625" style="1" customWidth="1"/>
    <col min="11526" max="11528" width="13.6640625" style="1" customWidth="1"/>
    <col min="11529" max="11529" width="8.33203125" style="1" customWidth="1"/>
    <col min="11530" max="11530" width="11" style="1" customWidth="1"/>
    <col min="11531" max="11778" width="8.6640625" style="1"/>
    <col min="11779" max="11779" width="6.44140625" style="1" customWidth="1"/>
    <col min="11780" max="11780" width="51.88671875" style="1" customWidth="1"/>
    <col min="11781" max="11781" width="9.6640625" style="1" customWidth="1"/>
    <col min="11782" max="11784" width="13.6640625" style="1" customWidth="1"/>
    <col min="11785" max="11785" width="8.33203125" style="1" customWidth="1"/>
    <col min="11786" max="11786" width="11" style="1" customWidth="1"/>
    <col min="11787" max="12034" width="8.6640625" style="1"/>
    <col min="12035" max="12035" width="6.44140625" style="1" customWidth="1"/>
    <col min="12036" max="12036" width="51.88671875" style="1" customWidth="1"/>
    <col min="12037" max="12037" width="9.6640625" style="1" customWidth="1"/>
    <col min="12038" max="12040" width="13.6640625" style="1" customWidth="1"/>
    <col min="12041" max="12041" width="8.33203125" style="1" customWidth="1"/>
    <col min="12042" max="12042" width="11" style="1" customWidth="1"/>
    <col min="12043" max="12290" width="8.6640625" style="1"/>
    <col min="12291" max="12291" width="6.44140625" style="1" customWidth="1"/>
    <col min="12292" max="12292" width="51.88671875" style="1" customWidth="1"/>
    <col min="12293" max="12293" width="9.6640625" style="1" customWidth="1"/>
    <col min="12294" max="12296" width="13.6640625" style="1" customWidth="1"/>
    <col min="12297" max="12297" width="8.33203125" style="1" customWidth="1"/>
    <col min="12298" max="12298" width="11" style="1" customWidth="1"/>
    <col min="12299" max="12546" width="8.6640625" style="1"/>
    <col min="12547" max="12547" width="6.44140625" style="1" customWidth="1"/>
    <col min="12548" max="12548" width="51.88671875" style="1" customWidth="1"/>
    <col min="12549" max="12549" width="9.6640625" style="1" customWidth="1"/>
    <col min="12550" max="12552" width="13.6640625" style="1" customWidth="1"/>
    <col min="12553" max="12553" width="8.33203125" style="1" customWidth="1"/>
    <col min="12554" max="12554" width="11" style="1" customWidth="1"/>
    <col min="12555" max="12802" width="8.6640625" style="1"/>
    <col min="12803" max="12803" width="6.44140625" style="1" customWidth="1"/>
    <col min="12804" max="12804" width="51.88671875" style="1" customWidth="1"/>
    <col min="12805" max="12805" width="9.6640625" style="1" customWidth="1"/>
    <col min="12806" max="12808" width="13.6640625" style="1" customWidth="1"/>
    <col min="12809" max="12809" width="8.33203125" style="1" customWidth="1"/>
    <col min="12810" max="12810" width="11" style="1" customWidth="1"/>
    <col min="12811" max="13058" width="8.6640625" style="1"/>
    <col min="13059" max="13059" width="6.44140625" style="1" customWidth="1"/>
    <col min="13060" max="13060" width="51.88671875" style="1" customWidth="1"/>
    <col min="13061" max="13061" width="9.6640625" style="1" customWidth="1"/>
    <col min="13062" max="13064" width="13.6640625" style="1" customWidth="1"/>
    <col min="13065" max="13065" width="8.33203125" style="1" customWidth="1"/>
    <col min="13066" max="13066" width="11" style="1" customWidth="1"/>
    <col min="13067" max="13314" width="8.6640625" style="1"/>
    <col min="13315" max="13315" width="6.44140625" style="1" customWidth="1"/>
    <col min="13316" max="13316" width="51.88671875" style="1" customWidth="1"/>
    <col min="13317" max="13317" width="9.6640625" style="1" customWidth="1"/>
    <col min="13318" max="13320" width="13.6640625" style="1" customWidth="1"/>
    <col min="13321" max="13321" width="8.33203125" style="1" customWidth="1"/>
    <col min="13322" max="13322" width="11" style="1" customWidth="1"/>
    <col min="13323" max="13570" width="8.6640625" style="1"/>
    <col min="13571" max="13571" width="6.44140625" style="1" customWidth="1"/>
    <col min="13572" max="13572" width="51.88671875" style="1" customWidth="1"/>
    <col min="13573" max="13573" width="9.6640625" style="1" customWidth="1"/>
    <col min="13574" max="13576" width="13.6640625" style="1" customWidth="1"/>
    <col min="13577" max="13577" width="8.33203125" style="1" customWidth="1"/>
    <col min="13578" max="13578" width="11" style="1" customWidth="1"/>
    <col min="13579" max="13826" width="8.6640625" style="1"/>
    <col min="13827" max="13827" width="6.44140625" style="1" customWidth="1"/>
    <col min="13828" max="13828" width="51.88671875" style="1" customWidth="1"/>
    <col min="13829" max="13829" width="9.6640625" style="1" customWidth="1"/>
    <col min="13830" max="13832" width="13.6640625" style="1" customWidth="1"/>
    <col min="13833" max="13833" width="8.33203125" style="1" customWidth="1"/>
    <col min="13834" max="13834" width="11" style="1" customWidth="1"/>
    <col min="13835" max="14082" width="8.6640625" style="1"/>
    <col min="14083" max="14083" width="6.44140625" style="1" customWidth="1"/>
    <col min="14084" max="14084" width="51.88671875" style="1" customWidth="1"/>
    <col min="14085" max="14085" width="9.6640625" style="1" customWidth="1"/>
    <col min="14086" max="14088" width="13.6640625" style="1" customWidth="1"/>
    <col min="14089" max="14089" width="8.33203125" style="1" customWidth="1"/>
    <col min="14090" max="14090" width="11" style="1" customWidth="1"/>
    <col min="14091" max="14338" width="8.6640625" style="1"/>
    <col min="14339" max="14339" width="6.44140625" style="1" customWidth="1"/>
    <col min="14340" max="14340" width="51.88671875" style="1" customWidth="1"/>
    <col min="14341" max="14341" width="9.6640625" style="1" customWidth="1"/>
    <col min="14342" max="14344" width="13.6640625" style="1" customWidth="1"/>
    <col min="14345" max="14345" width="8.33203125" style="1" customWidth="1"/>
    <col min="14346" max="14346" width="11" style="1" customWidth="1"/>
    <col min="14347" max="14594" width="8.6640625" style="1"/>
    <col min="14595" max="14595" width="6.44140625" style="1" customWidth="1"/>
    <col min="14596" max="14596" width="51.88671875" style="1" customWidth="1"/>
    <col min="14597" max="14597" width="9.6640625" style="1" customWidth="1"/>
    <col min="14598" max="14600" width="13.6640625" style="1" customWidth="1"/>
    <col min="14601" max="14601" width="8.33203125" style="1" customWidth="1"/>
    <col min="14602" max="14602" width="11" style="1" customWidth="1"/>
    <col min="14603" max="14850" width="8.6640625" style="1"/>
    <col min="14851" max="14851" width="6.44140625" style="1" customWidth="1"/>
    <col min="14852" max="14852" width="51.88671875" style="1" customWidth="1"/>
    <col min="14853" max="14853" width="9.6640625" style="1" customWidth="1"/>
    <col min="14854" max="14856" width="13.6640625" style="1" customWidth="1"/>
    <col min="14857" max="14857" width="8.33203125" style="1" customWidth="1"/>
    <col min="14858" max="14858" width="11" style="1" customWidth="1"/>
    <col min="14859" max="15106" width="8.6640625" style="1"/>
    <col min="15107" max="15107" width="6.44140625" style="1" customWidth="1"/>
    <col min="15108" max="15108" width="51.88671875" style="1" customWidth="1"/>
    <col min="15109" max="15109" width="9.6640625" style="1" customWidth="1"/>
    <col min="15110" max="15112" width="13.6640625" style="1" customWidth="1"/>
    <col min="15113" max="15113" width="8.33203125" style="1" customWidth="1"/>
    <col min="15114" max="15114" width="11" style="1" customWidth="1"/>
    <col min="15115" max="15362" width="8.6640625" style="1"/>
    <col min="15363" max="15363" width="6.44140625" style="1" customWidth="1"/>
    <col min="15364" max="15364" width="51.88671875" style="1" customWidth="1"/>
    <col min="15365" max="15365" width="9.6640625" style="1" customWidth="1"/>
    <col min="15366" max="15368" width="13.6640625" style="1" customWidth="1"/>
    <col min="15369" max="15369" width="8.33203125" style="1" customWidth="1"/>
    <col min="15370" max="15370" width="11" style="1" customWidth="1"/>
    <col min="15371" max="15618" width="8.6640625" style="1"/>
    <col min="15619" max="15619" width="6.44140625" style="1" customWidth="1"/>
    <col min="15620" max="15620" width="51.88671875" style="1" customWidth="1"/>
    <col min="15621" max="15621" width="9.6640625" style="1" customWidth="1"/>
    <col min="15622" max="15624" width="13.6640625" style="1" customWidth="1"/>
    <col min="15625" max="15625" width="8.33203125" style="1" customWidth="1"/>
    <col min="15626" max="15626" width="11" style="1" customWidth="1"/>
    <col min="15627" max="15874" width="8.6640625" style="1"/>
    <col min="15875" max="15875" width="6.44140625" style="1" customWidth="1"/>
    <col min="15876" max="15876" width="51.88671875" style="1" customWidth="1"/>
    <col min="15877" max="15877" width="9.6640625" style="1" customWidth="1"/>
    <col min="15878" max="15880" width="13.6640625" style="1" customWidth="1"/>
    <col min="15881" max="15881" width="8.33203125" style="1" customWidth="1"/>
    <col min="15882" max="15882" width="11" style="1" customWidth="1"/>
    <col min="15883" max="16130" width="8.6640625" style="1"/>
    <col min="16131" max="16131" width="6.44140625" style="1" customWidth="1"/>
    <col min="16132" max="16132" width="51.88671875" style="1" customWidth="1"/>
    <col min="16133" max="16133" width="9.6640625" style="1" customWidth="1"/>
    <col min="16134" max="16136" width="13.6640625" style="1" customWidth="1"/>
    <col min="16137" max="16137" width="8.33203125" style="1" customWidth="1"/>
    <col min="16138" max="16138" width="11" style="1" customWidth="1"/>
    <col min="16139" max="16384" width="8.6640625" style="1"/>
  </cols>
  <sheetData>
    <row r="1" spans="1:14" hidden="1">
      <c r="N1" s="1">
        <v>1.95583</v>
      </c>
    </row>
    <row r="2" spans="1:14" ht="13.8">
      <c r="H2" s="3182" t="str">
        <f>'19. HB'!H1</f>
        <v>Приложение № 6</v>
      </c>
    </row>
    <row r="3" spans="1:14" ht="17.399999999999999">
      <c r="A3" s="4886" t="s">
        <v>1492</v>
      </c>
      <c r="B3" s="4886"/>
      <c r="C3" s="4886"/>
      <c r="D3" s="4886"/>
      <c r="E3" s="4886"/>
      <c r="F3" s="4886"/>
      <c r="G3" s="4886"/>
      <c r="H3" s="4886"/>
      <c r="I3" s="16"/>
      <c r="J3" s="15"/>
    </row>
    <row r="4" spans="1:14" ht="17.399999999999999">
      <c r="A4" s="4886" t="s">
        <v>1463</v>
      </c>
      <c r="B4" s="4886"/>
      <c r="C4" s="4886"/>
      <c r="D4" s="4886"/>
      <c r="E4" s="4886"/>
      <c r="F4" s="4886"/>
      <c r="G4" s="4886"/>
      <c r="H4" s="4886"/>
      <c r="I4" s="15"/>
      <c r="J4" s="15"/>
    </row>
    <row r="5" spans="1:14" ht="13.8">
      <c r="A5" s="4887" t="str">
        <f>'1. Обща информация'!A4:D4</f>
        <v>на "В И К" АД, гр. Ловеч</v>
      </c>
      <c r="B5" s="4887"/>
      <c r="C5" s="4887"/>
      <c r="D5" s="4887"/>
      <c r="E5" s="4887"/>
      <c r="F5" s="4887"/>
      <c r="G5" s="4887"/>
      <c r="H5" s="4887"/>
      <c r="I5" s="15"/>
      <c r="J5" s="15"/>
    </row>
    <row r="6" spans="1:14" ht="13.8">
      <c r="A6" s="4887" t="str">
        <f>'1. Обща информация'!A5:D5</f>
        <v>ЕИК по БУЛСТАТ: 110549443</v>
      </c>
      <c r="B6" s="4887"/>
      <c r="C6" s="4887"/>
      <c r="D6" s="4887"/>
      <c r="E6" s="4887"/>
      <c r="F6" s="4887"/>
      <c r="G6" s="4887"/>
      <c r="H6" s="4887"/>
      <c r="I6" s="15"/>
      <c r="J6" s="15"/>
    </row>
    <row r="7" spans="1:14" ht="14.4" thickBot="1">
      <c r="A7" s="1742"/>
      <c r="B7" s="1742"/>
      <c r="C7" s="1742"/>
      <c r="D7" s="1742"/>
      <c r="E7" s="1742"/>
      <c r="F7" s="1742"/>
      <c r="G7" s="1742"/>
      <c r="H7" s="1742"/>
      <c r="I7" s="15"/>
      <c r="J7" s="15"/>
    </row>
    <row r="8" spans="1:14" s="7" customFormat="1" ht="24" customHeight="1" thickBot="1">
      <c r="A8" s="3188" t="s">
        <v>1</v>
      </c>
      <c r="B8" s="4400" t="s">
        <v>1494</v>
      </c>
      <c r="C8" s="3188" t="s">
        <v>166</v>
      </c>
      <c r="D8" s="1447" t="str">
        <f>'Приложение '!$C14</f>
        <v>2027 г.</v>
      </c>
      <c r="E8" s="1448" t="str">
        <f>'Приложение '!$C15</f>
        <v>2028 г.</v>
      </c>
      <c r="F8" s="1448" t="str">
        <f>'Приложение '!$C16</f>
        <v>2029 г.</v>
      </c>
      <c r="G8" s="1448" t="str">
        <f>'Приложение '!$C17</f>
        <v>2030 г.</v>
      </c>
      <c r="H8" s="1449" t="str">
        <f>'Приложение '!$C18</f>
        <v>2031 г.</v>
      </c>
      <c r="I8" s="3188" t="s">
        <v>166</v>
      </c>
      <c r="J8" s="1447" t="str">
        <f>'Приложение '!$C14</f>
        <v>2027 г.</v>
      </c>
      <c r="K8" s="1448" t="str">
        <f>'Приложение '!$C15</f>
        <v>2028 г.</v>
      </c>
      <c r="L8" s="1448" t="str">
        <f>'Приложение '!$C16</f>
        <v>2029 г.</v>
      </c>
      <c r="M8" s="1448" t="str">
        <f>'Приложение '!$C17</f>
        <v>2030 г.</v>
      </c>
      <c r="N8" s="1449" t="str">
        <f>'Приложение '!$C18</f>
        <v>2031 г.</v>
      </c>
    </row>
    <row r="9" spans="1:14" s="7" customFormat="1" ht="14.4" thickBot="1">
      <c r="A9" s="3351" t="s">
        <v>205</v>
      </c>
      <c r="B9" s="3352" t="s">
        <v>207</v>
      </c>
      <c r="C9" s="3352"/>
      <c r="D9" s="3352"/>
      <c r="E9" s="3352"/>
      <c r="F9" s="3352"/>
      <c r="G9" s="3352"/>
      <c r="H9" s="3352"/>
      <c r="I9" s="3352"/>
      <c r="J9" s="3352"/>
      <c r="K9" s="3352"/>
      <c r="L9" s="3352"/>
      <c r="M9" s="3352"/>
      <c r="N9" s="3352"/>
    </row>
    <row r="10" spans="1:14" s="7" customFormat="1" ht="29.25" customHeight="1" thickBot="1">
      <c r="A10" s="4382" t="s">
        <v>463</v>
      </c>
      <c r="B10" s="4401" t="s">
        <v>608</v>
      </c>
      <c r="C10" s="4385" t="s">
        <v>328</v>
      </c>
      <c r="D10" s="4383">
        <f>IFERROR(ROUND(('16. Необходими приходи'!D11/'16. Необходими приходи'!D12),3),0)</f>
        <v>3.6840000000000002</v>
      </c>
      <c r="E10" s="4384">
        <f>IFERROR(ROUND(('16. Необходими приходи'!E11/'16. Необходими приходи'!E12),3),0)</f>
        <v>3.9590000000000001</v>
      </c>
      <c r="F10" s="4384">
        <f>IFERROR(ROUND(('16. Необходими приходи'!F11/'16. Необходими приходи'!F12),3),0)</f>
        <v>4.2560000000000002</v>
      </c>
      <c r="G10" s="4384">
        <f>IFERROR(ROUND(('16. Необходими приходи'!G11/'16. Необходими приходи'!G12),3),0)</f>
        <v>4.593</v>
      </c>
      <c r="H10" s="4384">
        <f>IFERROR(ROUND(('16. Необходими приходи'!H11/'16. Необходими приходи'!H12),3),0)</f>
        <v>4.9539999999999997</v>
      </c>
      <c r="I10" s="4399" t="s">
        <v>1867</v>
      </c>
      <c r="J10" s="4386">
        <f>IFERROR(ROUND(D10/$N$1,3),0)</f>
        <v>1.8839999999999999</v>
      </c>
      <c r="K10" s="4386">
        <f>IFERROR(ROUND(E10/$N$1,3),0)</f>
        <v>2.024</v>
      </c>
      <c r="L10" s="4386">
        <f>IFERROR(ROUND(F10/$N$1,3),0)</f>
        <v>2.1760000000000002</v>
      </c>
      <c r="M10" s="4386">
        <f>IFERROR(ROUND(G10/$N$1,3),0)</f>
        <v>2.3479999999999999</v>
      </c>
      <c r="N10" s="4387">
        <f>IFERROR(ROUND(H10/$N$1,3),0)</f>
        <v>2.5329999999999999</v>
      </c>
    </row>
    <row r="11" spans="1:14" ht="15" customHeight="1" thickBot="1">
      <c r="A11" s="3351" t="s">
        <v>206</v>
      </c>
      <c r="B11" s="3352" t="s">
        <v>174</v>
      </c>
      <c r="C11" s="3352"/>
      <c r="D11" s="4388"/>
      <c r="E11" s="4388"/>
      <c r="F11" s="4388"/>
      <c r="G11" s="4388"/>
      <c r="H11" s="4388"/>
      <c r="I11" s="4388"/>
      <c r="J11" s="4388"/>
      <c r="K11" s="4388"/>
      <c r="L11" s="4388"/>
      <c r="M11" s="4388"/>
      <c r="N11" s="4388"/>
    </row>
    <row r="12" spans="1:14" ht="29.25" customHeight="1" thickBot="1">
      <c r="A12" s="4382" t="s">
        <v>477</v>
      </c>
      <c r="B12" s="4401" t="s">
        <v>608</v>
      </c>
      <c r="C12" s="4385" t="s">
        <v>328</v>
      </c>
      <c r="D12" s="4389">
        <f>IFERROR(ROUND(('16. Необходими приходи'!D17/'16. Необходими приходи'!D18),3),0)</f>
        <v>0.30499999999999999</v>
      </c>
      <c r="E12" s="4384">
        <f>IFERROR(ROUND(('16. Необходими приходи'!E17/'16. Необходими приходи'!E18),3),0)</f>
        <v>0.33500000000000002</v>
      </c>
      <c r="F12" s="4384">
        <f>IFERROR(ROUND(('16. Необходими приходи'!F17/'16. Необходими приходи'!F18),3),0)</f>
        <v>0.36599999999999999</v>
      </c>
      <c r="G12" s="4384">
        <f>IFERROR(ROUND(('16. Необходими приходи'!G17/'16. Необходими приходи'!G18),3),0)</f>
        <v>0.40200000000000002</v>
      </c>
      <c r="H12" s="4384">
        <f>IFERROR(ROUND(('16. Необходими приходи'!H17/'16. Необходими приходи'!H18),3),0)</f>
        <v>0.44</v>
      </c>
      <c r="I12" s="4399" t="s">
        <v>1867</v>
      </c>
      <c r="J12" s="4386">
        <f>IFERROR(ROUND(D12/$N$1,3),0)</f>
        <v>0.156</v>
      </c>
      <c r="K12" s="4386">
        <f>IFERROR(ROUND(E12/$N$1,3),0)</f>
        <v>0.17100000000000001</v>
      </c>
      <c r="L12" s="4386">
        <f>IFERROR(ROUND(F12/$N$1,3),0)</f>
        <v>0.187</v>
      </c>
      <c r="M12" s="4386">
        <f>IFERROR(ROUND(G12/$N$1,3),0)</f>
        <v>0.20599999999999999</v>
      </c>
      <c r="N12" s="4387">
        <f>IFERROR(ROUND(H12/$N$1,3),0)</f>
        <v>0.22500000000000001</v>
      </c>
    </row>
    <row r="13" spans="1:14" ht="15" customHeight="1" thickBot="1">
      <c r="A13" s="3351" t="s">
        <v>219</v>
      </c>
      <c r="B13" s="3352" t="s">
        <v>184</v>
      </c>
      <c r="C13" s="3352"/>
      <c r="D13" s="4388"/>
      <c r="E13" s="4388"/>
      <c r="F13" s="4388"/>
      <c r="G13" s="4388"/>
      <c r="H13" s="4388"/>
      <c r="I13" s="4388"/>
      <c r="J13" s="4388"/>
      <c r="K13" s="4388"/>
      <c r="L13" s="4388"/>
      <c r="M13" s="4388"/>
      <c r="N13" s="4388"/>
    </row>
    <row r="14" spans="1:14" ht="29.25" customHeight="1" thickBot="1">
      <c r="A14" s="4382" t="s">
        <v>263</v>
      </c>
      <c r="B14" s="4402" t="s">
        <v>1493</v>
      </c>
      <c r="C14" s="4399" t="s">
        <v>328</v>
      </c>
      <c r="D14" s="4384">
        <f>IFERROR(ROUND(('16. Необходими приходи'!D25/('16. Необходими приходи'!D27+'16. Необходими приходи'!D29*'16. Необходими приходи'!D49+'16. Необходими приходи'!D30*'16. Необходими приходи'!D50+'16. Необходими приходи'!D31*'16. Необходими приходи'!D51)),3),0)</f>
        <v>1.492</v>
      </c>
      <c r="E14" s="4384">
        <f>IFERROR(ROUND(('16. Необходими приходи'!E25/('16. Необходими приходи'!E27+'16. Необходими приходи'!E29*'16. Необходими приходи'!E49+'16. Необходими приходи'!E30*'16. Необходими приходи'!E50+'16. Необходими приходи'!E31*'16. Необходими приходи'!E51)),3),0)</f>
        <v>1.6240000000000001</v>
      </c>
      <c r="F14" s="4384">
        <f>IFERROR(ROUND(('16. Необходими приходи'!F25/('16. Необходими приходи'!F27+'16. Необходими приходи'!F29*'16. Необходими приходи'!F49+'16. Необходими приходи'!F30*'16. Необходими приходи'!F50+'16. Необходими приходи'!F31*'16. Необходими приходи'!F51)),3),0)</f>
        <v>1.7669999999999999</v>
      </c>
      <c r="G14" s="4384">
        <f>IFERROR(ROUND(('16. Необходими приходи'!G25/('16. Необходими приходи'!G27+'16. Необходими приходи'!G29*'16. Необходими приходи'!G49+'16. Необходими приходи'!G30*'16. Необходими приходи'!G50+'16. Необходими приходи'!G31*'16. Необходими приходи'!G51)),3),0)</f>
        <v>1.9259999999999999</v>
      </c>
      <c r="H14" s="4384">
        <f>IFERROR(ROUND(('16. Необходими приходи'!H25/('16. Необходими приходи'!H27+'16. Необходими приходи'!H29*'16. Необходими приходи'!H49+'16. Необходими приходи'!H30*'16. Необходими приходи'!H50+'16. Необходими приходи'!H31*'16. Необходими приходи'!H51)),3),0)</f>
        <v>2.1040000000000001</v>
      </c>
      <c r="I14" s="4399" t="s">
        <v>1867</v>
      </c>
      <c r="J14" s="4386">
        <f>IFERROR(ROUND(D14/$N$1,3),0)</f>
        <v>0.76300000000000001</v>
      </c>
      <c r="K14" s="4386">
        <f>IFERROR(ROUND(E14/$N$1,3),0)</f>
        <v>0.83</v>
      </c>
      <c r="L14" s="4386">
        <f>IFERROR(ROUND(F14/$N$1,3),0)</f>
        <v>0.90300000000000002</v>
      </c>
      <c r="M14" s="4386">
        <f>IFERROR(ROUND(G14/$N$1,3),0)</f>
        <v>0.98499999999999999</v>
      </c>
      <c r="N14" s="4387">
        <f>IFERROR(ROUND(H14/$N$1,3),0)</f>
        <v>1.0760000000000001</v>
      </c>
    </row>
    <row r="15" spans="1:14" ht="24" customHeight="1">
      <c r="A15" s="3354" t="s">
        <v>264</v>
      </c>
      <c r="B15" s="4403" t="s">
        <v>179</v>
      </c>
      <c r="C15" s="4391"/>
      <c r="D15" s="4391"/>
      <c r="E15" s="4390"/>
      <c r="F15" s="4390"/>
      <c r="G15" s="4390"/>
      <c r="H15" s="4390"/>
      <c r="I15" s="4390"/>
      <c r="J15" s="4390"/>
      <c r="K15" s="4390"/>
      <c r="L15" s="4390"/>
      <c r="M15" s="4390"/>
      <c r="N15" s="4393"/>
    </row>
    <row r="16" spans="1:14">
      <c r="A16" s="3353" t="s">
        <v>1495</v>
      </c>
      <c r="B16" s="4404" t="s">
        <v>180</v>
      </c>
      <c r="C16" s="4392" t="s">
        <v>328</v>
      </c>
      <c r="D16" s="3356">
        <f>IFERROR(ROUND((D14*'16. Необходими приходи'!D49),3),0)</f>
        <v>1.6439999999999999</v>
      </c>
      <c r="E16" s="3356">
        <f>IFERROR(ROUND((E14*'16. Необходими приходи'!E49),3),0)</f>
        <v>1.7889999999999999</v>
      </c>
      <c r="F16" s="3356">
        <f>IFERROR(ROUND((F14*'16. Необходими приходи'!F49),3),0)</f>
        <v>1.9470000000000001</v>
      </c>
      <c r="G16" s="3356">
        <f>IFERROR(ROUND((G14*'16. Необходими приходи'!G49),3),0)</f>
        <v>2.1219999999999999</v>
      </c>
      <c r="H16" s="3356">
        <f>IFERROR(ROUND((H14*'16. Необходими приходи'!H49),3),0)</f>
        <v>2.3180000000000001</v>
      </c>
      <c r="I16" s="4392" t="s">
        <v>1867</v>
      </c>
      <c r="J16" s="4381">
        <f t="shared" ref="J16:N20" si="0">IFERROR(ROUND(D16/$N$1,3),0)</f>
        <v>0.84099999999999997</v>
      </c>
      <c r="K16" s="4381">
        <f t="shared" si="0"/>
        <v>0.91500000000000004</v>
      </c>
      <c r="L16" s="4381">
        <f t="shared" si="0"/>
        <v>0.995</v>
      </c>
      <c r="M16" s="4381">
        <f t="shared" si="0"/>
        <v>1.085</v>
      </c>
      <c r="N16" s="4394">
        <f t="shared" si="0"/>
        <v>1.1850000000000001</v>
      </c>
    </row>
    <row r="17" spans="1:14">
      <c r="A17" s="3355" t="s">
        <v>1496</v>
      </c>
      <c r="B17" s="4404" t="s">
        <v>181</v>
      </c>
      <c r="C17" s="4392" t="s">
        <v>328</v>
      </c>
      <c r="D17" s="3356">
        <f>IFERROR(ROUND((D14*'16. Необходими приходи'!D50),3),0)</f>
        <v>2.8090000000000002</v>
      </c>
      <c r="E17" s="3356">
        <f>IFERROR(ROUND((E14*'16. Необходими приходи'!E50),3),0)</f>
        <v>3.0609999999999999</v>
      </c>
      <c r="F17" s="3356">
        <f>IFERROR(ROUND((F14*'16. Необходими приходи'!F50),3),0)</f>
        <v>3.3340000000000001</v>
      </c>
      <c r="G17" s="3356">
        <f>IFERROR(ROUND((G14*'16. Необходими приходи'!G50),3),0)</f>
        <v>3.637</v>
      </c>
      <c r="H17" s="3356">
        <f>IFERROR(ROUND((H14*'16. Необходими приходи'!H50),3),0)</f>
        <v>3.9790000000000001</v>
      </c>
      <c r="I17" s="4392" t="s">
        <v>1867</v>
      </c>
      <c r="J17" s="4381">
        <f t="shared" si="0"/>
        <v>1.4359999999999999</v>
      </c>
      <c r="K17" s="4381">
        <f t="shared" si="0"/>
        <v>1.5649999999999999</v>
      </c>
      <c r="L17" s="4381">
        <f t="shared" si="0"/>
        <v>1.7050000000000001</v>
      </c>
      <c r="M17" s="4381">
        <f t="shared" si="0"/>
        <v>1.86</v>
      </c>
      <c r="N17" s="4394">
        <f t="shared" si="0"/>
        <v>2.0339999999999998</v>
      </c>
    </row>
    <row r="18" spans="1:14" ht="13.8" thickBot="1">
      <c r="A18" s="4406" t="s">
        <v>1497</v>
      </c>
      <c r="B18" s="4407" t="s">
        <v>182</v>
      </c>
      <c r="C18" s="4395" t="s">
        <v>328</v>
      </c>
      <c r="D18" s="4396">
        <f>IFERROR(ROUND((D14*'16. Необходими приходи'!D51),3),0)</f>
        <v>3.2</v>
      </c>
      <c r="E18" s="4396">
        <f>IFERROR(ROUND((E14*'16. Необходими приходи'!E51),3),0)</f>
        <v>3.4790000000000001</v>
      </c>
      <c r="F18" s="4396">
        <f>IFERROR(ROUND((F14*'16. Необходими приходи'!F51),3),0)</f>
        <v>3.7810000000000001</v>
      </c>
      <c r="G18" s="4396">
        <f>IFERROR(ROUND((G14*'16. Необходими приходи'!G51),3),0)</f>
        <v>4.117</v>
      </c>
      <c r="H18" s="4396">
        <f>IFERROR(ROUND((H14*'16. Необходими приходи'!H51),3),0)</f>
        <v>4.4909999999999997</v>
      </c>
      <c r="I18" s="4395" t="s">
        <v>1867</v>
      </c>
      <c r="J18" s="4397">
        <f t="shared" si="0"/>
        <v>1.6359999999999999</v>
      </c>
      <c r="K18" s="4397">
        <f t="shared" si="0"/>
        <v>1.7789999999999999</v>
      </c>
      <c r="L18" s="4397">
        <f t="shared" si="0"/>
        <v>1.9330000000000001</v>
      </c>
      <c r="M18" s="4397">
        <f t="shared" si="0"/>
        <v>2.105</v>
      </c>
      <c r="N18" s="4398">
        <f t="shared" si="0"/>
        <v>2.2959999999999998</v>
      </c>
    </row>
    <row r="19" spans="1:14" ht="30" customHeight="1" thickBot="1">
      <c r="A19" s="3358" t="s">
        <v>221</v>
      </c>
      <c r="B19" s="4405" t="s">
        <v>1029</v>
      </c>
      <c r="C19" s="4385" t="s">
        <v>328</v>
      </c>
      <c r="D19" s="3357">
        <f>IFERROR(ROUND(('16. Необходими приходи'!D36/'16. Необходими приходи'!D37),3),0)</f>
        <v>0</v>
      </c>
      <c r="E19" s="3357">
        <f>IFERROR(ROUND(('16. Необходими приходи'!E36/'16. Необходими приходи'!E37),3),0)</f>
        <v>0</v>
      </c>
      <c r="F19" s="3357">
        <f>IFERROR(ROUND(('16. Необходими приходи'!F36/'16. Необходими приходи'!F37),3),0)</f>
        <v>0</v>
      </c>
      <c r="G19" s="3357">
        <f>IFERROR(ROUND(('16. Необходими приходи'!G36/'16. Необходими приходи'!G37),3),0)</f>
        <v>0</v>
      </c>
      <c r="H19" s="3357">
        <f>IFERROR(ROUND(('16. Необходими приходи'!H36/'16. Необходими приходи'!H37),3),0)</f>
        <v>0</v>
      </c>
      <c r="I19" s="4399" t="s">
        <v>1867</v>
      </c>
      <c r="J19" s="4386">
        <f t="shared" si="0"/>
        <v>0</v>
      </c>
      <c r="K19" s="4386">
        <f t="shared" si="0"/>
        <v>0</v>
      </c>
      <c r="L19" s="4386">
        <f t="shared" si="0"/>
        <v>0</v>
      </c>
      <c r="M19" s="4386">
        <f t="shared" si="0"/>
        <v>0</v>
      </c>
      <c r="N19" s="4387">
        <f t="shared" si="0"/>
        <v>0</v>
      </c>
    </row>
    <row r="20" spans="1:14" ht="28.5" customHeight="1" thickBot="1">
      <c r="A20" s="3358" t="s">
        <v>308</v>
      </c>
      <c r="B20" s="4405" t="s">
        <v>1092</v>
      </c>
      <c r="C20" s="4385" t="s">
        <v>328</v>
      </c>
      <c r="D20" s="3357">
        <f>IFERROR(ROUND(('16. Необходими приходи'!D42/'16. Необходими приходи'!D43),3),0)</f>
        <v>0.16300000000000001</v>
      </c>
      <c r="E20" s="3357">
        <f>IFERROR(ROUND(('16. Необходими приходи'!E42/'16. Необходими приходи'!E43),3),0)</f>
        <v>0.16600000000000001</v>
      </c>
      <c r="F20" s="3357">
        <f>IFERROR(ROUND(('16. Необходими приходи'!F42/'16. Необходими приходи'!F43),3),0)</f>
        <v>0.17899999999999999</v>
      </c>
      <c r="G20" s="3357">
        <f>IFERROR(ROUND(('16. Необходими приходи'!G42/'16. Необходими приходи'!G43),3),0)</f>
        <v>0.19500000000000001</v>
      </c>
      <c r="H20" s="3357">
        <f>IFERROR(ROUND(('16. Необходими приходи'!H42/'16. Необходими приходи'!H43),3),0)</f>
        <v>0.21099999999999999</v>
      </c>
      <c r="I20" s="4399" t="s">
        <v>1867</v>
      </c>
      <c r="J20" s="4386">
        <f t="shared" si="0"/>
        <v>8.3000000000000004E-2</v>
      </c>
      <c r="K20" s="4386">
        <f t="shared" si="0"/>
        <v>8.5000000000000006E-2</v>
      </c>
      <c r="L20" s="4386">
        <f t="shared" si="0"/>
        <v>9.1999999999999998E-2</v>
      </c>
      <c r="M20" s="4386">
        <f t="shared" si="0"/>
        <v>0.1</v>
      </c>
      <c r="N20" s="4387">
        <f t="shared" si="0"/>
        <v>0.108</v>
      </c>
    </row>
    <row r="21" spans="1:14">
      <c r="A21" s="659"/>
      <c r="B21" s="659"/>
      <c r="C21" s="659"/>
      <c r="D21" s="659"/>
      <c r="E21" s="659"/>
      <c r="F21" s="659"/>
      <c r="G21" s="659"/>
      <c r="H21" s="659"/>
      <c r="J21" s="15"/>
      <c r="K21" s="15"/>
    </row>
    <row r="22" spans="1:14">
      <c r="A22" s="1335"/>
    </row>
    <row r="23" spans="1:14">
      <c r="B23" s="3204" t="str">
        <f>'Приложение '!B82</f>
        <v>Дата: 16.03.2026</v>
      </c>
      <c r="C23" s="659"/>
      <c r="D23" s="659"/>
      <c r="E23" s="659"/>
      <c r="F23" s="659"/>
    </row>
    <row r="24" spans="1:14">
      <c r="B24" s="659"/>
      <c r="C24" s="3359"/>
      <c r="D24" s="3359"/>
      <c r="E24" s="3360"/>
      <c r="F24" s="659"/>
    </row>
    <row r="25" spans="1:14">
      <c r="B25" s="659"/>
      <c r="C25" s="3359"/>
      <c r="D25" s="3359"/>
      <c r="E25" s="3361"/>
      <c r="F25" s="659"/>
    </row>
    <row r="26" spans="1:14">
      <c r="B26" s="659"/>
      <c r="C26" s="659"/>
      <c r="D26" s="3359"/>
      <c r="E26" s="3360"/>
      <c r="F26" s="659"/>
    </row>
    <row r="27" spans="1:14">
      <c r="B27" s="659"/>
      <c r="C27" s="659"/>
      <c r="D27" s="3359"/>
      <c r="E27" s="3360"/>
      <c r="F27" s="659"/>
    </row>
    <row r="28" spans="1:14">
      <c r="B28" s="659"/>
      <c r="C28" s="659"/>
      <c r="D28" s="3359"/>
      <c r="E28" s="3360"/>
      <c r="F28" s="659"/>
    </row>
    <row r="29" spans="1:14">
      <c r="B29" s="659"/>
      <c r="C29" s="659"/>
      <c r="D29" s="3359"/>
      <c r="E29" s="3360"/>
      <c r="F29" s="659"/>
    </row>
    <row r="30" spans="1:14">
      <c r="B30" s="659"/>
      <c r="C30" s="659"/>
      <c r="D30" s="3359"/>
      <c r="E30" s="3360"/>
      <c r="F30" s="659"/>
      <c r="G30" s="659"/>
    </row>
  </sheetData>
  <sheetProtection algorithmName="SHA-512" hashValue="rlhBhVDqUbd4jbERUXtKRu7bS+DqKFsTNcmdhMZ8HDUxGD7sMo8k0FQlh+7F4Qh0MgmIDkRcMO+82Xcd+YH9sw==" saltValue="ZtL4BBbng7IULuuDLzPCGQ==" spinCount="100000" sheet="1" formatCells="0" formatColumns="0" formatRows="0"/>
  <mergeCells count="4">
    <mergeCell ref="A3:H3"/>
    <mergeCell ref="A4:H4"/>
    <mergeCell ref="A5:H5"/>
    <mergeCell ref="A6:H6"/>
  </mergeCells>
  <printOptions horizontalCentered="1"/>
  <pageMargins left="0.23622047244094491" right="0.23622047244094491" top="0.74803149606299213" bottom="0.74803149606299213" header="0.31496062992125984" footer="0.31496062992125984"/>
  <pageSetup paperSize="9" scale="69" orientation="portrait" r:id="rId1"/>
  <headerFooter alignWithMargins="0">
    <oddFooter>&amp;C&amp;A</oddFooter>
  </headerFooter>
  <colBreaks count="1" manualBreakCount="1">
    <brk id="14" min="1" max="29"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9" tint="-0.249977111117893"/>
  </sheetPr>
  <dimension ref="A1:AI87"/>
  <sheetViews>
    <sheetView zoomScale="115" zoomScaleNormal="115" workbookViewId="0">
      <selection activeCell="N8" sqref="N8"/>
    </sheetView>
  </sheetViews>
  <sheetFormatPr defaultRowHeight="13.2"/>
  <cols>
    <col min="1" max="1" width="38.88671875" customWidth="1"/>
    <col min="2" max="2" width="5.44140625" customWidth="1"/>
    <col min="3" max="8" width="7.5546875" customWidth="1"/>
    <col min="9" max="9" width="4.88671875" customWidth="1"/>
    <col min="10" max="10" width="24.44140625" customWidth="1"/>
    <col min="11" max="11" width="6.109375" customWidth="1"/>
    <col min="12" max="23" width="5.33203125" customWidth="1"/>
    <col min="24" max="24" width="4.6640625" customWidth="1"/>
    <col min="25" max="25" width="5.33203125" customWidth="1"/>
    <col min="26" max="26" width="28.88671875" customWidth="1"/>
    <col min="27" max="27" width="4.5546875" customWidth="1"/>
    <col min="34" max="35" width="5.88671875" customWidth="1"/>
  </cols>
  <sheetData>
    <row r="1" spans="1:35" ht="15.6">
      <c r="A1" s="3483" t="s">
        <v>1517</v>
      </c>
      <c r="J1" s="3483" t="s">
        <v>1547</v>
      </c>
      <c r="Y1" s="3483" t="s">
        <v>1586</v>
      </c>
    </row>
    <row r="2" spans="1:35" ht="15.9" customHeight="1">
      <c r="A2" s="5583" t="s">
        <v>2</v>
      </c>
      <c r="B2" s="5584" t="s">
        <v>746</v>
      </c>
      <c r="C2" s="5586" t="s">
        <v>922</v>
      </c>
      <c r="D2" s="5586"/>
      <c r="E2" s="5586"/>
      <c r="F2" s="5586"/>
      <c r="G2" s="5586"/>
      <c r="H2" s="5586"/>
      <c r="J2" s="5603" t="s">
        <v>347</v>
      </c>
      <c r="K2" s="5606" t="s">
        <v>349</v>
      </c>
      <c r="L2" s="5607"/>
      <c r="M2" s="5607"/>
      <c r="N2" s="5607"/>
      <c r="O2" s="5607"/>
      <c r="P2" s="5607"/>
      <c r="Q2" s="5607"/>
      <c r="R2" s="5607"/>
      <c r="S2" s="5607"/>
      <c r="T2" s="5607"/>
      <c r="U2" s="5607"/>
      <c r="V2" s="5607"/>
      <c r="W2" s="5608"/>
      <c r="Y2" s="5599" t="s">
        <v>1591</v>
      </c>
      <c r="Z2" s="5600"/>
      <c r="AA2" s="5600"/>
      <c r="AB2" s="5600"/>
      <c r="AC2" s="5600"/>
      <c r="AD2" s="5600"/>
      <c r="AE2" s="5600"/>
      <c r="AF2" s="5600"/>
      <c r="AG2" s="5600"/>
      <c r="AH2" s="5600"/>
      <c r="AI2" s="5601"/>
    </row>
    <row r="3" spans="1:35" ht="37.5" customHeight="1">
      <c r="A3" s="5583"/>
      <c r="B3" s="5585"/>
      <c r="C3" s="4368" t="str">
        <f>+'15. ОПП'!$B$7</f>
        <v>2024 г.</v>
      </c>
      <c r="D3" s="4368" t="str">
        <f>+'15. ОПП'!$C$7</f>
        <v>2027 г.</v>
      </c>
      <c r="E3" s="4368" t="str">
        <f>+'15. ОПП'!$D$7</f>
        <v>2028 г.</v>
      </c>
      <c r="F3" s="4368" t="str">
        <f>+'15. ОПП'!$E$7</f>
        <v>2029 г.</v>
      </c>
      <c r="G3" s="4368" t="str">
        <f>+'15. ОПП'!$F$7</f>
        <v>2030 г.</v>
      </c>
      <c r="H3" s="4368" t="str">
        <f>+'15. ОПП'!$G$7</f>
        <v>2031 г.</v>
      </c>
      <c r="J3" s="5603"/>
      <c r="K3" s="5603" t="s">
        <v>1536</v>
      </c>
      <c r="L3" s="5604" t="s">
        <v>1553</v>
      </c>
      <c r="M3" s="5604"/>
      <c r="N3" s="5604"/>
      <c r="O3" s="5604"/>
      <c r="P3" s="5604"/>
      <c r="Q3" s="5605"/>
      <c r="R3" s="5603" t="s">
        <v>1549</v>
      </c>
      <c r="S3" s="5603"/>
      <c r="T3" s="5603"/>
      <c r="U3" s="5603"/>
      <c r="V3" s="5603"/>
      <c r="W3" s="5603"/>
      <c r="Y3" s="3484" t="s">
        <v>773</v>
      </c>
      <c r="Z3" s="3484" t="s">
        <v>1590</v>
      </c>
      <c r="AA3" s="3485" t="s">
        <v>746</v>
      </c>
      <c r="AB3" s="3486" t="str">
        <f>+'15. ОПП'!$B$7</f>
        <v>2024 г.</v>
      </c>
      <c r="AC3" s="4368" t="str">
        <f>+'15. ОПП'!$C$7</f>
        <v>2027 г.</v>
      </c>
      <c r="AD3" s="4368" t="str">
        <f>+'15. ОПП'!$D$7</f>
        <v>2028 г.</v>
      </c>
      <c r="AE3" s="4368" t="str">
        <f>+'15. ОПП'!$E$7</f>
        <v>2029 г.</v>
      </c>
      <c r="AF3" s="4368" t="str">
        <f>+'15. ОПП'!$F$7</f>
        <v>2030 г.</v>
      </c>
      <c r="AG3" s="4368" t="str">
        <f>+'15. ОПП'!$G$7</f>
        <v>2031 г.</v>
      </c>
      <c r="AH3" s="3486" t="str">
        <f>CONCATENATE("Индивидуална цел за ",AG3)</f>
        <v>Индивидуална цел за 2031 г.</v>
      </c>
      <c r="AI3" s="3486" t="s">
        <v>780</v>
      </c>
    </row>
    <row r="4" spans="1:35" ht="15.9" customHeight="1">
      <c r="A4" s="3487" t="s">
        <v>1521</v>
      </c>
      <c r="B4" s="3417" t="s">
        <v>784</v>
      </c>
      <c r="C4" s="3488">
        <f>'2. Променливи'!E10</f>
        <v>84367</v>
      </c>
      <c r="D4" s="3488">
        <f>'2. Променливи'!F10</f>
        <v>78970</v>
      </c>
      <c r="E4" s="3488">
        <f>'2. Променливи'!G10</f>
        <v>77644</v>
      </c>
      <c r="F4" s="3488">
        <f>'2. Променливи'!H10</f>
        <v>76320</v>
      </c>
      <c r="G4" s="3488">
        <f>'2. Променливи'!I10</f>
        <v>75019</v>
      </c>
      <c r="H4" s="3488">
        <f>'2. Променливи'!J10</f>
        <v>73987</v>
      </c>
      <c r="J4" s="5603"/>
      <c r="K4" s="5603"/>
      <c r="L4" s="4369" t="str">
        <f>+'15. ОПП'!$B$7</f>
        <v>2024 г.</v>
      </c>
      <c r="M4" s="4369" t="str">
        <f>+'15. ОПП'!$C$7</f>
        <v>2027 г.</v>
      </c>
      <c r="N4" s="4369" t="str">
        <f>+'15. ОПП'!$D$7</f>
        <v>2028 г.</v>
      </c>
      <c r="O4" s="4369" t="str">
        <f>+'15. ОПП'!$E$7</f>
        <v>2029 г.</v>
      </c>
      <c r="P4" s="4369" t="str">
        <f>+'15. ОПП'!$F$7</f>
        <v>2030 г.</v>
      </c>
      <c r="Q4" s="4369" t="str">
        <f>+'15. ОПП'!$G$7</f>
        <v>2031 г.</v>
      </c>
      <c r="R4" s="4369" t="str">
        <f>+'15. ОПП'!$B$7</f>
        <v>2024 г.</v>
      </c>
      <c r="S4" s="4369" t="str">
        <f>+'15. ОПП'!$C$7</f>
        <v>2027 г.</v>
      </c>
      <c r="T4" s="4369" t="str">
        <f>+'15. ОПП'!$D$7</f>
        <v>2028 г.</v>
      </c>
      <c r="U4" s="4369" t="str">
        <f>+'15. ОПП'!$E$7</f>
        <v>2029 г.</v>
      </c>
      <c r="V4" s="4369" t="str">
        <f>+'15. ОПП'!$F$7</f>
        <v>2030 г.</v>
      </c>
      <c r="W4" s="4369" t="str">
        <f>+'15. ОПП'!$G$7</f>
        <v>2031 г.</v>
      </c>
      <c r="Y4" s="3489" t="s">
        <v>116</v>
      </c>
      <c r="Z4" s="3490" t="s">
        <v>751</v>
      </c>
      <c r="AA4" s="3491" t="s">
        <v>170</v>
      </c>
      <c r="AB4" s="3492">
        <f>'3. Показатели за качество'!E9</f>
        <v>0.97660000000000002</v>
      </c>
      <c r="AC4" s="3492">
        <f>'3. Показатели за качество'!F9</f>
        <v>0.98860000000000003</v>
      </c>
      <c r="AD4" s="3492">
        <f>'3. Показатели за качество'!G9</f>
        <v>0.98870000000000002</v>
      </c>
      <c r="AE4" s="3492">
        <f>'3. Показатели за качество'!H9</f>
        <v>0.98880000000000001</v>
      </c>
      <c r="AF4" s="3492">
        <f>'3. Показатели за качество'!I9</f>
        <v>0.98919999999999997</v>
      </c>
      <c r="AG4" s="3492">
        <f>'3. Показатели за качество'!J9</f>
        <v>0.99029999999999996</v>
      </c>
      <c r="AH4" s="3441">
        <f>'3. Показатели за качество'!M9</f>
        <v>0.99029999999999996</v>
      </c>
      <c r="AI4" s="3493">
        <v>0.99</v>
      </c>
    </row>
    <row r="5" spans="1:35" ht="15.9" customHeight="1">
      <c r="A5" s="3487" t="s">
        <v>1522</v>
      </c>
      <c r="B5" s="3418" t="s">
        <v>784</v>
      </c>
      <c r="C5" s="3488">
        <f>'2. Променливи'!E11</f>
        <v>39278</v>
      </c>
      <c r="D5" s="3488">
        <f>'2. Променливи'!F11</f>
        <v>36562</v>
      </c>
      <c r="E5" s="3488">
        <f>'2. Променливи'!G11</f>
        <v>36024</v>
      </c>
      <c r="F5" s="3488">
        <f>'2. Променливи'!H11</f>
        <v>35619</v>
      </c>
      <c r="G5" s="3488">
        <f>'2. Променливи'!I11</f>
        <v>35380</v>
      </c>
      <c r="H5" s="3488">
        <f>'2. Променливи'!J11</f>
        <v>35395</v>
      </c>
      <c r="J5" s="3494" t="s">
        <v>210</v>
      </c>
      <c r="K5" s="3495" t="s">
        <v>1548</v>
      </c>
      <c r="L5" s="3495">
        <f>'6. Ел.Енергия'!C18/1000</f>
        <v>7755.1869999999999</v>
      </c>
      <c r="M5" s="3495">
        <f>'6. Ел.Енергия'!D18/1000</f>
        <v>7676</v>
      </c>
      <c r="N5" s="3495">
        <f>'6. Ел.Енергия'!E18/1000</f>
        <v>7556</v>
      </c>
      <c r="O5" s="3495">
        <f>'6. Ел.Енергия'!F18/1000</f>
        <v>7397</v>
      </c>
      <c r="P5" s="3495">
        <f>'6. Ел.Енергия'!G18/1000</f>
        <v>7165</v>
      </c>
      <c r="Q5" s="3495">
        <f>'6. Ел.Енергия'!H18/1000</f>
        <v>6853</v>
      </c>
      <c r="R5" s="3495">
        <f>'6. Ел.Енергия'!I18</f>
        <v>1711.7496171907223</v>
      </c>
      <c r="S5" s="3495">
        <f>'6. Ел.Енергия'!J18</f>
        <v>2129.4196828499189</v>
      </c>
      <c r="T5" s="3495">
        <f>'6. Ел.Енергия'!K18</f>
        <v>2096.24498970694</v>
      </c>
      <c r="U5" s="3495">
        <f>'6. Ел.Енергия'!L18</f>
        <v>2052.2195582674922</v>
      </c>
      <c r="V5" s="3495">
        <f>'6. Ел.Енергия'!M18</f>
        <v>1987.8836364910649</v>
      </c>
      <c r="W5" s="3495">
        <f>'6. Ел.Енергия'!N18</f>
        <v>1901.2896591193185</v>
      </c>
      <c r="Y5" s="3489" t="s">
        <v>117</v>
      </c>
      <c r="Z5" s="3490" t="s">
        <v>752</v>
      </c>
      <c r="AA5" s="3491" t="s">
        <v>170</v>
      </c>
      <c r="AB5" s="3492">
        <f>'3. Показатели за качество'!E10</f>
        <v>1</v>
      </c>
      <c r="AC5" s="3492">
        <f>'3. Показатели за качество'!F10</f>
        <v>0.99629999999999996</v>
      </c>
      <c r="AD5" s="3492">
        <f>'3. Показатели за качество'!G10</f>
        <v>0.99719999999999998</v>
      </c>
      <c r="AE5" s="3492">
        <f>'3. Показатели за качество'!H10</f>
        <v>0.99809999999999999</v>
      </c>
      <c r="AF5" s="3492">
        <f>'3. Показатели за качество'!I10</f>
        <v>0.99909999999999999</v>
      </c>
      <c r="AG5" s="3492">
        <f>'3. Показатели за качество'!J10</f>
        <v>1</v>
      </c>
      <c r="AH5" s="3441">
        <f>'3. Показатели за качество'!M10</f>
        <v>1</v>
      </c>
      <c r="AI5" s="3493">
        <v>0.99</v>
      </c>
    </row>
    <row r="6" spans="1:35" ht="15.9" customHeight="1">
      <c r="A6" s="3487" t="s">
        <v>1523</v>
      </c>
      <c r="B6" s="3418" t="s">
        <v>784</v>
      </c>
      <c r="C6" s="3488">
        <f>'2. Променливи'!E12</f>
        <v>34439</v>
      </c>
      <c r="D6" s="3488">
        <f>'2. Променливи'!F12</f>
        <v>34078</v>
      </c>
      <c r="E6" s="3488">
        <f>'2. Променливи'!G12</f>
        <v>33582</v>
      </c>
      <c r="F6" s="3488">
        <f>'2. Променливи'!H12</f>
        <v>33219</v>
      </c>
      <c r="G6" s="3488">
        <f>'2. Променливи'!I12</f>
        <v>33022</v>
      </c>
      <c r="H6" s="3488">
        <f>'2. Променливи'!J12</f>
        <v>33072</v>
      </c>
      <c r="J6" s="3496" t="s">
        <v>350</v>
      </c>
      <c r="K6" s="3497" t="s">
        <v>1548</v>
      </c>
      <c r="L6" s="3702"/>
      <c r="M6" s="3499">
        <f>'6. Ел.Енергия'!D19/1000</f>
        <v>-79.186999999999998</v>
      </c>
      <c r="N6" s="3499">
        <f>'6. Ел.Енергия'!E19/1000</f>
        <v>-120</v>
      </c>
      <c r="O6" s="3499">
        <f>'6. Ел.Енергия'!F19/1000</f>
        <v>-159</v>
      </c>
      <c r="P6" s="3499">
        <f>'6. Ел.Енергия'!G19/1000</f>
        <v>-232</v>
      </c>
      <c r="Q6" s="3499">
        <f>'6. Ел.Енергия'!H19/1000</f>
        <v>-312</v>
      </c>
      <c r="R6" s="3702"/>
      <c r="S6" s="3499">
        <f>'6. Ел.Енергия'!J19</f>
        <v>417.67006565919655</v>
      </c>
      <c r="T6" s="3499">
        <f>'6. Ел.Енергия'!K19</f>
        <v>-33.174693142978867</v>
      </c>
      <c r="U6" s="3499">
        <f>'6. Ел.Енергия'!L19</f>
        <v>-44.025431439447857</v>
      </c>
      <c r="V6" s="3499">
        <f>'6. Ел.Енергия'!M19</f>
        <v>-64.335921776427313</v>
      </c>
      <c r="W6" s="3499">
        <f>'6. Ел.Енергия'!N19</f>
        <v>-86.593977371746405</v>
      </c>
      <c r="Y6" s="3489" t="s">
        <v>118</v>
      </c>
      <c r="Z6" s="3490" t="s">
        <v>753</v>
      </c>
      <c r="AA6" s="3491" t="s">
        <v>170</v>
      </c>
      <c r="AB6" s="3492">
        <f>'3. Показатели за качество'!E11</f>
        <v>0.99929999999999997</v>
      </c>
      <c r="AC6" s="3492">
        <f>'3. Показатели за качество'!F11</f>
        <v>0.99439999999999995</v>
      </c>
      <c r="AD6" s="3492">
        <f>'3. Показатели за качество'!G11</f>
        <v>0.995</v>
      </c>
      <c r="AE6" s="3492">
        <f>'3. Показатели за качество'!H11</f>
        <v>0.99529999999999996</v>
      </c>
      <c r="AF6" s="3492">
        <f>'3. Показатели за качество'!I11</f>
        <v>0.996</v>
      </c>
      <c r="AG6" s="3492">
        <f>'3. Показатели за качество'!J11</f>
        <v>0.99690000000000001</v>
      </c>
      <c r="AH6" s="3441">
        <f>'3. Показатели за качество'!M11</f>
        <v>0.99690000000000001</v>
      </c>
      <c r="AI6" s="3493">
        <v>0.98</v>
      </c>
    </row>
    <row r="7" spans="1:35" ht="15.9" customHeight="1">
      <c r="A7" s="3500" t="s">
        <v>1525</v>
      </c>
      <c r="B7" s="3419" t="s">
        <v>784</v>
      </c>
      <c r="C7" s="3501">
        <f>'2. Променливи'!E13</f>
        <v>86390</v>
      </c>
      <c r="D7" s="3501">
        <f>'2. Променливи'!F13</f>
        <v>79882</v>
      </c>
      <c r="E7" s="3501">
        <f>'2. Променливи'!G13</f>
        <v>78535</v>
      </c>
      <c r="F7" s="3501">
        <f>'2. Променливи'!H13</f>
        <v>77188</v>
      </c>
      <c r="G7" s="3501">
        <f>'2. Променливи'!I13</f>
        <v>75841</v>
      </c>
      <c r="H7" s="3501">
        <f>'2. Променливи'!J13</f>
        <v>74709</v>
      </c>
      <c r="J7" s="3502" t="s">
        <v>1555</v>
      </c>
      <c r="K7" s="3503" t="s">
        <v>1550</v>
      </c>
      <c r="L7" s="3504">
        <f>'6. Ел.Енергия'!C20</f>
        <v>0.81564938376571872</v>
      </c>
      <c r="M7" s="3504">
        <f>'6. Ел.Енергия'!D20</f>
        <v>0.81598809397257366</v>
      </c>
      <c r="N7" s="3504">
        <f>'6. Ел.Енергия'!E20</f>
        <v>0.81404869640163757</v>
      </c>
      <c r="O7" s="3504">
        <f>'6. Ел.Енергия'!F20</f>
        <v>0.80992007007555022</v>
      </c>
      <c r="P7" s="3504">
        <f>'6. Ел.Енергия'!G20</f>
        <v>0.80208216724504644</v>
      </c>
      <c r="Q7" s="3504">
        <f>'6. Ел.Енергия'!H20</f>
        <v>0.7924833766984678</v>
      </c>
      <c r="R7" s="3498"/>
      <c r="S7" s="3498"/>
      <c r="T7" s="3498"/>
      <c r="U7" s="3498"/>
      <c r="V7" s="3498"/>
      <c r="W7" s="3498"/>
      <c r="Y7" s="3489" t="s">
        <v>119</v>
      </c>
      <c r="Z7" s="3490" t="s">
        <v>754</v>
      </c>
      <c r="AA7" s="3491" t="s">
        <v>170</v>
      </c>
      <c r="AB7" s="3492">
        <f>'3. Показатели за качество'!E12</f>
        <v>1</v>
      </c>
      <c r="AC7" s="3492">
        <f>'3. Показатели за качество'!F12</f>
        <v>1</v>
      </c>
      <c r="AD7" s="3492">
        <f>'3. Показатели за качество'!G12</f>
        <v>1</v>
      </c>
      <c r="AE7" s="3492">
        <f>'3. Показатели за качество'!H12</f>
        <v>1</v>
      </c>
      <c r="AF7" s="3492">
        <f>'3. Показатели за качество'!I12</f>
        <v>1</v>
      </c>
      <c r="AG7" s="3492">
        <f>'3. Показатели за качество'!J12</f>
        <v>1</v>
      </c>
      <c r="AH7" s="3441">
        <f>'3. Показатели за качество'!M12</f>
        <v>1</v>
      </c>
      <c r="AI7" s="3493">
        <v>1</v>
      </c>
    </row>
    <row r="8" spans="1:35" ht="15.9" customHeight="1">
      <c r="A8" s="3487" t="s">
        <v>1518</v>
      </c>
      <c r="B8" s="3417" t="s">
        <v>784</v>
      </c>
      <c r="C8" s="3488">
        <f>'2. Променливи'!E17</f>
        <v>86</v>
      </c>
      <c r="D8" s="3488">
        <f>'2. Променливи'!F17</f>
        <v>86</v>
      </c>
      <c r="E8" s="3488">
        <f>'2. Променливи'!G17</f>
        <v>86</v>
      </c>
      <c r="F8" s="3488">
        <f>'2. Променливи'!H17</f>
        <v>86</v>
      </c>
      <c r="G8" s="3488">
        <f>'2. Променливи'!I17</f>
        <v>86</v>
      </c>
      <c r="H8" s="3488">
        <f>'2. Променливи'!J17</f>
        <v>86</v>
      </c>
      <c r="J8" s="3494" t="s">
        <v>174</v>
      </c>
      <c r="K8" s="3495" t="s">
        <v>1548</v>
      </c>
      <c r="L8" s="3495">
        <f>'6. Ел.Енергия'!C34/1000</f>
        <v>7.9000000000000001E-2</v>
      </c>
      <c r="M8" s="3495">
        <f>'6. Ел.Енергия'!D34/1000</f>
        <v>0.2</v>
      </c>
      <c r="N8" s="3495">
        <f>'6. Ел.Енергия'!E34/1000</f>
        <v>0.2</v>
      </c>
      <c r="O8" s="3495">
        <f>'6. Ел.Енергия'!F34/1000</f>
        <v>0.2</v>
      </c>
      <c r="P8" s="3495">
        <f>'6. Ел.Енергия'!G34/1000</f>
        <v>0.2</v>
      </c>
      <c r="Q8" s="3495">
        <f>'6. Ел.Енергия'!H34/1000</f>
        <v>0.2</v>
      </c>
      <c r="R8" s="3495">
        <f>'6. Ел.Енергия'!I34</f>
        <v>0.10119588130589609</v>
      </c>
      <c r="S8" s="3495">
        <f>'6. Ел.Енергия'!J34</f>
        <v>0.1608089622382991</v>
      </c>
      <c r="T8" s="3495">
        <f>'6. Ел.Енергия'!K34</f>
        <v>0.1608089622382991</v>
      </c>
      <c r="U8" s="3495">
        <f>'6. Ел.Енергия'!L34</f>
        <v>0.1608089622382991</v>
      </c>
      <c r="V8" s="3495">
        <f>'6. Ел.Енергия'!M34</f>
        <v>0.1608089622382991</v>
      </c>
      <c r="W8" s="3495">
        <f>'6. Ел.Енергия'!N34</f>
        <v>0.1608089622382991</v>
      </c>
      <c r="Y8" s="3489" t="s">
        <v>120</v>
      </c>
      <c r="Z8" s="3490" t="s">
        <v>755</v>
      </c>
      <c r="AA8" s="3491" t="s">
        <v>1033</v>
      </c>
      <c r="AB8" s="3506">
        <f>'3. Показатели за качество'!E13</f>
        <v>1.173</v>
      </c>
      <c r="AC8" s="3506">
        <f>'3. Показатели за качество'!F13</f>
        <v>1.1579999999999999</v>
      </c>
      <c r="AD8" s="3506">
        <f>'3. Показатели за качество'!G13</f>
        <v>1.1559999999999999</v>
      </c>
      <c r="AE8" s="3506">
        <f>'3. Показатели за качество'!H13</f>
        <v>1.153</v>
      </c>
      <c r="AF8" s="3506">
        <f>'3. Показатели за качество'!I13</f>
        <v>1.1519999999999999</v>
      </c>
      <c r="AG8" s="3506">
        <f>'3. Показатели за качество'!J13</f>
        <v>1.151</v>
      </c>
      <c r="AH8" s="3507">
        <f>'3. Показатели за качество'!M13</f>
        <v>1.151</v>
      </c>
      <c r="AI8" s="3440">
        <v>8</v>
      </c>
    </row>
    <row r="9" spans="1:35" ht="15.9" customHeight="1">
      <c r="A9" s="3487" t="s">
        <v>1519</v>
      </c>
      <c r="B9" s="3417" t="s">
        <v>784</v>
      </c>
      <c r="C9" s="3488">
        <f>'2. Променливи'!E18</f>
        <v>6</v>
      </c>
      <c r="D9" s="3488">
        <f>'2. Променливи'!F18</f>
        <v>6</v>
      </c>
      <c r="E9" s="3488">
        <f>'2. Променливи'!G18</f>
        <v>6</v>
      </c>
      <c r="F9" s="3488">
        <f>'2. Променливи'!H18</f>
        <v>6</v>
      </c>
      <c r="G9" s="3488">
        <f>'2. Променливи'!I18</f>
        <v>6</v>
      </c>
      <c r="H9" s="3488">
        <f>'2. Променливи'!J18</f>
        <v>6</v>
      </c>
      <c r="J9" s="3496" t="s">
        <v>350</v>
      </c>
      <c r="K9" s="3497" t="s">
        <v>1548</v>
      </c>
      <c r="L9" s="3702"/>
      <c r="M9" s="3499">
        <f>'6. Ел.Енергия'!D35/1000</f>
        <v>0.121</v>
      </c>
      <c r="N9" s="3499">
        <f>'6. Ел.Енергия'!E35/1000</f>
        <v>0</v>
      </c>
      <c r="O9" s="3499">
        <f>'6. Ел.Енергия'!F35/1000</f>
        <v>0</v>
      </c>
      <c r="P9" s="3499">
        <f>'6. Ел.Енергия'!G35/1000</f>
        <v>0</v>
      </c>
      <c r="Q9" s="3499">
        <f>'6. Ел.Енергия'!H35/1000</f>
        <v>0</v>
      </c>
      <c r="R9" s="3702"/>
      <c r="S9" s="3499">
        <f>'6. Ел.Енергия'!J35</f>
        <v>5.9613080932403015E-2</v>
      </c>
      <c r="T9" s="3499">
        <f>'6. Ел.Енергия'!K35</f>
        <v>0</v>
      </c>
      <c r="U9" s="3499">
        <f>'6. Ел.Енергия'!L35</f>
        <v>0</v>
      </c>
      <c r="V9" s="3499">
        <f>'6. Ел.Енергия'!M35</f>
        <v>0</v>
      </c>
      <c r="W9" s="3499">
        <f>'6. Ел.Енергия'!N35</f>
        <v>0</v>
      </c>
      <c r="Y9" s="3489" t="s">
        <v>744</v>
      </c>
      <c r="Z9" s="3490" t="s">
        <v>756</v>
      </c>
      <c r="AA9" s="3491" t="s">
        <v>1587</v>
      </c>
      <c r="AB9" s="3508">
        <f>'3. Показатели за качество'!E14</f>
        <v>8.68</v>
      </c>
      <c r="AC9" s="3508">
        <f>'3. Показатели за качество'!F14</f>
        <v>8.51</v>
      </c>
      <c r="AD9" s="3508">
        <f>'3. Показатели за качество'!G14</f>
        <v>8.3000000000000007</v>
      </c>
      <c r="AE9" s="3508">
        <f>'3. Показатели за качество'!H14</f>
        <v>8.06</v>
      </c>
      <c r="AF9" s="3508">
        <f>'3. Показатели за качество'!I14</f>
        <v>7.73</v>
      </c>
      <c r="AG9" s="3508">
        <f>'3. Показатели за качество'!J14</f>
        <v>7.28</v>
      </c>
      <c r="AH9" s="3509">
        <f>'3. Показатели за качество'!M14</f>
        <v>7.28</v>
      </c>
      <c r="AI9" s="3440">
        <v>15</v>
      </c>
    </row>
    <row r="10" spans="1:35" ht="15.9" customHeight="1">
      <c r="A10" s="3487" t="s">
        <v>1520</v>
      </c>
      <c r="B10" s="3417" t="s">
        <v>784</v>
      </c>
      <c r="C10" s="3488">
        <f>'2. Променливи'!E19</f>
        <v>4</v>
      </c>
      <c r="D10" s="3488">
        <f>'2. Променливи'!F19</f>
        <v>5</v>
      </c>
      <c r="E10" s="3488">
        <f>'2. Променливи'!G19</f>
        <v>5</v>
      </c>
      <c r="F10" s="3488">
        <f>'2. Променливи'!H19</f>
        <v>5</v>
      </c>
      <c r="G10" s="3488">
        <f>'2. Променливи'!I19</f>
        <v>5</v>
      </c>
      <c r="H10" s="3488">
        <f>'2. Променливи'!J19</f>
        <v>5</v>
      </c>
      <c r="J10" s="3494" t="s">
        <v>184</v>
      </c>
      <c r="K10" s="3495" t="s">
        <v>1548</v>
      </c>
      <c r="L10" s="3495">
        <f>'6. Ел.Енергия'!C49/1000</f>
        <v>1713.248</v>
      </c>
      <c r="M10" s="3495">
        <f>'6. Ел.Енергия'!D49/1000</f>
        <v>1722.7506519999999</v>
      </c>
      <c r="N10" s="3495">
        <f>'6. Ел.Енергия'!E49/1000</f>
        <v>1706.11292</v>
      </c>
      <c r="O10" s="3495">
        <f>'6. Ел.Енергия'!F49/1000</f>
        <v>1689.6228479999997</v>
      </c>
      <c r="P10" s="3495">
        <f>'6. Ел.Енергия'!G49/1000</f>
        <v>1673.2778919999998</v>
      </c>
      <c r="Q10" s="3495">
        <f>'6. Ел.Енергия'!H49/1000</f>
        <v>1662.91059</v>
      </c>
      <c r="R10" s="3495">
        <f>'6. Ел.Енергия'!I49</f>
        <v>364.53395739713028</v>
      </c>
      <c r="S10" s="3495">
        <f>'6. Ел.Енергия'!J49</f>
        <v>451.79413745830556</v>
      </c>
      <c r="T10" s="3495">
        <f>'6. Ел.Енергия'!K49</f>
        <v>447.48456954858585</v>
      </c>
      <c r="U10" s="3495">
        <f>'6. Ел.Енергия'!L49</f>
        <v>443.21163649052198</v>
      </c>
      <c r="V10" s="3495">
        <f>'6. Ел.Енергия'!M49</f>
        <v>438.97458570007905</v>
      </c>
      <c r="W10" s="3495">
        <f>'6. Ел.Енергия'!N49</f>
        <v>436.21696502337039</v>
      </c>
      <c r="Y10" s="3489" t="s">
        <v>745</v>
      </c>
      <c r="Z10" s="3490" t="s">
        <v>756</v>
      </c>
      <c r="AA10" s="3491" t="s">
        <v>170</v>
      </c>
      <c r="AB10" s="3492">
        <f>'3. Показатели за качество'!E15</f>
        <v>0.5988</v>
      </c>
      <c r="AC10" s="3492">
        <f>'3. Показатели за качество'!F15</f>
        <v>0.59660000000000002</v>
      </c>
      <c r="AD10" s="3492">
        <f>'3. Показатели за качество'!G15</f>
        <v>0.59009999999999996</v>
      </c>
      <c r="AE10" s="3492">
        <f>'3. Показатели за качество'!H15</f>
        <v>0.58230000000000004</v>
      </c>
      <c r="AF10" s="3492">
        <f>'3. Показатели за качество'!I15</f>
        <v>0.5716</v>
      </c>
      <c r="AG10" s="3492">
        <f>'3. Показатели за качество'!J15</f>
        <v>0.55549999999999999</v>
      </c>
      <c r="AH10" s="3441">
        <f>'3. Показатели за качество'!M15</f>
        <v>0.55549999999999999</v>
      </c>
      <c r="AI10" s="3493">
        <v>0.49</v>
      </c>
    </row>
    <row r="11" spans="1:35" ht="15.9" customHeight="1">
      <c r="A11" s="3500" t="s">
        <v>1524</v>
      </c>
      <c r="B11" s="3420" t="s">
        <v>784</v>
      </c>
      <c r="C11" s="3501">
        <f>'2. Променливи'!E20</f>
        <v>88</v>
      </c>
      <c r="D11" s="3501">
        <f>'2. Променливи'!F20</f>
        <v>88</v>
      </c>
      <c r="E11" s="3501">
        <f>'2. Променливи'!G20</f>
        <v>88</v>
      </c>
      <c r="F11" s="3501">
        <f>'2. Променливи'!H20</f>
        <v>88</v>
      </c>
      <c r="G11" s="3501">
        <f>'2. Променливи'!I20</f>
        <v>88</v>
      </c>
      <c r="H11" s="3501">
        <f>'2. Променливи'!J20</f>
        <v>88</v>
      </c>
      <c r="J11" s="3496" t="s">
        <v>350</v>
      </c>
      <c r="K11" s="3497" t="s">
        <v>1548</v>
      </c>
      <c r="L11" s="3702"/>
      <c r="M11" s="3499">
        <f>'6. Ел.Енергия'!D50/1000</f>
        <v>9.5026520000000012</v>
      </c>
      <c r="N11" s="3499">
        <f>'6. Ел.Енергия'!E50/1000</f>
        <v>-16.637732000000078</v>
      </c>
      <c r="O11" s="3499">
        <f>'6. Ел.Енергия'!F50/1000</f>
        <v>-16.490072000000161</v>
      </c>
      <c r="P11" s="3499">
        <f>'6. Ел.Енергия'!G50/1000</f>
        <v>-16.344956000000007</v>
      </c>
      <c r="Q11" s="3499">
        <f>'6. Ел.Енергия'!H50/1000</f>
        <v>-10.367301999999908</v>
      </c>
      <c r="R11" s="3702"/>
      <c r="S11" s="3499">
        <f>'6. Ел.Енергия'!J50</f>
        <v>87.260180061175276</v>
      </c>
      <c r="T11" s="3499">
        <f>'6. Ел.Енергия'!K50</f>
        <v>-4.3095679097197035</v>
      </c>
      <c r="U11" s="3499">
        <f>'6. Ел.Енергия'!L50</f>
        <v>-4.2729330580638702</v>
      </c>
      <c r="V11" s="3499">
        <f>'6. Ел.Енергия'!M50</f>
        <v>-4.237050790442936</v>
      </c>
      <c r="W11" s="3499">
        <f>'6. Ел.Енергия'!N50</f>
        <v>-2.7576206767086546</v>
      </c>
      <c r="Y11" s="3489" t="s">
        <v>121</v>
      </c>
      <c r="Z11" s="3490" t="s">
        <v>757</v>
      </c>
      <c r="AA11" s="3491" t="s">
        <v>749</v>
      </c>
      <c r="AB11" s="3508">
        <f>'3. Показатели за качество'!E16</f>
        <v>116.49</v>
      </c>
      <c r="AC11" s="3508">
        <f>'3. Показатели за качество'!F16</f>
        <v>89.92</v>
      </c>
      <c r="AD11" s="3508">
        <f>'3. Показатели за качество'!G16</f>
        <v>89.62</v>
      </c>
      <c r="AE11" s="3508">
        <f>'3. Показатели за качество'!H16</f>
        <v>89.51</v>
      </c>
      <c r="AF11" s="3508">
        <f>'3. Показатели за качество'!I16</f>
        <v>89.24</v>
      </c>
      <c r="AG11" s="3508">
        <f>'3. Показатели за качество'!J16</f>
        <v>88.95</v>
      </c>
      <c r="AH11" s="3509">
        <f>'3. Показатели за качество'!M16</f>
        <v>88.95</v>
      </c>
      <c r="AI11" s="3440">
        <v>60</v>
      </c>
    </row>
    <row r="12" spans="1:35" ht="15.9" customHeight="1">
      <c r="J12" s="3502" t="s">
        <v>1554</v>
      </c>
      <c r="K12" s="3503" t="s">
        <v>1550</v>
      </c>
      <c r="L12" s="3510">
        <f>'6. Ел.Енергия'!C51</f>
        <v>0.2979775246504619</v>
      </c>
      <c r="M12" s="3510">
        <f>'6. Ел.Енергия'!D51</f>
        <v>0.29199999999999998</v>
      </c>
      <c r="N12" s="3510">
        <f>'6. Ел.Енергия'!E51</f>
        <v>0.28999999999999998</v>
      </c>
      <c r="O12" s="3510">
        <f>'6. Ел.Енергия'!F51</f>
        <v>0.28799999999999998</v>
      </c>
      <c r="P12" s="3510">
        <f>'6. Ел.Енергия'!G51</f>
        <v>0.28599999999999998</v>
      </c>
      <c r="Q12" s="3510">
        <f>'6. Ел.Енергия'!H51</f>
        <v>0.28499999999999998</v>
      </c>
      <c r="R12" s="3498"/>
      <c r="S12" s="3498"/>
      <c r="T12" s="3498"/>
      <c r="U12" s="3498"/>
      <c r="V12" s="3498"/>
      <c r="W12" s="3498"/>
      <c r="Y12" s="3489" t="s">
        <v>1247</v>
      </c>
      <c r="Z12" s="3490" t="s">
        <v>758</v>
      </c>
      <c r="AA12" s="3491" t="s">
        <v>170</v>
      </c>
      <c r="AB12" s="3492">
        <f>'3. Показатели за качество'!E17</f>
        <v>4.9000000000000002E-2</v>
      </c>
      <c r="AC12" s="3492">
        <f>'3. Показатели за качество'!F17</f>
        <v>0.14749999999999999</v>
      </c>
      <c r="AD12" s="3492">
        <f>'3. Показатели за качество'!G17</f>
        <v>0.192</v>
      </c>
      <c r="AE12" s="3492">
        <f>'3. Показатели за качество'!H17</f>
        <v>0.3</v>
      </c>
      <c r="AF12" s="3492">
        <f>'3. Показатели за качество'!I17</f>
        <v>0.43380000000000002</v>
      </c>
      <c r="AG12" s="3492">
        <f>'3. Показатели за качество'!J17</f>
        <v>0.56520000000000004</v>
      </c>
      <c r="AH12" s="3441">
        <f>'3. Показатели за качество'!M17</f>
        <v>0.5645</v>
      </c>
      <c r="AI12" s="3493">
        <v>1</v>
      </c>
    </row>
    <row r="13" spans="1:35" ht="15.9" customHeight="1">
      <c r="A13" s="5583" t="s">
        <v>2</v>
      </c>
      <c r="B13" s="5583" t="s">
        <v>746</v>
      </c>
      <c r="C13" s="5586" t="s">
        <v>922</v>
      </c>
      <c r="D13" s="5586"/>
      <c r="E13" s="5586"/>
      <c r="F13" s="5586"/>
      <c r="G13" s="5586"/>
      <c r="H13" s="5586"/>
      <c r="J13" s="3511" t="s">
        <v>1235</v>
      </c>
      <c r="K13" s="3495" t="s">
        <v>1548</v>
      </c>
      <c r="L13" s="3495">
        <f>'6. Ел.Енергия'!C65/1000</f>
        <v>0</v>
      </c>
      <c r="M13" s="3495">
        <f>'6. Ел.Енергия'!D65/1000</f>
        <v>0</v>
      </c>
      <c r="N13" s="3495">
        <f>'6. Ел.Енергия'!E65/1000</f>
        <v>0</v>
      </c>
      <c r="O13" s="3495">
        <f>'6. Ел.Енергия'!F65/1000</f>
        <v>0</v>
      </c>
      <c r="P13" s="3495">
        <f>'6. Ел.Енергия'!G65/1000</f>
        <v>0</v>
      </c>
      <c r="Q13" s="3495">
        <f>'6. Ел.Енергия'!H65/1000</f>
        <v>0</v>
      </c>
      <c r="R13" s="3495">
        <f>'6. Ел.Енергия'!I65</f>
        <v>0</v>
      </c>
      <c r="S13" s="3495">
        <f>'6. Ел.Енергия'!J65</f>
        <v>0</v>
      </c>
      <c r="T13" s="3495">
        <f>'6. Ел.Енергия'!K65</f>
        <v>0</v>
      </c>
      <c r="U13" s="3495">
        <f>'6. Ел.Енергия'!L65</f>
        <v>0</v>
      </c>
      <c r="V13" s="3495">
        <f>'6. Ел.Енергия'!M65</f>
        <v>0</v>
      </c>
      <c r="W13" s="3495">
        <f>'6. Ел.Енергия'!N65</f>
        <v>0</v>
      </c>
      <c r="Y13" s="3489" t="s">
        <v>122</v>
      </c>
      <c r="Z13" s="3490" t="s">
        <v>759</v>
      </c>
      <c r="AA13" s="3491" t="s">
        <v>170</v>
      </c>
      <c r="AB13" s="3492">
        <f>'3. Показатели за качество'!E18</f>
        <v>0.45469999999999999</v>
      </c>
      <c r="AC13" s="3492">
        <f>'3. Показатели за качество'!F18</f>
        <v>0.4577</v>
      </c>
      <c r="AD13" s="3492">
        <f>'3. Показатели за качество'!G18</f>
        <v>0.4587</v>
      </c>
      <c r="AE13" s="3492">
        <f>'3. Показатели за качество'!H18</f>
        <v>0.46150000000000002</v>
      </c>
      <c r="AF13" s="3492">
        <f>'3. Показатели за качество'!I18</f>
        <v>0.46650000000000003</v>
      </c>
      <c r="AG13" s="3492">
        <f>'3. Показатели за качество'!J18</f>
        <v>0.4738</v>
      </c>
      <c r="AH13" s="3441">
        <f>'3. Показатели за качество'!M18</f>
        <v>0.4738</v>
      </c>
      <c r="AI13" s="3493">
        <v>0.75</v>
      </c>
    </row>
    <row r="14" spans="1:35" ht="15.9" customHeight="1">
      <c r="A14" s="5583"/>
      <c r="B14" s="5583"/>
      <c r="C14" s="4368" t="str">
        <f>+'15. ОПП'!$B$7</f>
        <v>2024 г.</v>
      </c>
      <c r="D14" s="4368" t="str">
        <f>+'15. ОПП'!$C$7</f>
        <v>2027 г.</v>
      </c>
      <c r="E14" s="4368" t="str">
        <f>+'15. ОПП'!$D$7</f>
        <v>2028 г.</v>
      </c>
      <c r="F14" s="4368" t="str">
        <f>+'15. ОПП'!$E$7</f>
        <v>2029 г.</v>
      </c>
      <c r="G14" s="4368" t="str">
        <f>+'15. ОПП'!$F$7</f>
        <v>2030 г.</v>
      </c>
      <c r="H14" s="4368" t="str">
        <f>+'15. ОПП'!$G$7</f>
        <v>2031 г.</v>
      </c>
      <c r="J14" s="3496" t="s">
        <v>350</v>
      </c>
      <c r="K14" s="3497" t="s">
        <v>1548</v>
      </c>
      <c r="L14" s="3702"/>
      <c r="M14" s="3499">
        <f>'6. Ел.Енергия'!D66/1000</f>
        <v>0</v>
      </c>
      <c r="N14" s="3499">
        <f>'6. Ел.Енергия'!E66/1000</f>
        <v>0</v>
      </c>
      <c r="O14" s="3499">
        <f>'6. Ел.Енергия'!F66/1000</f>
        <v>0</v>
      </c>
      <c r="P14" s="3499">
        <f>'6. Ел.Енергия'!G66/1000</f>
        <v>0</v>
      </c>
      <c r="Q14" s="3499">
        <f>'6. Ел.Енергия'!H66/1000</f>
        <v>0</v>
      </c>
      <c r="R14" s="3702"/>
      <c r="S14" s="3499">
        <f>'6. Ел.Енергия'!J66</f>
        <v>0</v>
      </c>
      <c r="T14" s="3499">
        <f>'6. Ел.Енергия'!K66</f>
        <v>0</v>
      </c>
      <c r="U14" s="3499">
        <f>'6. Ел.Енергия'!L66</f>
        <v>0</v>
      </c>
      <c r="V14" s="3499">
        <f>'6. Ел.Енергия'!M66</f>
        <v>0</v>
      </c>
      <c r="W14" s="3499">
        <f>'6. Ел.Енергия'!N66</f>
        <v>0</v>
      </c>
      <c r="Y14" s="3489" t="s">
        <v>123</v>
      </c>
      <c r="Z14" s="3490" t="s">
        <v>760</v>
      </c>
      <c r="AA14" s="3491" t="s">
        <v>170</v>
      </c>
      <c r="AB14" s="3492">
        <f>'3. Показатели за качество'!E19</f>
        <v>0.39860000000000001</v>
      </c>
      <c r="AC14" s="3492">
        <f>'3. Показатели за качество'!F19</f>
        <v>0.42659999999999998</v>
      </c>
      <c r="AD14" s="3492">
        <f>'3. Показатели за качество'!G19</f>
        <v>0.42759999999999998</v>
      </c>
      <c r="AE14" s="3492">
        <f>'3. Показатели за качество'!H19</f>
        <v>0.4304</v>
      </c>
      <c r="AF14" s="3492">
        <f>'3. Показатели за качество'!I19</f>
        <v>0.43540000000000001</v>
      </c>
      <c r="AG14" s="3492">
        <f>'3. Показатели за качество'!J19</f>
        <v>0.44269999999999998</v>
      </c>
      <c r="AH14" s="3441">
        <f>'3. Показатели за качество'!M19</f>
        <v>0.44269999999999998</v>
      </c>
      <c r="AI14" s="3493">
        <v>0.75</v>
      </c>
    </row>
    <row r="15" spans="1:35" ht="15.9" customHeight="1">
      <c r="A15" s="3512" t="s">
        <v>1006</v>
      </c>
      <c r="B15" s="3421" t="s">
        <v>784</v>
      </c>
      <c r="C15" s="3488">
        <f>'2. Променливи'!E21</f>
        <v>247</v>
      </c>
      <c r="D15" s="3488">
        <f>'2. Променливи'!F21</f>
        <v>247</v>
      </c>
      <c r="E15" s="3488">
        <f>'2. Променливи'!G21</f>
        <v>247</v>
      </c>
      <c r="F15" s="3488">
        <f>'2. Променливи'!H21</f>
        <v>247</v>
      </c>
      <c r="G15" s="3488">
        <f>'2. Променливи'!I21</f>
        <v>247</v>
      </c>
      <c r="H15" s="3488">
        <f>'2. Променливи'!J21</f>
        <v>247</v>
      </c>
      <c r="J15" s="3511" t="s">
        <v>1236</v>
      </c>
      <c r="K15" s="3495" t="s">
        <v>1548</v>
      </c>
      <c r="L15" s="3495">
        <f>'6. Ел.Енергия'!C81/1000</f>
        <v>1504.867</v>
      </c>
      <c r="M15" s="3495">
        <f>'6. Ел.Енергия'!D81/1000</f>
        <v>1487.8473023333333</v>
      </c>
      <c r="N15" s="3495">
        <f>'6. Ел.Енергия'!E81/1000</f>
        <v>1489.7393023333334</v>
      </c>
      <c r="O15" s="3495">
        <f>'6. Ел.Енергия'!F81/1000</f>
        <v>1491.6343023333334</v>
      </c>
      <c r="P15" s="3495">
        <f>'6. Ел.Енергия'!G81/1000</f>
        <v>1493.5323023333333</v>
      </c>
      <c r="Q15" s="3495">
        <f>'6. Ел.Енергия'!H81/1000</f>
        <v>1495.4363023333333</v>
      </c>
      <c r="R15" s="3495">
        <f>'6. Ел.Енергия'!I81</f>
        <v>273.41679996740476</v>
      </c>
      <c r="S15" s="3495">
        <f>'6. Ел.Енергия'!J81</f>
        <v>387.19523685636199</v>
      </c>
      <c r="T15" s="3495">
        <f>'6. Ел.Енергия'!K81</f>
        <v>387.66540248461638</v>
      </c>
      <c r="U15" s="3495">
        <f>'6. Ел.Енергия'!L81</f>
        <v>388.13624904687413</v>
      </c>
      <c r="V15" s="3495">
        <f>'6. Ел.Енергия'!M81</f>
        <v>388.60783804313564</v>
      </c>
      <c r="W15" s="3495">
        <f>'6. Ел.Енергия'!N81</f>
        <v>389.08091190740419</v>
      </c>
      <c r="Y15" s="3489" t="s">
        <v>124</v>
      </c>
      <c r="Z15" s="3490" t="s">
        <v>761</v>
      </c>
      <c r="AA15" s="3491" t="s">
        <v>170</v>
      </c>
      <c r="AB15" s="3492">
        <f>'3. Показатели за качество'!E20</f>
        <v>0.97919999999999996</v>
      </c>
      <c r="AC15" s="3492">
        <f>'3. Показатели за качество'!F20</f>
        <v>0.93100000000000005</v>
      </c>
      <c r="AD15" s="3492">
        <f>'3. Показатели за качество'!G20</f>
        <v>0.93100000000000005</v>
      </c>
      <c r="AE15" s="3492">
        <f>'3. Показатели за качество'!H20</f>
        <v>0.93100000000000005</v>
      </c>
      <c r="AF15" s="3492">
        <f>'3. Показатели за качество'!I20</f>
        <v>0.93100000000000005</v>
      </c>
      <c r="AG15" s="3492">
        <f>'3. Показатели за качество'!J20</f>
        <v>0.94830000000000003</v>
      </c>
      <c r="AH15" s="3441">
        <f>'3. Показатели за качество'!M20</f>
        <v>0.94</v>
      </c>
      <c r="AI15" s="3493">
        <v>0.93</v>
      </c>
    </row>
    <row r="16" spans="1:35" ht="15.9" customHeight="1">
      <c r="A16" s="3512" t="s">
        <v>861</v>
      </c>
      <c r="B16" s="3421" t="s">
        <v>784</v>
      </c>
      <c r="C16" s="3488">
        <f>'2. Променливи'!E22</f>
        <v>0</v>
      </c>
      <c r="D16" s="3488">
        <f>'2. Променливи'!F22</f>
        <v>0</v>
      </c>
      <c r="E16" s="3488">
        <f>'2. Променливи'!G22</f>
        <v>0</v>
      </c>
      <c r="F16" s="3488">
        <f>'2. Променливи'!H22</f>
        <v>0</v>
      </c>
      <c r="G16" s="3488">
        <f>'2. Променливи'!I22</f>
        <v>0</v>
      </c>
      <c r="H16" s="3488">
        <f>'2. Променливи'!J22</f>
        <v>0</v>
      </c>
      <c r="J16" s="3496" t="s">
        <v>350</v>
      </c>
      <c r="K16" s="3497" t="s">
        <v>1548</v>
      </c>
      <c r="L16" s="3702"/>
      <c r="M16" s="3499">
        <f>'6. Ел.Енергия'!D82/1000</f>
        <v>-17.019697666666705</v>
      </c>
      <c r="N16" s="3499">
        <f>'6. Ел.Енергия'!E82/1000</f>
        <v>1.8919999999999999</v>
      </c>
      <c r="O16" s="3499">
        <f>'6. Ел.Енергия'!F82/1000</f>
        <v>1.895</v>
      </c>
      <c r="P16" s="3499">
        <f>'6. Ел.Енергия'!G82/1000</f>
        <v>1.8979999999999999</v>
      </c>
      <c r="Q16" s="3499">
        <f>'6. Ел.Енергия'!H82/1000</f>
        <v>1.9039999999999999</v>
      </c>
      <c r="R16" s="3702"/>
      <c r="S16" s="3499">
        <f>'6. Ел.Енергия'!J82</f>
        <v>113.77843688895723</v>
      </c>
      <c r="T16" s="3499">
        <f>'6. Ел.Енергия'!K82</f>
        <v>0.47016562825439223</v>
      </c>
      <c r="U16" s="3499">
        <f>'6. Ел.Енергия'!L82</f>
        <v>0.47084656225774779</v>
      </c>
      <c r="V16" s="3499">
        <f>'6. Ел.Енергия'!M82</f>
        <v>0.47158899626151651</v>
      </c>
      <c r="W16" s="3499">
        <f>'6. Ел.Енергия'!N82</f>
        <v>0.47307386426854237</v>
      </c>
      <c r="Y16" s="3489" t="s">
        <v>125</v>
      </c>
      <c r="Z16" s="3490" t="s">
        <v>762</v>
      </c>
      <c r="AA16" s="3491" t="s">
        <v>749</v>
      </c>
      <c r="AB16" s="3508">
        <f>'3. Показатели за качество'!E21</f>
        <v>40.28</v>
      </c>
      <c r="AC16" s="3508">
        <f>'3. Показатели за качество'!F21</f>
        <v>39.799999999999997</v>
      </c>
      <c r="AD16" s="3508">
        <f>'3. Показатели за качество'!G21</f>
        <v>39.54</v>
      </c>
      <c r="AE16" s="3508">
        <f>'3. Показатели за качество'!H21</f>
        <v>38.26</v>
      </c>
      <c r="AF16" s="3508">
        <f>'3. Показатели за качество'!I21</f>
        <v>37.619999999999997</v>
      </c>
      <c r="AG16" s="3508">
        <f>'3. Показатели за качество'!J21</f>
        <v>35.07</v>
      </c>
      <c r="AH16" s="3509">
        <f>'3. Показатели за качество'!M21</f>
        <v>35.07</v>
      </c>
      <c r="AI16" s="3440">
        <v>120</v>
      </c>
    </row>
    <row r="17" spans="1:35" ht="15.9" customHeight="1">
      <c r="A17" s="3512" t="s">
        <v>862</v>
      </c>
      <c r="B17" s="3422" t="s">
        <v>784</v>
      </c>
      <c r="C17" s="3488">
        <f>'2. Променливи'!E23</f>
        <v>200</v>
      </c>
      <c r="D17" s="3488">
        <f>'2. Променливи'!F23</f>
        <v>200</v>
      </c>
      <c r="E17" s="3488">
        <f>'2. Променливи'!G23</f>
        <v>200</v>
      </c>
      <c r="F17" s="3488">
        <f>'2. Променливи'!H23</f>
        <v>200</v>
      </c>
      <c r="G17" s="3488">
        <f>'2. Променливи'!I23</f>
        <v>200</v>
      </c>
      <c r="H17" s="3488">
        <f>'2. Променливи'!J23</f>
        <v>200</v>
      </c>
      <c r="J17" s="3513" t="s">
        <v>1725</v>
      </c>
      <c r="K17" s="3497" t="s">
        <v>1548</v>
      </c>
      <c r="L17" s="3497">
        <f>'6. Ел.Енергия'!C94/1000</f>
        <v>219.81452354358922</v>
      </c>
      <c r="M17" s="3497">
        <f>'6. Ел.Енергия'!D94/1000</f>
        <v>231.18345718119642</v>
      </c>
      <c r="N17" s="3497">
        <f>'6. Ел.Енергия'!E94/1000</f>
        <v>231.18345718119642</v>
      </c>
      <c r="O17" s="3497">
        <f>'6. Ел.Енергия'!F94/1000</f>
        <v>231.18345718119642</v>
      </c>
      <c r="P17" s="3497">
        <f>'6. Ел.Енергия'!G94/1000</f>
        <v>231.18345718119642</v>
      </c>
      <c r="Q17" s="3497">
        <f>'6. Ел.Енергия'!H94/1000</f>
        <v>231.18345718119642</v>
      </c>
      <c r="R17" s="3497">
        <f>'6. Ел.Енергия'!I94</f>
        <v>54.474688383114078</v>
      </c>
      <c r="S17" s="3497">
        <f>'6. Ел.Енергия'!J94</f>
        <v>67.999203000063957</v>
      </c>
      <c r="T17" s="3497">
        <f>'6. Ел.Енергия'!K94</f>
        <v>67.999203000063957</v>
      </c>
      <c r="U17" s="3497">
        <f>'6. Ел.Енергия'!L94</f>
        <v>67.999203000063957</v>
      </c>
      <c r="V17" s="3497">
        <f>'6. Ел.Енергия'!M94</f>
        <v>67.999203000063957</v>
      </c>
      <c r="W17" s="3497">
        <f>'6. Ел.Енергия'!N94</f>
        <v>67.999203000063957</v>
      </c>
      <c r="Y17" s="3489" t="s">
        <v>126</v>
      </c>
      <c r="Z17" s="3490" t="s">
        <v>763</v>
      </c>
      <c r="AA17" s="3491" t="s">
        <v>750</v>
      </c>
      <c r="AB17" s="3506">
        <f>'3. Показатели за качество'!E22</f>
        <v>0</v>
      </c>
      <c r="AC17" s="3506">
        <f>'3. Показатели за качество'!F22</f>
        <v>0</v>
      </c>
      <c r="AD17" s="3506">
        <f>'3. Показатели за качество'!G22</f>
        <v>0.153</v>
      </c>
      <c r="AE17" s="3506">
        <f>'3. Показатели за качество'!H22</f>
        <v>0</v>
      </c>
      <c r="AF17" s="3506">
        <f>'3. Показатели за качество'!I22</f>
        <v>0.153</v>
      </c>
      <c r="AG17" s="3506">
        <f>'3. Показатели за качество'!J22</f>
        <v>0</v>
      </c>
      <c r="AH17" s="3507">
        <f>'3. Показатели за качество'!M22</f>
        <v>0</v>
      </c>
      <c r="AI17" s="3440">
        <v>0.5</v>
      </c>
    </row>
    <row r="18" spans="1:35" ht="15.9" customHeight="1">
      <c r="A18" s="3512" t="s">
        <v>863</v>
      </c>
      <c r="B18" s="3421" t="s">
        <v>784</v>
      </c>
      <c r="C18" s="3488">
        <f>'2. Променливи'!E24</f>
        <v>89</v>
      </c>
      <c r="D18" s="3488">
        <f>'2. Променливи'!F24</f>
        <v>89</v>
      </c>
      <c r="E18" s="3488">
        <f>'2. Променливи'!G24</f>
        <v>89</v>
      </c>
      <c r="F18" s="3488">
        <f>'2. Променливи'!H24</f>
        <v>89</v>
      </c>
      <c r="G18" s="3488">
        <f>'2. Променливи'!I24</f>
        <v>89</v>
      </c>
      <c r="H18" s="3488">
        <f>'2. Променливи'!J24</f>
        <v>89</v>
      </c>
      <c r="J18" s="3505" t="s">
        <v>1552</v>
      </c>
      <c r="K18" s="3495" t="s">
        <v>1548</v>
      </c>
      <c r="L18" s="3495">
        <f>SUM(L5,L8,L10,L13,L15,L17)</f>
        <v>11193.195523543589</v>
      </c>
      <c r="M18" s="3495">
        <f t="shared" ref="M18:W18" si="0">SUM(M5,M8,M10,M13,M15,M17)</f>
        <v>11117.981411514529</v>
      </c>
      <c r="N18" s="3495">
        <f t="shared" si="0"/>
        <v>10983.23567951453</v>
      </c>
      <c r="O18" s="3495">
        <f t="shared" si="0"/>
        <v>10809.64060751453</v>
      </c>
      <c r="P18" s="3495">
        <f t="shared" si="0"/>
        <v>10563.193651514528</v>
      </c>
      <c r="Q18" s="3495">
        <f t="shared" si="0"/>
        <v>10242.73034951453</v>
      </c>
      <c r="R18" s="3495">
        <f t="shared" si="0"/>
        <v>2404.276258819677</v>
      </c>
      <c r="S18" s="3495">
        <f t="shared" si="0"/>
        <v>3036.5690691268887</v>
      </c>
      <c r="T18" s="3495">
        <f t="shared" si="0"/>
        <v>2999.5549737024448</v>
      </c>
      <c r="U18" s="3495">
        <f t="shared" si="0"/>
        <v>2951.7274557671903</v>
      </c>
      <c r="V18" s="3495">
        <f t="shared" si="0"/>
        <v>2883.6260721965818</v>
      </c>
      <c r="W18" s="3495">
        <f t="shared" si="0"/>
        <v>2794.7475480123953</v>
      </c>
      <c r="Y18" s="3489" t="s">
        <v>127</v>
      </c>
      <c r="Z18" s="3490" t="s">
        <v>1588</v>
      </c>
      <c r="AA18" s="3491" t="s">
        <v>1589</v>
      </c>
      <c r="AB18" s="3506">
        <f>'3. Показатели за качество'!E23</f>
        <v>0.81599999999999995</v>
      </c>
      <c r="AC18" s="3506">
        <f>'3. Показатели за качество'!F23</f>
        <v>0.81599999999999995</v>
      </c>
      <c r="AD18" s="3506">
        <f>'3. Показатели за качество'!G23</f>
        <v>0.81399999999999995</v>
      </c>
      <c r="AE18" s="3506">
        <f>'3. Показатели за качество'!H23</f>
        <v>0.81</v>
      </c>
      <c r="AF18" s="3506">
        <f>'3. Показатели за качество'!I23</f>
        <v>0.80200000000000005</v>
      </c>
      <c r="AG18" s="3506">
        <f>'3. Показатели за качество'!J23</f>
        <v>0.79200000000000004</v>
      </c>
      <c r="AH18" s="3507">
        <f>'3. Показатели за качество'!M23</f>
        <v>0.79200000000000004</v>
      </c>
      <c r="AI18" s="3440">
        <v>0.45</v>
      </c>
    </row>
    <row r="19" spans="1:35" ht="15.9" customHeight="1">
      <c r="A19" s="3512" t="s">
        <v>1527</v>
      </c>
      <c r="B19" s="3422" t="s">
        <v>812</v>
      </c>
      <c r="C19" s="3488">
        <f>'2. Променливи'!E25</f>
        <v>1807.8504200000002</v>
      </c>
      <c r="D19" s="3488">
        <f>'2. Променливи'!F25</f>
        <v>1817.20642</v>
      </c>
      <c r="E19" s="3488">
        <f>'2. Променливи'!G25</f>
        <v>1818.70642</v>
      </c>
      <c r="F19" s="3488">
        <f>'2. Променливи'!H25</f>
        <v>1818.7564199999999</v>
      </c>
      <c r="G19" s="3488">
        <f>'2. Променливи'!I25</f>
        <v>1818.77142</v>
      </c>
      <c r="H19" s="3488">
        <f>'2. Променливи'!J25</f>
        <v>1818.9514199999999</v>
      </c>
      <c r="J19" s="3516" t="s">
        <v>1551</v>
      </c>
      <c r="K19" s="3495" t="s">
        <v>170</v>
      </c>
      <c r="L19" s="3498"/>
      <c r="M19" s="3517">
        <f>IFERROR((M18-L18)/L18,0)</f>
        <v>-6.7196281768558113E-3</v>
      </c>
      <c r="N19" s="3517">
        <f t="shared" ref="N19:Q19" si="1">IFERROR((N18-M18)/M18,0)</f>
        <v>-1.2119621990053668E-2</v>
      </c>
      <c r="O19" s="3517">
        <f t="shared" si="1"/>
        <v>-1.5805458160547563E-2</v>
      </c>
      <c r="P19" s="3517">
        <f t="shared" si="1"/>
        <v>-2.2798811260078274E-2</v>
      </c>
      <c r="Q19" s="3517">
        <f t="shared" si="1"/>
        <v>-3.03377285859046E-2</v>
      </c>
      <c r="R19" s="3518"/>
      <c r="S19" s="3517">
        <f t="shared" ref="S19:W19" si="2">IFERROR((S18-R18)/R18,0)</f>
        <v>0.26298675453278447</v>
      </c>
      <c r="T19" s="3517">
        <f t="shared" si="2"/>
        <v>-1.2189446240749148E-2</v>
      </c>
      <c r="U19" s="3517">
        <f t="shared" si="2"/>
        <v>-1.5944871274094198E-2</v>
      </c>
      <c r="V19" s="3517">
        <f t="shared" si="2"/>
        <v>-2.3071704481912647E-2</v>
      </c>
      <c r="W19" s="3517">
        <f t="shared" si="2"/>
        <v>-3.0821792409611529E-2</v>
      </c>
      <c r="Y19" s="3489" t="s">
        <v>128</v>
      </c>
      <c r="Z19" s="3490" t="s">
        <v>764</v>
      </c>
      <c r="AA19" s="3491" t="s">
        <v>1589</v>
      </c>
      <c r="AB19" s="3506">
        <f>'3. Показатели за качество'!E24</f>
        <v>0.29799999999999999</v>
      </c>
      <c r="AC19" s="3506">
        <f>'3. Показатели за качество'!F24</f>
        <v>0.29199999999999998</v>
      </c>
      <c r="AD19" s="3506">
        <f>'3. Показатели за качество'!G24</f>
        <v>0.28999999999999998</v>
      </c>
      <c r="AE19" s="3506">
        <f>'3. Показатели за качество'!H24</f>
        <v>0.28799999999999998</v>
      </c>
      <c r="AF19" s="3506">
        <f>'3. Показатели за качество'!I24</f>
        <v>0.28599999999999998</v>
      </c>
      <c r="AG19" s="3506">
        <f>'3. Показатели за качество'!J24</f>
        <v>0.28499999999999998</v>
      </c>
      <c r="AH19" s="3507">
        <f>'3. Показатели за качество'!M24</f>
        <v>0.28499999999999998</v>
      </c>
      <c r="AI19" s="3440">
        <v>0.25</v>
      </c>
    </row>
    <row r="20" spans="1:35" ht="15.9" customHeight="1">
      <c r="A20" s="3514" t="s">
        <v>1526</v>
      </c>
      <c r="B20" s="3422" t="s">
        <v>784</v>
      </c>
      <c r="C20" s="3515">
        <f>'2. Променливи'!E27</f>
        <v>102</v>
      </c>
      <c r="D20" s="3515">
        <f>'2. Променливи'!F27</f>
        <v>122</v>
      </c>
      <c r="E20" s="3515">
        <f>'2. Променливи'!G27</f>
        <v>125</v>
      </c>
      <c r="F20" s="3515">
        <f>'2. Променливи'!H27</f>
        <v>130</v>
      </c>
      <c r="G20" s="3515">
        <f>'2. Променливи'!I27</f>
        <v>136</v>
      </c>
      <c r="H20" s="3515">
        <f>'2. Променливи'!J27</f>
        <v>138</v>
      </c>
      <c r="J20" s="4104" t="str">
        <f>CONCATENATE("Темп на изменение спрямо ",L4)</f>
        <v>Темп на изменение спрямо 2024 г.</v>
      </c>
      <c r="K20" s="3495" t="s">
        <v>170</v>
      </c>
      <c r="L20" s="3498"/>
      <c r="M20" s="3519">
        <f>IFERROR((M18-$L$18)/$L$18,0)</f>
        <v>-6.7196281768558113E-3</v>
      </c>
      <c r="N20" s="3519">
        <f t="shared" ref="N20:Q20" si="3">IFERROR((N18-$L$18)/$L$18,0)</f>
        <v>-1.8757810813492273E-2</v>
      </c>
      <c r="O20" s="3519">
        <f t="shared" si="3"/>
        <v>-3.426679318004372E-2</v>
      </c>
      <c r="P20" s="3519">
        <f t="shared" si="3"/>
        <v>-5.6284362289922035E-2</v>
      </c>
      <c r="Q20" s="3519">
        <f t="shared" si="3"/>
        <v>-8.4914551169044256E-2</v>
      </c>
      <c r="R20" s="3520"/>
      <c r="S20" s="3519">
        <f>IFERROR((S18-$R$18)/$R$18,0)</f>
        <v>0.26298675453278447</v>
      </c>
      <c r="T20" s="3519">
        <f t="shared" ref="T20:W20" si="4">IFERROR((T18-$R$18)/$R$18,0)</f>
        <v>0.24759164538562886</v>
      </c>
      <c r="U20" s="3519">
        <f t="shared" si="4"/>
        <v>0.22769895719731961</v>
      </c>
      <c r="V20" s="3519">
        <f t="shared" si="4"/>
        <v>0.19937384966411073</v>
      </c>
      <c r="W20" s="3519">
        <f t="shared" si="4"/>
        <v>0.16240699784824689</v>
      </c>
      <c r="Y20" s="3489" t="s">
        <v>129</v>
      </c>
      <c r="Z20" s="3490" t="s">
        <v>765</v>
      </c>
      <c r="AA20" s="3491" t="s">
        <v>170</v>
      </c>
      <c r="AB20" s="3492">
        <f>'3. Показатели за качество'!E25</f>
        <v>0.97909999999999997</v>
      </c>
      <c r="AC20" s="3492">
        <f>'3. Показатели за качество'!F25</f>
        <v>0.98280000000000001</v>
      </c>
      <c r="AD20" s="3492">
        <f>'3. Показатели за качество'!G25</f>
        <v>0.98280000000000001</v>
      </c>
      <c r="AE20" s="3492">
        <f>'3. Показатели за качество'!H25</f>
        <v>0.98280000000000001</v>
      </c>
      <c r="AF20" s="3492">
        <f>'3. Показатели за качество'!I25</f>
        <v>0.98280000000000001</v>
      </c>
      <c r="AG20" s="3492">
        <f>'3. Показатели за качество'!J25</f>
        <v>0.98280000000000001</v>
      </c>
      <c r="AH20" s="3441">
        <f>'3. Показатели за качество'!M25</f>
        <v>0.98260000000000003</v>
      </c>
      <c r="AI20" s="3493">
        <v>1</v>
      </c>
    </row>
    <row r="21" spans="1:35" ht="18.75" customHeight="1">
      <c r="A21" s="3512" t="s">
        <v>1528</v>
      </c>
      <c r="B21" s="3422" t="s">
        <v>784</v>
      </c>
      <c r="C21" s="3515">
        <f>'2. Променливи'!E28</f>
        <v>53536</v>
      </c>
      <c r="D21" s="3515">
        <f>'2. Променливи'!F28</f>
        <v>53681</v>
      </c>
      <c r="E21" s="3515">
        <f>'2. Променливи'!G28</f>
        <v>53735</v>
      </c>
      <c r="F21" s="3515">
        <f>'2. Променливи'!H28</f>
        <v>53792</v>
      </c>
      <c r="G21" s="3515">
        <f>'2. Променливи'!I28</f>
        <v>53850</v>
      </c>
      <c r="H21" s="3515">
        <f>'2. Променливи'!J28</f>
        <v>53911</v>
      </c>
      <c r="J21" s="3522" t="s">
        <v>606</v>
      </c>
      <c r="K21" s="3497" t="s">
        <v>1548</v>
      </c>
      <c r="L21" s="3497">
        <f>'6. Ел.Енергия'!C95/1000</f>
        <v>9.3476456410391859E-2</v>
      </c>
      <c r="M21" s="3497">
        <f>'6. Ел.Енергия'!D95/1000</f>
        <v>17</v>
      </c>
      <c r="N21" s="3497">
        <f>'6. Ел.Енергия'!E95/1000</f>
        <v>17</v>
      </c>
      <c r="O21" s="3497">
        <f>'6. Ел.Енергия'!F95/1000</f>
        <v>17</v>
      </c>
      <c r="P21" s="3497">
        <f>'6. Ел.Енергия'!G95/1000</f>
        <v>17</v>
      </c>
      <c r="Q21" s="3497">
        <f>'6. Ел.Енергия'!H95/1000</f>
        <v>17</v>
      </c>
      <c r="R21" s="3497">
        <f>'6. Ел.Енергия'!I95</f>
        <v>0.61509005032253827</v>
      </c>
      <c r="S21" s="3497">
        <f>'6. Ел.Енергия'!J95</f>
        <v>5.3920350202554239</v>
      </c>
      <c r="T21" s="3497">
        <f>'6. Ел.Енергия'!K95</f>
        <v>5.3920350202554239</v>
      </c>
      <c r="U21" s="3497">
        <f>'6. Ел.Енергия'!L95</f>
        <v>5.3920350202554239</v>
      </c>
      <c r="V21" s="3497">
        <f>'6. Ел.Енергия'!M95</f>
        <v>5.3920350202554239</v>
      </c>
      <c r="W21" s="3497">
        <f>'6. Ел.Енергия'!N95</f>
        <v>5.3920350202554239</v>
      </c>
      <c r="Y21" s="3489" t="s">
        <v>130</v>
      </c>
      <c r="Z21" s="3490" t="s">
        <v>766</v>
      </c>
      <c r="AA21" s="3491" t="s">
        <v>170</v>
      </c>
      <c r="AB21" s="3492">
        <f>'3. Показатели за качество'!E26</f>
        <v>4.3E-3</v>
      </c>
      <c r="AC21" s="3492">
        <f>'3. Показатели за качество'!F26</f>
        <v>4.5999999999999999E-3</v>
      </c>
      <c r="AD21" s="3492">
        <f>'3. Показатели за качество'!G26</f>
        <v>5.1999999999999998E-3</v>
      </c>
      <c r="AE21" s="3492">
        <f>'3. Показатели за качество'!H26</f>
        <v>5.7999999999999996E-3</v>
      </c>
      <c r="AF21" s="3492">
        <f>'3. Показатели за качество'!I26</f>
        <v>6.4000000000000003E-3</v>
      </c>
      <c r="AG21" s="3492">
        <f>'3. Показатели за качество'!J26</f>
        <v>7.0000000000000001E-3</v>
      </c>
      <c r="AH21" s="3441">
        <f>'3. Показатели за качество'!M26</f>
        <v>7.0000000000000001E-3</v>
      </c>
      <c r="AI21" s="3521">
        <v>1.2500000000000001E-2</v>
      </c>
    </row>
    <row r="22" spans="1:35" ht="15.75" customHeight="1">
      <c r="A22" s="3512" t="s">
        <v>1530</v>
      </c>
      <c r="B22" s="3422" t="s">
        <v>784</v>
      </c>
      <c r="C22" s="3515">
        <f>'2. Променливи'!E29</f>
        <v>54280</v>
      </c>
      <c r="D22" s="3515">
        <f>'2. Променливи'!F29</f>
        <v>54425</v>
      </c>
      <c r="E22" s="3515">
        <f>'2. Променливи'!G29</f>
        <v>54479</v>
      </c>
      <c r="F22" s="3515">
        <f>'2. Променливи'!H29</f>
        <v>54536</v>
      </c>
      <c r="G22" s="3515">
        <f>'2. Променливи'!I29</f>
        <v>54594</v>
      </c>
      <c r="H22" s="3515">
        <f>'2. Променливи'!J29</f>
        <v>54655</v>
      </c>
      <c r="Y22" s="3489" t="s">
        <v>774</v>
      </c>
      <c r="Z22" s="3490" t="s">
        <v>775</v>
      </c>
      <c r="AA22" s="3491" t="s">
        <v>170</v>
      </c>
      <c r="AB22" s="3492">
        <f>'3. Показатели за качество'!E27</f>
        <v>5.1400000000000001E-2</v>
      </c>
      <c r="AC22" s="3492">
        <f>'3. Показатели за качество'!F27</f>
        <v>5.1700000000000003E-2</v>
      </c>
      <c r="AD22" s="3492">
        <f>'3. Показатели за качество'!G27</f>
        <v>5.1900000000000002E-2</v>
      </c>
      <c r="AE22" s="3492">
        <f>'3. Показатели за качество'!H27</f>
        <v>5.21E-2</v>
      </c>
      <c r="AF22" s="3492">
        <f>'3. Показатели за качество'!I27</f>
        <v>5.2200000000000003E-2</v>
      </c>
      <c r="AG22" s="3492">
        <f>'3. Показатели за качество'!J27</f>
        <v>5.2299999999999999E-2</v>
      </c>
      <c r="AH22" s="3441">
        <f>'3. Показатели за качество'!M27</f>
        <v>5.2299999999999999E-2</v>
      </c>
      <c r="AI22" s="3521">
        <v>1.2500000000000001E-2</v>
      </c>
    </row>
    <row r="23" spans="1:35" ht="15.9" customHeight="1">
      <c r="A23" s="3512" t="s">
        <v>1529</v>
      </c>
      <c r="B23" s="3422" t="s">
        <v>784</v>
      </c>
      <c r="C23" s="3515">
        <f>'2. Променливи'!E30</f>
        <v>10186</v>
      </c>
      <c r="D23" s="3515">
        <f>'2. Променливи'!F30</f>
        <v>10381</v>
      </c>
      <c r="E23" s="3515">
        <f>'2. Променливи'!G30</f>
        <v>10402</v>
      </c>
      <c r="F23" s="3515">
        <f>'2. Променливи'!H30</f>
        <v>10406</v>
      </c>
      <c r="G23" s="3515">
        <f>'2. Променливи'!I30</f>
        <v>10410</v>
      </c>
      <c r="H23" s="3515">
        <f>'2. Променливи'!J30</f>
        <v>10414</v>
      </c>
      <c r="Y23" s="3489" t="s">
        <v>131</v>
      </c>
      <c r="Z23" s="3490" t="s">
        <v>47</v>
      </c>
      <c r="AA23" s="3491" t="s">
        <v>1033</v>
      </c>
      <c r="AB23" s="3508">
        <f>'3. Показатели за качество'!E28</f>
        <v>1.05</v>
      </c>
      <c r="AC23" s="3508">
        <f>'3. Показатели за качество'!F28</f>
        <v>1.06</v>
      </c>
      <c r="AD23" s="3508">
        <f>'3. Показатели за качество'!G28</f>
        <v>1.06</v>
      </c>
      <c r="AE23" s="3508">
        <f>'3. Показатели за качество'!H28</f>
        <v>1.06</v>
      </c>
      <c r="AF23" s="3508">
        <f>'3. Показатели за качество'!I28</f>
        <v>1.05</v>
      </c>
      <c r="AG23" s="3508">
        <f>'3. Показатели за качество'!J28</f>
        <v>1.05</v>
      </c>
      <c r="AH23" s="3509">
        <f>'3. Показатели за качество'!M28</f>
        <v>1.1000000000000001</v>
      </c>
      <c r="AI23" s="3440">
        <v>1.1000000000000001</v>
      </c>
    </row>
    <row r="24" spans="1:35" ht="15.9" customHeight="1">
      <c r="A24" s="3512" t="s">
        <v>823</v>
      </c>
      <c r="B24" s="3422" t="s">
        <v>822</v>
      </c>
      <c r="C24" s="3515">
        <f>'2. Променливи'!E31</f>
        <v>151.45356999999998</v>
      </c>
      <c r="D24" s="3515">
        <f>'2. Променливи'!F31</f>
        <v>155.79843999999997</v>
      </c>
      <c r="E24" s="3515">
        <f>'2. Променливи'!G31</f>
        <v>156.81443999999996</v>
      </c>
      <c r="F24" s="3515">
        <f>'2. Променливи'!H31</f>
        <v>156.81443999999996</v>
      </c>
      <c r="G24" s="3515">
        <f>'2. Променливи'!I31</f>
        <v>156.81443999999996</v>
      </c>
      <c r="H24" s="3515">
        <f>'2. Променливи'!J31</f>
        <v>156.81443999999996</v>
      </c>
      <c r="Y24" s="3489" t="s">
        <v>132</v>
      </c>
      <c r="Z24" s="3490" t="s">
        <v>50</v>
      </c>
      <c r="AA24" s="3491" t="s">
        <v>1033</v>
      </c>
      <c r="AB24" s="3508">
        <f>'3. Показатели за качество'!E29</f>
        <v>0.97</v>
      </c>
      <c r="AC24" s="3508">
        <f>'3. Показатели за качество'!F29</f>
        <v>1.0900000000000001</v>
      </c>
      <c r="AD24" s="3508">
        <f>'3. Показатели за качество'!G29</f>
        <v>1.0900000000000001</v>
      </c>
      <c r="AE24" s="3508">
        <f>'3. Показатели за качество'!H29</f>
        <v>1.0900000000000001</v>
      </c>
      <c r="AF24" s="3508">
        <f>'3. Показатели за качество'!I29</f>
        <v>1.0900000000000001</v>
      </c>
      <c r="AG24" s="3508">
        <f>'3. Показатели за качество'!J29</f>
        <v>1.08</v>
      </c>
      <c r="AH24" s="3509">
        <f>'3. Показатели за качество'!M29</f>
        <v>1.1000000000000001</v>
      </c>
      <c r="AI24" s="3440">
        <v>1.1000000000000001</v>
      </c>
    </row>
    <row r="25" spans="1:35" ht="15.9" customHeight="1">
      <c r="A25" s="3512" t="s">
        <v>864</v>
      </c>
      <c r="B25" s="3421" t="s">
        <v>784</v>
      </c>
      <c r="C25" s="3515">
        <f>'2. Променливи'!E32</f>
        <v>1</v>
      </c>
      <c r="D25" s="3515">
        <f>'2. Променливи'!F32</f>
        <v>1</v>
      </c>
      <c r="E25" s="3515">
        <f>'2. Променливи'!G32</f>
        <v>1</v>
      </c>
      <c r="F25" s="3515">
        <f>'2. Променливи'!H32</f>
        <v>1</v>
      </c>
      <c r="G25" s="3515">
        <f>'2. Променливи'!I32</f>
        <v>1</v>
      </c>
      <c r="H25" s="3515">
        <f>'2. Променливи'!J32</f>
        <v>1</v>
      </c>
      <c r="Y25" s="3489" t="s">
        <v>133</v>
      </c>
      <c r="Z25" s="3490" t="s">
        <v>53</v>
      </c>
      <c r="AA25" s="3491" t="s">
        <v>1033</v>
      </c>
      <c r="AB25" s="3508">
        <f>'3. Показатели за качество'!E30</f>
        <v>1.08</v>
      </c>
      <c r="AC25" s="3508">
        <f>'3. Показатели за качество'!F30</f>
        <v>1.03</v>
      </c>
      <c r="AD25" s="3508">
        <f>'3. Показатели за качество'!G30</f>
        <v>1.03</v>
      </c>
      <c r="AE25" s="3508">
        <f>'3. Показатели за качество'!H30</f>
        <v>1.03</v>
      </c>
      <c r="AF25" s="3508">
        <f>'3. Показатели за качество'!I30</f>
        <v>1.03</v>
      </c>
      <c r="AG25" s="3508">
        <f>'3. Показатели за качество'!J30</f>
        <v>1.03</v>
      </c>
      <c r="AH25" s="3509">
        <f>'3. Показатели за качество'!M30</f>
        <v>1.1000000000000001</v>
      </c>
      <c r="AI25" s="3440">
        <v>1.1000000000000001</v>
      </c>
    </row>
    <row r="26" spans="1:35" ht="15.9" customHeight="1">
      <c r="A26" s="3512" t="s">
        <v>865</v>
      </c>
      <c r="B26" s="3421" t="s">
        <v>784</v>
      </c>
      <c r="C26" s="3515">
        <f>'2. Променливи'!E33</f>
        <v>4</v>
      </c>
      <c r="D26" s="3515">
        <f>'2. Променливи'!F33</f>
        <v>5</v>
      </c>
      <c r="E26" s="3515">
        <f>'2. Променливи'!G33</f>
        <v>5</v>
      </c>
      <c r="F26" s="3515">
        <f>'2. Променливи'!H33</f>
        <v>5</v>
      </c>
      <c r="G26" s="3515">
        <f>'2. Променливи'!I33</f>
        <v>5</v>
      </c>
      <c r="H26" s="3515">
        <f>'2. Променливи'!J33</f>
        <v>5</v>
      </c>
      <c r="Y26" s="3489" t="s">
        <v>134</v>
      </c>
      <c r="Z26" s="3490" t="s">
        <v>767</v>
      </c>
      <c r="AA26" s="3491" t="s">
        <v>170</v>
      </c>
      <c r="AB26" s="3492">
        <f>'3. Показатели за качество'!E31</f>
        <v>0.88600000000000001</v>
      </c>
      <c r="AC26" s="3492">
        <f>'3. Показатели за качество'!F31</f>
        <v>0.89219999999999999</v>
      </c>
      <c r="AD26" s="3492">
        <f>'3. Показатели за качество'!G31</f>
        <v>0.89800000000000002</v>
      </c>
      <c r="AE26" s="3492">
        <f>'3. Показатели за качество'!H31</f>
        <v>0.90159999999999996</v>
      </c>
      <c r="AF26" s="3492">
        <f>'3. Показатели за качество'!I31</f>
        <v>0.90759999999999996</v>
      </c>
      <c r="AG26" s="3492">
        <f>'3. Показатели за качество'!J31</f>
        <v>0.91720000000000002</v>
      </c>
      <c r="AH26" s="3441">
        <f>'3. Показатели за качество'!M31</f>
        <v>0.91710000000000003</v>
      </c>
      <c r="AI26" s="3493">
        <v>0.95</v>
      </c>
    </row>
    <row r="27" spans="1:35" ht="15.9" customHeight="1">
      <c r="J27" s="3483"/>
      <c r="Y27" s="3489" t="s">
        <v>776</v>
      </c>
      <c r="Z27" s="3490" t="s">
        <v>778</v>
      </c>
      <c r="AA27" s="3491" t="s">
        <v>170</v>
      </c>
      <c r="AB27" s="3492">
        <f>'3. Показатели за качество'!E32</f>
        <v>4.99E-2</v>
      </c>
      <c r="AC27" s="3492">
        <f>'3. Показатели за качество'!F32</f>
        <v>0.1341</v>
      </c>
      <c r="AD27" s="3492">
        <f>'3. Показатели за качество'!G32</f>
        <v>0.13600000000000001</v>
      </c>
      <c r="AE27" s="3492">
        <f>'3. Показатели за качество'!H32</f>
        <v>0.14130000000000001</v>
      </c>
      <c r="AF27" s="3492">
        <f>'3. Показатели за качество'!I32</f>
        <v>0.14779999999999999</v>
      </c>
      <c r="AG27" s="3492">
        <f>'3. Показатели за качество'!J32</f>
        <v>0.16470000000000001</v>
      </c>
      <c r="AH27" s="3441">
        <f>'3. Показатели за качество'!M32</f>
        <v>0.16470000000000001</v>
      </c>
      <c r="AI27" s="3493">
        <v>0.2</v>
      </c>
    </row>
    <row r="28" spans="1:35" ht="15.9" customHeight="1">
      <c r="A28" s="3483" t="s">
        <v>871</v>
      </c>
      <c r="Y28" s="3489" t="s">
        <v>777</v>
      </c>
      <c r="Z28" s="3490" t="s">
        <v>779</v>
      </c>
      <c r="AA28" s="3491" t="s">
        <v>170</v>
      </c>
      <c r="AB28" s="3492">
        <f>'3. Показатели за качество'!E33</f>
        <v>0.2049</v>
      </c>
      <c r="AC28" s="3492">
        <f>'3. Показатели за качество'!F33</f>
        <v>0.41880000000000001</v>
      </c>
      <c r="AD28" s="3492">
        <f>'3. Показатели за качество'!G33</f>
        <v>0.5121</v>
      </c>
      <c r="AE28" s="3492">
        <f>'3. Показатели за качество'!H33</f>
        <v>0.6179</v>
      </c>
      <c r="AF28" s="3492">
        <f>'3. Показатели за качество'!I33</f>
        <v>0.73019999999999996</v>
      </c>
      <c r="AG28" s="3492">
        <f>'3. Показатели за качество'!J33</f>
        <v>0.87439999999999996</v>
      </c>
      <c r="AH28" s="3441">
        <f>'3. Показатели за качество'!M33</f>
        <v>0.87439999999999996</v>
      </c>
      <c r="AI28" s="3493">
        <v>0.9</v>
      </c>
    </row>
    <row r="29" spans="1:35" ht="15.9" customHeight="1">
      <c r="A29" s="5609" t="s">
        <v>2</v>
      </c>
      <c r="B29" s="5611" t="s">
        <v>1533</v>
      </c>
      <c r="C29" s="5586" t="s">
        <v>922</v>
      </c>
      <c r="D29" s="5586"/>
      <c r="E29" s="5586"/>
      <c r="F29" s="5586"/>
      <c r="G29" s="5586"/>
      <c r="H29" s="5586"/>
      <c r="Y29" s="3489" t="s">
        <v>135</v>
      </c>
      <c r="Z29" s="3490" t="s">
        <v>768</v>
      </c>
      <c r="AA29" s="3491" t="s">
        <v>170</v>
      </c>
      <c r="AB29" s="3492">
        <f>'3. Показатели за качество'!E34</f>
        <v>0.98209999999999997</v>
      </c>
      <c r="AC29" s="3492">
        <f>'3. Показатели за качество'!F34</f>
        <v>1</v>
      </c>
      <c r="AD29" s="3492">
        <f>'3. Показатели за качество'!G34</f>
        <v>1</v>
      </c>
      <c r="AE29" s="3492">
        <f>'3. Показатели за качество'!H34</f>
        <v>1</v>
      </c>
      <c r="AF29" s="3492">
        <f>'3. Показатели за качество'!I34</f>
        <v>1</v>
      </c>
      <c r="AG29" s="3492">
        <f>'3. Показатели за качество'!J34</f>
        <v>1</v>
      </c>
      <c r="AH29" s="3441">
        <f>'3. Показатели за качество'!M34</f>
        <v>1</v>
      </c>
      <c r="AI29" s="3493">
        <v>1</v>
      </c>
    </row>
    <row r="30" spans="1:35" ht="15.9" customHeight="1">
      <c r="A30" s="5610"/>
      <c r="B30" s="5610"/>
      <c r="C30" s="4369" t="str">
        <f>+'15. ОПП'!$B$7</f>
        <v>2024 г.</v>
      </c>
      <c r="D30" s="4369" t="str">
        <f>+'15. ОПП'!$C$7</f>
        <v>2027 г.</v>
      </c>
      <c r="E30" s="4369" t="str">
        <f>+'15. ОПП'!$D$7</f>
        <v>2028 г.</v>
      </c>
      <c r="F30" s="4369" t="str">
        <f>+'15. ОПП'!$E$7</f>
        <v>2029 г.</v>
      </c>
      <c r="G30" s="4369" t="str">
        <f>+'15. ОПП'!$F$7</f>
        <v>2030 г.</v>
      </c>
      <c r="H30" s="4369" t="str">
        <f>+'15. ОПП'!$G$7</f>
        <v>2031 г.</v>
      </c>
      <c r="Y30" s="3489" t="s">
        <v>136</v>
      </c>
      <c r="Z30" s="3490" t="s">
        <v>769</v>
      </c>
      <c r="AA30" s="3491" t="s">
        <v>170</v>
      </c>
      <c r="AB30" s="3492">
        <f>'3. Показатели за качество'!E35</f>
        <v>1</v>
      </c>
      <c r="AC30" s="3492">
        <f>'3. Показатели за качество'!F35</f>
        <v>1</v>
      </c>
      <c r="AD30" s="3492">
        <f>'3. Показатели за качество'!G35</f>
        <v>1</v>
      </c>
      <c r="AE30" s="3492">
        <f>'3. Показатели за качество'!H35</f>
        <v>1</v>
      </c>
      <c r="AF30" s="3492">
        <f>'3. Показатели за качество'!I35</f>
        <v>1</v>
      </c>
      <c r="AG30" s="3492">
        <f>'3. Показатели за качество'!J35</f>
        <v>1</v>
      </c>
      <c r="AH30" s="3441">
        <f>'3. Показатели за качество'!M35</f>
        <v>1</v>
      </c>
      <c r="AI30" s="3493">
        <v>1</v>
      </c>
    </row>
    <row r="31" spans="1:35" ht="15.9" customHeight="1">
      <c r="A31" s="5587" t="s">
        <v>168</v>
      </c>
      <c r="B31" s="5588"/>
      <c r="C31" s="5588"/>
      <c r="D31" s="5588"/>
      <c r="E31" s="5588"/>
      <c r="F31" s="5588"/>
      <c r="G31" s="5588"/>
      <c r="H31" s="5589"/>
      <c r="Y31" s="3489" t="s">
        <v>137</v>
      </c>
      <c r="Z31" s="3490" t="s">
        <v>770</v>
      </c>
      <c r="AA31" s="3491" t="s">
        <v>170</v>
      </c>
      <c r="AB31" s="3492">
        <f>'3. Показатели за качество'!E36</f>
        <v>1</v>
      </c>
      <c r="AC31" s="3492">
        <f>'3. Показатели за качество'!F36</f>
        <v>1</v>
      </c>
      <c r="AD31" s="3492">
        <f>'3. Показатели за качество'!G36</f>
        <v>1</v>
      </c>
      <c r="AE31" s="3492">
        <f>'3. Показатели за качество'!H36</f>
        <v>1</v>
      </c>
      <c r="AF31" s="3492">
        <f>'3. Показатели за качество'!I36</f>
        <v>1</v>
      </c>
      <c r="AG31" s="3492">
        <f>'3. Показатели за качество'!J36</f>
        <v>1</v>
      </c>
      <c r="AH31" s="3441">
        <f>'3. Показатели за качество'!M36</f>
        <v>1</v>
      </c>
      <c r="AI31" s="3493">
        <v>1</v>
      </c>
    </row>
    <row r="32" spans="1:35" ht="15.9" customHeight="1">
      <c r="A32" s="3469" t="s">
        <v>570</v>
      </c>
      <c r="B32" s="3470" t="s">
        <v>1531</v>
      </c>
      <c r="C32" s="3471">
        <f>'4. Отчет и прогн. потребление'!D9</f>
        <v>9507991</v>
      </c>
      <c r="D32" s="3471">
        <f>'4. Отчет и прогн. потребление'!E9</f>
        <v>9407000</v>
      </c>
      <c r="E32" s="3471">
        <f>'4. Отчет и прогн. потребление'!F9</f>
        <v>9282000</v>
      </c>
      <c r="F32" s="3471">
        <f>'4. Отчет и прогн. потребление'!G9</f>
        <v>9133000</v>
      </c>
      <c r="G32" s="3471">
        <f>'4. Отчет и прогн. потребление'!H9</f>
        <v>8933000</v>
      </c>
      <c r="H32" s="3471">
        <f>'4. Отчет и прогн. потребление'!I9</f>
        <v>8647500</v>
      </c>
      <c r="Y32" s="3489" t="s">
        <v>138</v>
      </c>
      <c r="Z32" s="3490" t="s">
        <v>771</v>
      </c>
      <c r="AA32" s="3491" t="s">
        <v>747</v>
      </c>
      <c r="AB32" s="3508">
        <f>'3. Показатели за качество'!E37</f>
        <v>5.18</v>
      </c>
      <c r="AC32" s="3508">
        <f>'3. Показатели за качество'!F37</f>
        <v>5.27</v>
      </c>
      <c r="AD32" s="3508">
        <f>'3. Показатели за качество'!G37</f>
        <v>5.21</v>
      </c>
      <c r="AE32" s="3508">
        <f>'3. Показатели за качество'!H37</f>
        <v>5.16</v>
      </c>
      <c r="AF32" s="3508">
        <f>'3. Показатели за качество'!I37</f>
        <v>5.1100000000000003</v>
      </c>
      <c r="AG32" s="3508">
        <f>'3. Показатели за качество'!J37</f>
        <v>5.0599999999999996</v>
      </c>
      <c r="AH32" s="3509">
        <f>'3. Показатели за качество'!M37</f>
        <v>5.0599999999999996</v>
      </c>
      <c r="AI32" s="3440">
        <v>4</v>
      </c>
    </row>
    <row r="33" spans="1:35" ht="15.9" customHeight="1">
      <c r="A33" s="5590" t="s">
        <v>571</v>
      </c>
      <c r="B33" s="3470" t="s">
        <v>1531</v>
      </c>
      <c r="C33" s="3472">
        <f>'4. Отчет и прогн. потребление'!D18</f>
        <v>4202757.0209999997</v>
      </c>
      <c r="D33" s="3472">
        <f>'4. Отчет и прогн. потребление'!E18</f>
        <v>4151003.2380000004</v>
      </c>
      <c r="E33" s="3472">
        <f>'4. Отчет и прогн. потребление'!F18</f>
        <v>4138111.7833795347</v>
      </c>
      <c r="F33" s="3472">
        <f>'4. Отчет и прогн. потребление'!G18</f>
        <v>4124040.2099647666</v>
      </c>
      <c r="G33" s="3472">
        <f>'4. Отчет и прогн. потребление'!H18</f>
        <v>4111073.925592544</v>
      </c>
      <c r="H33" s="3472">
        <f>'4. Отчет и прогн. потребление'!I18</f>
        <v>4101492.3642007206</v>
      </c>
      <c r="Y33" s="3489" t="s">
        <v>139</v>
      </c>
      <c r="Z33" s="3490" t="s">
        <v>772</v>
      </c>
      <c r="AA33" s="3491" t="s">
        <v>748</v>
      </c>
      <c r="AB33" s="3508">
        <f>'3. Показатели за качество'!E38</f>
        <v>5.33</v>
      </c>
      <c r="AC33" s="3508">
        <f>'3. Показатели за качество'!F38</f>
        <v>6.55</v>
      </c>
      <c r="AD33" s="3508">
        <f>'3. Показатели за качество'!G38</f>
        <v>6.44</v>
      </c>
      <c r="AE33" s="3508">
        <f>'3. Показатели за качество'!H38</f>
        <v>6.33</v>
      </c>
      <c r="AF33" s="3508">
        <f>'3. Показатели за качество'!I38</f>
        <v>6.23</v>
      </c>
      <c r="AG33" s="3508">
        <f>'3. Показатели за качество'!J38</f>
        <v>6.13</v>
      </c>
      <c r="AH33" s="3509">
        <f>'3. Показатели за качество'!M38</f>
        <v>6.15</v>
      </c>
      <c r="AI33" s="3440">
        <v>3</v>
      </c>
    </row>
    <row r="34" spans="1:35" ht="15.9" customHeight="1">
      <c r="A34" s="5590"/>
      <c r="B34" s="3470" t="s">
        <v>170</v>
      </c>
      <c r="C34" s="3473">
        <f>'4. Отчет и прогн. потребление'!D19</f>
        <v>0.44202366419993455</v>
      </c>
      <c r="D34" s="3473">
        <f>'4. Отчет и прогн. потребление'!E19</f>
        <v>0.44126748570213675</v>
      </c>
      <c r="E34" s="3473">
        <f>'4. Отчет и прогн. потребление'!F19</f>
        <v>0.44582113589523104</v>
      </c>
      <c r="F34" s="3473">
        <f>'4. Отчет и прогн. потребление'!G19</f>
        <v>0.45155372932932952</v>
      </c>
      <c r="G34" s="3473">
        <f>'4. Отчет и прогн. потребление'!H19</f>
        <v>0.46021201450716936</v>
      </c>
      <c r="H34" s="3473">
        <f>'4. Отчет и прогн. потребление'!I19</f>
        <v>0.47429804732011804</v>
      </c>
      <c r="Y34" s="3523"/>
      <c r="Z34" s="3524"/>
      <c r="AA34" s="3525"/>
      <c r="AB34" s="3526"/>
      <c r="AC34" s="3526"/>
      <c r="AD34" s="3526"/>
      <c r="AE34" s="3526"/>
      <c r="AF34" s="3526"/>
      <c r="AG34" s="3526"/>
      <c r="AH34" s="3527"/>
      <c r="AI34" s="3528"/>
    </row>
    <row r="35" spans="1:35" ht="15.9" customHeight="1">
      <c r="A35" s="5591" t="s">
        <v>572</v>
      </c>
      <c r="B35" s="3423" t="s">
        <v>1531</v>
      </c>
      <c r="C35" s="3424">
        <f>'4. Отчет и прогн. потребление'!D20</f>
        <v>3814422.0210000002</v>
      </c>
      <c r="D35" s="3424">
        <f>'4. Отчет и прогн. потребление'!E20</f>
        <v>3794968.2380000004</v>
      </c>
      <c r="E35" s="3424">
        <f>'4. Отчет и прогн. потребление'!F20</f>
        <v>3805086.7833795347</v>
      </c>
      <c r="F35" s="3424">
        <f>'4. Отчет и прогн. потребление'!G20</f>
        <v>3815024.2099647666</v>
      </c>
      <c r="G35" s="3424">
        <f>'4. Отчет и прогн. потребление'!H20</f>
        <v>3827067.925592544</v>
      </c>
      <c r="H35" s="3424">
        <f>'4. Отчет и прогн. потребление'!I20</f>
        <v>3843496.3642007206</v>
      </c>
      <c r="Y35" s="5599" t="s">
        <v>1592</v>
      </c>
      <c r="Z35" s="5600"/>
      <c r="AA35" s="5600"/>
      <c r="AB35" s="5600"/>
      <c r="AC35" s="5600"/>
      <c r="AD35" s="5600"/>
      <c r="AE35" s="5600"/>
      <c r="AF35" s="5600"/>
      <c r="AG35" s="5600"/>
      <c r="AH35" s="5600"/>
      <c r="AI35" s="5601"/>
    </row>
    <row r="36" spans="1:35" ht="42.75" customHeight="1">
      <c r="A36" s="5592"/>
      <c r="B36" s="3423" t="s">
        <v>170</v>
      </c>
      <c r="C36" s="3425">
        <f>'4. Отчет и прогн. потребление'!D21</f>
        <v>0.40118065120171026</v>
      </c>
      <c r="D36" s="3425">
        <f>'4. Отчет и прогн. потребление'!E21</f>
        <v>0.40341960646327207</v>
      </c>
      <c r="E36" s="3425">
        <f>'4. Отчет и прогн. потребление'!F21</f>
        <v>0.40994255369311944</v>
      </c>
      <c r="F36" s="3425">
        <f>'4. Отчет и прогн. потребление'!G21</f>
        <v>0.41771862585839992</v>
      </c>
      <c r="G36" s="3425">
        <f>'4. Отчет и прогн. потребление'!H21</f>
        <v>0.4284191117869186</v>
      </c>
      <c r="H36" s="3425">
        <f>'4. Отчет и прогн. потребление'!I21</f>
        <v>0.44446329739239326</v>
      </c>
      <c r="Y36" s="3529" t="s">
        <v>773</v>
      </c>
      <c r="Z36" s="3529" t="s">
        <v>1590</v>
      </c>
      <c r="AA36" s="3529" t="s">
        <v>746</v>
      </c>
      <c r="AB36" s="3529" t="str">
        <f>+'15. ОПП'!$B$7</f>
        <v>2024 г.</v>
      </c>
      <c r="AC36" s="3529" t="str">
        <f>+'15. ОПП'!$C$7</f>
        <v>2027 г.</v>
      </c>
      <c r="AD36" s="3529" t="str">
        <f>+'15. ОПП'!$D$7</f>
        <v>2028 г.</v>
      </c>
      <c r="AE36" s="3529" t="str">
        <f>+'15. ОПП'!$E$7</f>
        <v>2029 г.</v>
      </c>
      <c r="AF36" s="3529" t="str">
        <f>+'15. ОПП'!$F$7</f>
        <v>2030 г.</v>
      </c>
      <c r="AG36" s="3529" t="str">
        <f>+'15. ОПП'!$G$7</f>
        <v>2031 г.</v>
      </c>
      <c r="AH36" s="3486" t="str">
        <f>CONCATENATE("Индивидуална цел за ",AG36)</f>
        <v>Индивидуална цел за 2031 г.</v>
      </c>
      <c r="AI36" s="3530" t="s">
        <v>780</v>
      </c>
    </row>
    <row r="37" spans="1:35" ht="15.9" customHeight="1">
      <c r="A37" s="5593" t="s">
        <v>688</v>
      </c>
      <c r="B37" s="3423" t="s">
        <v>1531</v>
      </c>
      <c r="C37" s="3427">
        <f>'4. Отчет и прогн. потребление'!D26</f>
        <v>388335</v>
      </c>
      <c r="D37" s="3427">
        <f>'4. Отчет и прогн. потребление'!E26</f>
        <v>356035</v>
      </c>
      <c r="E37" s="3427">
        <f>'4. Отчет и прогн. потребление'!F26</f>
        <v>333025</v>
      </c>
      <c r="F37" s="3427">
        <f>'4. Отчет и прогн. потребление'!G26</f>
        <v>309016</v>
      </c>
      <c r="G37" s="3427">
        <f>'4. Отчет и прогн. потребление'!H26</f>
        <v>284006</v>
      </c>
      <c r="H37" s="3427">
        <f>'4. Отчет и прогн. потребление'!I26</f>
        <v>257996</v>
      </c>
      <c r="Y37" s="3489" t="s">
        <v>744</v>
      </c>
      <c r="Z37" s="3490" t="s">
        <v>756</v>
      </c>
      <c r="AA37" s="3491" t="s">
        <v>1587</v>
      </c>
      <c r="AB37" s="3508">
        <f>'3. Показатели за качество'!E40</f>
        <v>0</v>
      </c>
      <c r="AC37" s="3508">
        <f>'3. Показатели за качество'!F40</f>
        <v>0</v>
      </c>
      <c r="AD37" s="3508">
        <f>'3. Показатели за качество'!G40</f>
        <v>0</v>
      </c>
      <c r="AE37" s="3508">
        <f>'3. Показатели за качество'!H40</f>
        <v>0</v>
      </c>
      <c r="AF37" s="3508">
        <f>'3. Показатели за качество'!I40</f>
        <v>0</v>
      </c>
      <c r="AG37" s="3508">
        <f>'3. Показатели за качество'!J40</f>
        <v>0</v>
      </c>
      <c r="AH37" s="3518"/>
      <c r="AI37" s="3518"/>
    </row>
    <row r="38" spans="1:35" ht="15.9" customHeight="1">
      <c r="A38" s="5593"/>
      <c r="B38" s="3423" t="s">
        <v>170</v>
      </c>
      <c r="C38" s="3431">
        <f>'4. Отчет и прогн. потребление'!D27</f>
        <v>4.0843012998224335E-2</v>
      </c>
      <c r="D38" s="3431">
        <f>'4. Отчет и прогн. потребление'!E27</f>
        <v>3.7847879238864672E-2</v>
      </c>
      <c r="E38" s="3431">
        <f>'4. Отчет и прогн. потребление'!F27</f>
        <v>3.5878582202111611E-2</v>
      </c>
      <c r="F38" s="3431">
        <f>'4. Отчет и прогн. потребление'!G27</f>
        <v>3.3835103470929599E-2</v>
      </c>
      <c r="G38" s="3431">
        <f>'4. Отчет и прогн. потребление'!H27</f>
        <v>3.1792902720250753E-2</v>
      </c>
      <c r="H38" s="3431">
        <f>'4. Отчет и прогн. потребление'!I27</f>
        <v>2.9834749927724776E-2</v>
      </c>
      <c r="Y38" s="3489" t="s">
        <v>745</v>
      </c>
      <c r="Z38" s="3490" t="s">
        <v>756</v>
      </c>
      <c r="AA38" s="3491" t="s">
        <v>170</v>
      </c>
      <c r="AB38" s="3531">
        <f>'3. Показатели за качество'!E41</f>
        <v>0</v>
      </c>
      <c r="AC38" s="3531">
        <f>'3. Показатели за качество'!F41</f>
        <v>0</v>
      </c>
      <c r="AD38" s="3531">
        <f>'3. Показатели за качество'!G41</f>
        <v>0</v>
      </c>
      <c r="AE38" s="3531">
        <f>'3. Показатели за качество'!H41</f>
        <v>0</v>
      </c>
      <c r="AF38" s="3531">
        <f>'3. Показатели за качество'!I41</f>
        <v>0</v>
      </c>
      <c r="AG38" s="3531">
        <f>'3. Показатели за качество'!J41</f>
        <v>0</v>
      </c>
      <c r="AH38" s="3518"/>
      <c r="AI38" s="3518"/>
    </row>
    <row r="39" spans="1:35" ht="15.9" customHeight="1">
      <c r="A39" s="5590" t="s">
        <v>689</v>
      </c>
      <c r="B39" s="3470" t="s">
        <v>1531</v>
      </c>
      <c r="C39" s="3472">
        <f>'4. Отчет и прогн. потребление'!D30</f>
        <v>5305233.9699999988</v>
      </c>
      <c r="D39" s="3472">
        <f>'4. Отчет и прогн. потребление'!E30</f>
        <v>5255996.7620000001</v>
      </c>
      <c r="E39" s="3472">
        <f>'4. Отчет и прогн. потребление'!F30</f>
        <v>5143888.2166204657</v>
      </c>
      <c r="F39" s="3472">
        <f>'4. Отчет и прогн. потребление'!G30</f>
        <v>5008959.7900352329</v>
      </c>
      <c r="G39" s="3472">
        <f>'4. Отчет и прогн. потребление'!H30</f>
        <v>4821926.0744074564</v>
      </c>
      <c r="H39" s="3472">
        <f>'4. Отчет и прогн. потребление'!I30</f>
        <v>4546007.6357992794</v>
      </c>
      <c r="Y39" s="3489" t="s">
        <v>121</v>
      </c>
      <c r="Z39" s="3490" t="s">
        <v>757</v>
      </c>
      <c r="AA39" s="3491" t="s">
        <v>749</v>
      </c>
      <c r="AB39" s="3508">
        <f>'3. Показатели за качество'!E42</f>
        <v>0</v>
      </c>
      <c r="AC39" s="3508">
        <f>'3. Показатели за качество'!F42</f>
        <v>0</v>
      </c>
      <c r="AD39" s="3508">
        <f>'3. Показатели за качество'!G42</f>
        <v>0</v>
      </c>
      <c r="AE39" s="3508">
        <f>'3. Показатели за качество'!H42</f>
        <v>0</v>
      </c>
      <c r="AF39" s="3508">
        <f>'3. Показатели за качество'!I42</f>
        <v>0</v>
      </c>
      <c r="AG39" s="3508">
        <f>'3. Показатели за качество'!J42</f>
        <v>0</v>
      </c>
      <c r="AH39" s="3518"/>
      <c r="AI39" s="3518"/>
    </row>
    <row r="40" spans="1:35" ht="15.9" customHeight="1">
      <c r="A40" s="5590"/>
      <c r="B40" s="3470" t="s">
        <v>170</v>
      </c>
      <c r="C40" s="3474">
        <f>'4. Отчет и прогн. потребление'!D31</f>
        <v>0.55797633485349307</v>
      </c>
      <c r="D40" s="3474">
        <f>'4. Отчет и прогн. потребление'!E31</f>
        <v>0.5587325142978633</v>
      </c>
      <c r="E40" s="3474">
        <f>'4. Отчет и прогн. потребление'!F31</f>
        <v>0.55417886410476902</v>
      </c>
      <c r="F40" s="3474">
        <f>'4. Отчет и прогн. потребление'!G31</f>
        <v>0.54844627067067042</v>
      </c>
      <c r="G40" s="3474">
        <f>'4. Отчет и прогн. потребление'!H31</f>
        <v>0.53978798549283069</v>
      </c>
      <c r="H40" s="3474">
        <f>'4. Отчет и прогн. потребление'!I31</f>
        <v>0.52570195267988196</v>
      </c>
      <c r="Y40" s="3489" t="s">
        <v>130</v>
      </c>
      <c r="Z40" s="3490" t="s">
        <v>766</v>
      </c>
      <c r="AA40" s="3491" t="s">
        <v>170</v>
      </c>
      <c r="AB40" s="3531">
        <f>'3. Показатели за качество'!E43</f>
        <v>0</v>
      </c>
      <c r="AC40" s="3531">
        <f>'3. Показатели за качество'!F43</f>
        <v>0</v>
      </c>
      <c r="AD40" s="3531">
        <f>'3. Показатели за качество'!G43</f>
        <v>0</v>
      </c>
      <c r="AE40" s="3531">
        <f>'3. Показатели за качество'!H43</f>
        <v>0</v>
      </c>
      <c r="AF40" s="3531">
        <f>'3. Показатели за качество'!I43</f>
        <v>0</v>
      </c>
      <c r="AG40" s="3531">
        <f>'3. Показатели за качество'!J43</f>
        <v>0</v>
      </c>
      <c r="AH40" s="3518"/>
      <c r="AI40" s="3518"/>
    </row>
    <row r="41" spans="1:35" ht="15.9" customHeight="1">
      <c r="A41" s="5590"/>
      <c r="B41" s="3470" t="s">
        <v>1532</v>
      </c>
      <c r="C41" s="3475">
        <f>'4. Отчет и прогн. потребление'!D32</f>
        <v>8.0849160426795486</v>
      </c>
      <c r="D41" s="3475">
        <f>'4. Отчет и прогн. потребление'!E32</f>
        <v>7.9684117403768591</v>
      </c>
      <c r="E41" s="3475">
        <f>'4. Отчет и прогн. потребление'!F32</f>
        <v>7.7919806641173883</v>
      </c>
      <c r="F41" s="3475">
        <f>'4. Отчет и прогн. потребление'!G32</f>
        <v>7.5873808361471067</v>
      </c>
      <c r="G41" s="3475">
        <f>'4. Отчет и прогн. потребление'!H32</f>
        <v>7.3040087380796574</v>
      </c>
      <c r="H41" s="3475">
        <f>'4. Отчет и прогн. потребление'!I32</f>
        <v>6.8853762737518309</v>
      </c>
      <c r="Y41" s="3489" t="s">
        <v>131</v>
      </c>
      <c r="Z41" s="3490" t="s">
        <v>47</v>
      </c>
      <c r="AA41" s="3491" t="s">
        <v>1033</v>
      </c>
      <c r="AB41" s="3508">
        <f>'3. Показатели за качество'!E44</f>
        <v>0</v>
      </c>
      <c r="AC41" s="3508">
        <f>'3. Показатели за качество'!F44</f>
        <v>0</v>
      </c>
      <c r="AD41" s="3508">
        <f>'3. Показатели за качество'!G44</f>
        <v>0</v>
      </c>
      <c r="AE41" s="3508">
        <f>'3. Показатели за качество'!H44</f>
        <v>0</v>
      </c>
      <c r="AF41" s="3508">
        <f>'3. Показатели за качество'!I44</f>
        <v>0</v>
      </c>
      <c r="AG41" s="3508">
        <f>'3. Показатели за качество'!J44</f>
        <v>0</v>
      </c>
      <c r="AH41" s="3518"/>
      <c r="AI41" s="3518"/>
    </row>
    <row r="42" spans="1:35" ht="15.9" customHeight="1">
      <c r="A42" s="5582" t="s">
        <v>580</v>
      </c>
      <c r="B42" s="3423" t="s">
        <v>1531</v>
      </c>
      <c r="C42" s="3429">
        <f>'4. Отчет и прогн. потребление'!D33</f>
        <v>908973</v>
      </c>
      <c r="D42" s="3429">
        <f>'4. Отчет и прогн. потребление'!E33</f>
        <v>866197</v>
      </c>
      <c r="E42" s="3429">
        <f>'4. Отчет и прогн. потребление'!F33</f>
        <v>786697</v>
      </c>
      <c r="F42" s="3429">
        <f>'4. Отчет и прогн. потребление'!G33</f>
        <v>689197</v>
      </c>
      <c r="G42" s="3429">
        <f>'4. Отчет и прогн. потребление'!H33</f>
        <v>580197</v>
      </c>
      <c r="H42" s="3429">
        <f>'4. Отчет и прогн. потребление'!I33</f>
        <v>462697</v>
      </c>
    </row>
    <row r="43" spans="1:35" ht="15.9" customHeight="1">
      <c r="A43" s="5582"/>
      <c r="B43" s="3423" t="s">
        <v>170</v>
      </c>
      <c r="C43" s="3430">
        <f>'4. Отчет и прогн. потребление'!D34</f>
        <v>9.5600952924755608E-2</v>
      </c>
      <c r="D43" s="3430">
        <f>'4. Отчет и прогн. потребление'!E34</f>
        <v>9.2080046773679175E-2</v>
      </c>
      <c r="E43" s="3430">
        <f>'4. Отчет и прогн. потребление'!F34</f>
        <v>8.475511743158802E-2</v>
      </c>
      <c r="F43" s="3430">
        <f>'4. Отчет и прогн. потребление'!G34</f>
        <v>7.5462279645242533E-2</v>
      </c>
      <c r="G43" s="3430">
        <f>'4. Отчет и прогн. потребление'!H34</f>
        <v>6.4949848874958027E-2</v>
      </c>
      <c r="H43" s="3430">
        <f>'4. Отчет и прогн. потребление'!I34</f>
        <v>5.3506446949985548E-2</v>
      </c>
    </row>
    <row r="44" spans="1:35" ht="15.9" customHeight="1">
      <c r="A44" s="5596" t="s">
        <v>585</v>
      </c>
      <c r="B44" s="3423" t="s">
        <v>1531</v>
      </c>
      <c r="C44" s="3429">
        <f>'4. Отчет и прогн. потребление'!D37</f>
        <v>4396260.9699999988</v>
      </c>
      <c r="D44" s="3429">
        <f>'4. Отчет и прогн. потребление'!E37</f>
        <v>4389799.7620000001</v>
      </c>
      <c r="E44" s="3429">
        <f>'4. Отчет и прогн. потребление'!F37</f>
        <v>4357191.2166204657</v>
      </c>
      <c r="F44" s="3429">
        <f>'4. Отчет и прогн. потребление'!G37</f>
        <v>4319762.7900352329</v>
      </c>
      <c r="G44" s="3429">
        <f>'4. Отчет и прогн. потребление'!H37</f>
        <v>4241729.0744074564</v>
      </c>
      <c r="H44" s="3429">
        <f>'4. Отчет и прогн. потребление'!I37</f>
        <v>4083310.6357992794</v>
      </c>
    </row>
    <row r="45" spans="1:35" ht="15.9" customHeight="1">
      <c r="A45" s="5596"/>
      <c r="B45" s="3423" t="s">
        <v>170</v>
      </c>
      <c r="C45" s="3430">
        <f>'4. Отчет и прогн. потребление'!D38</f>
        <v>0.46237538192873751</v>
      </c>
      <c r="D45" s="3430">
        <f>'4. Отчет и прогн. потребление'!E38</f>
        <v>0.46665246752418416</v>
      </c>
      <c r="E45" s="3430">
        <f>'4. Отчет и прогн. потребление'!F38</f>
        <v>0.46942374667318099</v>
      </c>
      <c r="F45" s="3430">
        <f>'4. Отчет и прогн. потребление'!G38</f>
        <v>0.47298399102542787</v>
      </c>
      <c r="G45" s="3430">
        <f>'4. Отчет и прогн. потребление'!H38</f>
        <v>0.47483813661787266</v>
      </c>
      <c r="H45" s="3430">
        <f>'4. Отчет и прогн. потребление'!I38</f>
        <v>0.47219550572989644</v>
      </c>
    </row>
    <row r="46" spans="1:35" ht="15.9" customHeight="1">
      <c r="A46" s="5594" t="s">
        <v>594</v>
      </c>
      <c r="B46" s="3470" t="s">
        <v>1531</v>
      </c>
      <c r="C46" s="3471">
        <f>'4. Отчет и прогн. потребление'!D43</f>
        <v>5693568.9699999988</v>
      </c>
      <c r="D46" s="3471">
        <f>'4. Отчет и прогн. потребление'!E43</f>
        <v>5612031.7620000001</v>
      </c>
      <c r="E46" s="3471">
        <f>'4. Отчет и прогн. потребление'!F43</f>
        <v>5476913.2166204657</v>
      </c>
      <c r="F46" s="3471">
        <f>'4. Отчет и прогн. потребление'!G43</f>
        <v>5317975.7900352329</v>
      </c>
      <c r="G46" s="3471">
        <f>'4. Отчет и прогн. потребление'!H43</f>
        <v>5105932.0744074564</v>
      </c>
      <c r="H46" s="3471">
        <f>'4. Отчет и прогн. потребление'!I43</f>
        <v>4804003.6357992794</v>
      </c>
    </row>
    <row r="47" spans="1:35" ht="15.9" customHeight="1">
      <c r="A47" s="5597"/>
      <c r="B47" s="3470" t="s">
        <v>170</v>
      </c>
      <c r="C47" s="3476">
        <f>'4. Отчет и прогн. потребление'!D44</f>
        <v>0.59881934785171742</v>
      </c>
      <c r="D47" s="3476">
        <f>'4. Отчет и прогн. потребление'!E44</f>
        <v>0.59658039353672798</v>
      </c>
      <c r="E47" s="3476">
        <f>'4. Отчет и прогн. потребление'!F44</f>
        <v>0.59005744630688062</v>
      </c>
      <c r="F47" s="3476">
        <f>'4. Отчет и прогн. потребление'!G44</f>
        <v>0.58228137414159997</v>
      </c>
      <c r="G47" s="3476">
        <f>'4. Отчет и прогн. потребление'!H44</f>
        <v>0.5715808882130814</v>
      </c>
      <c r="H47" s="3476">
        <f>'4. Отчет и прогн. потребление'!I44</f>
        <v>0.55553670260760679</v>
      </c>
    </row>
    <row r="48" spans="1:35" ht="15.9" customHeight="1">
      <c r="A48" s="5595"/>
      <c r="B48" s="3470" t="s">
        <v>1532</v>
      </c>
      <c r="C48" s="3477">
        <f>'4. Отчет и прогн. потребление'!D45</f>
        <v>8.6767195124582734</v>
      </c>
      <c r="D48" s="3477">
        <f>'4. Отчет и прогн. потребление'!E45</f>
        <v>8.5081825207731416</v>
      </c>
      <c r="E48" s="3477">
        <f>'4. Отчет и прогн. потребление'!F45</f>
        <v>8.2964481508491588</v>
      </c>
      <c r="F48" s="3477">
        <f>'4. Отчет и прогн. потребление'!G45</f>
        <v>8.0554664616550617</v>
      </c>
      <c r="G48" s="3477">
        <f>'4. Отчет и прогн. потребление'!H45</f>
        <v>7.7342066037576291</v>
      </c>
      <c r="H48" s="3477">
        <f>'4. Отчет и прогн. потребление'!I45</f>
        <v>7.2761366242479308</v>
      </c>
    </row>
    <row r="49" spans="1:8" ht="15.9" customHeight="1">
      <c r="A49" s="5587" t="s">
        <v>174</v>
      </c>
      <c r="B49" s="5588"/>
      <c r="C49" s="5588"/>
      <c r="D49" s="5588"/>
      <c r="E49" s="5588"/>
      <c r="F49" s="5588"/>
      <c r="G49" s="5588"/>
      <c r="H49" s="5589"/>
    </row>
    <row r="50" spans="1:8" ht="15.9" customHeight="1">
      <c r="A50" s="5598" t="s">
        <v>175</v>
      </c>
      <c r="B50" s="3470" t="s">
        <v>1531</v>
      </c>
      <c r="C50" s="3479">
        <f>'4. Отчет и прогн. потребление'!D48</f>
        <v>1881942.1539999999</v>
      </c>
      <c r="D50" s="3479">
        <f>'4. Отчет и прогн. потребление'!E48</f>
        <v>1889565.2776666668</v>
      </c>
      <c r="E50" s="3479">
        <f>'4. Отчет и прогн. потребление'!F48</f>
        <v>1895158.3957083928</v>
      </c>
      <c r="F50" s="3479">
        <f>'4. Отчет и прогн. потребление'!G48</f>
        <v>1903295.8178917994</v>
      </c>
      <c r="G50" s="3479">
        <f>'4. Отчет и прогн. потребление'!H48</f>
        <v>1914722.8651251784</v>
      </c>
      <c r="H50" s="3479">
        <f>'4. Отчет и прогн. потребление'!I48</f>
        <v>1926773.2897072684</v>
      </c>
    </row>
    <row r="51" spans="1:8" ht="15.9" customHeight="1">
      <c r="A51" s="5598"/>
      <c r="B51" s="3470" t="s">
        <v>170</v>
      </c>
      <c r="C51" s="3480">
        <f>'4. Отчет и прогн. потребление'!D49</f>
        <v>0.49337544289517926</v>
      </c>
      <c r="D51" s="3480">
        <f>'4. Отчет и прогн. потребление'!E49</f>
        <v>0.49791333132803589</v>
      </c>
      <c r="E51" s="3480">
        <f>'4. Отчет и прогн. потребление'!F49</f>
        <v>0.4980591780419748</v>
      </c>
      <c r="F51" s="3480">
        <f>'4. Отчет и прогн. потребление'!G49</f>
        <v>0.49889482035800164</v>
      </c>
      <c r="G51" s="3480">
        <f>'4. Отчет и прогн. потребление'!H49</f>
        <v>0.50031065618693515</v>
      </c>
      <c r="H51" s="3480">
        <f>'4. Отчет и прогн. потребление'!I49</f>
        <v>0.5013074313413467</v>
      </c>
    </row>
    <row r="52" spans="1:8" ht="15.9" customHeight="1">
      <c r="A52" s="3426" t="s">
        <v>177</v>
      </c>
      <c r="B52" s="3423" t="s">
        <v>1531</v>
      </c>
      <c r="C52" s="3427">
        <f>'4. Отчет и прогн. потребление'!D50</f>
        <v>1589335.0529999998</v>
      </c>
      <c r="D52" s="3427">
        <f>'4. Отчет и прогн. потребление'!E50</f>
        <v>1586597.2233333334</v>
      </c>
      <c r="E52" s="3427">
        <f>'4. Отчет и прогн. потребление'!F50</f>
        <v>1592193.3957083928</v>
      </c>
      <c r="F52" s="3427">
        <f>'4. Отчет и прогн. потребление'!G50</f>
        <v>1591930.8178917994</v>
      </c>
      <c r="G52" s="3427">
        <f>'4. Отчет и прогн. потребление'!H50</f>
        <v>1594907.8651251784</v>
      </c>
      <c r="H52" s="3427">
        <f>'4. Отчет и прогн. потребление'!I50</f>
        <v>1598558.2897072684</v>
      </c>
    </row>
    <row r="53" spans="1:8" ht="15.9" customHeight="1">
      <c r="A53" s="3426" t="s">
        <v>179</v>
      </c>
      <c r="B53" s="3423" t="s">
        <v>1531</v>
      </c>
      <c r="C53" s="3427">
        <f>'4. Отчет и прогн. потребление'!D51</f>
        <v>292607.10100000002</v>
      </c>
      <c r="D53" s="3427">
        <f>'4. Отчет и прогн. потребление'!E51</f>
        <v>302968.05433333333</v>
      </c>
      <c r="E53" s="3427">
        <f>'4. Отчет и прогн. потребление'!F51</f>
        <v>302965</v>
      </c>
      <c r="F53" s="3427">
        <f>'4. Отчет и прогн. потребление'!G51</f>
        <v>311365</v>
      </c>
      <c r="G53" s="3427">
        <f>'4. Отчет и прогн. потребление'!H51</f>
        <v>319815</v>
      </c>
      <c r="H53" s="3427">
        <f>'4. Отчет и прогн. потребление'!I51</f>
        <v>328215</v>
      </c>
    </row>
    <row r="54" spans="1:8" ht="15.9" customHeight="1">
      <c r="A54" s="5587" t="s">
        <v>184</v>
      </c>
      <c r="B54" s="5588"/>
      <c r="C54" s="5588"/>
      <c r="D54" s="5588"/>
      <c r="E54" s="5588"/>
      <c r="F54" s="5588"/>
      <c r="G54" s="5588"/>
      <c r="H54" s="5589"/>
    </row>
    <row r="55" spans="1:8" ht="15.9" customHeight="1">
      <c r="A55" s="5598" t="s">
        <v>185</v>
      </c>
      <c r="B55" s="3470" t="s">
        <v>1531</v>
      </c>
      <c r="C55" s="3479">
        <f>'4. Отчет и прогн. потребление'!D53</f>
        <v>1758030.1429999999</v>
      </c>
      <c r="D55" s="3479">
        <f>'4. Отчет и прогн. потребление'!E53</f>
        <v>1809130.2706666666</v>
      </c>
      <c r="E55" s="3479">
        <f>'4. Отчет и прогн. потребление'!F53</f>
        <v>1816085.8674087427</v>
      </c>
      <c r="F55" s="3479">
        <f>'4. Отчет и прогн. потребление'!G53</f>
        <v>1823664.6078461222</v>
      </c>
      <c r="G55" s="3479">
        <f>'4. Отчет и прогн. потребление'!H53</f>
        <v>1834032.4324627582</v>
      </c>
      <c r="H55" s="3479">
        <f>'4. Отчет и прогн. потребление'!I53</f>
        <v>1844801.071139785</v>
      </c>
    </row>
    <row r="56" spans="1:8" ht="15.9" customHeight="1">
      <c r="A56" s="5598"/>
      <c r="B56" s="3470" t="s">
        <v>170</v>
      </c>
      <c r="C56" s="3480">
        <f>'4. Отчет и прогн. потребление'!D54</f>
        <v>0.46089030876009612</v>
      </c>
      <c r="D56" s="3480">
        <f>'4. Отчет и прогн. потребление'!E54</f>
        <v>0.4767181586795316</v>
      </c>
      <c r="E56" s="3480">
        <f>'4. Отчет и прогн. потребление'!F54</f>
        <v>0.47727843563025485</v>
      </c>
      <c r="F56" s="3480">
        <f>'4. Отчет и прогн. потребление'!G54</f>
        <v>0.4780217653882109</v>
      </c>
      <c r="G56" s="3480">
        <f>'4. Отчет и прогн. потребление'!H54</f>
        <v>0.47922651704144897</v>
      </c>
      <c r="H56" s="3480">
        <f>'4. Отчет и прогн. потребление'!I54</f>
        <v>0.47997991836878529</v>
      </c>
    </row>
    <row r="57" spans="1:8" ht="15.9" customHeight="1">
      <c r="A57" s="3426" t="s">
        <v>177</v>
      </c>
      <c r="B57" s="3423" t="s">
        <v>1531</v>
      </c>
      <c r="C57" s="3424">
        <f>'4. Отчет и прогн. потребление'!D55</f>
        <v>1465423.0419999999</v>
      </c>
      <c r="D57" s="3424">
        <f>'4. Отчет и прогн. потребление'!E55</f>
        <v>1506162.2163333332</v>
      </c>
      <c r="E57" s="3424">
        <f>'4. Отчет и прогн. потребление'!F55</f>
        <v>1513120.8674087427</v>
      </c>
      <c r="F57" s="3424">
        <f>'4. Отчет и прогн. потребление'!G55</f>
        <v>1512299.6078461222</v>
      </c>
      <c r="G57" s="3424">
        <f>'4. Отчет и прогн. потребление'!H55</f>
        <v>1514217.4324627582</v>
      </c>
      <c r="H57" s="3424">
        <f>'4. Отчет и прогн. потребление'!I55</f>
        <v>1516586.071139785</v>
      </c>
    </row>
    <row r="58" spans="1:8" ht="15.9" customHeight="1">
      <c r="A58" s="3426" t="s">
        <v>179</v>
      </c>
      <c r="B58" s="3423" t="s">
        <v>1531</v>
      </c>
      <c r="C58" s="3424">
        <f>'4. Отчет и прогн. потребление'!D56</f>
        <v>292607.10100000002</v>
      </c>
      <c r="D58" s="3424">
        <f>'4. Отчет и прогн. потребление'!E56</f>
        <v>302968.05433333333</v>
      </c>
      <c r="E58" s="3424">
        <f>'4. Отчет и прогн. потребление'!F56</f>
        <v>302965</v>
      </c>
      <c r="F58" s="3424">
        <f>'4. Отчет и прогн. потребление'!G56</f>
        <v>311365</v>
      </c>
      <c r="G58" s="3424">
        <f>'4. Отчет и прогн. потребление'!H56</f>
        <v>319815</v>
      </c>
      <c r="H58" s="3424">
        <f>'4. Отчет и прогн. потребление'!I56</f>
        <v>328215</v>
      </c>
    </row>
    <row r="59" spans="1:8" ht="15.9" customHeight="1">
      <c r="A59" s="3428" t="s">
        <v>997</v>
      </c>
      <c r="B59" s="3423" t="s">
        <v>1531</v>
      </c>
      <c r="C59" s="3429">
        <f>'4. Отчет и прогн. потребление'!D58</f>
        <v>51802.1</v>
      </c>
      <c r="D59" s="3429">
        <f>'4. Отчет и прогн. потребление'!E58</f>
        <v>62153.054333333333</v>
      </c>
      <c r="E59" s="3429">
        <f>'4. Отчет и прогн. потребление'!F58</f>
        <v>62150</v>
      </c>
      <c r="F59" s="3429">
        <f>'4. Отчет и прогн. потребление'!G58</f>
        <v>70550</v>
      </c>
      <c r="G59" s="3429">
        <f>'4. Отчет и прогн. потребление'!H58</f>
        <v>79000</v>
      </c>
      <c r="H59" s="3429">
        <f>'4. Отчет и прогн. потребление'!I58</f>
        <v>87400</v>
      </c>
    </row>
    <row r="60" spans="1:8" ht="15.9" customHeight="1">
      <c r="A60" s="3428" t="s">
        <v>998</v>
      </c>
      <c r="B60" s="3423" t="s">
        <v>1531</v>
      </c>
      <c r="C60" s="3429">
        <f>'4. Отчет и прогн. потребление'!D59</f>
        <v>129782</v>
      </c>
      <c r="D60" s="3429">
        <f>'4. Отчет и прогн. потребление'!E59</f>
        <v>213250</v>
      </c>
      <c r="E60" s="3429">
        <f>'4. Отчет и прогн. потребление'!F59</f>
        <v>213250</v>
      </c>
      <c r="F60" s="3429">
        <f>'4. Отчет и прогн. потребление'!G59</f>
        <v>213250</v>
      </c>
      <c r="G60" s="3429">
        <f>'4. Отчет и прогн. потребление'!H59</f>
        <v>213250</v>
      </c>
      <c r="H60" s="3429">
        <f>'4. Отчет и прогн. потребление'!I59</f>
        <v>213250</v>
      </c>
    </row>
    <row r="61" spans="1:8" ht="15.9" customHeight="1">
      <c r="A61" s="3428" t="s">
        <v>999</v>
      </c>
      <c r="B61" s="3423" t="s">
        <v>1531</v>
      </c>
      <c r="C61" s="3429">
        <f>'4. Отчет и прогн. потребление'!D60</f>
        <v>111023</v>
      </c>
      <c r="D61" s="3429">
        <f>'4. Отчет и прогн. потребление'!E60</f>
        <v>27565</v>
      </c>
      <c r="E61" s="3429">
        <f>'4. Отчет и прогн. потребление'!F60</f>
        <v>27565</v>
      </c>
      <c r="F61" s="3429">
        <f>'4. Отчет и прогн. потребление'!G60</f>
        <v>27565</v>
      </c>
      <c r="G61" s="3429">
        <f>'4. Отчет и прогн. потребление'!H60</f>
        <v>27565</v>
      </c>
      <c r="H61" s="3429">
        <f>'4. Отчет и прогн. потребление'!I60</f>
        <v>27565</v>
      </c>
    </row>
    <row r="62" spans="1:8" ht="15.9" customHeight="1">
      <c r="A62" s="5587" t="s">
        <v>1235</v>
      </c>
      <c r="B62" s="5588"/>
      <c r="C62" s="5588"/>
      <c r="D62" s="5588"/>
      <c r="E62" s="5588"/>
      <c r="F62" s="5588"/>
      <c r="G62" s="5588"/>
      <c r="H62" s="5589"/>
    </row>
    <row r="63" spans="1:8" ht="15.9" customHeight="1">
      <c r="A63" s="3469" t="s">
        <v>570</v>
      </c>
      <c r="B63" s="3470" t="s">
        <v>1531</v>
      </c>
      <c r="C63" s="3471">
        <f>'4. Отчет и прогн. потребление'!D62</f>
        <v>0</v>
      </c>
      <c r="D63" s="3471">
        <f>'4. Отчет и прогн. потребление'!E62</f>
        <v>0</v>
      </c>
      <c r="E63" s="3471">
        <f>'4. Отчет и прогн. потребление'!F62</f>
        <v>0</v>
      </c>
      <c r="F63" s="3471">
        <f>'4. Отчет и прогн. потребление'!G62</f>
        <v>0</v>
      </c>
      <c r="G63" s="3471">
        <f>'4. Отчет и прогн. потребление'!H62</f>
        <v>0</v>
      </c>
      <c r="H63" s="3471">
        <f>'4. Отчет и прогн. потребление'!I62</f>
        <v>0</v>
      </c>
    </row>
    <row r="64" spans="1:8" ht="15.9" customHeight="1">
      <c r="A64" s="5591" t="s">
        <v>572</v>
      </c>
      <c r="B64" s="3423" t="s">
        <v>1531</v>
      </c>
      <c r="C64" s="3424">
        <f>'4. Отчет и прогн. потребление'!D69</f>
        <v>0</v>
      </c>
      <c r="D64" s="3424">
        <f>'4. Отчет и прогн. потребление'!E69</f>
        <v>0</v>
      </c>
      <c r="E64" s="3424">
        <f>'4. Отчет и прогн. потребление'!F69</f>
        <v>0</v>
      </c>
      <c r="F64" s="3424">
        <f>'4. Отчет и прогн. потребление'!G69</f>
        <v>0</v>
      </c>
      <c r="G64" s="3424">
        <f>'4. Отчет и прогн. потребление'!H69</f>
        <v>0</v>
      </c>
      <c r="H64" s="3424">
        <f>'4. Отчет и прогн. потребление'!I69</f>
        <v>0</v>
      </c>
    </row>
    <row r="65" spans="1:8" ht="15.9" customHeight="1">
      <c r="A65" s="5592"/>
      <c r="B65" s="3423" t="s">
        <v>170</v>
      </c>
      <c r="C65" s="3425">
        <f>'4. Отчет и прогн. потребление'!D70</f>
        <v>0</v>
      </c>
      <c r="D65" s="3425">
        <f>'4. Отчет и прогн. потребление'!E70</f>
        <v>0</v>
      </c>
      <c r="E65" s="3425">
        <f>'4. Отчет и прогн. потребление'!F70</f>
        <v>0</v>
      </c>
      <c r="F65" s="3425">
        <f>'4. Отчет и прогн. потребление'!G70</f>
        <v>0</v>
      </c>
      <c r="G65" s="3425">
        <f>'4. Отчет и прогн. потребление'!H70</f>
        <v>0</v>
      </c>
      <c r="H65" s="3425">
        <f>'4. Отчет и прогн. потребление'!I70</f>
        <v>0</v>
      </c>
    </row>
    <row r="66" spans="1:8" ht="15.9" customHeight="1">
      <c r="A66" s="5594" t="s">
        <v>594</v>
      </c>
      <c r="B66" s="3470" t="s">
        <v>1531</v>
      </c>
      <c r="C66" s="3471">
        <f>'4. Отчет и прогн. потребление'!D88</f>
        <v>0</v>
      </c>
      <c r="D66" s="3471">
        <f>'4. Отчет и прогн. потребление'!E88</f>
        <v>0</v>
      </c>
      <c r="E66" s="3471">
        <f>'4. Отчет и прогн. потребление'!F88</f>
        <v>0</v>
      </c>
      <c r="F66" s="3471">
        <f>'4. Отчет и прогн. потребление'!G88</f>
        <v>0</v>
      </c>
      <c r="G66" s="3471">
        <f>'4. Отчет и прогн. потребление'!H88</f>
        <v>0</v>
      </c>
      <c r="H66" s="3471">
        <f>'4. Отчет и прогн. потребление'!I88</f>
        <v>0</v>
      </c>
    </row>
    <row r="67" spans="1:8" ht="15.9" customHeight="1">
      <c r="A67" s="5597"/>
      <c r="B67" s="3470" t="s">
        <v>170</v>
      </c>
      <c r="C67" s="3478">
        <f>'4. Отчет и прогн. потребление'!D89</f>
        <v>0</v>
      </c>
      <c r="D67" s="3478">
        <f>'4. Отчет и прогн. потребление'!E89</f>
        <v>0</v>
      </c>
      <c r="E67" s="3478">
        <f>'4. Отчет и прогн. потребление'!F89</f>
        <v>0</v>
      </c>
      <c r="F67" s="3478">
        <f>'4. Отчет и прогн. потребление'!G89</f>
        <v>0</v>
      </c>
      <c r="G67" s="3478">
        <f>'4. Отчет и прогн. потребление'!H89</f>
        <v>0</v>
      </c>
      <c r="H67" s="3478">
        <f>'4. Отчет и прогн. потребление'!I89</f>
        <v>0</v>
      </c>
    </row>
    <row r="68" spans="1:8" ht="15.9" customHeight="1">
      <c r="A68" s="5595"/>
      <c r="B68" s="3470" t="s">
        <v>1532</v>
      </c>
      <c r="C68" s="3477">
        <f>'4. Отчет и прогн. потребление'!D90</f>
        <v>0</v>
      </c>
      <c r="D68" s="3477">
        <f>'4. Отчет и прогн. потребление'!E90</f>
        <v>0</v>
      </c>
      <c r="E68" s="3477">
        <f>'4. Отчет и прогн. потребление'!F90</f>
        <v>0</v>
      </c>
      <c r="F68" s="3477">
        <f>'4. Отчет и прогн. потребление'!G90</f>
        <v>0</v>
      </c>
      <c r="G68" s="3477">
        <f>'4. Отчет и прогн. потребление'!H90</f>
        <v>0</v>
      </c>
      <c r="H68" s="3477">
        <f>'4. Отчет и прогн. потребление'!I90</f>
        <v>0</v>
      </c>
    </row>
    <row r="69" spans="1:8" ht="15.9" customHeight="1">
      <c r="A69" s="5587" t="s">
        <v>1092</v>
      </c>
      <c r="B69" s="5588"/>
      <c r="C69" s="5588"/>
      <c r="D69" s="5588"/>
      <c r="E69" s="5588"/>
      <c r="F69" s="5588"/>
      <c r="G69" s="5588"/>
      <c r="H69" s="5589"/>
    </row>
    <row r="70" spans="1:8" ht="15.9" customHeight="1">
      <c r="A70" s="3469" t="s">
        <v>570</v>
      </c>
      <c r="B70" s="3470" t="s">
        <v>1531</v>
      </c>
      <c r="C70" s="3471">
        <f>'4. Отчет и прогн. потребление'!D93</f>
        <v>18028811</v>
      </c>
      <c r="D70" s="3471">
        <f>'4. Отчет и прогн. потребление'!E93</f>
        <v>19522086</v>
      </c>
      <c r="E70" s="3471">
        <f>'4. Отчет и прогн. потребление'!F93</f>
        <v>19528394</v>
      </c>
      <c r="F70" s="3471">
        <f>'4. Отчет и прогн. потребление'!G93</f>
        <v>19534717</v>
      </c>
      <c r="G70" s="3471">
        <f>'4. Отчет и прогн. потребление'!H93</f>
        <v>19541052</v>
      </c>
      <c r="H70" s="3471">
        <f>'4. Отчет и прогн. потребление'!I93</f>
        <v>19547405</v>
      </c>
    </row>
    <row r="71" spans="1:8" ht="15.9" customHeight="1">
      <c r="A71" s="5591" t="s">
        <v>572</v>
      </c>
      <c r="B71" s="3423" t="s">
        <v>1531</v>
      </c>
      <c r="C71" s="3424">
        <f>'4. Отчет и прогн. потребление'!D100</f>
        <v>16915738</v>
      </c>
      <c r="D71" s="3424">
        <f>'4. Отчет и прогн. потребление'!E100</f>
        <v>18322086</v>
      </c>
      <c r="E71" s="3424">
        <f>'4. Отчет и прогн. потребление'!F100</f>
        <v>18321758</v>
      </c>
      <c r="F71" s="3424">
        <f>'4. Отчет и прогн. потребление'!G100</f>
        <v>18321429</v>
      </c>
      <c r="G71" s="3424">
        <f>'4. Отчет и прогн. потребление'!H100</f>
        <v>18321100</v>
      </c>
      <c r="H71" s="3424">
        <f>'4. Отчет и прогн. потребление'!I100</f>
        <v>18320772</v>
      </c>
    </row>
    <row r="72" spans="1:8" ht="15.9" customHeight="1">
      <c r="A72" s="5592"/>
      <c r="B72" s="3423" t="s">
        <v>170</v>
      </c>
      <c r="C72" s="3425">
        <f>'4. Отчет и прогн. потребление'!D101</f>
        <v>0.93826143055135469</v>
      </c>
      <c r="D72" s="3425">
        <f>'4. Отчет и прогн. потребление'!E101</f>
        <v>0.93853115901651085</v>
      </c>
      <c r="E72" s="3425">
        <f>'4. Отчет и прогн. потребление'!F101</f>
        <v>0.93821120159701821</v>
      </c>
      <c r="F72" s="3425">
        <f>'4. Отчет и прогн. потребление'!G101</f>
        <v>0.93789067945033455</v>
      </c>
      <c r="G72" s="3425">
        <f>'4. Отчет и прогн. потребление'!H101</f>
        <v>0.93756978897553722</v>
      </c>
      <c r="H72" s="3425">
        <f>'4. Отчет и прогн. потребление'!I101</f>
        <v>0.93724829459460224</v>
      </c>
    </row>
    <row r="73" spans="1:8" ht="15.9" customHeight="1">
      <c r="A73" s="5594" t="s">
        <v>594</v>
      </c>
      <c r="B73" s="3470" t="s">
        <v>1531</v>
      </c>
      <c r="C73" s="3471">
        <f>'4. Отчет и прогн. потребление'!D110</f>
        <v>1113073</v>
      </c>
      <c r="D73" s="3471">
        <f>'4. Отчет и прогн. потребление'!E110</f>
        <v>1200000</v>
      </c>
      <c r="E73" s="3471">
        <f>'4. Отчет и прогн. потребление'!F110</f>
        <v>1206636</v>
      </c>
      <c r="F73" s="3471">
        <f>'4. Отчет и прогн. потребление'!G110</f>
        <v>1213288</v>
      </c>
      <c r="G73" s="3471">
        <f>'4. Отчет и прогн. потребление'!H110</f>
        <v>1219952</v>
      </c>
      <c r="H73" s="3471">
        <f>'4. Отчет и прогн. потребление'!I110</f>
        <v>1226633</v>
      </c>
    </row>
    <row r="74" spans="1:8" ht="15.9" customHeight="1">
      <c r="A74" s="5595"/>
      <c r="B74" s="3470" t="s">
        <v>170</v>
      </c>
      <c r="C74" s="3478">
        <f>'4. Отчет и прогн. потребление'!D111</f>
        <v>6.1738569448645281E-2</v>
      </c>
      <c r="D74" s="3478">
        <f>'4. Отчет и прогн. потребление'!E111</f>
        <v>6.1468840983489162E-2</v>
      </c>
      <c r="E74" s="3478">
        <f>'4. Отчет и прогн. потребление'!F111</f>
        <v>6.1788798402981834E-2</v>
      </c>
      <c r="F74" s="3478">
        <f>'4. Отчет и прогн. потребление'!G111</f>
        <v>6.2109320549665503E-2</v>
      </c>
      <c r="G74" s="3478">
        <f>'4. Отчет и прогн. потребление'!H111</f>
        <v>6.2430211024462758E-2</v>
      </c>
      <c r="H74" s="3478">
        <f>'4. Отчет и прогн. потребление'!I111</f>
        <v>6.2751705405397804E-2</v>
      </c>
    </row>
    <row r="76" spans="1:8" ht="15.6">
      <c r="A76" s="3483" t="s">
        <v>872</v>
      </c>
    </row>
    <row r="77" spans="1:8" ht="18" customHeight="1">
      <c r="A77" s="3443" t="s">
        <v>2</v>
      </c>
      <c r="B77" s="3444" t="s">
        <v>1533</v>
      </c>
      <c r="C77" s="4368" t="str">
        <f>+'15. ОПП'!$B$7</f>
        <v>2024 г.</v>
      </c>
      <c r="D77" s="4368" t="str">
        <f>+'15. ОПП'!$C$7</f>
        <v>2027 г.</v>
      </c>
      <c r="E77" s="4368" t="str">
        <f>+'15. ОПП'!$D$7</f>
        <v>2028 г.</v>
      </c>
      <c r="F77" s="4368" t="str">
        <f>+'15. ОПП'!$E$7</f>
        <v>2029 г.</v>
      </c>
      <c r="G77" s="4368" t="str">
        <f>+'15. ОПП'!$F$7</f>
        <v>2030 г.</v>
      </c>
      <c r="H77" s="4368" t="str">
        <f>+'15. ОПП'!$G$7</f>
        <v>2031 г.</v>
      </c>
    </row>
    <row r="78" spans="1:8" ht="18" customHeight="1">
      <c r="A78" s="3532" t="s">
        <v>1125</v>
      </c>
      <c r="B78" s="3442" t="s">
        <v>595</v>
      </c>
      <c r="C78" s="3579">
        <f>'7. Утайки от ПСОВ'!D19</f>
        <v>4.93</v>
      </c>
      <c r="D78" s="3579">
        <f>'7. Утайки от ПСОВ'!G19</f>
        <v>5</v>
      </c>
      <c r="E78" s="3579">
        <f>'7. Утайки от ПСОВ'!H19</f>
        <v>5</v>
      </c>
      <c r="F78" s="3579">
        <f>'7. Утайки от ПСОВ'!I19</f>
        <v>5</v>
      </c>
      <c r="G78" s="3579">
        <f>'7. Утайки от ПСОВ'!J19</f>
        <v>5</v>
      </c>
      <c r="H78" s="3579">
        <f>'7. Утайки от ПСОВ'!K19</f>
        <v>5</v>
      </c>
    </row>
    <row r="79" spans="1:8" ht="18" customHeight="1">
      <c r="A79" s="3533" t="s">
        <v>1556</v>
      </c>
      <c r="B79" s="3442" t="s">
        <v>595</v>
      </c>
      <c r="C79" s="3579">
        <f>'7. Утайки от ПСОВ'!D14</f>
        <v>295.7</v>
      </c>
      <c r="D79" s="3579">
        <f>'7. Утайки от ПСОВ'!G14</f>
        <v>280</v>
      </c>
      <c r="E79" s="3579">
        <f>'7. Утайки от ПСОВ'!H14</f>
        <v>285</v>
      </c>
      <c r="F79" s="3579">
        <f>'7. Утайки от ПСОВ'!I14</f>
        <v>285</v>
      </c>
      <c r="G79" s="3579">
        <f>'7. Утайки от ПСОВ'!J14</f>
        <v>285</v>
      </c>
      <c r="H79" s="3579">
        <f>'7. Утайки от ПСОВ'!K14</f>
        <v>287</v>
      </c>
    </row>
    <row r="80" spans="1:8" ht="18" customHeight="1">
      <c r="A80" s="3534" t="s">
        <v>1000</v>
      </c>
      <c r="B80" s="3535" t="s">
        <v>595</v>
      </c>
      <c r="C80" s="3703">
        <f>C78+C79</f>
        <v>300.63</v>
      </c>
      <c r="D80" s="3703">
        <f>D78+D79</f>
        <v>285</v>
      </c>
      <c r="E80" s="3703">
        <f>E78+E79</f>
        <v>290</v>
      </c>
      <c r="F80" s="3703">
        <f>F78+F79</f>
        <v>290</v>
      </c>
      <c r="G80" s="3703">
        <f t="shared" ref="G80:H80" si="5">G78+G79</f>
        <v>290</v>
      </c>
      <c r="H80" s="3703">
        <f t="shared" si="5"/>
        <v>292</v>
      </c>
    </row>
    <row r="81" spans="1:8" ht="18" customHeight="1">
      <c r="A81" s="3536" t="s">
        <v>622</v>
      </c>
      <c r="B81" s="3536" t="s">
        <v>1559</v>
      </c>
      <c r="C81" s="4370">
        <f>'7. Утайки от ПСОВ'!D32</f>
        <v>315.88640521571369</v>
      </c>
      <c r="D81" s="4370">
        <f>'7. Утайки от ПСОВ'!G32</f>
        <v>323.36140350877196</v>
      </c>
      <c r="E81" s="4370">
        <f>'7. Утайки от ПСОВ'!H32</f>
        <v>323.33793103448278</v>
      </c>
      <c r="F81" s="4370">
        <f>'7. Утайки от ПСОВ'!I32</f>
        <v>323.33793103448278</v>
      </c>
      <c r="G81" s="4370">
        <f>'7. Утайки от ПСОВ'!J32</f>
        <v>323.33793103448278</v>
      </c>
      <c r="H81" s="4370">
        <f>'7. Утайки от ПСОВ'!K32</f>
        <v>323.34931506849313</v>
      </c>
    </row>
    <row r="82" spans="1:8" ht="18" customHeight="1">
      <c r="A82" s="3537"/>
      <c r="B82" s="3537"/>
      <c r="C82" s="4346"/>
      <c r="D82" s="4346"/>
      <c r="E82" s="4346"/>
      <c r="F82" s="4346"/>
      <c r="G82" s="4346"/>
      <c r="H82" s="4346"/>
    </row>
    <row r="83" spans="1:8" ht="18" customHeight="1">
      <c r="A83" s="3443" t="s">
        <v>2</v>
      </c>
      <c r="B83" s="3444" t="s">
        <v>1533</v>
      </c>
      <c r="C83" s="4368" t="str">
        <f>+'15. ОПП'!$B$7</f>
        <v>2024 г.</v>
      </c>
      <c r="D83" s="4368" t="str">
        <f>+'15. ОПП'!$C$7</f>
        <v>2027 г.</v>
      </c>
      <c r="E83" s="4368" t="str">
        <f>+'15. ОПП'!$D$7</f>
        <v>2028 г.</v>
      </c>
      <c r="F83" s="4368" t="str">
        <f>+'15. ОПП'!$E$7</f>
        <v>2029 г.</v>
      </c>
      <c r="G83" s="4368" t="str">
        <f>+'15. ОПП'!$F$7</f>
        <v>2030 г.</v>
      </c>
      <c r="H83" s="4368" t="str">
        <f>+'15. ОПП'!$G$7</f>
        <v>2031 г.</v>
      </c>
    </row>
    <row r="84" spans="1:8" ht="18" customHeight="1">
      <c r="A84" s="5602" t="s">
        <v>1125</v>
      </c>
      <c r="B84" s="3535" t="s">
        <v>1557</v>
      </c>
      <c r="C84" s="3703">
        <f>'7. Утайки от ПСОВ'!D39</f>
        <v>21.999107541276217</v>
      </c>
      <c r="D84" s="3703">
        <f>'7. Утайки от ПСОВ'!G39</f>
        <v>22.72727272727273</v>
      </c>
      <c r="E84" s="3703">
        <f>'7. Утайки от ПСОВ'!H39</f>
        <v>22.72727272727273</v>
      </c>
      <c r="F84" s="3703">
        <f>'7. Утайки от ПСОВ'!I39</f>
        <v>22.72727272727273</v>
      </c>
      <c r="G84" s="3703">
        <f>'7. Утайки от ПСОВ'!J39</f>
        <v>22.72727272727273</v>
      </c>
      <c r="H84" s="3703">
        <f>'7. Утайки от ПСОВ'!K39</f>
        <v>22.72727272727273</v>
      </c>
    </row>
    <row r="85" spans="1:8" ht="18" customHeight="1">
      <c r="A85" s="5602"/>
      <c r="B85" s="3442" t="s">
        <v>1558</v>
      </c>
      <c r="C85" s="4370">
        <f>'7. Утайки от ПСОВ'!D42</f>
        <v>97.161214198782957</v>
      </c>
      <c r="D85" s="4370">
        <f>'7. Утайки от ПСОВ'!G42</f>
        <v>46.991999999999997</v>
      </c>
      <c r="E85" s="4370">
        <f>'7. Утайки от ПСОВ'!H42</f>
        <v>46.991999999999997</v>
      </c>
      <c r="F85" s="4370">
        <f>'7. Утайки от ПСОВ'!I42</f>
        <v>46.991999999999997</v>
      </c>
      <c r="G85" s="4370">
        <f>'7. Утайки от ПСОВ'!J42</f>
        <v>46.991999999999997</v>
      </c>
      <c r="H85" s="4370">
        <f>'7. Утайки от ПСОВ'!K42</f>
        <v>46.991999999999997</v>
      </c>
    </row>
    <row r="86" spans="1:8" ht="18" customHeight="1">
      <c r="A86" s="5602" t="s">
        <v>1123</v>
      </c>
      <c r="B86" s="3535" t="s">
        <v>1557</v>
      </c>
      <c r="C86" s="3703">
        <f>'7. Утайки от ПСОВ'!D38</f>
        <v>1341.0430839002265</v>
      </c>
      <c r="D86" s="3703">
        <f>'7. Утайки от ПСОВ'!G38</f>
        <v>1272.727272727273</v>
      </c>
      <c r="E86" s="3703">
        <f>'7. Утайки от ПСОВ'!H38</f>
        <v>1295.4545454545457</v>
      </c>
      <c r="F86" s="3703">
        <f>'7. Утайки от ПСОВ'!I38</f>
        <v>1295.4545454545457</v>
      </c>
      <c r="G86" s="3703">
        <f>'7. Утайки от ПСОВ'!J38</f>
        <v>1295.4545454545457</v>
      </c>
      <c r="H86" s="3703">
        <f>'7. Утайки от ПСОВ'!K38</f>
        <v>1304.5454545454547</v>
      </c>
    </row>
    <row r="87" spans="1:8" ht="18" customHeight="1">
      <c r="A87" s="5602"/>
      <c r="B87" s="3442" t="s">
        <v>1558</v>
      </c>
      <c r="C87" s="4370">
        <f>'7. Утайки от ПСОВ'!D41</f>
        <v>69.220348782549891</v>
      </c>
      <c r="D87" s="4370">
        <f>'7. Утайки от ПСОВ'!G41</f>
        <v>70.439285714285703</v>
      </c>
      <c r="E87" s="4370">
        <f>'7. Утайки от ПСОВ'!H41</f>
        <v>70.446315789473672</v>
      </c>
      <c r="F87" s="4370">
        <f>'7. Утайки от ПСОВ'!I41</f>
        <v>70.446315789473672</v>
      </c>
      <c r="G87" s="4370">
        <f>'7. Утайки от ПСОВ'!J41</f>
        <v>70.446315789473672</v>
      </c>
      <c r="H87" s="4370">
        <f>'7. Утайки от ПСОВ'!K41</f>
        <v>70.453658536585351</v>
      </c>
    </row>
  </sheetData>
  <mergeCells count="36">
    <mergeCell ref="Y2:AI2"/>
    <mergeCell ref="Y35:AI35"/>
    <mergeCell ref="A86:A87"/>
    <mergeCell ref="J2:J4"/>
    <mergeCell ref="L3:Q3"/>
    <mergeCell ref="K3:K4"/>
    <mergeCell ref="K2:W2"/>
    <mergeCell ref="R3:W3"/>
    <mergeCell ref="A84:A85"/>
    <mergeCell ref="A29:A30"/>
    <mergeCell ref="B29:B30"/>
    <mergeCell ref="C29:H29"/>
    <mergeCell ref="A62:H62"/>
    <mergeCell ref="A64:A65"/>
    <mergeCell ref="A66:A68"/>
    <mergeCell ref="A69:H69"/>
    <mergeCell ref="A71:A72"/>
    <mergeCell ref="A73:A74"/>
    <mergeCell ref="A44:A45"/>
    <mergeCell ref="A46:A48"/>
    <mergeCell ref="A49:H49"/>
    <mergeCell ref="A50:A51"/>
    <mergeCell ref="A54:H54"/>
    <mergeCell ref="A55:A56"/>
    <mergeCell ref="A42:A43"/>
    <mergeCell ref="A2:A3"/>
    <mergeCell ref="B2:B3"/>
    <mergeCell ref="C2:H2"/>
    <mergeCell ref="A13:A14"/>
    <mergeCell ref="B13:B14"/>
    <mergeCell ref="C13:H13"/>
    <mergeCell ref="A31:H31"/>
    <mergeCell ref="A33:A34"/>
    <mergeCell ref="A35:A36"/>
    <mergeCell ref="A37:A38"/>
    <mergeCell ref="A39:A4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rgb="FFFFFFCC"/>
  </sheetPr>
  <dimension ref="A1:Z145"/>
  <sheetViews>
    <sheetView showGridLines="0" topLeftCell="A82" zoomScaleNormal="100" zoomScaleSheetLayoutView="100" workbookViewId="0">
      <selection activeCell="F91" sqref="F91:J92"/>
    </sheetView>
  </sheetViews>
  <sheetFormatPr defaultColWidth="9.109375" defaultRowHeight="13.2"/>
  <cols>
    <col min="1" max="1" width="14.109375" style="1" customWidth="1"/>
    <col min="2" max="2" width="7.33203125" style="1" customWidth="1"/>
    <col min="3" max="3" width="53.33203125" style="1" customWidth="1"/>
    <col min="4" max="4" width="6.6640625" style="333" customWidth="1"/>
    <col min="5" max="10" width="11" style="333" customWidth="1"/>
    <col min="11" max="16" width="9.6640625" style="333" customWidth="1"/>
    <col min="17" max="17" width="22.5546875" style="333" customWidth="1"/>
    <col min="18" max="18" width="23.6640625" style="333" customWidth="1"/>
    <col min="19" max="19" width="2" style="1" customWidth="1"/>
    <col min="20" max="20" width="9.109375" style="1"/>
    <col min="21" max="26" width="12.88671875" style="1" customWidth="1"/>
    <col min="27" max="16384" width="9.109375" style="1"/>
  </cols>
  <sheetData>
    <row r="1" spans="1:19" ht="31.5" customHeight="1" thickBot="1">
      <c r="A1" s="5009" t="str">
        <f>+'1. Обща информация'!B40</f>
        <v>Фиксиран курс на лева към 1 евро</v>
      </c>
      <c r="B1" s="5009"/>
      <c r="C1" s="5010">
        <f>+'1. Обща информация'!$C$40</f>
        <v>1.95583</v>
      </c>
      <c r="D1" s="5010"/>
      <c r="E1" s="1655"/>
      <c r="G1" s="1656"/>
      <c r="H1" s="1656"/>
      <c r="I1" s="1656"/>
      <c r="R1" s="3182" t="s">
        <v>0</v>
      </c>
    </row>
    <row r="2" spans="1:19" s="656" customFormat="1" ht="18.75" customHeight="1">
      <c r="A2" s="5006" t="s">
        <v>1290</v>
      </c>
      <c r="B2" s="5006"/>
      <c r="C2" s="5006"/>
      <c r="D2" s="5006"/>
      <c r="E2" s="5006"/>
      <c r="F2" s="5006"/>
      <c r="G2" s="5006"/>
      <c r="H2" s="5006"/>
      <c r="I2" s="5006"/>
      <c r="J2" s="5006"/>
      <c r="K2" s="5006"/>
      <c r="L2" s="5006"/>
      <c r="M2" s="5006"/>
      <c r="N2" s="5006"/>
      <c r="O2" s="5006"/>
      <c r="P2" s="5006"/>
      <c r="Q2" s="5006"/>
      <c r="R2" s="5006"/>
    </row>
    <row r="3" spans="1:19" s="656" customFormat="1" ht="18.75" customHeight="1">
      <c r="A3" s="5006" t="s">
        <v>1289</v>
      </c>
      <c r="B3" s="5006"/>
      <c r="C3" s="5006"/>
      <c r="D3" s="5006"/>
      <c r="E3" s="5006"/>
      <c r="F3" s="5006"/>
      <c r="G3" s="5006"/>
      <c r="H3" s="5006"/>
      <c r="I3" s="5006"/>
      <c r="J3" s="5006"/>
      <c r="K3" s="5006"/>
      <c r="L3" s="5006"/>
      <c r="M3" s="5006"/>
      <c r="N3" s="5006"/>
      <c r="O3" s="5006"/>
      <c r="P3" s="5006"/>
      <c r="Q3" s="5006"/>
      <c r="R3" s="5006"/>
    </row>
    <row r="4" spans="1:19" s="3757" customFormat="1" ht="15.75" customHeight="1">
      <c r="A4" s="5007" t="str">
        <f>'1. Обща информация'!A4:D4</f>
        <v>на "В И К" АД, гр. Ловеч</v>
      </c>
      <c r="B4" s="5007"/>
      <c r="C4" s="5007"/>
      <c r="D4" s="5007"/>
      <c r="E4" s="5007"/>
      <c r="F4" s="5007"/>
      <c r="G4" s="5007"/>
      <c r="H4" s="5007"/>
      <c r="I4" s="5007"/>
      <c r="J4" s="5007"/>
      <c r="K4" s="5007"/>
      <c r="L4" s="5007"/>
      <c r="M4" s="5007"/>
      <c r="N4" s="5007"/>
      <c r="O4" s="5007"/>
      <c r="P4" s="5007"/>
      <c r="Q4" s="5007"/>
      <c r="R4" s="5007"/>
    </row>
    <row r="5" spans="1:19" ht="15.75" customHeight="1">
      <c r="A5" s="5007" t="str">
        <f>'1. Обща информация'!A5:D5</f>
        <v>ЕИК по БУЛСТАТ: 110549443</v>
      </c>
      <c r="B5" s="5007"/>
      <c r="C5" s="5007"/>
      <c r="D5" s="5007"/>
      <c r="E5" s="5007"/>
      <c r="F5" s="5007"/>
      <c r="G5" s="5007"/>
      <c r="H5" s="5007"/>
      <c r="I5" s="5007"/>
      <c r="J5" s="5007"/>
      <c r="K5" s="5007"/>
      <c r="L5" s="5007"/>
      <c r="M5" s="5007"/>
      <c r="N5" s="5007"/>
      <c r="O5" s="5007"/>
      <c r="P5" s="5007"/>
      <c r="Q5" s="5007"/>
      <c r="R5" s="5007"/>
    </row>
    <row r="6" spans="1:19" ht="16.2" thickBot="1">
      <c r="B6" s="3726"/>
      <c r="C6" s="3726"/>
      <c r="D6" s="3726"/>
      <c r="E6" s="3726"/>
      <c r="F6" s="3726"/>
      <c r="G6" s="3726"/>
      <c r="H6" s="3726"/>
      <c r="I6" s="3726"/>
      <c r="J6" s="3726"/>
      <c r="K6" s="3726"/>
      <c r="L6" s="3726"/>
      <c r="M6" s="3726"/>
      <c r="N6" s="3726"/>
      <c r="O6" s="3726"/>
      <c r="P6" s="3726"/>
    </row>
    <row r="7" spans="1:19" ht="30" customHeight="1" thickBot="1">
      <c r="A7" s="5004" t="s">
        <v>848</v>
      </c>
      <c r="B7" s="4985" t="s">
        <v>1</v>
      </c>
      <c r="C7" s="4983" t="s">
        <v>2</v>
      </c>
      <c r="D7" s="4981" t="s">
        <v>746</v>
      </c>
      <c r="E7" s="4987" t="s">
        <v>922</v>
      </c>
      <c r="F7" s="4988"/>
      <c r="G7" s="4988"/>
      <c r="H7" s="4988"/>
      <c r="I7" s="4988"/>
      <c r="J7" s="4989"/>
      <c r="K7" s="4987" t="s">
        <v>836</v>
      </c>
      <c r="L7" s="4988"/>
      <c r="M7" s="4988"/>
      <c r="N7" s="4988"/>
      <c r="O7" s="4988"/>
      <c r="P7" s="4989"/>
      <c r="Q7" s="4992" t="s">
        <v>986</v>
      </c>
      <c r="R7" s="4993"/>
      <c r="S7" s="4488"/>
    </row>
    <row r="8" spans="1:19" ht="21" customHeight="1" thickBot="1">
      <c r="A8" s="5005"/>
      <c r="B8" s="4986"/>
      <c r="C8" s="4984"/>
      <c r="D8" s="4982"/>
      <c r="E8" s="4240" t="str">
        <f>'Приложение '!$C$12</f>
        <v>2024 г.</v>
      </c>
      <c r="F8" s="4241" t="str">
        <f>'Приложение '!$C$14</f>
        <v>2027 г.</v>
      </c>
      <c r="G8" s="4241" t="str">
        <f>'Приложение '!$C$15</f>
        <v>2028 г.</v>
      </c>
      <c r="H8" s="4241" t="str">
        <f>'Приложение '!$C$16</f>
        <v>2029 г.</v>
      </c>
      <c r="I8" s="4241" t="str">
        <f>'Приложение '!$C$17</f>
        <v>2030 г.</v>
      </c>
      <c r="J8" s="4242" t="str">
        <f>'Приложение '!$C$18</f>
        <v>2031 г.</v>
      </c>
      <c r="K8" s="4240" t="str">
        <f t="shared" ref="K8:Q8" si="0">E8</f>
        <v>2024 г.</v>
      </c>
      <c r="L8" s="4241" t="str">
        <f t="shared" si="0"/>
        <v>2027 г.</v>
      </c>
      <c r="M8" s="4241" t="str">
        <f t="shared" si="0"/>
        <v>2028 г.</v>
      </c>
      <c r="N8" s="4241" t="str">
        <f t="shared" si="0"/>
        <v>2029 г.</v>
      </c>
      <c r="O8" s="4241" t="str">
        <f t="shared" si="0"/>
        <v>2030 г.</v>
      </c>
      <c r="P8" s="4243" t="str">
        <f t="shared" si="0"/>
        <v>2031 г.</v>
      </c>
      <c r="Q8" s="4228" t="str">
        <f t="shared" si="0"/>
        <v>2024 г.</v>
      </c>
      <c r="R8" s="4229" t="str">
        <f>P8</f>
        <v>2031 г.</v>
      </c>
      <c r="S8" s="4488"/>
    </row>
    <row r="9" spans="1:19" ht="16.2" thickBot="1">
      <c r="A9" s="5000" t="s">
        <v>1113</v>
      </c>
      <c r="B9" s="5001"/>
      <c r="C9" s="5001"/>
      <c r="D9" s="5001"/>
      <c r="E9" s="5001"/>
      <c r="F9" s="5001"/>
      <c r="G9" s="5001"/>
      <c r="H9" s="5001"/>
      <c r="I9" s="5001"/>
      <c r="J9" s="5001"/>
      <c r="K9" s="5001"/>
      <c r="L9" s="5001"/>
      <c r="M9" s="5001"/>
      <c r="N9" s="5001"/>
      <c r="O9" s="5001"/>
      <c r="P9" s="5001"/>
      <c r="Q9" s="5001"/>
      <c r="R9" s="5002"/>
      <c r="S9" s="4488"/>
    </row>
    <row r="10" spans="1:19" ht="67.5" customHeight="1">
      <c r="A10" s="4994" t="s">
        <v>849</v>
      </c>
      <c r="B10" s="3412" t="s">
        <v>3</v>
      </c>
      <c r="C10" s="1657" t="s">
        <v>1413</v>
      </c>
      <c r="D10" s="494" t="s">
        <v>784</v>
      </c>
      <c r="E10" s="343">
        <f>'4.1. Фактурирани количества'!F13</f>
        <v>84367</v>
      </c>
      <c r="F10" s="1658">
        <f>'4.1. Фактурирани количества'!G13</f>
        <v>78970</v>
      </c>
      <c r="G10" s="291">
        <f>'4.1. Фактурирани количества'!H13</f>
        <v>77644</v>
      </c>
      <c r="H10" s="291">
        <f>'4.1. Фактурирани количества'!I13</f>
        <v>76320</v>
      </c>
      <c r="I10" s="291">
        <f>'4.1. Фактурирани количества'!J13</f>
        <v>75019</v>
      </c>
      <c r="J10" s="292">
        <f>'4.1. Фактурирани количества'!K13</f>
        <v>73987</v>
      </c>
      <c r="K10" s="78">
        <v>1</v>
      </c>
      <c r="L10" s="75">
        <v>1</v>
      </c>
      <c r="M10" s="75">
        <v>1</v>
      </c>
      <c r="N10" s="75">
        <v>1</v>
      </c>
      <c r="O10" s="75">
        <v>1</v>
      </c>
      <c r="P10" s="71">
        <v>1</v>
      </c>
      <c r="Q10" s="397" t="s">
        <v>1940</v>
      </c>
      <c r="R10" s="599" t="s">
        <v>1940</v>
      </c>
      <c r="S10" s="4488"/>
    </row>
    <row r="11" spans="1:19" ht="66" customHeight="1">
      <c r="A11" s="4995"/>
      <c r="B11" s="3413" t="s">
        <v>33</v>
      </c>
      <c r="C11" s="1659" t="s">
        <v>1414</v>
      </c>
      <c r="D11" s="495" t="s">
        <v>784</v>
      </c>
      <c r="E11" s="919">
        <f>'4.1. Фактурирани количества'!F49</f>
        <v>39278</v>
      </c>
      <c r="F11" s="1660">
        <f>'4.1. Фактурирани количества'!G49</f>
        <v>36562</v>
      </c>
      <c r="G11" s="1661">
        <f>'4.1. Фактурирани количества'!H49</f>
        <v>36024</v>
      </c>
      <c r="H11" s="1661">
        <f>'4.1. Фактурирани количества'!I49</f>
        <v>35619</v>
      </c>
      <c r="I11" s="1661">
        <f>'4.1. Фактурирани количества'!J49</f>
        <v>35380</v>
      </c>
      <c r="J11" s="1662">
        <f>'4.1. Фактурирани количества'!K49</f>
        <v>35395</v>
      </c>
      <c r="K11" s="79">
        <v>1</v>
      </c>
      <c r="L11" s="76">
        <v>1</v>
      </c>
      <c r="M11" s="76">
        <v>1</v>
      </c>
      <c r="N11" s="76">
        <v>1</v>
      </c>
      <c r="O11" s="76">
        <v>1</v>
      </c>
      <c r="P11" s="72">
        <v>1</v>
      </c>
      <c r="Q11" s="600" t="s">
        <v>1940</v>
      </c>
      <c r="R11" s="72" t="s">
        <v>1940</v>
      </c>
      <c r="S11" s="4488"/>
    </row>
    <row r="12" spans="1:19" ht="71.25" customHeight="1">
      <c r="A12" s="4995"/>
      <c r="B12" s="3413" t="s">
        <v>34</v>
      </c>
      <c r="C12" s="1659" t="s">
        <v>1415</v>
      </c>
      <c r="D12" s="495" t="s">
        <v>784</v>
      </c>
      <c r="E12" s="919">
        <f>'4.1. Фактурирани количества'!F82</f>
        <v>34439</v>
      </c>
      <c r="F12" s="1660">
        <f>'4.1. Фактурирани количества'!G82</f>
        <v>34078</v>
      </c>
      <c r="G12" s="1661">
        <f>'4.1. Фактурирани количества'!H82</f>
        <v>33582</v>
      </c>
      <c r="H12" s="1661">
        <f>'4.1. Фактурирани количества'!I82</f>
        <v>33219</v>
      </c>
      <c r="I12" s="1661">
        <f>'4.1. Фактурирани количества'!J82</f>
        <v>33022</v>
      </c>
      <c r="J12" s="1662">
        <f>'4.1. Фактурирани количества'!K82</f>
        <v>33072</v>
      </c>
      <c r="K12" s="79">
        <v>1</v>
      </c>
      <c r="L12" s="76">
        <v>1</v>
      </c>
      <c r="M12" s="76">
        <v>1</v>
      </c>
      <c r="N12" s="76">
        <v>1</v>
      </c>
      <c r="O12" s="76">
        <v>1</v>
      </c>
      <c r="P12" s="72">
        <v>1</v>
      </c>
      <c r="Q12" s="600" t="s">
        <v>1940</v>
      </c>
      <c r="R12" s="72" t="s">
        <v>1940</v>
      </c>
      <c r="S12" s="4488"/>
    </row>
    <row r="13" spans="1:19" ht="41.25" customHeight="1" thickBot="1">
      <c r="A13" s="4996"/>
      <c r="B13" s="3414" t="s">
        <v>4</v>
      </c>
      <c r="C13" s="1663" t="s">
        <v>1419</v>
      </c>
      <c r="D13" s="496" t="s">
        <v>784</v>
      </c>
      <c r="E13" s="336">
        <v>86390</v>
      </c>
      <c r="F13" s="190">
        <v>79882</v>
      </c>
      <c r="G13" s="190">
        <v>78535</v>
      </c>
      <c r="H13" s="190">
        <v>77188</v>
      </c>
      <c r="I13" s="190">
        <v>75841</v>
      </c>
      <c r="J13" s="191">
        <v>74709</v>
      </c>
      <c r="K13" s="80">
        <v>1</v>
      </c>
      <c r="L13" s="73">
        <v>1</v>
      </c>
      <c r="M13" s="73">
        <v>1</v>
      </c>
      <c r="N13" s="73">
        <v>1</v>
      </c>
      <c r="O13" s="73">
        <v>1</v>
      </c>
      <c r="P13" s="74">
        <v>1</v>
      </c>
      <c r="Q13" s="601" t="s">
        <v>1941</v>
      </c>
      <c r="R13" s="74" t="s">
        <v>1941</v>
      </c>
      <c r="S13" s="4488"/>
    </row>
    <row r="14" spans="1:19" ht="26.4">
      <c r="A14" s="4997" t="s">
        <v>852</v>
      </c>
      <c r="B14" s="3412" t="s">
        <v>32</v>
      </c>
      <c r="C14" s="1657" t="s">
        <v>816</v>
      </c>
      <c r="D14" s="494" t="s">
        <v>784</v>
      </c>
      <c r="E14" s="343">
        <f>'4.1. Фактурирани количества'!F17</f>
        <v>65193</v>
      </c>
      <c r="F14" s="1658">
        <f>'4.1. Фактурирани количества'!G17</f>
        <v>65286</v>
      </c>
      <c r="G14" s="291">
        <f>'4.1. Фактурирани количества'!H17</f>
        <v>65292</v>
      </c>
      <c r="H14" s="291">
        <f>'4.1. Фактурирани количества'!I17</f>
        <v>65300</v>
      </c>
      <c r="I14" s="291">
        <f>'4.1. Фактурирани количества'!J17</f>
        <v>65350</v>
      </c>
      <c r="J14" s="292">
        <f>'4.1. Фактурирани количества'!K17</f>
        <v>65402</v>
      </c>
      <c r="K14" s="78">
        <v>1</v>
      </c>
      <c r="L14" s="70">
        <v>1</v>
      </c>
      <c r="M14" s="70">
        <v>1</v>
      </c>
      <c r="N14" s="70">
        <v>1</v>
      </c>
      <c r="O14" s="70">
        <v>1</v>
      </c>
      <c r="P14" s="71">
        <v>1</v>
      </c>
      <c r="Q14" s="397" t="s">
        <v>1942</v>
      </c>
      <c r="R14" s="602" t="s">
        <v>1942</v>
      </c>
      <c r="S14" s="4488"/>
    </row>
    <row r="15" spans="1:19" ht="26.4">
      <c r="A15" s="4998"/>
      <c r="B15" s="3413"/>
      <c r="C15" s="1659" t="s">
        <v>850</v>
      </c>
      <c r="D15" s="495" t="s">
        <v>784</v>
      </c>
      <c r="E15" s="919">
        <f>'4.1. Фактурирани количества'!F53</f>
        <v>22867</v>
      </c>
      <c r="F15" s="1660">
        <f>'4.1. Фактурирани количества'!G53</f>
        <v>23139.333333333332</v>
      </c>
      <c r="G15" s="1661">
        <f>'4.1. Фактурирани количества'!H53</f>
        <v>23438.333333333332</v>
      </c>
      <c r="H15" s="1661">
        <f>'4.1. Фактурирани количества'!I53</f>
        <v>24095.333333333332</v>
      </c>
      <c r="I15" s="1661">
        <f>'4.1. Фактурирани количества'!J53</f>
        <v>25197.333333333332</v>
      </c>
      <c r="J15" s="1662">
        <f>'4.1. Фактурирани количества'!K53</f>
        <v>26734.333333333332</v>
      </c>
      <c r="K15" s="79">
        <v>1</v>
      </c>
      <c r="L15" s="69">
        <v>1</v>
      </c>
      <c r="M15" s="69">
        <v>1</v>
      </c>
      <c r="N15" s="69">
        <v>1</v>
      </c>
      <c r="O15" s="69">
        <v>1</v>
      </c>
      <c r="P15" s="72">
        <v>1</v>
      </c>
      <c r="Q15" s="393" t="s">
        <v>1942</v>
      </c>
      <c r="R15" s="72" t="s">
        <v>1942</v>
      </c>
      <c r="S15" s="4488"/>
    </row>
    <row r="16" spans="1:19" ht="27" thickBot="1">
      <c r="A16" s="4999"/>
      <c r="B16" s="3414"/>
      <c r="C16" s="1663" t="s">
        <v>851</v>
      </c>
      <c r="D16" s="496" t="s">
        <v>784</v>
      </c>
      <c r="E16" s="344">
        <f>'4.1. Фактурирани количества'!F86</f>
        <v>20795</v>
      </c>
      <c r="F16" s="1664">
        <f>'4.1. Фактурирани количества'!G86</f>
        <v>22000.333333333332</v>
      </c>
      <c r="G16" s="293">
        <f>'4.1. Фактурирани количества'!H86</f>
        <v>22298.333333333332</v>
      </c>
      <c r="H16" s="293">
        <f>'4.1. Фактурирани количества'!I86</f>
        <v>22954.333333333332</v>
      </c>
      <c r="I16" s="293">
        <f>'4.1. Фактурирани количества'!J86</f>
        <v>24055.333333333332</v>
      </c>
      <c r="J16" s="294">
        <f>'4.1. Фактурирани количества'!K86</f>
        <v>25591.333333333332</v>
      </c>
      <c r="K16" s="80">
        <v>1</v>
      </c>
      <c r="L16" s="73">
        <v>1</v>
      </c>
      <c r="M16" s="73">
        <v>1</v>
      </c>
      <c r="N16" s="73">
        <v>1</v>
      </c>
      <c r="O16" s="73">
        <v>1</v>
      </c>
      <c r="P16" s="74">
        <v>1</v>
      </c>
      <c r="Q16" s="603" t="s">
        <v>1942</v>
      </c>
      <c r="R16" s="599" t="s">
        <v>1942</v>
      </c>
      <c r="S16" s="4488"/>
    </row>
    <row r="17" spans="1:19" ht="39.6">
      <c r="A17" s="4994" t="s">
        <v>859</v>
      </c>
      <c r="B17" s="3412"/>
      <c r="C17" s="1657" t="s">
        <v>855</v>
      </c>
      <c r="D17" s="494" t="s">
        <v>784</v>
      </c>
      <c r="E17" s="335">
        <v>86</v>
      </c>
      <c r="F17" s="185">
        <v>86</v>
      </c>
      <c r="G17" s="185">
        <v>86</v>
      </c>
      <c r="H17" s="185">
        <v>86</v>
      </c>
      <c r="I17" s="185">
        <v>86</v>
      </c>
      <c r="J17" s="186">
        <v>86</v>
      </c>
      <c r="K17" s="78">
        <v>1</v>
      </c>
      <c r="L17" s="70">
        <v>1</v>
      </c>
      <c r="M17" s="70">
        <v>1</v>
      </c>
      <c r="N17" s="70">
        <v>1</v>
      </c>
      <c r="O17" s="70">
        <v>1</v>
      </c>
      <c r="P17" s="71">
        <v>1</v>
      </c>
      <c r="Q17" s="397" t="s">
        <v>1943</v>
      </c>
      <c r="R17" s="99" t="s">
        <v>1943</v>
      </c>
      <c r="S17" s="4488"/>
    </row>
    <row r="18" spans="1:19" ht="39.6">
      <c r="A18" s="4995"/>
      <c r="B18" s="3413"/>
      <c r="C18" s="1659" t="s">
        <v>856</v>
      </c>
      <c r="D18" s="495" t="s">
        <v>784</v>
      </c>
      <c r="E18" s="334">
        <v>6</v>
      </c>
      <c r="F18" s="187">
        <v>6</v>
      </c>
      <c r="G18" s="187">
        <v>6</v>
      </c>
      <c r="H18" s="187">
        <v>6</v>
      </c>
      <c r="I18" s="187">
        <v>6</v>
      </c>
      <c r="J18" s="188">
        <v>6</v>
      </c>
      <c r="K18" s="79">
        <v>1</v>
      </c>
      <c r="L18" s="69">
        <v>1</v>
      </c>
      <c r="M18" s="69">
        <v>1</v>
      </c>
      <c r="N18" s="69">
        <v>1</v>
      </c>
      <c r="O18" s="69">
        <v>1</v>
      </c>
      <c r="P18" s="72">
        <v>1</v>
      </c>
      <c r="Q18" s="604" t="s">
        <v>1943</v>
      </c>
      <c r="R18" s="72" t="s">
        <v>1943</v>
      </c>
      <c r="S18" s="4488"/>
    </row>
    <row r="19" spans="1:19" ht="39.6">
      <c r="A19" s="4995"/>
      <c r="B19" s="1665"/>
      <c r="C19" s="1659" t="s">
        <v>857</v>
      </c>
      <c r="D19" s="495" t="s">
        <v>784</v>
      </c>
      <c r="E19" s="334">
        <v>4</v>
      </c>
      <c r="F19" s="187">
        <v>5</v>
      </c>
      <c r="G19" s="187">
        <v>5</v>
      </c>
      <c r="H19" s="187">
        <v>5</v>
      </c>
      <c r="I19" s="187">
        <v>5</v>
      </c>
      <c r="J19" s="188">
        <v>5</v>
      </c>
      <c r="K19" s="79">
        <v>1</v>
      </c>
      <c r="L19" s="69">
        <v>1</v>
      </c>
      <c r="M19" s="69">
        <v>1</v>
      </c>
      <c r="N19" s="69">
        <v>1</v>
      </c>
      <c r="O19" s="69">
        <v>1</v>
      </c>
      <c r="P19" s="72">
        <v>1</v>
      </c>
      <c r="Q19" s="605" t="s">
        <v>1943</v>
      </c>
      <c r="R19" s="72" t="s">
        <v>1943</v>
      </c>
      <c r="S19" s="4488"/>
    </row>
    <row r="20" spans="1:19" ht="27" thickBot="1">
      <c r="A20" s="4996"/>
      <c r="B20" s="1666"/>
      <c r="C20" s="1663" t="s">
        <v>858</v>
      </c>
      <c r="D20" s="496" t="s">
        <v>784</v>
      </c>
      <c r="E20" s="336">
        <v>88</v>
      </c>
      <c r="F20" s="190">
        <v>88</v>
      </c>
      <c r="G20" s="190">
        <v>88</v>
      </c>
      <c r="H20" s="190">
        <v>88</v>
      </c>
      <c r="I20" s="190">
        <v>88</v>
      </c>
      <c r="J20" s="191">
        <v>88</v>
      </c>
      <c r="K20" s="80">
        <v>1</v>
      </c>
      <c r="L20" s="73">
        <v>1</v>
      </c>
      <c r="M20" s="73">
        <v>1</v>
      </c>
      <c r="N20" s="73">
        <v>1</v>
      </c>
      <c r="O20" s="73">
        <v>1</v>
      </c>
      <c r="P20" s="74">
        <v>1</v>
      </c>
      <c r="Q20" s="603" t="s">
        <v>1943</v>
      </c>
      <c r="R20" s="599" t="s">
        <v>1943</v>
      </c>
      <c r="S20" s="4488"/>
    </row>
    <row r="21" spans="1:19">
      <c r="A21" s="4994" t="s">
        <v>860</v>
      </c>
      <c r="B21" s="1667"/>
      <c r="C21" s="1657" t="s">
        <v>1006</v>
      </c>
      <c r="D21" s="494" t="s">
        <v>784</v>
      </c>
      <c r="E21" s="335">
        <v>247</v>
      </c>
      <c r="F21" s="185">
        <v>247</v>
      </c>
      <c r="G21" s="185">
        <v>247</v>
      </c>
      <c r="H21" s="185">
        <v>247</v>
      </c>
      <c r="I21" s="185">
        <v>247</v>
      </c>
      <c r="J21" s="186">
        <v>247</v>
      </c>
      <c r="K21" s="78">
        <v>1</v>
      </c>
      <c r="L21" s="75">
        <v>1</v>
      </c>
      <c r="M21" s="75">
        <v>1</v>
      </c>
      <c r="N21" s="75">
        <v>1</v>
      </c>
      <c r="O21" s="75">
        <v>1</v>
      </c>
      <c r="P21" s="606">
        <v>1</v>
      </c>
      <c r="Q21" s="397" t="s">
        <v>1945</v>
      </c>
      <c r="R21" s="71" t="s">
        <v>1945</v>
      </c>
      <c r="S21" s="4488"/>
    </row>
    <row r="22" spans="1:19">
      <c r="A22" s="4995"/>
      <c r="B22" s="1668"/>
      <c r="C22" s="1669" t="s">
        <v>861</v>
      </c>
      <c r="D22" s="497" t="s">
        <v>784</v>
      </c>
      <c r="E22" s="342">
        <v>0</v>
      </c>
      <c r="F22" s="192">
        <v>0</v>
      </c>
      <c r="G22" s="192">
        <v>0</v>
      </c>
      <c r="H22" s="192">
        <v>0</v>
      </c>
      <c r="I22" s="192">
        <v>0</v>
      </c>
      <c r="J22" s="193">
        <v>0</v>
      </c>
      <c r="K22" s="131">
        <v>1</v>
      </c>
      <c r="L22" s="128">
        <v>1</v>
      </c>
      <c r="M22" s="128">
        <v>1</v>
      </c>
      <c r="N22" s="128">
        <v>1</v>
      </c>
      <c r="O22" s="128">
        <v>1</v>
      </c>
      <c r="P22" s="129">
        <v>1</v>
      </c>
      <c r="Q22" s="393" t="s">
        <v>1945</v>
      </c>
      <c r="R22" s="72" t="s">
        <v>1945</v>
      </c>
      <c r="S22" s="4488"/>
    </row>
    <row r="23" spans="1:19">
      <c r="A23" s="4995"/>
      <c r="B23" s="1665"/>
      <c r="C23" s="1659" t="s">
        <v>862</v>
      </c>
      <c r="D23" s="495" t="s">
        <v>784</v>
      </c>
      <c r="E23" s="334">
        <v>200</v>
      </c>
      <c r="F23" s="187">
        <v>200</v>
      </c>
      <c r="G23" s="187">
        <v>200</v>
      </c>
      <c r="H23" s="187">
        <v>200</v>
      </c>
      <c r="I23" s="187">
        <v>200</v>
      </c>
      <c r="J23" s="188">
        <v>200</v>
      </c>
      <c r="K23" s="79">
        <v>1</v>
      </c>
      <c r="L23" s="69">
        <v>1</v>
      </c>
      <c r="M23" s="69">
        <v>1</v>
      </c>
      <c r="N23" s="69">
        <v>1</v>
      </c>
      <c r="O23" s="69">
        <v>1</v>
      </c>
      <c r="P23" s="72">
        <v>1</v>
      </c>
      <c r="Q23" s="393" t="s">
        <v>1945</v>
      </c>
      <c r="R23" s="72" t="s">
        <v>1945</v>
      </c>
      <c r="S23" s="4488"/>
    </row>
    <row r="24" spans="1:19">
      <c r="A24" s="4995"/>
      <c r="B24" s="1665"/>
      <c r="C24" s="1659" t="s">
        <v>863</v>
      </c>
      <c r="D24" s="495" t="s">
        <v>784</v>
      </c>
      <c r="E24" s="334">
        <v>89</v>
      </c>
      <c r="F24" s="187">
        <v>89</v>
      </c>
      <c r="G24" s="187">
        <v>89</v>
      </c>
      <c r="H24" s="187">
        <v>89</v>
      </c>
      <c r="I24" s="187">
        <v>89</v>
      </c>
      <c r="J24" s="188">
        <v>89</v>
      </c>
      <c r="K24" s="79">
        <v>1</v>
      </c>
      <c r="L24" s="69">
        <v>1</v>
      </c>
      <c r="M24" s="69">
        <v>1</v>
      </c>
      <c r="N24" s="69">
        <v>1</v>
      </c>
      <c r="O24" s="69">
        <v>1</v>
      </c>
      <c r="P24" s="72">
        <v>1</v>
      </c>
      <c r="Q24" s="393" t="s">
        <v>1945</v>
      </c>
      <c r="R24" s="72" t="s">
        <v>1945</v>
      </c>
      <c r="S24" s="4488"/>
    </row>
    <row r="25" spans="1:19" ht="52.8">
      <c r="A25" s="4995"/>
      <c r="B25" s="1665" t="s">
        <v>30</v>
      </c>
      <c r="C25" s="1659" t="s">
        <v>814</v>
      </c>
      <c r="D25" s="495" t="s">
        <v>812</v>
      </c>
      <c r="E25" s="334">
        <v>1807.8504200000002</v>
      </c>
      <c r="F25" s="757">
        <v>1817.20642</v>
      </c>
      <c r="G25" s="395">
        <v>1818.70642</v>
      </c>
      <c r="H25" s="194">
        <v>1818.7564199999999</v>
      </c>
      <c r="I25" s="187">
        <v>1818.77142</v>
      </c>
      <c r="J25" s="195">
        <v>1818.9514199999999</v>
      </c>
      <c r="K25" s="79">
        <v>1</v>
      </c>
      <c r="L25" s="69">
        <v>1</v>
      </c>
      <c r="M25" s="69">
        <v>1</v>
      </c>
      <c r="N25" s="69">
        <v>1</v>
      </c>
      <c r="O25" s="69">
        <v>1</v>
      </c>
      <c r="P25" s="72">
        <v>1</v>
      </c>
      <c r="Q25" s="393" t="s">
        <v>1945</v>
      </c>
      <c r="R25" s="72" t="s">
        <v>1945</v>
      </c>
      <c r="S25" s="4488"/>
    </row>
    <row r="26" spans="1:19" ht="92.4">
      <c r="A26" s="4995"/>
      <c r="B26" s="1665" t="s">
        <v>28</v>
      </c>
      <c r="C26" s="1659" t="s">
        <v>910</v>
      </c>
      <c r="D26" s="495" t="s">
        <v>812</v>
      </c>
      <c r="E26" s="334">
        <v>1797.7784200000001</v>
      </c>
      <c r="F26" s="758">
        <v>1807.1344199999999</v>
      </c>
      <c r="G26" s="187">
        <v>1808.6344199999999</v>
      </c>
      <c r="H26" s="395">
        <v>1808.6844199999998</v>
      </c>
      <c r="I26" s="194">
        <v>1808.6994199999999</v>
      </c>
      <c r="J26" s="188">
        <v>1808.8794199999998</v>
      </c>
      <c r="K26" s="79">
        <v>1</v>
      </c>
      <c r="L26" s="69">
        <v>1</v>
      </c>
      <c r="M26" s="69">
        <v>1</v>
      </c>
      <c r="N26" s="69">
        <v>1</v>
      </c>
      <c r="O26" s="69">
        <v>1</v>
      </c>
      <c r="P26" s="72">
        <v>1</v>
      </c>
      <c r="Q26" s="128" t="s">
        <v>1945</v>
      </c>
      <c r="R26" s="72" t="s">
        <v>1945</v>
      </c>
      <c r="S26" s="4488"/>
    </row>
    <row r="27" spans="1:19" ht="26.4">
      <c r="A27" s="4995"/>
      <c r="B27" s="3413" t="s">
        <v>743</v>
      </c>
      <c r="C27" s="1670" t="s">
        <v>815</v>
      </c>
      <c r="D27" s="495" t="s">
        <v>784</v>
      </c>
      <c r="E27" s="334">
        <v>102</v>
      </c>
      <c r="F27" s="187">
        <v>122</v>
      </c>
      <c r="G27" s="187">
        <v>125</v>
      </c>
      <c r="H27" s="187">
        <v>130</v>
      </c>
      <c r="I27" s="187">
        <v>136</v>
      </c>
      <c r="J27" s="188">
        <v>138</v>
      </c>
      <c r="K27" s="79">
        <v>1</v>
      </c>
      <c r="L27" s="69">
        <v>1</v>
      </c>
      <c r="M27" s="69">
        <v>1</v>
      </c>
      <c r="N27" s="69">
        <v>1</v>
      </c>
      <c r="O27" s="69">
        <v>1</v>
      </c>
      <c r="P27" s="72">
        <v>1</v>
      </c>
      <c r="Q27" s="69" t="s">
        <v>1950</v>
      </c>
      <c r="R27" s="72" t="s">
        <v>1950</v>
      </c>
      <c r="S27" s="4488"/>
    </row>
    <row r="28" spans="1:19">
      <c r="A28" s="4995"/>
      <c r="B28" s="3413" t="s">
        <v>79</v>
      </c>
      <c r="C28" s="1659" t="s">
        <v>899</v>
      </c>
      <c r="D28" s="495" t="s">
        <v>784</v>
      </c>
      <c r="E28" s="334">
        <v>53536</v>
      </c>
      <c r="F28" s="194">
        <v>53681</v>
      </c>
      <c r="G28" s="187">
        <v>53735</v>
      </c>
      <c r="H28" s="187">
        <v>53792</v>
      </c>
      <c r="I28" s="187">
        <v>53850</v>
      </c>
      <c r="J28" s="195">
        <v>53911</v>
      </c>
      <c r="K28" s="79">
        <v>1</v>
      </c>
      <c r="L28" s="69">
        <v>1</v>
      </c>
      <c r="M28" s="69">
        <v>1</v>
      </c>
      <c r="N28" s="69">
        <v>1</v>
      </c>
      <c r="O28" s="69">
        <v>1</v>
      </c>
      <c r="P28" s="72">
        <v>1</v>
      </c>
      <c r="Q28" s="69" t="s">
        <v>1945</v>
      </c>
      <c r="R28" s="72" t="s">
        <v>1945</v>
      </c>
      <c r="S28" s="4488"/>
    </row>
    <row r="29" spans="1:19" ht="39.6">
      <c r="A29" s="4995"/>
      <c r="B29" s="3413" t="s">
        <v>843</v>
      </c>
      <c r="C29" s="1659" t="s">
        <v>844</v>
      </c>
      <c r="D29" s="495" t="s">
        <v>784</v>
      </c>
      <c r="E29" s="334">
        <v>54280</v>
      </c>
      <c r="F29" s="187">
        <v>54425</v>
      </c>
      <c r="G29" s="187">
        <v>54479</v>
      </c>
      <c r="H29" s="187">
        <v>54536</v>
      </c>
      <c r="I29" s="187">
        <v>54594</v>
      </c>
      <c r="J29" s="188">
        <v>54655</v>
      </c>
      <c r="K29" s="79">
        <v>1</v>
      </c>
      <c r="L29" s="69">
        <v>1</v>
      </c>
      <c r="M29" s="69">
        <v>1</v>
      </c>
      <c r="N29" s="69">
        <v>1</v>
      </c>
      <c r="O29" s="69">
        <v>1</v>
      </c>
      <c r="P29" s="72">
        <v>1</v>
      </c>
      <c r="Q29" s="69" t="s">
        <v>1951</v>
      </c>
      <c r="R29" s="72" t="s">
        <v>1951</v>
      </c>
      <c r="S29" s="4488"/>
    </row>
    <row r="30" spans="1:19" ht="18.75" customHeight="1">
      <c r="A30" s="4995"/>
      <c r="B30" s="3413" t="s">
        <v>81</v>
      </c>
      <c r="C30" s="1659" t="s">
        <v>898</v>
      </c>
      <c r="D30" s="495" t="s">
        <v>784</v>
      </c>
      <c r="E30" s="334">
        <v>10186</v>
      </c>
      <c r="F30" s="187">
        <v>10381</v>
      </c>
      <c r="G30" s="187">
        <v>10402</v>
      </c>
      <c r="H30" s="187">
        <v>10406</v>
      </c>
      <c r="I30" s="187">
        <v>10410</v>
      </c>
      <c r="J30" s="187">
        <v>10414</v>
      </c>
      <c r="K30" s="79">
        <v>1</v>
      </c>
      <c r="L30" s="69">
        <v>1</v>
      </c>
      <c r="M30" s="69">
        <v>1</v>
      </c>
      <c r="N30" s="69">
        <v>1</v>
      </c>
      <c r="O30" s="69">
        <v>1</v>
      </c>
      <c r="P30" s="72">
        <v>1</v>
      </c>
      <c r="Q30" s="393" t="s">
        <v>1945</v>
      </c>
      <c r="R30" s="72" t="s">
        <v>1945</v>
      </c>
      <c r="S30" s="4488"/>
    </row>
    <row r="31" spans="1:19" ht="26.4">
      <c r="A31" s="4995"/>
      <c r="B31" s="3413" t="s">
        <v>39</v>
      </c>
      <c r="C31" s="1659" t="s">
        <v>823</v>
      </c>
      <c r="D31" s="495" t="s">
        <v>822</v>
      </c>
      <c r="E31" s="334">
        <v>151.45356999999998</v>
      </c>
      <c r="F31" s="187">
        <v>155.79843999999997</v>
      </c>
      <c r="G31" s="187">
        <v>156.81443999999996</v>
      </c>
      <c r="H31" s="187">
        <v>156.81443999999996</v>
      </c>
      <c r="I31" s="187">
        <v>156.81443999999996</v>
      </c>
      <c r="J31" s="187">
        <v>156.81443999999996</v>
      </c>
      <c r="K31" s="79">
        <v>1</v>
      </c>
      <c r="L31" s="69">
        <v>1</v>
      </c>
      <c r="M31" s="69">
        <v>1</v>
      </c>
      <c r="N31" s="69">
        <v>1</v>
      </c>
      <c r="O31" s="69">
        <v>1</v>
      </c>
      <c r="P31" s="72">
        <v>1</v>
      </c>
      <c r="Q31" s="393" t="s">
        <v>1945</v>
      </c>
      <c r="R31" s="72" t="s">
        <v>1945</v>
      </c>
      <c r="S31" s="4488"/>
    </row>
    <row r="32" spans="1:19" ht="16.5" customHeight="1">
      <c r="A32" s="4995"/>
      <c r="B32" s="1665"/>
      <c r="C32" s="1659" t="s">
        <v>864</v>
      </c>
      <c r="D32" s="495" t="s">
        <v>784</v>
      </c>
      <c r="E32" s="334">
        <v>1</v>
      </c>
      <c r="F32" s="757">
        <v>1</v>
      </c>
      <c r="G32" s="187">
        <v>1</v>
      </c>
      <c r="H32" s="395">
        <v>1</v>
      </c>
      <c r="I32" s="194">
        <v>1</v>
      </c>
      <c r="J32" s="188">
        <v>1</v>
      </c>
      <c r="K32" s="79">
        <v>1</v>
      </c>
      <c r="L32" s="69">
        <v>1</v>
      </c>
      <c r="M32" s="69">
        <v>1</v>
      </c>
      <c r="N32" s="69">
        <v>1</v>
      </c>
      <c r="O32" s="69">
        <v>1</v>
      </c>
      <c r="P32" s="72">
        <v>1</v>
      </c>
      <c r="Q32" s="396" t="s">
        <v>1945</v>
      </c>
      <c r="R32" s="100" t="s">
        <v>1945</v>
      </c>
      <c r="S32" s="4488"/>
    </row>
    <row r="33" spans="1:19" ht="13.8" thickBot="1">
      <c r="A33" s="4996"/>
      <c r="B33" s="1666"/>
      <c r="C33" s="1663" t="s">
        <v>865</v>
      </c>
      <c r="D33" s="496" t="s">
        <v>784</v>
      </c>
      <c r="E33" s="336">
        <v>4</v>
      </c>
      <c r="F33" s="190">
        <v>5</v>
      </c>
      <c r="G33" s="190">
        <v>5</v>
      </c>
      <c r="H33" s="190">
        <v>5</v>
      </c>
      <c r="I33" s="190">
        <v>5</v>
      </c>
      <c r="J33" s="190">
        <v>5</v>
      </c>
      <c r="K33" s="80">
        <v>1</v>
      </c>
      <c r="L33" s="73">
        <v>1</v>
      </c>
      <c r="M33" s="73">
        <v>1</v>
      </c>
      <c r="N33" s="73">
        <v>1</v>
      </c>
      <c r="O33" s="73">
        <v>1</v>
      </c>
      <c r="P33" s="74">
        <v>1</v>
      </c>
      <c r="Q33" s="605" t="s">
        <v>1945</v>
      </c>
      <c r="R33" s="74" t="s">
        <v>1945</v>
      </c>
      <c r="S33" s="4488"/>
    </row>
    <row r="34" spans="1:19" ht="52.8">
      <c r="A34" s="4994" t="s">
        <v>853</v>
      </c>
      <c r="B34" s="1671" t="s">
        <v>5</v>
      </c>
      <c r="C34" s="1672" t="s">
        <v>785</v>
      </c>
      <c r="D34" s="494" t="s">
        <v>784</v>
      </c>
      <c r="E34" s="498">
        <f>SUM(E35:E38)</f>
        <v>1007</v>
      </c>
      <c r="F34" s="499">
        <f t="shared" ref="F34:J34" si="1">SUM(F35:F38)</f>
        <v>1065</v>
      </c>
      <c r="G34" s="499">
        <f t="shared" si="1"/>
        <v>1066</v>
      </c>
      <c r="H34" s="499">
        <f t="shared" si="1"/>
        <v>1067</v>
      </c>
      <c r="I34" s="499">
        <f t="shared" si="1"/>
        <v>1068</v>
      </c>
      <c r="J34" s="500">
        <f t="shared" si="1"/>
        <v>1069</v>
      </c>
      <c r="K34" s="498">
        <f t="shared" ref="K34:P34" si="2">IFERROR(AVERAGE(K35,K36,K37,K38),0)</f>
        <v>1</v>
      </c>
      <c r="L34" s="1673">
        <f t="shared" si="2"/>
        <v>1</v>
      </c>
      <c r="M34" s="499">
        <f t="shared" si="2"/>
        <v>1</v>
      </c>
      <c r="N34" s="1674">
        <f t="shared" si="2"/>
        <v>1</v>
      </c>
      <c r="O34" s="1675">
        <f t="shared" si="2"/>
        <v>1</v>
      </c>
      <c r="P34" s="500">
        <f t="shared" si="2"/>
        <v>1</v>
      </c>
      <c r="Q34" s="397" t="s">
        <v>1944</v>
      </c>
      <c r="R34" s="129" t="s">
        <v>1944</v>
      </c>
      <c r="S34" s="4488"/>
    </row>
    <row r="35" spans="1:19" ht="50.1" customHeight="1">
      <c r="A35" s="4995"/>
      <c r="B35" s="1665" t="s">
        <v>6</v>
      </c>
      <c r="C35" s="1659" t="s">
        <v>786</v>
      </c>
      <c r="D35" s="495" t="s">
        <v>784</v>
      </c>
      <c r="E35" s="334">
        <v>384</v>
      </c>
      <c r="F35" s="187">
        <v>380</v>
      </c>
      <c r="G35" s="187">
        <v>381</v>
      </c>
      <c r="H35" s="187">
        <v>382</v>
      </c>
      <c r="I35" s="187">
        <v>383</v>
      </c>
      <c r="J35" s="187">
        <v>384</v>
      </c>
      <c r="K35" s="79">
        <v>1</v>
      </c>
      <c r="L35" s="69">
        <v>1</v>
      </c>
      <c r="M35" s="69">
        <v>1</v>
      </c>
      <c r="N35" s="69">
        <v>1</v>
      </c>
      <c r="O35" s="69">
        <v>1</v>
      </c>
      <c r="P35" s="72">
        <v>1</v>
      </c>
      <c r="Q35" s="69" t="s">
        <v>1944</v>
      </c>
      <c r="R35" s="72" t="s">
        <v>1944</v>
      </c>
      <c r="S35" s="4488"/>
    </row>
    <row r="36" spans="1:19" ht="50.1" customHeight="1">
      <c r="A36" s="4995"/>
      <c r="B36" s="1665" t="s">
        <v>7</v>
      </c>
      <c r="C36" s="1659" t="s">
        <v>787</v>
      </c>
      <c r="D36" s="495" t="s">
        <v>784</v>
      </c>
      <c r="E36" s="334">
        <v>64</v>
      </c>
      <c r="F36" s="187">
        <v>64</v>
      </c>
      <c r="G36" s="187">
        <v>64</v>
      </c>
      <c r="H36" s="187">
        <v>64</v>
      </c>
      <c r="I36" s="187">
        <v>64</v>
      </c>
      <c r="J36" s="187">
        <v>64</v>
      </c>
      <c r="K36" s="79">
        <v>1</v>
      </c>
      <c r="L36" s="69">
        <v>1</v>
      </c>
      <c r="M36" s="69">
        <v>1</v>
      </c>
      <c r="N36" s="69">
        <v>1</v>
      </c>
      <c r="O36" s="69">
        <v>1</v>
      </c>
      <c r="P36" s="72">
        <v>1</v>
      </c>
      <c r="Q36" s="69" t="s">
        <v>1944</v>
      </c>
      <c r="R36" s="72" t="s">
        <v>1944</v>
      </c>
      <c r="S36" s="4488"/>
    </row>
    <row r="37" spans="1:19" ht="50.1" customHeight="1">
      <c r="A37" s="4995"/>
      <c r="B37" s="1665" t="s">
        <v>8</v>
      </c>
      <c r="C37" s="1659" t="s">
        <v>788</v>
      </c>
      <c r="D37" s="495" t="s">
        <v>784</v>
      </c>
      <c r="E37" s="334">
        <v>547</v>
      </c>
      <c r="F37" s="187">
        <v>609</v>
      </c>
      <c r="G37" s="187">
        <v>609</v>
      </c>
      <c r="H37" s="187">
        <v>609</v>
      </c>
      <c r="I37" s="187">
        <v>609</v>
      </c>
      <c r="J37" s="187">
        <v>609</v>
      </c>
      <c r="K37" s="79">
        <v>1</v>
      </c>
      <c r="L37" s="69">
        <v>1</v>
      </c>
      <c r="M37" s="69">
        <v>1</v>
      </c>
      <c r="N37" s="69">
        <v>1</v>
      </c>
      <c r="O37" s="69">
        <v>1</v>
      </c>
      <c r="P37" s="72">
        <v>1</v>
      </c>
      <c r="Q37" s="69" t="s">
        <v>1944</v>
      </c>
      <c r="R37" s="72" t="s">
        <v>1944</v>
      </c>
      <c r="S37" s="4488"/>
    </row>
    <row r="38" spans="1:19" ht="50.1" customHeight="1">
      <c r="A38" s="4995"/>
      <c r="B38" s="1665" t="s">
        <v>9</v>
      </c>
      <c r="C38" s="1659" t="s">
        <v>789</v>
      </c>
      <c r="D38" s="495" t="s">
        <v>784</v>
      </c>
      <c r="E38" s="334">
        <v>12</v>
      </c>
      <c r="F38" s="187">
        <v>12</v>
      </c>
      <c r="G38" s="187">
        <v>12</v>
      </c>
      <c r="H38" s="187">
        <v>12</v>
      </c>
      <c r="I38" s="187">
        <v>12</v>
      </c>
      <c r="J38" s="188">
        <v>12</v>
      </c>
      <c r="K38" s="79">
        <v>1</v>
      </c>
      <c r="L38" s="69">
        <v>1</v>
      </c>
      <c r="M38" s="69">
        <v>1</v>
      </c>
      <c r="N38" s="69">
        <v>1</v>
      </c>
      <c r="O38" s="69">
        <v>1</v>
      </c>
      <c r="P38" s="72">
        <v>1</v>
      </c>
      <c r="Q38" s="69" t="s">
        <v>1944</v>
      </c>
      <c r="R38" s="72" t="s">
        <v>1944</v>
      </c>
      <c r="S38" s="4488"/>
    </row>
    <row r="39" spans="1:19" ht="66">
      <c r="A39" s="4995"/>
      <c r="B39" s="1676" t="s">
        <v>10</v>
      </c>
      <c r="C39" s="1677" t="s">
        <v>790</v>
      </c>
      <c r="D39" s="495" t="s">
        <v>784</v>
      </c>
      <c r="E39" s="501">
        <f>SUM(E40:E43)</f>
        <v>1007</v>
      </c>
      <c r="F39" s="502">
        <f t="shared" ref="F39:J39" si="3">SUM(F40:F43)</f>
        <v>1069</v>
      </c>
      <c r="G39" s="502">
        <f t="shared" si="3"/>
        <v>1069</v>
      </c>
      <c r="H39" s="502">
        <f t="shared" si="3"/>
        <v>1069</v>
      </c>
      <c r="I39" s="502">
        <f t="shared" si="3"/>
        <v>1069</v>
      </c>
      <c r="J39" s="503">
        <f t="shared" si="3"/>
        <v>1069</v>
      </c>
      <c r="K39" s="501">
        <f t="shared" ref="K39:P39" si="4">IFERROR(AVERAGE(K40,K41,K42,K43),0)</f>
        <v>1</v>
      </c>
      <c r="L39" s="1678">
        <f t="shared" si="4"/>
        <v>1</v>
      </c>
      <c r="M39" s="1679">
        <f t="shared" si="4"/>
        <v>1</v>
      </c>
      <c r="N39" s="1679">
        <f t="shared" si="4"/>
        <v>1</v>
      </c>
      <c r="O39" s="1679">
        <f t="shared" si="4"/>
        <v>1</v>
      </c>
      <c r="P39" s="503">
        <f t="shared" si="4"/>
        <v>1</v>
      </c>
      <c r="Q39" s="69" t="s">
        <v>1944</v>
      </c>
      <c r="R39" s="72" t="s">
        <v>1944</v>
      </c>
      <c r="S39" s="4488"/>
    </row>
    <row r="40" spans="1:19" ht="50.1" customHeight="1">
      <c r="A40" s="4995"/>
      <c r="B40" s="1665" t="s">
        <v>11</v>
      </c>
      <c r="C40" s="1659" t="s">
        <v>791</v>
      </c>
      <c r="D40" s="495" t="s">
        <v>784</v>
      </c>
      <c r="E40" s="334">
        <v>384</v>
      </c>
      <c r="F40" s="187">
        <v>384</v>
      </c>
      <c r="G40" s="187">
        <v>384</v>
      </c>
      <c r="H40" s="187">
        <v>384</v>
      </c>
      <c r="I40" s="187">
        <v>384</v>
      </c>
      <c r="J40" s="188">
        <v>384</v>
      </c>
      <c r="K40" s="79">
        <v>1</v>
      </c>
      <c r="L40" s="69">
        <v>1</v>
      </c>
      <c r="M40" s="69">
        <v>1</v>
      </c>
      <c r="N40" s="69">
        <v>1</v>
      </c>
      <c r="O40" s="69">
        <v>1</v>
      </c>
      <c r="P40" s="72">
        <v>1</v>
      </c>
      <c r="Q40" s="69" t="s">
        <v>1944</v>
      </c>
      <c r="R40" s="72" t="s">
        <v>1944</v>
      </c>
      <c r="S40" s="4488"/>
    </row>
    <row r="41" spans="1:19" ht="50.1" customHeight="1">
      <c r="A41" s="4995"/>
      <c r="B41" s="1665" t="s">
        <v>12</v>
      </c>
      <c r="C41" s="1659" t="s">
        <v>792</v>
      </c>
      <c r="D41" s="495" t="s">
        <v>784</v>
      </c>
      <c r="E41" s="334">
        <v>64</v>
      </c>
      <c r="F41" s="187">
        <v>64</v>
      </c>
      <c r="G41" s="187">
        <v>64</v>
      </c>
      <c r="H41" s="187">
        <v>64</v>
      </c>
      <c r="I41" s="187">
        <v>64</v>
      </c>
      <c r="J41" s="188">
        <v>64</v>
      </c>
      <c r="K41" s="79">
        <v>1</v>
      </c>
      <c r="L41" s="69">
        <v>1</v>
      </c>
      <c r="M41" s="69">
        <v>1</v>
      </c>
      <c r="N41" s="69">
        <v>1</v>
      </c>
      <c r="O41" s="69">
        <v>1</v>
      </c>
      <c r="P41" s="72">
        <v>1</v>
      </c>
      <c r="Q41" s="69" t="s">
        <v>1944</v>
      </c>
      <c r="R41" s="72" t="s">
        <v>1944</v>
      </c>
      <c r="S41" s="4488"/>
    </row>
    <row r="42" spans="1:19" ht="50.1" customHeight="1">
      <c r="A42" s="4995"/>
      <c r="B42" s="1665" t="s">
        <v>13</v>
      </c>
      <c r="C42" s="1659" t="s">
        <v>793</v>
      </c>
      <c r="D42" s="495" t="s">
        <v>784</v>
      </c>
      <c r="E42" s="334">
        <v>547</v>
      </c>
      <c r="F42" s="187">
        <v>609</v>
      </c>
      <c r="G42" s="187">
        <v>609</v>
      </c>
      <c r="H42" s="187">
        <v>609</v>
      </c>
      <c r="I42" s="187">
        <v>609</v>
      </c>
      <c r="J42" s="188">
        <v>609</v>
      </c>
      <c r="K42" s="79">
        <v>1</v>
      </c>
      <c r="L42" s="69">
        <v>1</v>
      </c>
      <c r="M42" s="69">
        <v>1</v>
      </c>
      <c r="N42" s="69">
        <v>1</v>
      </c>
      <c r="O42" s="69">
        <v>1</v>
      </c>
      <c r="P42" s="72">
        <v>1</v>
      </c>
      <c r="Q42" s="69" t="s">
        <v>1944</v>
      </c>
      <c r="R42" s="72" t="s">
        <v>1944</v>
      </c>
      <c r="S42" s="4488"/>
    </row>
    <row r="43" spans="1:19" ht="50.1" customHeight="1" thickBot="1">
      <c r="A43" s="4996"/>
      <c r="B43" s="1666" t="s">
        <v>14</v>
      </c>
      <c r="C43" s="1663" t="s">
        <v>794</v>
      </c>
      <c r="D43" s="496" t="s">
        <v>784</v>
      </c>
      <c r="E43" s="336">
        <v>12</v>
      </c>
      <c r="F43" s="190">
        <v>12</v>
      </c>
      <c r="G43" s="190">
        <v>12</v>
      </c>
      <c r="H43" s="190">
        <v>12</v>
      </c>
      <c r="I43" s="190">
        <v>12</v>
      </c>
      <c r="J43" s="191">
        <v>12</v>
      </c>
      <c r="K43" s="80">
        <v>1</v>
      </c>
      <c r="L43" s="73">
        <v>1</v>
      </c>
      <c r="M43" s="73">
        <v>1</v>
      </c>
      <c r="N43" s="73">
        <v>1</v>
      </c>
      <c r="O43" s="73">
        <v>1</v>
      </c>
      <c r="P43" s="74">
        <v>1</v>
      </c>
      <c r="Q43" s="603" t="s">
        <v>1944</v>
      </c>
      <c r="R43" s="74" t="s">
        <v>1944</v>
      </c>
      <c r="S43" s="4488"/>
    </row>
    <row r="44" spans="1:19" ht="52.8">
      <c r="A44" s="4997" t="s">
        <v>854</v>
      </c>
      <c r="B44" s="1671" t="s">
        <v>15</v>
      </c>
      <c r="C44" s="1672" t="s">
        <v>795</v>
      </c>
      <c r="D44" s="494" t="s">
        <v>784</v>
      </c>
      <c r="E44" s="498">
        <f>SUM(E45:E48)</f>
        <v>10013</v>
      </c>
      <c r="F44" s="499">
        <f t="shared" ref="F44:J44" si="5">SUM(F45:F48)</f>
        <v>10214</v>
      </c>
      <c r="G44" s="499">
        <f t="shared" si="5"/>
        <v>10643</v>
      </c>
      <c r="H44" s="499">
        <f t="shared" si="5"/>
        <v>10224</v>
      </c>
      <c r="I44" s="499">
        <f t="shared" si="5"/>
        <v>10653</v>
      </c>
      <c r="J44" s="500">
        <f t="shared" si="5"/>
        <v>10240</v>
      </c>
      <c r="K44" s="498">
        <f t="shared" ref="K44:P44" si="6">IFERROR(AVERAGE(K45,K46,K47,K48),0)</f>
        <v>1</v>
      </c>
      <c r="L44" s="1673">
        <f t="shared" si="6"/>
        <v>1</v>
      </c>
      <c r="M44" s="1675">
        <f t="shared" si="6"/>
        <v>1</v>
      </c>
      <c r="N44" s="499">
        <f t="shared" si="6"/>
        <v>1</v>
      </c>
      <c r="O44" s="499">
        <f t="shared" si="6"/>
        <v>1</v>
      </c>
      <c r="P44" s="1680">
        <f t="shared" si="6"/>
        <v>1</v>
      </c>
      <c r="Q44" s="128" t="s">
        <v>1944</v>
      </c>
      <c r="R44" s="129" t="s">
        <v>1944</v>
      </c>
      <c r="S44" s="4488"/>
    </row>
    <row r="45" spans="1:19" ht="50.1" customHeight="1">
      <c r="A45" s="4998"/>
      <c r="B45" s="1665" t="s">
        <v>16</v>
      </c>
      <c r="C45" s="1659" t="s">
        <v>796</v>
      </c>
      <c r="D45" s="495" t="s">
        <v>784</v>
      </c>
      <c r="E45" s="334">
        <v>2606</v>
      </c>
      <c r="F45" s="187">
        <v>2581</v>
      </c>
      <c r="G45" s="187">
        <v>2587</v>
      </c>
      <c r="H45" s="187">
        <v>2585</v>
      </c>
      <c r="I45" s="187">
        <v>2591</v>
      </c>
      <c r="J45" s="187">
        <v>2589</v>
      </c>
      <c r="K45" s="79">
        <v>1</v>
      </c>
      <c r="L45" s="76">
        <v>1</v>
      </c>
      <c r="M45" s="76">
        <v>1</v>
      </c>
      <c r="N45" s="76">
        <v>1</v>
      </c>
      <c r="O45" s="76">
        <v>1</v>
      </c>
      <c r="P45" s="100">
        <v>1</v>
      </c>
      <c r="Q45" s="76" t="s">
        <v>1944</v>
      </c>
      <c r="R45" s="72" t="s">
        <v>1944</v>
      </c>
      <c r="S45" s="4488"/>
    </row>
    <row r="46" spans="1:19" ht="50.1" customHeight="1">
      <c r="A46" s="4998"/>
      <c r="B46" s="1665" t="s">
        <v>17</v>
      </c>
      <c r="C46" s="1659" t="s">
        <v>797</v>
      </c>
      <c r="D46" s="495" t="s">
        <v>784</v>
      </c>
      <c r="E46" s="334">
        <v>364</v>
      </c>
      <c r="F46" s="187">
        <v>363</v>
      </c>
      <c r="G46" s="187">
        <v>363</v>
      </c>
      <c r="H46" s="187">
        <v>363</v>
      </c>
      <c r="I46" s="187">
        <v>363</v>
      </c>
      <c r="J46" s="188">
        <v>363</v>
      </c>
      <c r="K46" s="79">
        <v>1</v>
      </c>
      <c r="L46" s="76">
        <v>1</v>
      </c>
      <c r="M46" s="76">
        <v>1</v>
      </c>
      <c r="N46" s="76">
        <v>1</v>
      </c>
      <c r="O46" s="76">
        <v>1</v>
      </c>
      <c r="P46" s="100">
        <v>1</v>
      </c>
      <c r="Q46" s="76" t="s">
        <v>1944</v>
      </c>
      <c r="R46" s="72" t="s">
        <v>1944</v>
      </c>
      <c r="S46" s="4488"/>
    </row>
    <row r="47" spans="1:19" ht="50.1" customHeight="1">
      <c r="A47" s="4998"/>
      <c r="B47" s="1665" t="s">
        <v>18</v>
      </c>
      <c r="C47" s="1659" t="s">
        <v>798</v>
      </c>
      <c r="D47" s="495" t="s">
        <v>784</v>
      </c>
      <c r="E47" s="334">
        <v>6768</v>
      </c>
      <c r="F47" s="187">
        <v>7001</v>
      </c>
      <c r="G47" s="187">
        <v>7423</v>
      </c>
      <c r="H47" s="187">
        <v>7005</v>
      </c>
      <c r="I47" s="187">
        <v>7427</v>
      </c>
      <c r="J47" s="187">
        <v>7014</v>
      </c>
      <c r="K47" s="79">
        <v>1</v>
      </c>
      <c r="L47" s="76">
        <v>1</v>
      </c>
      <c r="M47" s="76">
        <v>1</v>
      </c>
      <c r="N47" s="76">
        <v>1</v>
      </c>
      <c r="O47" s="76">
        <v>1</v>
      </c>
      <c r="P47" s="100">
        <v>1</v>
      </c>
      <c r="Q47" s="76" t="s">
        <v>1944</v>
      </c>
      <c r="R47" s="72" t="s">
        <v>1944</v>
      </c>
      <c r="S47" s="4488"/>
    </row>
    <row r="48" spans="1:19" ht="50.1" customHeight="1">
      <c r="A48" s="4998"/>
      <c r="B48" s="1665" t="s">
        <v>19</v>
      </c>
      <c r="C48" s="1659" t="s">
        <v>799</v>
      </c>
      <c r="D48" s="495" t="s">
        <v>784</v>
      </c>
      <c r="E48" s="334">
        <v>275</v>
      </c>
      <c r="F48" s="187">
        <v>269</v>
      </c>
      <c r="G48" s="187">
        <v>270</v>
      </c>
      <c r="H48" s="187">
        <v>271</v>
      </c>
      <c r="I48" s="187">
        <v>272</v>
      </c>
      <c r="J48" s="188">
        <v>274</v>
      </c>
      <c r="K48" s="79">
        <v>1</v>
      </c>
      <c r="L48" s="76">
        <v>1</v>
      </c>
      <c r="M48" s="76">
        <v>1</v>
      </c>
      <c r="N48" s="76">
        <v>1</v>
      </c>
      <c r="O48" s="76">
        <v>1</v>
      </c>
      <c r="P48" s="100">
        <v>1</v>
      </c>
      <c r="Q48" s="76" t="s">
        <v>1944</v>
      </c>
      <c r="R48" s="72" t="s">
        <v>1944</v>
      </c>
      <c r="S48" s="4488"/>
    </row>
    <row r="49" spans="1:19" ht="66">
      <c r="A49" s="4998"/>
      <c r="B49" s="1676" t="s">
        <v>20</v>
      </c>
      <c r="C49" s="1677" t="s">
        <v>800</v>
      </c>
      <c r="D49" s="495" t="s">
        <v>784</v>
      </c>
      <c r="E49" s="501">
        <f>SUM(E50:E53)</f>
        <v>10020</v>
      </c>
      <c r="F49" s="502">
        <f t="shared" ref="F49:J49" si="7">SUM(F50:F53)</f>
        <v>10272</v>
      </c>
      <c r="G49" s="502">
        <f t="shared" si="7"/>
        <v>10696</v>
      </c>
      <c r="H49" s="502">
        <f t="shared" si="7"/>
        <v>10272</v>
      </c>
      <c r="I49" s="502">
        <f t="shared" si="7"/>
        <v>10696</v>
      </c>
      <c r="J49" s="503">
        <f t="shared" si="7"/>
        <v>10272</v>
      </c>
      <c r="K49" s="501">
        <f t="shared" ref="K49:P49" si="8">IFERROR(AVERAGE(K50,K51,K52,K53),0)</f>
        <v>1</v>
      </c>
      <c r="L49" s="1678">
        <f t="shared" si="8"/>
        <v>1</v>
      </c>
      <c r="M49" s="1679">
        <f t="shared" si="8"/>
        <v>1</v>
      </c>
      <c r="N49" s="1679">
        <f t="shared" si="8"/>
        <v>1</v>
      </c>
      <c r="O49" s="1679">
        <f t="shared" si="8"/>
        <v>1</v>
      </c>
      <c r="P49" s="503">
        <f t="shared" si="8"/>
        <v>1</v>
      </c>
      <c r="Q49" s="69" t="s">
        <v>1944</v>
      </c>
      <c r="R49" s="72" t="s">
        <v>1944</v>
      </c>
      <c r="S49" s="4488"/>
    </row>
    <row r="50" spans="1:19" ht="50.1" customHeight="1">
      <c r="A50" s="4998"/>
      <c r="B50" s="1665" t="s">
        <v>21</v>
      </c>
      <c r="C50" s="1659" t="s">
        <v>801</v>
      </c>
      <c r="D50" s="495" t="s">
        <v>784</v>
      </c>
      <c r="E50" s="334">
        <v>2606</v>
      </c>
      <c r="F50" s="187">
        <v>2603</v>
      </c>
      <c r="G50" s="187">
        <v>2607</v>
      </c>
      <c r="H50" s="187">
        <v>2603</v>
      </c>
      <c r="I50" s="187">
        <v>2607</v>
      </c>
      <c r="J50" s="187">
        <v>2603</v>
      </c>
      <c r="K50" s="79">
        <v>1</v>
      </c>
      <c r="L50" s="69">
        <v>1</v>
      </c>
      <c r="M50" s="69">
        <v>1</v>
      </c>
      <c r="N50" s="69">
        <v>1</v>
      </c>
      <c r="O50" s="69">
        <v>1</v>
      </c>
      <c r="P50" s="72">
        <v>1</v>
      </c>
      <c r="Q50" s="69" t="s">
        <v>1944</v>
      </c>
      <c r="R50" s="72" t="s">
        <v>1944</v>
      </c>
      <c r="S50" s="4488"/>
    </row>
    <row r="51" spans="1:19" ht="50.1" customHeight="1">
      <c r="A51" s="4998"/>
      <c r="B51" s="1665" t="s">
        <v>22</v>
      </c>
      <c r="C51" s="1659" t="s">
        <v>802</v>
      </c>
      <c r="D51" s="495" t="s">
        <v>784</v>
      </c>
      <c r="E51" s="334">
        <v>364</v>
      </c>
      <c r="F51" s="187">
        <v>364</v>
      </c>
      <c r="G51" s="187">
        <v>364</v>
      </c>
      <c r="H51" s="187">
        <v>364</v>
      </c>
      <c r="I51" s="187">
        <v>364</v>
      </c>
      <c r="J51" s="187">
        <v>364</v>
      </c>
      <c r="K51" s="79">
        <v>1</v>
      </c>
      <c r="L51" s="69">
        <v>1</v>
      </c>
      <c r="M51" s="69">
        <v>1</v>
      </c>
      <c r="N51" s="69">
        <v>1</v>
      </c>
      <c r="O51" s="69">
        <v>1</v>
      </c>
      <c r="P51" s="72">
        <v>1</v>
      </c>
      <c r="Q51" s="69" t="s">
        <v>1944</v>
      </c>
      <c r="R51" s="72" t="s">
        <v>1944</v>
      </c>
      <c r="S51" s="4488"/>
    </row>
    <row r="52" spans="1:19" ht="50.1" customHeight="1">
      <c r="A52" s="4998"/>
      <c r="B52" s="1665" t="s">
        <v>23</v>
      </c>
      <c r="C52" s="1659" t="s">
        <v>803</v>
      </c>
      <c r="D52" s="495" t="s">
        <v>784</v>
      </c>
      <c r="E52" s="334">
        <v>6774</v>
      </c>
      <c r="F52" s="187">
        <v>7029</v>
      </c>
      <c r="G52" s="187">
        <v>7449</v>
      </c>
      <c r="H52" s="187">
        <v>7029</v>
      </c>
      <c r="I52" s="187">
        <v>7449</v>
      </c>
      <c r="J52" s="187">
        <v>7029</v>
      </c>
      <c r="K52" s="79">
        <v>1</v>
      </c>
      <c r="L52" s="69">
        <v>1</v>
      </c>
      <c r="M52" s="69">
        <v>1</v>
      </c>
      <c r="N52" s="69">
        <v>1</v>
      </c>
      <c r="O52" s="69">
        <v>1</v>
      </c>
      <c r="P52" s="72">
        <v>1</v>
      </c>
      <c r="Q52" s="69" t="s">
        <v>1944</v>
      </c>
      <c r="R52" s="72" t="s">
        <v>1944</v>
      </c>
      <c r="S52" s="4488"/>
    </row>
    <row r="53" spans="1:19" ht="50.1" customHeight="1" thickBot="1">
      <c r="A53" s="4999"/>
      <c r="B53" s="1666" t="s">
        <v>24</v>
      </c>
      <c r="C53" s="1663" t="s">
        <v>804</v>
      </c>
      <c r="D53" s="496" t="s">
        <v>784</v>
      </c>
      <c r="E53" s="336">
        <v>276</v>
      </c>
      <c r="F53" s="190">
        <v>276</v>
      </c>
      <c r="G53" s="190">
        <v>276</v>
      </c>
      <c r="H53" s="190">
        <v>276</v>
      </c>
      <c r="I53" s="190">
        <v>276</v>
      </c>
      <c r="J53" s="191">
        <v>276</v>
      </c>
      <c r="K53" s="79">
        <v>1</v>
      </c>
      <c r="L53" s="73">
        <v>1</v>
      </c>
      <c r="M53" s="73">
        <v>1</v>
      </c>
      <c r="N53" s="73">
        <v>1</v>
      </c>
      <c r="O53" s="73">
        <v>1</v>
      </c>
      <c r="P53" s="74">
        <v>1</v>
      </c>
      <c r="Q53" s="69" t="s">
        <v>1944</v>
      </c>
      <c r="R53" s="72" t="s">
        <v>1944</v>
      </c>
      <c r="S53" s="4488"/>
    </row>
    <row r="54" spans="1:19" ht="39.6">
      <c r="A54" s="4994" t="s">
        <v>900</v>
      </c>
      <c r="B54" s="1667" t="s">
        <v>25</v>
      </c>
      <c r="C54" s="1657" t="s">
        <v>805</v>
      </c>
      <c r="D54" s="494" t="s">
        <v>784</v>
      </c>
      <c r="E54" s="335">
        <v>72</v>
      </c>
      <c r="F54" s="185">
        <v>72</v>
      </c>
      <c r="G54" s="185">
        <v>72</v>
      </c>
      <c r="H54" s="185">
        <v>72</v>
      </c>
      <c r="I54" s="185">
        <v>72</v>
      </c>
      <c r="J54" s="186">
        <v>72</v>
      </c>
      <c r="K54" s="78">
        <v>1</v>
      </c>
      <c r="L54" s="70">
        <v>1</v>
      </c>
      <c r="M54" s="70">
        <v>1</v>
      </c>
      <c r="N54" s="70">
        <v>1</v>
      </c>
      <c r="O54" s="70">
        <v>1</v>
      </c>
      <c r="P54" s="71">
        <v>1</v>
      </c>
      <c r="Q54" s="397" t="s">
        <v>1944</v>
      </c>
      <c r="R54" s="71" t="s">
        <v>1944</v>
      </c>
      <c r="S54" s="4488"/>
    </row>
    <row r="55" spans="1:19" ht="40.200000000000003" thickBot="1">
      <c r="A55" s="4996"/>
      <c r="B55" s="1666" t="s">
        <v>26</v>
      </c>
      <c r="C55" s="1663" t="s">
        <v>806</v>
      </c>
      <c r="D55" s="496" t="s">
        <v>784</v>
      </c>
      <c r="E55" s="336">
        <v>72</v>
      </c>
      <c r="F55" s="190">
        <v>72</v>
      </c>
      <c r="G55" s="190">
        <v>72</v>
      </c>
      <c r="H55" s="190">
        <v>72</v>
      </c>
      <c r="I55" s="190">
        <v>72</v>
      </c>
      <c r="J55" s="191">
        <v>72</v>
      </c>
      <c r="K55" s="80">
        <v>1</v>
      </c>
      <c r="L55" s="73">
        <v>1</v>
      </c>
      <c r="M55" s="73">
        <v>1</v>
      </c>
      <c r="N55" s="73">
        <v>1</v>
      </c>
      <c r="O55" s="73">
        <v>1</v>
      </c>
      <c r="P55" s="74">
        <v>1</v>
      </c>
      <c r="Q55" s="394" t="s">
        <v>1944</v>
      </c>
      <c r="R55" s="598" t="s">
        <v>1944</v>
      </c>
      <c r="S55" s="4488"/>
    </row>
    <row r="56" spans="1:19" ht="39.6">
      <c r="A56" s="4994" t="s">
        <v>867</v>
      </c>
      <c r="B56" s="1667" t="s">
        <v>35</v>
      </c>
      <c r="C56" s="1657" t="s">
        <v>818</v>
      </c>
      <c r="D56" s="494" t="s">
        <v>784</v>
      </c>
      <c r="E56" s="335">
        <v>47</v>
      </c>
      <c r="F56" s="185">
        <v>54</v>
      </c>
      <c r="G56" s="185">
        <v>54</v>
      </c>
      <c r="H56" s="185">
        <v>54</v>
      </c>
      <c r="I56" s="185">
        <v>54</v>
      </c>
      <c r="J56" s="186">
        <v>55</v>
      </c>
      <c r="K56" s="78">
        <v>1</v>
      </c>
      <c r="L56" s="70">
        <v>1</v>
      </c>
      <c r="M56" s="70">
        <v>1</v>
      </c>
      <c r="N56" s="70">
        <v>1</v>
      </c>
      <c r="O56" s="70">
        <v>1</v>
      </c>
      <c r="P56" s="71">
        <v>1</v>
      </c>
      <c r="Q56" s="392" t="s">
        <v>1955</v>
      </c>
      <c r="R56" s="71" t="s">
        <v>1955</v>
      </c>
      <c r="S56" s="4488"/>
    </row>
    <row r="57" spans="1:19" ht="40.200000000000003" thickBot="1">
      <c r="A57" s="4996"/>
      <c r="B57" s="1666" t="s">
        <v>330</v>
      </c>
      <c r="C57" s="1663" t="s">
        <v>817</v>
      </c>
      <c r="D57" s="496" t="s">
        <v>784</v>
      </c>
      <c r="E57" s="336">
        <v>48</v>
      </c>
      <c r="F57" s="190">
        <v>58</v>
      </c>
      <c r="G57" s="190">
        <v>58</v>
      </c>
      <c r="H57" s="190">
        <v>58</v>
      </c>
      <c r="I57" s="190">
        <v>58</v>
      </c>
      <c r="J57" s="191">
        <v>58</v>
      </c>
      <c r="K57" s="80">
        <v>1</v>
      </c>
      <c r="L57" s="73">
        <v>1</v>
      </c>
      <c r="M57" s="73">
        <v>1</v>
      </c>
      <c r="N57" s="73">
        <v>1</v>
      </c>
      <c r="O57" s="73">
        <v>1</v>
      </c>
      <c r="P57" s="74">
        <v>1</v>
      </c>
      <c r="Q57" s="398" t="s">
        <v>1955</v>
      </c>
      <c r="R57" s="598" t="s">
        <v>1955</v>
      </c>
      <c r="S57" s="4488"/>
    </row>
    <row r="58" spans="1:19" ht="52.8">
      <c r="A58" s="4994" t="s">
        <v>866</v>
      </c>
      <c r="B58" s="1667" t="s">
        <v>27</v>
      </c>
      <c r="C58" s="1657" t="s">
        <v>807</v>
      </c>
      <c r="D58" s="494" t="s">
        <v>808</v>
      </c>
      <c r="E58" s="335">
        <v>866912</v>
      </c>
      <c r="F58" s="185">
        <v>801000</v>
      </c>
      <c r="G58" s="185">
        <v>786000</v>
      </c>
      <c r="H58" s="185">
        <v>771000</v>
      </c>
      <c r="I58" s="185">
        <v>757000</v>
      </c>
      <c r="J58" s="186">
        <v>746000</v>
      </c>
      <c r="K58" s="78">
        <v>1</v>
      </c>
      <c r="L58" s="70">
        <v>1</v>
      </c>
      <c r="M58" s="70">
        <v>1</v>
      </c>
      <c r="N58" s="70">
        <v>1</v>
      </c>
      <c r="O58" s="70">
        <v>1</v>
      </c>
      <c r="P58" s="71">
        <v>1</v>
      </c>
      <c r="Q58" s="607" t="s">
        <v>1952</v>
      </c>
      <c r="R58" s="71" t="s">
        <v>1952</v>
      </c>
      <c r="S58" s="4488"/>
    </row>
    <row r="59" spans="1:19" ht="26.4">
      <c r="A59" s="4995"/>
      <c r="B59" s="3413" t="s">
        <v>29</v>
      </c>
      <c r="C59" s="1659" t="s">
        <v>813</v>
      </c>
      <c r="D59" s="495" t="s">
        <v>784</v>
      </c>
      <c r="E59" s="334">
        <v>2106</v>
      </c>
      <c r="F59" s="187">
        <v>1634</v>
      </c>
      <c r="G59" s="187">
        <v>1630</v>
      </c>
      <c r="H59" s="187">
        <v>1628</v>
      </c>
      <c r="I59" s="187">
        <v>1623</v>
      </c>
      <c r="J59" s="188">
        <v>1618</v>
      </c>
      <c r="K59" s="79">
        <v>1</v>
      </c>
      <c r="L59" s="69">
        <v>1</v>
      </c>
      <c r="M59" s="69">
        <v>1</v>
      </c>
      <c r="N59" s="69">
        <v>1</v>
      </c>
      <c r="O59" s="69">
        <v>1</v>
      </c>
      <c r="P59" s="72">
        <v>1</v>
      </c>
      <c r="Q59" s="396" t="s">
        <v>1952</v>
      </c>
      <c r="R59" s="72" t="s">
        <v>1952</v>
      </c>
      <c r="S59" s="4488"/>
    </row>
    <row r="60" spans="1:19" ht="26.4">
      <c r="A60" s="4995"/>
      <c r="B60" s="3413" t="s">
        <v>36</v>
      </c>
      <c r="C60" s="1659" t="s">
        <v>819</v>
      </c>
      <c r="D60" s="495" t="s">
        <v>784</v>
      </c>
      <c r="E60" s="919">
        <f>'8. Ремонтна програма'!D48</f>
        <v>31</v>
      </c>
      <c r="F60" s="1681">
        <f>'8. Ремонтна програма'!E48</f>
        <v>30</v>
      </c>
      <c r="G60" s="1682">
        <f>'8. Ремонтна програма'!F48</f>
        <v>32</v>
      </c>
      <c r="H60" s="1682">
        <f>'8. Ремонтна програма'!G48</f>
        <v>28</v>
      </c>
      <c r="I60" s="1682">
        <f>'8. Ремонтна програма'!H48</f>
        <v>28</v>
      </c>
      <c r="J60" s="1662">
        <f>'8. Ремонтна програма'!I48</f>
        <v>29</v>
      </c>
      <c r="K60" s="79">
        <v>1</v>
      </c>
      <c r="L60" s="69">
        <v>1</v>
      </c>
      <c r="M60" s="69">
        <v>1</v>
      </c>
      <c r="N60" s="69">
        <v>1</v>
      </c>
      <c r="O60" s="69">
        <v>1</v>
      </c>
      <c r="P60" s="72">
        <v>1</v>
      </c>
      <c r="Q60" s="396" t="s">
        <v>1952</v>
      </c>
      <c r="R60" s="72" t="s">
        <v>1952</v>
      </c>
      <c r="S60" s="4488"/>
    </row>
    <row r="61" spans="1:19" ht="26.4">
      <c r="A61" s="4995"/>
      <c r="B61" s="3413" t="s">
        <v>37</v>
      </c>
      <c r="C61" s="1659" t="s">
        <v>821</v>
      </c>
      <c r="D61" s="495" t="s">
        <v>784</v>
      </c>
      <c r="E61" s="919">
        <f>'8. Ремонтна програма'!D49</f>
        <v>13</v>
      </c>
      <c r="F61" s="1681">
        <f>'8. Ремонтна програма'!E49</f>
        <v>11</v>
      </c>
      <c r="G61" s="1682">
        <f>'8. Ремонтна програма'!F49</f>
        <v>11</v>
      </c>
      <c r="H61" s="1682">
        <f>'8. Ремонтна програма'!G49</f>
        <v>15</v>
      </c>
      <c r="I61" s="1682">
        <f>'8. Ремонтна програма'!H49</f>
        <v>11</v>
      </c>
      <c r="J61" s="1662">
        <f>'8. Ремонтна програма'!I49</f>
        <v>13</v>
      </c>
      <c r="K61" s="79">
        <v>1</v>
      </c>
      <c r="L61" s="69">
        <v>1</v>
      </c>
      <c r="M61" s="69">
        <v>1</v>
      </c>
      <c r="N61" s="69">
        <v>1</v>
      </c>
      <c r="O61" s="69">
        <v>1</v>
      </c>
      <c r="P61" s="72">
        <v>1</v>
      </c>
      <c r="Q61" s="396" t="s">
        <v>1952</v>
      </c>
      <c r="R61" s="72" t="s">
        <v>1952</v>
      </c>
      <c r="S61" s="4488"/>
    </row>
    <row r="62" spans="1:19" ht="27" thickBot="1">
      <c r="A62" s="4996"/>
      <c r="B62" s="1666" t="s">
        <v>38</v>
      </c>
      <c r="C62" s="1663" t="s">
        <v>820</v>
      </c>
      <c r="D62" s="496" t="s">
        <v>784</v>
      </c>
      <c r="E62" s="336">
        <v>17</v>
      </c>
      <c r="F62" s="190">
        <v>21</v>
      </c>
      <c r="G62" s="190">
        <v>19</v>
      </c>
      <c r="H62" s="190">
        <v>17</v>
      </c>
      <c r="I62" s="190">
        <v>20</v>
      </c>
      <c r="J62" s="191">
        <v>13</v>
      </c>
      <c r="K62" s="80">
        <v>1</v>
      </c>
      <c r="L62" s="73">
        <v>1</v>
      </c>
      <c r="M62" s="73">
        <v>1</v>
      </c>
      <c r="N62" s="73">
        <v>1</v>
      </c>
      <c r="O62" s="73">
        <v>1</v>
      </c>
      <c r="P62" s="74">
        <v>1</v>
      </c>
      <c r="Q62" s="128" t="s">
        <v>1952</v>
      </c>
      <c r="R62" s="129" t="s">
        <v>1952</v>
      </c>
      <c r="S62" s="4488"/>
    </row>
    <row r="63" spans="1:19" ht="52.8">
      <c r="A63" s="4994" t="s">
        <v>871</v>
      </c>
      <c r="B63" s="1667" t="s">
        <v>41</v>
      </c>
      <c r="C63" s="1657" t="s">
        <v>809</v>
      </c>
      <c r="D63" s="494" t="s">
        <v>1042</v>
      </c>
      <c r="E63" s="337">
        <f>'4. Отчет и прогн. потребление'!D9</f>
        <v>9507991</v>
      </c>
      <c r="F63" s="285">
        <f>'4. Отчет и прогн. потребление'!E9</f>
        <v>9407000</v>
      </c>
      <c r="G63" s="285">
        <f>'4. Отчет и прогн. потребление'!F9</f>
        <v>9282000</v>
      </c>
      <c r="H63" s="285">
        <f>'4. Отчет и прогн. потребление'!G9</f>
        <v>9133000</v>
      </c>
      <c r="I63" s="285">
        <f>'4. Отчет и прогн. потребление'!H9</f>
        <v>8933000</v>
      </c>
      <c r="J63" s="286">
        <f>'4. Отчет и прогн. потребление'!I9</f>
        <v>8647500</v>
      </c>
      <c r="K63" s="99">
        <v>1</v>
      </c>
      <c r="L63" s="70">
        <v>1</v>
      </c>
      <c r="M63" s="70">
        <v>1</v>
      </c>
      <c r="N63" s="70">
        <v>1</v>
      </c>
      <c r="O63" s="70">
        <v>1</v>
      </c>
      <c r="P63" s="71">
        <v>1</v>
      </c>
      <c r="Q63" s="397" t="s">
        <v>1956</v>
      </c>
      <c r="R63" s="71" t="s">
        <v>1956</v>
      </c>
      <c r="S63" s="4488"/>
    </row>
    <row r="64" spans="1:19" ht="52.8">
      <c r="A64" s="4995"/>
      <c r="B64" s="1665" t="s">
        <v>782</v>
      </c>
      <c r="C64" s="1659" t="s">
        <v>811</v>
      </c>
      <c r="D64" s="495" t="s">
        <v>1042</v>
      </c>
      <c r="E64" s="338">
        <f>'4. Отчет и прогн. потребление'!D20</f>
        <v>3814422.0210000002</v>
      </c>
      <c r="F64" s="289">
        <f>'4. Отчет и прогн. потребление'!E20</f>
        <v>3794968.2380000004</v>
      </c>
      <c r="G64" s="289">
        <f>'4. Отчет и прогн. потребление'!F20</f>
        <v>3805086.7833795347</v>
      </c>
      <c r="H64" s="289">
        <f>'4. Отчет и прогн. потребление'!G20</f>
        <v>3815024.2099647666</v>
      </c>
      <c r="I64" s="289">
        <f>'4. Отчет и прогн. потребление'!H20</f>
        <v>3827067.925592544</v>
      </c>
      <c r="J64" s="290">
        <f>'4. Отчет и прогн. потребление'!I20</f>
        <v>3843496.3642007206</v>
      </c>
      <c r="K64" s="100">
        <v>1</v>
      </c>
      <c r="L64" s="69">
        <v>1</v>
      </c>
      <c r="M64" s="69">
        <v>1</v>
      </c>
      <c r="N64" s="69">
        <v>1</v>
      </c>
      <c r="O64" s="69">
        <v>1</v>
      </c>
      <c r="P64" s="72">
        <v>1</v>
      </c>
      <c r="Q64" s="396" t="s">
        <v>1942</v>
      </c>
      <c r="R64" s="72" t="s">
        <v>1942</v>
      </c>
      <c r="S64" s="4488"/>
    </row>
    <row r="65" spans="1:19" ht="52.8">
      <c r="A65" s="4995"/>
      <c r="B65" s="1665" t="s">
        <v>783</v>
      </c>
      <c r="C65" s="1659" t="s">
        <v>810</v>
      </c>
      <c r="D65" s="495" t="s">
        <v>1042</v>
      </c>
      <c r="E65" s="339">
        <f>'4. Отчет и прогн. потребление'!D43</f>
        <v>5693568.9699999988</v>
      </c>
      <c r="F65" s="289">
        <f>'4. Отчет и прогн. потребление'!E43</f>
        <v>5612031.7620000001</v>
      </c>
      <c r="G65" s="289">
        <f>'4. Отчет и прогн. потребление'!F43</f>
        <v>5476913.2166204657</v>
      </c>
      <c r="H65" s="289">
        <f>'4. Отчет и прогн. потребление'!G43</f>
        <v>5317975.7900352329</v>
      </c>
      <c r="I65" s="289">
        <f>'4. Отчет и прогн. потребление'!H43</f>
        <v>5105932.0744074564</v>
      </c>
      <c r="J65" s="290">
        <f>'4. Отчет и прогн. потребление'!I43</f>
        <v>4804003.6357992794</v>
      </c>
      <c r="K65" s="100">
        <v>1</v>
      </c>
      <c r="L65" s="69">
        <v>1</v>
      </c>
      <c r="M65" s="69">
        <v>1</v>
      </c>
      <c r="N65" s="69">
        <v>1</v>
      </c>
      <c r="O65" s="69">
        <v>1</v>
      </c>
      <c r="P65" s="72">
        <v>1</v>
      </c>
      <c r="Q65" s="396" t="s">
        <v>1956</v>
      </c>
      <c r="R65" s="72" t="s">
        <v>1956</v>
      </c>
      <c r="S65" s="4488"/>
    </row>
    <row r="66" spans="1:19" ht="40.200000000000003" thickBot="1">
      <c r="A66" s="4995"/>
      <c r="B66" s="1683" t="s">
        <v>43</v>
      </c>
      <c r="C66" s="1684" t="s">
        <v>826</v>
      </c>
      <c r="D66" s="504" t="s">
        <v>1042</v>
      </c>
      <c r="E66" s="336">
        <v>5749588</v>
      </c>
      <c r="F66" s="190">
        <v>5899831</v>
      </c>
      <c r="G66" s="190">
        <v>5883148</v>
      </c>
      <c r="H66" s="190">
        <v>5866746</v>
      </c>
      <c r="I66" s="190">
        <v>5850622</v>
      </c>
      <c r="J66" s="191">
        <v>5834774</v>
      </c>
      <c r="K66" s="130">
        <v>1</v>
      </c>
      <c r="L66" s="135">
        <v>1</v>
      </c>
      <c r="M66" s="135">
        <v>1</v>
      </c>
      <c r="N66" s="135">
        <v>1</v>
      </c>
      <c r="O66" s="135">
        <v>1</v>
      </c>
      <c r="P66" s="74">
        <v>1</v>
      </c>
      <c r="Q66" s="603" t="s">
        <v>1957</v>
      </c>
      <c r="R66" s="74" t="s">
        <v>1957</v>
      </c>
      <c r="S66" s="4488"/>
    </row>
    <row r="67" spans="1:19" ht="26.4">
      <c r="A67" s="4997" t="s">
        <v>905</v>
      </c>
      <c r="B67" s="1685"/>
      <c r="C67" s="1657" t="s">
        <v>901</v>
      </c>
      <c r="D67" s="494" t="s">
        <v>784</v>
      </c>
      <c r="E67" s="335">
        <v>140</v>
      </c>
      <c r="F67" s="185">
        <v>140</v>
      </c>
      <c r="G67" s="185">
        <v>140</v>
      </c>
      <c r="H67" s="185">
        <v>140</v>
      </c>
      <c r="I67" s="185">
        <v>140</v>
      </c>
      <c r="J67" s="186">
        <v>140</v>
      </c>
      <c r="K67" s="78">
        <v>1</v>
      </c>
      <c r="L67" s="70">
        <v>1</v>
      </c>
      <c r="M67" s="70">
        <v>1</v>
      </c>
      <c r="N67" s="70">
        <v>1</v>
      </c>
      <c r="O67" s="70">
        <v>1</v>
      </c>
      <c r="P67" s="133">
        <v>1</v>
      </c>
      <c r="Q67" s="397" t="s">
        <v>1950</v>
      </c>
      <c r="R67" s="71" t="s">
        <v>1950</v>
      </c>
      <c r="S67" s="4488"/>
    </row>
    <row r="68" spans="1:19" ht="39.6">
      <c r="A68" s="4998"/>
      <c r="B68" s="1686"/>
      <c r="C68" s="1659" t="s">
        <v>989</v>
      </c>
      <c r="D68" s="495" t="s">
        <v>170</v>
      </c>
      <c r="E68" s="340">
        <v>0.21652604122716279</v>
      </c>
      <c r="F68" s="197">
        <v>0.21329999999999999</v>
      </c>
      <c r="G68" s="197">
        <v>0.21329999999999999</v>
      </c>
      <c r="H68" s="197">
        <v>0.21329999999999999</v>
      </c>
      <c r="I68" s="197">
        <v>0.21329999999999999</v>
      </c>
      <c r="J68" s="198">
        <v>0.21329999999999999</v>
      </c>
      <c r="K68" s="79">
        <v>1</v>
      </c>
      <c r="L68" s="69">
        <v>1</v>
      </c>
      <c r="M68" s="69">
        <v>1</v>
      </c>
      <c r="N68" s="69">
        <v>1</v>
      </c>
      <c r="O68" s="69">
        <v>1</v>
      </c>
      <c r="P68" s="134">
        <v>1</v>
      </c>
      <c r="Q68" s="396" t="s">
        <v>1956</v>
      </c>
      <c r="R68" s="72" t="s">
        <v>1956</v>
      </c>
      <c r="S68" s="4488"/>
    </row>
    <row r="69" spans="1:19" ht="66">
      <c r="A69" s="4998"/>
      <c r="B69" s="1686"/>
      <c r="C69" s="1659" t="s">
        <v>990</v>
      </c>
      <c r="D69" s="495" t="s">
        <v>170</v>
      </c>
      <c r="E69" s="340">
        <v>0.78188399555422949</v>
      </c>
      <c r="F69" s="197">
        <v>0.78500000000000003</v>
      </c>
      <c r="G69" s="197">
        <v>0.78500000000000003</v>
      </c>
      <c r="H69" s="197">
        <v>0.78500000000000003</v>
      </c>
      <c r="I69" s="197">
        <v>0.78500000000000003</v>
      </c>
      <c r="J69" s="198">
        <v>0.78500000000000003</v>
      </c>
      <c r="K69" s="79">
        <v>1</v>
      </c>
      <c r="L69" s="69">
        <v>1</v>
      </c>
      <c r="M69" s="69">
        <v>1</v>
      </c>
      <c r="N69" s="69">
        <v>1</v>
      </c>
      <c r="O69" s="69">
        <v>1</v>
      </c>
      <c r="P69" s="134">
        <v>1</v>
      </c>
      <c r="Q69" s="396" t="s">
        <v>1956</v>
      </c>
      <c r="R69" s="72" t="s">
        <v>1956</v>
      </c>
      <c r="S69" s="4488"/>
    </row>
    <row r="70" spans="1:19" ht="39.6">
      <c r="A70" s="4998"/>
      <c r="B70" s="1686"/>
      <c r="C70" s="1659" t="s">
        <v>987</v>
      </c>
      <c r="D70" s="495" t="s">
        <v>170</v>
      </c>
      <c r="E70" s="340">
        <v>1.5899632186077625E-3</v>
      </c>
      <c r="F70" s="197">
        <v>1.6999999999999999E-3</v>
      </c>
      <c r="G70" s="197">
        <v>1.6999999999999999E-3</v>
      </c>
      <c r="H70" s="197">
        <v>1.6999999999999999E-3</v>
      </c>
      <c r="I70" s="197">
        <v>1.6999999999999999E-3</v>
      </c>
      <c r="J70" s="198">
        <v>1.6999999999999999E-3</v>
      </c>
      <c r="K70" s="79">
        <v>1</v>
      </c>
      <c r="L70" s="69">
        <v>1</v>
      </c>
      <c r="M70" s="69">
        <v>1</v>
      </c>
      <c r="N70" s="69">
        <v>1</v>
      </c>
      <c r="O70" s="69">
        <v>1</v>
      </c>
      <c r="P70" s="134">
        <v>1</v>
      </c>
      <c r="Q70" s="396" t="s">
        <v>1956</v>
      </c>
      <c r="R70" s="72" t="s">
        <v>1956</v>
      </c>
      <c r="S70" s="4488"/>
    </row>
    <row r="71" spans="1:19">
      <c r="A71" s="4998"/>
      <c r="B71" s="1687"/>
      <c r="C71" s="1688" t="s">
        <v>988</v>
      </c>
      <c r="D71" s="505" t="s">
        <v>170</v>
      </c>
      <c r="E71" s="341">
        <f>SUM(E68:E70)</f>
        <v>1</v>
      </c>
      <c r="F71" s="295">
        <f t="shared" ref="F71:J71" si="9">SUM(F68:F70)</f>
        <v>1</v>
      </c>
      <c r="G71" s="295">
        <f t="shared" si="9"/>
        <v>1</v>
      </c>
      <c r="H71" s="295">
        <f t="shared" si="9"/>
        <v>1</v>
      </c>
      <c r="I71" s="295">
        <f t="shared" si="9"/>
        <v>1</v>
      </c>
      <c r="J71" s="296">
        <f t="shared" si="9"/>
        <v>1</v>
      </c>
      <c r="K71" s="916"/>
      <c r="L71" s="1689"/>
      <c r="M71" s="1689"/>
      <c r="N71" s="1689"/>
      <c r="O71" s="1689"/>
      <c r="P71" s="1690"/>
      <c r="Q71" s="1691"/>
      <c r="R71" s="1692"/>
      <c r="S71" s="4488"/>
    </row>
    <row r="72" spans="1:19" ht="26.4">
      <c r="A72" s="4998"/>
      <c r="B72" s="1686"/>
      <c r="C72" s="1659" t="s">
        <v>902</v>
      </c>
      <c r="D72" s="495" t="s">
        <v>784</v>
      </c>
      <c r="E72" s="334">
        <v>151</v>
      </c>
      <c r="F72" s="187">
        <v>154</v>
      </c>
      <c r="G72" s="187">
        <v>154</v>
      </c>
      <c r="H72" s="187">
        <v>154</v>
      </c>
      <c r="I72" s="187">
        <v>154</v>
      </c>
      <c r="J72" s="188">
        <v>154</v>
      </c>
      <c r="K72" s="79">
        <v>1</v>
      </c>
      <c r="L72" s="69">
        <v>1</v>
      </c>
      <c r="M72" s="69">
        <v>1</v>
      </c>
      <c r="N72" s="69">
        <v>1</v>
      </c>
      <c r="O72" s="69">
        <v>1</v>
      </c>
      <c r="P72" s="134">
        <v>1</v>
      </c>
      <c r="Q72" s="396" t="s">
        <v>1950</v>
      </c>
      <c r="R72" s="72" t="s">
        <v>1950</v>
      </c>
      <c r="S72" s="4488"/>
    </row>
    <row r="73" spans="1:19" ht="66">
      <c r="A73" s="4998"/>
      <c r="B73" s="3415" t="s">
        <v>742</v>
      </c>
      <c r="C73" s="1659" t="s">
        <v>1003</v>
      </c>
      <c r="D73" s="495" t="s">
        <v>784</v>
      </c>
      <c r="E73" s="334">
        <v>5</v>
      </c>
      <c r="F73" s="187">
        <v>18</v>
      </c>
      <c r="G73" s="187">
        <v>24</v>
      </c>
      <c r="H73" s="187">
        <v>39</v>
      </c>
      <c r="I73" s="187">
        <v>59</v>
      </c>
      <c r="J73" s="188">
        <v>78</v>
      </c>
      <c r="K73" s="79">
        <v>1</v>
      </c>
      <c r="L73" s="69">
        <v>1</v>
      </c>
      <c r="M73" s="69">
        <v>1</v>
      </c>
      <c r="N73" s="69">
        <v>1</v>
      </c>
      <c r="O73" s="69">
        <v>1</v>
      </c>
      <c r="P73" s="134">
        <v>1</v>
      </c>
      <c r="Q73" s="396" t="s">
        <v>1950</v>
      </c>
      <c r="R73" s="72" t="s">
        <v>1950</v>
      </c>
      <c r="S73" s="4488"/>
    </row>
    <row r="74" spans="1:19" ht="52.8">
      <c r="A74" s="4998"/>
      <c r="B74" s="3415" t="s">
        <v>839</v>
      </c>
      <c r="C74" s="1659" t="s">
        <v>847</v>
      </c>
      <c r="D74" s="495" t="s">
        <v>784</v>
      </c>
      <c r="E74" s="334">
        <v>2711</v>
      </c>
      <c r="F74" s="187">
        <v>7299</v>
      </c>
      <c r="G74" s="187">
        <v>7407</v>
      </c>
      <c r="H74" s="187">
        <v>7705</v>
      </c>
      <c r="I74" s="187">
        <v>8069</v>
      </c>
      <c r="J74" s="188">
        <v>9000</v>
      </c>
      <c r="K74" s="79">
        <v>1</v>
      </c>
      <c r="L74" s="69">
        <v>1</v>
      </c>
      <c r="M74" s="69">
        <v>1</v>
      </c>
      <c r="N74" s="69">
        <v>1</v>
      </c>
      <c r="O74" s="69">
        <v>1</v>
      </c>
      <c r="P74" s="134">
        <v>1</v>
      </c>
      <c r="Q74" s="396" t="s">
        <v>1951</v>
      </c>
      <c r="R74" s="72" t="s">
        <v>1951</v>
      </c>
      <c r="S74" s="4488"/>
    </row>
    <row r="75" spans="1:19" ht="39.6">
      <c r="A75" s="4998"/>
      <c r="B75" s="3415" t="s">
        <v>845</v>
      </c>
      <c r="C75" s="1659" t="s">
        <v>846</v>
      </c>
      <c r="D75" s="495" t="s">
        <v>784</v>
      </c>
      <c r="E75" s="334">
        <v>11120</v>
      </c>
      <c r="F75" s="187">
        <v>22792</v>
      </c>
      <c r="G75" s="187">
        <v>27900</v>
      </c>
      <c r="H75" s="187">
        <v>33698</v>
      </c>
      <c r="I75" s="187">
        <v>39862</v>
      </c>
      <c r="J75" s="188">
        <v>47793</v>
      </c>
      <c r="K75" s="79">
        <v>1</v>
      </c>
      <c r="L75" s="69">
        <v>1</v>
      </c>
      <c r="M75" s="69">
        <v>1</v>
      </c>
      <c r="N75" s="69">
        <v>1</v>
      </c>
      <c r="O75" s="69">
        <v>1</v>
      </c>
      <c r="P75" s="134">
        <v>1</v>
      </c>
      <c r="Q75" s="396" t="s">
        <v>1951</v>
      </c>
      <c r="R75" s="72" t="s">
        <v>1951</v>
      </c>
      <c r="S75" s="4488"/>
    </row>
    <row r="76" spans="1:19" ht="26.4">
      <c r="A76" s="4998"/>
      <c r="B76" s="3415"/>
      <c r="C76" s="1659" t="s">
        <v>903</v>
      </c>
      <c r="D76" s="495" t="s">
        <v>784</v>
      </c>
      <c r="E76" s="334">
        <v>27</v>
      </c>
      <c r="F76" s="187">
        <v>33</v>
      </c>
      <c r="G76" s="187">
        <v>33</v>
      </c>
      <c r="H76" s="187">
        <v>33</v>
      </c>
      <c r="I76" s="187">
        <v>33</v>
      </c>
      <c r="J76" s="187">
        <v>33</v>
      </c>
      <c r="K76" s="79">
        <v>1</v>
      </c>
      <c r="L76" s="69">
        <v>1</v>
      </c>
      <c r="M76" s="69">
        <v>1</v>
      </c>
      <c r="N76" s="69">
        <v>1</v>
      </c>
      <c r="O76" s="69">
        <v>1</v>
      </c>
      <c r="P76" s="134">
        <v>1</v>
      </c>
      <c r="Q76" s="396" t="s">
        <v>1950</v>
      </c>
      <c r="R76" s="72" t="s">
        <v>1950</v>
      </c>
      <c r="S76" s="4488"/>
    </row>
    <row r="77" spans="1:19" ht="27" thickBot="1">
      <c r="A77" s="4999"/>
      <c r="B77" s="1693"/>
      <c r="C77" s="1663" t="s">
        <v>904</v>
      </c>
      <c r="D77" s="3725" t="s">
        <v>784</v>
      </c>
      <c r="E77" s="336">
        <v>0</v>
      </c>
      <c r="F77" s="190">
        <v>0</v>
      </c>
      <c r="G77" s="190">
        <v>0</v>
      </c>
      <c r="H77" s="190">
        <v>0</v>
      </c>
      <c r="I77" s="190">
        <v>0</v>
      </c>
      <c r="J77" s="191">
        <v>0</v>
      </c>
      <c r="K77" s="80">
        <v>1</v>
      </c>
      <c r="L77" s="73">
        <v>1</v>
      </c>
      <c r="M77" s="73">
        <v>1</v>
      </c>
      <c r="N77" s="73">
        <v>1</v>
      </c>
      <c r="O77" s="73">
        <v>1</v>
      </c>
      <c r="P77" s="135">
        <v>1</v>
      </c>
      <c r="Q77" s="603" t="s">
        <v>1950</v>
      </c>
      <c r="R77" s="74" t="s">
        <v>1950</v>
      </c>
      <c r="S77" s="4488"/>
    </row>
    <row r="78" spans="1:19" ht="15" customHeight="1">
      <c r="A78" s="4995" t="s">
        <v>869</v>
      </c>
      <c r="B78" s="3416" t="s">
        <v>46</v>
      </c>
      <c r="C78" s="1669" t="s">
        <v>827</v>
      </c>
      <c r="D78" s="497" t="s">
        <v>812</v>
      </c>
      <c r="E78" s="342">
        <v>7.8159999999999998</v>
      </c>
      <c r="F78" s="192">
        <v>8.3000000000000007</v>
      </c>
      <c r="G78" s="192">
        <v>9.4</v>
      </c>
      <c r="H78" s="192">
        <v>10.5</v>
      </c>
      <c r="I78" s="192">
        <v>11.6</v>
      </c>
      <c r="J78" s="193">
        <v>12.8</v>
      </c>
      <c r="K78" s="131">
        <v>1</v>
      </c>
      <c r="L78" s="128">
        <v>1</v>
      </c>
      <c r="M78" s="128">
        <v>1</v>
      </c>
      <c r="N78" s="128">
        <v>1</v>
      </c>
      <c r="O78" s="128">
        <v>1</v>
      </c>
      <c r="P78" s="129">
        <v>1</v>
      </c>
      <c r="Q78" s="128" t="s">
        <v>1945</v>
      </c>
      <c r="R78" s="129" t="s">
        <v>1945</v>
      </c>
      <c r="S78" s="4488"/>
    </row>
    <row r="79" spans="1:19" ht="53.4" thickBot="1">
      <c r="A79" s="4996"/>
      <c r="B79" s="3414" t="s">
        <v>837</v>
      </c>
      <c r="C79" s="1663" t="s">
        <v>868</v>
      </c>
      <c r="D79" s="496" t="s">
        <v>812</v>
      </c>
      <c r="E79" s="336">
        <v>92.971999999999994</v>
      </c>
      <c r="F79" s="190">
        <v>94</v>
      </c>
      <c r="G79" s="190">
        <v>94.3</v>
      </c>
      <c r="H79" s="190">
        <v>94.7</v>
      </c>
      <c r="I79" s="190">
        <v>95</v>
      </c>
      <c r="J79" s="191">
        <v>95.1</v>
      </c>
      <c r="K79" s="80">
        <v>1</v>
      </c>
      <c r="L79" s="73">
        <v>1</v>
      </c>
      <c r="M79" s="73">
        <v>1</v>
      </c>
      <c r="N79" s="73">
        <v>1</v>
      </c>
      <c r="O79" s="73">
        <v>1</v>
      </c>
      <c r="P79" s="74">
        <v>1</v>
      </c>
      <c r="Q79" s="77" t="s">
        <v>1952</v>
      </c>
      <c r="R79" s="74" t="s">
        <v>1952</v>
      </c>
      <c r="S79" s="4488"/>
    </row>
    <row r="80" spans="1:19" ht="39.6">
      <c r="A80" s="4994" t="s">
        <v>870</v>
      </c>
      <c r="B80" s="1667" t="s">
        <v>40</v>
      </c>
      <c r="C80" s="1657" t="s">
        <v>824</v>
      </c>
      <c r="D80" s="494" t="s">
        <v>348</v>
      </c>
      <c r="E80" s="343">
        <f>'6. Ел.Енергия'!C18</f>
        <v>7755187</v>
      </c>
      <c r="F80" s="291">
        <f>'6. Ел.Енергия'!D18</f>
        <v>7676000</v>
      </c>
      <c r="G80" s="291">
        <f>'6. Ел.Енергия'!E18</f>
        <v>7556000</v>
      </c>
      <c r="H80" s="291">
        <f>'6. Ел.Енергия'!F18</f>
        <v>7397000</v>
      </c>
      <c r="I80" s="291">
        <f>'6. Ел.Енергия'!G18</f>
        <v>7165000</v>
      </c>
      <c r="J80" s="292">
        <f>'6. Ел.Енергия'!H18</f>
        <v>6853000</v>
      </c>
      <c r="K80" s="78">
        <v>1</v>
      </c>
      <c r="L80" s="75">
        <v>1</v>
      </c>
      <c r="M80" s="75">
        <v>1</v>
      </c>
      <c r="N80" s="75">
        <v>1</v>
      </c>
      <c r="O80" s="75">
        <v>1</v>
      </c>
      <c r="P80" s="71">
        <v>1</v>
      </c>
      <c r="Q80" s="397" t="s">
        <v>1953</v>
      </c>
      <c r="R80" s="71" t="s">
        <v>1953</v>
      </c>
      <c r="S80" s="4488"/>
    </row>
    <row r="81" spans="1:26" ht="40.200000000000003" thickBot="1">
      <c r="A81" s="4996"/>
      <c r="B81" s="1666" t="s">
        <v>42</v>
      </c>
      <c r="C81" s="1663" t="s">
        <v>992</v>
      </c>
      <c r="D81" s="496" t="s">
        <v>348</v>
      </c>
      <c r="E81" s="344">
        <f>'6. Ел.Енергия'!C49</f>
        <v>1713248</v>
      </c>
      <c r="F81" s="293">
        <f>'6. Ел.Енергия'!D49</f>
        <v>1722750.652</v>
      </c>
      <c r="G81" s="293">
        <f>'6. Ел.Енергия'!E49</f>
        <v>1706112.92</v>
      </c>
      <c r="H81" s="293">
        <f>'6. Ел.Енергия'!F49</f>
        <v>1689622.8479999998</v>
      </c>
      <c r="I81" s="293">
        <f>'6. Ел.Енергия'!G49</f>
        <v>1673277.8919999998</v>
      </c>
      <c r="J81" s="294">
        <f>'6. Ел.Енергия'!H49</f>
        <v>1662910.5899999999</v>
      </c>
      <c r="K81" s="80">
        <v>1</v>
      </c>
      <c r="L81" s="77">
        <v>1</v>
      </c>
      <c r="M81" s="77">
        <v>1</v>
      </c>
      <c r="N81" s="77">
        <v>1</v>
      </c>
      <c r="O81" s="77">
        <v>1</v>
      </c>
      <c r="P81" s="74">
        <v>1</v>
      </c>
      <c r="Q81" s="132" t="s">
        <v>1953</v>
      </c>
      <c r="R81" s="129" t="s">
        <v>1953</v>
      </c>
      <c r="S81" s="4488"/>
    </row>
    <row r="82" spans="1:26" ht="53.4" thickBot="1">
      <c r="A82" s="4994" t="s">
        <v>872</v>
      </c>
      <c r="B82" s="1667" t="s">
        <v>44</v>
      </c>
      <c r="C82" s="1657" t="s">
        <v>825</v>
      </c>
      <c r="D82" s="494" t="s">
        <v>595</v>
      </c>
      <c r="E82" s="335">
        <v>223.91</v>
      </c>
      <c r="F82" s="285">
        <f>'7. Утайки от ПСОВ'!F17+'7. Утайки от ПСОВ'!G16</f>
        <v>285</v>
      </c>
      <c r="G82" s="285">
        <f>'7. Утайки от ПСОВ'!G17+'7. Утайки от ПСОВ'!H16</f>
        <v>285</v>
      </c>
      <c r="H82" s="285">
        <f>'7. Утайки от ПСОВ'!H17+'7. Утайки от ПСОВ'!I16</f>
        <v>285</v>
      </c>
      <c r="I82" s="285">
        <f>'7. Утайки от ПСОВ'!I17+'7. Утайки от ПСОВ'!J16</f>
        <v>285</v>
      </c>
      <c r="J82" s="286">
        <f>'7. Утайки от ПСОВ'!J17+'7. Утайки от ПСОВ'!K16</f>
        <v>285</v>
      </c>
      <c r="K82" s="78">
        <v>1</v>
      </c>
      <c r="L82" s="70">
        <v>1</v>
      </c>
      <c r="M82" s="70">
        <v>1</v>
      </c>
      <c r="N82" s="70">
        <v>1</v>
      </c>
      <c r="O82" s="70">
        <v>1</v>
      </c>
      <c r="P82" s="71">
        <v>1</v>
      </c>
      <c r="Q82" s="70" t="s">
        <v>1954</v>
      </c>
      <c r="R82" s="71" t="s">
        <v>1954</v>
      </c>
      <c r="S82" s="4488"/>
      <c r="T82" s="5008" t="s">
        <v>746</v>
      </c>
      <c r="U82" s="5008" t="s">
        <v>922</v>
      </c>
      <c r="V82" s="5008"/>
      <c r="W82" s="5008"/>
      <c r="X82" s="5008"/>
      <c r="Y82" s="5008"/>
      <c r="Z82" s="5008"/>
    </row>
    <row r="83" spans="1:26" ht="40.200000000000003" thickBot="1">
      <c r="A83" s="4996"/>
      <c r="B83" s="1666" t="s">
        <v>45</v>
      </c>
      <c r="C83" s="1663" t="s">
        <v>835</v>
      </c>
      <c r="D83" s="496" t="s">
        <v>595</v>
      </c>
      <c r="E83" s="336">
        <v>228.69</v>
      </c>
      <c r="F83" s="287">
        <f>'7. Утайки от ПСОВ'!F12</f>
        <v>290</v>
      </c>
      <c r="G83" s="287">
        <f>'7. Утайки от ПСОВ'!G12</f>
        <v>290</v>
      </c>
      <c r="H83" s="287">
        <f>'7. Утайки от ПСОВ'!H12</f>
        <v>290</v>
      </c>
      <c r="I83" s="287">
        <f>'7. Утайки от ПСОВ'!I12</f>
        <v>290</v>
      </c>
      <c r="J83" s="288">
        <f>'7. Утайки от ПСОВ'!J12</f>
        <v>290</v>
      </c>
      <c r="K83" s="80">
        <v>1</v>
      </c>
      <c r="L83" s="73">
        <v>1</v>
      </c>
      <c r="M83" s="73">
        <v>1</v>
      </c>
      <c r="N83" s="73">
        <v>1</v>
      </c>
      <c r="O83" s="73">
        <v>1</v>
      </c>
      <c r="P83" s="74">
        <v>1</v>
      </c>
      <c r="Q83" s="73" t="s">
        <v>1954</v>
      </c>
      <c r="R83" s="74" t="s">
        <v>1954</v>
      </c>
      <c r="S83" s="4488"/>
      <c r="T83" s="5008"/>
      <c r="U83" s="4490" t="str">
        <f>'Приложение '!$C$12</f>
        <v>2024 г.</v>
      </c>
      <c r="V83" s="4490" t="str">
        <f>'Приложение '!$C$14</f>
        <v>2027 г.</v>
      </c>
      <c r="W83" s="4490" t="str">
        <f>'Приложение '!$C$15</f>
        <v>2028 г.</v>
      </c>
      <c r="X83" s="4490" t="str">
        <f>'Приложение '!$C$16</f>
        <v>2029 г.</v>
      </c>
      <c r="Y83" s="4490" t="str">
        <f>'Приложение '!$C$17</f>
        <v>2030 г.</v>
      </c>
      <c r="Z83" s="4490" t="str">
        <f>'Приложение '!$C$18</f>
        <v>2031 г.</v>
      </c>
    </row>
    <row r="84" spans="1:26" ht="27" thickBot="1">
      <c r="A84" s="4994" t="s">
        <v>873</v>
      </c>
      <c r="B84" s="1667" t="s">
        <v>48</v>
      </c>
      <c r="C84" s="1657" t="s">
        <v>829</v>
      </c>
      <c r="D84" s="494" t="s">
        <v>828</v>
      </c>
      <c r="E84" s="334">
        <v>10575332.799699999</v>
      </c>
      <c r="F84" s="285">
        <f>'16. Необходими приходи'!D11*1000</f>
        <v>13979111.03008835</v>
      </c>
      <c r="G84" s="285">
        <f>'16. Необходими приходи'!E11*1000</f>
        <v>15063576.900616921</v>
      </c>
      <c r="H84" s="285">
        <f>'16. Необходими приходи'!F11*1000</f>
        <v>16235279.021118764</v>
      </c>
      <c r="I84" s="285">
        <f>'16. Необходими приходи'!G11*1000</f>
        <v>17578904.287528712</v>
      </c>
      <c r="J84" s="286">
        <f>'16. Необходими приходи'!H11*1000</f>
        <v>19040906.673464973</v>
      </c>
      <c r="K84" s="78">
        <v>1</v>
      </c>
      <c r="L84" s="70">
        <v>1</v>
      </c>
      <c r="M84" s="70">
        <v>1</v>
      </c>
      <c r="N84" s="70">
        <v>1</v>
      </c>
      <c r="O84" s="70">
        <v>1</v>
      </c>
      <c r="P84" s="71">
        <v>1</v>
      </c>
      <c r="Q84" s="397" t="s">
        <v>1946</v>
      </c>
      <c r="R84" s="71" t="s">
        <v>1946</v>
      </c>
      <c r="S84" s="4488"/>
      <c r="T84" s="4491" t="s">
        <v>1871</v>
      </c>
      <c r="U84" s="4493">
        <f>IFERROR(E84/$C$1,0)</f>
        <v>5407081.8014346845</v>
      </c>
      <c r="V84" s="4493">
        <f t="shared" ref="V84:V92" si="10">IFERROR(F84/$C$1,0)</f>
        <v>7147405.9760246798</v>
      </c>
      <c r="W84" s="4493">
        <f t="shared" ref="W84:W92" si="11">IFERROR(G84/$C$1,0)</f>
        <v>7701884.5710603278</v>
      </c>
      <c r="X84" s="4493">
        <f t="shared" ref="X84:X92" si="12">IFERROR(H84/$C$1,0)</f>
        <v>8300966.3524533138</v>
      </c>
      <c r="Y84" s="4493">
        <f t="shared" ref="Y84:Y92" si="13">IFERROR(I84/$C$1,0)</f>
        <v>8987951.0425388254</v>
      </c>
      <c r="Z84" s="4493">
        <f t="shared" ref="Z84:Z92" si="14">IFERROR(J84/$C$1,0)</f>
        <v>9735460.9927575365</v>
      </c>
    </row>
    <row r="85" spans="1:26" ht="27" thickBot="1">
      <c r="A85" s="4995"/>
      <c r="B85" s="1665" t="s">
        <v>49</v>
      </c>
      <c r="C85" s="1659" t="s">
        <v>830</v>
      </c>
      <c r="D85" s="495" t="s">
        <v>828</v>
      </c>
      <c r="E85" s="338">
        <f>'12. Разходи'!C88*1000</f>
        <v>10111741.710707957</v>
      </c>
      <c r="F85" s="289">
        <f>'12. Разходи'!D88*1000</f>
        <v>13156606.403515611</v>
      </c>
      <c r="G85" s="289">
        <f>'12. Разходи'!E88*1000</f>
        <v>14216279.881309692</v>
      </c>
      <c r="H85" s="289">
        <f>'12. Разходи'!F88*1000</f>
        <v>15356712.012403028</v>
      </c>
      <c r="I85" s="289">
        <f>'12. Разходи'!G88*1000</f>
        <v>16663644.871407112</v>
      </c>
      <c r="J85" s="290">
        <f>'12. Разходи'!H88*1000</f>
        <v>18090444.511418324</v>
      </c>
      <c r="K85" s="79">
        <v>1</v>
      </c>
      <c r="L85" s="69">
        <v>1</v>
      </c>
      <c r="M85" s="69">
        <v>1</v>
      </c>
      <c r="N85" s="69">
        <v>1</v>
      </c>
      <c r="O85" s="69">
        <v>1</v>
      </c>
      <c r="P85" s="72">
        <v>1</v>
      </c>
      <c r="Q85" s="396" t="s">
        <v>1946</v>
      </c>
      <c r="R85" s="72" t="s">
        <v>1946</v>
      </c>
      <c r="S85" s="4488"/>
      <c r="T85" s="4491" t="s">
        <v>1871</v>
      </c>
      <c r="U85" s="4493">
        <f t="shared" ref="U85:U91" si="15">IFERROR(E85/$C$1,0)</f>
        <v>5170051.4414381403</v>
      </c>
      <c r="V85" s="4493">
        <f t="shared" si="10"/>
        <v>6726866.0382117108</v>
      </c>
      <c r="W85" s="4493">
        <f t="shared" si="11"/>
        <v>7268668.4841267858</v>
      </c>
      <c r="X85" s="4493">
        <f t="shared" si="12"/>
        <v>7851762.1738101104</v>
      </c>
      <c r="Y85" s="4493">
        <f t="shared" si="13"/>
        <v>8519986.3338874616</v>
      </c>
      <c r="Z85" s="4493">
        <f t="shared" si="14"/>
        <v>9249497.4059188813</v>
      </c>
    </row>
    <row r="86" spans="1:26" ht="27" thickBot="1">
      <c r="A86" s="4995"/>
      <c r="B86" s="1665" t="s">
        <v>51</v>
      </c>
      <c r="C86" s="1659" t="s">
        <v>831</v>
      </c>
      <c r="D86" s="495" t="s">
        <v>828</v>
      </c>
      <c r="E86" s="334">
        <v>288788.41002299997</v>
      </c>
      <c r="F86" s="289">
        <f>'16. Необходими приходи'!D17*1000</f>
        <v>576698.38607560587</v>
      </c>
      <c r="G86" s="289">
        <f>'16. Необходими приходи'!E17*1000</f>
        <v>634318.90302574018</v>
      </c>
      <c r="H86" s="289">
        <f>'16. Необходими приходи'!F17*1000</f>
        <v>697082.02544083563</v>
      </c>
      <c r="I86" s="289">
        <f>'16. Необходими приходи'!G17*1000</f>
        <v>770472.74664914759</v>
      </c>
      <c r="J86" s="290">
        <f>'16. Необходими приходи'!H17*1000</f>
        <v>847759.88662486663</v>
      </c>
      <c r="K86" s="79">
        <v>1</v>
      </c>
      <c r="L86" s="69">
        <v>1</v>
      </c>
      <c r="M86" s="69">
        <v>1</v>
      </c>
      <c r="N86" s="69">
        <v>1</v>
      </c>
      <c r="O86" s="69">
        <v>1</v>
      </c>
      <c r="P86" s="72">
        <v>1</v>
      </c>
      <c r="Q86" s="396" t="s">
        <v>1946</v>
      </c>
      <c r="R86" s="72" t="s">
        <v>1946</v>
      </c>
      <c r="S86" s="4488"/>
      <c r="T86" s="4491" t="s">
        <v>1871</v>
      </c>
      <c r="U86" s="4493">
        <f t="shared" si="15"/>
        <v>147655.16942832453</v>
      </c>
      <c r="V86" s="4493">
        <f t="shared" si="10"/>
        <v>294861.20269941963</v>
      </c>
      <c r="W86" s="4493">
        <f t="shared" si="11"/>
        <v>324322.10520635237</v>
      </c>
      <c r="X86" s="4493">
        <f t="shared" si="12"/>
        <v>356412.38013571507</v>
      </c>
      <c r="Y86" s="4493">
        <f t="shared" si="13"/>
        <v>393936.46004466014</v>
      </c>
      <c r="Z86" s="4493">
        <f t="shared" si="14"/>
        <v>433452.74723512097</v>
      </c>
    </row>
    <row r="87" spans="1:26" ht="27" thickBot="1">
      <c r="A87" s="4995"/>
      <c r="B87" s="1665" t="s">
        <v>52</v>
      </c>
      <c r="C87" s="1659" t="s">
        <v>832</v>
      </c>
      <c r="D87" s="495" t="s">
        <v>828</v>
      </c>
      <c r="E87" s="338">
        <f>'12. Разходи'!K88*1000</f>
        <v>296282.68639938056</v>
      </c>
      <c r="F87" s="289">
        <f>'12. Разходи'!L88*1000</f>
        <v>526970.21263788023</v>
      </c>
      <c r="G87" s="289">
        <f>'12. Разходи'!M88*1000</f>
        <v>580901.03584563092</v>
      </c>
      <c r="H87" s="289">
        <f>'12. Разходи'!N88*1000</f>
        <v>639380.16930271627</v>
      </c>
      <c r="I87" s="289">
        <f>'12. Разходи'!O88*1000</f>
        <v>708475.51570131152</v>
      </c>
      <c r="J87" s="290">
        <f>'12. Разходи'!P88*1000</f>
        <v>781801.55724618747</v>
      </c>
      <c r="K87" s="79">
        <v>1</v>
      </c>
      <c r="L87" s="69">
        <v>1</v>
      </c>
      <c r="M87" s="69">
        <v>1</v>
      </c>
      <c r="N87" s="69">
        <v>1</v>
      </c>
      <c r="O87" s="69">
        <v>1</v>
      </c>
      <c r="P87" s="72">
        <v>1</v>
      </c>
      <c r="Q87" s="396" t="s">
        <v>1946</v>
      </c>
      <c r="R87" s="72" t="s">
        <v>1946</v>
      </c>
      <c r="S87" s="4488"/>
      <c r="T87" s="4491" t="s">
        <v>1871</v>
      </c>
      <c r="U87" s="4493">
        <f t="shared" si="15"/>
        <v>151486.93209500855</v>
      </c>
      <c r="V87" s="4493">
        <f t="shared" si="10"/>
        <v>269435.59135399305</v>
      </c>
      <c r="W87" s="4493">
        <f t="shared" si="11"/>
        <v>297009.9834063446</v>
      </c>
      <c r="X87" s="4493">
        <f t="shared" si="12"/>
        <v>326909.88956234249</v>
      </c>
      <c r="Y87" s="4493">
        <f t="shared" si="13"/>
        <v>362237.7792043846</v>
      </c>
      <c r="Z87" s="4493">
        <f t="shared" si="14"/>
        <v>399728.78892653628</v>
      </c>
    </row>
    <row r="88" spans="1:26" ht="27" thickBot="1">
      <c r="A88" s="4995"/>
      <c r="B88" s="1665" t="s">
        <v>54</v>
      </c>
      <c r="C88" s="1659" t="s">
        <v>833</v>
      </c>
      <c r="D88" s="495" t="s">
        <v>828</v>
      </c>
      <c r="E88" s="334">
        <v>2205475.0599260004</v>
      </c>
      <c r="F88" s="289">
        <f>'16. Необходими приходи'!D25*1000</f>
        <v>3037219.5139856464</v>
      </c>
      <c r="G88" s="289">
        <f>'16. Необходими приходи'!E25*1000</f>
        <v>3316596.5320507959</v>
      </c>
      <c r="H88" s="289">
        <f>'16. Необходими приходи'!F25*1000</f>
        <v>3624298.5298867431</v>
      </c>
      <c r="I88" s="289">
        <f>'16. Необходими приходи'!G25*1000</f>
        <v>3972337.0020050183</v>
      </c>
      <c r="J88" s="290">
        <f>'16. Необходими приходи'!H25*1000</f>
        <v>4365082.6192406416</v>
      </c>
      <c r="K88" s="79">
        <v>1</v>
      </c>
      <c r="L88" s="69">
        <v>1</v>
      </c>
      <c r="M88" s="69">
        <v>1</v>
      </c>
      <c r="N88" s="69">
        <v>1</v>
      </c>
      <c r="O88" s="69">
        <v>1</v>
      </c>
      <c r="P88" s="72">
        <v>1</v>
      </c>
      <c r="Q88" s="396" t="s">
        <v>1946</v>
      </c>
      <c r="R88" s="72" t="s">
        <v>1946</v>
      </c>
      <c r="S88" s="4488"/>
      <c r="T88" s="4491" t="s">
        <v>1871</v>
      </c>
      <c r="U88" s="4493">
        <f t="shared" si="15"/>
        <v>1127641.4923209075</v>
      </c>
      <c r="V88" s="4493">
        <f t="shared" si="10"/>
        <v>1552905.6789115856</v>
      </c>
      <c r="W88" s="4493">
        <f t="shared" si="11"/>
        <v>1695748.8800411057</v>
      </c>
      <c r="X88" s="4493">
        <f t="shared" si="12"/>
        <v>1853074.4133624821</v>
      </c>
      <c r="Y88" s="4493">
        <f t="shared" si="13"/>
        <v>2031023.6585004926</v>
      </c>
      <c r="Z88" s="4493">
        <f t="shared" si="14"/>
        <v>2231831.3039684645</v>
      </c>
    </row>
    <row r="89" spans="1:26" ht="27" thickBot="1">
      <c r="A89" s="4995"/>
      <c r="B89" s="1665" t="s">
        <v>55</v>
      </c>
      <c r="C89" s="1659" t="s">
        <v>834</v>
      </c>
      <c r="D89" s="495" t="s">
        <v>828</v>
      </c>
      <c r="E89" s="338">
        <f>'12. Разходи'!S88*1000</f>
        <v>2048119.9194792144</v>
      </c>
      <c r="F89" s="289">
        <f>'12. Разходи'!T88*1000</f>
        <v>2937664.0781596852</v>
      </c>
      <c r="G89" s="289">
        <f>'12. Разходи'!U88*1000</f>
        <v>3212081.9780416167</v>
      </c>
      <c r="H89" s="289">
        <f>'12. Разходи'!V88*1000</f>
        <v>3513668.3358754255</v>
      </c>
      <c r="I89" s="289">
        <f>'12. Разходи'!W88*1000</f>
        <v>3854909.9102170393</v>
      </c>
      <c r="J89" s="290">
        <f>'12. Разходи'!X88*1000</f>
        <v>4240694.9508577213</v>
      </c>
      <c r="K89" s="79">
        <v>1</v>
      </c>
      <c r="L89" s="69">
        <v>1</v>
      </c>
      <c r="M89" s="69">
        <v>1</v>
      </c>
      <c r="N89" s="69">
        <v>1</v>
      </c>
      <c r="O89" s="69">
        <v>1</v>
      </c>
      <c r="P89" s="72">
        <v>1</v>
      </c>
      <c r="Q89" s="396" t="s">
        <v>1946</v>
      </c>
      <c r="R89" s="72" t="s">
        <v>1946</v>
      </c>
      <c r="S89" s="4488"/>
      <c r="T89" s="4491" t="s">
        <v>1871</v>
      </c>
      <c r="U89" s="4493">
        <f t="shared" si="15"/>
        <v>1047187.0865459751</v>
      </c>
      <c r="V89" s="4493">
        <f t="shared" si="10"/>
        <v>1502003.7928448205</v>
      </c>
      <c r="W89" s="4493">
        <f t="shared" si="11"/>
        <v>1642311.4371093689</v>
      </c>
      <c r="X89" s="4493">
        <f t="shared" si="12"/>
        <v>1796510.0933493327</v>
      </c>
      <c r="Y89" s="4493">
        <f t="shared" si="13"/>
        <v>1970984.1398368157</v>
      </c>
      <c r="Z89" s="4493">
        <f t="shared" si="14"/>
        <v>2168232.8990033497</v>
      </c>
    </row>
    <row r="90" spans="1:26" ht="40.200000000000003" thickBot="1">
      <c r="A90" s="4995"/>
      <c r="B90" s="1665" t="s">
        <v>56</v>
      </c>
      <c r="C90" s="1694" t="s">
        <v>840</v>
      </c>
      <c r="D90" s="495" t="s">
        <v>838</v>
      </c>
      <c r="E90" s="919">
        <f>(('14. ОПР'!B10*1.2)+'14. ОПР'!B11)*1000</f>
        <v>18880340.361978795</v>
      </c>
      <c r="F90" s="1660">
        <f>(('14. ОПР'!C10*1.2)+'14. ОПР'!C11)*1000</f>
        <v>24842032.246628519</v>
      </c>
      <c r="G90" s="1661">
        <f>(('14. ОПР'!D10*1.2)+'14. ОПР'!D11)*1000</f>
        <v>26625649.575508196</v>
      </c>
      <c r="H90" s="1661">
        <f>(('14. ОПР'!E10*1.2)+'14. ОПР'!E11)*1000</f>
        <v>28764443.262373142</v>
      </c>
      <c r="I90" s="1661">
        <f>(('14. ОПР'!F10*1.2)+'14. ОПР'!F11)*1000</f>
        <v>31241190.239498276</v>
      </c>
      <c r="J90" s="1662">
        <f>(('14. ОПР'!G10*1.2)+'14. ОПР'!G11)*1000</f>
        <v>33924358.296167769</v>
      </c>
      <c r="K90" s="79">
        <v>1</v>
      </c>
      <c r="L90" s="69">
        <v>1</v>
      </c>
      <c r="M90" s="69">
        <v>1</v>
      </c>
      <c r="N90" s="69">
        <v>1</v>
      </c>
      <c r="O90" s="69">
        <v>1</v>
      </c>
      <c r="P90" s="72">
        <v>1</v>
      </c>
      <c r="Q90" s="396" t="s">
        <v>1946</v>
      </c>
      <c r="R90" s="72" t="s">
        <v>1946</v>
      </c>
      <c r="S90" s="4488"/>
      <c r="T90" s="4492" t="s">
        <v>1872</v>
      </c>
      <c r="U90" s="4493">
        <f t="shared" si="15"/>
        <v>9653364.7413010318</v>
      </c>
      <c r="V90" s="4493">
        <f t="shared" si="10"/>
        <v>12701529.400115818</v>
      </c>
      <c r="W90" s="4493">
        <f t="shared" si="11"/>
        <v>13613478.459532881</v>
      </c>
      <c r="X90" s="4493">
        <f t="shared" si="12"/>
        <v>14707026.307180656</v>
      </c>
      <c r="Y90" s="4493">
        <f t="shared" si="13"/>
        <v>15973366.928362014</v>
      </c>
      <c r="Z90" s="4493">
        <f t="shared" si="14"/>
        <v>17345248.971622162</v>
      </c>
    </row>
    <row r="91" spans="1:26" ht="40.200000000000003" thickBot="1">
      <c r="A91" s="4995"/>
      <c r="B91" s="1665" t="s">
        <v>57</v>
      </c>
      <c r="C91" s="1659" t="s">
        <v>841</v>
      </c>
      <c r="D91" s="495" t="s">
        <v>838</v>
      </c>
      <c r="E91" s="334">
        <v>2397374.42</v>
      </c>
      <c r="F91" s="189">
        <v>2980260.1280600135</v>
      </c>
      <c r="G91" s="189">
        <v>3018999.7263158504</v>
      </c>
      <c r="H91" s="189">
        <v>3126797.3640344739</v>
      </c>
      <c r="I91" s="189">
        <v>3176325.625850758</v>
      </c>
      <c r="J91" s="189">
        <v>3071161.7534195906</v>
      </c>
      <c r="K91" s="79">
        <v>1</v>
      </c>
      <c r="L91" s="69">
        <v>1</v>
      </c>
      <c r="M91" s="69">
        <v>1</v>
      </c>
      <c r="N91" s="69">
        <v>1</v>
      </c>
      <c r="O91" s="69">
        <v>1</v>
      </c>
      <c r="P91" s="72">
        <v>1</v>
      </c>
      <c r="Q91" s="396" t="s">
        <v>1946</v>
      </c>
      <c r="R91" s="72" t="s">
        <v>1946</v>
      </c>
      <c r="S91" s="4488"/>
      <c r="T91" s="4492" t="s">
        <v>1872</v>
      </c>
      <c r="U91" s="4493">
        <f t="shared" si="15"/>
        <v>1225758.0771334933</v>
      </c>
      <c r="V91" s="4493">
        <f t="shared" si="10"/>
        <v>1523782.8073298873</v>
      </c>
      <c r="W91" s="4493">
        <f t="shared" si="11"/>
        <v>1543590.0493989</v>
      </c>
      <c r="X91" s="4493">
        <f t="shared" si="12"/>
        <v>1598706.1063765634</v>
      </c>
      <c r="Y91" s="4493">
        <f t="shared" si="13"/>
        <v>1624029.50453299</v>
      </c>
      <c r="Z91" s="4493">
        <f t="shared" si="14"/>
        <v>1570260.0703637793</v>
      </c>
    </row>
    <row r="92" spans="1:26" ht="40.200000000000003" thickBot="1">
      <c r="A92" s="4996"/>
      <c r="B92" s="1666" t="s">
        <v>58</v>
      </c>
      <c r="C92" s="1663" t="s">
        <v>842</v>
      </c>
      <c r="D92" s="496" t="s">
        <v>838</v>
      </c>
      <c r="E92" s="336">
        <v>2150151.2800000003</v>
      </c>
      <c r="F92" s="196">
        <v>2800000</v>
      </c>
      <c r="G92" s="196">
        <v>2980260.1280600135</v>
      </c>
      <c r="H92" s="196">
        <v>3018999.7263158504</v>
      </c>
      <c r="I92" s="196">
        <v>3126797.3640344739</v>
      </c>
      <c r="J92" s="196">
        <v>3176325.625850758</v>
      </c>
      <c r="K92" s="80">
        <v>1</v>
      </c>
      <c r="L92" s="73">
        <v>1</v>
      </c>
      <c r="M92" s="73">
        <v>1</v>
      </c>
      <c r="N92" s="73">
        <v>1</v>
      </c>
      <c r="O92" s="73">
        <v>1</v>
      </c>
      <c r="P92" s="74">
        <v>1</v>
      </c>
      <c r="Q92" s="603" t="s">
        <v>1946</v>
      </c>
      <c r="R92" s="74" t="s">
        <v>1946</v>
      </c>
      <c r="S92" s="4488"/>
      <c r="T92" s="4492" t="s">
        <v>1872</v>
      </c>
      <c r="U92" s="4493">
        <f>IFERROR(E92/$C$1,0)</f>
        <v>1099354.8928076574</v>
      </c>
      <c r="V92" s="4493">
        <f t="shared" si="10"/>
        <v>1431617.2673494117</v>
      </c>
      <c r="W92" s="4493">
        <f t="shared" si="11"/>
        <v>1523782.8073298873</v>
      </c>
      <c r="X92" s="4493">
        <f t="shared" si="12"/>
        <v>1543590.0493989</v>
      </c>
      <c r="Y92" s="4493">
        <f t="shared" si="13"/>
        <v>1598706.1063765634</v>
      </c>
      <c r="Z92" s="4493">
        <f t="shared" si="14"/>
        <v>1624029.50453299</v>
      </c>
    </row>
    <row r="93" spans="1:26" ht="26.4">
      <c r="A93" s="4994" t="s">
        <v>875</v>
      </c>
      <c r="B93" s="1671" t="s">
        <v>59</v>
      </c>
      <c r="C93" s="1672" t="s">
        <v>897</v>
      </c>
      <c r="D93" s="494" t="s">
        <v>784</v>
      </c>
      <c r="E93" s="3758">
        <f>SUM(E94:E96)</f>
        <v>55</v>
      </c>
      <c r="F93" s="3759">
        <f t="shared" ref="F93:J93" si="16">SUM(F94:F96)</f>
        <v>78</v>
      </c>
      <c r="G93" s="3759">
        <f t="shared" si="16"/>
        <v>76</v>
      </c>
      <c r="H93" s="3759">
        <f t="shared" si="16"/>
        <v>74</v>
      </c>
      <c r="I93" s="3759">
        <f t="shared" si="16"/>
        <v>69</v>
      </c>
      <c r="J93" s="3760">
        <f t="shared" si="16"/>
        <v>71</v>
      </c>
      <c r="K93" s="78">
        <v>1</v>
      </c>
      <c r="L93" s="70">
        <v>1</v>
      </c>
      <c r="M93" s="70">
        <v>1</v>
      </c>
      <c r="N93" s="70">
        <v>1</v>
      </c>
      <c r="O93" s="70">
        <v>1</v>
      </c>
      <c r="P93" s="71">
        <v>1</v>
      </c>
      <c r="Q93" s="397" t="s">
        <v>1947</v>
      </c>
      <c r="R93" s="71" t="s">
        <v>1947</v>
      </c>
      <c r="S93" s="4488"/>
    </row>
    <row r="94" spans="1:26" ht="26.4">
      <c r="A94" s="4995"/>
      <c r="B94" s="1665" t="s">
        <v>60</v>
      </c>
      <c r="C94" s="1659" t="s">
        <v>896</v>
      </c>
      <c r="D94" s="495" t="s">
        <v>784</v>
      </c>
      <c r="E94" s="334">
        <v>43</v>
      </c>
      <c r="F94" s="187">
        <v>61</v>
      </c>
      <c r="G94" s="187">
        <v>56</v>
      </c>
      <c r="H94" s="187">
        <v>58</v>
      </c>
      <c r="I94" s="187">
        <v>53</v>
      </c>
      <c r="J94" s="188">
        <v>59</v>
      </c>
      <c r="K94" s="79">
        <v>1</v>
      </c>
      <c r="L94" s="69">
        <v>1</v>
      </c>
      <c r="M94" s="69">
        <v>1</v>
      </c>
      <c r="N94" s="69">
        <v>1</v>
      </c>
      <c r="O94" s="69">
        <v>1</v>
      </c>
      <c r="P94" s="72">
        <v>1</v>
      </c>
      <c r="Q94" s="396" t="s">
        <v>1947</v>
      </c>
      <c r="R94" s="72" t="s">
        <v>1947</v>
      </c>
      <c r="S94" s="4488"/>
    </row>
    <row r="95" spans="1:26" ht="26.4">
      <c r="A95" s="4995"/>
      <c r="B95" s="1665" t="s">
        <v>61</v>
      </c>
      <c r="C95" s="1659" t="s">
        <v>895</v>
      </c>
      <c r="D95" s="495" t="s">
        <v>784</v>
      </c>
      <c r="E95" s="334">
        <v>1</v>
      </c>
      <c r="F95" s="187">
        <v>0</v>
      </c>
      <c r="G95" s="187">
        <v>2</v>
      </c>
      <c r="H95" s="187">
        <v>0</v>
      </c>
      <c r="I95" s="187">
        <v>2</v>
      </c>
      <c r="J95" s="188">
        <v>0</v>
      </c>
      <c r="K95" s="79">
        <v>1</v>
      </c>
      <c r="L95" s="69">
        <v>1</v>
      </c>
      <c r="M95" s="69">
        <v>1</v>
      </c>
      <c r="N95" s="69">
        <v>1</v>
      </c>
      <c r="O95" s="69">
        <v>1</v>
      </c>
      <c r="P95" s="72">
        <v>1</v>
      </c>
      <c r="Q95" s="396" t="s">
        <v>1947</v>
      </c>
      <c r="R95" s="72" t="s">
        <v>1947</v>
      </c>
      <c r="S95" s="4488"/>
    </row>
    <row r="96" spans="1:26" ht="40.200000000000003" thickBot="1">
      <c r="A96" s="4996"/>
      <c r="B96" s="1666" t="s">
        <v>62</v>
      </c>
      <c r="C96" s="1663" t="s">
        <v>894</v>
      </c>
      <c r="D96" s="496" t="s">
        <v>784</v>
      </c>
      <c r="E96" s="336">
        <v>11</v>
      </c>
      <c r="F96" s="190">
        <v>17</v>
      </c>
      <c r="G96" s="190">
        <v>18</v>
      </c>
      <c r="H96" s="190">
        <v>16</v>
      </c>
      <c r="I96" s="190">
        <v>14</v>
      </c>
      <c r="J96" s="191">
        <v>12</v>
      </c>
      <c r="K96" s="80">
        <v>1</v>
      </c>
      <c r="L96" s="73">
        <v>1</v>
      </c>
      <c r="M96" s="73">
        <v>1</v>
      </c>
      <c r="N96" s="73">
        <v>1</v>
      </c>
      <c r="O96" s="73">
        <v>1</v>
      </c>
      <c r="P96" s="74">
        <v>1</v>
      </c>
      <c r="Q96" s="603" t="s">
        <v>1947</v>
      </c>
      <c r="R96" s="74" t="s">
        <v>1947</v>
      </c>
      <c r="S96" s="4488"/>
    </row>
    <row r="97" spans="1:19" ht="26.4">
      <c r="A97" s="4994" t="s">
        <v>874</v>
      </c>
      <c r="B97" s="1671" t="s">
        <v>63</v>
      </c>
      <c r="C97" s="1672" t="s">
        <v>993</v>
      </c>
      <c r="D97" s="494" t="s">
        <v>784</v>
      </c>
      <c r="E97" s="3758">
        <f t="shared" ref="E97:J97" si="17">E98+E103+E108</f>
        <v>56</v>
      </c>
      <c r="F97" s="3759">
        <f t="shared" si="17"/>
        <v>78</v>
      </c>
      <c r="G97" s="3759">
        <f t="shared" si="17"/>
        <v>76</v>
      </c>
      <c r="H97" s="3759">
        <f t="shared" si="17"/>
        <v>74</v>
      </c>
      <c r="I97" s="3759">
        <f t="shared" si="17"/>
        <v>69</v>
      </c>
      <c r="J97" s="3760">
        <f t="shared" si="17"/>
        <v>71</v>
      </c>
      <c r="K97" s="78">
        <v>1</v>
      </c>
      <c r="L97" s="70">
        <v>1</v>
      </c>
      <c r="M97" s="70">
        <v>1</v>
      </c>
      <c r="N97" s="70">
        <v>1</v>
      </c>
      <c r="O97" s="70">
        <v>1</v>
      </c>
      <c r="P97" s="71">
        <v>1</v>
      </c>
      <c r="Q97" s="397" t="s">
        <v>1947</v>
      </c>
      <c r="R97" s="71" t="s">
        <v>1947</v>
      </c>
      <c r="S97" s="4488"/>
    </row>
    <row r="98" spans="1:19" ht="26.4">
      <c r="A98" s="4995"/>
      <c r="B98" s="1695" t="s">
        <v>64</v>
      </c>
      <c r="C98" s="1696" t="s">
        <v>892</v>
      </c>
      <c r="D98" s="495" t="s">
        <v>784</v>
      </c>
      <c r="E98" s="3761">
        <f>SUM(E99:E102)</f>
        <v>44</v>
      </c>
      <c r="F98" s="3762">
        <f t="shared" ref="F98:J98" si="18">SUM(F99:F102)</f>
        <v>61</v>
      </c>
      <c r="G98" s="3762">
        <f t="shared" si="18"/>
        <v>56</v>
      </c>
      <c r="H98" s="3762">
        <f t="shared" si="18"/>
        <v>58</v>
      </c>
      <c r="I98" s="3762">
        <f t="shared" si="18"/>
        <v>53</v>
      </c>
      <c r="J98" s="3763">
        <f t="shared" si="18"/>
        <v>59</v>
      </c>
      <c r="K98" s="79">
        <v>1</v>
      </c>
      <c r="L98" s="69">
        <v>1</v>
      </c>
      <c r="M98" s="69">
        <v>1</v>
      </c>
      <c r="N98" s="69">
        <v>1</v>
      </c>
      <c r="O98" s="69">
        <v>1</v>
      </c>
      <c r="P98" s="72">
        <v>1</v>
      </c>
      <c r="Q98" s="396" t="s">
        <v>1947</v>
      </c>
      <c r="R98" s="72" t="s">
        <v>1947</v>
      </c>
      <c r="S98" s="4488"/>
    </row>
    <row r="99" spans="1:19" ht="26.4">
      <c r="A99" s="4995"/>
      <c r="B99" s="1665" t="s">
        <v>31</v>
      </c>
      <c r="C99" s="1697" t="s">
        <v>893</v>
      </c>
      <c r="D99" s="495" t="s">
        <v>784</v>
      </c>
      <c r="E99" s="334">
        <v>1</v>
      </c>
      <c r="F99" s="187">
        <v>1</v>
      </c>
      <c r="G99" s="187">
        <v>2</v>
      </c>
      <c r="H99" s="187">
        <v>2</v>
      </c>
      <c r="I99" s="187">
        <v>1</v>
      </c>
      <c r="J99" s="188">
        <v>2</v>
      </c>
      <c r="K99" s="79">
        <v>1</v>
      </c>
      <c r="L99" s="69">
        <v>1</v>
      </c>
      <c r="M99" s="69">
        <v>1</v>
      </c>
      <c r="N99" s="69">
        <v>1</v>
      </c>
      <c r="O99" s="69">
        <v>1</v>
      </c>
      <c r="P99" s="72">
        <v>1</v>
      </c>
      <c r="Q99" s="396" t="s">
        <v>1947</v>
      </c>
      <c r="R99" s="72" t="s">
        <v>1947</v>
      </c>
      <c r="S99" s="4488"/>
    </row>
    <row r="100" spans="1:19" ht="26.4">
      <c r="A100" s="4995"/>
      <c r="B100" s="1665" t="s">
        <v>65</v>
      </c>
      <c r="C100" s="1659" t="s">
        <v>891</v>
      </c>
      <c r="D100" s="495" t="s">
        <v>784</v>
      </c>
      <c r="E100" s="334">
        <v>20</v>
      </c>
      <c r="F100" s="187">
        <v>33</v>
      </c>
      <c r="G100" s="187">
        <v>30</v>
      </c>
      <c r="H100" s="187">
        <v>33</v>
      </c>
      <c r="I100" s="187">
        <v>29</v>
      </c>
      <c r="J100" s="188">
        <v>31</v>
      </c>
      <c r="K100" s="79">
        <v>1</v>
      </c>
      <c r="L100" s="69">
        <v>1</v>
      </c>
      <c r="M100" s="69">
        <v>1</v>
      </c>
      <c r="N100" s="69">
        <v>1</v>
      </c>
      <c r="O100" s="69">
        <v>1</v>
      </c>
      <c r="P100" s="72">
        <v>1</v>
      </c>
      <c r="Q100" s="396" t="s">
        <v>1947</v>
      </c>
      <c r="R100" s="72" t="s">
        <v>1947</v>
      </c>
      <c r="S100" s="4488"/>
    </row>
    <row r="101" spans="1:19" ht="26.4">
      <c r="A101" s="4995"/>
      <c r="B101" s="1665" t="s">
        <v>66</v>
      </c>
      <c r="C101" s="1659" t="s">
        <v>994</v>
      </c>
      <c r="D101" s="495" t="s">
        <v>784</v>
      </c>
      <c r="E101" s="334">
        <v>0</v>
      </c>
      <c r="F101" s="187">
        <v>1</v>
      </c>
      <c r="G101" s="187">
        <v>0</v>
      </c>
      <c r="H101" s="187">
        <v>1</v>
      </c>
      <c r="I101" s="187">
        <v>0</v>
      </c>
      <c r="J101" s="188">
        <v>1</v>
      </c>
      <c r="K101" s="79">
        <v>1</v>
      </c>
      <c r="L101" s="69">
        <v>1</v>
      </c>
      <c r="M101" s="69">
        <v>1</v>
      </c>
      <c r="N101" s="69">
        <v>1</v>
      </c>
      <c r="O101" s="69">
        <v>1</v>
      </c>
      <c r="P101" s="72">
        <v>1</v>
      </c>
      <c r="Q101" s="396" t="s">
        <v>1947</v>
      </c>
      <c r="R101" s="72" t="s">
        <v>1947</v>
      </c>
      <c r="S101" s="4488"/>
    </row>
    <row r="102" spans="1:19" ht="26.4">
      <c r="A102" s="4995"/>
      <c r="B102" s="1665" t="s">
        <v>67</v>
      </c>
      <c r="C102" s="1659" t="s">
        <v>890</v>
      </c>
      <c r="D102" s="495" t="s">
        <v>784</v>
      </c>
      <c r="E102" s="334">
        <v>23</v>
      </c>
      <c r="F102" s="187">
        <v>26</v>
      </c>
      <c r="G102" s="187">
        <v>24</v>
      </c>
      <c r="H102" s="187">
        <v>22</v>
      </c>
      <c r="I102" s="187">
        <v>23</v>
      </c>
      <c r="J102" s="188">
        <v>25</v>
      </c>
      <c r="K102" s="79">
        <v>1</v>
      </c>
      <c r="L102" s="69">
        <v>1</v>
      </c>
      <c r="M102" s="69">
        <v>1</v>
      </c>
      <c r="N102" s="69">
        <v>1</v>
      </c>
      <c r="O102" s="69">
        <v>1</v>
      </c>
      <c r="P102" s="72">
        <v>1</v>
      </c>
      <c r="Q102" s="396" t="s">
        <v>1947</v>
      </c>
      <c r="R102" s="72" t="s">
        <v>1947</v>
      </c>
      <c r="S102" s="4488"/>
    </row>
    <row r="103" spans="1:19" ht="39.6">
      <c r="A103" s="4995"/>
      <c r="B103" s="1695" t="s">
        <v>68</v>
      </c>
      <c r="C103" s="1696" t="s">
        <v>889</v>
      </c>
      <c r="D103" s="495" t="s">
        <v>784</v>
      </c>
      <c r="E103" s="3761">
        <f>SUM(E104:E107)</f>
        <v>1</v>
      </c>
      <c r="F103" s="3762">
        <f t="shared" ref="F103:J103" si="19">SUM(F104:F107)</f>
        <v>0</v>
      </c>
      <c r="G103" s="3762">
        <f t="shared" si="19"/>
        <v>2</v>
      </c>
      <c r="H103" s="3762">
        <f t="shared" si="19"/>
        <v>0</v>
      </c>
      <c r="I103" s="3762">
        <f t="shared" si="19"/>
        <v>2</v>
      </c>
      <c r="J103" s="3763">
        <f t="shared" si="19"/>
        <v>0</v>
      </c>
      <c r="K103" s="79">
        <v>1</v>
      </c>
      <c r="L103" s="69">
        <v>1</v>
      </c>
      <c r="M103" s="69">
        <v>1</v>
      </c>
      <c r="N103" s="69">
        <v>1</v>
      </c>
      <c r="O103" s="69">
        <v>1</v>
      </c>
      <c r="P103" s="72">
        <v>1</v>
      </c>
      <c r="Q103" s="396" t="s">
        <v>1947</v>
      </c>
      <c r="R103" s="72" t="s">
        <v>1947</v>
      </c>
      <c r="S103" s="4488"/>
    </row>
    <row r="104" spans="1:19" ht="26.4">
      <c r="A104" s="4995"/>
      <c r="B104" s="1665" t="s">
        <v>69</v>
      </c>
      <c r="C104" s="1659" t="s">
        <v>888</v>
      </c>
      <c r="D104" s="495" t="s">
        <v>784</v>
      </c>
      <c r="E104" s="334">
        <v>1</v>
      </c>
      <c r="F104" s="187">
        <v>0</v>
      </c>
      <c r="G104" s="187">
        <v>1</v>
      </c>
      <c r="H104" s="187">
        <v>0</v>
      </c>
      <c r="I104" s="187">
        <v>1</v>
      </c>
      <c r="J104" s="188">
        <v>0</v>
      </c>
      <c r="K104" s="79">
        <v>1</v>
      </c>
      <c r="L104" s="69">
        <v>1</v>
      </c>
      <c r="M104" s="69">
        <v>1</v>
      </c>
      <c r="N104" s="69">
        <v>1</v>
      </c>
      <c r="O104" s="69">
        <v>1</v>
      </c>
      <c r="P104" s="72">
        <v>1</v>
      </c>
      <c r="Q104" s="396" t="s">
        <v>1947</v>
      </c>
      <c r="R104" s="72" t="s">
        <v>1947</v>
      </c>
      <c r="S104" s="4488"/>
    </row>
    <row r="105" spans="1:19" ht="26.4">
      <c r="A105" s="4995"/>
      <c r="B105" s="1665" t="s">
        <v>70</v>
      </c>
      <c r="C105" s="1659" t="s">
        <v>887</v>
      </c>
      <c r="D105" s="495" t="s">
        <v>784</v>
      </c>
      <c r="E105" s="334">
        <v>0</v>
      </c>
      <c r="F105" s="187">
        <v>0</v>
      </c>
      <c r="G105" s="187">
        <v>1</v>
      </c>
      <c r="H105" s="187">
        <v>0</v>
      </c>
      <c r="I105" s="187">
        <v>1</v>
      </c>
      <c r="J105" s="188">
        <v>0</v>
      </c>
      <c r="K105" s="79">
        <v>1</v>
      </c>
      <c r="L105" s="69">
        <v>1</v>
      </c>
      <c r="M105" s="69">
        <v>1</v>
      </c>
      <c r="N105" s="69">
        <v>1</v>
      </c>
      <c r="O105" s="69">
        <v>1</v>
      </c>
      <c r="P105" s="72">
        <v>1</v>
      </c>
      <c r="Q105" s="396" t="s">
        <v>1947</v>
      </c>
      <c r="R105" s="72" t="s">
        <v>1947</v>
      </c>
      <c r="S105" s="4488"/>
    </row>
    <row r="106" spans="1:19" ht="26.4">
      <c r="A106" s="4995"/>
      <c r="B106" s="1665" t="s">
        <v>71</v>
      </c>
      <c r="C106" s="1659" t="s">
        <v>886</v>
      </c>
      <c r="D106" s="495" t="s">
        <v>784</v>
      </c>
      <c r="E106" s="334">
        <v>0</v>
      </c>
      <c r="F106" s="187">
        <v>0</v>
      </c>
      <c r="G106" s="187">
        <v>0</v>
      </c>
      <c r="H106" s="187">
        <v>0</v>
      </c>
      <c r="I106" s="187">
        <v>0</v>
      </c>
      <c r="J106" s="188">
        <v>0</v>
      </c>
      <c r="K106" s="79">
        <v>1</v>
      </c>
      <c r="L106" s="69">
        <v>1</v>
      </c>
      <c r="M106" s="69">
        <v>1</v>
      </c>
      <c r="N106" s="69">
        <v>1</v>
      </c>
      <c r="O106" s="69">
        <v>1</v>
      </c>
      <c r="P106" s="72">
        <v>1</v>
      </c>
      <c r="Q106" s="396" t="s">
        <v>1947</v>
      </c>
      <c r="R106" s="72" t="s">
        <v>1947</v>
      </c>
      <c r="S106" s="4488"/>
    </row>
    <row r="107" spans="1:19" ht="26.4">
      <c r="A107" s="4995"/>
      <c r="B107" s="1665" t="s">
        <v>72</v>
      </c>
      <c r="C107" s="1659" t="s">
        <v>885</v>
      </c>
      <c r="D107" s="495" t="s">
        <v>784</v>
      </c>
      <c r="E107" s="334">
        <v>0</v>
      </c>
      <c r="F107" s="187">
        <v>0</v>
      </c>
      <c r="G107" s="187">
        <v>0</v>
      </c>
      <c r="H107" s="187">
        <v>0</v>
      </c>
      <c r="I107" s="187">
        <v>0</v>
      </c>
      <c r="J107" s="188">
        <v>0</v>
      </c>
      <c r="K107" s="79">
        <v>1</v>
      </c>
      <c r="L107" s="69">
        <v>1</v>
      </c>
      <c r="M107" s="69">
        <v>1</v>
      </c>
      <c r="N107" s="69">
        <v>1</v>
      </c>
      <c r="O107" s="69">
        <v>1</v>
      </c>
      <c r="P107" s="72">
        <v>1</v>
      </c>
      <c r="Q107" s="396" t="s">
        <v>1947</v>
      </c>
      <c r="R107" s="72" t="s">
        <v>1947</v>
      </c>
      <c r="S107" s="4488"/>
    </row>
    <row r="108" spans="1:19" ht="53.4" thickBot="1">
      <c r="A108" s="4996"/>
      <c r="B108" s="1698" t="s">
        <v>73</v>
      </c>
      <c r="C108" s="1699" t="s">
        <v>884</v>
      </c>
      <c r="D108" s="496" t="s">
        <v>784</v>
      </c>
      <c r="E108" s="336">
        <v>11</v>
      </c>
      <c r="F108" s="190">
        <v>17</v>
      </c>
      <c r="G108" s="190">
        <v>18</v>
      </c>
      <c r="H108" s="190">
        <v>16</v>
      </c>
      <c r="I108" s="190">
        <v>14</v>
      </c>
      <c r="J108" s="191">
        <v>12</v>
      </c>
      <c r="K108" s="80">
        <v>1</v>
      </c>
      <c r="L108" s="73">
        <v>1</v>
      </c>
      <c r="M108" s="73">
        <v>1</v>
      </c>
      <c r="N108" s="73">
        <v>1</v>
      </c>
      <c r="O108" s="73">
        <v>1</v>
      </c>
      <c r="P108" s="74">
        <v>1</v>
      </c>
      <c r="Q108" s="603" t="s">
        <v>1947</v>
      </c>
      <c r="R108" s="74" t="s">
        <v>1947</v>
      </c>
      <c r="S108" s="4488"/>
    </row>
    <row r="109" spans="1:19" ht="52.8">
      <c r="A109" s="4994" t="s">
        <v>876</v>
      </c>
      <c r="B109" s="3412" t="s">
        <v>74</v>
      </c>
      <c r="C109" s="1657" t="s">
        <v>881</v>
      </c>
      <c r="D109" s="494" t="s">
        <v>784</v>
      </c>
      <c r="E109" s="335">
        <v>61</v>
      </c>
      <c r="F109" s="185">
        <v>51</v>
      </c>
      <c r="G109" s="185">
        <v>54</v>
      </c>
      <c r="H109" s="185">
        <v>57</v>
      </c>
      <c r="I109" s="185">
        <v>58</v>
      </c>
      <c r="J109" s="186">
        <v>61</v>
      </c>
      <c r="K109" s="78">
        <v>1</v>
      </c>
      <c r="L109" s="70">
        <v>1</v>
      </c>
      <c r="M109" s="70">
        <v>1</v>
      </c>
      <c r="N109" s="70">
        <v>1</v>
      </c>
      <c r="O109" s="70">
        <v>1</v>
      </c>
      <c r="P109" s="71">
        <v>1</v>
      </c>
      <c r="Q109" s="397" t="s">
        <v>1948</v>
      </c>
      <c r="R109" s="71" t="s">
        <v>1948</v>
      </c>
      <c r="S109" s="4488"/>
    </row>
    <row r="110" spans="1:19" ht="52.8">
      <c r="A110" s="4995"/>
      <c r="B110" s="3413" t="s">
        <v>75</v>
      </c>
      <c r="C110" s="1659" t="s">
        <v>882</v>
      </c>
      <c r="D110" s="495" t="s">
        <v>784</v>
      </c>
      <c r="E110" s="334">
        <v>61</v>
      </c>
      <c r="F110" s="187">
        <v>51</v>
      </c>
      <c r="G110" s="187">
        <v>54</v>
      </c>
      <c r="H110" s="187">
        <v>57</v>
      </c>
      <c r="I110" s="187">
        <v>58</v>
      </c>
      <c r="J110" s="188">
        <v>61</v>
      </c>
      <c r="K110" s="79">
        <v>1</v>
      </c>
      <c r="L110" s="69">
        <v>1</v>
      </c>
      <c r="M110" s="69">
        <v>1</v>
      </c>
      <c r="N110" s="69">
        <v>1</v>
      </c>
      <c r="O110" s="69">
        <v>1</v>
      </c>
      <c r="P110" s="72">
        <v>1</v>
      </c>
      <c r="Q110" s="396" t="s">
        <v>1948</v>
      </c>
      <c r="R110" s="72" t="s">
        <v>1948</v>
      </c>
      <c r="S110" s="4488"/>
    </row>
    <row r="111" spans="1:19" ht="52.8">
      <c r="A111" s="4995"/>
      <c r="B111" s="3413" t="s">
        <v>76</v>
      </c>
      <c r="C111" s="1659" t="s">
        <v>883</v>
      </c>
      <c r="D111" s="495" t="s">
        <v>784</v>
      </c>
      <c r="E111" s="334">
        <v>5</v>
      </c>
      <c r="F111" s="187">
        <v>4</v>
      </c>
      <c r="G111" s="187">
        <v>4</v>
      </c>
      <c r="H111" s="187">
        <v>4</v>
      </c>
      <c r="I111" s="187">
        <v>4</v>
      </c>
      <c r="J111" s="188">
        <v>4</v>
      </c>
      <c r="K111" s="79">
        <v>1</v>
      </c>
      <c r="L111" s="69">
        <v>1</v>
      </c>
      <c r="M111" s="69">
        <v>1</v>
      </c>
      <c r="N111" s="69">
        <v>1</v>
      </c>
      <c r="O111" s="69">
        <v>1</v>
      </c>
      <c r="P111" s="72">
        <v>1</v>
      </c>
      <c r="Q111" s="396" t="s">
        <v>1948</v>
      </c>
      <c r="R111" s="72" t="s">
        <v>1948</v>
      </c>
      <c r="S111" s="4488"/>
    </row>
    <row r="112" spans="1:19" ht="53.4" thickBot="1">
      <c r="A112" s="4996"/>
      <c r="B112" s="3414" t="s">
        <v>77</v>
      </c>
      <c r="C112" s="1663" t="s">
        <v>880</v>
      </c>
      <c r="D112" s="496" t="s">
        <v>784</v>
      </c>
      <c r="E112" s="336">
        <v>5</v>
      </c>
      <c r="F112" s="190">
        <v>4</v>
      </c>
      <c r="G112" s="190">
        <v>4</v>
      </c>
      <c r="H112" s="190">
        <v>4</v>
      </c>
      <c r="I112" s="190">
        <v>4</v>
      </c>
      <c r="J112" s="191">
        <v>4</v>
      </c>
      <c r="K112" s="80">
        <v>1</v>
      </c>
      <c r="L112" s="73">
        <v>1</v>
      </c>
      <c r="M112" s="73">
        <v>1</v>
      </c>
      <c r="N112" s="73">
        <v>1</v>
      </c>
      <c r="O112" s="73">
        <v>1</v>
      </c>
      <c r="P112" s="74">
        <v>1</v>
      </c>
      <c r="Q112" s="603" t="s">
        <v>1948</v>
      </c>
      <c r="R112" s="74" t="s">
        <v>1948</v>
      </c>
      <c r="S112" s="4488"/>
    </row>
    <row r="113" spans="1:19" ht="52.8">
      <c r="A113" s="4994" t="s">
        <v>877</v>
      </c>
      <c r="B113" s="3412" t="s">
        <v>78</v>
      </c>
      <c r="C113" s="1657" t="s">
        <v>878</v>
      </c>
      <c r="D113" s="494" t="s">
        <v>784</v>
      </c>
      <c r="E113" s="343">
        <f>'5. Персонал'!C14+'5. Персонал'!U14+'5. Персонал'!AA14</f>
        <v>277.21000000000004</v>
      </c>
      <c r="F113" s="291">
        <f>'5. Персонал'!D14+'5. Персонал'!V14+'5. Персонал'!AB14</f>
        <v>282.86677481893707</v>
      </c>
      <c r="G113" s="291">
        <f>'5. Персонал'!E14+'5. Персонал'!W14+'5. Персонал'!AC14</f>
        <v>279.71819982684463</v>
      </c>
      <c r="H113" s="291">
        <f>'5. Персонал'!F14+'5. Персонал'!X14+'5. Персонал'!AD14</f>
        <v>277.48359506684983</v>
      </c>
      <c r="I113" s="291">
        <f>'5. Персонал'!G14+'5. Персонал'!Y14+'5. Персонал'!AE14</f>
        <v>275.25174055438032</v>
      </c>
      <c r="J113" s="292">
        <f>'5. Персонал'!H14+'5. Персонал'!Z14+'5. Персонал'!AF14</f>
        <v>273.02271029386793</v>
      </c>
      <c r="K113" s="78">
        <v>1</v>
      </c>
      <c r="L113" s="70">
        <v>1</v>
      </c>
      <c r="M113" s="70">
        <v>1</v>
      </c>
      <c r="N113" s="70">
        <v>1</v>
      </c>
      <c r="O113" s="70">
        <v>1</v>
      </c>
      <c r="P113" s="71">
        <v>1</v>
      </c>
      <c r="Q113" s="397" t="s">
        <v>1949</v>
      </c>
      <c r="R113" s="71" t="s">
        <v>1949</v>
      </c>
      <c r="S113" s="4488"/>
    </row>
    <row r="114" spans="1:19" ht="53.4" thickBot="1">
      <c r="A114" s="4996"/>
      <c r="B114" s="3414" t="s">
        <v>80</v>
      </c>
      <c r="C114" s="1663" t="s">
        <v>879</v>
      </c>
      <c r="D114" s="496" t="s">
        <v>784</v>
      </c>
      <c r="E114" s="345">
        <f>'5. Персонал'!I14+'5. Персонал'!O14</f>
        <v>54.3</v>
      </c>
      <c r="F114" s="287">
        <f>'5. Персонал'!J14+'5. Персонал'!P14</f>
        <v>68.011642125315362</v>
      </c>
      <c r="G114" s="287">
        <f>'5. Персонал'!K14+'5. Персонал'!Q14</f>
        <v>66.967126892016609</v>
      </c>
      <c r="H114" s="287">
        <f>'5. Персонал'!L14+'5. Персонал'!R14</f>
        <v>65.919921891927885</v>
      </c>
      <c r="I114" s="287">
        <f>'5. Персонал'!M14+'5. Персонал'!S14</f>
        <v>64.869956498230138</v>
      </c>
      <c r="J114" s="288">
        <f>'5. Персонал'!N14+'5. Персонал'!T14</f>
        <v>63.817156406287054</v>
      </c>
      <c r="K114" s="80">
        <v>1</v>
      </c>
      <c r="L114" s="73">
        <v>1</v>
      </c>
      <c r="M114" s="73">
        <v>1</v>
      </c>
      <c r="N114" s="73">
        <v>1</v>
      </c>
      <c r="O114" s="73">
        <v>1</v>
      </c>
      <c r="P114" s="74">
        <v>1</v>
      </c>
      <c r="Q114" s="603" t="s">
        <v>1949</v>
      </c>
      <c r="R114" s="74" t="s">
        <v>1949</v>
      </c>
      <c r="S114" s="4488"/>
    </row>
    <row r="115" spans="1:19" s="3764" customFormat="1" ht="18.75" customHeight="1" thickBot="1">
      <c r="A115" s="5000" t="s">
        <v>1107</v>
      </c>
      <c r="B115" s="5001"/>
      <c r="C115" s="5001"/>
      <c r="D115" s="5001"/>
      <c r="E115" s="5001"/>
      <c r="F115" s="5001"/>
      <c r="G115" s="5001"/>
      <c r="H115" s="5001"/>
      <c r="I115" s="5001"/>
      <c r="J115" s="5001"/>
      <c r="K115" s="5001"/>
      <c r="L115" s="5001"/>
      <c r="M115" s="5001"/>
      <c r="N115" s="5001"/>
      <c r="O115" s="5001"/>
      <c r="P115" s="5001"/>
      <c r="Q115" s="5001"/>
      <c r="R115" s="5002"/>
      <c r="S115" s="4489"/>
    </row>
    <row r="116" spans="1:19" s="3764" customFormat="1" ht="27" thickBot="1">
      <c r="A116" s="1700" t="s">
        <v>852</v>
      </c>
      <c r="B116" s="1701" t="s">
        <v>32</v>
      </c>
      <c r="C116" s="1702" t="s">
        <v>1108</v>
      </c>
      <c r="D116" s="506" t="s">
        <v>784</v>
      </c>
      <c r="E116" s="335"/>
      <c r="F116" s="185"/>
      <c r="G116" s="185"/>
      <c r="H116" s="185"/>
      <c r="I116" s="185"/>
      <c r="J116" s="186"/>
      <c r="K116" s="78"/>
      <c r="L116" s="70"/>
      <c r="M116" s="70"/>
      <c r="N116" s="70"/>
      <c r="O116" s="70"/>
      <c r="P116" s="71"/>
      <c r="Q116" s="75"/>
      <c r="R116" s="71"/>
      <c r="S116" s="4489"/>
    </row>
    <row r="117" spans="1:19" s="3764" customFormat="1" ht="40.200000000000003" thickBot="1">
      <c r="A117" s="1700" t="s">
        <v>859</v>
      </c>
      <c r="B117" s="1701"/>
      <c r="C117" s="1702" t="s">
        <v>855</v>
      </c>
      <c r="D117" s="506" t="s">
        <v>784</v>
      </c>
      <c r="E117" s="335"/>
      <c r="F117" s="185"/>
      <c r="G117" s="185"/>
      <c r="H117" s="185"/>
      <c r="I117" s="185"/>
      <c r="J117" s="186"/>
      <c r="K117" s="78"/>
      <c r="L117" s="70"/>
      <c r="M117" s="70"/>
      <c r="N117" s="70"/>
      <c r="O117" s="70"/>
      <c r="P117" s="71"/>
      <c r="Q117" s="75"/>
      <c r="R117" s="71"/>
      <c r="S117" s="4489"/>
    </row>
    <row r="118" spans="1:19" s="3764" customFormat="1" ht="15.6">
      <c r="A118" s="4990" t="s">
        <v>1109</v>
      </c>
      <c r="B118" s="1703"/>
      <c r="C118" s="1704" t="s">
        <v>1006</v>
      </c>
      <c r="D118" s="507" t="s">
        <v>784</v>
      </c>
      <c r="E118" s="449"/>
      <c r="F118" s="450"/>
      <c r="G118" s="450"/>
      <c r="H118" s="450"/>
      <c r="I118" s="450"/>
      <c r="J118" s="451"/>
      <c r="K118" s="449"/>
      <c r="L118" s="450"/>
      <c r="M118" s="450"/>
      <c r="N118" s="450"/>
      <c r="O118" s="450"/>
      <c r="P118" s="451"/>
      <c r="Q118" s="450"/>
      <c r="R118" s="451"/>
      <c r="S118" s="4489"/>
    </row>
    <row r="119" spans="1:19" s="3764" customFormat="1" ht="15.6">
      <c r="A119" s="5003"/>
      <c r="B119" s="1705"/>
      <c r="C119" s="1706" t="s">
        <v>901</v>
      </c>
      <c r="D119" s="508" t="s">
        <v>784</v>
      </c>
      <c r="E119" s="452"/>
      <c r="F119" s="453"/>
      <c r="G119" s="453"/>
      <c r="H119" s="453"/>
      <c r="I119" s="453"/>
      <c r="J119" s="454"/>
      <c r="K119" s="452"/>
      <c r="L119" s="453"/>
      <c r="M119" s="453"/>
      <c r="N119" s="453"/>
      <c r="O119" s="453"/>
      <c r="P119" s="454"/>
      <c r="Q119" s="453"/>
      <c r="R119" s="454"/>
      <c r="S119" s="4489"/>
    </row>
    <row r="120" spans="1:19" s="3764" customFormat="1" ht="15.6">
      <c r="A120" s="5003"/>
      <c r="B120" s="1705"/>
      <c r="C120" s="1706" t="s">
        <v>862</v>
      </c>
      <c r="D120" s="508" t="s">
        <v>784</v>
      </c>
      <c r="E120" s="455"/>
      <c r="F120" s="456"/>
      <c r="G120" s="456"/>
      <c r="H120" s="456"/>
      <c r="I120" s="456"/>
      <c r="J120" s="457"/>
      <c r="K120" s="455"/>
      <c r="L120" s="456"/>
      <c r="M120" s="456"/>
      <c r="N120" s="456"/>
      <c r="O120" s="456"/>
      <c r="P120" s="457"/>
      <c r="Q120" s="456"/>
      <c r="R120" s="457"/>
      <c r="S120" s="4489"/>
    </row>
    <row r="121" spans="1:19" s="3764" customFormat="1" ht="15.6">
      <c r="A121" s="5003"/>
      <c r="B121" s="1707"/>
      <c r="C121" s="1706" t="s">
        <v>863</v>
      </c>
      <c r="D121" s="508" t="s">
        <v>784</v>
      </c>
      <c r="E121" s="452"/>
      <c r="F121" s="453"/>
      <c r="G121" s="453"/>
      <c r="H121" s="453"/>
      <c r="I121" s="453"/>
      <c r="J121" s="454"/>
      <c r="K121" s="452"/>
      <c r="L121" s="453"/>
      <c r="M121" s="453"/>
      <c r="N121" s="453"/>
      <c r="O121" s="453"/>
      <c r="P121" s="454"/>
      <c r="Q121" s="453"/>
      <c r="R121" s="454"/>
      <c r="S121" s="4489"/>
    </row>
    <row r="122" spans="1:19" s="3764" customFormat="1" ht="52.8">
      <c r="A122" s="5003"/>
      <c r="B122" s="1708" t="s">
        <v>30</v>
      </c>
      <c r="C122" s="1706" t="s">
        <v>814</v>
      </c>
      <c r="D122" s="508" t="s">
        <v>812</v>
      </c>
      <c r="E122" s="452"/>
      <c r="F122" s="459"/>
      <c r="G122" s="458"/>
      <c r="H122" s="459"/>
      <c r="I122" s="458"/>
      <c r="J122" s="460"/>
      <c r="K122" s="452"/>
      <c r="L122" s="461"/>
      <c r="M122" s="461"/>
      <c r="N122" s="459"/>
      <c r="O122" s="458"/>
      <c r="P122" s="460"/>
      <c r="Q122" s="458"/>
      <c r="R122" s="460"/>
      <c r="S122" s="4489"/>
    </row>
    <row r="123" spans="1:19" s="3764" customFormat="1" ht="92.4">
      <c r="A123" s="5003"/>
      <c r="B123" s="1708" t="s">
        <v>28</v>
      </c>
      <c r="C123" s="1706" t="s">
        <v>1110</v>
      </c>
      <c r="D123" s="508" t="s">
        <v>812</v>
      </c>
      <c r="E123" s="455"/>
      <c r="F123" s="456"/>
      <c r="G123" s="456"/>
      <c r="H123" s="456"/>
      <c r="I123" s="456"/>
      <c r="J123" s="457"/>
      <c r="K123" s="455"/>
      <c r="L123" s="456"/>
      <c r="M123" s="456"/>
      <c r="N123" s="456"/>
      <c r="O123" s="456"/>
      <c r="P123" s="457"/>
      <c r="Q123" s="456"/>
      <c r="R123" s="457"/>
      <c r="S123" s="4489"/>
    </row>
    <row r="124" spans="1:19" s="3764" customFormat="1" ht="15.6">
      <c r="A124" s="5003"/>
      <c r="B124" s="1708" t="s">
        <v>79</v>
      </c>
      <c r="C124" s="1709" t="s">
        <v>899</v>
      </c>
      <c r="D124" s="508" t="s">
        <v>784</v>
      </c>
      <c r="E124" s="452"/>
      <c r="F124" s="453"/>
      <c r="G124" s="453"/>
      <c r="H124" s="453"/>
      <c r="I124" s="453"/>
      <c r="J124" s="454"/>
      <c r="K124" s="452"/>
      <c r="L124" s="453"/>
      <c r="M124" s="453"/>
      <c r="N124" s="453"/>
      <c r="O124" s="453"/>
      <c r="P124" s="454"/>
      <c r="Q124" s="453"/>
      <c r="R124" s="454"/>
      <c r="S124" s="4489"/>
    </row>
    <row r="125" spans="1:19" s="3764" customFormat="1" ht="16.2" thickBot="1">
      <c r="A125" s="4991"/>
      <c r="B125" s="1710" t="s">
        <v>843</v>
      </c>
      <c r="C125" s="1711" t="s">
        <v>844</v>
      </c>
      <c r="D125" s="509" t="s">
        <v>784</v>
      </c>
      <c r="E125" s="452"/>
      <c r="F125" s="453"/>
      <c r="G125" s="453"/>
      <c r="H125" s="453"/>
      <c r="I125" s="453"/>
      <c r="J125" s="454"/>
      <c r="K125" s="452"/>
      <c r="L125" s="453"/>
      <c r="M125" s="453"/>
      <c r="N125" s="453"/>
      <c r="O125" s="453"/>
      <c r="P125" s="454"/>
      <c r="Q125" s="453"/>
      <c r="R125" s="454"/>
      <c r="S125" s="4489"/>
    </row>
    <row r="126" spans="1:19" s="3764" customFormat="1" ht="27" thickBot="1">
      <c r="A126" s="3727" t="s">
        <v>1111</v>
      </c>
      <c r="B126" s="1712" t="s">
        <v>29</v>
      </c>
      <c r="C126" s="1713" t="s">
        <v>813</v>
      </c>
      <c r="D126" s="510" t="s">
        <v>784</v>
      </c>
      <c r="E126" s="462"/>
      <c r="F126" s="464"/>
      <c r="G126" s="465"/>
      <c r="H126" s="466"/>
      <c r="I126" s="464"/>
      <c r="J126" s="467"/>
      <c r="K126" s="462"/>
      <c r="L126" s="464"/>
      <c r="M126" s="465"/>
      <c r="N126" s="466"/>
      <c r="O126" s="464"/>
      <c r="P126" s="467"/>
      <c r="Q126" s="463"/>
      <c r="R126" s="468"/>
      <c r="S126" s="4489"/>
    </row>
    <row r="127" spans="1:19" s="3764" customFormat="1" ht="52.8">
      <c r="A127" s="4990" t="s">
        <v>871</v>
      </c>
      <c r="B127" s="1701" t="s">
        <v>41</v>
      </c>
      <c r="C127" s="1702" t="s">
        <v>809</v>
      </c>
      <c r="D127" s="507" t="s">
        <v>1042</v>
      </c>
      <c r="E127" s="511">
        <f>'4. Отчет и прогн. потребление'!D62</f>
        <v>0</v>
      </c>
      <c r="F127" s="512">
        <f>'4. Отчет и прогн. потребление'!E62</f>
        <v>0</v>
      </c>
      <c r="G127" s="512">
        <f>'4. Отчет и прогн. потребление'!F62</f>
        <v>0</v>
      </c>
      <c r="H127" s="512">
        <f>'4. Отчет и прогн. потребление'!G62</f>
        <v>0</v>
      </c>
      <c r="I127" s="512">
        <f>'4. Отчет и прогн. потребление'!H62</f>
        <v>0</v>
      </c>
      <c r="J127" s="576">
        <f>'4. Отчет и прогн. потребление'!I62</f>
        <v>0</v>
      </c>
      <c r="K127" s="1723"/>
      <c r="L127" s="1724"/>
      <c r="M127" s="1725"/>
      <c r="N127" s="1726"/>
      <c r="O127" s="1724"/>
      <c r="P127" s="1727"/>
      <c r="Q127" s="450"/>
      <c r="R127" s="451"/>
      <c r="S127" s="4489"/>
    </row>
    <row r="128" spans="1:19" s="3764" customFormat="1" ht="52.8">
      <c r="A128" s="5003"/>
      <c r="B128" s="1708" t="s">
        <v>782</v>
      </c>
      <c r="C128" s="1709" t="s">
        <v>811</v>
      </c>
      <c r="D128" s="508" t="s">
        <v>1042</v>
      </c>
      <c r="E128" s="513">
        <f>'4. Отчет и прогн. потребление'!D69</f>
        <v>0</v>
      </c>
      <c r="F128" s="514">
        <f>'4. Отчет и прогн. потребление'!E69</f>
        <v>0</v>
      </c>
      <c r="G128" s="514">
        <f>'4. Отчет и прогн. потребление'!F69</f>
        <v>0</v>
      </c>
      <c r="H128" s="514">
        <f>'4. Отчет и прогн. потребление'!G69</f>
        <v>0</v>
      </c>
      <c r="I128" s="514">
        <f>'4. Отчет и прогн. потребление'!H69</f>
        <v>0</v>
      </c>
      <c r="J128" s="577">
        <f>'4. Отчет и прогн. потребление'!I69</f>
        <v>0</v>
      </c>
      <c r="K128" s="1728"/>
      <c r="L128" s="1729"/>
      <c r="M128" s="1730"/>
      <c r="N128" s="1731"/>
      <c r="O128" s="1729"/>
      <c r="P128" s="1732"/>
      <c r="Q128" s="453"/>
      <c r="R128" s="454"/>
      <c r="S128" s="4489"/>
    </row>
    <row r="129" spans="1:26" s="3764" customFormat="1" ht="53.4" thickBot="1">
      <c r="A129" s="4991"/>
      <c r="B129" s="1708" t="s">
        <v>783</v>
      </c>
      <c r="C129" s="1714" t="s">
        <v>810</v>
      </c>
      <c r="D129" s="509" t="s">
        <v>1042</v>
      </c>
      <c r="E129" s="515">
        <f>'4. Отчет и прогн. потребление'!D88</f>
        <v>0</v>
      </c>
      <c r="F129" s="516">
        <f>'4. Отчет и прогн. потребление'!E88</f>
        <v>0</v>
      </c>
      <c r="G129" s="516">
        <f>'4. Отчет и прогн. потребление'!F88</f>
        <v>0</v>
      </c>
      <c r="H129" s="516">
        <f>'4. Отчет и прогн. потребление'!G88</f>
        <v>0</v>
      </c>
      <c r="I129" s="516">
        <f>'4. Отчет и прогн. потребление'!H88</f>
        <v>0</v>
      </c>
      <c r="J129" s="578">
        <f>'4. Отчет и прогн. потребление'!I88</f>
        <v>0</v>
      </c>
      <c r="K129" s="1733"/>
      <c r="L129" s="1734"/>
      <c r="M129" s="1734"/>
      <c r="N129" s="1734"/>
      <c r="O129" s="1735"/>
      <c r="P129" s="1736"/>
      <c r="Q129" s="453"/>
      <c r="R129" s="454"/>
      <c r="S129" s="4489"/>
    </row>
    <row r="130" spans="1:26" s="3764" customFormat="1" ht="16.2" thickBot="1">
      <c r="A130" s="4990" t="s">
        <v>869</v>
      </c>
      <c r="B130" s="1701" t="s">
        <v>46</v>
      </c>
      <c r="C130" s="1701" t="s">
        <v>827</v>
      </c>
      <c r="D130" s="510" t="s">
        <v>812</v>
      </c>
      <c r="E130" s="868"/>
      <c r="F130" s="469"/>
      <c r="G130" s="471"/>
      <c r="H130" s="472"/>
      <c r="I130" s="470"/>
      <c r="J130" s="473"/>
      <c r="K130" s="451"/>
      <c r="L130" s="475"/>
      <c r="M130" s="450"/>
      <c r="N130" s="450"/>
      <c r="O130" s="476"/>
      <c r="P130" s="477"/>
      <c r="Q130" s="474"/>
      <c r="R130" s="451"/>
      <c r="S130" s="4489"/>
      <c r="T130" s="5008" t="s">
        <v>746</v>
      </c>
      <c r="U130" s="5008" t="s">
        <v>922</v>
      </c>
      <c r="V130" s="5008"/>
      <c r="W130" s="5008"/>
      <c r="X130" s="5008"/>
      <c r="Y130" s="5008"/>
      <c r="Z130" s="5008"/>
    </row>
    <row r="131" spans="1:26" s="3764" customFormat="1" ht="53.25" customHeight="1" thickBot="1">
      <c r="A131" s="4991"/>
      <c r="B131" s="1711" t="s">
        <v>837</v>
      </c>
      <c r="C131" s="1715" t="s">
        <v>868</v>
      </c>
      <c r="D131" s="509" t="s">
        <v>812</v>
      </c>
      <c r="E131" s="517"/>
      <c r="F131" s="478"/>
      <c r="G131" s="479"/>
      <c r="H131" s="480"/>
      <c r="I131" s="478"/>
      <c r="J131" s="481"/>
      <c r="K131" s="481"/>
      <c r="L131" s="483"/>
      <c r="M131" s="478"/>
      <c r="N131" s="478"/>
      <c r="O131" s="484"/>
      <c r="P131" s="485"/>
      <c r="Q131" s="486"/>
      <c r="R131" s="487"/>
      <c r="S131" s="4489"/>
      <c r="T131" s="5008"/>
      <c r="U131" s="4490" t="str">
        <f>'Приложение '!$C$12</f>
        <v>2024 г.</v>
      </c>
      <c r="V131" s="4490" t="str">
        <f>'Приложение '!$C$14</f>
        <v>2027 г.</v>
      </c>
      <c r="W131" s="4490" t="str">
        <f>'Приложение '!$C$15</f>
        <v>2028 г.</v>
      </c>
      <c r="X131" s="4490" t="str">
        <f>'Приложение '!$C$16</f>
        <v>2029 г.</v>
      </c>
      <c r="Y131" s="4490" t="str">
        <f>'Приложение '!$C$17</f>
        <v>2030 г.</v>
      </c>
      <c r="Z131" s="4490" t="str">
        <f>'Приложение '!$C$18</f>
        <v>2031 г.</v>
      </c>
    </row>
    <row r="132" spans="1:26" s="3764" customFormat="1" ht="27" thickBot="1">
      <c r="A132" s="4990" t="s">
        <v>1112</v>
      </c>
      <c r="B132" s="1701" t="s">
        <v>48</v>
      </c>
      <c r="C132" s="1702" t="s">
        <v>829</v>
      </c>
      <c r="D132" s="507" t="s">
        <v>828</v>
      </c>
      <c r="E132" s="342"/>
      <c r="F132" s="285">
        <f>'16. Необходими приходи'!D36*1000</f>
        <v>0</v>
      </c>
      <c r="G132" s="285">
        <f>'16. Необходими приходи'!E36*1000</f>
        <v>0</v>
      </c>
      <c r="H132" s="285">
        <f>'16. Необходими приходи'!F36*1000</f>
        <v>0</v>
      </c>
      <c r="I132" s="285">
        <f>'16. Необходими приходи'!G36*1000</f>
        <v>0</v>
      </c>
      <c r="J132" s="285">
        <f>'16. Необходими приходи'!H36*1000</f>
        <v>0</v>
      </c>
      <c r="K132" s="488"/>
      <c r="L132" s="489"/>
      <c r="M132" s="1737"/>
      <c r="N132" s="490"/>
      <c r="O132" s="490"/>
      <c r="P132" s="491"/>
      <c r="Q132" s="474"/>
      <c r="R132" s="451"/>
      <c r="S132" s="4489"/>
      <c r="T132" s="4491" t="s">
        <v>1871</v>
      </c>
      <c r="U132" s="4493">
        <f>IFERROR(E132/$C$1,0)</f>
        <v>0</v>
      </c>
      <c r="V132" s="4493">
        <f t="shared" ref="V132:V133" si="20">IFERROR(F132/$C$1,0)</f>
        <v>0</v>
      </c>
      <c r="W132" s="4493">
        <f t="shared" ref="W132:W133" si="21">IFERROR(G132/$C$1,0)</f>
        <v>0</v>
      </c>
      <c r="X132" s="4493">
        <f t="shared" ref="X132:X133" si="22">IFERROR(H132/$C$1,0)</f>
        <v>0</v>
      </c>
      <c r="Y132" s="4493">
        <f t="shared" ref="Y132:Y133" si="23">IFERROR(I132/$C$1,0)</f>
        <v>0</v>
      </c>
      <c r="Z132" s="4493">
        <f t="shared" ref="Z132:Z133" si="24">IFERROR(J132/$C$1,0)</f>
        <v>0</v>
      </c>
    </row>
    <row r="133" spans="1:26" s="3764" customFormat="1" ht="27" thickBot="1">
      <c r="A133" s="4991"/>
      <c r="B133" s="1711" t="s">
        <v>49</v>
      </c>
      <c r="C133" s="1715" t="s">
        <v>830</v>
      </c>
      <c r="D133" s="509" t="s">
        <v>828</v>
      </c>
      <c r="E133" s="345">
        <f>'12. Разходи'!AA88*1000</f>
        <v>0</v>
      </c>
      <c r="F133" s="869">
        <f>'12. Разходи'!AB88*1000</f>
        <v>0</v>
      </c>
      <c r="G133" s="287">
        <f>'12. Разходи'!AC88*1000</f>
        <v>0</v>
      </c>
      <c r="H133" s="870">
        <f>'12. Разходи'!AD88*1000</f>
        <v>0</v>
      </c>
      <c r="I133" s="870">
        <f>'12. Разходи'!AE88*1000</f>
        <v>0</v>
      </c>
      <c r="J133" s="288">
        <f>'12. Разходи'!AF88*1000</f>
        <v>0</v>
      </c>
      <c r="K133" s="1391"/>
      <c r="L133" s="1390"/>
      <c r="M133" s="1738"/>
      <c r="N133" s="492"/>
      <c r="O133" s="492"/>
      <c r="P133" s="493"/>
      <c r="Q133" s="482"/>
      <c r="R133" s="487"/>
      <c r="S133" s="4489"/>
      <c r="T133" s="4491" t="s">
        <v>1871</v>
      </c>
      <c r="U133" s="4493">
        <f t="shared" ref="U133" si="25">IFERROR(E133/$C$1,0)</f>
        <v>0</v>
      </c>
      <c r="V133" s="4493">
        <f t="shared" si="20"/>
        <v>0</v>
      </c>
      <c r="W133" s="4493">
        <f t="shared" si="21"/>
        <v>0</v>
      </c>
      <c r="X133" s="4493">
        <f t="shared" si="22"/>
        <v>0</v>
      </c>
      <c r="Y133" s="4493">
        <f t="shared" si="23"/>
        <v>0</v>
      </c>
      <c r="Z133" s="4493">
        <f t="shared" si="24"/>
        <v>0</v>
      </c>
    </row>
    <row r="135" spans="1:26">
      <c r="D135" s="346"/>
    </row>
    <row r="136" spans="1:26">
      <c r="A136" s="1716" t="str">
        <f>'Приложение '!B82</f>
        <v>Дата: 16.03.2026</v>
      </c>
      <c r="C136" s="4980"/>
      <c r="D136" s="4980"/>
      <c r="E136" s="4980"/>
      <c r="J136" s="1717"/>
      <c r="K136" s="3562"/>
    </row>
    <row r="137" spans="1:26" ht="13.8">
      <c r="J137" s="1717"/>
      <c r="K137" s="1718"/>
    </row>
    <row r="138" spans="1:26">
      <c r="D138" s="1720"/>
      <c r="J138" s="1717"/>
      <c r="K138" s="3562"/>
    </row>
    <row r="139" spans="1:26">
      <c r="A139" s="1721" t="s">
        <v>555</v>
      </c>
      <c r="J139" s="1717"/>
      <c r="K139" s="3562"/>
    </row>
    <row r="140" spans="1:26" ht="13.8">
      <c r="A140" s="3021" t="s">
        <v>188</v>
      </c>
      <c r="K140" s="1718"/>
    </row>
    <row r="141" spans="1:26">
      <c r="A141" s="3021" t="s">
        <v>1436</v>
      </c>
      <c r="K141" s="1722"/>
    </row>
    <row r="142" spans="1:26">
      <c r="A142" s="3021" t="str">
        <f>CONCATENATE("3. Източника на информация се посочва спрямо текущото състояние за отчетната ",E8,", и прогнозното състояние за ",J8," в зависимост от планираното качество на информация.")</f>
        <v>3. Източника на информация се посочва спрямо текущото състояние за отчетната 2024 г., и прогнозното състояние за 2031 г. в зависимост от планираното качество на информация.</v>
      </c>
    </row>
    <row r="143" spans="1:26">
      <c r="A143" s="3730" t="s">
        <v>1397</v>
      </c>
    </row>
    <row r="144" spans="1:26" s="3765" customFormat="1" ht="15.6">
      <c r="D144" s="3766"/>
      <c r="E144" s="3767"/>
      <c r="F144" s="3767"/>
      <c r="G144" s="3768"/>
      <c r="H144" s="3767"/>
      <c r="I144" s="3769"/>
      <c r="J144" s="3767"/>
      <c r="K144" s="3767"/>
      <c r="L144" s="3767"/>
      <c r="M144" s="3767"/>
      <c r="N144" s="3767"/>
      <c r="O144" s="3767"/>
      <c r="P144" s="3767"/>
      <c r="Q144" s="3767"/>
      <c r="R144" s="3767"/>
    </row>
    <row r="145" spans="3:18" s="2017" customFormat="1" ht="12">
      <c r="C145" s="3770"/>
      <c r="D145" s="2021"/>
      <c r="E145" s="3771"/>
      <c r="F145" s="2019"/>
      <c r="G145" s="2019"/>
      <c r="H145" s="2018"/>
      <c r="I145" s="2018"/>
      <c r="J145" s="2018"/>
      <c r="K145" s="2018"/>
      <c r="L145" s="2018"/>
      <c r="M145" s="2018"/>
      <c r="N145" s="2018"/>
      <c r="O145" s="2018"/>
      <c r="P145" s="2018"/>
      <c r="Q145" s="2018"/>
      <c r="R145" s="2018"/>
    </row>
  </sheetData>
  <sheetProtection algorithmName="SHA-512" hashValue="INJcsZAInKp6sYUHSYZylio+dgb5Lh/KcTN0PoRb7UlsAQ2CCJ1uHZn/MxjJ/PFTsIvFtEEpwWjrRHT1aw/oYg==" saltValue="l+alecIEPTOCtDLN6T7lsQ==" spinCount="100000" sheet="1" formatCells="0" formatColumns="0" formatRows="0"/>
  <mergeCells count="43">
    <mergeCell ref="T82:T83"/>
    <mergeCell ref="U82:Z82"/>
    <mergeCell ref="A1:B1"/>
    <mergeCell ref="C1:D1"/>
    <mergeCell ref="T130:T131"/>
    <mergeCell ref="U130:Z130"/>
    <mergeCell ref="A54:A55"/>
    <mergeCell ref="A80:A81"/>
    <mergeCell ref="A63:A66"/>
    <mergeCell ref="A82:A83"/>
    <mergeCell ref="A84:A92"/>
    <mergeCell ref="A58:A62"/>
    <mergeCell ref="A56:A57"/>
    <mergeCell ref="A78:A79"/>
    <mergeCell ref="A67:A77"/>
    <mergeCell ref="A10:A13"/>
    <mergeCell ref="A14:A16"/>
    <mergeCell ref="A9:R9"/>
    <mergeCell ref="A2:R2"/>
    <mergeCell ref="A3:R3"/>
    <mergeCell ref="A4:R4"/>
    <mergeCell ref="A5:R5"/>
    <mergeCell ref="A132:A133"/>
    <mergeCell ref="Q7:R7"/>
    <mergeCell ref="K7:P7"/>
    <mergeCell ref="A34:A43"/>
    <mergeCell ref="A44:A53"/>
    <mergeCell ref="A17:A20"/>
    <mergeCell ref="A21:A33"/>
    <mergeCell ref="A97:A108"/>
    <mergeCell ref="A93:A96"/>
    <mergeCell ref="A109:A112"/>
    <mergeCell ref="A115:R115"/>
    <mergeCell ref="A118:A125"/>
    <mergeCell ref="A127:A129"/>
    <mergeCell ref="A130:A131"/>
    <mergeCell ref="A113:A114"/>
    <mergeCell ref="A7:A8"/>
    <mergeCell ref="C136:E136"/>
    <mergeCell ref="D7:D8"/>
    <mergeCell ref="C7:C8"/>
    <mergeCell ref="B7:B8"/>
    <mergeCell ref="E7:J7"/>
  </mergeCells>
  <conditionalFormatting sqref="A7">
    <cfRule type="duplicateValues" dxfId="325" priority="76"/>
  </conditionalFormatting>
  <conditionalFormatting sqref="B72:B73 B67:B70">
    <cfRule type="duplicateValues" dxfId="324" priority="77"/>
  </conditionalFormatting>
  <conditionalFormatting sqref="B99">
    <cfRule type="duplicateValues" dxfId="323" priority="75"/>
  </conditionalFormatting>
  <conditionalFormatting sqref="B100:B114 B66 B7 B28:B63 B78:B98 B74:B76 B10:B26 B71">
    <cfRule type="duplicateValues" dxfId="322" priority="78"/>
  </conditionalFormatting>
  <conditionalFormatting sqref="B116">
    <cfRule type="duplicateValues" dxfId="321" priority="69"/>
  </conditionalFormatting>
  <conditionalFormatting sqref="B117">
    <cfRule type="duplicateValues" dxfId="320" priority="68"/>
  </conditionalFormatting>
  <conditionalFormatting sqref="B122:B123">
    <cfRule type="duplicateValues" dxfId="319" priority="74"/>
  </conditionalFormatting>
  <conditionalFormatting sqref="B124:B125">
    <cfRule type="duplicateValues" dxfId="318" priority="67"/>
  </conditionalFormatting>
  <conditionalFormatting sqref="B126">
    <cfRule type="duplicateValues" dxfId="317" priority="72"/>
  </conditionalFormatting>
  <conditionalFormatting sqref="B127:B129">
    <cfRule type="duplicateValues" dxfId="316" priority="73"/>
  </conditionalFormatting>
  <conditionalFormatting sqref="B130:B131">
    <cfRule type="duplicateValues" dxfId="315" priority="71"/>
  </conditionalFormatting>
  <conditionalFormatting sqref="B132:B133">
    <cfRule type="duplicateValues" dxfId="314" priority="70"/>
  </conditionalFormatting>
  <conditionalFormatting sqref="E10:E12">
    <cfRule type="cellIs" dxfId="313" priority="54" operator="greaterThan">
      <formula>$E$13</formula>
    </cfRule>
  </conditionalFormatting>
  <conditionalFormatting sqref="E14">
    <cfRule type="cellIs" dxfId="312" priority="24" operator="greaterThanOrEqual">
      <formula>$E$10</formula>
    </cfRule>
  </conditionalFormatting>
  <conditionalFormatting sqref="E15">
    <cfRule type="cellIs" dxfId="311" priority="18" operator="greaterThanOrEqual">
      <formula>$E$11</formula>
    </cfRule>
  </conditionalFormatting>
  <conditionalFormatting sqref="E16">
    <cfRule type="cellIs" dxfId="310" priority="12" operator="greaterThanOrEqual">
      <formula>$E$12</formula>
    </cfRule>
  </conditionalFormatting>
  <conditionalFormatting sqref="E26">
    <cfRule type="cellIs" dxfId="309" priority="48" operator="greaterThan">
      <formula>$E$25</formula>
    </cfRule>
  </conditionalFormatting>
  <conditionalFormatting sqref="E27">
    <cfRule type="cellIs" dxfId="308" priority="42" operator="lessThan">
      <formula>$E$17</formula>
    </cfRule>
  </conditionalFormatting>
  <conditionalFormatting sqref="E29">
    <cfRule type="cellIs" dxfId="307" priority="6" operator="lessThan">
      <formula>$E$17</formula>
    </cfRule>
  </conditionalFormatting>
  <conditionalFormatting sqref="E123">
    <cfRule type="cellIs" dxfId="306" priority="30" operator="greaterThan">
      <formula>$E$122</formula>
    </cfRule>
  </conditionalFormatting>
  <conditionalFormatting sqref="F10:F12">
    <cfRule type="cellIs" dxfId="305" priority="53" operator="greaterThan">
      <formula>$F$13</formula>
    </cfRule>
  </conditionalFormatting>
  <conditionalFormatting sqref="F14">
    <cfRule type="cellIs" dxfId="304" priority="23" operator="greaterThanOrEqual">
      <formula>$F$10</formula>
    </cfRule>
  </conditionalFormatting>
  <conditionalFormatting sqref="F15">
    <cfRule type="cellIs" dxfId="303" priority="17" operator="greaterThanOrEqual">
      <formula>$F$11</formula>
    </cfRule>
  </conditionalFormatting>
  <conditionalFormatting sqref="F16">
    <cfRule type="cellIs" dxfId="302" priority="11" operator="greaterThanOrEqual">
      <formula>$F$12</formula>
    </cfRule>
  </conditionalFormatting>
  <conditionalFormatting sqref="F26">
    <cfRule type="cellIs" dxfId="301" priority="47" operator="greaterThan">
      <formula>$F$25</formula>
    </cfRule>
  </conditionalFormatting>
  <conditionalFormatting sqref="F27">
    <cfRule type="cellIs" dxfId="300" priority="41" operator="lessThan">
      <formula>$F$17</formula>
    </cfRule>
  </conditionalFormatting>
  <conditionalFormatting sqref="F29">
    <cfRule type="cellIs" dxfId="299" priority="5" operator="lessThan">
      <formula>$F$17</formula>
    </cfRule>
  </conditionalFormatting>
  <conditionalFormatting sqref="F123">
    <cfRule type="cellIs" dxfId="298" priority="29" operator="greaterThan">
      <formula>$F$122</formula>
    </cfRule>
  </conditionalFormatting>
  <conditionalFormatting sqref="G10:G12">
    <cfRule type="cellIs" dxfId="297" priority="52" operator="greaterThan">
      <formula>$G$13</formula>
    </cfRule>
  </conditionalFormatting>
  <conditionalFormatting sqref="G14">
    <cfRule type="cellIs" dxfId="296" priority="22" operator="greaterThanOrEqual">
      <formula>$G$10</formula>
    </cfRule>
  </conditionalFormatting>
  <conditionalFormatting sqref="G15">
    <cfRule type="cellIs" dxfId="295" priority="16" operator="greaterThanOrEqual">
      <formula>$G$11</formula>
    </cfRule>
  </conditionalFormatting>
  <conditionalFormatting sqref="G16">
    <cfRule type="cellIs" dxfId="294" priority="10" operator="greaterThanOrEqual">
      <formula>$G$12</formula>
    </cfRule>
  </conditionalFormatting>
  <conditionalFormatting sqref="G26">
    <cfRule type="cellIs" dxfId="293" priority="46" operator="greaterThan">
      <formula>$G$25</formula>
    </cfRule>
  </conditionalFormatting>
  <conditionalFormatting sqref="G27">
    <cfRule type="cellIs" dxfId="292" priority="40" operator="lessThan">
      <formula>$G$17</formula>
    </cfRule>
  </conditionalFormatting>
  <conditionalFormatting sqref="G29">
    <cfRule type="cellIs" dxfId="291" priority="4" operator="lessThan">
      <formula>$G$17</formula>
    </cfRule>
  </conditionalFormatting>
  <conditionalFormatting sqref="G123">
    <cfRule type="cellIs" dxfId="290" priority="28" operator="greaterThan">
      <formula>$G$122</formula>
    </cfRule>
  </conditionalFormatting>
  <conditionalFormatting sqref="H10:H12">
    <cfRule type="cellIs" dxfId="289" priority="51" operator="greaterThan">
      <formula>$H$13</formula>
    </cfRule>
  </conditionalFormatting>
  <conditionalFormatting sqref="H14">
    <cfRule type="cellIs" dxfId="288" priority="21" operator="greaterThanOrEqual">
      <formula>$H$10</formula>
    </cfRule>
  </conditionalFormatting>
  <conditionalFormatting sqref="H15">
    <cfRule type="cellIs" dxfId="287" priority="15" operator="greaterThanOrEqual">
      <formula>$H$11</formula>
    </cfRule>
  </conditionalFormatting>
  <conditionalFormatting sqref="H16">
    <cfRule type="cellIs" dxfId="286" priority="9" operator="greaterThanOrEqual">
      <formula>$H$12</formula>
    </cfRule>
  </conditionalFormatting>
  <conditionalFormatting sqref="H26">
    <cfRule type="cellIs" dxfId="285" priority="45" operator="greaterThan">
      <formula>$H$25</formula>
    </cfRule>
  </conditionalFormatting>
  <conditionalFormatting sqref="H27">
    <cfRule type="cellIs" dxfId="284" priority="39" operator="lessThan">
      <formula>$H$17</formula>
    </cfRule>
  </conditionalFormatting>
  <conditionalFormatting sqref="H29">
    <cfRule type="cellIs" dxfId="283" priority="3" operator="lessThan">
      <formula>$H$17</formula>
    </cfRule>
  </conditionalFormatting>
  <conditionalFormatting sqref="H123">
    <cfRule type="cellIs" dxfId="282" priority="27" operator="greaterThan">
      <formula>$H$122</formula>
    </cfRule>
  </conditionalFormatting>
  <conditionalFormatting sqref="I10:I12">
    <cfRule type="cellIs" dxfId="281" priority="50" operator="greaterThan">
      <formula>$I$13</formula>
    </cfRule>
  </conditionalFormatting>
  <conditionalFormatting sqref="I14">
    <cfRule type="cellIs" dxfId="280" priority="20" operator="greaterThanOrEqual">
      <formula>$I$10</formula>
    </cfRule>
  </conditionalFormatting>
  <conditionalFormatting sqref="I15">
    <cfRule type="cellIs" dxfId="279" priority="14" operator="greaterThanOrEqual">
      <formula>$I$11</formula>
    </cfRule>
  </conditionalFormatting>
  <conditionalFormatting sqref="I16">
    <cfRule type="cellIs" dxfId="278" priority="8" operator="greaterThanOrEqual">
      <formula>$I$12</formula>
    </cfRule>
  </conditionalFormatting>
  <conditionalFormatting sqref="I26">
    <cfRule type="cellIs" dxfId="277" priority="44" operator="greaterThan">
      <formula>$I$25</formula>
    </cfRule>
  </conditionalFormatting>
  <conditionalFormatting sqref="I27">
    <cfRule type="cellIs" dxfId="276" priority="38" operator="lessThan">
      <formula>$I$17</formula>
    </cfRule>
  </conditionalFormatting>
  <conditionalFormatting sqref="I29">
    <cfRule type="cellIs" dxfId="275" priority="2" operator="lessThan">
      <formula>$I$17</formula>
    </cfRule>
  </conditionalFormatting>
  <conditionalFormatting sqref="I123">
    <cfRule type="cellIs" dxfId="274" priority="26" operator="greaterThan">
      <formula>$I$122</formula>
    </cfRule>
  </conditionalFormatting>
  <conditionalFormatting sqref="J10:J12">
    <cfRule type="cellIs" dxfId="273" priority="49" operator="greaterThan">
      <formula>$J$13</formula>
    </cfRule>
  </conditionalFormatting>
  <conditionalFormatting sqref="J14">
    <cfRule type="cellIs" dxfId="272" priority="19" operator="greaterThanOrEqual">
      <formula>$J$10</formula>
    </cfRule>
  </conditionalFormatting>
  <conditionalFormatting sqref="J15">
    <cfRule type="cellIs" dxfId="271" priority="13" operator="greaterThanOrEqual">
      <formula>$J$11</formula>
    </cfRule>
  </conditionalFormatting>
  <conditionalFormatting sqref="J16">
    <cfRule type="cellIs" dxfId="270" priority="7" operator="greaterThanOrEqual">
      <formula>$J$12</formula>
    </cfRule>
  </conditionalFormatting>
  <conditionalFormatting sqref="J26">
    <cfRule type="cellIs" dxfId="269" priority="43" operator="greaterThan">
      <formula>$J$25</formula>
    </cfRule>
  </conditionalFormatting>
  <conditionalFormatting sqref="J27">
    <cfRule type="cellIs" dxfId="268" priority="37" operator="lessThan">
      <formula>$J$17</formula>
    </cfRule>
  </conditionalFormatting>
  <conditionalFormatting sqref="J29">
    <cfRule type="cellIs" dxfId="267" priority="1" operator="lessThan">
      <formula>$J$17</formula>
    </cfRule>
  </conditionalFormatting>
  <conditionalFormatting sqref="J123">
    <cfRule type="cellIs" dxfId="266" priority="25" operator="greaterThan">
      <formula>$J$122</formula>
    </cfRule>
  </conditionalFormatting>
  <printOptions horizontalCentered="1"/>
  <pageMargins left="0" right="0" top="0.74803149606299213" bottom="0.27559055118110237" header="0.39370078740157483" footer="0.11811023622047245"/>
  <pageSetup paperSize="9" scale="56" fitToHeight="4" orientation="landscape" r:id="rId1"/>
  <headerFooter alignWithMargins="0">
    <oddFooter>&amp;C&amp;A&amp;RСтр. &amp;P от &amp;N</oddFooter>
  </headerFooter>
  <rowBreaks count="4" manualBreakCount="4">
    <brk id="30" max="17" man="1"/>
    <brk id="48" max="17" man="1"/>
    <brk id="70" max="17" man="1"/>
    <brk id="96" max="17"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9" tint="0.39997558519241921"/>
  </sheetPr>
  <dimension ref="A1:AI87"/>
  <sheetViews>
    <sheetView zoomScale="115" zoomScaleNormal="115" workbookViewId="0">
      <selection activeCell="AA33" sqref="AA33"/>
    </sheetView>
  </sheetViews>
  <sheetFormatPr defaultRowHeight="13.2"/>
  <cols>
    <col min="1" max="1" width="38.88671875" customWidth="1"/>
    <col min="2" max="2" width="5.44140625" customWidth="1"/>
    <col min="3" max="8" width="7.5546875" customWidth="1"/>
    <col min="9" max="9" width="4.88671875" customWidth="1"/>
    <col min="10" max="10" width="24.44140625" customWidth="1"/>
    <col min="11" max="11" width="6.109375" customWidth="1"/>
    <col min="12" max="23" width="5.33203125" customWidth="1"/>
    <col min="24" max="24" width="4.6640625" customWidth="1"/>
    <col min="25" max="25" width="5.33203125" customWidth="1"/>
    <col min="26" max="26" width="28.88671875" customWidth="1"/>
    <col min="27" max="27" width="4.5546875" customWidth="1"/>
    <col min="34" max="35" width="5.88671875" customWidth="1"/>
  </cols>
  <sheetData>
    <row r="1" spans="1:35" ht="15.6">
      <c r="A1" s="3483" t="s">
        <v>1517</v>
      </c>
      <c r="J1" s="3483" t="s">
        <v>1547</v>
      </c>
      <c r="Y1" s="3483" t="s">
        <v>1586</v>
      </c>
    </row>
    <row r="2" spans="1:35" ht="15.9" customHeight="1">
      <c r="A2" s="5583" t="s">
        <v>2</v>
      </c>
      <c r="B2" s="5584" t="s">
        <v>746</v>
      </c>
      <c r="C2" s="5586" t="s">
        <v>922</v>
      </c>
      <c r="D2" s="5586"/>
      <c r="E2" s="5586"/>
      <c r="F2" s="5586"/>
      <c r="G2" s="5586"/>
      <c r="H2" s="5586"/>
      <c r="J2" s="5603" t="s">
        <v>347</v>
      </c>
      <c r="K2" s="5606" t="s">
        <v>349</v>
      </c>
      <c r="L2" s="5607"/>
      <c r="M2" s="5607"/>
      <c r="N2" s="5607"/>
      <c r="O2" s="5607"/>
      <c r="P2" s="5607"/>
      <c r="Q2" s="5607"/>
      <c r="R2" s="5607"/>
      <c r="S2" s="5607"/>
      <c r="T2" s="5607"/>
      <c r="U2" s="5607"/>
      <c r="V2" s="5607"/>
      <c r="W2" s="5608"/>
      <c r="Y2" s="5599" t="s">
        <v>1591</v>
      </c>
      <c r="Z2" s="5600"/>
      <c r="AA2" s="5600"/>
      <c r="AB2" s="5600"/>
      <c r="AC2" s="5600"/>
      <c r="AD2" s="5600"/>
      <c r="AE2" s="5600"/>
      <c r="AF2" s="5600"/>
      <c r="AG2" s="5600"/>
      <c r="AH2" s="5600"/>
      <c r="AI2" s="5601"/>
    </row>
    <row r="3" spans="1:35" ht="37.5" customHeight="1">
      <c r="A3" s="5583"/>
      <c r="B3" s="5585"/>
      <c r="C3" s="4368" t="str">
        <f>+'15. ОПП'!$B$7</f>
        <v>2024 г.</v>
      </c>
      <c r="D3" s="4368" t="str">
        <f>+'15. ОПП'!$C$7</f>
        <v>2027 г.</v>
      </c>
      <c r="E3" s="4368" t="str">
        <f>+'15. ОПП'!$D$7</f>
        <v>2028 г.</v>
      </c>
      <c r="F3" s="4368" t="str">
        <f>+'15. ОПП'!$E$7</f>
        <v>2029 г.</v>
      </c>
      <c r="G3" s="4368" t="str">
        <f>+'15. ОПП'!$F$7</f>
        <v>2030 г.</v>
      </c>
      <c r="H3" s="4368" t="str">
        <f>+'15. ОПП'!$G$7</f>
        <v>2031 г.</v>
      </c>
      <c r="J3" s="5603"/>
      <c r="K3" s="5603" t="s">
        <v>1536</v>
      </c>
      <c r="L3" s="5604" t="s">
        <v>1553</v>
      </c>
      <c r="M3" s="5604"/>
      <c r="N3" s="5604"/>
      <c r="O3" s="5604"/>
      <c r="P3" s="5604"/>
      <c r="Q3" s="5605"/>
      <c r="R3" s="5603" t="s">
        <v>1899</v>
      </c>
      <c r="S3" s="5603"/>
      <c r="T3" s="5603"/>
      <c r="U3" s="5603"/>
      <c r="V3" s="5603"/>
      <c r="W3" s="5603"/>
      <c r="Y3" s="3484" t="s">
        <v>773</v>
      </c>
      <c r="Z3" s="3484" t="s">
        <v>1590</v>
      </c>
      <c r="AA3" s="3485" t="s">
        <v>746</v>
      </c>
      <c r="AB3" s="3486" t="str">
        <f>+'15. ОПП'!$B$7</f>
        <v>2024 г.</v>
      </c>
      <c r="AC3" s="4368" t="str">
        <f>+'15. ОПП'!$C$7</f>
        <v>2027 г.</v>
      </c>
      <c r="AD3" s="4368" t="str">
        <f>+'15. ОПП'!$D$7</f>
        <v>2028 г.</v>
      </c>
      <c r="AE3" s="4368" t="str">
        <f>+'15. ОПП'!$E$7</f>
        <v>2029 г.</v>
      </c>
      <c r="AF3" s="4368" t="str">
        <f>+'15. ОПП'!$F$7</f>
        <v>2030 г.</v>
      </c>
      <c r="AG3" s="4368" t="str">
        <f>+'15. ОПП'!$G$7</f>
        <v>2031 г.</v>
      </c>
      <c r="AH3" s="3486" t="str">
        <f>CONCATENATE("Индивидуална цел за ",AG3)</f>
        <v>Индивидуална цел за 2031 г.</v>
      </c>
      <c r="AI3" s="3486" t="s">
        <v>780</v>
      </c>
    </row>
    <row r="4" spans="1:35" ht="15.9" customHeight="1">
      <c r="A4" s="3487" t="s">
        <v>1521</v>
      </c>
      <c r="B4" s="3417" t="s">
        <v>784</v>
      </c>
      <c r="C4" s="3488">
        <f>'2. Променливи'!E10</f>
        <v>84367</v>
      </c>
      <c r="D4" s="3488">
        <f>'2. Променливи'!F10</f>
        <v>78970</v>
      </c>
      <c r="E4" s="3488">
        <f>'2. Променливи'!G10</f>
        <v>77644</v>
      </c>
      <c r="F4" s="3488">
        <f>'2. Променливи'!H10</f>
        <v>76320</v>
      </c>
      <c r="G4" s="3488">
        <f>'2. Променливи'!I10</f>
        <v>75019</v>
      </c>
      <c r="H4" s="3488">
        <f>'2. Променливи'!J10</f>
        <v>73987</v>
      </c>
      <c r="J4" s="5603"/>
      <c r="K4" s="5603"/>
      <c r="L4" s="4369" t="str">
        <f>+'15. ОПП'!$B$7</f>
        <v>2024 г.</v>
      </c>
      <c r="M4" s="4369" t="str">
        <f>+'15. ОПП'!$C$7</f>
        <v>2027 г.</v>
      </c>
      <c r="N4" s="4369" t="str">
        <f>+'15. ОПП'!$D$7</f>
        <v>2028 г.</v>
      </c>
      <c r="O4" s="4369" t="str">
        <f>+'15. ОПП'!$E$7</f>
        <v>2029 г.</v>
      </c>
      <c r="P4" s="4369" t="str">
        <f>+'15. ОПП'!$F$7</f>
        <v>2030 г.</v>
      </c>
      <c r="Q4" s="4369" t="str">
        <f>+'15. ОПП'!$G$7</f>
        <v>2031 г.</v>
      </c>
      <c r="R4" s="4369" t="str">
        <f>+'15. ОПП'!$B$7</f>
        <v>2024 г.</v>
      </c>
      <c r="S4" s="4369" t="str">
        <f>+'15. ОПП'!$C$7</f>
        <v>2027 г.</v>
      </c>
      <c r="T4" s="4369" t="str">
        <f>+'15. ОПП'!$D$7</f>
        <v>2028 г.</v>
      </c>
      <c r="U4" s="4369" t="str">
        <f>+'15. ОПП'!$E$7</f>
        <v>2029 г.</v>
      </c>
      <c r="V4" s="4369" t="str">
        <f>+'15. ОПП'!$F$7</f>
        <v>2030 г.</v>
      </c>
      <c r="W4" s="4369" t="str">
        <f>+'15. ОПП'!$G$7</f>
        <v>2031 г.</v>
      </c>
      <c r="Y4" s="3489" t="s">
        <v>116</v>
      </c>
      <c r="Z4" s="3490" t="s">
        <v>751</v>
      </c>
      <c r="AA4" s="3491" t="s">
        <v>170</v>
      </c>
      <c r="AB4" s="3492">
        <f>'3. Показатели за качество'!E9</f>
        <v>0.97660000000000002</v>
      </c>
      <c r="AC4" s="3492">
        <f>'3. Показатели за качество'!F9</f>
        <v>0.98860000000000003</v>
      </c>
      <c r="AD4" s="3492">
        <f>'3. Показатели за качество'!G9</f>
        <v>0.98870000000000002</v>
      </c>
      <c r="AE4" s="3492">
        <f>'3. Показатели за качество'!H9</f>
        <v>0.98880000000000001</v>
      </c>
      <c r="AF4" s="3492">
        <f>'3. Показатели за качество'!I9</f>
        <v>0.98919999999999997</v>
      </c>
      <c r="AG4" s="3492">
        <f>'3. Показатели за качество'!J9</f>
        <v>0.99029999999999996</v>
      </c>
      <c r="AH4" s="3441">
        <f>'3. Показатели за качество'!M9</f>
        <v>0.99029999999999996</v>
      </c>
      <c r="AI4" s="3493">
        <v>0.99</v>
      </c>
    </row>
    <row r="5" spans="1:35" ht="15.9" customHeight="1">
      <c r="A5" s="3487" t="s">
        <v>1522</v>
      </c>
      <c r="B5" s="3418" t="s">
        <v>784</v>
      </c>
      <c r="C5" s="3488">
        <f>'2. Променливи'!E11</f>
        <v>39278</v>
      </c>
      <c r="D5" s="3488">
        <f>'2. Променливи'!F11</f>
        <v>36562</v>
      </c>
      <c r="E5" s="3488">
        <f>'2. Променливи'!G11</f>
        <v>36024</v>
      </c>
      <c r="F5" s="3488">
        <f>'2. Променливи'!H11</f>
        <v>35619</v>
      </c>
      <c r="G5" s="3488">
        <f>'2. Променливи'!I11</f>
        <v>35380</v>
      </c>
      <c r="H5" s="3488">
        <f>'2. Променливи'!J11</f>
        <v>35395</v>
      </c>
      <c r="J5" s="3494" t="s">
        <v>210</v>
      </c>
      <c r="K5" s="3495" t="s">
        <v>1548</v>
      </c>
      <c r="L5" s="3495">
        <f>'6. Ел.Енергия'!C18/1000</f>
        <v>7755.1869999999999</v>
      </c>
      <c r="M5" s="3495">
        <f>'6. Ел.Енергия'!D18/1000</f>
        <v>7676</v>
      </c>
      <c r="N5" s="3495">
        <f>'6. Ел.Енергия'!E18/1000</f>
        <v>7556</v>
      </c>
      <c r="O5" s="3495">
        <f>'6. Ел.Енергия'!F18/1000</f>
        <v>7397</v>
      </c>
      <c r="P5" s="3495">
        <f>'6. Ел.Енергия'!G18/1000</f>
        <v>7165</v>
      </c>
      <c r="Q5" s="3495">
        <f>'6. Ел.Енергия'!H18/1000</f>
        <v>6853</v>
      </c>
      <c r="R5" s="3495">
        <f>'6. Ел.Енергия'!V18</f>
        <v>875.20368191035129</v>
      </c>
      <c r="S5" s="3495">
        <f>'6. Ел.Енергия'!W18</f>
        <v>1088.75499550059</v>
      </c>
      <c r="T5" s="3495">
        <f>'6. Ел.Енергия'!X18</f>
        <v>1071.7930442354091</v>
      </c>
      <c r="U5" s="3495">
        <f>'6. Ел.Енергия'!Y18</f>
        <v>1049.2831985742587</v>
      </c>
      <c r="V5" s="3495">
        <f>'6. Ел.Енергия'!Z18</f>
        <v>1016.3887641006963</v>
      </c>
      <c r="W5" s="3495">
        <f>'6. Ел.Енергия'!AA18</f>
        <v>972.11396651003338</v>
      </c>
      <c r="Y5" s="3489" t="s">
        <v>117</v>
      </c>
      <c r="Z5" s="3490" t="s">
        <v>752</v>
      </c>
      <c r="AA5" s="3491" t="s">
        <v>170</v>
      </c>
      <c r="AB5" s="3492">
        <f>'3. Показатели за качество'!E10</f>
        <v>1</v>
      </c>
      <c r="AC5" s="3492">
        <f>'3. Показатели за качество'!F10</f>
        <v>0.99629999999999996</v>
      </c>
      <c r="AD5" s="3492">
        <f>'3. Показатели за качество'!G10</f>
        <v>0.99719999999999998</v>
      </c>
      <c r="AE5" s="3492">
        <f>'3. Показатели за качество'!H10</f>
        <v>0.99809999999999999</v>
      </c>
      <c r="AF5" s="3492">
        <f>'3. Показатели за качество'!I10</f>
        <v>0.99909999999999999</v>
      </c>
      <c r="AG5" s="3492">
        <f>'3. Показатели за качество'!J10</f>
        <v>1</v>
      </c>
      <c r="AH5" s="3441">
        <f>'3. Показатели за качество'!M10</f>
        <v>1</v>
      </c>
      <c r="AI5" s="3493">
        <v>0.99</v>
      </c>
    </row>
    <row r="6" spans="1:35" ht="15.9" customHeight="1">
      <c r="A6" s="3487" t="s">
        <v>1523</v>
      </c>
      <c r="B6" s="3418" t="s">
        <v>784</v>
      </c>
      <c r="C6" s="3488">
        <f>'2. Променливи'!E12</f>
        <v>34439</v>
      </c>
      <c r="D6" s="3488">
        <f>'2. Променливи'!F12</f>
        <v>34078</v>
      </c>
      <c r="E6" s="3488">
        <f>'2. Променливи'!G12</f>
        <v>33582</v>
      </c>
      <c r="F6" s="3488">
        <f>'2. Променливи'!H12</f>
        <v>33219</v>
      </c>
      <c r="G6" s="3488">
        <f>'2. Променливи'!I12</f>
        <v>33022</v>
      </c>
      <c r="H6" s="3488">
        <f>'2. Променливи'!J12</f>
        <v>33072</v>
      </c>
      <c r="J6" s="3496" t="s">
        <v>350</v>
      </c>
      <c r="K6" s="3497" t="s">
        <v>1548</v>
      </c>
      <c r="L6" s="3702"/>
      <c r="M6" s="3499">
        <f>'6. Ел.Енергия'!D19/1000</f>
        <v>-79.186999999999998</v>
      </c>
      <c r="N6" s="3499">
        <f>'6. Ел.Енергия'!E19/1000</f>
        <v>-120</v>
      </c>
      <c r="O6" s="3499">
        <f>'6. Ел.Енергия'!F19/1000</f>
        <v>-159</v>
      </c>
      <c r="P6" s="3499">
        <f>'6. Ел.Енергия'!G19/1000</f>
        <v>-232</v>
      </c>
      <c r="Q6" s="3499">
        <f>'6. Ел.Енергия'!H19/1000</f>
        <v>-312</v>
      </c>
      <c r="R6" s="3702"/>
      <c r="S6" s="3499">
        <f>'6. Ел.Енергия'!W19</f>
        <v>213.55131359023869</v>
      </c>
      <c r="T6" s="3499">
        <f>'6. Ел.Енергия'!X19</f>
        <v>-16.961951265180915</v>
      </c>
      <c r="U6" s="3499">
        <f>'6. Ел.Енергия'!Y19</f>
        <v>-22.509845661150393</v>
      </c>
      <c r="V6" s="3499">
        <f>'6. Ел.Енергия'!Z19</f>
        <v>-32.894434473562342</v>
      </c>
      <c r="W6" s="3499">
        <f>'6. Ел.Енергия'!AA19</f>
        <v>-44.274797590662956</v>
      </c>
      <c r="Y6" s="3489" t="s">
        <v>118</v>
      </c>
      <c r="Z6" s="3490" t="s">
        <v>753</v>
      </c>
      <c r="AA6" s="3491" t="s">
        <v>170</v>
      </c>
      <c r="AB6" s="3492">
        <f>'3. Показатели за качество'!E11</f>
        <v>0.99929999999999997</v>
      </c>
      <c r="AC6" s="3492">
        <f>'3. Показатели за качество'!F11</f>
        <v>0.99439999999999995</v>
      </c>
      <c r="AD6" s="3492">
        <f>'3. Показатели за качество'!G11</f>
        <v>0.995</v>
      </c>
      <c r="AE6" s="3492">
        <f>'3. Показатели за качество'!H11</f>
        <v>0.99529999999999996</v>
      </c>
      <c r="AF6" s="3492">
        <f>'3. Показатели за качество'!I11</f>
        <v>0.996</v>
      </c>
      <c r="AG6" s="3492">
        <f>'3. Показатели за качество'!J11</f>
        <v>0.99690000000000001</v>
      </c>
      <c r="AH6" s="3441">
        <f>'3. Показатели за качество'!M11</f>
        <v>0.99690000000000001</v>
      </c>
      <c r="AI6" s="3493">
        <v>0.98</v>
      </c>
    </row>
    <row r="7" spans="1:35" ht="15.9" customHeight="1">
      <c r="A7" s="3500" t="s">
        <v>1525</v>
      </c>
      <c r="B7" s="3419" t="s">
        <v>784</v>
      </c>
      <c r="C7" s="3501">
        <f>'2. Променливи'!E13</f>
        <v>86390</v>
      </c>
      <c r="D7" s="3501">
        <f>'2. Променливи'!F13</f>
        <v>79882</v>
      </c>
      <c r="E7" s="3501">
        <f>'2. Променливи'!G13</f>
        <v>78535</v>
      </c>
      <c r="F7" s="3501">
        <f>'2. Променливи'!H13</f>
        <v>77188</v>
      </c>
      <c r="G7" s="3501">
        <f>'2. Променливи'!I13</f>
        <v>75841</v>
      </c>
      <c r="H7" s="3501">
        <f>'2. Променливи'!J13</f>
        <v>74709</v>
      </c>
      <c r="J7" s="3502" t="s">
        <v>1555</v>
      </c>
      <c r="K7" s="3503" t="s">
        <v>1550</v>
      </c>
      <c r="L7" s="3504">
        <f>'6. Ел.Енергия'!C20</f>
        <v>0.81564938376571872</v>
      </c>
      <c r="M7" s="3504">
        <f>'6. Ел.Енергия'!D20</f>
        <v>0.81598809397257366</v>
      </c>
      <c r="N7" s="3504">
        <f>'6. Ел.Енергия'!E20</f>
        <v>0.81404869640163757</v>
      </c>
      <c r="O7" s="3504">
        <f>'6. Ел.Енергия'!F20</f>
        <v>0.80992007007555022</v>
      </c>
      <c r="P7" s="3504">
        <f>'6. Ел.Енергия'!G20</f>
        <v>0.80208216724504644</v>
      </c>
      <c r="Q7" s="3504">
        <f>'6. Ел.Енергия'!H20</f>
        <v>0.7924833766984678</v>
      </c>
      <c r="R7" s="3498"/>
      <c r="S7" s="3498"/>
      <c r="T7" s="3498"/>
      <c r="U7" s="3498"/>
      <c r="V7" s="3498"/>
      <c r="W7" s="3498"/>
      <c r="Y7" s="3489" t="s">
        <v>119</v>
      </c>
      <c r="Z7" s="3490" t="s">
        <v>754</v>
      </c>
      <c r="AA7" s="3491" t="s">
        <v>170</v>
      </c>
      <c r="AB7" s="3492">
        <f>'3. Показатели за качество'!E12</f>
        <v>1</v>
      </c>
      <c r="AC7" s="3492">
        <f>'3. Показатели за качество'!F12</f>
        <v>1</v>
      </c>
      <c r="AD7" s="3492">
        <f>'3. Показатели за качество'!G12</f>
        <v>1</v>
      </c>
      <c r="AE7" s="3492">
        <f>'3. Показатели за качество'!H12</f>
        <v>1</v>
      </c>
      <c r="AF7" s="3492">
        <f>'3. Показатели за качество'!I12</f>
        <v>1</v>
      </c>
      <c r="AG7" s="3492">
        <f>'3. Показатели за качество'!J12</f>
        <v>1</v>
      </c>
      <c r="AH7" s="3441">
        <f>'3. Показатели за качество'!M12</f>
        <v>1</v>
      </c>
      <c r="AI7" s="3493">
        <v>1</v>
      </c>
    </row>
    <row r="8" spans="1:35" ht="15.9" customHeight="1">
      <c r="A8" s="3487" t="s">
        <v>1518</v>
      </c>
      <c r="B8" s="3417" t="s">
        <v>784</v>
      </c>
      <c r="C8" s="3488">
        <f>'2. Променливи'!E17</f>
        <v>86</v>
      </c>
      <c r="D8" s="3488">
        <f>'2. Променливи'!F17</f>
        <v>86</v>
      </c>
      <c r="E8" s="3488">
        <f>'2. Променливи'!G17</f>
        <v>86</v>
      </c>
      <c r="F8" s="3488">
        <f>'2. Променливи'!H17</f>
        <v>86</v>
      </c>
      <c r="G8" s="3488">
        <f>'2. Променливи'!I17</f>
        <v>86</v>
      </c>
      <c r="H8" s="3488">
        <f>'2. Променливи'!J17</f>
        <v>86</v>
      </c>
      <c r="J8" s="3494" t="s">
        <v>174</v>
      </c>
      <c r="K8" s="3495" t="s">
        <v>1548</v>
      </c>
      <c r="L8" s="3495">
        <f>'6. Ел.Енергия'!C34/1000</f>
        <v>7.9000000000000001E-2</v>
      </c>
      <c r="M8" s="3495">
        <f>'6. Ел.Енергия'!D34/1000</f>
        <v>0.2</v>
      </c>
      <c r="N8" s="3495">
        <f>'6. Ел.Енергия'!E34/1000</f>
        <v>0.2</v>
      </c>
      <c r="O8" s="3495">
        <f>'6. Ел.Енергия'!F34/1000</f>
        <v>0.2</v>
      </c>
      <c r="P8" s="3495">
        <f>'6. Ел.Енергия'!G34/1000</f>
        <v>0.2</v>
      </c>
      <c r="Q8" s="3495">
        <f>'6. Ел.Енергия'!H34/1000</f>
        <v>0.2</v>
      </c>
      <c r="R8" s="3495">
        <f>'6. Ел.Енергия'!V34</f>
        <v>5.1740632522200854E-2</v>
      </c>
      <c r="S8" s="3495">
        <f>'6. Ел.Енергия'!W34</f>
        <v>8.2220316816031605E-2</v>
      </c>
      <c r="T8" s="3495">
        <f>'6. Ел.Енергия'!X34</f>
        <v>8.2220316816031605E-2</v>
      </c>
      <c r="U8" s="3495">
        <f>'6. Ел.Енергия'!Y34</f>
        <v>8.2220316816031605E-2</v>
      </c>
      <c r="V8" s="3495">
        <f>'6. Ел.Енергия'!Z34</f>
        <v>8.2220316816031605E-2</v>
      </c>
      <c r="W8" s="3495">
        <f>'6. Ел.Енергия'!AA34</f>
        <v>8.2220316816031605E-2</v>
      </c>
      <c r="Y8" s="3489" t="s">
        <v>120</v>
      </c>
      <c r="Z8" s="3490" t="s">
        <v>755</v>
      </c>
      <c r="AA8" s="3491" t="s">
        <v>1033</v>
      </c>
      <c r="AB8" s="3506">
        <f>'3. Показатели за качество'!E13</f>
        <v>1.173</v>
      </c>
      <c r="AC8" s="3506">
        <f>'3. Показатели за качество'!F13</f>
        <v>1.1579999999999999</v>
      </c>
      <c r="AD8" s="3506">
        <f>'3. Показатели за качество'!G13</f>
        <v>1.1559999999999999</v>
      </c>
      <c r="AE8" s="3506">
        <f>'3. Показатели за качество'!H13</f>
        <v>1.153</v>
      </c>
      <c r="AF8" s="3506">
        <f>'3. Показатели за качество'!I13</f>
        <v>1.1519999999999999</v>
      </c>
      <c r="AG8" s="3506">
        <f>'3. Показатели за качество'!J13</f>
        <v>1.151</v>
      </c>
      <c r="AH8" s="3507">
        <f>'3. Показатели за качество'!M13</f>
        <v>1.151</v>
      </c>
      <c r="AI8" s="3440">
        <v>8</v>
      </c>
    </row>
    <row r="9" spans="1:35" ht="15.9" customHeight="1">
      <c r="A9" s="3487" t="s">
        <v>1519</v>
      </c>
      <c r="B9" s="3417" t="s">
        <v>784</v>
      </c>
      <c r="C9" s="3488">
        <f>'2. Променливи'!E18</f>
        <v>6</v>
      </c>
      <c r="D9" s="3488">
        <f>'2. Променливи'!F18</f>
        <v>6</v>
      </c>
      <c r="E9" s="3488">
        <f>'2. Променливи'!G18</f>
        <v>6</v>
      </c>
      <c r="F9" s="3488">
        <f>'2. Променливи'!H18</f>
        <v>6</v>
      </c>
      <c r="G9" s="3488">
        <f>'2. Променливи'!I18</f>
        <v>6</v>
      </c>
      <c r="H9" s="3488">
        <f>'2. Променливи'!J18</f>
        <v>6</v>
      </c>
      <c r="J9" s="3496" t="s">
        <v>350</v>
      </c>
      <c r="K9" s="3497" t="s">
        <v>1548</v>
      </c>
      <c r="L9" s="3702"/>
      <c r="M9" s="3499">
        <f>'6. Ел.Енергия'!D35/1000</f>
        <v>0.121</v>
      </c>
      <c r="N9" s="3499">
        <f>'6. Ел.Енергия'!E35/1000</f>
        <v>0</v>
      </c>
      <c r="O9" s="3499">
        <f>'6. Ел.Енергия'!F35/1000</f>
        <v>0</v>
      </c>
      <c r="P9" s="3499">
        <f>'6. Ел.Енергия'!G35/1000</f>
        <v>0</v>
      </c>
      <c r="Q9" s="3499">
        <f>'6. Ел.Енергия'!H35/1000</f>
        <v>0</v>
      </c>
      <c r="R9" s="3702"/>
      <c r="S9" s="3499">
        <f>'6. Ел.Енергия'!W35</f>
        <v>3.0479684293830751E-2</v>
      </c>
      <c r="T9" s="3499">
        <f>'6. Ел.Енергия'!X35</f>
        <v>0</v>
      </c>
      <c r="U9" s="3499">
        <f>'6. Ел.Енергия'!Y35</f>
        <v>0</v>
      </c>
      <c r="V9" s="3499">
        <f>'6. Ел.Енергия'!Z35</f>
        <v>0</v>
      </c>
      <c r="W9" s="3499">
        <f>'6. Ел.Енергия'!AA35</f>
        <v>0</v>
      </c>
      <c r="Y9" s="3489" t="s">
        <v>744</v>
      </c>
      <c r="Z9" s="3490" t="s">
        <v>756</v>
      </c>
      <c r="AA9" s="3491" t="s">
        <v>1587</v>
      </c>
      <c r="AB9" s="3508">
        <f>'3. Показатели за качество'!E14</f>
        <v>8.68</v>
      </c>
      <c r="AC9" s="3508">
        <f>'3. Показатели за качество'!F14</f>
        <v>8.51</v>
      </c>
      <c r="AD9" s="3508">
        <f>'3. Показатели за качество'!G14</f>
        <v>8.3000000000000007</v>
      </c>
      <c r="AE9" s="3508">
        <f>'3. Показатели за качество'!H14</f>
        <v>8.06</v>
      </c>
      <c r="AF9" s="3508">
        <f>'3. Показатели за качество'!I14</f>
        <v>7.73</v>
      </c>
      <c r="AG9" s="3508">
        <f>'3. Показатели за качество'!J14</f>
        <v>7.28</v>
      </c>
      <c r="AH9" s="3509">
        <f>'3. Показатели за качество'!M14</f>
        <v>7.28</v>
      </c>
      <c r="AI9" s="3440">
        <v>15</v>
      </c>
    </row>
    <row r="10" spans="1:35" ht="15.9" customHeight="1">
      <c r="A10" s="3487" t="s">
        <v>1520</v>
      </c>
      <c r="B10" s="3417" t="s">
        <v>784</v>
      </c>
      <c r="C10" s="3488">
        <f>'2. Променливи'!E19</f>
        <v>4</v>
      </c>
      <c r="D10" s="3488">
        <f>'2. Променливи'!F19</f>
        <v>5</v>
      </c>
      <c r="E10" s="3488">
        <f>'2. Променливи'!G19</f>
        <v>5</v>
      </c>
      <c r="F10" s="3488">
        <f>'2. Променливи'!H19</f>
        <v>5</v>
      </c>
      <c r="G10" s="3488">
        <f>'2. Променливи'!I19</f>
        <v>5</v>
      </c>
      <c r="H10" s="3488">
        <f>'2. Променливи'!J19</f>
        <v>5</v>
      </c>
      <c r="J10" s="3494" t="s">
        <v>184</v>
      </c>
      <c r="K10" s="3495" t="s">
        <v>1548</v>
      </c>
      <c r="L10" s="3495">
        <f>'6. Ел.Енергия'!C49/1000</f>
        <v>1713.248</v>
      </c>
      <c r="M10" s="3495">
        <f>'6. Ел.Енергия'!D49/1000</f>
        <v>1722.7506519999999</v>
      </c>
      <c r="N10" s="3495">
        <f>'6. Ел.Енергия'!E49/1000</f>
        <v>1706.11292</v>
      </c>
      <c r="O10" s="3495">
        <f>'6. Ел.Енергия'!F49/1000</f>
        <v>1689.6228479999997</v>
      </c>
      <c r="P10" s="3495">
        <f>'6. Ел.Енергия'!G49/1000</f>
        <v>1673.2778919999998</v>
      </c>
      <c r="Q10" s="3495">
        <f>'6. Ел.Енергия'!H49/1000</f>
        <v>1662.91059</v>
      </c>
      <c r="R10" s="3495">
        <f>'6. Ел.Енергия'!V49</f>
        <v>186.38325283748091</v>
      </c>
      <c r="S10" s="3495">
        <f>'6. Ел.Енергия'!W49</f>
        <v>230.99867445447998</v>
      </c>
      <c r="T10" s="3495">
        <f>'6. Ел.Енергия'!X49</f>
        <v>228.79522737077653</v>
      </c>
      <c r="U10" s="3495">
        <f>'6. Ел.Енергия'!Y49</f>
        <v>226.61051138929355</v>
      </c>
      <c r="V10" s="3495">
        <f>'6. Ел.Енергия'!Z49</f>
        <v>224.44414171992406</v>
      </c>
      <c r="W10" s="3495">
        <f>'6. Ел.Енергия'!AA49</f>
        <v>223.0341926565041</v>
      </c>
      <c r="Y10" s="3489" t="s">
        <v>745</v>
      </c>
      <c r="Z10" s="3490" t="s">
        <v>756</v>
      </c>
      <c r="AA10" s="3491" t="s">
        <v>170</v>
      </c>
      <c r="AB10" s="3492">
        <f>'3. Показатели за качество'!E15</f>
        <v>0.5988</v>
      </c>
      <c r="AC10" s="3492">
        <f>'3. Показатели за качество'!F15</f>
        <v>0.59660000000000002</v>
      </c>
      <c r="AD10" s="3492">
        <f>'3. Показатели за качество'!G15</f>
        <v>0.59009999999999996</v>
      </c>
      <c r="AE10" s="3492">
        <f>'3. Показатели за качество'!H15</f>
        <v>0.58230000000000004</v>
      </c>
      <c r="AF10" s="3492">
        <f>'3. Показатели за качество'!I15</f>
        <v>0.5716</v>
      </c>
      <c r="AG10" s="3492">
        <f>'3. Показатели за качество'!J15</f>
        <v>0.55549999999999999</v>
      </c>
      <c r="AH10" s="3441">
        <f>'3. Показатели за качество'!M15</f>
        <v>0.55549999999999999</v>
      </c>
      <c r="AI10" s="3493">
        <v>0.49</v>
      </c>
    </row>
    <row r="11" spans="1:35" ht="15.9" customHeight="1">
      <c r="A11" s="3500" t="s">
        <v>1524</v>
      </c>
      <c r="B11" s="3420" t="s">
        <v>784</v>
      </c>
      <c r="C11" s="3501">
        <f>'2. Променливи'!E20</f>
        <v>88</v>
      </c>
      <c r="D11" s="3501">
        <f>'2. Променливи'!F20</f>
        <v>88</v>
      </c>
      <c r="E11" s="3501">
        <f>'2. Променливи'!G20</f>
        <v>88</v>
      </c>
      <c r="F11" s="3501">
        <f>'2. Променливи'!H20</f>
        <v>88</v>
      </c>
      <c r="G11" s="3501">
        <f>'2. Променливи'!I20</f>
        <v>88</v>
      </c>
      <c r="H11" s="3501">
        <f>'2. Променливи'!J20</f>
        <v>88</v>
      </c>
      <c r="J11" s="3496" t="s">
        <v>350</v>
      </c>
      <c r="K11" s="3497" t="s">
        <v>1548</v>
      </c>
      <c r="L11" s="3702"/>
      <c r="M11" s="3499">
        <f>'6. Ел.Енергия'!D50/1000</f>
        <v>9.5026520000000012</v>
      </c>
      <c r="N11" s="3499">
        <f>'6. Ел.Енергия'!E50/1000</f>
        <v>-16.637732000000078</v>
      </c>
      <c r="O11" s="3499">
        <f>'6. Ел.Енергия'!F50/1000</f>
        <v>-16.490072000000161</v>
      </c>
      <c r="P11" s="3499">
        <f>'6. Ел.Енергия'!G50/1000</f>
        <v>-16.344956000000007</v>
      </c>
      <c r="Q11" s="3499">
        <f>'6. Ел.Енергия'!H50/1000</f>
        <v>-10.367301999999908</v>
      </c>
      <c r="R11" s="3702"/>
      <c r="S11" s="3499">
        <f>'6. Ел.Енергия'!W50</f>
        <v>44.615421616999072</v>
      </c>
      <c r="T11" s="3499">
        <f>'6. Ел.Енергия'!X50</f>
        <v>-2.2034470837034519</v>
      </c>
      <c r="U11" s="3499">
        <f>'6. Ел.Енергия'!Y50</f>
        <v>-2.1847159814829809</v>
      </c>
      <c r="V11" s="3499">
        <f>'6. Ел.Енергия'!Z50</f>
        <v>-2.1663696693694874</v>
      </c>
      <c r="W11" s="3499">
        <f>'6. Ел.Енергия'!AA50</f>
        <v>-1.4099490634199583</v>
      </c>
      <c r="Y11" s="3489" t="s">
        <v>121</v>
      </c>
      <c r="Z11" s="3490" t="s">
        <v>757</v>
      </c>
      <c r="AA11" s="3491" t="s">
        <v>749</v>
      </c>
      <c r="AB11" s="3508">
        <f>'3. Показатели за качество'!E16</f>
        <v>116.49</v>
      </c>
      <c r="AC11" s="3508">
        <f>'3. Показатели за качество'!F16</f>
        <v>89.92</v>
      </c>
      <c r="AD11" s="3508">
        <f>'3. Показатели за качество'!G16</f>
        <v>89.62</v>
      </c>
      <c r="AE11" s="3508">
        <f>'3. Показатели за качество'!H16</f>
        <v>89.51</v>
      </c>
      <c r="AF11" s="3508">
        <f>'3. Показатели за качество'!I16</f>
        <v>89.24</v>
      </c>
      <c r="AG11" s="3508">
        <f>'3. Показатели за качество'!J16</f>
        <v>88.95</v>
      </c>
      <c r="AH11" s="3509">
        <f>'3. Показатели за качество'!M16</f>
        <v>88.95</v>
      </c>
      <c r="AI11" s="3440">
        <v>60</v>
      </c>
    </row>
    <row r="12" spans="1:35" ht="15.9" customHeight="1">
      <c r="J12" s="3502" t="s">
        <v>1554</v>
      </c>
      <c r="K12" s="3503" t="s">
        <v>1550</v>
      </c>
      <c r="L12" s="3510">
        <f>'6. Ел.Енергия'!C51</f>
        <v>0.2979775246504619</v>
      </c>
      <c r="M12" s="3510">
        <f>'6. Ел.Енергия'!D51</f>
        <v>0.29199999999999998</v>
      </c>
      <c r="N12" s="3510">
        <f>'6. Ел.Енергия'!E51</f>
        <v>0.28999999999999998</v>
      </c>
      <c r="O12" s="3510">
        <f>'6. Ел.Енергия'!F51</f>
        <v>0.28799999999999998</v>
      </c>
      <c r="P12" s="3510">
        <f>'6. Ел.Енергия'!G51</f>
        <v>0.28599999999999998</v>
      </c>
      <c r="Q12" s="3510">
        <f>'6. Ел.Енергия'!H51</f>
        <v>0.28499999999999998</v>
      </c>
      <c r="R12" s="3498"/>
      <c r="S12" s="3498"/>
      <c r="T12" s="3498"/>
      <c r="U12" s="3498"/>
      <c r="V12" s="3498"/>
      <c r="W12" s="3498"/>
      <c r="Y12" s="3489" t="s">
        <v>1247</v>
      </c>
      <c r="Z12" s="3490" t="s">
        <v>758</v>
      </c>
      <c r="AA12" s="3491" t="s">
        <v>170</v>
      </c>
      <c r="AB12" s="3492">
        <f>'3. Показатели за качество'!E17</f>
        <v>4.9000000000000002E-2</v>
      </c>
      <c r="AC12" s="3492">
        <f>'3. Показатели за качество'!F17</f>
        <v>0.14749999999999999</v>
      </c>
      <c r="AD12" s="3492">
        <f>'3. Показатели за качество'!G17</f>
        <v>0.192</v>
      </c>
      <c r="AE12" s="3492">
        <f>'3. Показатели за качество'!H17</f>
        <v>0.3</v>
      </c>
      <c r="AF12" s="3492">
        <f>'3. Показатели за качество'!I17</f>
        <v>0.43380000000000002</v>
      </c>
      <c r="AG12" s="3492">
        <f>'3. Показатели за качество'!J17</f>
        <v>0.56520000000000004</v>
      </c>
      <c r="AH12" s="3441">
        <f>'3. Показатели за качество'!M17</f>
        <v>0.5645</v>
      </c>
      <c r="AI12" s="3493">
        <v>1</v>
      </c>
    </row>
    <row r="13" spans="1:35" ht="15.9" customHeight="1">
      <c r="A13" s="5583" t="s">
        <v>2</v>
      </c>
      <c r="B13" s="5583" t="s">
        <v>746</v>
      </c>
      <c r="C13" s="5586" t="s">
        <v>922</v>
      </c>
      <c r="D13" s="5586"/>
      <c r="E13" s="5586"/>
      <c r="F13" s="5586"/>
      <c r="G13" s="5586"/>
      <c r="H13" s="5586"/>
      <c r="J13" s="3511" t="s">
        <v>1235</v>
      </c>
      <c r="K13" s="3495" t="s">
        <v>1548</v>
      </c>
      <c r="L13" s="3495">
        <f>'6. Ел.Енергия'!C65/1000</f>
        <v>0</v>
      </c>
      <c r="M13" s="3495">
        <f>'6. Ел.Енергия'!D65/1000</f>
        <v>0</v>
      </c>
      <c r="N13" s="3495">
        <f>'6. Ел.Енергия'!E65/1000</f>
        <v>0</v>
      </c>
      <c r="O13" s="3495">
        <f>'6. Ел.Енергия'!F65/1000</f>
        <v>0</v>
      </c>
      <c r="P13" s="3495">
        <f>'6. Ел.Енергия'!G65/1000</f>
        <v>0</v>
      </c>
      <c r="Q13" s="3495">
        <f>'6. Ел.Енергия'!H65/1000</f>
        <v>0</v>
      </c>
      <c r="R13" s="3495">
        <f>'6. Ел.Енергия'!V65</f>
        <v>0</v>
      </c>
      <c r="S13" s="3495">
        <f>'6. Ел.Енергия'!W65</f>
        <v>0</v>
      </c>
      <c r="T13" s="3495">
        <f>'6. Ел.Енергия'!X65</f>
        <v>0</v>
      </c>
      <c r="U13" s="3495">
        <f>'6. Ел.Енергия'!Y65</f>
        <v>0</v>
      </c>
      <c r="V13" s="3495">
        <f>'6. Ел.Енергия'!Z65</f>
        <v>0</v>
      </c>
      <c r="W13" s="3495">
        <f>'6. Ел.Енергия'!AA65</f>
        <v>0</v>
      </c>
      <c r="Y13" s="3489" t="s">
        <v>122</v>
      </c>
      <c r="Z13" s="3490" t="s">
        <v>759</v>
      </c>
      <c r="AA13" s="3491" t="s">
        <v>170</v>
      </c>
      <c r="AB13" s="3492">
        <f>'3. Показатели за качество'!E18</f>
        <v>0.45469999999999999</v>
      </c>
      <c r="AC13" s="3492">
        <f>'3. Показатели за качество'!F18</f>
        <v>0.4577</v>
      </c>
      <c r="AD13" s="3492">
        <f>'3. Показатели за качество'!G18</f>
        <v>0.4587</v>
      </c>
      <c r="AE13" s="3492">
        <f>'3. Показатели за качество'!H18</f>
        <v>0.46150000000000002</v>
      </c>
      <c r="AF13" s="3492">
        <f>'3. Показатели за качество'!I18</f>
        <v>0.46650000000000003</v>
      </c>
      <c r="AG13" s="3492">
        <f>'3. Показатели за качество'!J18</f>
        <v>0.4738</v>
      </c>
      <c r="AH13" s="3441">
        <f>'3. Показатели за качество'!M18</f>
        <v>0.4738</v>
      </c>
      <c r="AI13" s="3493">
        <v>0.75</v>
      </c>
    </row>
    <row r="14" spans="1:35" ht="15.9" customHeight="1">
      <c r="A14" s="5583"/>
      <c r="B14" s="5583"/>
      <c r="C14" s="4368" t="str">
        <f>+'15. ОПП'!$B$7</f>
        <v>2024 г.</v>
      </c>
      <c r="D14" s="4368" t="str">
        <f>+'15. ОПП'!$C$7</f>
        <v>2027 г.</v>
      </c>
      <c r="E14" s="4368" t="str">
        <f>+'15. ОПП'!$D$7</f>
        <v>2028 г.</v>
      </c>
      <c r="F14" s="4368" t="str">
        <f>+'15. ОПП'!$E$7</f>
        <v>2029 г.</v>
      </c>
      <c r="G14" s="4368" t="str">
        <f>+'15. ОПП'!$F$7</f>
        <v>2030 г.</v>
      </c>
      <c r="H14" s="4368" t="str">
        <f>+'15. ОПП'!$G$7</f>
        <v>2031 г.</v>
      </c>
      <c r="J14" s="3496" t="s">
        <v>350</v>
      </c>
      <c r="K14" s="3497" t="s">
        <v>1548</v>
      </c>
      <c r="L14" s="3702"/>
      <c r="M14" s="3499">
        <f>'6. Ел.Енергия'!D66/1000</f>
        <v>0</v>
      </c>
      <c r="N14" s="3499">
        <f>'6. Ел.Енергия'!E66/1000</f>
        <v>0</v>
      </c>
      <c r="O14" s="3499">
        <f>'6. Ел.Енергия'!F66/1000</f>
        <v>0</v>
      </c>
      <c r="P14" s="3499">
        <f>'6. Ел.Енергия'!G66/1000</f>
        <v>0</v>
      </c>
      <c r="Q14" s="3499">
        <f>'6. Ел.Енергия'!H66/1000</f>
        <v>0</v>
      </c>
      <c r="R14" s="3702"/>
      <c r="S14" s="3499">
        <f>'6. Ел.Енергия'!W66</f>
        <v>0</v>
      </c>
      <c r="T14" s="3499">
        <f>'6. Ел.Енергия'!X66</f>
        <v>0</v>
      </c>
      <c r="U14" s="3499">
        <f>'6. Ел.Енергия'!Y66</f>
        <v>0</v>
      </c>
      <c r="V14" s="3499">
        <f>'6. Ел.Енергия'!Z66</f>
        <v>0</v>
      </c>
      <c r="W14" s="3499">
        <f>'6. Ел.Енергия'!AA66</f>
        <v>0</v>
      </c>
      <c r="Y14" s="3489" t="s">
        <v>123</v>
      </c>
      <c r="Z14" s="3490" t="s">
        <v>760</v>
      </c>
      <c r="AA14" s="3491" t="s">
        <v>170</v>
      </c>
      <c r="AB14" s="3492">
        <f>'3. Показатели за качество'!E19</f>
        <v>0.39860000000000001</v>
      </c>
      <c r="AC14" s="3492">
        <f>'3. Показатели за качество'!F19</f>
        <v>0.42659999999999998</v>
      </c>
      <c r="AD14" s="3492">
        <f>'3. Показатели за качество'!G19</f>
        <v>0.42759999999999998</v>
      </c>
      <c r="AE14" s="3492">
        <f>'3. Показатели за качество'!H19</f>
        <v>0.4304</v>
      </c>
      <c r="AF14" s="3492">
        <f>'3. Показатели за качество'!I19</f>
        <v>0.43540000000000001</v>
      </c>
      <c r="AG14" s="3492">
        <f>'3. Показатели за качество'!J19</f>
        <v>0.44269999999999998</v>
      </c>
      <c r="AH14" s="3441">
        <f>'3. Показатели за качество'!M19</f>
        <v>0.44269999999999998</v>
      </c>
      <c r="AI14" s="3493">
        <v>0.75</v>
      </c>
    </row>
    <row r="15" spans="1:35" ht="15.9" customHeight="1">
      <c r="A15" s="3512" t="s">
        <v>1006</v>
      </c>
      <c r="B15" s="3421" t="s">
        <v>784</v>
      </c>
      <c r="C15" s="3488">
        <f>'2. Променливи'!E21</f>
        <v>247</v>
      </c>
      <c r="D15" s="3488">
        <f>'2. Променливи'!F21</f>
        <v>247</v>
      </c>
      <c r="E15" s="3488">
        <f>'2. Променливи'!G21</f>
        <v>247</v>
      </c>
      <c r="F15" s="3488">
        <f>'2. Променливи'!H21</f>
        <v>247</v>
      </c>
      <c r="G15" s="3488">
        <f>'2. Променливи'!I21</f>
        <v>247</v>
      </c>
      <c r="H15" s="3488">
        <f>'2. Променливи'!J21</f>
        <v>247</v>
      </c>
      <c r="J15" s="3511" t="s">
        <v>1236</v>
      </c>
      <c r="K15" s="3495" t="s">
        <v>1548</v>
      </c>
      <c r="L15" s="3495">
        <f>'6. Ел.Енергия'!C81/1000</f>
        <v>1504.867</v>
      </c>
      <c r="M15" s="3495">
        <f>'6. Ел.Енергия'!D81/1000</f>
        <v>1487.8473023333333</v>
      </c>
      <c r="N15" s="3495">
        <f>'6. Ел.Енергия'!E81/1000</f>
        <v>1489.7393023333334</v>
      </c>
      <c r="O15" s="3495">
        <f>'6. Ел.Енергия'!F81/1000</f>
        <v>1491.6343023333334</v>
      </c>
      <c r="P15" s="3495">
        <f>'6. Ел.Енергия'!G81/1000</f>
        <v>1493.5323023333333</v>
      </c>
      <c r="Q15" s="3495">
        <f>'6. Ел.Енергия'!H81/1000</f>
        <v>1495.4363023333333</v>
      </c>
      <c r="R15" s="3495">
        <f>'6. Ел.Енергия'!V81</f>
        <v>139.79579000598454</v>
      </c>
      <c r="S15" s="3495">
        <f>'6. Ел.Енергия'!W81</f>
        <v>197.96978104250471</v>
      </c>
      <c r="T15" s="3495">
        <f>'6. Ел.Енергия'!X81</f>
        <v>198.21017291104872</v>
      </c>
      <c r="U15" s="3495">
        <f>'6. Ел.Енергия'!Y81</f>
        <v>198.45091293562024</v>
      </c>
      <c r="V15" s="3495">
        <f>'6. Ел.Енергия'!Z81</f>
        <v>198.69203256067024</v>
      </c>
      <c r="W15" s="3495">
        <f>'6. Ел.Енергия'!AA81</f>
        <v>198.93391138667687</v>
      </c>
      <c r="Y15" s="3489" t="s">
        <v>124</v>
      </c>
      <c r="Z15" s="3490" t="s">
        <v>761</v>
      </c>
      <c r="AA15" s="3491" t="s">
        <v>170</v>
      </c>
      <c r="AB15" s="3492">
        <f>'3. Показатели за качество'!E20</f>
        <v>0.97919999999999996</v>
      </c>
      <c r="AC15" s="3492">
        <f>'3. Показатели за качество'!F20</f>
        <v>0.93100000000000005</v>
      </c>
      <c r="AD15" s="3492">
        <f>'3. Показатели за качество'!G20</f>
        <v>0.93100000000000005</v>
      </c>
      <c r="AE15" s="3492">
        <f>'3. Показатели за качество'!H20</f>
        <v>0.93100000000000005</v>
      </c>
      <c r="AF15" s="3492">
        <f>'3. Показатели за качество'!I20</f>
        <v>0.93100000000000005</v>
      </c>
      <c r="AG15" s="3492">
        <f>'3. Показатели за качество'!J20</f>
        <v>0.94830000000000003</v>
      </c>
      <c r="AH15" s="3441">
        <f>'3. Показатели за качество'!M20</f>
        <v>0.94</v>
      </c>
      <c r="AI15" s="3493">
        <v>0.93</v>
      </c>
    </row>
    <row r="16" spans="1:35" ht="15.9" customHeight="1">
      <c r="A16" s="3512" t="s">
        <v>861</v>
      </c>
      <c r="B16" s="3421" t="s">
        <v>784</v>
      </c>
      <c r="C16" s="3488">
        <f>'2. Променливи'!E22</f>
        <v>0</v>
      </c>
      <c r="D16" s="3488">
        <f>'2. Променливи'!F22</f>
        <v>0</v>
      </c>
      <c r="E16" s="3488">
        <f>'2. Променливи'!G22</f>
        <v>0</v>
      </c>
      <c r="F16" s="3488">
        <f>'2. Променливи'!H22</f>
        <v>0</v>
      </c>
      <c r="G16" s="3488">
        <f>'2. Променливи'!I22</f>
        <v>0</v>
      </c>
      <c r="H16" s="3488">
        <f>'2. Променливи'!J22</f>
        <v>0</v>
      </c>
      <c r="J16" s="3496" t="s">
        <v>350</v>
      </c>
      <c r="K16" s="3497" t="s">
        <v>1548</v>
      </c>
      <c r="L16" s="3702"/>
      <c r="M16" s="3499">
        <f>'6. Ел.Енергия'!D82/1000</f>
        <v>-17.019697666666705</v>
      </c>
      <c r="N16" s="3499">
        <f>'6. Ел.Енергия'!E82/1000</f>
        <v>1.8919999999999999</v>
      </c>
      <c r="O16" s="3499">
        <f>'6. Ел.Енергия'!F82/1000</f>
        <v>1.895</v>
      </c>
      <c r="P16" s="3499">
        <f>'6. Ел.Енергия'!G82/1000</f>
        <v>1.8979999999999999</v>
      </c>
      <c r="Q16" s="3499">
        <f>'6. Ел.Енергия'!H82/1000</f>
        <v>1.9039999999999999</v>
      </c>
      <c r="R16" s="3702"/>
      <c r="S16" s="3499">
        <f>'6. Ел.Енергия'!W82</f>
        <v>58.173991036520164</v>
      </c>
      <c r="T16" s="3499">
        <f>'6. Ел.Енергия'!X82</f>
        <v>0.24039186854400896</v>
      </c>
      <c r="U16" s="3499">
        <f>'6. Ел.Енергия'!Y82</f>
        <v>0.24074002457152233</v>
      </c>
      <c r="V16" s="3499">
        <f>'6. Ел.Енергия'!Z82</f>
        <v>0.24111962505000406</v>
      </c>
      <c r="W16" s="3499">
        <f>'6. Ел.Енергия'!AA82</f>
        <v>0.24187882600662647</v>
      </c>
      <c r="Y16" s="3489" t="s">
        <v>125</v>
      </c>
      <c r="Z16" s="3490" t="s">
        <v>762</v>
      </c>
      <c r="AA16" s="3491" t="s">
        <v>749</v>
      </c>
      <c r="AB16" s="3508">
        <f>'3. Показатели за качество'!E21</f>
        <v>40.28</v>
      </c>
      <c r="AC16" s="3508">
        <f>'3. Показатели за качество'!F21</f>
        <v>39.799999999999997</v>
      </c>
      <c r="AD16" s="3508">
        <f>'3. Показатели за качество'!G21</f>
        <v>39.54</v>
      </c>
      <c r="AE16" s="3508">
        <f>'3. Показатели за качество'!H21</f>
        <v>38.26</v>
      </c>
      <c r="AF16" s="3508">
        <f>'3. Показатели за качество'!I21</f>
        <v>37.619999999999997</v>
      </c>
      <c r="AG16" s="3508">
        <f>'3. Показатели за качество'!J21</f>
        <v>35.07</v>
      </c>
      <c r="AH16" s="3509">
        <f>'3. Показатели за качество'!M21</f>
        <v>35.07</v>
      </c>
      <c r="AI16" s="3440">
        <v>120</v>
      </c>
    </row>
    <row r="17" spans="1:35" ht="15.9" customHeight="1">
      <c r="A17" s="3512" t="s">
        <v>862</v>
      </c>
      <c r="B17" s="3422" t="s">
        <v>784</v>
      </c>
      <c r="C17" s="3488">
        <f>'2. Променливи'!E23</f>
        <v>200</v>
      </c>
      <c r="D17" s="3488">
        <f>'2. Променливи'!F23</f>
        <v>200</v>
      </c>
      <c r="E17" s="3488">
        <f>'2. Променливи'!G23</f>
        <v>200</v>
      </c>
      <c r="F17" s="3488">
        <f>'2. Променливи'!H23</f>
        <v>200</v>
      </c>
      <c r="G17" s="3488">
        <f>'2. Променливи'!I23</f>
        <v>200</v>
      </c>
      <c r="H17" s="3488">
        <f>'2. Променливи'!J23</f>
        <v>200</v>
      </c>
      <c r="J17" s="3513" t="s">
        <v>1725</v>
      </c>
      <c r="K17" s="3497" t="s">
        <v>1548</v>
      </c>
      <c r="L17" s="3497">
        <f>'6. Ел.Енергия'!C94/1000</f>
        <v>219.81452354358922</v>
      </c>
      <c r="M17" s="3497">
        <f>'6. Ел.Енергия'!D94/1000</f>
        <v>231.18345718119642</v>
      </c>
      <c r="N17" s="3497">
        <f>'6. Ел.Енергия'!E94/1000</f>
        <v>231.18345718119642</v>
      </c>
      <c r="O17" s="3497">
        <f>'6. Ел.Енергия'!F94/1000</f>
        <v>231.18345718119642</v>
      </c>
      <c r="P17" s="3497">
        <f>'6. Ел.Енергия'!G94/1000</f>
        <v>231.18345718119642</v>
      </c>
      <c r="Q17" s="3497">
        <f>'6. Ел.Енергия'!H94/1000</f>
        <v>231.18345718119642</v>
      </c>
      <c r="R17" s="3497">
        <f>'6. Ел.Енергия'!V94</f>
        <v>27.852465900980185</v>
      </c>
      <c r="S17" s="3497">
        <f>'6. Ел.Енергия'!W94</f>
        <v>34.767440421746244</v>
      </c>
      <c r="T17" s="3497">
        <f>'6. Ел.Енергия'!X94</f>
        <v>34.767440421746244</v>
      </c>
      <c r="U17" s="3497">
        <f>'6. Ел.Енергия'!Y94</f>
        <v>34.767440421746244</v>
      </c>
      <c r="V17" s="3497">
        <f>'6. Ел.Енергия'!Z94</f>
        <v>34.767440421746244</v>
      </c>
      <c r="W17" s="3497">
        <f>'6. Ел.Енергия'!AA94</f>
        <v>34.767440421746244</v>
      </c>
      <c r="Y17" s="3489" t="s">
        <v>126</v>
      </c>
      <c r="Z17" s="3490" t="s">
        <v>763</v>
      </c>
      <c r="AA17" s="3491" t="s">
        <v>750</v>
      </c>
      <c r="AB17" s="3506">
        <f>'3. Показатели за качество'!E22</f>
        <v>0</v>
      </c>
      <c r="AC17" s="3506">
        <f>'3. Показатели за качество'!F22</f>
        <v>0</v>
      </c>
      <c r="AD17" s="3506">
        <f>'3. Показатели за качество'!G22</f>
        <v>0.153</v>
      </c>
      <c r="AE17" s="3506">
        <f>'3. Показатели за качество'!H22</f>
        <v>0</v>
      </c>
      <c r="AF17" s="3506">
        <f>'3. Показатели за качество'!I22</f>
        <v>0.153</v>
      </c>
      <c r="AG17" s="3506">
        <f>'3. Показатели за качество'!J22</f>
        <v>0</v>
      </c>
      <c r="AH17" s="3507">
        <f>'3. Показатели за качество'!M22</f>
        <v>0</v>
      </c>
      <c r="AI17" s="3440">
        <v>0.5</v>
      </c>
    </row>
    <row r="18" spans="1:35" ht="15.9" customHeight="1">
      <c r="A18" s="3512" t="s">
        <v>863</v>
      </c>
      <c r="B18" s="3421" t="s">
        <v>784</v>
      </c>
      <c r="C18" s="3488">
        <f>'2. Променливи'!E24</f>
        <v>89</v>
      </c>
      <c r="D18" s="3488">
        <f>'2. Променливи'!F24</f>
        <v>89</v>
      </c>
      <c r="E18" s="3488">
        <f>'2. Променливи'!G24</f>
        <v>89</v>
      </c>
      <c r="F18" s="3488">
        <f>'2. Променливи'!H24</f>
        <v>89</v>
      </c>
      <c r="G18" s="3488">
        <f>'2. Променливи'!I24</f>
        <v>89</v>
      </c>
      <c r="H18" s="3488">
        <f>'2. Променливи'!J24</f>
        <v>89</v>
      </c>
      <c r="J18" s="3505" t="s">
        <v>1552</v>
      </c>
      <c r="K18" s="3495" t="s">
        <v>1548</v>
      </c>
      <c r="L18" s="3495">
        <f>SUM(L5,L8,L10,L13,L15,L17)</f>
        <v>11193.195523543589</v>
      </c>
      <c r="M18" s="3495">
        <f t="shared" ref="M18:W18" si="0">SUM(M5,M8,M10,M13,M15,M17)</f>
        <v>11117.981411514529</v>
      </c>
      <c r="N18" s="3495">
        <f t="shared" si="0"/>
        <v>10983.23567951453</v>
      </c>
      <c r="O18" s="3495">
        <f t="shared" si="0"/>
        <v>10809.64060751453</v>
      </c>
      <c r="P18" s="3495">
        <f t="shared" si="0"/>
        <v>10563.193651514528</v>
      </c>
      <c r="Q18" s="3495">
        <f t="shared" si="0"/>
        <v>10242.73034951453</v>
      </c>
      <c r="R18" s="3495">
        <f t="shared" si="0"/>
        <v>1229.2869312873192</v>
      </c>
      <c r="S18" s="3495">
        <f t="shared" si="0"/>
        <v>1552.573111736137</v>
      </c>
      <c r="T18" s="3495">
        <f t="shared" si="0"/>
        <v>1533.6481052557965</v>
      </c>
      <c r="U18" s="3495">
        <f t="shared" si="0"/>
        <v>1509.1942836377348</v>
      </c>
      <c r="V18" s="3495">
        <f t="shared" si="0"/>
        <v>1474.3745991198527</v>
      </c>
      <c r="W18" s="3495">
        <f t="shared" si="0"/>
        <v>1428.9317312917767</v>
      </c>
      <c r="Y18" s="3489" t="s">
        <v>127</v>
      </c>
      <c r="Z18" s="3490" t="s">
        <v>1588</v>
      </c>
      <c r="AA18" s="3491" t="s">
        <v>1589</v>
      </c>
      <c r="AB18" s="3506">
        <f>'3. Показатели за качество'!E23</f>
        <v>0.81599999999999995</v>
      </c>
      <c r="AC18" s="3506">
        <f>'3. Показатели за качество'!F23</f>
        <v>0.81599999999999995</v>
      </c>
      <c r="AD18" s="3506">
        <f>'3. Показатели за качество'!G23</f>
        <v>0.81399999999999995</v>
      </c>
      <c r="AE18" s="3506">
        <f>'3. Показатели за качество'!H23</f>
        <v>0.81</v>
      </c>
      <c r="AF18" s="3506">
        <f>'3. Показатели за качество'!I23</f>
        <v>0.80200000000000005</v>
      </c>
      <c r="AG18" s="3506">
        <f>'3. Показатели за качество'!J23</f>
        <v>0.79200000000000004</v>
      </c>
      <c r="AH18" s="3507">
        <f>'3. Показатели за качество'!M23</f>
        <v>0.79200000000000004</v>
      </c>
      <c r="AI18" s="3440">
        <v>0.45</v>
      </c>
    </row>
    <row r="19" spans="1:35" ht="15.9" customHeight="1">
      <c r="A19" s="3512" t="s">
        <v>1527</v>
      </c>
      <c r="B19" s="3422" t="s">
        <v>812</v>
      </c>
      <c r="C19" s="3488">
        <f>'2. Променливи'!E25</f>
        <v>1807.8504200000002</v>
      </c>
      <c r="D19" s="3488">
        <f>'2. Променливи'!F25</f>
        <v>1817.20642</v>
      </c>
      <c r="E19" s="3488">
        <f>'2. Променливи'!G25</f>
        <v>1818.70642</v>
      </c>
      <c r="F19" s="3488">
        <f>'2. Променливи'!H25</f>
        <v>1818.7564199999999</v>
      </c>
      <c r="G19" s="3488">
        <f>'2. Променливи'!I25</f>
        <v>1818.77142</v>
      </c>
      <c r="H19" s="3488">
        <f>'2. Променливи'!J25</f>
        <v>1818.9514199999999</v>
      </c>
      <c r="J19" s="3516" t="s">
        <v>1551</v>
      </c>
      <c r="K19" s="3495" t="s">
        <v>170</v>
      </c>
      <c r="L19" s="3498"/>
      <c r="M19" s="3517">
        <f>IFERROR((M18-L18)/L18,0)</f>
        <v>-6.7196281768558113E-3</v>
      </c>
      <c r="N19" s="3517">
        <f t="shared" ref="N19:Q19" si="1">IFERROR((N18-M18)/M18,0)</f>
        <v>-1.2119621990053668E-2</v>
      </c>
      <c r="O19" s="3517">
        <f t="shared" si="1"/>
        <v>-1.5805458160547563E-2</v>
      </c>
      <c r="P19" s="3517">
        <f t="shared" si="1"/>
        <v>-2.2798811260078274E-2</v>
      </c>
      <c r="Q19" s="3517">
        <f t="shared" si="1"/>
        <v>-3.03377285859046E-2</v>
      </c>
      <c r="R19" s="3518"/>
      <c r="S19" s="3517">
        <f t="shared" ref="S19:W19" si="2">IFERROR((S18-R18)/R18,0)</f>
        <v>0.26298675453278414</v>
      </c>
      <c r="T19" s="3517">
        <f t="shared" si="2"/>
        <v>-1.2189446240749283E-2</v>
      </c>
      <c r="U19" s="3517">
        <f t="shared" si="2"/>
        <v>-1.5944871274093934E-2</v>
      </c>
      <c r="V19" s="3517">
        <f t="shared" si="2"/>
        <v>-2.307170448191288E-2</v>
      </c>
      <c r="W19" s="3517">
        <f t="shared" si="2"/>
        <v>-3.0821792409611335E-2</v>
      </c>
      <c r="Y19" s="3489" t="s">
        <v>128</v>
      </c>
      <c r="Z19" s="3490" t="s">
        <v>764</v>
      </c>
      <c r="AA19" s="3491" t="s">
        <v>1589</v>
      </c>
      <c r="AB19" s="3506">
        <f>'3. Показатели за качество'!E24</f>
        <v>0.29799999999999999</v>
      </c>
      <c r="AC19" s="3506">
        <f>'3. Показатели за качество'!F24</f>
        <v>0.29199999999999998</v>
      </c>
      <c r="AD19" s="3506">
        <f>'3. Показатели за качество'!G24</f>
        <v>0.28999999999999998</v>
      </c>
      <c r="AE19" s="3506">
        <f>'3. Показатели за качество'!H24</f>
        <v>0.28799999999999998</v>
      </c>
      <c r="AF19" s="3506">
        <f>'3. Показатели за качество'!I24</f>
        <v>0.28599999999999998</v>
      </c>
      <c r="AG19" s="3506">
        <f>'3. Показатели за качество'!J24</f>
        <v>0.28499999999999998</v>
      </c>
      <c r="AH19" s="3507">
        <f>'3. Показатели за качество'!M24</f>
        <v>0.28499999999999998</v>
      </c>
      <c r="AI19" s="3440">
        <v>0.25</v>
      </c>
    </row>
    <row r="20" spans="1:35" ht="15.9" customHeight="1">
      <c r="A20" s="3514" t="s">
        <v>1526</v>
      </c>
      <c r="B20" s="3422" t="s">
        <v>784</v>
      </c>
      <c r="C20" s="3515">
        <f>'2. Променливи'!E27</f>
        <v>102</v>
      </c>
      <c r="D20" s="3515">
        <f>'2. Променливи'!F27</f>
        <v>122</v>
      </c>
      <c r="E20" s="3515">
        <f>'2. Променливи'!G27</f>
        <v>125</v>
      </c>
      <c r="F20" s="3515">
        <f>'2. Променливи'!H27</f>
        <v>130</v>
      </c>
      <c r="G20" s="3515">
        <f>'2. Променливи'!I27</f>
        <v>136</v>
      </c>
      <c r="H20" s="3515">
        <f>'2. Променливи'!J27</f>
        <v>138</v>
      </c>
      <c r="J20" s="4104" t="str">
        <f>CONCATENATE("Темп на изменение спрямо ",L4)</f>
        <v>Темп на изменение спрямо 2024 г.</v>
      </c>
      <c r="K20" s="3495" t="s">
        <v>170</v>
      </c>
      <c r="L20" s="3498"/>
      <c r="M20" s="3519">
        <f>IFERROR((M18-$L$18)/$L$18,0)</f>
        <v>-6.7196281768558113E-3</v>
      </c>
      <c r="N20" s="3519">
        <f t="shared" ref="N20:Q20" si="3">IFERROR((N18-$L$18)/$L$18,0)</f>
        <v>-1.8757810813492273E-2</v>
      </c>
      <c r="O20" s="3519">
        <f t="shared" si="3"/>
        <v>-3.426679318004372E-2</v>
      </c>
      <c r="P20" s="3519">
        <f t="shared" si="3"/>
        <v>-5.6284362289922035E-2</v>
      </c>
      <c r="Q20" s="3519">
        <f t="shared" si="3"/>
        <v>-8.4914551169044256E-2</v>
      </c>
      <c r="R20" s="3520"/>
      <c r="S20" s="3519">
        <f>IFERROR((S18-$R$18)/$R$18,0)</f>
        <v>0.26298675453278414</v>
      </c>
      <c r="T20" s="3519">
        <f t="shared" ref="T20:W20" si="4">IFERROR((T18-$R$18)/$R$18,0)</f>
        <v>0.24759164538562836</v>
      </c>
      <c r="U20" s="3519">
        <f t="shared" si="4"/>
        <v>0.22769895719731947</v>
      </c>
      <c r="V20" s="3519">
        <f t="shared" si="4"/>
        <v>0.19937384966411031</v>
      </c>
      <c r="W20" s="3519">
        <f t="shared" si="4"/>
        <v>0.16240699784824672</v>
      </c>
      <c r="Y20" s="3489" t="s">
        <v>129</v>
      </c>
      <c r="Z20" s="3490" t="s">
        <v>765</v>
      </c>
      <c r="AA20" s="3491" t="s">
        <v>170</v>
      </c>
      <c r="AB20" s="3492">
        <f>'3. Показатели за качество'!E25</f>
        <v>0.97909999999999997</v>
      </c>
      <c r="AC20" s="3492">
        <f>'3. Показатели за качество'!F25</f>
        <v>0.98280000000000001</v>
      </c>
      <c r="AD20" s="3492">
        <f>'3. Показатели за качество'!G25</f>
        <v>0.98280000000000001</v>
      </c>
      <c r="AE20" s="3492">
        <f>'3. Показатели за качество'!H25</f>
        <v>0.98280000000000001</v>
      </c>
      <c r="AF20" s="3492">
        <f>'3. Показатели за качество'!I25</f>
        <v>0.98280000000000001</v>
      </c>
      <c r="AG20" s="3492">
        <f>'3. Показатели за качество'!J25</f>
        <v>0.98280000000000001</v>
      </c>
      <c r="AH20" s="3441">
        <f>'3. Показатели за качество'!M25</f>
        <v>0.98260000000000003</v>
      </c>
      <c r="AI20" s="3493">
        <v>1</v>
      </c>
    </row>
    <row r="21" spans="1:35" ht="18.75" customHeight="1">
      <c r="A21" s="3512" t="s">
        <v>1528</v>
      </c>
      <c r="B21" s="3422" t="s">
        <v>784</v>
      </c>
      <c r="C21" s="3515">
        <f>'2. Променливи'!E28</f>
        <v>53536</v>
      </c>
      <c r="D21" s="3515">
        <f>'2. Променливи'!F28</f>
        <v>53681</v>
      </c>
      <c r="E21" s="3515">
        <f>'2. Променливи'!G28</f>
        <v>53735</v>
      </c>
      <c r="F21" s="3515">
        <f>'2. Променливи'!H28</f>
        <v>53792</v>
      </c>
      <c r="G21" s="3515">
        <f>'2. Променливи'!I28</f>
        <v>53850</v>
      </c>
      <c r="H21" s="3515">
        <f>'2. Променливи'!J28</f>
        <v>53911</v>
      </c>
      <c r="J21" s="3522" t="s">
        <v>606</v>
      </c>
      <c r="K21" s="3497" t="s">
        <v>1548</v>
      </c>
      <c r="L21" s="3497">
        <f>'6. Ел.Енергия'!C95/1000</f>
        <v>9.3476456410391859E-2</v>
      </c>
      <c r="M21" s="3497">
        <f>'6. Ел.Енергия'!D95/1000</f>
        <v>17</v>
      </c>
      <c r="N21" s="3497">
        <f>'6. Ел.Енергия'!E95/1000</f>
        <v>17</v>
      </c>
      <c r="O21" s="3497">
        <f>'6. Ел.Енергия'!F95/1000</f>
        <v>17</v>
      </c>
      <c r="P21" s="3497">
        <f>'6. Ел.Енергия'!G95/1000</f>
        <v>17</v>
      </c>
      <c r="Q21" s="3497">
        <f>'6. Ел.Енергия'!H95/1000</f>
        <v>17</v>
      </c>
      <c r="R21" s="3497">
        <f>'6. Ел.Енергия'!V95</f>
        <v>0.3144905489344873</v>
      </c>
      <c r="S21" s="3497">
        <f>'6. Ел.Енергия'!W95</f>
        <v>2.756903728982286</v>
      </c>
      <c r="T21" s="3497">
        <f>'6. Ел.Енергия'!X95</f>
        <v>2.756903728982286</v>
      </c>
      <c r="U21" s="3497">
        <f>'6. Ел.Енергия'!Y95</f>
        <v>2.756903728982286</v>
      </c>
      <c r="V21" s="3497">
        <f>'6. Ел.Енергия'!Z95</f>
        <v>2.756903728982286</v>
      </c>
      <c r="W21" s="3497">
        <f>'6. Ел.Енергия'!AA95</f>
        <v>2.756903728982286</v>
      </c>
      <c r="Y21" s="3489" t="s">
        <v>130</v>
      </c>
      <c r="Z21" s="3490" t="s">
        <v>766</v>
      </c>
      <c r="AA21" s="3491" t="s">
        <v>170</v>
      </c>
      <c r="AB21" s="3492">
        <f>'3. Показатели за качество'!E26</f>
        <v>4.3E-3</v>
      </c>
      <c r="AC21" s="3492">
        <f>'3. Показатели за качество'!F26</f>
        <v>4.5999999999999999E-3</v>
      </c>
      <c r="AD21" s="3492">
        <f>'3. Показатели за качество'!G26</f>
        <v>5.1999999999999998E-3</v>
      </c>
      <c r="AE21" s="3492">
        <f>'3. Показатели за качество'!H26</f>
        <v>5.7999999999999996E-3</v>
      </c>
      <c r="AF21" s="3492">
        <f>'3. Показатели за качество'!I26</f>
        <v>6.4000000000000003E-3</v>
      </c>
      <c r="AG21" s="3492">
        <f>'3. Показатели за качество'!J26</f>
        <v>7.0000000000000001E-3</v>
      </c>
      <c r="AH21" s="3441">
        <f>'3. Показатели за качество'!M26</f>
        <v>7.0000000000000001E-3</v>
      </c>
      <c r="AI21" s="3521">
        <v>1.2500000000000001E-2</v>
      </c>
    </row>
    <row r="22" spans="1:35" ht="15.75" customHeight="1">
      <c r="A22" s="3512" t="s">
        <v>1530</v>
      </c>
      <c r="B22" s="3422" t="s">
        <v>784</v>
      </c>
      <c r="C22" s="3515">
        <f>'2. Променливи'!E29</f>
        <v>54280</v>
      </c>
      <c r="D22" s="3515">
        <f>'2. Променливи'!F29</f>
        <v>54425</v>
      </c>
      <c r="E22" s="3515">
        <f>'2. Променливи'!G29</f>
        <v>54479</v>
      </c>
      <c r="F22" s="3515">
        <f>'2. Променливи'!H29</f>
        <v>54536</v>
      </c>
      <c r="G22" s="3515">
        <f>'2. Променливи'!I29</f>
        <v>54594</v>
      </c>
      <c r="H22" s="3515">
        <f>'2. Променливи'!J29</f>
        <v>54655</v>
      </c>
      <c r="Y22" s="3489" t="s">
        <v>774</v>
      </c>
      <c r="Z22" s="3490" t="s">
        <v>775</v>
      </c>
      <c r="AA22" s="3491" t="s">
        <v>170</v>
      </c>
      <c r="AB22" s="3492">
        <f>'3. Показатели за качество'!E27</f>
        <v>5.1400000000000001E-2</v>
      </c>
      <c r="AC22" s="3492">
        <f>'3. Показатели за качество'!F27</f>
        <v>5.1700000000000003E-2</v>
      </c>
      <c r="AD22" s="3492">
        <f>'3. Показатели за качество'!G27</f>
        <v>5.1900000000000002E-2</v>
      </c>
      <c r="AE22" s="3492">
        <f>'3. Показатели за качество'!H27</f>
        <v>5.21E-2</v>
      </c>
      <c r="AF22" s="3492">
        <f>'3. Показатели за качество'!I27</f>
        <v>5.2200000000000003E-2</v>
      </c>
      <c r="AG22" s="3492">
        <f>'3. Показатели за качество'!J27</f>
        <v>5.2299999999999999E-2</v>
      </c>
      <c r="AH22" s="3441">
        <f>'3. Показатели за качество'!M27</f>
        <v>5.2299999999999999E-2</v>
      </c>
      <c r="AI22" s="3521">
        <v>1.2500000000000001E-2</v>
      </c>
    </row>
    <row r="23" spans="1:35" ht="15.9" customHeight="1">
      <c r="A23" s="3512" t="s">
        <v>1529</v>
      </c>
      <c r="B23" s="3422" t="s">
        <v>784</v>
      </c>
      <c r="C23" s="3515">
        <f>'2. Променливи'!E30</f>
        <v>10186</v>
      </c>
      <c r="D23" s="3515">
        <f>'2. Променливи'!F30</f>
        <v>10381</v>
      </c>
      <c r="E23" s="3515">
        <f>'2. Променливи'!G30</f>
        <v>10402</v>
      </c>
      <c r="F23" s="3515">
        <f>'2. Променливи'!H30</f>
        <v>10406</v>
      </c>
      <c r="G23" s="3515">
        <f>'2. Променливи'!I30</f>
        <v>10410</v>
      </c>
      <c r="H23" s="3515">
        <f>'2. Променливи'!J30</f>
        <v>10414</v>
      </c>
      <c r="Y23" s="3489" t="s">
        <v>131</v>
      </c>
      <c r="Z23" s="3490" t="s">
        <v>47</v>
      </c>
      <c r="AA23" s="3491" t="s">
        <v>1033</v>
      </c>
      <c r="AB23" s="3508">
        <f>'3. Показатели за качество'!E28</f>
        <v>1.05</v>
      </c>
      <c r="AC23" s="3508">
        <f>'3. Показатели за качество'!F28</f>
        <v>1.06</v>
      </c>
      <c r="AD23" s="3508">
        <f>'3. Показатели за качество'!G28</f>
        <v>1.06</v>
      </c>
      <c r="AE23" s="3508">
        <f>'3. Показатели за качество'!H28</f>
        <v>1.06</v>
      </c>
      <c r="AF23" s="3508">
        <f>'3. Показатели за качество'!I28</f>
        <v>1.05</v>
      </c>
      <c r="AG23" s="3508">
        <f>'3. Показатели за качество'!J28</f>
        <v>1.05</v>
      </c>
      <c r="AH23" s="3509">
        <f>'3. Показатели за качество'!M28</f>
        <v>1.1000000000000001</v>
      </c>
      <c r="AI23" s="3440">
        <v>1.1000000000000001</v>
      </c>
    </row>
    <row r="24" spans="1:35" ht="15.9" customHeight="1">
      <c r="A24" s="3512" t="s">
        <v>823</v>
      </c>
      <c r="B24" s="3422" t="s">
        <v>822</v>
      </c>
      <c r="C24" s="3515">
        <f>'2. Променливи'!E31</f>
        <v>151.45356999999998</v>
      </c>
      <c r="D24" s="3515">
        <f>'2. Променливи'!F31</f>
        <v>155.79843999999997</v>
      </c>
      <c r="E24" s="3515">
        <f>'2. Променливи'!G31</f>
        <v>156.81443999999996</v>
      </c>
      <c r="F24" s="3515">
        <f>'2. Променливи'!H31</f>
        <v>156.81443999999996</v>
      </c>
      <c r="G24" s="3515">
        <f>'2. Променливи'!I31</f>
        <v>156.81443999999996</v>
      </c>
      <c r="H24" s="3515">
        <f>'2. Променливи'!J31</f>
        <v>156.81443999999996</v>
      </c>
      <c r="Y24" s="3489" t="s">
        <v>132</v>
      </c>
      <c r="Z24" s="3490" t="s">
        <v>50</v>
      </c>
      <c r="AA24" s="3491" t="s">
        <v>1033</v>
      </c>
      <c r="AB24" s="3508">
        <f>'3. Показатели за качество'!E29</f>
        <v>0.97</v>
      </c>
      <c r="AC24" s="3508">
        <f>'3. Показатели за качество'!F29</f>
        <v>1.0900000000000001</v>
      </c>
      <c r="AD24" s="3508">
        <f>'3. Показатели за качество'!G29</f>
        <v>1.0900000000000001</v>
      </c>
      <c r="AE24" s="3508">
        <f>'3. Показатели за качество'!H29</f>
        <v>1.0900000000000001</v>
      </c>
      <c r="AF24" s="3508">
        <f>'3. Показатели за качество'!I29</f>
        <v>1.0900000000000001</v>
      </c>
      <c r="AG24" s="3508">
        <f>'3. Показатели за качество'!J29</f>
        <v>1.08</v>
      </c>
      <c r="AH24" s="3509">
        <f>'3. Показатели за качество'!M29</f>
        <v>1.1000000000000001</v>
      </c>
      <c r="AI24" s="3440">
        <v>1.1000000000000001</v>
      </c>
    </row>
    <row r="25" spans="1:35" ht="15.9" customHeight="1">
      <c r="A25" s="3512" t="s">
        <v>864</v>
      </c>
      <c r="B25" s="3421" t="s">
        <v>784</v>
      </c>
      <c r="C25" s="3515">
        <f>'2. Променливи'!E32</f>
        <v>1</v>
      </c>
      <c r="D25" s="3515">
        <f>'2. Променливи'!F32</f>
        <v>1</v>
      </c>
      <c r="E25" s="3515">
        <f>'2. Променливи'!G32</f>
        <v>1</v>
      </c>
      <c r="F25" s="3515">
        <f>'2. Променливи'!H32</f>
        <v>1</v>
      </c>
      <c r="G25" s="3515">
        <f>'2. Променливи'!I32</f>
        <v>1</v>
      </c>
      <c r="H25" s="3515">
        <f>'2. Променливи'!J32</f>
        <v>1</v>
      </c>
      <c r="Y25" s="3489" t="s">
        <v>133</v>
      </c>
      <c r="Z25" s="3490" t="s">
        <v>53</v>
      </c>
      <c r="AA25" s="3491" t="s">
        <v>1033</v>
      </c>
      <c r="AB25" s="3508">
        <f>'3. Показатели за качество'!E30</f>
        <v>1.08</v>
      </c>
      <c r="AC25" s="3508">
        <f>'3. Показатели за качество'!F30</f>
        <v>1.03</v>
      </c>
      <c r="AD25" s="3508">
        <f>'3. Показатели за качество'!G30</f>
        <v>1.03</v>
      </c>
      <c r="AE25" s="3508">
        <f>'3. Показатели за качество'!H30</f>
        <v>1.03</v>
      </c>
      <c r="AF25" s="3508">
        <f>'3. Показатели за качество'!I30</f>
        <v>1.03</v>
      </c>
      <c r="AG25" s="3508">
        <f>'3. Показатели за качество'!J30</f>
        <v>1.03</v>
      </c>
      <c r="AH25" s="3509">
        <f>'3. Показатели за качество'!M30</f>
        <v>1.1000000000000001</v>
      </c>
      <c r="AI25" s="3440">
        <v>1.1000000000000001</v>
      </c>
    </row>
    <row r="26" spans="1:35" ht="15.9" customHeight="1">
      <c r="A26" s="3512" t="s">
        <v>865</v>
      </c>
      <c r="B26" s="3421" t="s">
        <v>784</v>
      </c>
      <c r="C26" s="3515">
        <f>'2. Променливи'!E33</f>
        <v>4</v>
      </c>
      <c r="D26" s="3515">
        <f>'2. Променливи'!F33</f>
        <v>5</v>
      </c>
      <c r="E26" s="3515">
        <f>'2. Променливи'!G33</f>
        <v>5</v>
      </c>
      <c r="F26" s="3515">
        <f>'2. Променливи'!H33</f>
        <v>5</v>
      </c>
      <c r="G26" s="3515">
        <f>'2. Променливи'!I33</f>
        <v>5</v>
      </c>
      <c r="H26" s="3515">
        <f>'2. Променливи'!J33</f>
        <v>5</v>
      </c>
      <c r="Y26" s="3489" t="s">
        <v>134</v>
      </c>
      <c r="Z26" s="3490" t="s">
        <v>767</v>
      </c>
      <c r="AA26" s="3491" t="s">
        <v>170</v>
      </c>
      <c r="AB26" s="3492">
        <f>'3. Показатели за качество'!E31</f>
        <v>0.88600000000000001</v>
      </c>
      <c r="AC26" s="3492">
        <f>'3. Показатели за качество'!F31</f>
        <v>0.89219999999999999</v>
      </c>
      <c r="AD26" s="3492">
        <f>'3. Показатели за качество'!G31</f>
        <v>0.89800000000000002</v>
      </c>
      <c r="AE26" s="3492">
        <f>'3. Показатели за качество'!H31</f>
        <v>0.90159999999999996</v>
      </c>
      <c r="AF26" s="3492">
        <f>'3. Показатели за качество'!I31</f>
        <v>0.90759999999999996</v>
      </c>
      <c r="AG26" s="3492">
        <f>'3. Показатели за качество'!J31</f>
        <v>0.91720000000000002</v>
      </c>
      <c r="AH26" s="3441">
        <f>'3. Показатели за качество'!M31</f>
        <v>0.91710000000000003</v>
      </c>
      <c r="AI26" s="3493">
        <v>0.95</v>
      </c>
    </row>
    <row r="27" spans="1:35" ht="15.9" customHeight="1">
      <c r="J27" s="3483"/>
      <c r="Y27" s="3489" t="s">
        <v>776</v>
      </c>
      <c r="Z27" s="3490" t="s">
        <v>778</v>
      </c>
      <c r="AA27" s="3491" t="s">
        <v>170</v>
      </c>
      <c r="AB27" s="3492">
        <f>'3. Показатели за качество'!E32</f>
        <v>4.99E-2</v>
      </c>
      <c r="AC27" s="3492">
        <f>'3. Показатели за качество'!F32</f>
        <v>0.1341</v>
      </c>
      <c r="AD27" s="3492">
        <f>'3. Показатели за качество'!G32</f>
        <v>0.13600000000000001</v>
      </c>
      <c r="AE27" s="3492">
        <f>'3. Показатели за качество'!H32</f>
        <v>0.14130000000000001</v>
      </c>
      <c r="AF27" s="3492">
        <f>'3. Показатели за качество'!I32</f>
        <v>0.14779999999999999</v>
      </c>
      <c r="AG27" s="3492">
        <f>'3. Показатели за качество'!J32</f>
        <v>0.16470000000000001</v>
      </c>
      <c r="AH27" s="3441">
        <f>'3. Показатели за качество'!M32</f>
        <v>0.16470000000000001</v>
      </c>
      <c r="AI27" s="3493">
        <v>0.2</v>
      </c>
    </row>
    <row r="28" spans="1:35" ht="15.9" customHeight="1">
      <c r="A28" s="3483" t="s">
        <v>871</v>
      </c>
      <c r="Y28" s="3489" t="s">
        <v>777</v>
      </c>
      <c r="Z28" s="3490" t="s">
        <v>779</v>
      </c>
      <c r="AA28" s="3491" t="s">
        <v>170</v>
      </c>
      <c r="AB28" s="3492">
        <f>'3. Показатели за качество'!E33</f>
        <v>0.2049</v>
      </c>
      <c r="AC28" s="3492">
        <f>'3. Показатели за качество'!F33</f>
        <v>0.41880000000000001</v>
      </c>
      <c r="AD28" s="3492">
        <f>'3. Показатели за качество'!G33</f>
        <v>0.5121</v>
      </c>
      <c r="AE28" s="3492">
        <f>'3. Показатели за качество'!H33</f>
        <v>0.6179</v>
      </c>
      <c r="AF28" s="3492">
        <f>'3. Показатели за качество'!I33</f>
        <v>0.73019999999999996</v>
      </c>
      <c r="AG28" s="3492">
        <f>'3. Показатели за качество'!J33</f>
        <v>0.87439999999999996</v>
      </c>
      <c r="AH28" s="3441">
        <f>'3. Показатели за качество'!M33</f>
        <v>0.87439999999999996</v>
      </c>
      <c r="AI28" s="3493">
        <v>0.9</v>
      </c>
    </row>
    <row r="29" spans="1:35" ht="15.9" customHeight="1">
      <c r="A29" s="5609" t="s">
        <v>2</v>
      </c>
      <c r="B29" s="5611" t="s">
        <v>1533</v>
      </c>
      <c r="C29" s="5586" t="s">
        <v>922</v>
      </c>
      <c r="D29" s="5586"/>
      <c r="E29" s="5586"/>
      <c r="F29" s="5586"/>
      <c r="G29" s="5586"/>
      <c r="H29" s="5586"/>
      <c r="Y29" s="3489" t="s">
        <v>135</v>
      </c>
      <c r="Z29" s="3490" t="s">
        <v>768</v>
      </c>
      <c r="AA29" s="3491" t="s">
        <v>170</v>
      </c>
      <c r="AB29" s="3492">
        <f>'3. Показатели за качество'!E34</f>
        <v>0.98209999999999997</v>
      </c>
      <c r="AC29" s="3492">
        <f>'3. Показатели за качество'!F34</f>
        <v>1</v>
      </c>
      <c r="AD29" s="3492">
        <f>'3. Показатели за качество'!G34</f>
        <v>1</v>
      </c>
      <c r="AE29" s="3492">
        <f>'3. Показатели за качество'!H34</f>
        <v>1</v>
      </c>
      <c r="AF29" s="3492">
        <f>'3. Показатели за качество'!I34</f>
        <v>1</v>
      </c>
      <c r="AG29" s="3492">
        <f>'3. Показатели за качество'!J34</f>
        <v>1</v>
      </c>
      <c r="AH29" s="3441">
        <f>'3. Показатели за качество'!M34</f>
        <v>1</v>
      </c>
      <c r="AI29" s="3493">
        <v>1</v>
      </c>
    </row>
    <row r="30" spans="1:35" ht="15.9" customHeight="1">
      <c r="A30" s="5610"/>
      <c r="B30" s="5610"/>
      <c r="C30" s="4369" t="str">
        <f>+'15. ОПП'!$B$7</f>
        <v>2024 г.</v>
      </c>
      <c r="D30" s="4369" t="str">
        <f>+'15. ОПП'!$C$7</f>
        <v>2027 г.</v>
      </c>
      <c r="E30" s="4369" t="str">
        <f>+'15. ОПП'!$D$7</f>
        <v>2028 г.</v>
      </c>
      <c r="F30" s="4369" t="str">
        <f>+'15. ОПП'!$E$7</f>
        <v>2029 г.</v>
      </c>
      <c r="G30" s="4369" t="str">
        <f>+'15. ОПП'!$F$7</f>
        <v>2030 г.</v>
      </c>
      <c r="H30" s="4369" t="str">
        <f>+'15. ОПП'!$G$7</f>
        <v>2031 г.</v>
      </c>
      <c r="Y30" s="3489" t="s">
        <v>136</v>
      </c>
      <c r="Z30" s="3490" t="s">
        <v>769</v>
      </c>
      <c r="AA30" s="3491" t="s">
        <v>170</v>
      </c>
      <c r="AB30" s="3492">
        <f>'3. Показатели за качество'!E35</f>
        <v>1</v>
      </c>
      <c r="AC30" s="3492">
        <f>'3. Показатели за качество'!F35</f>
        <v>1</v>
      </c>
      <c r="AD30" s="3492">
        <f>'3. Показатели за качество'!G35</f>
        <v>1</v>
      </c>
      <c r="AE30" s="3492">
        <f>'3. Показатели за качество'!H35</f>
        <v>1</v>
      </c>
      <c r="AF30" s="3492">
        <f>'3. Показатели за качество'!I35</f>
        <v>1</v>
      </c>
      <c r="AG30" s="3492">
        <f>'3. Показатели за качество'!J35</f>
        <v>1</v>
      </c>
      <c r="AH30" s="3441">
        <f>'3. Показатели за качество'!M35</f>
        <v>1</v>
      </c>
      <c r="AI30" s="3493">
        <v>1</v>
      </c>
    </row>
    <row r="31" spans="1:35" ht="15.9" customHeight="1">
      <c r="A31" s="5587" t="s">
        <v>168</v>
      </c>
      <c r="B31" s="5588"/>
      <c r="C31" s="5588"/>
      <c r="D31" s="5588"/>
      <c r="E31" s="5588"/>
      <c r="F31" s="5588"/>
      <c r="G31" s="5588"/>
      <c r="H31" s="5589"/>
      <c r="Y31" s="3489" t="s">
        <v>137</v>
      </c>
      <c r="Z31" s="3490" t="s">
        <v>770</v>
      </c>
      <c r="AA31" s="3491" t="s">
        <v>170</v>
      </c>
      <c r="AB31" s="3492">
        <f>'3. Показатели за качество'!E36</f>
        <v>1</v>
      </c>
      <c r="AC31" s="3492">
        <f>'3. Показатели за качество'!F36</f>
        <v>1</v>
      </c>
      <c r="AD31" s="3492">
        <f>'3. Показатели за качество'!G36</f>
        <v>1</v>
      </c>
      <c r="AE31" s="3492">
        <f>'3. Показатели за качество'!H36</f>
        <v>1</v>
      </c>
      <c r="AF31" s="3492">
        <f>'3. Показатели за качество'!I36</f>
        <v>1</v>
      </c>
      <c r="AG31" s="3492">
        <f>'3. Показатели за качество'!J36</f>
        <v>1</v>
      </c>
      <c r="AH31" s="3441">
        <f>'3. Показатели за качество'!M36</f>
        <v>1</v>
      </c>
      <c r="AI31" s="3493">
        <v>1</v>
      </c>
    </row>
    <row r="32" spans="1:35" ht="15.9" customHeight="1">
      <c r="A32" s="3469" t="s">
        <v>570</v>
      </c>
      <c r="B32" s="3470" t="s">
        <v>1531</v>
      </c>
      <c r="C32" s="3471">
        <f>'4. Отчет и прогн. потребление'!D9</f>
        <v>9507991</v>
      </c>
      <c r="D32" s="3471">
        <f>'4. Отчет и прогн. потребление'!E9</f>
        <v>9407000</v>
      </c>
      <c r="E32" s="3471">
        <f>'4. Отчет и прогн. потребление'!F9</f>
        <v>9282000</v>
      </c>
      <c r="F32" s="3471">
        <f>'4. Отчет и прогн. потребление'!G9</f>
        <v>9133000</v>
      </c>
      <c r="G32" s="3471">
        <f>'4. Отчет и прогн. потребление'!H9</f>
        <v>8933000</v>
      </c>
      <c r="H32" s="3471">
        <f>'4. Отчет и прогн. потребление'!I9</f>
        <v>8647500</v>
      </c>
      <c r="Y32" s="3489" t="s">
        <v>138</v>
      </c>
      <c r="Z32" s="3490" t="s">
        <v>771</v>
      </c>
      <c r="AA32" s="3491" t="s">
        <v>747</v>
      </c>
      <c r="AB32" s="3508">
        <f>'3. Показатели за качество'!E37</f>
        <v>5.18</v>
      </c>
      <c r="AC32" s="3508">
        <f>'3. Показатели за качество'!F37</f>
        <v>5.27</v>
      </c>
      <c r="AD32" s="3508">
        <f>'3. Показатели за качество'!G37</f>
        <v>5.21</v>
      </c>
      <c r="AE32" s="3508">
        <f>'3. Показатели за качество'!H37</f>
        <v>5.16</v>
      </c>
      <c r="AF32" s="3508">
        <f>'3. Показатели за качество'!I37</f>
        <v>5.1100000000000003</v>
      </c>
      <c r="AG32" s="3508">
        <f>'3. Показатели за качество'!J37</f>
        <v>5.0599999999999996</v>
      </c>
      <c r="AH32" s="3509">
        <f>'3. Показатели за качество'!M37</f>
        <v>5.0599999999999996</v>
      </c>
      <c r="AI32" s="3440">
        <v>4</v>
      </c>
    </row>
    <row r="33" spans="1:35" ht="15.9" customHeight="1">
      <c r="A33" s="5590" t="s">
        <v>571</v>
      </c>
      <c r="B33" s="3470" t="s">
        <v>1531</v>
      </c>
      <c r="C33" s="3472">
        <f>'4. Отчет и прогн. потребление'!D18</f>
        <v>4202757.0209999997</v>
      </c>
      <c r="D33" s="3472">
        <f>'4. Отчет и прогн. потребление'!E18</f>
        <v>4151003.2380000004</v>
      </c>
      <c r="E33" s="3472">
        <f>'4. Отчет и прогн. потребление'!F18</f>
        <v>4138111.7833795347</v>
      </c>
      <c r="F33" s="3472">
        <f>'4. Отчет и прогн. потребление'!G18</f>
        <v>4124040.2099647666</v>
      </c>
      <c r="G33" s="3472">
        <f>'4. Отчет и прогн. потребление'!H18</f>
        <v>4111073.925592544</v>
      </c>
      <c r="H33" s="3472">
        <f>'4. Отчет и прогн. потребление'!I18</f>
        <v>4101492.3642007206</v>
      </c>
      <c r="Y33" s="3489" t="s">
        <v>139</v>
      </c>
      <c r="Z33" s="3490" t="s">
        <v>772</v>
      </c>
      <c r="AA33" s="3491" t="s">
        <v>748</v>
      </c>
      <c r="AB33" s="3508">
        <f>'3. Показатели за качество'!E38</f>
        <v>5.33</v>
      </c>
      <c r="AC33" s="3508">
        <f>'3. Показатели за качество'!F38</f>
        <v>6.55</v>
      </c>
      <c r="AD33" s="3508">
        <f>'3. Показатели за качество'!G38</f>
        <v>6.44</v>
      </c>
      <c r="AE33" s="3508">
        <f>'3. Показатели за качество'!H38</f>
        <v>6.33</v>
      </c>
      <c r="AF33" s="3508">
        <f>'3. Показатели за качество'!I38</f>
        <v>6.23</v>
      </c>
      <c r="AG33" s="3508">
        <f>'3. Показатели за качество'!J38</f>
        <v>6.13</v>
      </c>
      <c r="AH33" s="3509">
        <f>'3. Показатели за качество'!M38</f>
        <v>6.15</v>
      </c>
      <c r="AI33" s="3440">
        <v>3</v>
      </c>
    </row>
    <row r="34" spans="1:35" ht="15.9" customHeight="1">
      <c r="A34" s="5590"/>
      <c r="B34" s="3470" t="s">
        <v>170</v>
      </c>
      <c r="C34" s="3473">
        <f>'4. Отчет и прогн. потребление'!D19</f>
        <v>0.44202366419993455</v>
      </c>
      <c r="D34" s="3473">
        <f>'4. Отчет и прогн. потребление'!E19</f>
        <v>0.44126748570213675</v>
      </c>
      <c r="E34" s="3473">
        <f>'4. Отчет и прогн. потребление'!F19</f>
        <v>0.44582113589523104</v>
      </c>
      <c r="F34" s="3473">
        <f>'4. Отчет и прогн. потребление'!G19</f>
        <v>0.45155372932932952</v>
      </c>
      <c r="G34" s="3473">
        <f>'4. Отчет и прогн. потребление'!H19</f>
        <v>0.46021201450716936</v>
      </c>
      <c r="H34" s="3473">
        <f>'4. Отчет и прогн. потребление'!I19</f>
        <v>0.47429804732011804</v>
      </c>
      <c r="Y34" s="3523"/>
      <c r="Z34" s="3524"/>
      <c r="AA34" s="3525"/>
      <c r="AB34" s="3526"/>
      <c r="AC34" s="3526"/>
      <c r="AD34" s="3526"/>
      <c r="AE34" s="3526"/>
      <c r="AF34" s="3526"/>
      <c r="AG34" s="3526"/>
      <c r="AH34" s="3527"/>
      <c r="AI34" s="3528"/>
    </row>
    <row r="35" spans="1:35" ht="15.9" customHeight="1">
      <c r="A35" s="5591" t="s">
        <v>572</v>
      </c>
      <c r="B35" s="3423" t="s">
        <v>1531</v>
      </c>
      <c r="C35" s="3424">
        <f>'4. Отчет и прогн. потребление'!D20</f>
        <v>3814422.0210000002</v>
      </c>
      <c r="D35" s="3424">
        <f>'4. Отчет и прогн. потребление'!E20</f>
        <v>3794968.2380000004</v>
      </c>
      <c r="E35" s="3424">
        <f>'4. Отчет и прогн. потребление'!F20</f>
        <v>3805086.7833795347</v>
      </c>
      <c r="F35" s="3424">
        <f>'4. Отчет и прогн. потребление'!G20</f>
        <v>3815024.2099647666</v>
      </c>
      <c r="G35" s="3424">
        <f>'4. Отчет и прогн. потребление'!H20</f>
        <v>3827067.925592544</v>
      </c>
      <c r="H35" s="3424">
        <f>'4. Отчет и прогн. потребление'!I20</f>
        <v>3843496.3642007206</v>
      </c>
      <c r="Y35" s="5599" t="s">
        <v>1592</v>
      </c>
      <c r="Z35" s="5600"/>
      <c r="AA35" s="5600"/>
      <c r="AB35" s="5600"/>
      <c r="AC35" s="5600"/>
      <c r="AD35" s="5600"/>
      <c r="AE35" s="5600"/>
      <c r="AF35" s="5600"/>
      <c r="AG35" s="5600"/>
      <c r="AH35" s="5600"/>
      <c r="AI35" s="5601"/>
    </row>
    <row r="36" spans="1:35" ht="42.75" customHeight="1">
      <c r="A36" s="5592"/>
      <c r="B36" s="3423" t="s">
        <v>170</v>
      </c>
      <c r="C36" s="3425">
        <f>'4. Отчет и прогн. потребление'!D21</f>
        <v>0.40118065120171026</v>
      </c>
      <c r="D36" s="3425">
        <f>'4. Отчет и прогн. потребление'!E21</f>
        <v>0.40341960646327207</v>
      </c>
      <c r="E36" s="3425">
        <f>'4. Отчет и прогн. потребление'!F21</f>
        <v>0.40994255369311944</v>
      </c>
      <c r="F36" s="3425">
        <f>'4. Отчет и прогн. потребление'!G21</f>
        <v>0.41771862585839992</v>
      </c>
      <c r="G36" s="3425">
        <f>'4. Отчет и прогн. потребление'!H21</f>
        <v>0.4284191117869186</v>
      </c>
      <c r="H36" s="3425">
        <f>'4. Отчет и прогн. потребление'!I21</f>
        <v>0.44446329739239326</v>
      </c>
      <c r="Y36" s="3529" t="s">
        <v>773</v>
      </c>
      <c r="Z36" s="3529" t="s">
        <v>1590</v>
      </c>
      <c r="AA36" s="3529" t="s">
        <v>746</v>
      </c>
      <c r="AB36" s="3529" t="str">
        <f>+'15. ОПП'!$B$7</f>
        <v>2024 г.</v>
      </c>
      <c r="AC36" s="3529" t="str">
        <f>+'15. ОПП'!$C$7</f>
        <v>2027 г.</v>
      </c>
      <c r="AD36" s="3529" t="str">
        <f>+'15. ОПП'!$D$7</f>
        <v>2028 г.</v>
      </c>
      <c r="AE36" s="3529" t="str">
        <f>+'15. ОПП'!$E$7</f>
        <v>2029 г.</v>
      </c>
      <c r="AF36" s="3529" t="str">
        <f>+'15. ОПП'!$F$7</f>
        <v>2030 г.</v>
      </c>
      <c r="AG36" s="3529" t="str">
        <f>+'15. ОПП'!$G$7</f>
        <v>2031 г.</v>
      </c>
      <c r="AH36" s="3486" t="str">
        <f>CONCATENATE("Индивидуална цел за ",AG36)</f>
        <v>Индивидуална цел за 2031 г.</v>
      </c>
      <c r="AI36" s="3530" t="s">
        <v>780</v>
      </c>
    </row>
    <row r="37" spans="1:35" ht="15.9" customHeight="1">
      <c r="A37" s="5593" t="s">
        <v>688</v>
      </c>
      <c r="B37" s="3423" t="s">
        <v>1531</v>
      </c>
      <c r="C37" s="3427">
        <f>'4. Отчет и прогн. потребление'!D26</f>
        <v>388335</v>
      </c>
      <c r="D37" s="3427">
        <f>'4. Отчет и прогн. потребление'!E26</f>
        <v>356035</v>
      </c>
      <c r="E37" s="3427">
        <f>'4. Отчет и прогн. потребление'!F26</f>
        <v>333025</v>
      </c>
      <c r="F37" s="3427">
        <f>'4. Отчет и прогн. потребление'!G26</f>
        <v>309016</v>
      </c>
      <c r="G37" s="3427">
        <f>'4. Отчет и прогн. потребление'!H26</f>
        <v>284006</v>
      </c>
      <c r="H37" s="3427">
        <f>'4. Отчет и прогн. потребление'!I26</f>
        <v>257996</v>
      </c>
      <c r="Y37" s="3489" t="s">
        <v>744</v>
      </c>
      <c r="Z37" s="3490" t="s">
        <v>756</v>
      </c>
      <c r="AA37" s="3491" t="s">
        <v>1587</v>
      </c>
      <c r="AB37" s="3508">
        <f>'3. Показатели за качество'!E40</f>
        <v>0</v>
      </c>
      <c r="AC37" s="3508">
        <f>'3. Показатели за качество'!F40</f>
        <v>0</v>
      </c>
      <c r="AD37" s="3508">
        <f>'3. Показатели за качество'!G40</f>
        <v>0</v>
      </c>
      <c r="AE37" s="3508">
        <f>'3. Показатели за качество'!H40</f>
        <v>0</v>
      </c>
      <c r="AF37" s="3508">
        <f>'3. Показатели за качество'!I40</f>
        <v>0</v>
      </c>
      <c r="AG37" s="3508">
        <f>'3. Показатели за качество'!J40</f>
        <v>0</v>
      </c>
      <c r="AH37" s="3518"/>
      <c r="AI37" s="3518"/>
    </row>
    <row r="38" spans="1:35" ht="15.9" customHeight="1">
      <c r="A38" s="5593"/>
      <c r="B38" s="3423" t="s">
        <v>170</v>
      </c>
      <c r="C38" s="3431">
        <f>'4. Отчет и прогн. потребление'!D27</f>
        <v>4.0843012998224335E-2</v>
      </c>
      <c r="D38" s="3431">
        <f>'4. Отчет и прогн. потребление'!E27</f>
        <v>3.7847879238864672E-2</v>
      </c>
      <c r="E38" s="3431">
        <f>'4. Отчет и прогн. потребление'!F27</f>
        <v>3.5878582202111611E-2</v>
      </c>
      <c r="F38" s="3431">
        <f>'4. Отчет и прогн. потребление'!G27</f>
        <v>3.3835103470929599E-2</v>
      </c>
      <c r="G38" s="3431">
        <f>'4. Отчет и прогн. потребление'!H27</f>
        <v>3.1792902720250753E-2</v>
      </c>
      <c r="H38" s="3431">
        <f>'4. Отчет и прогн. потребление'!I27</f>
        <v>2.9834749927724776E-2</v>
      </c>
      <c r="Y38" s="3489" t="s">
        <v>745</v>
      </c>
      <c r="Z38" s="3490" t="s">
        <v>756</v>
      </c>
      <c r="AA38" s="3491" t="s">
        <v>170</v>
      </c>
      <c r="AB38" s="3531">
        <f>'3. Показатели за качество'!E41</f>
        <v>0</v>
      </c>
      <c r="AC38" s="3531">
        <f>'3. Показатели за качество'!F41</f>
        <v>0</v>
      </c>
      <c r="AD38" s="3531">
        <f>'3. Показатели за качество'!G41</f>
        <v>0</v>
      </c>
      <c r="AE38" s="3531">
        <f>'3. Показатели за качество'!H41</f>
        <v>0</v>
      </c>
      <c r="AF38" s="3531">
        <f>'3. Показатели за качество'!I41</f>
        <v>0</v>
      </c>
      <c r="AG38" s="3531">
        <f>'3. Показатели за качество'!J41</f>
        <v>0</v>
      </c>
      <c r="AH38" s="3518"/>
      <c r="AI38" s="3518"/>
    </row>
    <row r="39" spans="1:35" ht="15.9" customHeight="1">
      <c r="A39" s="5590" t="s">
        <v>689</v>
      </c>
      <c r="B39" s="3470" t="s">
        <v>1531</v>
      </c>
      <c r="C39" s="3472">
        <f>'4. Отчет и прогн. потребление'!D30</f>
        <v>5305233.9699999988</v>
      </c>
      <c r="D39" s="3472">
        <f>'4. Отчет и прогн. потребление'!E30</f>
        <v>5255996.7620000001</v>
      </c>
      <c r="E39" s="3472">
        <f>'4. Отчет и прогн. потребление'!F30</f>
        <v>5143888.2166204657</v>
      </c>
      <c r="F39" s="3472">
        <f>'4. Отчет и прогн. потребление'!G30</f>
        <v>5008959.7900352329</v>
      </c>
      <c r="G39" s="3472">
        <f>'4. Отчет и прогн. потребление'!H30</f>
        <v>4821926.0744074564</v>
      </c>
      <c r="H39" s="3472">
        <f>'4. Отчет и прогн. потребление'!I30</f>
        <v>4546007.6357992794</v>
      </c>
      <c r="Y39" s="3489" t="s">
        <v>121</v>
      </c>
      <c r="Z39" s="3490" t="s">
        <v>757</v>
      </c>
      <c r="AA39" s="3491" t="s">
        <v>749</v>
      </c>
      <c r="AB39" s="3508">
        <f>'3. Показатели за качество'!E42</f>
        <v>0</v>
      </c>
      <c r="AC39" s="3508">
        <f>'3. Показатели за качество'!F42</f>
        <v>0</v>
      </c>
      <c r="AD39" s="3508">
        <f>'3. Показатели за качество'!G42</f>
        <v>0</v>
      </c>
      <c r="AE39" s="3508">
        <f>'3. Показатели за качество'!H42</f>
        <v>0</v>
      </c>
      <c r="AF39" s="3508">
        <f>'3. Показатели за качество'!I42</f>
        <v>0</v>
      </c>
      <c r="AG39" s="3508">
        <f>'3. Показатели за качество'!J42</f>
        <v>0</v>
      </c>
      <c r="AH39" s="3518"/>
      <c r="AI39" s="3518"/>
    </row>
    <row r="40" spans="1:35" ht="15.9" customHeight="1">
      <c r="A40" s="5590"/>
      <c r="B40" s="3470" t="s">
        <v>170</v>
      </c>
      <c r="C40" s="3474">
        <f>'4. Отчет и прогн. потребление'!D31</f>
        <v>0.55797633485349307</v>
      </c>
      <c r="D40" s="3474">
        <f>'4. Отчет и прогн. потребление'!E31</f>
        <v>0.5587325142978633</v>
      </c>
      <c r="E40" s="3474">
        <f>'4. Отчет и прогн. потребление'!F31</f>
        <v>0.55417886410476902</v>
      </c>
      <c r="F40" s="3474">
        <f>'4. Отчет и прогн. потребление'!G31</f>
        <v>0.54844627067067042</v>
      </c>
      <c r="G40" s="3474">
        <f>'4. Отчет и прогн. потребление'!H31</f>
        <v>0.53978798549283069</v>
      </c>
      <c r="H40" s="3474">
        <f>'4. Отчет и прогн. потребление'!I31</f>
        <v>0.52570195267988196</v>
      </c>
      <c r="Y40" s="3489" t="s">
        <v>130</v>
      </c>
      <c r="Z40" s="3490" t="s">
        <v>766</v>
      </c>
      <c r="AA40" s="3491" t="s">
        <v>170</v>
      </c>
      <c r="AB40" s="3531">
        <f>'3. Показатели за качество'!E43</f>
        <v>0</v>
      </c>
      <c r="AC40" s="3531">
        <f>'3. Показатели за качество'!F43</f>
        <v>0</v>
      </c>
      <c r="AD40" s="3531">
        <f>'3. Показатели за качество'!G43</f>
        <v>0</v>
      </c>
      <c r="AE40" s="3531">
        <f>'3. Показатели за качество'!H43</f>
        <v>0</v>
      </c>
      <c r="AF40" s="3531">
        <f>'3. Показатели за качество'!I43</f>
        <v>0</v>
      </c>
      <c r="AG40" s="3531">
        <f>'3. Показатели за качество'!J43</f>
        <v>0</v>
      </c>
      <c r="AH40" s="3518"/>
      <c r="AI40" s="3518"/>
    </row>
    <row r="41" spans="1:35" ht="15.9" customHeight="1">
      <c r="A41" s="5590"/>
      <c r="B41" s="3470" t="s">
        <v>1532</v>
      </c>
      <c r="C41" s="3475">
        <f>'4. Отчет и прогн. потребление'!D32</f>
        <v>8.0849160426795486</v>
      </c>
      <c r="D41" s="3475">
        <f>'4. Отчет и прогн. потребление'!E32</f>
        <v>7.9684117403768591</v>
      </c>
      <c r="E41" s="3475">
        <f>'4. Отчет и прогн. потребление'!F32</f>
        <v>7.7919806641173883</v>
      </c>
      <c r="F41" s="3475">
        <f>'4. Отчет и прогн. потребление'!G32</f>
        <v>7.5873808361471067</v>
      </c>
      <c r="G41" s="3475">
        <f>'4. Отчет и прогн. потребление'!H32</f>
        <v>7.3040087380796574</v>
      </c>
      <c r="H41" s="3475">
        <f>'4. Отчет и прогн. потребление'!I32</f>
        <v>6.8853762737518309</v>
      </c>
      <c r="Y41" s="3489" t="s">
        <v>131</v>
      </c>
      <c r="Z41" s="3490" t="s">
        <v>47</v>
      </c>
      <c r="AA41" s="3491" t="s">
        <v>1033</v>
      </c>
      <c r="AB41" s="3508">
        <f>'3. Показатели за качество'!E44</f>
        <v>0</v>
      </c>
      <c r="AC41" s="3508">
        <f>'3. Показатели за качество'!F44</f>
        <v>0</v>
      </c>
      <c r="AD41" s="3508">
        <f>'3. Показатели за качество'!G44</f>
        <v>0</v>
      </c>
      <c r="AE41" s="3508">
        <f>'3. Показатели за качество'!H44</f>
        <v>0</v>
      </c>
      <c r="AF41" s="3508">
        <f>'3. Показатели за качество'!I44</f>
        <v>0</v>
      </c>
      <c r="AG41" s="3508">
        <f>'3. Показатели за качество'!J44</f>
        <v>0</v>
      </c>
      <c r="AH41" s="3518"/>
      <c r="AI41" s="3518"/>
    </row>
    <row r="42" spans="1:35" ht="15.9" customHeight="1">
      <c r="A42" s="5582" t="s">
        <v>580</v>
      </c>
      <c r="B42" s="3423" t="s">
        <v>1531</v>
      </c>
      <c r="C42" s="3429">
        <f>'4. Отчет и прогн. потребление'!D33</f>
        <v>908973</v>
      </c>
      <c r="D42" s="3429">
        <f>'4. Отчет и прогн. потребление'!E33</f>
        <v>866197</v>
      </c>
      <c r="E42" s="3429">
        <f>'4. Отчет и прогн. потребление'!F33</f>
        <v>786697</v>
      </c>
      <c r="F42" s="3429">
        <f>'4. Отчет и прогн. потребление'!G33</f>
        <v>689197</v>
      </c>
      <c r="G42" s="3429">
        <f>'4. Отчет и прогн. потребление'!H33</f>
        <v>580197</v>
      </c>
      <c r="H42" s="3429">
        <f>'4. Отчет и прогн. потребление'!I33</f>
        <v>462697</v>
      </c>
    </row>
    <row r="43" spans="1:35" ht="15.9" customHeight="1">
      <c r="A43" s="5582"/>
      <c r="B43" s="3423" t="s">
        <v>170</v>
      </c>
      <c r="C43" s="3430">
        <f>'4. Отчет и прогн. потребление'!D34</f>
        <v>9.5600952924755608E-2</v>
      </c>
      <c r="D43" s="3430">
        <f>'4. Отчет и прогн. потребление'!E34</f>
        <v>9.2080046773679175E-2</v>
      </c>
      <c r="E43" s="3430">
        <f>'4. Отчет и прогн. потребление'!F34</f>
        <v>8.475511743158802E-2</v>
      </c>
      <c r="F43" s="3430">
        <f>'4. Отчет и прогн. потребление'!G34</f>
        <v>7.5462279645242533E-2</v>
      </c>
      <c r="G43" s="3430">
        <f>'4. Отчет и прогн. потребление'!H34</f>
        <v>6.4949848874958027E-2</v>
      </c>
      <c r="H43" s="3430">
        <f>'4. Отчет и прогн. потребление'!I34</f>
        <v>5.3506446949985548E-2</v>
      </c>
    </row>
    <row r="44" spans="1:35" ht="15.9" customHeight="1">
      <c r="A44" s="5596" t="s">
        <v>585</v>
      </c>
      <c r="B44" s="3423" t="s">
        <v>1531</v>
      </c>
      <c r="C44" s="3429">
        <f>'4. Отчет и прогн. потребление'!D37</f>
        <v>4396260.9699999988</v>
      </c>
      <c r="D44" s="3429">
        <f>'4. Отчет и прогн. потребление'!E37</f>
        <v>4389799.7620000001</v>
      </c>
      <c r="E44" s="3429">
        <f>'4. Отчет и прогн. потребление'!F37</f>
        <v>4357191.2166204657</v>
      </c>
      <c r="F44" s="3429">
        <f>'4. Отчет и прогн. потребление'!G37</f>
        <v>4319762.7900352329</v>
      </c>
      <c r="G44" s="3429">
        <f>'4. Отчет и прогн. потребление'!H37</f>
        <v>4241729.0744074564</v>
      </c>
      <c r="H44" s="3429">
        <f>'4. Отчет и прогн. потребление'!I37</f>
        <v>4083310.6357992794</v>
      </c>
    </row>
    <row r="45" spans="1:35" ht="15.9" customHeight="1">
      <c r="A45" s="5596"/>
      <c r="B45" s="3423" t="s">
        <v>170</v>
      </c>
      <c r="C45" s="3430">
        <f>'4. Отчет и прогн. потребление'!D38</f>
        <v>0.46237538192873751</v>
      </c>
      <c r="D45" s="3430">
        <f>'4. Отчет и прогн. потребление'!E38</f>
        <v>0.46665246752418416</v>
      </c>
      <c r="E45" s="3430">
        <f>'4. Отчет и прогн. потребление'!F38</f>
        <v>0.46942374667318099</v>
      </c>
      <c r="F45" s="3430">
        <f>'4. Отчет и прогн. потребление'!G38</f>
        <v>0.47298399102542787</v>
      </c>
      <c r="G45" s="3430">
        <f>'4. Отчет и прогн. потребление'!H38</f>
        <v>0.47483813661787266</v>
      </c>
      <c r="H45" s="3430">
        <f>'4. Отчет и прогн. потребление'!I38</f>
        <v>0.47219550572989644</v>
      </c>
    </row>
    <row r="46" spans="1:35" ht="15.9" customHeight="1">
      <c r="A46" s="5594" t="s">
        <v>594</v>
      </c>
      <c r="B46" s="3470" t="s">
        <v>1531</v>
      </c>
      <c r="C46" s="3471">
        <f>'4. Отчет и прогн. потребление'!D43</f>
        <v>5693568.9699999988</v>
      </c>
      <c r="D46" s="3471">
        <f>'4. Отчет и прогн. потребление'!E43</f>
        <v>5612031.7620000001</v>
      </c>
      <c r="E46" s="3471">
        <f>'4. Отчет и прогн. потребление'!F43</f>
        <v>5476913.2166204657</v>
      </c>
      <c r="F46" s="3471">
        <f>'4. Отчет и прогн. потребление'!G43</f>
        <v>5317975.7900352329</v>
      </c>
      <c r="G46" s="3471">
        <f>'4. Отчет и прогн. потребление'!H43</f>
        <v>5105932.0744074564</v>
      </c>
      <c r="H46" s="3471">
        <f>'4. Отчет и прогн. потребление'!I43</f>
        <v>4804003.6357992794</v>
      </c>
    </row>
    <row r="47" spans="1:35" ht="15.9" customHeight="1">
      <c r="A47" s="5597"/>
      <c r="B47" s="3470" t="s">
        <v>170</v>
      </c>
      <c r="C47" s="3476">
        <f>'4. Отчет и прогн. потребление'!D44</f>
        <v>0.59881934785171742</v>
      </c>
      <c r="D47" s="3476">
        <f>'4. Отчет и прогн. потребление'!E44</f>
        <v>0.59658039353672798</v>
      </c>
      <c r="E47" s="3476">
        <f>'4. Отчет и прогн. потребление'!F44</f>
        <v>0.59005744630688062</v>
      </c>
      <c r="F47" s="3476">
        <f>'4. Отчет и прогн. потребление'!G44</f>
        <v>0.58228137414159997</v>
      </c>
      <c r="G47" s="3476">
        <f>'4. Отчет и прогн. потребление'!H44</f>
        <v>0.5715808882130814</v>
      </c>
      <c r="H47" s="3476">
        <f>'4. Отчет и прогн. потребление'!I44</f>
        <v>0.55553670260760679</v>
      </c>
    </row>
    <row r="48" spans="1:35" ht="15.9" customHeight="1">
      <c r="A48" s="5595"/>
      <c r="B48" s="3470" t="s">
        <v>1532</v>
      </c>
      <c r="C48" s="3477">
        <f>'4. Отчет и прогн. потребление'!D45</f>
        <v>8.6767195124582734</v>
      </c>
      <c r="D48" s="3477">
        <f>'4. Отчет и прогн. потребление'!E45</f>
        <v>8.5081825207731416</v>
      </c>
      <c r="E48" s="3477">
        <f>'4. Отчет и прогн. потребление'!F45</f>
        <v>8.2964481508491588</v>
      </c>
      <c r="F48" s="3477">
        <f>'4. Отчет и прогн. потребление'!G45</f>
        <v>8.0554664616550617</v>
      </c>
      <c r="G48" s="3477">
        <f>'4. Отчет и прогн. потребление'!H45</f>
        <v>7.7342066037576291</v>
      </c>
      <c r="H48" s="3477">
        <f>'4. Отчет и прогн. потребление'!I45</f>
        <v>7.2761366242479308</v>
      </c>
    </row>
    <row r="49" spans="1:8" ht="15.9" customHeight="1">
      <c r="A49" s="5587" t="s">
        <v>174</v>
      </c>
      <c r="B49" s="5588"/>
      <c r="C49" s="5588"/>
      <c r="D49" s="5588"/>
      <c r="E49" s="5588"/>
      <c r="F49" s="5588"/>
      <c r="G49" s="5588"/>
      <c r="H49" s="5589"/>
    </row>
    <row r="50" spans="1:8" ht="15.9" customHeight="1">
      <c r="A50" s="5598" t="s">
        <v>175</v>
      </c>
      <c r="B50" s="3470" t="s">
        <v>1531</v>
      </c>
      <c r="C50" s="3479">
        <f>'4. Отчет и прогн. потребление'!D48</f>
        <v>1881942.1539999999</v>
      </c>
      <c r="D50" s="3479">
        <f>'4. Отчет и прогн. потребление'!E48</f>
        <v>1889565.2776666668</v>
      </c>
      <c r="E50" s="3479">
        <f>'4. Отчет и прогн. потребление'!F48</f>
        <v>1895158.3957083928</v>
      </c>
      <c r="F50" s="3479">
        <f>'4. Отчет и прогн. потребление'!G48</f>
        <v>1903295.8178917994</v>
      </c>
      <c r="G50" s="3479">
        <f>'4. Отчет и прогн. потребление'!H48</f>
        <v>1914722.8651251784</v>
      </c>
      <c r="H50" s="3479">
        <f>'4. Отчет и прогн. потребление'!I48</f>
        <v>1926773.2897072684</v>
      </c>
    </row>
    <row r="51" spans="1:8" ht="15.9" customHeight="1">
      <c r="A51" s="5598"/>
      <c r="B51" s="3470" t="s">
        <v>170</v>
      </c>
      <c r="C51" s="3480">
        <f>'4. Отчет и прогн. потребление'!D49</f>
        <v>0.49337544289517926</v>
      </c>
      <c r="D51" s="3480">
        <f>'4. Отчет и прогн. потребление'!E49</f>
        <v>0.49791333132803589</v>
      </c>
      <c r="E51" s="3480">
        <f>'4. Отчет и прогн. потребление'!F49</f>
        <v>0.4980591780419748</v>
      </c>
      <c r="F51" s="3480">
        <f>'4. Отчет и прогн. потребление'!G49</f>
        <v>0.49889482035800164</v>
      </c>
      <c r="G51" s="3480">
        <f>'4. Отчет и прогн. потребление'!H49</f>
        <v>0.50031065618693515</v>
      </c>
      <c r="H51" s="3480">
        <f>'4. Отчет и прогн. потребление'!I49</f>
        <v>0.5013074313413467</v>
      </c>
    </row>
    <row r="52" spans="1:8" ht="15.9" customHeight="1">
      <c r="A52" s="3426" t="s">
        <v>177</v>
      </c>
      <c r="B52" s="3423" t="s">
        <v>1531</v>
      </c>
      <c r="C52" s="3427">
        <f>'4. Отчет и прогн. потребление'!D50</f>
        <v>1589335.0529999998</v>
      </c>
      <c r="D52" s="3427">
        <f>'4. Отчет и прогн. потребление'!E50</f>
        <v>1586597.2233333334</v>
      </c>
      <c r="E52" s="3427">
        <f>'4. Отчет и прогн. потребление'!F50</f>
        <v>1592193.3957083928</v>
      </c>
      <c r="F52" s="3427">
        <f>'4. Отчет и прогн. потребление'!G50</f>
        <v>1591930.8178917994</v>
      </c>
      <c r="G52" s="3427">
        <f>'4. Отчет и прогн. потребление'!H50</f>
        <v>1594907.8651251784</v>
      </c>
      <c r="H52" s="3427">
        <f>'4. Отчет и прогн. потребление'!I50</f>
        <v>1598558.2897072684</v>
      </c>
    </row>
    <row r="53" spans="1:8" ht="15.9" customHeight="1">
      <c r="A53" s="3426" t="s">
        <v>179</v>
      </c>
      <c r="B53" s="3423" t="s">
        <v>1531</v>
      </c>
      <c r="C53" s="3427">
        <f>'4. Отчет и прогн. потребление'!D51</f>
        <v>292607.10100000002</v>
      </c>
      <c r="D53" s="3427">
        <f>'4. Отчет и прогн. потребление'!E51</f>
        <v>302968.05433333333</v>
      </c>
      <c r="E53" s="3427">
        <f>'4. Отчет и прогн. потребление'!F51</f>
        <v>302965</v>
      </c>
      <c r="F53" s="3427">
        <f>'4. Отчет и прогн. потребление'!G51</f>
        <v>311365</v>
      </c>
      <c r="G53" s="3427">
        <f>'4. Отчет и прогн. потребление'!H51</f>
        <v>319815</v>
      </c>
      <c r="H53" s="3427">
        <f>'4. Отчет и прогн. потребление'!I51</f>
        <v>328215</v>
      </c>
    </row>
    <row r="54" spans="1:8" ht="15.9" customHeight="1">
      <c r="A54" s="5587" t="s">
        <v>184</v>
      </c>
      <c r="B54" s="5588"/>
      <c r="C54" s="5588"/>
      <c r="D54" s="5588"/>
      <c r="E54" s="5588"/>
      <c r="F54" s="5588"/>
      <c r="G54" s="5588"/>
      <c r="H54" s="5589"/>
    </row>
    <row r="55" spans="1:8" ht="15.9" customHeight="1">
      <c r="A55" s="5598" t="s">
        <v>185</v>
      </c>
      <c r="B55" s="3470" t="s">
        <v>1531</v>
      </c>
      <c r="C55" s="3479">
        <f>'4. Отчет и прогн. потребление'!D53</f>
        <v>1758030.1429999999</v>
      </c>
      <c r="D55" s="3479">
        <f>'4. Отчет и прогн. потребление'!E53</f>
        <v>1809130.2706666666</v>
      </c>
      <c r="E55" s="3479">
        <f>'4. Отчет и прогн. потребление'!F53</f>
        <v>1816085.8674087427</v>
      </c>
      <c r="F55" s="3479">
        <f>'4. Отчет и прогн. потребление'!G53</f>
        <v>1823664.6078461222</v>
      </c>
      <c r="G55" s="3479">
        <f>'4. Отчет и прогн. потребление'!H53</f>
        <v>1834032.4324627582</v>
      </c>
      <c r="H55" s="3479">
        <f>'4. Отчет и прогн. потребление'!I53</f>
        <v>1844801.071139785</v>
      </c>
    </row>
    <row r="56" spans="1:8" ht="15.9" customHeight="1">
      <c r="A56" s="5598"/>
      <c r="B56" s="3470" t="s">
        <v>170</v>
      </c>
      <c r="C56" s="3480">
        <f>'4. Отчет и прогн. потребление'!D54</f>
        <v>0.46089030876009612</v>
      </c>
      <c r="D56" s="3480">
        <f>'4. Отчет и прогн. потребление'!E54</f>
        <v>0.4767181586795316</v>
      </c>
      <c r="E56" s="3480">
        <f>'4. Отчет и прогн. потребление'!F54</f>
        <v>0.47727843563025485</v>
      </c>
      <c r="F56" s="3480">
        <f>'4. Отчет и прогн. потребление'!G54</f>
        <v>0.4780217653882109</v>
      </c>
      <c r="G56" s="3480">
        <f>'4. Отчет и прогн. потребление'!H54</f>
        <v>0.47922651704144897</v>
      </c>
      <c r="H56" s="3480">
        <f>'4. Отчет и прогн. потребление'!I54</f>
        <v>0.47997991836878529</v>
      </c>
    </row>
    <row r="57" spans="1:8" ht="15.9" customHeight="1">
      <c r="A57" s="3426" t="s">
        <v>177</v>
      </c>
      <c r="B57" s="3423" t="s">
        <v>1531</v>
      </c>
      <c r="C57" s="3424">
        <f>'4. Отчет и прогн. потребление'!D55</f>
        <v>1465423.0419999999</v>
      </c>
      <c r="D57" s="3424">
        <f>'4. Отчет и прогн. потребление'!E55</f>
        <v>1506162.2163333332</v>
      </c>
      <c r="E57" s="3424">
        <f>'4. Отчет и прогн. потребление'!F55</f>
        <v>1513120.8674087427</v>
      </c>
      <c r="F57" s="3424">
        <f>'4. Отчет и прогн. потребление'!G55</f>
        <v>1512299.6078461222</v>
      </c>
      <c r="G57" s="3424">
        <f>'4. Отчет и прогн. потребление'!H55</f>
        <v>1514217.4324627582</v>
      </c>
      <c r="H57" s="3424">
        <f>'4. Отчет и прогн. потребление'!I55</f>
        <v>1516586.071139785</v>
      </c>
    </row>
    <row r="58" spans="1:8" ht="15.9" customHeight="1">
      <c r="A58" s="3426" t="s">
        <v>179</v>
      </c>
      <c r="B58" s="3423" t="s">
        <v>1531</v>
      </c>
      <c r="C58" s="3424">
        <f>'4. Отчет и прогн. потребление'!D56</f>
        <v>292607.10100000002</v>
      </c>
      <c r="D58" s="3424">
        <f>'4. Отчет и прогн. потребление'!E56</f>
        <v>302968.05433333333</v>
      </c>
      <c r="E58" s="3424">
        <f>'4. Отчет и прогн. потребление'!F56</f>
        <v>302965</v>
      </c>
      <c r="F58" s="3424">
        <f>'4. Отчет и прогн. потребление'!G56</f>
        <v>311365</v>
      </c>
      <c r="G58" s="3424">
        <f>'4. Отчет и прогн. потребление'!H56</f>
        <v>319815</v>
      </c>
      <c r="H58" s="3424">
        <f>'4. Отчет и прогн. потребление'!I56</f>
        <v>328215</v>
      </c>
    </row>
    <row r="59" spans="1:8" ht="15.9" customHeight="1">
      <c r="A59" s="3428" t="s">
        <v>997</v>
      </c>
      <c r="B59" s="3423" t="s">
        <v>1531</v>
      </c>
      <c r="C59" s="3429">
        <f>'4. Отчет и прогн. потребление'!D58</f>
        <v>51802.1</v>
      </c>
      <c r="D59" s="3429">
        <f>'4. Отчет и прогн. потребление'!E58</f>
        <v>62153.054333333333</v>
      </c>
      <c r="E59" s="3429">
        <f>'4. Отчет и прогн. потребление'!F58</f>
        <v>62150</v>
      </c>
      <c r="F59" s="3429">
        <f>'4. Отчет и прогн. потребление'!G58</f>
        <v>70550</v>
      </c>
      <c r="G59" s="3429">
        <f>'4. Отчет и прогн. потребление'!H58</f>
        <v>79000</v>
      </c>
      <c r="H59" s="3429">
        <f>'4. Отчет и прогн. потребление'!I58</f>
        <v>87400</v>
      </c>
    </row>
    <row r="60" spans="1:8" ht="15.9" customHeight="1">
      <c r="A60" s="3428" t="s">
        <v>998</v>
      </c>
      <c r="B60" s="3423" t="s">
        <v>1531</v>
      </c>
      <c r="C60" s="3429">
        <f>'4. Отчет и прогн. потребление'!D59</f>
        <v>129782</v>
      </c>
      <c r="D60" s="3429">
        <f>'4. Отчет и прогн. потребление'!E59</f>
        <v>213250</v>
      </c>
      <c r="E60" s="3429">
        <f>'4. Отчет и прогн. потребление'!F59</f>
        <v>213250</v>
      </c>
      <c r="F60" s="3429">
        <f>'4. Отчет и прогн. потребление'!G59</f>
        <v>213250</v>
      </c>
      <c r="G60" s="3429">
        <f>'4. Отчет и прогн. потребление'!H59</f>
        <v>213250</v>
      </c>
      <c r="H60" s="3429">
        <f>'4. Отчет и прогн. потребление'!I59</f>
        <v>213250</v>
      </c>
    </row>
    <row r="61" spans="1:8" ht="15.9" customHeight="1">
      <c r="A61" s="3428" t="s">
        <v>999</v>
      </c>
      <c r="B61" s="3423" t="s">
        <v>1531</v>
      </c>
      <c r="C61" s="3429">
        <f>'4. Отчет и прогн. потребление'!D60</f>
        <v>111023</v>
      </c>
      <c r="D61" s="3429">
        <f>'4. Отчет и прогн. потребление'!E60</f>
        <v>27565</v>
      </c>
      <c r="E61" s="3429">
        <f>'4. Отчет и прогн. потребление'!F60</f>
        <v>27565</v>
      </c>
      <c r="F61" s="3429">
        <f>'4. Отчет и прогн. потребление'!G60</f>
        <v>27565</v>
      </c>
      <c r="G61" s="3429">
        <f>'4. Отчет и прогн. потребление'!H60</f>
        <v>27565</v>
      </c>
      <c r="H61" s="3429">
        <f>'4. Отчет и прогн. потребление'!I60</f>
        <v>27565</v>
      </c>
    </row>
    <row r="62" spans="1:8" ht="15.9" customHeight="1">
      <c r="A62" s="5587" t="s">
        <v>1235</v>
      </c>
      <c r="B62" s="5588"/>
      <c r="C62" s="5588"/>
      <c r="D62" s="5588"/>
      <c r="E62" s="5588"/>
      <c r="F62" s="5588"/>
      <c r="G62" s="5588"/>
      <c r="H62" s="5589"/>
    </row>
    <row r="63" spans="1:8" ht="15.9" customHeight="1">
      <c r="A63" s="3469" t="s">
        <v>570</v>
      </c>
      <c r="B63" s="3470" t="s">
        <v>1531</v>
      </c>
      <c r="C63" s="3471">
        <f>'4. Отчет и прогн. потребление'!D62</f>
        <v>0</v>
      </c>
      <c r="D63" s="3471">
        <f>'4. Отчет и прогн. потребление'!E62</f>
        <v>0</v>
      </c>
      <c r="E63" s="3471">
        <f>'4. Отчет и прогн. потребление'!F62</f>
        <v>0</v>
      </c>
      <c r="F63" s="3471">
        <f>'4. Отчет и прогн. потребление'!G62</f>
        <v>0</v>
      </c>
      <c r="G63" s="3471">
        <f>'4. Отчет и прогн. потребление'!H62</f>
        <v>0</v>
      </c>
      <c r="H63" s="3471">
        <f>'4. Отчет и прогн. потребление'!I62</f>
        <v>0</v>
      </c>
    </row>
    <row r="64" spans="1:8" ht="15.9" customHeight="1">
      <c r="A64" s="5591" t="s">
        <v>572</v>
      </c>
      <c r="B64" s="3423" t="s">
        <v>1531</v>
      </c>
      <c r="C64" s="3424">
        <f>'4. Отчет и прогн. потребление'!D69</f>
        <v>0</v>
      </c>
      <c r="D64" s="3424">
        <f>'4. Отчет и прогн. потребление'!E69</f>
        <v>0</v>
      </c>
      <c r="E64" s="3424">
        <f>'4. Отчет и прогн. потребление'!F69</f>
        <v>0</v>
      </c>
      <c r="F64" s="3424">
        <f>'4. Отчет и прогн. потребление'!G69</f>
        <v>0</v>
      </c>
      <c r="G64" s="3424">
        <f>'4. Отчет и прогн. потребление'!H69</f>
        <v>0</v>
      </c>
      <c r="H64" s="3424">
        <f>'4. Отчет и прогн. потребление'!I69</f>
        <v>0</v>
      </c>
    </row>
    <row r="65" spans="1:8" ht="15.9" customHeight="1">
      <c r="A65" s="5592"/>
      <c r="B65" s="3423" t="s">
        <v>170</v>
      </c>
      <c r="C65" s="3425">
        <f>'4. Отчет и прогн. потребление'!D70</f>
        <v>0</v>
      </c>
      <c r="D65" s="3425">
        <f>'4. Отчет и прогн. потребление'!E70</f>
        <v>0</v>
      </c>
      <c r="E65" s="3425">
        <f>'4. Отчет и прогн. потребление'!F70</f>
        <v>0</v>
      </c>
      <c r="F65" s="3425">
        <f>'4. Отчет и прогн. потребление'!G70</f>
        <v>0</v>
      </c>
      <c r="G65" s="3425">
        <f>'4. Отчет и прогн. потребление'!H70</f>
        <v>0</v>
      </c>
      <c r="H65" s="3425">
        <f>'4. Отчет и прогн. потребление'!I70</f>
        <v>0</v>
      </c>
    </row>
    <row r="66" spans="1:8" ht="15.9" customHeight="1">
      <c r="A66" s="5594" t="s">
        <v>594</v>
      </c>
      <c r="B66" s="3470" t="s">
        <v>1531</v>
      </c>
      <c r="C66" s="3471">
        <f>'4. Отчет и прогн. потребление'!D88</f>
        <v>0</v>
      </c>
      <c r="D66" s="3471">
        <f>'4. Отчет и прогн. потребление'!E88</f>
        <v>0</v>
      </c>
      <c r="E66" s="3471">
        <f>'4. Отчет и прогн. потребление'!F88</f>
        <v>0</v>
      </c>
      <c r="F66" s="3471">
        <f>'4. Отчет и прогн. потребление'!G88</f>
        <v>0</v>
      </c>
      <c r="G66" s="3471">
        <f>'4. Отчет и прогн. потребление'!H88</f>
        <v>0</v>
      </c>
      <c r="H66" s="3471">
        <f>'4. Отчет и прогн. потребление'!I88</f>
        <v>0</v>
      </c>
    </row>
    <row r="67" spans="1:8" ht="15.9" customHeight="1">
      <c r="A67" s="5597"/>
      <c r="B67" s="3470" t="s">
        <v>170</v>
      </c>
      <c r="C67" s="3478">
        <f>'4. Отчет и прогн. потребление'!D89</f>
        <v>0</v>
      </c>
      <c r="D67" s="3478">
        <f>'4. Отчет и прогн. потребление'!E89</f>
        <v>0</v>
      </c>
      <c r="E67" s="3478">
        <f>'4. Отчет и прогн. потребление'!F89</f>
        <v>0</v>
      </c>
      <c r="F67" s="3478">
        <f>'4. Отчет и прогн. потребление'!G89</f>
        <v>0</v>
      </c>
      <c r="G67" s="3478">
        <f>'4. Отчет и прогн. потребление'!H89</f>
        <v>0</v>
      </c>
      <c r="H67" s="3478">
        <f>'4. Отчет и прогн. потребление'!I89</f>
        <v>0</v>
      </c>
    </row>
    <row r="68" spans="1:8" ht="15.9" customHeight="1">
      <c r="A68" s="5595"/>
      <c r="B68" s="3470" t="s">
        <v>1532</v>
      </c>
      <c r="C68" s="3477">
        <f>'4. Отчет и прогн. потребление'!D90</f>
        <v>0</v>
      </c>
      <c r="D68" s="3477">
        <f>'4. Отчет и прогн. потребление'!E90</f>
        <v>0</v>
      </c>
      <c r="E68" s="3477">
        <f>'4. Отчет и прогн. потребление'!F90</f>
        <v>0</v>
      </c>
      <c r="F68" s="3477">
        <f>'4. Отчет и прогн. потребление'!G90</f>
        <v>0</v>
      </c>
      <c r="G68" s="3477">
        <f>'4. Отчет и прогн. потребление'!H90</f>
        <v>0</v>
      </c>
      <c r="H68" s="3477">
        <f>'4. Отчет и прогн. потребление'!I90</f>
        <v>0</v>
      </c>
    </row>
    <row r="69" spans="1:8" ht="15.9" customHeight="1">
      <c r="A69" s="5587" t="s">
        <v>1092</v>
      </c>
      <c r="B69" s="5588"/>
      <c r="C69" s="5588"/>
      <c r="D69" s="5588"/>
      <c r="E69" s="5588"/>
      <c r="F69" s="5588"/>
      <c r="G69" s="5588"/>
      <c r="H69" s="5589"/>
    </row>
    <row r="70" spans="1:8" ht="15.9" customHeight="1">
      <c r="A70" s="3469" t="s">
        <v>570</v>
      </c>
      <c r="B70" s="3470" t="s">
        <v>1531</v>
      </c>
      <c r="C70" s="3471">
        <f>'4. Отчет и прогн. потребление'!D93</f>
        <v>18028811</v>
      </c>
      <c r="D70" s="3471">
        <f>'4. Отчет и прогн. потребление'!E93</f>
        <v>19522086</v>
      </c>
      <c r="E70" s="3471">
        <f>'4. Отчет и прогн. потребление'!F93</f>
        <v>19528394</v>
      </c>
      <c r="F70" s="3471">
        <f>'4. Отчет и прогн. потребление'!G93</f>
        <v>19534717</v>
      </c>
      <c r="G70" s="3471">
        <f>'4. Отчет и прогн. потребление'!H93</f>
        <v>19541052</v>
      </c>
      <c r="H70" s="3471">
        <f>'4. Отчет и прогн. потребление'!I93</f>
        <v>19547405</v>
      </c>
    </row>
    <row r="71" spans="1:8" ht="15.9" customHeight="1">
      <c r="A71" s="5591" t="s">
        <v>572</v>
      </c>
      <c r="B71" s="3423" t="s">
        <v>1531</v>
      </c>
      <c r="C71" s="3424">
        <f>'4. Отчет и прогн. потребление'!D100</f>
        <v>16915738</v>
      </c>
      <c r="D71" s="3424">
        <f>'4. Отчет и прогн. потребление'!E100</f>
        <v>18322086</v>
      </c>
      <c r="E71" s="3424">
        <f>'4. Отчет и прогн. потребление'!F100</f>
        <v>18321758</v>
      </c>
      <c r="F71" s="3424">
        <f>'4. Отчет и прогн. потребление'!G100</f>
        <v>18321429</v>
      </c>
      <c r="G71" s="3424">
        <f>'4. Отчет и прогн. потребление'!H100</f>
        <v>18321100</v>
      </c>
      <c r="H71" s="3424">
        <f>'4. Отчет и прогн. потребление'!I100</f>
        <v>18320772</v>
      </c>
    </row>
    <row r="72" spans="1:8" ht="15.9" customHeight="1">
      <c r="A72" s="5592"/>
      <c r="B72" s="3423" t="s">
        <v>170</v>
      </c>
      <c r="C72" s="3425">
        <f>'4. Отчет и прогн. потребление'!D101</f>
        <v>0.93826143055135469</v>
      </c>
      <c r="D72" s="3425">
        <f>'4. Отчет и прогн. потребление'!E101</f>
        <v>0.93853115901651085</v>
      </c>
      <c r="E72" s="3425">
        <f>'4. Отчет и прогн. потребление'!F101</f>
        <v>0.93821120159701821</v>
      </c>
      <c r="F72" s="3425">
        <f>'4. Отчет и прогн. потребление'!G101</f>
        <v>0.93789067945033455</v>
      </c>
      <c r="G72" s="3425">
        <f>'4. Отчет и прогн. потребление'!H101</f>
        <v>0.93756978897553722</v>
      </c>
      <c r="H72" s="3425">
        <f>'4. Отчет и прогн. потребление'!I101</f>
        <v>0.93724829459460224</v>
      </c>
    </row>
    <row r="73" spans="1:8" ht="15.9" customHeight="1">
      <c r="A73" s="5594" t="s">
        <v>594</v>
      </c>
      <c r="B73" s="3470" t="s">
        <v>1531</v>
      </c>
      <c r="C73" s="3471">
        <f>'4. Отчет и прогн. потребление'!D110</f>
        <v>1113073</v>
      </c>
      <c r="D73" s="3471">
        <f>'4. Отчет и прогн. потребление'!E110</f>
        <v>1200000</v>
      </c>
      <c r="E73" s="3471">
        <f>'4. Отчет и прогн. потребление'!F110</f>
        <v>1206636</v>
      </c>
      <c r="F73" s="3471">
        <f>'4. Отчет и прогн. потребление'!G110</f>
        <v>1213288</v>
      </c>
      <c r="G73" s="3471">
        <f>'4. Отчет и прогн. потребление'!H110</f>
        <v>1219952</v>
      </c>
      <c r="H73" s="3471">
        <f>'4. Отчет и прогн. потребление'!I110</f>
        <v>1226633</v>
      </c>
    </row>
    <row r="74" spans="1:8" ht="15.9" customHeight="1">
      <c r="A74" s="5595"/>
      <c r="B74" s="3470" t="s">
        <v>170</v>
      </c>
      <c r="C74" s="3478">
        <f>'4. Отчет и прогн. потребление'!D111</f>
        <v>6.1738569448645281E-2</v>
      </c>
      <c r="D74" s="3478">
        <f>'4. Отчет и прогн. потребление'!E111</f>
        <v>6.1468840983489162E-2</v>
      </c>
      <c r="E74" s="3478">
        <f>'4. Отчет и прогн. потребление'!F111</f>
        <v>6.1788798402981834E-2</v>
      </c>
      <c r="F74" s="3478">
        <f>'4. Отчет и прогн. потребление'!G111</f>
        <v>6.2109320549665503E-2</v>
      </c>
      <c r="G74" s="3478">
        <f>'4. Отчет и прогн. потребление'!H111</f>
        <v>6.2430211024462758E-2</v>
      </c>
      <c r="H74" s="3478">
        <f>'4. Отчет и прогн. потребление'!I111</f>
        <v>6.2751705405397804E-2</v>
      </c>
    </row>
    <row r="76" spans="1:8" ht="15.6">
      <c r="A76" s="3483" t="s">
        <v>872</v>
      </c>
    </row>
    <row r="77" spans="1:8" ht="18" customHeight="1">
      <c r="A77" s="3443" t="s">
        <v>2</v>
      </c>
      <c r="B77" s="3444" t="s">
        <v>1533</v>
      </c>
      <c r="C77" s="4368" t="str">
        <f>+'15. ОПП'!$B$7</f>
        <v>2024 г.</v>
      </c>
      <c r="D77" s="4368" t="str">
        <f>+'15. ОПП'!$C$7</f>
        <v>2027 г.</v>
      </c>
      <c r="E77" s="4368" t="str">
        <f>+'15. ОПП'!$D$7</f>
        <v>2028 г.</v>
      </c>
      <c r="F77" s="4368" t="str">
        <f>+'15. ОПП'!$E$7</f>
        <v>2029 г.</v>
      </c>
      <c r="G77" s="4368" t="str">
        <f>+'15. ОПП'!$F$7</f>
        <v>2030 г.</v>
      </c>
      <c r="H77" s="4368" t="str">
        <f>+'15. ОПП'!$G$7</f>
        <v>2031 г.</v>
      </c>
    </row>
    <row r="78" spans="1:8" ht="18" customHeight="1">
      <c r="A78" s="3532" t="s">
        <v>1125</v>
      </c>
      <c r="B78" s="3442" t="s">
        <v>595</v>
      </c>
      <c r="C78" s="3579">
        <f>'7. Утайки от ПСОВ'!D19</f>
        <v>4.93</v>
      </c>
      <c r="D78" s="3579">
        <f>'7. Утайки от ПСОВ'!G19</f>
        <v>5</v>
      </c>
      <c r="E78" s="3579">
        <f>'7. Утайки от ПСОВ'!H19</f>
        <v>5</v>
      </c>
      <c r="F78" s="3579">
        <f>'7. Утайки от ПСОВ'!I19</f>
        <v>5</v>
      </c>
      <c r="G78" s="3579">
        <f>'7. Утайки от ПСОВ'!J19</f>
        <v>5</v>
      </c>
      <c r="H78" s="3579">
        <f>'7. Утайки от ПСОВ'!K19</f>
        <v>5</v>
      </c>
    </row>
    <row r="79" spans="1:8" ht="18" customHeight="1">
      <c r="A79" s="3533" t="s">
        <v>1556</v>
      </c>
      <c r="B79" s="3442" t="s">
        <v>595</v>
      </c>
      <c r="C79" s="3579">
        <f>'7. Утайки от ПСОВ'!D14</f>
        <v>295.7</v>
      </c>
      <c r="D79" s="3579">
        <f>'7. Утайки от ПСОВ'!G14</f>
        <v>280</v>
      </c>
      <c r="E79" s="3579">
        <f>'7. Утайки от ПСОВ'!H14</f>
        <v>285</v>
      </c>
      <c r="F79" s="3579">
        <f>'7. Утайки от ПСОВ'!I14</f>
        <v>285</v>
      </c>
      <c r="G79" s="3579">
        <f>'7. Утайки от ПСОВ'!J14</f>
        <v>285</v>
      </c>
      <c r="H79" s="3579">
        <f>'7. Утайки от ПСОВ'!K14</f>
        <v>287</v>
      </c>
    </row>
    <row r="80" spans="1:8" ht="18" customHeight="1">
      <c r="A80" s="3534" t="s">
        <v>1000</v>
      </c>
      <c r="B80" s="3535" t="s">
        <v>595</v>
      </c>
      <c r="C80" s="3703">
        <f>C78+C79</f>
        <v>300.63</v>
      </c>
      <c r="D80" s="3703">
        <f>D78+D79</f>
        <v>285</v>
      </c>
      <c r="E80" s="3703">
        <f>E78+E79</f>
        <v>290</v>
      </c>
      <c r="F80" s="3703">
        <f>F78+F79</f>
        <v>290</v>
      </c>
      <c r="G80" s="3703">
        <f t="shared" ref="G80:H80" si="5">G78+G79</f>
        <v>290</v>
      </c>
      <c r="H80" s="3703">
        <f t="shared" si="5"/>
        <v>292</v>
      </c>
    </row>
    <row r="81" spans="1:8" ht="18" customHeight="1">
      <c r="A81" s="3536" t="s">
        <v>622</v>
      </c>
      <c r="B81" s="3536" t="s">
        <v>1900</v>
      </c>
      <c r="C81" s="4370">
        <f>'7. Утайки от ПСОВ'!N32</f>
        <v>161.51015436705322</v>
      </c>
      <c r="D81" s="4370">
        <f>'7. Утайки от ПСОВ'!Q32</f>
        <v>165.3320603062495</v>
      </c>
      <c r="E81" s="4370">
        <f>'7. Утайки от ПСОВ'!R32</f>
        <v>165.32005902071387</v>
      </c>
      <c r="F81" s="4370">
        <f>'7. Утайки от ПСОВ'!S32</f>
        <v>165.32005902071387</v>
      </c>
      <c r="G81" s="4370">
        <f>'7. Утайки от ПСОВ'!T32</f>
        <v>165.32005902071387</v>
      </c>
      <c r="H81" s="4370">
        <f>'7. Утайки от ПСОВ'!U32</f>
        <v>165.32587958487861</v>
      </c>
    </row>
    <row r="82" spans="1:8" ht="18" customHeight="1">
      <c r="A82" s="3537"/>
      <c r="B82" s="3537"/>
      <c r="C82" s="4346"/>
      <c r="D82" s="4346"/>
      <c r="E82" s="4346"/>
      <c r="F82" s="4346"/>
      <c r="G82" s="4346"/>
      <c r="H82" s="4346"/>
    </row>
    <row r="83" spans="1:8" ht="18" customHeight="1">
      <c r="A83" s="3443" t="s">
        <v>2</v>
      </c>
      <c r="B83" s="3444" t="s">
        <v>1533</v>
      </c>
      <c r="C83" s="4368" t="str">
        <f>+'15. ОПП'!$B$7</f>
        <v>2024 г.</v>
      </c>
      <c r="D83" s="4368" t="str">
        <f>+'15. ОПП'!$C$7</f>
        <v>2027 г.</v>
      </c>
      <c r="E83" s="4368" t="str">
        <f>+'15. ОПП'!$D$7</f>
        <v>2028 г.</v>
      </c>
      <c r="F83" s="4368" t="str">
        <f>+'15. ОПП'!$E$7</f>
        <v>2029 г.</v>
      </c>
      <c r="G83" s="4368" t="str">
        <f>+'15. ОПП'!$F$7</f>
        <v>2030 г.</v>
      </c>
      <c r="H83" s="4368" t="str">
        <f>+'15. ОПП'!$G$7</f>
        <v>2031 г.</v>
      </c>
    </row>
    <row r="84" spans="1:8" ht="18" customHeight="1">
      <c r="A84" s="5602" t="s">
        <v>1125</v>
      </c>
      <c r="B84" s="3535" t="s">
        <v>1557</v>
      </c>
      <c r="C84" s="3703">
        <f>'7. Утайки от ПСОВ'!D39</f>
        <v>21.999107541276217</v>
      </c>
      <c r="D84" s="3703">
        <f>'7. Утайки от ПСОВ'!G39</f>
        <v>22.72727272727273</v>
      </c>
      <c r="E84" s="3703">
        <f>'7. Утайки от ПСОВ'!H39</f>
        <v>22.72727272727273</v>
      </c>
      <c r="F84" s="3703">
        <f>'7. Утайки от ПСОВ'!I39</f>
        <v>22.72727272727273</v>
      </c>
      <c r="G84" s="3703">
        <f>'7. Утайки от ПСОВ'!J39</f>
        <v>22.72727272727273</v>
      </c>
      <c r="H84" s="3703">
        <f>'7. Утайки от ПСОВ'!K39</f>
        <v>22.72727272727273</v>
      </c>
    </row>
    <row r="85" spans="1:8" ht="18" customHeight="1">
      <c r="A85" s="5602"/>
      <c r="B85" s="3442" t="s">
        <v>1901</v>
      </c>
      <c r="C85" s="4370">
        <f>'7. Утайки от ПСОВ'!N42</f>
        <v>49.677739987004472</v>
      </c>
      <c r="D85" s="4370">
        <f>'7. Утайки от ПСОВ'!Q42</f>
        <v>24.026628081172699</v>
      </c>
      <c r="E85" s="4370">
        <f>'7. Утайки от ПСОВ'!R42</f>
        <v>24.026628081172699</v>
      </c>
      <c r="F85" s="4370">
        <f>'7. Утайки от ПСОВ'!S42</f>
        <v>24.026628081172699</v>
      </c>
      <c r="G85" s="4370">
        <f>'7. Утайки от ПСОВ'!T42</f>
        <v>24.026628081172699</v>
      </c>
      <c r="H85" s="4370">
        <f>'7. Утайки от ПСОВ'!U42</f>
        <v>24.026628081172699</v>
      </c>
    </row>
    <row r="86" spans="1:8" ht="18" customHeight="1">
      <c r="A86" s="5602" t="s">
        <v>1123</v>
      </c>
      <c r="B86" s="3535" t="s">
        <v>1557</v>
      </c>
      <c r="C86" s="3703">
        <f>'7. Утайки от ПСОВ'!D38</f>
        <v>1341.0430839002265</v>
      </c>
      <c r="D86" s="3703">
        <f>'7. Утайки от ПСОВ'!G38</f>
        <v>1272.727272727273</v>
      </c>
      <c r="E86" s="3703">
        <f>'7. Утайки от ПСОВ'!H38</f>
        <v>1295.4545454545457</v>
      </c>
      <c r="F86" s="3703">
        <f>'7. Утайки от ПСОВ'!I38</f>
        <v>1295.4545454545457</v>
      </c>
      <c r="G86" s="3703">
        <f>'7. Утайки от ПСОВ'!J38</f>
        <v>1295.4545454545457</v>
      </c>
      <c r="H86" s="3703">
        <f>'7. Утайки от ПСОВ'!K38</f>
        <v>1304.5454545454547</v>
      </c>
    </row>
    <row r="87" spans="1:8" ht="18" customHeight="1">
      <c r="A87" s="5602"/>
      <c r="B87" s="3442" t="s">
        <v>1901</v>
      </c>
      <c r="C87" s="4370">
        <f>'7. Утайки от ПСОВ'!N41</f>
        <v>35.391802346088305</v>
      </c>
      <c r="D87" s="4370">
        <f>'7. Утайки от ПСОВ'!Q41</f>
        <v>36.015034902975053</v>
      </c>
      <c r="E87" s="4370">
        <f>'7. Утайки от ПСОВ'!R41</f>
        <v>36.018629323342864</v>
      </c>
      <c r="F87" s="4370">
        <f>'7. Утайки от ПСОВ'!S41</f>
        <v>36.018629323342864</v>
      </c>
      <c r="G87" s="4370">
        <f>'7. Утайки от ПСОВ'!T41</f>
        <v>36.018629323342864</v>
      </c>
      <c r="H87" s="4370">
        <f>'7. Утайки от ПСОВ'!U41</f>
        <v>36.022383610326742</v>
      </c>
    </row>
  </sheetData>
  <mergeCells count="36">
    <mergeCell ref="Y2:AI2"/>
    <mergeCell ref="K3:K4"/>
    <mergeCell ref="L3:Q3"/>
    <mergeCell ref="R3:W3"/>
    <mergeCell ref="A2:A3"/>
    <mergeCell ref="B2:B3"/>
    <mergeCell ref="C2:H2"/>
    <mergeCell ref="J2:J4"/>
    <mergeCell ref="K2:W2"/>
    <mergeCell ref="A13:A14"/>
    <mergeCell ref="B13:B14"/>
    <mergeCell ref="C13:H13"/>
    <mergeCell ref="A29:A30"/>
    <mergeCell ref="B29:B30"/>
    <mergeCell ref="C29:H29"/>
    <mergeCell ref="A54:H54"/>
    <mergeCell ref="A31:H31"/>
    <mergeCell ref="A33:A34"/>
    <mergeCell ref="A35:A36"/>
    <mergeCell ref="Y35:AI35"/>
    <mergeCell ref="A37:A38"/>
    <mergeCell ref="A39:A41"/>
    <mergeCell ref="A42:A43"/>
    <mergeCell ref="A44:A45"/>
    <mergeCell ref="A46:A48"/>
    <mergeCell ref="A49:H49"/>
    <mergeCell ref="A50:A51"/>
    <mergeCell ref="A73:A74"/>
    <mergeCell ref="A84:A85"/>
    <mergeCell ref="A86:A87"/>
    <mergeCell ref="A55:A56"/>
    <mergeCell ref="A62:H62"/>
    <mergeCell ref="A64:A65"/>
    <mergeCell ref="A66:A68"/>
    <mergeCell ref="A69:H69"/>
    <mergeCell ref="A71:A72"/>
  </mergeCells>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9" tint="-0.249977111117893"/>
  </sheetPr>
  <dimension ref="A1:AV61"/>
  <sheetViews>
    <sheetView zoomScaleNormal="100" workbookViewId="0">
      <selection activeCell="AK32" sqref="AK32:AP32"/>
    </sheetView>
  </sheetViews>
  <sheetFormatPr defaultColWidth="9.109375" defaultRowHeight="13.2"/>
  <cols>
    <col min="1" max="1" width="32" style="11" customWidth="1"/>
    <col min="2" max="2" width="4.88671875" style="4351" customWidth="1"/>
    <col min="3" max="10" width="5" style="11" customWidth="1"/>
    <col min="11" max="11" width="5" style="3434" customWidth="1"/>
    <col min="12" max="14" width="5" style="11" customWidth="1"/>
    <col min="15" max="15" width="6.88671875" style="11" customWidth="1"/>
    <col min="16" max="16" width="6.44140625" style="11" customWidth="1"/>
    <col min="17" max="17" width="4.5546875" style="11" customWidth="1"/>
    <col min="18" max="18" width="26.5546875" style="11" customWidth="1"/>
    <col min="19" max="24" width="6.5546875" style="11" customWidth="1"/>
    <col min="25" max="26" width="7" style="11" customWidth="1"/>
    <col min="27" max="27" width="4.44140625" style="11" customWidth="1"/>
    <col min="28" max="28" width="39.6640625" style="719" customWidth="1"/>
    <col min="29" max="35" width="9.109375" style="4281"/>
    <col min="36" max="36" width="5.33203125" style="11" customWidth="1"/>
    <col min="37" max="37" width="39.6640625" style="719" customWidth="1"/>
    <col min="38" max="43" width="9.109375" style="11"/>
    <col min="44" max="44" width="10" style="11" bestFit="1" customWidth="1"/>
    <col min="45" max="16384" width="9.109375" style="11"/>
  </cols>
  <sheetData>
    <row r="1" spans="1:42" ht="15.6">
      <c r="A1" s="3483" t="s">
        <v>877</v>
      </c>
      <c r="R1" s="3483" t="s">
        <v>1402</v>
      </c>
      <c r="AB1" s="3538" t="s">
        <v>1698</v>
      </c>
      <c r="AK1" s="3538" t="s">
        <v>1699</v>
      </c>
      <c r="AL1" s="4281"/>
      <c r="AM1" s="4281"/>
      <c r="AN1" s="4281"/>
      <c r="AO1" s="4281"/>
      <c r="AP1" s="4281"/>
    </row>
    <row r="2" spans="1:42" ht="12.6" customHeight="1">
      <c r="A2" s="5615" t="s">
        <v>2</v>
      </c>
      <c r="B2" s="5621" t="s">
        <v>1536</v>
      </c>
      <c r="C2" s="5623" t="s">
        <v>207</v>
      </c>
      <c r="D2" s="5624"/>
      <c r="E2" s="5624"/>
      <c r="F2" s="5624"/>
      <c r="G2" s="5624"/>
      <c r="H2" s="5625"/>
      <c r="I2" s="5623" t="s">
        <v>208</v>
      </c>
      <c r="J2" s="5624"/>
      <c r="K2" s="5624"/>
      <c r="L2" s="5624"/>
      <c r="M2" s="5624"/>
      <c r="N2" s="5625"/>
      <c r="O2" s="5615" t="str">
        <f>CONCATENATE("Изменение ", H3,"спрямо ",D3)</f>
        <v>Изменение 2031 г.спрямо 2027 г.</v>
      </c>
      <c r="P2" s="5615" t="str">
        <f>CONCATENATE("Изменение ", N3,"спрямо ",J3)</f>
        <v>Изменение 2031 г.спрямо 2027 г.</v>
      </c>
      <c r="R2" s="5615" t="s">
        <v>1724</v>
      </c>
      <c r="S2" s="5620" t="s">
        <v>1561</v>
      </c>
      <c r="T2" s="5620"/>
      <c r="U2" s="5620"/>
      <c r="V2" s="5620"/>
      <c r="W2" s="5620"/>
      <c r="X2" s="5620"/>
      <c r="Y2" s="5615" t="str">
        <f>CONCATENATE("Изменение ", T3,"спрямо ",S3)</f>
        <v>Изменение 2027 г.спрямо 2024 г.</v>
      </c>
      <c r="Z2" s="5615" t="str">
        <f>CONCATENATE("Изменение ", X3,"спрямо ",T3)</f>
        <v>Изменение 2031 г.спрямо 2027 г.</v>
      </c>
      <c r="AB2" s="5617" t="s">
        <v>1703</v>
      </c>
      <c r="AC2" s="5617" t="s">
        <v>210</v>
      </c>
      <c r="AD2" s="5617"/>
      <c r="AE2" s="5617"/>
      <c r="AF2" s="5617"/>
      <c r="AG2" s="5617"/>
      <c r="AH2" s="11"/>
      <c r="AI2" s="11"/>
      <c r="AK2" s="5617" t="s">
        <v>1696</v>
      </c>
      <c r="AL2" s="5615" t="str">
        <f>+'15. ОПП'!$C$7</f>
        <v>2027 г.</v>
      </c>
      <c r="AM2" s="5615" t="str">
        <f>+'15. ОПП'!$D$7</f>
        <v>2028 г.</v>
      </c>
      <c r="AN2" s="5615" t="str">
        <f>+'15. ОПП'!$E$7</f>
        <v>2029 г.</v>
      </c>
      <c r="AO2" s="5615" t="str">
        <f>+'15. ОПП'!$F$7</f>
        <v>2030 г.</v>
      </c>
      <c r="AP2" s="5615" t="str">
        <f>+'15. ОПП'!$G$7</f>
        <v>2031 г.</v>
      </c>
    </row>
    <row r="3" spans="1:42" ht="27.75" customHeight="1">
      <c r="A3" s="5616"/>
      <c r="B3" s="5622"/>
      <c r="C3" s="4352" t="str">
        <f>+'15. ОПП'!$B$7</f>
        <v>2024 г.</v>
      </c>
      <c r="D3" s="4352" t="str">
        <f>+'15. ОПП'!$C$7</f>
        <v>2027 г.</v>
      </c>
      <c r="E3" s="4352" t="str">
        <f>+'15. ОПП'!$D$7</f>
        <v>2028 г.</v>
      </c>
      <c r="F3" s="4352" t="str">
        <f>+'15. ОПП'!$E$7</f>
        <v>2029 г.</v>
      </c>
      <c r="G3" s="4352" t="str">
        <f>+'15. ОПП'!$F$7</f>
        <v>2030 г.</v>
      </c>
      <c r="H3" s="4352" t="str">
        <f>+'15. ОПП'!$G$7</f>
        <v>2031 г.</v>
      </c>
      <c r="I3" s="4352" t="str">
        <f>+'15. ОПП'!$B$7</f>
        <v>2024 г.</v>
      </c>
      <c r="J3" s="4352" t="str">
        <f>+'15. ОПП'!$C$7</f>
        <v>2027 г.</v>
      </c>
      <c r="K3" s="4352" t="str">
        <f>+'15. ОПП'!$D$7</f>
        <v>2028 г.</v>
      </c>
      <c r="L3" s="4352" t="str">
        <f>+'15. ОПП'!$E$7</f>
        <v>2029 г.</v>
      </c>
      <c r="M3" s="4352" t="str">
        <f>+'15. ОПП'!$F$7</f>
        <v>2030 г.</v>
      </c>
      <c r="N3" s="4352" t="str">
        <f>+'15. ОПП'!$G$7</f>
        <v>2031 г.</v>
      </c>
      <c r="O3" s="5616"/>
      <c r="P3" s="5616"/>
      <c r="R3" s="5616"/>
      <c r="S3" s="4285" t="str">
        <f>+'15. ОПП'!$B$7</f>
        <v>2024 г.</v>
      </c>
      <c r="T3" s="4285" t="str">
        <f>+'15. ОПП'!$C$7</f>
        <v>2027 г.</v>
      </c>
      <c r="U3" s="4285" t="str">
        <f>+'15. ОПП'!$D$7</f>
        <v>2028 г.</v>
      </c>
      <c r="V3" s="4285" t="str">
        <f>+'15. ОПП'!$E$7</f>
        <v>2029 г.</v>
      </c>
      <c r="W3" s="4285" t="str">
        <f>+'15. ОПП'!$F$7</f>
        <v>2030 г.</v>
      </c>
      <c r="X3" s="4285" t="str">
        <f>+'15. ОПП'!$G$7</f>
        <v>2031 г.</v>
      </c>
      <c r="Y3" s="5616"/>
      <c r="Z3" s="5616"/>
      <c r="AB3" s="5617"/>
      <c r="AC3" s="4285" t="str">
        <f>+'15. ОПП'!$C$7</f>
        <v>2027 г.</v>
      </c>
      <c r="AD3" s="4285" t="str">
        <f>+'15. ОПП'!$D$7</f>
        <v>2028 г.</v>
      </c>
      <c r="AE3" s="4285" t="str">
        <f>+'15. ОПП'!$E$7</f>
        <v>2029 г.</v>
      </c>
      <c r="AF3" s="4285" t="str">
        <f>+'15. ОПП'!$F$7</f>
        <v>2030 г.</v>
      </c>
      <c r="AG3" s="4285" t="str">
        <f>+'15. ОПП'!$G$7</f>
        <v>2031 г.</v>
      </c>
      <c r="AH3" s="11"/>
      <c r="AI3" s="11"/>
      <c r="AK3" s="5617"/>
      <c r="AL3" s="5616" t="str">
        <f>+'15. ОПП'!$C$7</f>
        <v>2027 г.</v>
      </c>
      <c r="AM3" s="5616" t="str">
        <f>+'15. ОПП'!$D$7</f>
        <v>2028 г.</v>
      </c>
      <c r="AN3" s="5616" t="str">
        <f>+'15. ОПП'!$E$7</f>
        <v>2029 г.</v>
      </c>
      <c r="AO3" s="5616" t="str">
        <f>+'15. ОПП'!$F$7</f>
        <v>2030 г.</v>
      </c>
      <c r="AP3" s="5616" t="str">
        <f>+'15. ОПП'!$G$7</f>
        <v>2031 г.</v>
      </c>
    </row>
    <row r="4" spans="1:42" ht="15.9" customHeight="1">
      <c r="A4" s="3435" t="s">
        <v>1541</v>
      </c>
      <c r="B4" s="3539" t="s">
        <v>676</v>
      </c>
      <c r="C4" s="3540">
        <f>'5. Персонал'!C11</f>
        <v>259.61890177725104</v>
      </c>
      <c r="D4" s="3540">
        <f>'5. Персонал'!D11</f>
        <v>263.23674122805204</v>
      </c>
      <c r="E4" s="3540">
        <f>'5. Персонал'!E11</f>
        <v>261.18466005678511</v>
      </c>
      <c r="F4" s="3540">
        <f>'5. Персонал'!F11</f>
        <v>260.13243856818235</v>
      </c>
      <c r="G4" s="3540">
        <f>'5. Персонал'!G11</f>
        <v>259.08006291570086</v>
      </c>
      <c r="H4" s="3540">
        <f>'5. Персонал'!H11</f>
        <v>258.02754211807735</v>
      </c>
      <c r="I4" s="3540">
        <f>'5. Персонал'!I11</f>
        <v>7.8849537786250776</v>
      </c>
      <c r="J4" s="3540">
        <f>'5. Персонал'!J11</f>
        <v>10.090820609466149</v>
      </c>
      <c r="K4" s="3540">
        <f>'5. Персонал'!K11</f>
        <v>10.091354129616459</v>
      </c>
      <c r="L4" s="3540">
        <f>'5. Персонал'!L11</f>
        <v>10.09188933907026</v>
      </c>
      <c r="M4" s="3540">
        <f>'5. Персонал'!M11</f>
        <v>10.092426382045391</v>
      </c>
      <c r="N4" s="3540">
        <f>'5. Персонал'!N11</f>
        <v>10.092965168417717</v>
      </c>
      <c r="O4" s="4280">
        <f>IFERROR((H4-D4)/D4,0)</f>
        <v>-1.9789027495450428E-2</v>
      </c>
      <c r="P4" s="4280">
        <f>IFERROR((N4-J4)/J4,0)</f>
        <v>2.1252572358241873E-4</v>
      </c>
      <c r="R4" s="4299" t="s">
        <v>207</v>
      </c>
      <c r="S4" s="3579">
        <f>'8. Ремонтна програма'!D24</f>
        <v>4794</v>
      </c>
      <c r="T4" s="3579">
        <f>'8. Ремонтна програма'!E24</f>
        <v>4427</v>
      </c>
      <c r="U4" s="3579">
        <f>'8. Ремонтна програма'!F24</f>
        <v>4498</v>
      </c>
      <c r="V4" s="3579">
        <f>'8. Ремонтна програма'!G24</f>
        <v>4546</v>
      </c>
      <c r="W4" s="3579">
        <f>'8. Ремонтна програма'!H24</f>
        <v>4599</v>
      </c>
      <c r="X4" s="3579">
        <f>'8. Ремонтна програма'!I24</f>
        <v>4646</v>
      </c>
      <c r="Y4" s="4353">
        <f>IFERROR((T4-S4)/S4,0)</f>
        <v>-7.6554025865665412E-2</v>
      </c>
      <c r="Z4" s="4292">
        <f>IFERROR((X4-T4)/T4,0)</f>
        <v>4.9469166478427827E-2</v>
      </c>
      <c r="AB4" s="3541" t="s">
        <v>1705</v>
      </c>
      <c r="AC4" s="3542">
        <f>'4. Отчет и прогн. потребление'!E20/1000</f>
        <v>3794.9682380000004</v>
      </c>
      <c r="AD4" s="3542">
        <f>'4. Отчет и прогн. потребление'!F20/1000</f>
        <v>3805.0867833795346</v>
      </c>
      <c r="AE4" s="3542">
        <f>'4. Отчет и прогн. потребление'!G20/1000</f>
        <v>3815.0242099647667</v>
      </c>
      <c r="AF4" s="3542">
        <f>'4. Отчет и прогн. потребление'!H20/1000</f>
        <v>3827.0679255925438</v>
      </c>
      <c r="AG4" s="3542">
        <f>'4. Отчет и прогн. потребление'!I20/1000</f>
        <v>3843.4963642007206</v>
      </c>
      <c r="AH4" s="11"/>
      <c r="AI4" s="11"/>
      <c r="AK4" s="5612" t="s">
        <v>207</v>
      </c>
      <c r="AL4" s="5613"/>
      <c r="AM4" s="5613"/>
      <c r="AN4" s="5613"/>
      <c r="AO4" s="5613"/>
      <c r="AP4" s="5614"/>
    </row>
    <row r="5" spans="1:42" ht="14.1" customHeight="1">
      <c r="A5" s="3432" t="s">
        <v>1534</v>
      </c>
      <c r="B5" s="3543" t="s">
        <v>1539</v>
      </c>
      <c r="C5" s="3544">
        <f>'5. Персонал'!C14</f>
        <v>242.45000000000002</v>
      </c>
      <c r="D5" s="3544">
        <f>'5. Персонал'!D14</f>
        <v>244.4896812364201</v>
      </c>
      <c r="E5" s="3544">
        <f>'5. Персонал'!E14</f>
        <v>241.94422043712296</v>
      </c>
      <c r="F5" s="3544">
        <f>'5. Персонал'!F14</f>
        <v>240.3143397331973</v>
      </c>
      <c r="G5" s="3544">
        <f>'5. Персонал'!G14</f>
        <v>238.68881317491136</v>
      </c>
      <c r="H5" s="3544">
        <f>'5. Персонал'!H14</f>
        <v>237.06773070495134</v>
      </c>
      <c r="I5" s="3544">
        <f>'5. Персонал'!I14</f>
        <v>7.5200000000000005</v>
      </c>
      <c r="J5" s="3544">
        <f>'5. Персонал'!J14</f>
        <v>9.0419931552331558</v>
      </c>
      <c r="K5" s="3544">
        <f>'5. Персонал'!K14</f>
        <v>9.0634930245175038</v>
      </c>
      <c r="L5" s="3544">
        <f>'5. Персонал'!L14</f>
        <v>9.08534048737015</v>
      </c>
      <c r="M5" s="3544">
        <f>'5. Персонал'!M14</f>
        <v>9.1075444583825558</v>
      </c>
      <c r="N5" s="3544">
        <f>'5. Персонал'!N14</f>
        <v>9.1301139419028878</v>
      </c>
      <c r="O5" s="4280">
        <f t="shared" ref="O5:O12" si="0">IFERROR((H5-D5)/D5,0)</f>
        <v>-3.0356907064277159E-2</v>
      </c>
      <c r="P5" s="4280">
        <f t="shared" ref="P5:P12" si="1">IFERROR((N5-J5)/J5,0)</f>
        <v>9.7457258766814152E-3</v>
      </c>
      <c r="R5" s="4299" t="s">
        <v>174</v>
      </c>
      <c r="S5" s="3579">
        <f>'8. Ремонтна програма'!D53</f>
        <v>87</v>
      </c>
      <c r="T5" s="3579">
        <f>'8. Ремонтна програма'!E53</f>
        <v>87</v>
      </c>
      <c r="U5" s="3579">
        <f>'8. Ремонтна програма'!F53</f>
        <v>86</v>
      </c>
      <c r="V5" s="3579">
        <f>'8. Ремонтна програма'!G53</f>
        <v>82</v>
      </c>
      <c r="W5" s="3579">
        <f>'8. Ремонтна програма'!H53</f>
        <v>86</v>
      </c>
      <c r="X5" s="3579">
        <f>'8. Ремонтна програма'!I53</f>
        <v>81</v>
      </c>
      <c r="Y5" s="4353">
        <f t="shared" ref="Y5:Y7" si="2">IFERROR((T5-S5)/S5,0)</f>
        <v>0</v>
      </c>
      <c r="Z5" s="4292">
        <f t="shared" ref="Z5:Z7" si="3">IFERROR((X5-T5)/T5,0)</f>
        <v>-6.8965517241379309E-2</v>
      </c>
      <c r="AB5" s="5617" t="s">
        <v>1703</v>
      </c>
      <c r="AC5" s="5617" t="s">
        <v>174</v>
      </c>
      <c r="AD5" s="5617"/>
      <c r="AE5" s="5617"/>
      <c r="AF5" s="5617"/>
      <c r="AG5" s="5617"/>
      <c r="AH5" s="11"/>
      <c r="AI5" s="11"/>
      <c r="AK5" s="1461" t="s">
        <v>608</v>
      </c>
      <c r="AL5" s="3545">
        <f>'20.Цени '!D10</f>
        <v>3.6840000000000002</v>
      </c>
      <c r="AM5" s="3545">
        <f>'20.Цени '!E10</f>
        <v>3.9590000000000001</v>
      </c>
      <c r="AN5" s="3545">
        <f>'20.Цени '!F10</f>
        <v>4.2560000000000002</v>
      </c>
      <c r="AO5" s="3545">
        <f>'20.Цени '!G10</f>
        <v>4.593</v>
      </c>
      <c r="AP5" s="3545">
        <f>'20.Цени '!H10</f>
        <v>4.9539999999999997</v>
      </c>
    </row>
    <row r="6" spans="1:42" ht="17.25" customHeight="1">
      <c r="A6" s="3438" t="s">
        <v>1544</v>
      </c>
      <c r="B6" s="3546" t="s">
        <v>170</v>
      </c>
      <c r="C6" s="3547"/>
      <c r="D6" s="3548">
        <f>IFERROR((D5-C5)/C5,0)</f>
        <v>8.4127912411634549E-3</v>
      </c>
      <c r="E6" s="3548">
        <f t="shared" ref="E6:H6" si="4">IFERROR((E5-D5)/D5,0)</f>
        <v>-1.0411322009274028E-2</v>
      </c>
      <c r="F6" s="3548">
        <f t="shared" si="4"/>
        <v>-6.7365969766954676E-3</v>
      </c>
      <c r="G6" s="3548">
        <f t="shared" si="4"/>
        <v>-6.7641679647192053E-3</v>
      </c>
      <c r="H6" s="3548">
        <f t="shared" si="4"/>
        <v>-6.7916147740534651E-3</v>
      </c>
      <c r="I6" s="3547"/>
      <c r="J6" s="3549">
        <f>IFERROR((J5-I5)/I5,0)</f>
        <v>0.2023927068129196</v>
      </c>
      <c r="K6" s="3549">
        <f t="shared" ref="K6" si="5">IFERROR((K5-J5)/J5,0)</f>
        <v>2.3777798672524656E-3</v>
      </c>
      <c r="L6" s="3549">
        <f t="shared" ref="L6" si="6">IFERROR((L5-K5)/K5,0)</f>
        <v>2.4104903918993432E-3</v>
      </c>
      <c r="M6" s="3549">
        <f t="shared" ref="M6" si="7">IFERROR((M5-L5)/L5,0)</f>
        <v>2.44393383421043E-3</v>
      </c>
      <c r="N6" s="3549">
        <f t="shared" ref="N6" si="8">IFERROR((N5-M5)/M5,0)</f>
        <v>2.4781085201905518E-3</v>
      </c>
      <c r="O6" s="4280">
        <f t="shared" si="0"/>
        <v>-1.8072962444167593</v>
      </c>
      <c r="P6" s="4280">
        <f t="shared" si="1"/>
        <v>-0.98775593963234465</v>
      </c>
      <c r="R6" s="4299" t="s">
        <v>184</v>
      </c>
      <c r="S6" s="3579">
        <f>'8. Ремонтна програма'!D79</f>
        <v>96</v>
      </c>
      <c r="T6" s="3579">
        <f>'8. Ремонтна програма'!E79</f>
        <v>96</v>
      </c>
      <c r="U6" s="3579">
        <f>'8. Ремонтна програма'!F79</f>
        <v>96</v>
      </c>
      <c r="V6" s="3579">
        <f>'8. Ремонтна програма'!G79</f>
        <v>94</v>
      </c>
      <c r="W6" s="3579">
        <f>'8. Ремонтна програма'!H79</f>
        <v>94</v>
      </c>
      <c r="X6" s="3579">
        <f>'8. Ремонтна програма'!I79</f>
        <v>90</v>
      </c>
      <c r="Y6" s="4353">
        <f t="shared" si="2"/>
        <v>0</v>
      </c>
      <c r="Z6" s="4292">
        <f t="shared" si="3"/>
        <v>-6.25E-2</v>
      </c>
      <c r="AB6" s="5617"/>
      <c r="AC6" s="4285" t="str">
        <f>+'15. ОПП'!$C$7</f>
        <v>2027 г.</v>
      </c>
      <c r="AD6" s="4285" t="str">
        <f>+'15. ОПП'!$D$7</f>
        <v>2028 г.</v>
      </c>
      <c r="AE6" s="4285" t="str">
        <f>+'15. ОПП'!$E$7</f>
        <v>2029 г.</v>
      </c>
      <c r="AF6" s="4285" t="str">
        <f>+'15. ОПП'!$F$7</f>
        <v>2030 г.</v>
      </c>
      <c r="AG6" s="4285" t="str">
        <f>+'15. ОПП'!$G$7</f>
        <v>2031 г.</v>
      </c>
      <c r="AH6" s="11"/>
      <c r="AI6" s="11"/>
      <c r="AK6" s="5612" t="s">
        <v>174</v>
      </c>
      <c r="AL6" s="5613"/>
      <c r="AM6" s="5613"/>
      <c r="AN6" s="5613"/>
      <c r="AO6" s="5613"/>
      <c r="AP6" s="5614"/>
    </row>
    <row r="7" spans="1:42" ht="15" customHeight="1">
      <c r="A7" s="3438" t="s">
        <v>1543</v>
      </c>
      <c r="B7" s="3546" t="s">
        <v>170</v>
      </c>
      <c r="C7" s="3547"/>
      <c r="D7" s="3548">
        <f>IFERROR((D5-$C$5)/$C$5,0)</f>
        <v>8.4127912411634549E-3</v>
      </c>
      <c r="E7" s="3548">
        <f t="shared" ref="E7:H7" si="9">IFERROR((E5-$C$5)/$C$5,0)</f>
        <v>-2.0861190467191255E-3</v>
      </c>
      <c r="F7" s="3548">
        <f t="shared" si="9"/>
        <v>-8.8086626801514387E-3</v>
      </c>
      <c r="G7" s="3548">
        <f t="shared" si="9"/>
        <v>-1.5513247370957547E-2</v>
      </c>
      <c r="H7" s="3548">
        <f t="shared" si="9"/>
        <v>-2.219950214497287E-2</v>
      </c>
      <c r="I7" s="3547"/>
      <c r="J7" s="3549">
        <f>IFERROR((J5-$I$5)/$I$5,0)</f>
        <v>0.2023927068129196</v>
      </c>
      <c r="K7" s="3549">
        <f t="shared" ref="K7:N7" si="10">IFERROR((K5-$I$5)/$I$5,0)</f>
        <v>0.20525173198371055</v>
      </c>
      <c r="L7" s="3548">
        <f t="shared" si="10"/>
        <v>0.20815697970347732</v>
      </c>
      <c r="M7" s="3548">
        <f t="shared" si="10"/>
        <v>0.21110963542321212</v>
      </c>
      <c r="N7" s="3548">
        <f t="shared" si="10"/>
        <v>0.21411089652963927</v>
      </c>
      <c r="O7" s="4280">
        <f t="shared" si="0"/>
        <v>-3.6387796283772715</v>
      </c>
      <c r="P7" s="4280">
        <f t="shared" si="1"/>
        <v>5.7898280532170103E-2</v>
      </c>
      <c r="R7" s="3445" t="s">
        <v>1235</v>
      </c>
      <c r="S7" s="3579">
        <f>'8. Ремонтна програма'!D110</f>
        <v>0</v>
      </c>
      <c r="T7" s="3579">
        <f>'8. Ремонтна програма'!E110</f>
        <v>0</v>
      </c>
      <c r="U7" s="3579">
        <f>'8. Ремонтна програма'!F110</f>
        <v>0</v>
      </c>
      <c r="V7" s="3579">
        <f>'8. Ремонтна програма'!G110</f>
        <v>0</v>
      </c>
      <c r="W7" s="3579">
        <f>'8. Ремонтна програма'!H110</f>
        <v>0</v>
      </c>
      <c r="X7" s="3579">
        <f>'8. Ремонтна програма'!I110</f>
        <v>0</v>
      </c>
      <c r="Y7" s="4353">
        <f t="shared" si="2"/>
        <v>0</v>
      </c>
      <c r="Z7" s="4292">
        <f t="shared" si="3"/>
        <v>0</v>
      </c>
      <c r="AB7" s="3541" t="s">
        <v>1693</v>
      </c>
      <c r="AC7" s="3542">
        <f>AC8+AC9</f>
        <v>1889.5652776666668</v>
      </c>
      <c r="AD7" s="3542">
        <f t="shared" ref="AD7:AG7" si="11">AD8+AD9</f>
        <v>1895.1583957083928</v>
      </c>
      <c r="AE7" s="3542">
        <f t="shared" si="11"/>
        <v>1903.2958178917993</v>
      </c>
      <c r="AF7" s="3542">
        <f t="shared" si="11"/>
        <v>1914.7228651251785</v>
      </c>
      <c r="AG7" s="3542">
        <f t="shared" si="11"/>
        <v>1926.7732897072683</v>
      </c>
      <c r="AH7" s="11"/>
      <c r="AI7" s="11"/>
      <c r="AK7" s="1461" t="s">
        <v>608</v>
      </c>
      <c r="AL7" s="3545">
        <f>'20.Цени '!D12</f>
        <v>0.30499999999999999</v>
      </c>
      <c r="AM7" s="3545">
        <f>'20.Цени '!E12</f>
        <v>0.33500000000000002</v>
      </c>
      <c r="AN7" s="3545">
        <f>'20.Цени '!F12</f>
        <v>0.36599999999999999</v>
      </c>
      <c r="AO7" s="3545">
        <f>'20.Цени '!G12</f>
        <v>0.40200000000000002</v>
      </c>
      <c r="AP7" s="3545">
        <f>'20.Цени '!H12</f>
        <v>0.44</v>
      </c>
    </row>
    <row r="8" spans="1:42" ht="21" customHeight="1">
      <c r="A8" s="3433" t="s">
        <v>1535</v>
      </c>
      <c r="B8" s="3550" t="s">
        <v>1540</v>
      </c>
      <c r="C8" s="3551">
        <f>'5. Персонал'!C50</f>
        <v>18.11346738978747</v>
      </c>
      <c r="D8" s="3551">
        <f>'5. Персонал'!D50</f>
        <v>26.119435556171467</v>
      </c>
      <c r="E8" s="3551">
        <f>'5. Персонал'!E50</f>
        <v>29.822933490743271</v>
      </c>
      <c r="F8" s="3551">
        <f>'5. Персонал'!F50</f>
        <v>34.103616085231216</v>
      </c>
      <c r="G8" s="3551">
        <f>'5. Персонал'!G50</f>
        <v>39.02643930289581</v>
      </c>
      <c r="H8" s="3551">
        <f>'5. Персонал'!H50</f>
        <v>44.666972057489104</v>
      </c>
      <c r="I8" s="3551">
        <f>'5. Персонал'!I50</f>
        <v>17.291744388525952</v>
      </c>
      <c r="J8" s="3551">
        <f>'5. Персонал'!J50</f>
        <v>32.384443502536861</v>
      </c>
      <c r="K8" s="3551">
        <f>'5. Персонал'!K50</f>
        <v>36.594913992274769</v>
      </c>
      <c r="L8" s="3551">
        <f>'5. Персонал'!L50</f>
        <v>41.398473569201585</v>
      </c>
      <c r="M8" s="3551">
        <f>'5. Персонал'!M50</f>
        <v>46.878135355993805</v>
      </c>
      <c r="N8" s="3551">
        <f>'5. Персонал'!N50</f>
        <v>53.128459784562814</v>
      </c>
      <c r="O8" s="4280">
        <f t="shared" si="0"/>
        <v>0.71010479768714785</v>
      </c>
      <c r="P8" s="4280">
        <f t="shared" si="1"/>
        <v>0.64055497141400486</v>
      </c>
      <c r="R8" s="5615" t="s">
        <v>1724</v>
      </c>
      <c r="S8" s="5618" t="s">
        <v>1560</v>
      </c>
      <c r="T8" s="5619"/>
      <c r="U8" s="5619"/>
      <c r="V8" s="5619"/>
      <c r="W8" s="5619"/>
      <c r="X8" s="5619"/>
      <c r="Y8" s="5615" t="str">
        <f>+Y2</f>
        <v>Изменение 2027 г.спрямо 2024 г.</v>
      </c>
      <c r="Z8" s="5615" t="str">
        <f>+Z2</f>
        <v>Изменение 2031 г.спрямо 2027 г.</v>
      </c>
      <c r="AB8" s="3552" t="s">
        <v>299</v>
      </c>
      <c r="AC8" s="3542">
        <f>'4. Отчет и прогн. потребление'!E50/1000</f>
        <v>1586.5972233333334</v>
      </c>
      <c r="AD8" s="3542">
        <f>'4. Отчет и прогн. потребление'!F50/1000</f>
        <v>1592.1933957083929</v>
      </c>
      <c r="AE8" s="3542">
        <f>'4. Отчет и прогн. потребление'!G50/1000</f>
        <v>1591.9308178917993</v>
      </c>
      <c r="AF8" s="3542">
        <f>'4. Отчет и прогн. потребление'!H50/1000</f>
        <v>1594.9078651251784</v>
      </c>
      <c r="AG8" s="3542">
        <f>'4. Отчет и прогн. потребление'!I50/1000</f>
        <v>1598.5582897072684</v>
      </c>
      <c r="AH8" s="11"/>
      <c r="AI8" s="11"/>
      <c r="AK8" s="5612" t="s">
        <v>184</v>
      </c>
      <c r="AL8" s="5613"/>
      <c r="AM8" s="5613"/>
      <c r="AN8" s="5613"/>
      <c r="AO8" s="5613"/>
      <c r="AP8" s="5614"/>
    </row>
    <row r="9" spans="1:42" ht="12.6" customHeight="1">
      <c r="A9" s="3438" t="s">
        <v>1544</v>
      </c>
      <c r="B9" s="3546" t="s">
        <v>170</v>
      </c>
      <c r="C9" s="3547"/>
      <c r="D9" s="3548">
        <f>IFERROR((D8-C8)/C8,0)</f>
        <v>0.44198981863063014</v>
      </c>
      <c r="E9" s="3548">
        <f t="shared" ref="E9" si="12">IFERROR((E8-D8)/D8,0)</f>
        <v>0.14179088696642014</v>
      </c>
      <c r="F9" s="3548">
        <f t="shared" ref="F9" si="13">IFERROR((F8-E8)/E8,0)</f>
        <v>0.14353660399694165</v>
      </c>
      <c r="G9" s="3548">
        <f t="shared" ref="G9" si="14">IFERROR((G8-F8)/F8,0)</f>
        <v>0.1443490099513656</v>
      </c>
      <c r="H9" s="3548">
        <f t="shared" ref="H9" si="15">IFERROR((H8-G8)/G8,0)</f>
        <v>0.14453106292417409</v>
      </c>
      <c r="I9" s="3547"/>
      <c r="J9" s="3548">
        <f>IFERROR((J8-I8)/I8,0)</f>
        <v>0.87282686898990747</v>
      </c>
      <c r="K9" s="3548">
        <f t="shared" ref="K9" si="16">IFERROR((K8-J8)/J8,0)</f>
        <v>0.13001521824539233</v>
      </c>
      <c r="L9" s="3548">
        <f t="shared" ref="L9" si="17">IFERROR((L8-K8)/K8,0)</f>
        <v>0.13126303775275583</v>
      </c>
      <c r="M9" s="3548">
        <f t="shared" ref="M9" si="18">IFERROR((M8-L8)/L8,0)</f>
        <v>0.13236386065376135</v>
      </c>
      <c r="N9" s="3548">
        <f t="shared" ref="N9" si="19">IFERROR((N8-M8)/M8,0)</f>
        <v>0.1333313362637801</v>
      </c>
      <c r="O9" s="4280">
        <f t="shared" si="0"/>
        <v>-0.67299911257693845</v>
      </c>
      <c r="P9" s="4280">
        <f t="shared" si="1"/>
        <v>-0.84724194339012515</v>
      </c>
      <c r="R9" s="5616"/>
      <c r="S9" s="4285" t="str">
        <f>+'15. ОПП'!$B$7</f>
        <v>2024 г.</v>
      </c>
      <c r="T9" s="4285" t="str">
        <f>+'15. ОПП'!$C$7</f>
        <v>2027 г.</v>
      </c>
      <c r="U9" s="4285" t="str">
        <f>+'15. ОПП'!$D$7</f>
        <v>2028 г.</v>
      </c>
      <c r="V9" s="4285" t="str">
        <f>+'15. ОПП'!$E$7</f>
        <v>2029 г.</v>
      </c>
      <c r="W9" s="4285" t="str">
        <f>+'15. ОПП'!$F$7</f>
        <v>2030 г.</v>
      </c>
      <c r="X9" s="4285" t="str">
        <f>+'15. ОПП'!$G$7</f>
        <v>2031 г.</v>
      </c>
      <c r="Y9" s="5616"/>
      <c r="Z9" s="5616"/>
      <c r="AB9" s="1260" t="s">
        <v>300</v>
      </c>
      <c r="AC9" s="3542">
        <f>'4. Отчет и прогн. потребление'!E51/1000</f>
        <v>302.96805433333333</v>
      </c>
      <c r="AD9" s="3542">
        <f>'4. Отчет и прогн. потребление'!F51/1000</f>
        <v>302.96499999999997</v>
      </c>
      <c r="AE9" s="3542">
        <f>'4. Отчет и прогн. потребление'!G51/1000</f>
        <v>311.36500000000001</v>
      </c>
      <c r="AF9" s="3542">
        <f>'4. Отчет и прогн. потребление'!H51/1000</f>
        <v>319.815</v>
      </c>
      <c r="AG9" s="3542">
        <f>'4. Отчет и прогн. потребление'!I51/1000</f>
        <v>328.21499999999997</v>
      </c>
      <c r="AH9" s="11"/>
      <c r="AI9" s="11"/>
      <c r="AK9" s="1461" t="s">
        <v>608</v>
      </c>
      <c r="AL9" s="3545">
        <f>'20.Цени '!D14</f>
        <v>1.492</v>
      </c>
      <c r="AM9" s="3545">
        <f>'20.Цени '!E14</f>
        <v>1.6240000000000001</v>
      </c>
      <c r="AN9" s="3545">
        <f>'20.Цени '!F14</f>
        <v>1.7669999999999999</v>
      </c>
      <c r="AO9" s="3545">
        <f>'20.Цени '!G14</f>
        <v>1.9259999999999999</v>
      </c>
      <c r="AP9" s="3545">
        <f>'20.Цени '!H14</f>
        <v>2.1040000000000001</v>
      </c>
    </row>
    <row r="10" spans="1:42">
      <c r="A10" s="3437" t="s">
        <v>1542</v>
      </c>
      <c r="B10" s="3546" t="s">
        <v>170</v>
      </c>
      <c r="C10" s="3547"/>
      <c r="D10" s="3548">
        <f>IFERROR((D8-$C$8)/$C$8,0)</f>
        <v>0.44198981863063014</v>
      </c>
      <c r="E10" s="3548">
        <f>IFERROR((E8-$C$8)/$C$8,0)</f>
        <v>0.64645083401081449</v>
      </c>
      <c r="F10" s="3548">
        <f>IFERROR((F8-$C$8)/$C$8,0)</f>
        <v>0.88277679537265907</v>
      </c>
      <c r="G10" s="3548">
        <f>IFERROR((G8-$C$8)/$C$8,0)</f>
        <v>1.1545537617441073</v>
      </c>
      <c r="H10" s="3548">
        <f>IFERROR((H8-$C$8)/$C$8,0)</f>
        <v>1.4659537070562609</v>
      </c>
      <c r="I10" s="3547"/>
      <c r="J10" s="3548">
        <f>IFERROR((J8-$I$8)/$I$8,0)</f>
        <v>0.87282686898990747</v>
      </c>
      <c r="K10" s="3549">
        <f>IFERROR((K8-$I$8)/$I$8,0)</f>
        <v>1.1163228630974651</v>
      </c>
      <c r="L10" s="3548">
        <f>IFERROR((L8-$I$8)/$I$8,0)</f>
        <v>1.394117830973248</v>
      </c>
      <c r="M10" s="3548">
        <f>IFERROR((M8-$I$8)/$I$8,0)</f>
        <v>1.7110125099408764</v>
      </c>
      <c r="N10" s="3548">
        <f>IFERROR((N8-$I$8)/$I$8,0)</f>
        <v>2.072475430519118</v>
      </c>
      <c r="O10" s="4280">
        <f t="shared" si="0"/>
        <v>2.316713746027157</v>
      </c>
      <c r="P10" s="4280">
        <f t="shared" si="1"/>
        <v>1.3744404579541902</v>
      </c>
      <c r="R10" s="4299" t="s">
        <v>207</v>
      </c>
      <c r="S10" s="3579">
        <f>'8. Ремонтна програма'!J24</f>
        <v>1683.7457744091384</v>
      </c>
      <c r="T10" s="3579">
        <f>'8. Ремонтна програма'!K24</f>
        <v>1864.1993737026694</v>
      </c>
      <c r="U10" s="3579">
        <f>'8. Ремонтна програма'!L24</f>
        <v>1982.2336446603063</v>
      </c>
      <c r="V10" s="3579">
        <f>'8. Ремонтна програма'!M24</f>
        <v>2130.4710286233117</v>
      </c>
      <c r="W10" s="3579">
        <f>'8. Ремонтна програма'!N24</f>
        <v>2299.2019449777345</v>
      </c>
      <c r="X10" s="3579">
        <f>'8. Ремонтна програма'!O24</f>
        <v>2475.3325852824564</v>
      </c>
      <c r="Y10" s="3558">
        <f t="shared" ref="Y10:Y14" si="20">IFERROR((T10-S10)/S10,0)</f>
        <v>0.10717389883686917</v>
      </c>
      <c r="Z10" s="4292">
        <f t="shared" ref="Z10:Z14" si="21">IFERROR((X10-T10)/T10,0)</f>
        <v>0.32782610068468981</v>
      </c>
      <c r="AB10" s="5617" t="s">
        <v>1703</v>
      </c>
      <c r="AC10" s="5617" t="s">
        <v>184</v>
      </c>
      <c r="AD10" s="5617"/>
      <c r="AE10" s="5617"/>
      <c r="AF10" s="5617"/>
      <c r="AG10" s="5617"/>
      <c r="AH10" s="11"/>
      <c r="AI10" s="11"/>
      <c r="AK10" s="1461" t="s">
        <v>179</v>
      </c>
      <c r="AL10" s="3553"/>
      <c r="AM10" s="3553"/>
      <c r="AN10" s="3553"/>
      <c r="AO10" s="3553"/>
      <c r="AP10" s="3553"/>
    </row>
    <row r="11" spans="1:42" ht="18.75" customHeight="1">
      <c r="A11" s="3436" t="s">
        <v>1546</v>
      </c>
      <c r="B11" s="3554" t="s">
        <v>170</v>
      </c>
      <c r="C11" s="3430">
        <f>'5. Персонал'!C62</f>
        <v>0.19552367079252059</v>
      </c>
      <c r="D11" s="3430">
        <f>'5. Персонал'!D62</f>
        <v>0.20096712138335088</v>
      </c>
      <c r="E11" s="3430">
        <f>'5. Персонал'!E62</f>
        <v>0.21154258500664933</v>
      </c>
      <c r="F11" s="3430">
        <f>'5. Персонал'!F62</f>
        <v>0.21140031377825788</v>
      </c>
      <c r="G11" s="3430">
        <f>'5. Персонал'!G62</f>
        <v>0.21128290323733206</v>
      </c>
      <c r="H11" s="3430">
        <f>'5. Персонал'!H62</f>
        <v>0.21116615598063879</v>
      </c>
      <c r="I11" s="3430">
        <f>'5. Персонал'!I62</f>
        <v>0.22710876459045873</v>
      </c>
      <c r="J11" s="3430">
        <f>'5. Персонал'!J62</f>
        <v>0.23046617499328592</v>
      </c>
      <c r="K11" s="3430">
        <f>'5. Персонал'!K62</f>
        <v>0.24129972828114854</v>
      </c>
      <c r="L11" s="3430">
        <f>'5. Персонал'!L62</f>
        <v>0.24141270252488967</v>
      </c>
      <c r="M11" s="3430">
        <f>'5. Персонал'!M62</f>
        <v>0.24152505020113038</v>
      </c>
      <c r="N11" s="3430">
        <f>'5. Персонал'!N62</f>
        <v>0.24163486842809098</v>
      </c>
      <c r="O11" s="4280">
        <f t="shared" si="0"/>
        <v>5.0749767061811772E-2</v>
      </c>
      <c r="P11" s="4280">
        <f t="shared" si="1"/>
        <v>4.8461312967642362E-2</v>
      </c>
      <c r="R11" s="4299" t="s">
        <v>174</v>
      </c>
      <c r="S11" s="3579">
        <f>'8. Ремонтна програма'!J53</f>
        <v>44.438360887186846</v>
      </c>
      <c r="T11" s="3579">
        <f>'8. Ремонтна програма'!K53</f>
        <v>60.49652234425406</v>
      </c>
      <c r="U11" s="3579">
        <f>'8. Ремонтна програма'!L53</f>
        <v>63.317377431934887</v>
      </c>
      <c r="V11" s="3579">
        <f>'8. Ремонтна програма'!M53</f>
        <v>62.735233319062345</v>
      </c>
      <c r="W11" s="3579">
        <f>'8. Ремонтна програма'!N53</f>
        <v>73.715055374870943</v>
      </c>
      <c r="X11" s="3579">
        <f>'8. Ремонтна програма'!O53</f>
        <v>74.307287012469487</v>
      </c>
      <c r="Y11" s="3558">
        <f t="shared" si="20"/>
        <v>0.36135809549396208</v>
      </c>
      <c r="Z11" s="4292">
        <f t="shared" si="21"/>
        <v>0.22829022451283382</v>
      </c>
      <c r="AB11" s="5617"/>
      <c r="AC11" s="4285" t="str">
        <f>+'15. ОПП'!$C$7</f>
        <v>2027 г.</v>
      </c>
      <c r="AD11" s="4285" t="str">
        <f>+'15. ОПП'!$D$7</f>
        <v>2028 г.</v>
      </c>
      <c r="AE11" s="4285" t="str">
        <f>+'15. ОПП'!$E$7</f>
        <v>2029 г.</v>
      </c>
      <c r="AF11" s="4285" t="str">
        <f>+'15. ОПП'!$F$7</f>
        <v>2030 г.</v>
      </c>
      <c r="AG11" s="4285" t="str">
        <f>+'15. ОПП'!$G$7</f>
        <v>2031 г.</v>
      </c>
      <c r="AH11" s="11"/>
      <c r="AI11" s="11"/>
      <c r="AK11" s="3555" t="s">
        <v>180</v>
      </c>
      <c r="AL11" s="3556">
        <f>'20.Цени '!D16</f>
        <v>1.6439999999999999</v>
      </c>
      <c r="AM11" s="3556">
        <f>'20.Цени '!E16</f>
        <v>1.7889999999999999</v>
      </c>
      <c r="AN11" s="3556">
        <f>'20.Цени '!F16</f>
        <v>1.9470000000000001</v>
      </c>
      <c r="AO11" s="3556">
        <f>'20.Цени '!G16</f>
        <v>2.1219999999999999</v>
      </c>
      <c r="AP11" s="3556">
        <f>'20.Цени '!H16</f>
        <v>2.3180000000000001</v>
      </c>
    </row>
    <row r="12" spans="1:42" ht="21.75" customHeight="1">
      <c r="A12" s="3436" t="s">
        <v>1545</v>
      </c>
      <c r="B12" s="3554" t="s">
        <v>170</v>
      </c>
      <c r="C12" s="3430">
        <f>'5. Персонал'!C63</f>
        <v>7.5832034309722449E-2</v>
      </c>
      <c r="D12" s="3430">
        <f>'5. Персонал'!D63</f>
        <v>7.8342219969903884E-2</v>
      </c>
      <c r="E12" s="3430">
        <f>'5. Персонал'!E63</f>
        <v>7.2563459572403219E-2</v>
      </c>
      <c r="F12" s="3430">
        <f>'5. Персонал'!F63</f>
        <v>7.1023040306929283E-2</v>
      </c>
      <c r="G12" s="3430">
        <f>'5. Персонал'!G63</f>
        <v>6.5829152980464059E-2</v>
      </c>
      <c r="H12" s="3430">
        <f>'5. Персонал'!H63</f>
        <v>5.7725616439078684E-2</v>
      </c>
      <c r="I12" s="3430">
        <f>'5. Персонал'!I63</f>
        <v>7.6663341365173443E-2</v>
      </c>
      <c r="J12" s="3430">
        <f>'5. Персонал'!J63</f>
        <v>6.7016374091350167E-2</v>
      </c>
      <c r="K12" s="3430">
        <f>'5. Персонал'!K63</f>
        <v>6.2433829151079138E-2</v>
      </c>
      <c r="L12" s="3430">
        <f>'5. Персонал'!L63</f>
        <v>6.1470515984933333E-2</v>
      </c>
      <c r="M12" s="3430">
        <f>'5. Персонал'!M63</f>
        <v>5.7300210598290748E-2</v>
      </c>
      <c r="N12" s="3430">
        <f>'5. Персонал'!N63</f>
        <v>5.0501859995009946E-2</v>
      </c>
      <c r="O12" s="4280">
        <f t="shared" si="0"/>
        <v>-0.26316082871720153</v>
      </c>
      <c r="P12" s="4280">
        <f t="shared" si="1"/>
        <v>-0.24642506134141562</v>
      </c>
      <c r="R12" s="4299" t="s">
        <v>184</v>
      </c>
      <c r="S12" s="3579">
        <f>'8. Ремонтна програма'!J79</f>
        <v>38.189003959221701</v>
      </c>
      <c r="T12" s="3579">
        <f>'8. Ремонтна програма'!K79</f>
        <v>48.518793526769052</v>
      </c>
      <c r="U12" s="3579">
        <f>'8. Ремонтна програма'!L79</f>
        <v>47.749431523704949</v>
      </c>
      <c r="V12" s="3579">
        <f>'8. Ремонтна програма'!M79</f>
        <v>50.961718268297979</v>
      </c>
      <c r="W12" s="3579">
        <f>'8. Ремонтна програма'!N79</f>
        <v>54.957769163692817</v>
      </c>
      <c r="X12" s="3579">
        <f>'8. Ремонтна програма'!O79</f>
        <v>59.069542719019438</v>
      </c>
      <c r="Y12" s="3558">
        <f t="shared" si="20"/>
        <v>0.27049120156622891</v>
      </c>
      <c r="Z12" s="4292">
        <f t="shared" si="21"/>
        <v>0.21745695688886554</v>
      </c>
      <c r="AB12" s="3541" t="s">
        <v>1694</v>
      </c>
      <c r="AC12" s="3542">
        <f>AC13+AC14</f>
        <v>1809.1302706666665</v>
      </c>
      <c r="AD12" s="3542">
        <f t="shared" ref="AD12:AG12" si="22">AD13+AD14</f>
        <v>1816.0858674087426</v>
      </c>
      <c r="AE12" s="3542">
        <f t="shared" si="22"/>
        <v>1823.6646078461222</v>
      </c>
      <c r="AF12" s="3542">
        <f t="shared" si="22"/>
        <v>1834.0324324627582</v>
      </c>
      <c r="AG12" s="3542">
        <f t="shared" si="22"/>
        <v>1844.8010711397849</v>
      </c>
      <c r="AH12" s="11"/>
      <c r="AI12" s="11"/>
      <c r="AK12" s="3555" t="s">
        <v>181</v>
      </c>
      <c r="AL12" s="3556">
        <f>'20.Цени '!D17</f>
        <v>2.8090000000000002</v>
      </c>
      <c r="AM12" s="3556">
        <f>'20.Цени '!E17</f>
        <v>3.0609999999999999</v>
      </c>
      <c r="AN12" s="3556">
        <f>'20.Цени '!F17</f>
        <v>3.3340000000000001</v>
      </c>
      <c r="AO12" s="3556">
        <f>'20.Цени '!G17</f>
        <v>3.637</v>
      </c>
      <c r="AP12" s="3556">
        <f>'20.Цени '!H17</f>
        <v>3.9790000000000001</v>
      </c>
    </row>
    <row r="13" spans="1:42" ht="14.25" customHeight="1">
      <c r="A13" s="5615" t="s">
        <v>2</v>
      </c>
      <c r="B13" s="5621" t="s">
        <v>1536</v>
      </c>
      <c r="C13" s="5623" t="s">
        <v>184</v>
      </c>
      <c r="D13" s="5624"/>
      <c r="E13" s="5624"/>
      <c r="F13" s="5624"/>
      <c r="G13" s="5624"/>
      <c r="H13" s="5625"/>
      <c r="I13" s="5618" t="s">
        <v>1028</v>
      </c>
      <c r="J13" s="5619"/>
      <c r="K13" s="5619"/>
      <c r="L13" s="5619"/>
      <c r="M13" s="5619"/>
      <c r="N13" s="5626"/>
      <c r="O13" s="5615" t="str">
        <f>CONCATENATE("Изменение ", H14,"спрямо ",D14)</f>
        <v>Изменение 2031 г.спрямо 2027 г.</v>
      </c>
      <c r="P13" s="5615" t="str">
        <f>CONCATENATE("Изменение ", N14,"спрямо ",J14)</f>
        <v>Изменение 2031 г.спрямо 2027 г.</v>
      </c>
      <c r="R13" s="3445" t="s">
        <v>1235</v>
      </c>
      <c r="S13" s="3579">
        <f>'8. Ремонтна програма'!J110</f>
        <v>0</v>
      </c>
      <c r="T13" s="3579">
        <f>'8. Ремонтна програма'!K110</f>
        <v>0</v>
      </c>
      <c r="U13" s="3579">
        <f>'8. Ремонтна програма'!L110</f>
        <v>0</v>
      </c>
      <c r="V13" s="3579">
        <f>'8. Ремонтна програма'!M110</f>
        <v>0</v>
      </c>
      <c r="W13" s="3579">
        <f>'8. Ремонтна програма'!N110</f>
        <v>0</v>
      </c>
      <c r="X13" s="3579">
        <f>'8. Ремонтна програма'!O110</f>
        <v>0</v>
      </c>
      <c r="Y13" s="3558">
        <f t="shared" si="20"/>
        <v>0</v>
      </c>
      <c r="Z13" s="4292">
        <f t="shared" si="21"/>
        <v>0</v>
      </c>
      <c r="AB13" s="3552" t="s">
        <v>299</v>
      </c>
      <c r="AC13" s="3542">
        <f>'4. Отчет и прогн. потребление'!E55/1000</f>
        <v>1506.1622163333332</v>
      </c>
      <c r="AD13" s="3542">
        <f>'4. Отчет и прогн. потребление'!F55/1000</f>
        <v>1513.1208674087427</v>
      </c>
      <c r="AE13" s="3542">
        <f>'4. Отчет и прогн. потребление'!G55/1000</f>
        <v>1512.2996078461222</v>
      </c>
      <c r="AF13" s="3542">
        <f>'4. Отчет и прогн. потребление'!H55/1000</f>
        <v>1514.2174324627581</v>
      </c>
      <c r="AG13" s="3542">
        <f>'4. Отчет и прогн. потребление'!I55/1000</f>
        <v>1516.586071139785</v>
      </c>
      <c r="AH13" s="11"/>
      <c r="AI13" s="11"/>
      <c r="AK13" s="3555" t="s">
        <v>182</v>
      </c>
      <c r="AL13" s="3556">
        <f>'20.Цени '!D18</f>
        <v>3.2</v>
      </c>
      <c r="AM13" s="3556">
        <f>'20.Цени '!E18</f>
        <v>3.4790000000000001</v>
      </c>
      <c r="AN13" s="3556">
        <f>'20.Цени '!F18</f>
        <v>3.7810000000000001</v>
      </c>
      <c r="AO13" s="3556">
        <f>'20.Цени '!G18</f>
        <v>4.117</v>
      </c>
      <c r="AP13" s="3556">
        <f>'20.Цени '!H18</f>
        <v>4.4909999999999997</v>
      </c>
    </row>
    <row r="14" spans="1:42" ht="14.25" customHeight="1">
      <c r="A14" s="5616"/>
      <c r="B14" s="5622"/>
      <c r="C14" s="4352" t="str">
        <f>+'15. ОПП'!$B$7</f>
        <v>2024 г.</v>
      </c>
      <c r="D14" s="4352" t="str">
        <f>+'15. ОПП'!$C$7</f>
        <v>2027 г.</v>
      </c>
      <c r="E14" s="4352" t="str">
        <f>+'15. ОПП'!$D$7</f>
        <v>2028 г.</v>
      </c>
      <c r="F14" s="4352" t="str">
        <f>+'15. ОПП'!$E$7</f>
        <v>2029 г.</v>
      </c>
      <c r="G14" s="4352" t="str">
        <f>+'15. ОПП'!$F$7</f>
        <v>2030 г.</v>
      </c>
      <c r="H14" s="4352" t="str">
        <f>+'15. ОПП'!$G$7</f>
        <v>2031 г.</v>
      </c>
      <c r="I14" s="4352" t="str">
        <f>+'15. ОПП'!$B$7</f>
        <v>2024 г.</v>
      </c>
      <c r="J14" s="4352" t="str">
        <f>+'15. ОПП'!$C$7</f>
        <v>2027 г.</v>
      </c>
      <c r="K14" s="4352" t="str">
        <f>+'15. ОПП'!$D$7</f>
        <v>2028 г.</v>
      </c>
      <c r="L14" s="4352" t="str">
        <f>+'15. ОПП'!$E$7</f>
        <v>2029 г.</v>
      </c>
      <c r="M14" s="4352" t="str">
        <f>+'15. ОПП'!$F$7</f>
        <v>2030 г.</v>
      </c>
      <c r="N14" s="4352" t="str">
        <f>+'15. ОПП'!$G$7</f>
        <v>2031 г.</v>
      </c>
      <c r="O14" s="5616"/>
      <c r="P14" s="5616"/>
      <c r="R14" s="3445" t="s">
        <v>1092</v>
      </c>
      <c r="S14" s="3579">
        <f>'8. Ремонтна програма'!J141</f>
        <v>126.2119099383835</v>
      </c>
      <c r="T14" s="3579">
        <f>'8. Ремонтна програма'!K141</f>
        <v>226.89764276611163</v>
      </c>
      <c r="U14" s="3579">
        <f>'8. Ремонтна програма'!L141</f>
        <v>256.23677285503823</v>
      </c>
      <c r="V14" s="3579">
        <f>'8. Ремонтна програма'!M141</f>
        <v>290.64719588313756</v>
      </c>
      <c r="W14" s="3579">
        <f>'8. Ремонтна програма'!N141</f>
        <v>328.24848170999246</v>
      </c>
      <c r="X14" s="3579">
        <f>'8. Ремонтна програма'!O141</f>
        <v>374.78378030611253</v>
      </c>
      <c r="Y14" s="3558">
        <f t="shared" si="20"/>
        <v>0.79775143943929527</v>
      </c>
      <c r="Z14" s="4292">
        <f t="shared" si="21"/>
        <v>0.65177467573977144</v>
      </c>
      <c r="AB14" s="1260" t="s">
        <v>300</v>
      </c>
      <c r="AC14" s="3542">
        <f>SUM(AC15:AC17)</f>
        <v>302.96805433333333</v>
      </c>
      <c r="AD14" s="3542">
        <f t="shared" ref="AD14:AG14" si="23">SUM(AD15:AD17)</f>
        <v>302.96499999999997</v>
      </c>
      <c r="AE14" s="3542">
        <f t="shared" si="23"/>
        <v>311.36500000000001</v>
      </c>
      <c r="AF14" s="3542">
        <f t="shared" si="23"/>
        <v>319.815</v>
      </c>
      <c r="AG14" s="3542">
        <f t="shared" si="23"/>
        <v>328.21499999999997</v>
      </c>
      <c r="AH14" s="11"/>
      <c r="AI14" s="11"/>
      <c r="AK14" s="5612" t="str">
        <f>AC18</f>
        <v>Доставяне вода с непитейни качества</v>
      </c>
      <c r="AL14" s="5613"/>
      <c r="AM14" s="5613"/>
      <c r="AN14" s="5613"/>
      <c r="AO14" s="5613"/>
      <c r="AP14" s="5614"/>
    </row>
    <row r="15" spans="1:42" ht="20.100000000000001" customHeight="1">
      <c r="A15" s="3435" t="s">
        <v>1541</v>
      </c>
      <c r="B15" s="3539" t="s">
        <v>676</v>
      </c>
      <c r="C15" s="3540">
        <f>'5. Персонал'!O11</f>
        <v>48.861952959814332</v>
      </c>
      <c r="D15" s="3540">
        <f>'5. Персонал'!P11</f>
        <v>56.485228874724257</v>
      </c>
      <c r="E15" s="3540">
        <f>'5. Персонал'!Q11</f>
        <v>56.487287324582439</v>
      </c>
      <c r="F15" s="3540">
        <f>'5. Персонал'!R11</f>
        <v>56.489352212066748</v>
      </c>
      <c r="G15" s="3540">
        <f>'5. Персонал'!S11</f>
        <v>56.491424092786858</v>
      </c>
      <c r="H15" s="3540">
        <f>'5. Персонал'!T11</f>
        <v>56.493502618238082</v>
      </c>
      <c r="I15" s="3540">
        <f>C4+I4+C15</f>
        <v>316.36580851569045</v>
      </c>
      <c r="J15" s="3540">
        <f t="shared" ref="J15:N15" si="24">D4+J4+D15</f>
        <v>329.81279071224247</v>
      </c>
      <c r="K15" s="3540">
        <f t="shared" si="24"/>
        <v>327.76330151098398</v>
      </c>
      <c r="L15" s="3540">
        <f t="shared" si="24"/>
        <v>326.71368011931935</v>
      </c>
      <c r="M15" s="3540">
        <f t="shared" si="24"/>
        <v>325.66391339053314</v>
      </c>
      <c r="N15" s="3540">
        <f t="shared" si="24"/>
        <v>324.61400990473317</v>
      </c>
      <c r="O15" s="4280">
        <f t="shared" ref="O15:O23" si="25">IFERROR((H15-D15)/D15,0)</f>
        <v>1.4647623243548347E-4</v>
      </c>
      <c r="P15" s="4280">
        <f t="shared" ref="P15:P23" si="26">IFERROR((N15-J15)/J15,0)</f>
        <v>-1.5762823498392396E-2</v>
      </c>
      <c r="R15" s="4323"/>
      <c r="S15" s="4340"/>
      <c r="T15" s="4340"/>
      <c r="U15" s="4340"/>
      <c r="V15" s="4340"/>
      <c r="W15" s="4340"/>
      <c r="X15" s="4340"/>
      <c r="Y15" s="4316"/>
      <c r="Z15" s="4341"/>
      <c r="AB15" s="3557" t="s">
        <v>997</v>
      </c>
      <c r="AC15" s="3542">
        <f>'4. Отчет и прогн. потребление'!E58/1000</f>
        <v>62.153054333333337</v>
      </c>
      <c r="AD15" s="3542">
        <f>'4. Отчет и прогн. потребление'!F58/1000</f>
        <v>62.15</v>
      </c>
      <c r="AE15" s="3542">
        <f>'4. Отчет и прогн. потребление'!G58/1000</f>
        <v>70.55</v>
      </c>
      <c r="AF15" s="3542">
        <f>'4. Отчет и прогн. потребление'!H58/1000</f>
        <v>79</v>
      </c>
      <c r="AG15" s="3542">
        <f>'4. Отчет и прогн. потребление'!I58/1000</f>
        <v>87.4</v>
      </c>
      <c r="AH15" s="11"/>
      <c r="AI15" s="11"/>
      <c r="AK15" s="1461"/>
      <c r="AL15" s="3545">
        <f>'20.Цени '!D19</f>
        <v>0</v>
      </c>
      <c r="AM15" s="3545">
        <f>'20.Цени '!E19</f>
        <v>0</v>
      </c>
      <c r="AN15" s="3545">
        <f>'20.Цени '!F19</f>
        <v>0</v>
      </c>
      <c r="AO15" s="3545">
        <f>'20.Цени '!G19</f>
        <v>0</v>
      </c>
      <c r="AP15" s="3545">
        <f>'20.Цени '!H19</f>
        <v>0</v>
      </c>
    </row>
    <row r="16" spans="1:42" ht="24" customHeight="1">
      <c r="A16" s="3432" t="s">
        <v>1534</v>
      </c>
      <c r="B16" s="3543" t="s">
        <v>1539</v>
      </c>
      <c r="C16" s="3544">
        <f>'5. Персонал'!O14</f>
        <v>46.779999999999994</v>
      </c>
      <c r="D16" s="3544">
        <f>'5. Персонал'!P14</f>
        <v>58.969648970082204</v>
      </c>
      <c r="E16" s="3544">
        <f>'5. Персонал'!Q14</f>
        <v>57.90363386749911</v>
      </c>
      <c r="F16" s="3544">
        <f>'5. Персонал'!R14</f>
        <v>56.834581404557738</v>
      </c>
      <c r="G16" s="3544">
        <f>'5. Персонал'!S14</f>
        <v>55.762412039847582</v>
      </c>
      <c r="H16" s="3544">
        <f>'5. Персонал'!T14</f>
        <v>54.68704246438417</v>
      </c>
      <c r="I16" s="3540">
        <f>C5+I5+C16</f>
        <v>296.75</v>
      </c>
      <c r="J16" s="3540">
        <f t="shared" ref="J16:N16" si="27">D5+J5+D16</f>
        <v>312.50132336173544</v>
      </c>
      <c r="K16" s="3540">
        <f t="shared" si="27"/>
        <v>308.91134732913957</v>
      </c>
      <c r="L16" s="3540">
        <f t="shared" si="27"/>
        <v>306.23426162512521</v>
      </c>
      <c r="M16" s="3540">
        <f t="shared" si="27"/>
        <v>303.55876967314151</v>
      </c>
      <c r="N16" s="3540">
        <f t="shared" si="27"/>
        <v>300.88488711123841</v>
      </c>
      <c r="O16" s="4280">
        <f t="shared" si="25"/>
        <v>-7.2623910443672154E-2</v>
      </c>
      <c r="P16" s="4280">
        <f t="shared" si="26"/>
        <v>-3.7172438585325422E-2</v>
      </c>
      <c r="R16" s="4354" t="s">
        <v>1856</v>
      </c>
      <c r="S16" s="4355" t="str">
        <f>+'15. ОПП'!$B$7</f>
        <v>2024 г.</v>
      </c>
      <c r="T16" s="4355" t="str">
        <f>+'15. ОПП'!$C$7</f>
        <v>2027 г.</v>
      </c>
      <c r="U16" s="4355" t="str">
        <f>+'15. ОПП'!$D$7</f>
        <v>2028 г.</v>
      </c>
      <c r="V16" s="4355" t="str">
        <f>+'15. ОПП'!$E$7</f>
        <v>2029 г.</v>
      </c>
      <c r="W16" s="4355" t="str">
        <f>+'15. ОПП'!$F$7</f>
        <v>2030 г.</v>
      </c>
      <c r="X16" s="4355" t="str">
        <f>+'15. ОПП'!$G$7</f>
        <v>2031 г.</v>
      </c>
      <c r="Y16" s="4355" t="str">
        <f>+Y8</f>
        <v>Изменение 2027 г.спрямо 2024 г.</v>
      </c>
      <c r="Z16" s="4355" t="str">
        <f>+Z8</f>
        <v>Изменение 2031 г.спрямо 2027 г.</v>
      </c>
      <c r="AB16" s="3557" t="s">
        <v>998</v>
      </c>
      <c r="AC16" s="3542">
        <f>'4. Отчет и прогн. потребление'!E59/1000</f>
        <v>213.25</v>
      </c>
      <c r="AD16" s="3542">
        <f>'4. Отчет и прогн. потребление'!F59/1000</f>
        <v>213.25</v>
      </c>
      <c r="AE16" s="3542">
        <f>'4. Отчет и прогн. потребление'!G59/1000</f>
        <v>213.25</v>
      </c>
      <c r="AF16" s="3542">
        <f>'4. Отчет и прогн. потребление'!H59/1000</f>
        <v>213.25</v>
      </c>
      <c r="AG16" s="3542">
        <f>'4. Отчет и прогн. потребление'!I59/1000</f>
        <v>213.25</v>
      </c>
      <c r="AH16" s="11"/>
      <c r="AI16" s="11"/>
      <c r="AK16" s="5612" t="str">
        <f>AC21</f>
        <v>Доставяне вода на друг ВиК оператор</v>
      </c>
      <c r="AL16" s="5613"/>
      <c r="AM16" s="5613"/>
      <c r="AN16" s="5613"/>
      <c r="AO16" s="5613"/>
      <c r="AP16" s="5614"/>
    </row>
    <row r="17" spans="1:48" ht="14.25" customHeight="1">
      <c r="A17" s="3438" t="s">
        <v>1544</v>
      </c>
      <c r="B17" s="3546" t="s">
        <v>170</v>
      </c>
      <c r="C17" s="3547"/>
      <c r="D17" s="3548">
        <f>IFERROR((D16-C16)/C16,0)</f>
        <v>0.26057394121595151</v>
      </c>
      <c r="E17" s="3548">
        <f t="shared" ref="E17" si="28">IFERROR((E16-D16)/D16,0)</f>
        <v>-1.8077352014151022E-2</v>
      </c>
      <c r="F17" s="3548">
        <f t="shared" ref="F17" si="29">IFERROR((F16-E16)/E16,0)</f>
        <v>-1.8462614373869597E-2</v>
      </c>
      <c r="G17" s="3548">
        <f t="shared" ref="G17" si="30">IFERROR((G16-F16)/F16,0)</f>
        <v>-1.8864735838877409E-2</v>
      </c>
      <c r="H17" s="3548">
        <f t="shared" ref="H17" si="31">IFERROR((H16-G16)/G16,0)</f>
        <v>-1.9284846837237919E-2</v>
      </c>
      <c r="I17" s="3547"/>
      <c r="J17" s="3549">
        <f>IFERROR((J16-I16)/I16,0)</f>
        <v>5.30794384557218E-2</v>
      </c>
      <c r="K17" s="3549">
        <f t="shared" ref="K17" si="32">IFERROR((K16-J16)/J16,0)</f>
        <v>-1.1487874655942814E-2</v>
      </c>
      <c r="L17" s="3549">
        <f t="shared" ref="L17" si="33">IFERROR((L16-K16)/K16,0)</f>
        <v>-8.6661941270871224E-3</v>
      </c>
      <c r="M17" s="3549">
        <f t="shared" ref="M17" si="34">IFERROR((M16-L16)/L16,0)</f>
        <v>-8.7367492382641656E-3</v>
      </c>
      <c r="N17" s="3549">
        <f t="shared" ref="N17" si="35">IFERROR((N16-M16)/M16,0)</f>
        <v>-8.8084510448576923E-3</v>
      </c>
      <c r="O17" s="4280">
        <f t="shared" si="25"/>
        <v>-1.0740091152140787</v>
      </c>
      <c r="P17" s="4280">
        <f t="shared" si="26"/>
        <v>-1.1659484595377849</v>
      </c>
      <c r="R17" s="4356" t="s">
        <v>1563</v>
      </c>
      <c r="S17" s="4357">
        <f>IFERROR('8. Ремонтна програма'!J10/'8. Ремонтна програма'!J$24,0)</f>
        <v>1.0594672339908733E-2</v>
      </c>
      <c r="T17" s="4357">
        <f>IFERROR('8. Ремонтна програма'!K10/'8. Ремонтна програма'!K$24,0)</f>
        <v>8.1285755361846096E-3</v>
      </c>
      <c r="U17" s="4357">
        <f>IFERROR('8. Ремонтна програма'!L10/'8. Ремонтна програма'!L$24,0)</f>
        <v>8.3066869742639514E-3</v>
      </c>
      <c r="V17" s="4357">
        <f>IFERROR('8. Ремонтна програма'!M10/'8. Ремонтна програма'!M$24,0)</f>
        <v>8.4120715975497008E-3</v>
      </c>
      <c r="W17" s="4357">
        <f>IFERROR('8. Ремонтна програма'!N10/'8. Ремонтна програма'!N$24,0)</f>
        <v>8.5056185871871699E-3</v>
      </c>
      <c r="X17" s="4357">
        <f>IFERROR('8. Ремонтна програма'!O10/'8. Ремонтна програма'!O$24,0)</f>
        <v>8.6426296055553287E-3</v>
      </c>
      <c r="Y17" s="3558">
        <f>IFERROR((T17-S17)/S17,0)</f>
        <v>-0.23276763307107307</v>
      </c>
      <c r="Z17" s="3558">
        <f t="shared" ref="Z17:Z30" si="36">IFERROR((X17-T17)/T17,0)</f>
        <v>6.3240363220147408E-2</v>
      </c>
      <c r="AB17" s="3557" t="s">
        <v>999</v>
      </c>
      <c r="AC17" s="3542">
        <f>'4. Отчет и прогн. потребление'!E60/1000</f>
        <v>27.565000000000001</v>
      </c>
      <c r="AD17" s="3542">
        <f>'4. Отчет и прогн. потребление'!F60/1000</f>
        <v>27.565000000000001</v>
      </c>
      <c r="AE17" s="3542">
        <f>'4. Отчет и прогн. потребление'!G60/1000</f>
        <v>27.565000000000001</v>
      </c>
      <c r="AF17" s="3542">
        <f>'4. Отчет и прогн. потребление'!H60/1000</f>
        <v>27.565000000000001</v>
      </c>
      <c r="AG17" s="3542">
        <f>'4. Отчет и прогн. потребление'!I60/1000</f>
        <v>27.565000000000001</v>
      </c>
      <c r="AH17" s="11"/>
      <c r="AI17" s="11"/>
      <c r="AK17" s="1461"/>
      <c r="AL17" s="3545">
        <f>'20.Цени '!D20</f>
        <v>0.16300000000000001</v>
      </c>
      <c r="AM17" s="3545">
        <f>'20.Цени '!E20</f>
        <v>0.16600000000000001</v>
      </c>
      <c r="AN17" s="3545">
        <f>'20.Цени '!F20</f>
        <v>0.17899999999999999</v>
      </c>
      <c r="AO17" s="3545">
        <f>'20.Цени '!G20</f>
        <v>0.19500000000000001</v>
      </c>
      <c r="AP17" s="3545">
        <f>'20.Цени '!H20</f>
        <v>0.21099999999999999</v>
      </c>
    </row>
    <row r="18" spans="1:48">
      <c r="A18" s="3438" t="s">
        <v>1543</v>
      </c>
      <c r="B18" s="3546" t="s">
        <v>170</v>
      </c>
      <c r="C18" s="3547"/>
      <c r="D18" s="3548">
        <f>IFERROR((D16-$C$16)/$C$16,0)</f>
        <v>0.26057394121595151</v>
      </c>
      <c r="E18" s="3548">
        <f t="shared" ref="E18:H18" si="37">IFERROR((E16-$C$16)/$C$16,0)</f>
        <v>0.23778610234072503</v>
      </c>
      <c r="F18" s="3548">
        <f t="shared" si="37"/>
        <v>0.21493333485587315</v>
      </c>
      <c r="G18" s="3548">
        <f t="shared" si="37"/>
        <v>0.1920139384319707</v>
      </c>
      <c r="H18" s="3548">
        <f t="shared" si="37"/>
        <v>0.1690261322014574</v>
      </c>
      <c r="I18" s="3547"/>
      <c r="J18" s="3559">
        <f>IFERROR((J16-$I$16)/$I$16,0)</f>
        <v>5.30794384557218E-2</v>
      </c>
      <c r="K18" s="3549">
        <f t="shared" ref="K18:N18" si="38">IFERROR((K16-$I$16)/$I$16,0)</f>
        <v>4.0981793863991825E-2</v>
      </c>
      <c r="L18" s="3548">
        <f t="shared" si="38"/>
        <v>3.1960443555603082E-2</v>
      </c>
      <c r="M18" s="3548">
        <f t="shared" si="38"/>
        <v>2.2944463936449916E-2</v>
      </c>
      <c r="N18" s="3548">
        <f t="shared" si="38"/>
        <v>1.39339077042575E-2</v>
      </c>
      <c r="O18" s="4280">
        <f t="shared" si="25"/>
        <v>-0.35133140553998665</v>
      </c>
      <c r="P18" s="4280">
        <f t="shared" si="26"/>
        <v>-0.73748954190837956</v>
      </c>
      <c r="R18" s="4356" t="s">
        <v>1564</v>
      </c>
      <c r="S18" s="4357">
        <f>IFERROR('8. Ремонтна програма'!J11/'8. Ремонтна програма'!J$24,0)</f>
        <v>0.11226796657212772</v>
      </c>
      <c r="T18" s="4357">
        <f>IFERROR('8. Ремонтна програма'!K11/'8. Ремонтна програма'!K$24,0)</f>
        <v>0.10772869729404731</v>
      </c>
      <c r="U18" s="4357">
        <f>IFERROR('8. Ремонтна програма'!L11/'8. Ремонтна програма'!L$24,0)</f>
        <v>0.10600489703402728</v>
      </c>
      <c r="V18" s="4357">
        <f>IFERROR('8. Ремонтна програма'!M11/'8. Ремонтна програма'!M$24,0)</f>
        <v>0.10812559140080841</v>
      </c>
      <c r="W18" s="4357">
        <f>IFERROR('8. Ремонтна програма'!N11/'8. Ремонтна програма'!N$24,0)</f>
        <v>0.11012252317904879</v>
      </c>
      <c r="X18" s="4357">
        <f>IFERROR('8. Ремонтна програма'!O11/'8. Ремонтна програма'!O$24,0)</f>
        <v>0.10864959359496479</v>
      </c>
      <c r="Y18" s="3558">
        <f t="shared" ref="Y18:Y30" si="39">IFERROR((T18-S18)/S18,0)</f>
        <v>-4.0432452966573544E-2</v>
      </c>
      <c r="Z18" s="3558">
        <f t="shared" si="36"/>
        <v>8.5482914399667691E-3</v>
      </c>
      <c r="AB18" s="5617" t="s">
        <v>1704</v>
      </c>
      <c r="AC18" s="5627" t="str">
        <f>C24</f>
        <v>Доставяне вода с непитейни качества</v>
      </c>
      <c r="AD18" s="5617"/>
      <c r="AE18" s="5617"/>
      <c r="AF18" s="5617"/>
      <c r="AG18" s="5617"/>
      <c r="AH18" s="11"/>
      <c r="AI18" s="11"/>
      <c r="AK18" s="11"/>
    </row>
    <row r="19" spans="1:48" ht="21.75" customHeight="1">
      <c r="A19" s="3433" t="s">
        <v>1535</v>
      </c>
      <c r="B19" s="3550" t="s">
        <v>1540</v>
      </c>
      <c r="C19" s="3551">
        <f>'5. Персонал'!O50</f>
        <v>18.151311868201699</v>
      </c>
      <c r="D19" s="3551">
        <f>'5. Персонал'!P50</f>
        <v>24.512578160926221</v>
      </c>
      <c r="E19" s="3551">
        <f>'5. Персонал'!Q50</f>
        <v>28.47327340003099</v>
      </c>
      <c r="F19" s="3551">
        <f>'5. Персонал'!R50</f>
        <v>33.099092101810555</v>
      </c>
      <c r="G19" s="3551">
        <f>'5. Персонал'!S50</f>
        <v>38.504338314136803</v>
      </c>
      <c r="H19" s="3551">
        <f>'5. Персонал'!T50</f>
        <v>44.823539914877465</v>
      </c>
      <c r="I19" s="3551">
        <f>IFERROR(('5. Персонал'!C29+'5. Персонал'!I29+'5. Персонал'!O29)/I16,0)</f>
        <v>18.098609791575946</v>
      </c>
      <c r="J19" s="3551">
        <f>IFERROR(('5. Персонал'!D29+'5. Персонал'!J29+'5. Персонал'!P29)/J16,0)</f>
        <v>25.997491568337651</v>
      </c>
      <c r="K19" s="3551">
        <f>IFERROR(('5. Персонал'!E29+'5. Персонал'!K29+'5. Персонал'!Q29)/K16,0)</f>
        <v>29.768638218506123</v>
      </c>
      <c r="L19" s="3551">
        <f>IFERROR(('5. Персонал'!F29+'5. Персонал'!L29+'5. Персонал'!R29)/L16,0)</f>
        <v>34.133608039401913</v>
      </c>
      <c r="M19" s="3551">
        <f>IFERROR(('5. Персонал'!G29+'5. Персонал'!M29+'5. Персонал'!S29)/M16,0)</f>
        <v>39.16610273762825</v>
      </c>
      <c r="N19" s="3551">
        <f>IFERROR(('5. Персонал'!H29+'5. Персонал'!N29+'5. Персонал'!T29)/N16,0)</f>
        <v>44.952186050639988</v>
      </c>
      <c r="O19" s="4280">
        <f t="shared" si="25"/>
        <v>0.82859345192532707</v>
      </c>
      <c r="P19" s="4280">
        <f t="shared" si="26"/>
        <v>0.72909705278594117</v>
      </c>
      <c r="R19" s="4358" t="s">
        <v>1565</v>
      </c>
      <c r="S19" s="4357">
        <f>IFERROR('8. Ремонтна програма'!J12/'8. Ремонтна програма'!J$24,0)</f>
        <v>0.48353861466919107</v>
      </c>
      <c r="T19" s="4357">
        <f>IFERROR('8. Ремонтна програма'!K12/'8. Ремонтна програма'!K$24,0)</f>
        <v>0.47601202908027085</v>
      </c>
      <c r="U19" s="4357">
        <f>IFERROR('8. Ремонтна програма'!L12/'8. Ремонтна програма'!L$24,0)</f>
        <v>0.47240323144925844</v>
      </c>
      <c r="V19" s="4357">
        <f>IFERROR('8. Ремонтна програма'!M12/'8. Ремонтна програма'!M$24,0)</f>
        <v>0.46783381199409907</v>
      </c>
      <c r="W19" s="4357">
        <f>IFERROR('8. Ремонтна програма'!N12/'8. Ремонтна програма'!N$24,0)</f>
        <v>0.46267205057789662</v>
      </c>
      <c r="X19" s="4357">
        <f>IFERROR('8. Ремонтна програма'!O12/'8. Ремонтна програма'!O$24,0)</f>
        <v>0.45990685567862882</v>
      </c>
      <c r="Y19" s="3558">
        <f t="shared" si="39"/>
        <v>-1.556563500945932E-2</v>
      </c>
      <c r="Z19" s="3558">
        <f t="shared" si="36"/>
        <v>-3.3833542889157069E-2</v>
      </c>
      <c r="AB19" s="5617"/>
      <c r="AC19" s="4285" t="str">
        <f>+'15. ОПП'!$C$7</f>
        <v>2027 г.</v>
      </c>
      <c r="AD19" s="4285" t="str">
        <f>+'15. ОПП'!$D$7</f>
        <v>2028 г.</v>
      </c>
      <c r="AE19" s="4285" t="str">
        <f>+'15. ОПП'!$E$7</f>
        <v>2029 г.</v>
      </c>
      <c r="AF19" s="4285" t="str">
        <f>+'15. ОПП'!$F$7</f>
        <v>2030 г.</v>
      </c>
      <c r="AG19" s="4285" t="str">
        <f>+'15. ОПП'!$G$7</f>
        <v>2031 г.</v>
      </c>
      <c r="AH19" s="11"/>
      <c r="AI19" s="11"/>
      <c r="AK19" s="5603" t="s">
        <v>279</v>
      </c>
      <c r="AL19" s="5603" t="s">
        <v>280</v>
      </c>
      <c r="AM19" s="5603" t="s">
        <v>192</v>
      </c>
      <c r="AN19" s="5603"/>
      <c r="AO19" s="5603" t="s">
        <v>193</v>
      </c>
      <c r="AP19" s="5603"/>
      <c r="AQ19" s="5603"/>
      <c r="AR19" s="5603"/>
      <c r="AS19" s="5603"/>
    </row>
    <row r="20" spans="1:48" ht="15.75" customHeight="1">
      <c r="A20" s="3438" t="s">
        <v>1544</v>
      </c>
      <c r="B20" s="3546" t="s">
        <v>170</v>
      </c>
      <c r="C20" s="3547"/>
      <c r="D20" s="3548">
        <f>IFERROR((D19-C19)/C19,0)</f>
        <v>0.35045766052141281</v>
      </c>
      <c r="E20" s="3548">
        <f t="shared" ref="E20" si="40">IFERROR((E19-D19)/D19,0)</f>
        <v>0.16157807690005596</v>
      </c>
      <c r="F20" s="3548">
        <f t="shared" ref="F20" si="41">IFERROR((F19-E19)/E19,0)</f>
        <v>0.16246178080018472</v>
      </c>
      <c r="G20" s="3548">
        <f t="shared" ref="G20" si="42">IFERROR((G19-F19)/F19,0)</f>
        <v>0.16330496908193365</v>
      </c>
      <c r="H20" s="3548">
        <f t="shared" ref="H20" si="43">IFERROR((H19-G19)/G19,0)</f>
        <v>0.16411661328096575</v>
      </c>
      <c r="I20" s="3547"/>
      <c r="J20" s="3549">
        <f>IFERROR((J19-I19)/I19,0)</f>
        <v>0.43643582947670734</v>
      </c>
      <c r="K20" s="3549">
        <f t="shared" ref="K20" si="44">IFERROR((K19-J19)/J19,0)</f>
        <v>0.14505809686505877</v>
      </c>
      <c r="L20" s="3549">
        <f t="shared" ref="L20" si="45">IFERROR((L19-K19)/K19,0)</f>
        <v>0.14662981184615431</v>
      </c>
      <c r="M20" s="3549">
        <f t="shared" ref="M20" si="46">IFERROR((M19-L19)/L19,0)</f>
        <v>0.14743518154943094</v>
      </c>
      <c r="N20" s="3549">
        <f t="shared" ref="N20" si="47">IFERROR((N19-M19)/M19,0)</f>
        <v>0.14773191378709333</v>
      </c>
      <c r="O20" s="4280">
        <f t="shared" si="25"/>
        <v>-0.53170773029531682</v>
      </c>
      <c r="P20" s="4280">
        <f t="shared" si="26"/>
        <v>-0.66150369926267061</v>
      </c>
      <c r="R20" s="4356" t="s">
        <v>1566</v>
      </c>
      <c r="S20" s="4357">
        <f>IFERROR('8. Ремонтна програма'!J13/'8. Ремонтна програма'!J$24,0)</f>
        <v>0.16192685735034357</v>
      </c>
      <c r="T20" s="4357">
        <f>IFERROR('8. Ремонтна програма'!K13/'8. Ремонтна програма'!K$24,0)</f>
        <v>0.17313523540314119</v>
      </c>
      <c r="U20" s="4357">
        <f>IFERROR('8. Ремонтна програма'!L13/'8. Ремонтна програма'!L$24,0)</f>
        <v>0.17401822585309143</v>
      </c>
      <c r="V20" s="4357">
        <f>IFERROR('8. Ремонтна програма'!M13/'8. Ремонтна програма'!M$24,0)</f>
        <v>0.17332396177320364</v>
      </c>
      <c r="W20" s="4357">
        <f>IFERROR('8. Ремонтна програма'!N13/'8. Ремонтна програма'!N$24,0)</f>
        <v>0.17471608428977678</v>
      </c>
      <c r="X20" s="4357">
        <f>IFERROR('8. Ремонтна програма'!O13/'8. Ремонтна програма'!O$24,0)</f>
        <v>0.17461792836820914</v>
      </c>
      <c r="Y20" s="3558">
        <f t="shared" si="39"/>
        <v>6.9218770969829091E-2</v>
      </c>
      <c r="Z20" s="3558">
        <f t="shared" si="36"/>
        <v>8.5637851914749496E-3</v>
      </c>
      <c r="AB20" s="3541" t="s">
        <v>340</v>
      </c>
      <c r="AC20" s="3542">
        <f>'4. Отчет и прогн. потребление'!E69/1000</f>
        <v>0</v>
      </c>
      <c r="AD20" s="3542">
        <f>'4. Отчет и прогн. потребление'!F69/1000</f>
        <v>0</v>
      </c>
      <c r="AE20" s="3542">
        <f>'4. Отчет и прогн. потребление'!G69/1000</f>
        <v>0</v>
      </c>
      <c r="AF20" s="3542">
        <f>'4. Отчет и прогн. потребление'!H69/1000</f>
        <v>0</v>
      </c>
      <c r="AG20" s="3542">
        <f>'4. Отчет и прогн. потребление'!I69/1000</f>
        <v>0</v>
      </c>
      <c r="AH20" s="11"/>
      <c r="AI20" s="11"/>
      <c r="AK20" s="5603"/>
      <c r="AL20" s="5603"/>
      <c r="AM20" s="4359" t="str">
        <f>+'9.Инвестиционна програма'!G9</f>
        <v>2025 г.</v>
      </c>
      <c r="AN20" s="4359" t="str">
        <f>+'9.Инвестиционна програма'!H9</f>
        <v>2026 г.</v>
      </c>
      <c r="AO20" s="4359" t="str">
        <f>+'9.Инвестиционна програма'!I9</f>
        <v>2027 г.</v>
      </c>
      <c r="AP20" s="4359" t="str">
        <f>+'9.Инвестиционна програма'!J9</f>
        <v>2028 г.</v>
      </c>
      <c r="AQ20" s="4359" t="str">
        <f>+'9.Инвестиционна програма'!K9</f>
        <v>2029 г.</v>
      </c>
      <c r="AR20" s="4359" t="str">
        <f>+'9.Инвестиционна програма'!L9</f>
        <v>2030 г.</v>
      </c>
      <c r="AS20" s="4359" t="str">
        <f>+'9.Инвестиционна програма'!M9</f>
        <v>2031 г.</v>
      </c>
    </row>
    <row r="21" spans="1:48" ht="20.399999999999999">
      <c r="A21" s="3437" t="s">
        <v>1542</v>
      </c>
      <c r="B21" s="3546" t="s">
        <v>170</v>
      </c>
      <c r="C21" s="3547"/>
      <c r="D21" s="3548">
        <f>IFERROR((D19-$C$19)/$C$19,0)</f>
        <v>0.35045766052141281</v>
      </c>
      <c r="E21" s="3548">
        <f t="shared" ref="E21:H21" si="48">IFERROR((E19-$C$19)/$C$19,0)</f>
        <v>0.56866201224341129</v>
      </c>
      <c r="F21" s="3548">
        <f t="shared" si="48"/>
        <v>0.82350963622607709</v>
      </c>
      <c r="G21" s="3548">
        <f t="shared" si="48"/>
        <v>1.1212978209905846</v>
      </c>
      <c r="H21" s="3548">
        <f t="shared" si="48"/>
        <v>1.4694380351318517</v>
      </c>
      <c r="I21" s="3547"/>
      <c r="J21" s="3548">
        <f>IFERROR((J19-$I$19)/$I$19,0)</f>
        <v>0.43643582947670734</v>
      </c>
      <c r="K21" s="3549">
        <f t="shared" ref="K21:N21" si="49">IFERROR((K19-$I$19)/$I$19,0)</f>
        <v>0.64480247716938055</v>
      </c>
      <c r="L21" s="3548">
        <f t="shared" si="49"/>
        <v>0.88597955492081537</v>
      </c>
      <c r="M21" s="3548">
        <f t="shared" si="49"/>
        <v>1.1640392929990808</v>
      </c>
      <c r="N21" s="3548">
        <f t="shared" si="49"/>
        <v>1.4837369592643035</v>
      </c>
      <c r="O21" s="4280">
        <f t="shared" si="25"/>
        <v>3.1929117284684652</v>
      </c>
      <c r="P21" s="4280">
        <f t="shared" si="26"/>
        <v>2.3996680818880636</v>
      </c>
      <c r="R21" s="4356" t="s">
        <v>1567</v>
      </c>
      <c r="S21" s="4357">
        <f>IFERROR('8. Ремонтна програма'!J14/'8. Ремонтна програма'!J$24,0)</f>
        <v>2.7445692063488684E-2</v>
      </c>
      <c r="T21" s="4357">
        <f>IFERROR('8. Ремонтна програма'!K14/'8. Ремонтна програма'!K$24,0)</f>
        <v>2.1698344391753721E-2</v>
      </c>
      <c r="U21" s="4357">
        <f>IFERROR('8. Ремонтна програма'!L14/'8. Ремонтна програма'!L$24,0)</f>
        <v>2.2000321139258656E-2</v>
      </c>
      <c r="V21" s="4357">
        <f>IFERROR('8. Ремонтна програма'!M14/'8. Ремонтна програма'!M$24,0)</f>
        <v>2.2113920704674384E-2</v>
      </c>
      <c r="W21" s="4357">
        <f>IFERROR('8. Ремонтна програма'!N14/'8. Ремонтна програма'!N$24,0)</f>
        <v>2.2200800682514919E-2</v>
      </c>
      <c r="X21" s="4357">
        <f>IFERROR('8. Ремонтна програма'!O14/'8. Ремонтна програма'!O$24,0)</f>
        <v>2.2405321251645054E-2</v>
      </c>
      <c r="Y21" s="3558">
        <f t="shared" si="39"/>
        <v>-0.20940800685367758</v>
      </c>
      <c r="Z21" s="3558">
        <f t="shared" si="36"/>
        <v>3.2582064655587918E-2</v>
      </c>
      <c r="AB21" s="5617" t="s">
        <v>1703</v>
      </c>
      <c r="AC21" s="5617" t="str">
        <f>I24</f>
        <v>Доставяне вода на друг ВиК оператор</v>
      </c>
      <c r="AD21" s="5617"/>
      <c r="AE21" s="5617"/>
      <c r="AF21" s="5617"/>
      <c r="AG21" s="5617"/>
      <c r="AH21" s="11"/>
      <c r="AI21" s="11"/>
      <c r="AK21" s="3445" t="s">
        <v>286</v>
      </c>
      <c r="AL21" s="3439" t="s">
        <v>1727</v>
      </c>
      <c r="AM21" s="4360">
        <f>'13. Соц. поносимост'!C12</f>
        <v>2.8</v>
      </c>
      <c r="AN21" s="4360">
        <f>'13. Соц. поносимост'!D12</f>
        <v>2.8</v>
      </c>
      <c r="AO21" s="4360">
        <f>'13. Соц. поносимост'!E12</f>
        <v>2.8</v>
      </c>
      <c r="AP21" s="4360">
        <f>'13. Соц. поносимост'!F12</f>
        <v>2.8</v>
      </c>
      <c r="AQ21" s="4360">
        <f>'13. Соц. поносимост'!G12</f>
        <v>2.8</v>
      </c>
      <c r="AR21" s="4360">
        <f>'13. Соц. поносимост'!H12</f>
        <v>2.8</v>
      </c>
      <c r="AS21" s="4360">
        <f>'13. Соц. поносимост'!I12</f>
        <v>2.8</v>
      </c>
    </row>
    <row r="22" spans="1:48" ht="21" customHeight="1">
      <c r="A22" s="3436" t="s">
        <v>1546</v>
      </c>
      <c r="B22" s="3554" t="s">
        <v>170</v>
      </c>
      <c r="C22" s="3430">
        <f>'5. Персонал'!O62</f>
        <v>0.19642753616657144</v>
      </c>
      <c r="D22" s="3430">
        <f>'5. Персонал'!P62</f>
        <v>0.20134700604841946</v>
      </c>
      <c r="E22" s="3430">
        <f>'5. Персонал'!Q62</f>
        <v>0.21203888721964825</v>
      </c>
      <c r="F22" s="3430">
        <f>'5. Персонал'!R62</f>
        <v>0.21183895748191325</v>
      </c>
      <c r="G22" s="3430">
        <f>'5. Персонал'!S62</f>
        <v>0.21166778875622663</v>
      </c>
      <c r="H22" s="3430">
        <f>'5. Персонал'!T62</f>
        <v>0.21151836146180023</v>
      </c>
      <c r="I22" s="3430">
        <f>IFERROR(('5. Персонал'!C42+'5. Персонал'!I42+'5. Персонал'!O42)/('5. Персонал'!C29+'5. Персонал'!I29+'5. Персонал'!O29),0)</f>
        <v>0.19643129279653193</v>
      </c>
      <c r="J22" s="3430">
        <f>IFERROR(('5. Персонал'!D42+'5. Персонал'!J42+'5. Персонал'!P42)/('5. Персонал'!D29+'5. Персонал'!J29+'5. Персонал'!P29),0)</f>
        <v>0.20209793744639051</v>
      </c>
      <c r="K22" s="3430">
        <f>IFERROR(('5. Персонал'!E42+'5. Персонал'!K42+'5. Персонал'!Q42)/('5. Персонал'!E29+'5. Персонал'!K29+'5. Персонал'!Q29),0)</f>
        <v>0.21270485008126572</v>
      </c>
      <c r="L22" s="3430">
        <f>IFERROR(('5. Персонал'!F42+'5. Персонал'!L42+'5. Персонал'!R42)/('5. Персонал'!F29+'5. Персонал'!L29+'5. Персонал'!R29),0)</f>
        <v>0.2125591715192143</v>
      </c>
      <c r="M22" s="3430">
        <f>IFERROR(('5. Персонал'!G42+'5. Персонал'!M42+'5. Персонал'!S42)/('5. Персонал'!G29+'5. Персонал'!M29+'5. Персонал'!S29),0)</f>
        <v>0.21243841361454438</v>
      </c>
      <c r="N22" s="3430">
        <f>IFERROR(('5. Персонал'!H42+'5. Персонал'!N42+'5. Персонал'!T42)/('5. Персонал'!H29+'5. Персонал'!N29+'5. Персонал'!T29),0)</f>
        <v>0.21232270111237272</v>
      </c>
      <c r="O22" s="4280">
        <f t="shared" si="25"/>
        <v>5.0516546597841057E-2</v>
      </c>
      <c r="P22" s="4280">
        <f t="shared" si="26"/>
        <v>5.0593112404694787E-2</v>
      </c>
      <c r="R22" s="4358" t="s">
        <v>1568</v>
      </c>
      <c r="S22" s="4357">
        <f>IFERROR('8. Ремонтна програма'!J15/'8. Ремонтна програма'!J$24,0)</f>
        <v>3.9941140568199987E-2</v>
      </c>
      <c r="T22" s="4357">
        <f>IFERROR('8. Ремонтна програма'!K15/'8. Ремонтна програма'!K$24,0)</f>
        <v>3.9329904270296784E-2</v>
      </c>
      <c r="U22" s="4357">
        <f>IFERROR('8. Ремонтна програма'!L15/'8. Ремонтна програма'!L$24,0)</f>
        <v>4.1044590057213122E-2</v>
      </c>
      <c r="V22" s="4357">
        <f>IFERROR('8. Ремонтна програма'!M15/'8. Ремонтна програма'!M$24,0)</f>
        <v>4.2308769736672587E-2</v>
      </c>
      <c r="W22" s="4357">
        <f>IFERROR('8. Ремонтна програма'!N15/'8. Ремонтна програма'!N$24,0)</f>
        <v>4.3494073700002481E-2</v>
      </c>
      <c r="X22" s="4357">
        <f>IFERROR('8. Ремонтна програма'!O15/'8. Ремонтна програма'!O$24,0)</f>
        <v>4.4883399232761662E-2</v>
      </c>
      <c r="Y22" s="3558">
        <f t="shared" si="39"/>
        <v>-1.5303426221880414E-2</v>
      </c>
      <c r="Z22" s="3558">
        <f t="shared" si="36"/>
        <v>0.14120285989760359</v>
      </c>
      <c r="AB22" s="5617"/>
      <c r="AC22" s="4285" t="str">
        <f>+'15. ОПП'!$C$7</f>
        <v>2027 г.</v>
      </c>
      <c r="AD22" s="4285" t="str">
        <f>+'15. ОПП'!$D$7</f>
        <v>2028 г.</v>
      </c>
      <c r="AE22" s="4285" t="str">
        <f>+'15. ОПП'!$E$7</f>
        <v>2029 г.</v>
      </c>
      <c r="AF22" s="4285" t="str">
        <f>+'15. ОПП'!$F$7</f>
        <v>2030 г.</v>
      </c>
      <c r="AG22" s="4285" t="str">
        <f>+'15. ОПП'!$G$7</f>
        <v>2031 г.</v>
      </c>
      <c r="AH22" s="11"/>
      <c r="AI22" s="11"/>
      <c r="AK22" s="3445" t="s">
        <v>339</v>
      </c>
      <c r="AL22" s="4361" t="s">
        <v>288</v>
      </c>
      <c r="AM22" s="4360">
        <f>'13. Соц. поносимост'!C13</f>
        <v>13.661759999999999</v>
      </c>
      <c r="AN22" s="4360">
        <f>'13. Соц. поносимост'!D13</f>
        <v>14.216159999999997</v>
      </c>
      <c r="AO22" s="4360">
        <f>'13. Соц. поносимост'!E13</f>
        <v>18.416159999999998</v>
      </c>
      <c r="AP22" s="4360">
        <f>'13. Соц. поносимост'!F13</f>
        <v>19.884480000000003</v>
      </c>
      <c r="AQ22" s="4360">
        <f>'13. Соц. поносимост'!G13</f>
        <v>21.467039999999994</v>
      </c>
      <c r="AR22" s="4360">
        <f>'13. Соц. поносимост'!H13</f>
        <v>23.254559999999998</v>
      </c>
      <c r="AS22" s="4360">
        <f>'13. Соц. поносимост'!I13</f>
        <v>25.193279999999998</v>
      </c>
    </row>
    <row r="23" spans="1:48" ht="19.5" customHeight="1">
      <c r="A23" s="3436" t="s">
        <v>1545</v>
      </c>
      <c r="B23" s="3554" t="s">
        <v>170</v>
      </c>
      <c r="C23" s="3430">
        <f>'5. Персонал'!O63</f>
        <v>7.5424911132630557E-2</v>
      </c>
      <c r="D23" s="3430">
        <f>'5. Персонал'!P63</f>
        <v>7.6683767394618005E-2</v>
      </c>
      <c r="E23" s="3430">
        <f>'5. Персонал'!Q63</f>
        <v>7.0981149376646333E-2</v>
      </c>
      <c r="F23" s="3430">
        <f>'5. Персонал'!R63</f>
        <v>6.9438418338513622E-2</v>
      </c>
      <c r="G23" s="3430">
        <f>'5. Персонал'!S63</f>
        <v>6.4377895110430919E-2</v>
      </c>
      <c r="H23" s="3430">
        <f>'5. Персонал'!T63</f>
        <v>5.6488867272232124E-2</v>
      </c>
      <c r="I23" s="3430">
        <f>IFERROR(('5. Персонал'!C46+'5. Персонал'!I46+'5. Персонал'!O46)/('5. Персонал'!C29+'5. Персонал'!I29+'5. Персонал'!O29),0)</f>
        <v>7.5787795217630974E-2</v>
      </c>
      <c r="J23" s="3430">
        <f>IFERROR(('5. Персонал'!D46+'5. Персонал'!J46+'5. Персонал'!P46)/('5. Персонал'!D29+'5. Персонал'!J29+'5. Персонал'!P29),0)</f>
        <v>7.7638927607582342E-2</v>
      </c>
      <c r="K23" s="3430">
        <f>IFERROR(('5. Персонал'!E46+'5. Персонал'!K46+'5. Персонал'!Q46)/('5. Персонал'!E29+'5. Персонал'!K29+'5. Персонал'!Q29),0)</f>
        <v>7.191441416152157E-2</v>
      </c>
      <c r="L23" s="3430">
        <f>IFERROR(('5. Персонал'!F46+'5. Персонал'!L46+'5. Персонал'!R46)/('5. Персонал'!F29+'5. Персонал'!L29+'5. Персонал'!R29),0)</f>
        <v>7.0394138411342053E-2</v>
      </c>
      <c r="M23" s="3430">
        <f>IFERROR(('5. Персонал'!G46+'5. Персонал'!M46+'5. Персонал'!S46)/('5. Персонал'!G29+'5. Персонал'!M29+'5. Персонал'!S29),0)</f>
        <v>6.5260791187973483E-2</v>
      </c>
      <c r="N23" s="3430">
        <f>IFERROR(('5. Персонал'!H46+'5. Персонал'!N46+'5. Персонал'!T46)/('5. Персонал'!H29+'5. Персонал'!N29+'5. Персонал'!T29),0)</f>
        <v>5.7242406656801144E-2</v>
      </c>
      <c r="O23" s="4280">
        <f t="shared" si="25"/>
        <v>-0.26335299905731085</v>
      </c>
      <c r="P23" s="4280">
        <f t="shared" si="26"/>
        <v>-0.26270997783319772</v>
      </c>
      <c r="R23" s="4358" t="s">
        <v>1569</v>
      </c>
      <c r="S23" s="4357">
        <f>IFERROR('8. Ремонтна програма'!J16/'8. Ремонтна програма'!J$24,0)</f>
        <v>1.4475384715222828E-2</v>
      </c>
      <c r="T23" s="4357">
        <f>IFERROR('8. Ремонтна програма'!K16/'8. Ремонтна програма'!K$24,0)</f>
        <v>1.7111050267834868E-2</v>
      </c>
      <c r="U23" s="4357">
        <f>IFERROR('8. Ремонтна програма'!L16/'8. Ремонтна програма'!L$24,0)</f>
        <v>1.7811496132344031E-2</v>
      </c>
      <c r="V23" s="4357">
        <f>IFERROR('8. Ремонтна програма'!M16/'8. Ремонтна програма'!M$24,0)</f>
        <v>1.8944782594521078E-2</v>
      </c>
      <c r="W23" s="4357">
        <f>IFERROR('8. Ремонтна програма'!N16/'8. Ремонтна програма'!N$24,0)</f>
        <v>1.9422012988338275E-2</v>
      </c>
      <c r="X23" s="4357">
        <f>IFERROR('8. Ремонтна програма'!O16/'8. Ремонтна програма'!O$24,0)</f>
        <v>2.0589050042152782E-2</v>
      </c>
      <c r="Y23" s="3558">
        <f t="shared" si="39"/>
        <v>0.18207913671823039</v>
      </c>
      <c r="Z23" s="3558">
        <f t="shared" si="36"/>
        <v>0.20326044981913316</v>
      </c>
      <c r="AB23" s="3541" t="s">
        <v>340</v>
      </c>
      <c r="AC23" s="3542">
        <f>'4. Отчет и прогн. потребление'!E100/1000</f>
        <v>18322.085999999999</v>
      </c>
      <c r="AD23" s="3542">
        <f>'4. Отчет и прогн. потребление'!F100/1000</f>
        <v>18321.758000000002</v>
      </c>
      <c r="AE23" s="3542">
        <f>'4. Отчет и прогн. потребление'!G100/1000</f>
        <v>18321.429</v>
      </c>
      <c r="AF23" s="3542">
        <f>'4. Отчет и прогн. потребление'!H100/1000</f>
        <v>18321.099999999999</v>
      </c>
      <c r="AG23" s="3542">
        <f>'4. Отчет и прогн. потребление'!I100/1000</f>
        <v>18320.772000000001</v>
      </c>
      <c r="AH23" s="11"/>
      <c r="AI23" s="11"/>
      <c r="AK23" s="3445" t="s">
        <v>289</v>
      </c>
      <c r="AL23" s="4361" t="s">
        <v>290</v>
      </c>
      <c r="AM23" s="3579">
        <f>'13. Соц. поносимост'!C14</f>
        <v>850</v>
      </c>
      <c r="AN23" s="3579">
        <f>'13. Соц. поносимост'!D14</f>
        <v>868.7</v>
      </c>
      <c r="AO23" s="3579">
        <f>'13. Соц. поносимост'!E14</f>
        <v>895.62969999999996</v>
      </c>
      <c r="AP23" s="3579">
        <f>'13. Соц. поносимост'!F14</f>
        <v>923.39422069999989</v>
      </c>
      <c r="AQ23" s="3579">
        <f>'13. Соц. поносимост'!G14</f>
        <v>952.01944154169985</v>
      </c>
      <c r="AR23" s="3579">
        <f>'13. Соц. поносимост'!H14</f>
        <v>981.5320442294925</v>
      </c>
      <c r="AS23" s="3579">
        <f>'13. Соц. поносимост'!I14</f>
        <v>1011.9595376006067</v>
      </c>
    </row>
    <row r="24" spans="1:48" ht="12.6" customHeight="1">
      <c r="A24" s="5615" t="s">
        <v>2</v>
      </c>
      <c r="B24" s="5621" t="s">
        <v>1536</v>
      </c>
      <c r="C24" s="5623" t="s">
        <v>1235</v>
      </c>
      <c r="D24" s="5624"/>
      <c r="E24" s="5624"/>
      <c r="F24" s="5624"/>
      <c r="G24" s="5624"/>
      <c r="H24" s="5625"/>
      <c r="I24" s="5618" t="s">
        <v>1236</v>
      </c>
      <c r="J24" s="5619"/>
      <c r="K24" s="5619"/>
      <c r="L24" s="5619"/>
      <c r="M24" s="5619"/>
      <c r="N24" s="5626"/>
      <c r="O24" s="5615" t="str">
        <f>CONCATENATE("Изменение ", H25,"спрямо ",D25)</f>
        <v>Изменение 2031 г.спрямо 2027 г.</v>
      </c>
      <c r="P24" s="5615" t="str">
        <f>CONCATENATE("Изменение ", N25,"спрямо ",J25)</f>
        <v>Изменение 2031 г.спрямо 2027 г.</v>
      </c>
      <c r="R24" s="4356" t="s">
        <v>1570</v>
      </c>
      <c r="S24" s="4357">
        <f>IFERROR('8. Ремонтна програма'!J17/'8. Ремонтна програма'!J$24,0)</f>
        <v>1.4148153825397084E-2</v>
      </c>
      <c r="T24" s="4357">
        <f>IFERROR('8. Ремонтна програма'!K17/'8. Ремонтна програма'!K$24,0)</f>
        <v>1.6710322522908647E-2</v>
      </c>
      <c r="U24" s="4357">
        <f>IFERROR('8. Ремонтна програма'!L17/'8. Ремонтна програма'!L$24,0)</f>
        <v>1.6388773431982352E-2</v>
      </c>
      <c r="V24" s="4357">
        <f>IFERROR('8. Ремонтна програма'!M17/'8. Ремонтна програма'!M$24,0)</f>
        <v>1.6116260272108364E-2</v>
      </c>
      <c r="W24" s="4357">
        <f>IFERROR('8. Ремонтна програма'!N17/'8. Ремонтна програма'!N$24,0)</f>
        <v>1.555614562187343E-2</v>
      </c>
      <c r="X24" s="4357">
        <f>IFERROR('8. Ремонтна програма'!O17/'8. Ремонтна програма'!O$24,0)</f>
        <v>1.5285456086577729E-2</v>
      </c>
      <c r="Y24" s="3558">
        <f t="shared" si="39"/>
        <v>0.1810956206110978</v>
      </c>
      <c r="Z24" s="3558">
        <f t="shared" si="36"/>
        <v>-8.5268637656605903E-2</v>
      </c>
      <c r="AB24" s="1722"/>
      <c r="AC24" s="3560"/>
      <c r="AD24" s="3560"/>
      <c r="AE24" s="3560"/>
      <c r="AF24" s="3560"/>
      <c r="AG24" s="3560"/>
      <c r="AH24" s="11"/>
      <c r="AI24" s="11"/>
      <c r="AK24" s="3445" t="s">
        <v>1784</v>
      </c>
      <c r="AL24" s="4361" t="s">
        <v>170</v>
      </c>
      <c r="AM24" s="4362"/>
      <c r="AN24" s="4363">
        <f>'13. Соц. поносимост'!D15</f>
        <v>2.1999999999999999E-2</v>
      </c>
      <c r="AO24" s="4363">
        <f>'13. Соц. поносимост'!E15</f>
        <v>3.1E-2</v>
      </c>
      <c r="AP24" s="4363">
        <f>'13. Соц. поносимост'!F15</f>
        <v>3.1E-2</v>
      </c>
      <c r="AQ24" s="4363">
        <f>'13. Соц. поносимост'!G15</f>
        <v>3.1E-2</v>
      </c>
      <c r="AR24" s="4363">
        <f>'13. Соц. поносимост'!H15</f>
        <v>3.1E-2</v>
      </c>
      <c r="AS24" s="4363">
        <f>'13. Соц. поносимост'!I15</f>
        <v>3.1E-2</v>
      </c>
    </row>
    <row r="25" spans="1:48" ht="14.25" customHeight="1">
      <c r="A25" s="5616"/>
      <c r="B25" s="5622"/>
      <c r="C25" s="4352" t="str">
        <f>+'15. ОПП'!$B$7</f>
        <v>2024 г.</v>
      </c>
      <c r="D25" s="4352" t="str">
        <f>+'15. ОПП'!$C$7</f>
        <v>2027 г.</v>
      </c>
      <c r="E25" s="4352" t="str">
        <f>+'15. ОПП'!$D$7</f>
        <v>2028 г.</v>
      </c>
      <c r="F25" s="4352" t="str">
        <f>+'15. ОПП'!$E$7</f>
        <v>2029 г.</v>
      </c>
      <c r="G25" s="4352" t="str">
        <f>+'15. ОПП'!$F$7</f>
        <v>2030 г.</v>
      </c>
      <c r="H25" s="4352" t="str">
        <f>+'15. ОПП'!$G$7</f>
        <v>2031 г.</v>
      </c>
      <c r="I25" s="4352" t="str">
        <f>+'15. ОПП'!$B$7</f>
        <v>2024 г.</v>
      </c>
      <c r="J25" s="4352" t="str">
        <f>+'15. ОПП'!$C$7</f>
        <v>2027 г.</v>
      </c>
      <c r="K25" s="4352" t="str">
        <f>+'15. ОПП'!$D$7</f>
        <v>2028 г.</v>
      </c>
      <c r="L25" s="4352" t="str">
        <f>+'15. ОПП'!$E$7</f>
        <v>2029 г.</v>
      </c>
      <c r="M25" s="4352" t="str">
        <f>+'15. ОПП'!$F$7</f>
        <v>2030 г.</v>
      </c>
      <c r="N25" s="4352" t="str">
        <f>+'15. ОПП'!$G$7</f>
        <v>2031 г.</v>
      </c>
      <c r="O25" s="5616"/>
      <c r="P25" s="5616"/>
      <c r="R25" s="4358" t="s">
        <v>1572</v>
      </c>
      <c r="S25" s="4357">
        <f>IFERROR('8. Ремонтна програма'!J18/'8. Ремонтна програма'!J$24,0)</f>
        <v>3.2812702628103583E-3</v>
      </c>
      <c r="T25" s="4357">
        <f>IFERROR('8. Ремонтна програма'!K18/'8. Ремонтна програма'!K$24,0)</f>
        <v>4.101154009605177E-3</v>
      </c>
      <c r="U25" s="4357">
        <f>IFERROR('8. Ремонтна програма'!L18/'8. Ремонтна програма'!L$24,0)</f>
        <v>4.1737976237057337E-3</v>
      </c>
      <c r="V25" s="4357">
        <f>IFERROR('8. Ремонтна програма'!M18/'8. Ремонтна програма'!M$24,0)</f>
        <v>4.3447939228581211E-3</v>
      </c>
      <c r="W25" s="4357">
        <f>IFERROR('8. Ремонтна програма'!N18/'8. Ремонтна програма'!N$24,0)</f>
        <v>4.3673297601624986E-3</v>
      </c>
      <c r="X25" s="4357">
        <f>IFERROR('8. Ремонтна програма'!O18/'8. Ремонтна програма'!O$24,0)</f>
        <v>4.8664573990069519E-3</v>
      </c>
      <c r="Y25" s="3558">
        <f t="shared" si="39"/>
        <v>0.24986778933979081</v>
      </c>
      <c r="Z25" s="3558">
        <f t="shared" si="36"/>
        <v>0.18660683983322332</v>
      </c>
      <c r="AB25" s="5629" t="s">
        <v>1695</v>
      </c>
      <c r="AC25" s="5617" t="s">
        <v>184</v>
      </c>
      <c r="AD25" s="5617"/>
      <c r="AE25" s="5617"/>
      <c r="AF25" s="5617"/>
      <c r="AG25" s="5617"/>
      <c r="AH25" s="11"/>
      <c r="AI25" s="11"/>
      <c r="AK25" s="3445" t="s">
        <v>740</v>
      </c>
      <c r="AL25" s="4361" t="s">
        <v>288</v>
      </c>
      <c r="AM25" s="4360">
        <f>'13. Соц. поносимост'!C16</f>
        <v>21.25</v>
      </c>
      <c r="AN25" s="4360">
        <f>'13. Соц. поносимост'!D16</f>
        <v>21.717500000000001</v>
      </c>
      <c r="AO25" s="4360">
        <f>'13. Соц. поносимост'!E16</f>
        <v>22.390742500000002</v>
      </c>
      <c r="AP25" s="4360">
        <f>'13. Соц. поносимост'!F16</f>
        <v>23.084855517499999</v>
      </c>
      <c r="AQ25" s="4360">
        <f>'13. Соц. поносимост'!G16</f>
        <v>23.800486038542498</v>
      </c>
      <c r="AR25" s="4360">
        <f>'13. Соц. поносимост'!H16</f>
        <v>24.538301105737315</v>
      </c>
      <c r="AS25" s="4360">
        <f>'13. Соц. поносимост'!I16</f>
        <v>25.298988440015169</v>
      </c>
    </row>
    <row r="26" spans="1:48" ht="20.399999999999999" customHeight="1">
      <c r="A26" s="3435" t="s">
        <v>1541</v>
      </c>
      <c r="B26" s="3539" t="s">
        <v>676</v>
      </c>
      <c r="C26" s="3540">
        <f>'5. Персонал'!U11</f>
        <v>0</v>
      </c>
      <c r="D26" s="3540">
        <f>'5. Персонал'!V11</f>
        <v>0</v>
      </c>
      <c r="E26" s="3540">
        <f>'5. Персонал'!W11</f>
        <v>0</v>
      </c>
      <c r="F26" s="3540">
        <f>'5. Персонал'!X11</f>
        <v>0</v>
      </c>
      <c r="G26" s="3540">
        <f>'5. Персонал'!Y11</f>
        <v>0</v>
      </c>
      <c r="H26" s="3540">
        <f>'5. Персонал'!Z11</f>
        <v>0</v>
      </c>
      <c r="I26" s="3540">
        <f>'5. Персонал'!AA11</f>
        <v>35.2640076770966</v>
      </c>
      <c r="J26" s="3540">
        <f>'5. Персонал'!AB11</f>
        <v>37.124709287757575</v>
      </c>
      <c r="K26" s="3540">
        <f>'5. Персонал'!AC11</f>
        <v>37.174198489015964</v>
      </c>
      <c r="L26" s="3540">
        <f>'5. Персонал'!AD11</f>
        <v>37.22381988068063</v>
      </c>
      <c r="M26" s="3540">
        <f>'5. Персонал'!AE11</f>
        <v>37.273586609466882</v>
      </c>
      <c r="N26" s="3540">
        <f>'5. Персонал'!AF11</f>
        <v>37.323490095266905</v>
      </c>
      <c r="O26" s="4280">
        <f t="shared" ref="O26:O34" si="50">IFERROR((H26-D26)/D26,0)</f>
        <v>0</v>
      </c>
      <c r="P26" s="4280">
        <f t="shared" ref="P26:P34" si="51">IFERROR((N26-J26)/J26,0)</f>
        <v>5.3544071138324238E-3</v>
      </c>
      <c r="R26" s="4358" t="s">
        <v>1571</v>
      </c>
      <c r="S26" s="4357">
        <f>IFERROR('8. Ремонтна програма'!J19/'8. Ремонтна програма'!J$24,0)</f>
        <v>8.6533072173762878E-3</v>
      </c>
      <c r="T26" s="4357">
        <f>IFERROR('8. Ремонтна програма'!K19/'8. Ремонтна програма'!K$24,0)</f>
        <v>9.6533710094004518E-3</v>
      </c>
      <c r="U26" s="4357">
        <f>IFERROR('8. Ремонтна програма'!L19/'8. Ремонтна програма'!L$24,0)</f>
        <v>1.0072059762150212E-2</v>
      </c>
      <c r="V26" s="4357">
        <f>IFERROR('8. Ремонтна програма'!M19/'8. Ремонтна програма'!M$24,0)</f>
        <v>1.039616031725722E-2</v>
      </c>
      <c r="W26" s="4357">
        <f>IFERROR('8. Ремонтна програма'!N19/'8. Ремонтна програма'!N$24,0)</f>
        <v>1.0698876677493889E-2</v>
      </c>
      <c r="X26" s="4357">
        <f>IFERROR('8. Ремонтна програма'!O19/'8. Ремонтна програма'!O$24,0)</f>
        <v>1.1049657274540587E-2</v>
      </c>
      <c r="Y26" s="3558">
        <f t="shared" si="39"/>
        <v>0.11557012445091332</v>
      </c>
      <c r="Z26" s="3558">
        <f t="shared" si="36"/>
        <v>0.14464234968079359</v>
      </c>
      <c r="AB26" s="5630"/>
      <c r="AC26" s="4285" t="str">
        <f>+'15. ОПП'!$C$7</f>
        <v>2027 г.</v>
      </c>
      <c r="AD26" s="4285" t="str">
        <f>+'15. ОПП'!$D$7</f>
        <v>2028 г.</v>
      </c>
      <c r="AE26" s="4285" t="str">
        <f>+'15. ОПП'!$E$7</f>
        <v>2029 г.</v>
      </c>
      <c r="AF26" s="4285" t="str">
        <f>+'15. ОПП'!$F$7</f>
        <v>2030 г.</v>
      </c>
      <c r="AG26" s="4285" t="str">
        <f>+'15. ОПП'!$G$7</f>
        <v>2031 г.</v>
      </c>
      <c r="AH26" s="11"/>
      <c r="AI26" s="11"/>
      <c r="AK26" s="3447" t="s">
        <v>1728</v>
      </c>
      <c r="AL26" s="4361" t="s">
        <v>292</v>
      </c>
      <c r="AM26" s="4364">
        <f>'13. Соц. поносимост'!C17</f>
        <v>7.5892857142857144</v>
      </c>
      <c r="AN26" s="4364">
        <f>'13. Соц. поносимост'!D17</f>
        <v>7.7562500000000005</v>
      </c>
      <c r="AO26" s="4364">
        <f>'13. Соц. поносимост'!E17</f>
        <v>7.9966937500000013</v>
      </c>
      <c r="AP26" s="4364">
        <f>'13. Соц. поносимост'!F17</f>
        <v>8.2445912562500006</v>
      </c>
      <c r="AQ26" s="4364">
        <f>'13. Соц. поносимост'!G17</f>
        <v>8.5001735851937497</v>
      </c>
      <c r="AR26" s="4364">
        <f>'13. Соц. поносимост'!H17</f>
        <v>8.763678966334755</v>
      </c>
      <c r="AS26" s="4364">
        <f>'13. Соц. поносимост'!I17</f>
        <v>9.0353530142911325</v>
      </c>
    </row>
    <row r="27" spans="1:48" ht="22.5" customHeight="1">
      <c r="A27" s="3432" t="s">
        <v>1534</v>
      </c>
      <c r="B27" s="3543" t="s">
        <v>1539</v>
      </c>
      <c r="C27" s="3544">
        <f>'5. Персонал'!U14</f>
        <v>0</v>
      </c>
      <c r="D27" s="3544">
        <f>'5. Персонал'!V14</f>
        <v>0</v>
      </c>
      <c r="E27" s="3544">
        <f>'5. Персонал'!W14</f>
        <v>0</v>
      </c>
      <c r="F27" s="3544">
        <f>'5. Персонал'!X14</f>
        <v>0</v>
      </c>
      <c r="G27" s="3544">
        <f>'5. Персонал'!Y14</f>
        <v>0</v>
      </c>
      <c r="H27" s="3544">
        <f>'5. Персонал'!Z14</f>
        <v>0</v>
      </c>
      <c r="I27" s="3544">
        <f>'5. Персонал'!AA14</f>
        <v>34.76</v>
      </c>
      <c r="J27" s="3544">
        <f>'5. Персонал'!AB14</f>
        <v>38.377093582516984</v>
      </c>
      <c r="K27" s="3544">
        <f>'5. Персонал'!AC14</f>
        <v>37.773979389721674</v>
      </c>
      <c r="L27" s="3544">
        <f>'5. Персонал'!AD14</f>
        <v>37.169255333652501</v>
      </c>
      <c r="M27" s="3544">
        <f>'5. Персонал'!AE14</f>
        <v>36.562927379468938</v>
      </c>
      <c r="N27" s="3544">
        <f>'5. Персонал'!AF14</f>
        <v>35.954979588916608</v>
      </c>
      <c r="O27" s="4280">
        <f t="shared" si="50"/>
        <v>0</v>
      </c>
      <c r="P27" s="4280">
        <f t="shared" si="51"/>
        <v>-6.3113533816531425E-2</v>
      </c>
      <c r="R27" s="4358" t="s">
        <v>914</v>
      </c>
      <c r="S27" s="4357">
        <f>IFERROR('8. Ремонтна програма'!J20/'8. Ремонтна програма'!J$24,0)</f>
        <v>1.3749104232272109E-2</v>
      </c>
      <c r="T27" s="4357">
        <f>IFERROR('8. Ремонтна програма'!K20/'8. Ремонтна програма'!K$24,0)</f>
        <v>1.884275528914918E-2</v>
      </c>
      <c r="U27" s="4357">
        <f>IFERROR('8. Ремонтна програма'!L20/'8. Ремонтна програма'!L$24,0)</f>
        <v>1.9767761699730865E-2</v>
      </c>
      <c r="V27" s="4357">
        <f>IFERROR('8. Ремонтна програма'!M20/'8. Ремонтна програма'!M$24,0)</f>
        <v>2.050427567848578E-2</v>
      </c>
      <c r="W27" s="4357">
        <f>IFERROR('8. Ремонтна програма'!N20/'8. Ремонтна програма'!N$24,0)</f>
        <v>2.1196229105285153E-2</v>
      </c>
      <c r="X27" s="4357">
        <f>IFERROR('8. Ремонтна програма'!O20/'8. Ремонтна програма'!O$24,0)</f>
        <v>2.1981059942742302E-2</v>
      </c>
      <c r="Y27" s="3558">
        <f t="shared" si="39"/>
        <v>0.37047148460196949</v>
      </c>
      <c r="Z27" s="3558">
        <f t="shared" si="36"/>
        <v>0.16655232238781723</v>
      </c>
      <c r="AB27" s="3561" t="s">
        <v>302</v>
      </c>
      <c r="AC27" s="3465">
        <f>'16. Необходими приходи'!D49</f>
        <v>1.1016537444363554</v>
      </c>
      <c r="AD27" s="3465">
        <f>'16. Необходими приходи'!E49</f>
        <v>1.101697659744022</v>
      </c>
      <c r="AE27" s="3465">
        <f>'16. Необходими приходи'!F49</f>
        <v>1.1017453626308811</v>
      </c>
      <c r="AF27" s="3465">
        <f>'16. Необходими приходи'!G49</f>
        <v>1.1018098397620257</v>
      </c>
      <c r="AG27" s="3465">
        <f>'16. Необходими приходи'!H49</f>
        <v>1.1018355375860174</v>
      </c>
      <c r="AH27" s="11"/>
      <c r="AI27" s="11"/>
      <c r="AK27" s="3447" t="s">
        <v>1729</v>
      </c>
      <c r="AL27" s="4361" t="s">
        <v>328</v>
      </c>
      <c r="AM27" s="3576"/>
      <c r="AN27" s="4365"/>
      <c r="AO27" s="4366">
        <f>(AL5+AL7+AL9)*1.2</f>
        <v>6.5771999999999995</v>
      </c>
      <c r="AP27" s="4366">
        <f t="shared" ref="AP27:AS27" si="52">(AM5+AM7+AM9)*1.2</f>
        <v>7.1016000000000012</v>
      </c>
      <c r="AQ27" s="4366">
        <f t="shared" si="52"/>
        <v>7.6667999999999985</v>
      </c>
      <c r="AR27" s="4366">
        <f t="shared" si="52"/>
        <v>8.3051999999999992</v>
      </c>
      <c r="AS27" s="4366">
        <f t="shared" si="52"/>
        <v>8.9976000000000003</v>
      </c>
    </row>
    <row r="28" spans="1:48" ht="16.5" customHeight="1">
      <c r="A28" s="3438" t="s">
        <v>1544</v>
      </c>
      <c r="B28" s="3546" t="s">
        <v>170</v>
      </c>
      <c r="C28" s="3547"/>
      <c r="D28" s="3548">
        <f>IFERROR((D27-C27)/C27,0)</f>
        <v>0</v>
      </c>
      <c r="E28" s="3548">
        <f t="shared" ref="E28" si="53">IFERROR((E27-D27)/D27,0)</f>
        <v>0</v>
      </c>
      <c r="F28" s="3548">
        <f t="shared" ref="F28" si="54">IFERROR((F27-E27)/E27,0)</f>
        <v>0</v>
      </c>
      <c r="G28" s="3548">
        <f t="shared" ref="G28" si="55">IFERROR((G27-F27)/F27,0)</f>
        <v>0</v>
      </c>
      <c r="H28" s="3548">
        <f t="shared" ref="H28" si="56">IFERROR((H27-G27)/G27,0)</f>
        <v>0</v>
      </c>
      <c r="I28" s="3547"/>
      <c r="J28" s="3549">
        <f>IFERROR((J27-I27)/I27,0)</f>
        <v>0.10405907889864749</v>
      </c>
      <c r="K28" s="3549">
        <f t="shared" ref="K28" si="57">IFERROR((K27-J27)/J27,0)</f>
        <v>-1.5715473385146183E-2</v>
      </c>
      <c r="L28" s="3549">
        <f t="shared" ref="L28" si="58">IFERROR((L27-K27)/K27,0)</f>
        <v>-1.6009011119271145E-2</v>
      </c>
      <c r="M28" s="3549">
        <f t="shared" ref="M28" si="59">IFERROR((M27-L27)/L27,0)</f>
        <v>-1.6312620436993316E-2</v>
      </c>
      <c r="N28" s="3549">
        <f t="shared" ref="N28" si="60">IFERROR((N27-M27)/M27,0)</f>
        <v>-1.6627437520052333E-2</v>
      </c>
      <c r="O28" s="4280">
        <f t="shared" si="50"/>
        <v>0</v>
      </c>
      <c r="P28" s="4280">
        <f t="shared" si="51"/>
        <v>-1.1597884364923823</v>
      </c>
      <c r="R28" s="4356" t="s">
        <v>915</v>
      </c>
      <c r="S28" s="4357">
        <f>IFERROR('8. Ремонтна програма'!J21/'8. Ремонтна програма'!J$24,0)</f>
        <v>3.9917446598201504E-2</v>
      </c>
      <c r="T28" s="4357">
        <f>IFERROR('8. Ремонтна програма'!K21/'8. Ремонтна програма'!K$24,0)</f>
        <v>2.9274339630019568E-2</v>
      </c>
      <c r="U28" s="4357">
        <f>IFERROR('8. Ремонтна програма'!L21/'8. Ремонтна програма'!L$24,0)</f>
        <v>2.7620832755483288E-2</v>
      </c>
      <c r="V28" s="4357">
        <f>IFERROR('8. Ремонтна програма'!M21/'8. Ремонтна програма'!M$24,0)</f>
        <v>2.5791506411794576E-2</v>
      </c>
      <c r="W28" s="4357">
        <f>IFERROR('8. Ремонтна програма'!N21/'8. Ремонтна програма'!N$24,0)</f>
        <v>2.39949770099556E-2</v>
      </c>
      <c r="X28" s="4357">
        <f>IFERROR('8. Ремонтна програма'!O21/'8. Ремонтна програма'!O$24,0)</f>
        <v>2.2388073107174004E-2</v>
      </c>
      <c r="Y28" s="3558">
        <f t="shared" si="39"/>
        <v>-0.26662795031236958</v>
      </c>
      <c r="Z28" s="3558">
        <f t="shared" si="36"/>
        <v>-0.23523217294999188</v>
      </c>
      <c r="AB28" s="3561" t="s">
        <v>303</v>
      </c>
      <c r="AC28" s="3465">
        <f>'16. Необходими приходи'!D50</f>
        <v>1.8828074817596185</v>
      </c>
      <c r="AD28" s="3465">
        <f>'16. Необходими приходи'!E50</f>
        <v>1.884740052125083</v>
      </c>
      <c r="AE28" s="3465">
        <f>'16. Необходими приходи'!F50</f>
        <v>1.8866779842083978</v>
      </c>
      <c r="AF28" s="3465">
        <f>'16. Необходими приходи'!G50</f>
        <v>1.8886137551847439</v>
      </c>
      <c r="AG28" s="3465">
        <f>'16. Необходими приходи'!H50</f>
        <v>1.8909567094532744</v>
      </c>
      <c r="AH28" s="11"/>
      <c r="AI28" s="11"/>
      <c r="AK28" s="11"/>
    </row>
    <row r="29" spans="1:48">
      <c r="A29" s="3438" t="s">
        <v>1543</v>
      </c>
      <c r="B29" s="3546" t="s">
        <v>170</v>
      </c>
      <c r="C29" s="3547"/>
      <c r="D29" s="3548">
        <f>IFERROR((D27-$C$27)/$C$27,0)</f>
        <v>0</v>
      </c>
      <c r="E29" s="3548">
        <f t="shared" ref="E29:H29" si="61">IFERROR((E27-$C$27)/$C$27,0)</f>
        <v>0</v>
      </c>
      <c r="F29" s="3548">
        <f t="shared" si="61"/>
        <v>0</v>
      </c>
      <c r="G29" s="3548">
        <f t="shared" si="61"/>
        <v>0</v>
      </c>
      <c r="H29" s="3548">
        <f t="shared" si="61"/>
        <v>0</v>
      </c>
      <c r="I29" s="3547"/>
      <c r="J29" s="3559">
        <f>IFERROR((J27-$I$27)/$I$27,0)</f>
        <v>0.10405907889864749</v>
      </c>
      <c r="K29" s="3549">
        <f t="shared" ref="K29:N29" si="62">IFERROR((K27-$I$27)/$I$27,0)</f>
        <v>8.6708267828586774E-2</v>
      </c>
      <c r="L29" s="3548">
        <f t="shared" si="62"/>
        <v>6.9311143085515045E-2</v>
      </c>
      <c r="M29" s="3548">
        <f t="shared" si="62"/>
        <v>5.1867876279313586E-2</v>
      </c>
      <c r="N29" s="3548">
        <f t="shared" si="62"/>
        <v>3.4378008887129163E-2</v>
      </c>
      <c r="O29" s="4280">
        <f t="shared" si="50"/>
        <v>0</v>
      </c>
      <c r="P29" s="4280">
        <f t="shared" si="51"/>
        <v>-0.66962989437362785</v>
      </c>
      <c r="R29" s="4356" t="s">
        <v>1349</v>
      </c>
      <c r="S29" s="4357">
        <f>IFERROR('8. Ремонтна програма'!J22/'8. Ремонтна програма'!J$24,0)</f>
        <v>1.9606828513811573E-2</v>
      </c>
      <c r="T29" s="4357">
        <f>IFERROR('8. Ремонтна програма'!K22/'8. Ремонтна програма'!K$24,0)</f>
        <v>2.4125984350411474E-2</v>
      </c>
      <c r="U29" s="4357">
        <f>IFERROR('8. Ремонтна програма'!L22/'8. Ремонтна програма'!L$24,0)</f>
        <v>2.5407861669651664E-2</v>
      </c>
      <c r="V29" s="4357">
        <f>IFERROR('8. Ремонтна програма'!M22/'8. Ремонтна програма'!M$24,0)</f>
        <v>2.6443851196100487E-2</v>
      </c>
      <c r="W29" s="4357">
        <f>IFERROR('8. Ремонтна програма'!N22/'8. Ремонтна програма'!N$24,0)</f>
        <v>2.7418446132188939E-2</v>
      </c>
      <c r="X29" s="4357">
        <f>IFERROR('8. Ремонтна програма'!O22/'8. Ремонтна програма'!O$24,0)</f>
        <v>2.8509288161146715E-2</v>
      </c>
      <c r="Y29" s="3558">
        <f t="shared" si="39"/>
        <v>0.23048887449678498</v>
      </c>
      <c r="Z29" s="3558">
        <f t="shared" si="36"/>
        <v>0.18168393658352361</v>
      </c>
      <c r="AB29" s="3561" t="s">
        <v>304</v>
      </c>
      <c r="AC29" s="3465">
        <f>'16. Необходими приходи'!D51</f>
        <v>2.1448369033641215</v>
      </c>
      <c r="AD29" s="3465">
        <f>'16. Необходими приходи'!E51</f>
        <v>2.1423772750996242</v>
      </c>
      <c r="AE29" s="3465">
        <f>'16. Необходими приходи'!F51</f>
        <v>2.1399071571086217</v>
      </c>
      <c r="AF29" s="3465">
        <f>'16. Необходими приходи'!G51</f>
        <v>2.1374229662570445</v>
      </c>
      <c r="AG29" s="3465">
        <f>'16. Необходими приходи'!H51</f>
        <v>2.1344685755973898</v>
      </c>
      <c r="AH29" s="11"/>
      <c r="AI29" s="11"/>
      <c r="AK29" s="11"/>
    </row>
    <row r="30" spans="1:48" ht="19.5" customHeight="1">
      <c r="A30" s="3433" t="s">
        <v>1535</v>
      </c>
      <c r="B30" s="3550" t="s">
        <v>1540</v>
      </c>
      <c r="C30" s="3551">
        <f>'5. Персонал'!U50</f>
        <v>0</v>
      </c>
      <c r="D30" s="3551">
        <f>'5. Персонал'!V50</f>
        <v>0</v>
      </c>
      <c r="E30" s="3551">
        <f>'5. Персонал'!W50</f>
        <v>0</v>
      </c>
      <c r="F30" s="3551">
        <f>'5. Персонал'!X50</f>
        <v>0</v>
      </c>
      <c r="G30" s="3551">
        <f>'5. Персонал'!Y50</f>
        <v>0</v>
      </c>
      <c r="H30" s="3551">
        <f>'5. Персонал'!Z50</f>
        <v>0</v>
      </c>
      <c r="I30" s="3551">
        <f>'5. Персонал'!AA50</f>
        <v>21.729547834475255</v>
      </c>
      <c r="J30" s="3551">
        <f>'5. Персонал'!AB50</f>
        <v>29.549406427696294</v>
      </c>
      <c r="K30" s="3551">
        <f>'5. Персонал'!AC50</f>
        <v>33.969830279582943</v>
      </c>
      <c r="L30" s="3551">
        <f>'5. Персонал'!AD50</f>
        <v>39.116983909875024</v>
      </c>
      <c r="M30" s="3551">
        <f>'5. Персонал'!AE50</f>
        <v>45.113119685251093</v>
      </c>
      <c r="N30" s="3551">
        <f>'5. Персонал'!AF50</f>
        <v>52.101499332182499</v>
      </c>
      <c r="O30" s="4280">
        <f t="shared" si="50"/>
        <v>0</v>
      </c>
      <c r="P30" s="4280">
        <f t="shared" si="51"/>
        <v>0.76319952347159181</v>
      </c>
      <c r="R30" s="4356" t="s">
        <v>1562</v>
      </c>
      <c r="S30" s="4357">
        <f>IFERROR('8. Ремонтна програма'!J23/'8. Ремонтна програма'!J$24,0)</f>
        <v>5.0453561071648709E-2</v>
      </c>
      <c r="T30" s="4357">
        <f>IFERROR('8. Ремонтна програма'!K23/'8. Ремонтна програма'!K$24,0)</f>
        <v>5.4148236944976259E-2</v>
      </c>
      <c r="U30" s="4357">
        <f>IFERROR('8. Ремонтна програма'!L23/'8. Ремонтна програма'!L$24,0)</f>
        <v>5.4979464417839095E-2</v>
      </c>
      <c r="V30" s="4357">
        <f>IFERROR('8. Ремонтна програма'!M23/'8. Ремонтна програма'!M$24,0)</f>
        <v>5.534024239986645E-2</v>
      </c>
      <c r="W30" s="4357">
        <f>IFERROR('8. Ремонтна програма'!N23/'8. Ремонтна програма'!N$24,0)</f>
        <v>5.5634831688275349E-2</v>
      </c>
      <c r="X30" s="4357">
        <f>IFERROR('8. Ремонтна програма'!O23/'8. Ремонтна програма'!O$24,0)</f>
        <v>5.6225230254893871E-2</v>
      </c>
      <c r="Y30" s="3558">
        <f t="shared" si="39"/>
        <v>7.3229238825794088E-2</v>
      </c>
      <c r="Z30" s="3558">
        <f t="shared" si="36"/>
        <v>3.835754268468957E-2</v>
      </c>
      <c r="AB30" s="3562" t="s">
        <v>1710</v>
      </c>
      <c r="AC30" s="3560"/>
      <c r="AD30" s="3560"/>
      <c r="AE30" s="3560"/>
      <c r="AF30" s="3560"/>
      <c r="AG30" s="3560"/>
      <c r="AH30" s="11"/>
      <c r="AI30" s="11"/>
      <c r="AK30" s="5617" t="s">
        <v>1906</v>
      </c>
      <c r="AL30" s="5615" t="str">
        <f>+'15. ОПП'!$C$7</f>
        <v>2027 г.</v>
      </c>
      <c r="AM30" s="5615" t="str">
        <f>+'15. ОПП'!$D$7</f>
        <v>2028 г.</v>
      </c>
      <c r="AN30" s="5615" t="str">
        <f>+'15. ОПП'!$E$7</f>
        <v>2029 г.</v>
      </c>
      <c r="AO30" s="5615" t="str">
        <f>+'15. ОПП'!$F$7</f>
        <v>2030 г.</v>
      </c>
      <c r="AP30" s="5615" t="str">
        <f>+'15. ОПП'!$G$7</f>
        <v>2031 г.</v>
      </c>
      <c r="AR30" s="5615" t="str">
        <f>+'15. ОПП'!$C$7</f>
        <v>2027 г.</v>
      </c>
      <c r="AS30" s="5615" t="str">
        <f>+'15. ОПП'!$D$7</f>
        <v>2028 г.</v>
      </c>
      <c r="AT30" s="5615" t="str">
        <f>+'15. ОПП'!$E$7</f>
        <v>2029 г.</v>
      </c>
      <c r="AU30" s="5615" t="str">
        <f>+'15. ОПП'!$F$7</f>
        <v>2030 г.</v>
      </c>
      <c r="AV30" s="5615" t="str">
        <f>+'15. ОПП'!$G$7</f>
        <v>2031 г.</v>
      </c>
    </row>
    <row r="31" spans="1:48" ht="13.5" customHeight="1">
      <c r="A31" s="3438" t="s">
        <v>1544</v>
      </c>
      <c r="B31" s="3546" t="s">
        <v>170</v>
      </c>
      <c r="C31" s="3547"/>
      <c r="D31" s="3548">
        <f>IFERROR((D30-C30)/C30,0)</f>
        <v>0</v>
      </c>
      <c r="E31" s="3548">
        <f t="shared" ref="E31" si="63">IFERROR((E30-D30)/D30,0)</f>
        <v>0</v>
      </c>
      <c r="F31" s="3548">
        <f t="shared" ref="F31" si="64">IFERROR((F30-E30)/E30,0)</f>
        <v>0</v>
      </c>
      <c r="G31" s="3548">
        <f t="shared" ref="G31" si="65">IFERROR((G30-F30)/F30,0)</f>
        <v>0</v>
      </c>
      <c r="H31" s="3548">
        <f t="shared" ref="H31" si="66">IFERROR((H30-G30)/G30,0)</f>
        <v>0</v>
      </c>
      <c r="I31" s="3547"/>
      <c r="J31" s="3549">
        <f>IFERROR((J30-I30)/I30,0)</f>
        <v>0.35987212678279273</v>
      </c>
      <c r="K31" s="3549">
        <f t="shared" ref="K31" si="67">IFERROR((K30-J30)/J30,0)</f>
        <v>0.14959433661393079</v>
      </c>
      <c r="L31" s="3549">
        <f t="shared" ref="L31" si="68">IFERROR((L30-K30)/K30,0)</f>
        <v>0.15152132312494068</v>
      </c>
      <c r="M31" s="3549">
        <f t="shared" ref="M31" si="69">IFERROR((M30-L30)/L30,0)</f>
        <v>0.15328727258704505</v>
      </c>
      <c r="N31" s="3549">
        <f t="shared" ref="N31" si="70">IFERROR((N30-M30)/M30,0)</f>
        <v>0.15490792247772944</v>
      </c>
      <c r="O31" s="4280">
        <f t="shared" si="50"/>
        <v>0</v>
      </c>
      <c r="P31" s="4280">
        <f t="shared" si="51"/>
        <v>-0.56954731709125417</v>
      </c>
      <c r="AB31" s="5628" t="s">
        <v>1722</v>
      </c>
      <c r="AC31" s="5617" t="s">
        <v>184</v>
      </c>
      <c r="AD31" s="5617"/>
      <c r="AE31" s="5617"/>
      <c r="AF31" s="5617"/>
      <c r="AG31" s="5617"/>
      <c r="AK31" s="5617"/>
      <c r="AL31" s="5616" t="str">
        <f>+'15. ОПП'!$C$7</f>
        <v>2027 г.</v>
      </c>
      <c r="AM31" s="5616" t="str">
        <f>+'15. ОПП'!$D$7</f>
        <v>2028 г.</v>
      </c>
      <c r="AN31" s="5616" t="str">
        <f>+'15. ОПП'!$E$7</f>
        <v>2029 г.</v>
      </c>
      <c r="AO31" s="5616" t="str">
        <f>+'15. ОПП'!$F$7</f>
        <v>2030 г.</v>
      </c>
      <c r="AP31" s="5616" t="str">
        <f>+'15. ОПП'!$G$7</f>
        <v>2031 г.</v>
      </c>
      <c r="AR31" s="5616" t="str">
        <f>+'15. ОПП'!$C$7</f>
        <v>2027 г.</v>
      </c>
      <c r="AS31" s="5616" t="str">
        <f>+'15. ОПП'!$D$7</f>
        <v>2028 г.</v>
      </c>
      <c r="AT31" s="5616" t="str">
        <f>+'15. ОПП'!$E$7</f>
        <v>2029 г.</v>
      </c>
      <c r="AU31" s="5616" t="str">
        <f>+'15. ОПП'!$F$7</f>
        <v>2030 г.</v>
      </c>
      <c r="AV31" s="5616" t="str">
        <f>+'15. ОПП'!$G$7</f>
        <v>2031 г.</v>
      </c>
    </row>
    <row r="32" spans="1:48">
      <c r="A32" s="3437" t="s">
        <v>1542</v>
      </c>
      <c r="B32" s="3546" t="s">
        <v>170</v>
      </c>
      <c r="C32" s="3547"/>
      <c r="D32" s="3548">
        <f>IFERROR((D30-$C$30)/$C$30,0)</f>
        <v>0</v>
      </c>
      <c r="E32" s="3548">
        <f t="shared" ref="E32:H32" si="71">IFERROR((E30-$C$30)/$C$30,0)</f>
        <v>0</v>
      </c>
      <c r="F32" s="3548">
        <f t="shared" si="71"/>
        <v>0</v>
      </c>
      <c r="G32" s="3548">
        <f t="shared" si="71"/>
        <v>0</v>
      </c>
      <c r="H32" s="3548">
        <f t="shared" si="71"/>
        <v>0</v>
      </c>
      <c r="I32" s="3547"/>
      <c r="J32" s="3548">
        <f>IFERROR((J30-$I$30)/$I$30,0)</f>
        <v>0.35987212678279273</v>
      </c>
      <c r="K32" s="3549">
        <f t="shared" ref="K32:N32" si="72">IFERROR((K30-$I$30)/$I$30,0)</f>
        <v>0.56330129546863983</v>
      </c>
      <c r="L32" s="3548">
        <f t="shared" si="72"/>
        <v>0.80017477620098199</v>
      </c>
      <c r="M32" s="3548">
        <f t="shared" si="72"/>
        <v>1.0761186578248247</v>
      </c>
      <c r="N32" s="3548">
        <f t="shared" si="72"/>
        <v>1.3977258859257202</v>
      </c>
      <c r="O32" s="4280">
        <f t="shared" si="50"/>
        <v>0</v>
      </c>
      <c r="P32" s="4280">
        <f t="shared" si="51"/>
        <v>2.8839514980534817</v>
      </c>
      <c r="AB32" s="5628"/>
      <c r="AC32" s="4285" t="str">
        <f>+'15. ОПП'!$C$7</f>
        <v>2027 г.</v>
      </c>
      <c r="AD32" s="4285" t="str">
        <f>+'15. ОПП'!$D$7</f>
        <v>2028 г.</v>
      </c>
      <c r="AE32" s="4285" t="str">
        <f>+'15. ОПП'!$E$7</f>
        <v>2029 г.</v>
      </c>
      <c r="AF32" s="4285" t="str">
        <f>+'15. ОПП'!$F$7</f>
        <v>2030 г.</v>
      </c>
      <c r="AG32" s="4285" t="str">
        <f>+'15. ОПП'!$G$7</f>
        <v>2031 г.</v>
      </c>
      <c r="AK32" s="5612" t="s">
        <v>207</v>
      </c>
      <c r="AL32" s="5613"/>
      <c r="AM32" s="5613"/>
      <c r="AN32" s="5613"/>
      <c r="AO32" s="5613"/>
      <c r="AP32" s="5614"/>
      <c r="AR32" s="4590"/>
      <c r="AS32" s="4590"/>
      <c r="AT32" s="4590"/>
      <c r="AU32" s="4590"/>
      <c r="AV32" s="4591"/>
    </row>
    <row r="33" spans="1:48" ht="21" customHeight="1">
      <c r="A33" s="3436" t="s">
        <v>1546</v>
      </c>
      <c r="B33" s="3554" t="s">
        <v>170</v>
      </c>
      <c r="C33" s="3430">
        <f>'5. Персонал'!U62</f>
        <v>0</v>
      </c>
      <c r="D33" s="3430">
        <f>'5. Персонал'!V62</f>
        <v>0</v>
      </c>
      <c r="E33" s="3430">
        <f>'5. Персонал'!W62</f>
        <v>0</v>
      </c>
      <c r="F33" s="3430">
        <f>'5. Персонал'!X62</f>
        <v>0</v>
      </c>
      <c r="G33" s="3430">
        <f>'5. Персонал'!Y62</f>
        <v>0</v>
      </c>
      <c r="H33" s="3430">
        <f>'5. Персонал'!Z62</f>
        <v>0</v>
      </c>
      <c r="I33" s="3430">
        <f>'5. Персонал'!AA62</f>
        <v>0.1960036570591675</v>
      </c>
      <c r="J33" s="3430">
        <f>'5. Персонал'!AB62</f>
        <v>0.20002656310776099</v>
      </c>
      <c r="K33" s="3430">
        <f>'5. Персонал'!AC62</f>
        <v>0.21043040401526486</v>
      </c>
      <c r="L33" s="3430">
        <f>'5. Персонал'!AD62</f>
        <v>0.21090969951405861</v>
      </c>
      <c r="M33" s="3430">
        <f>'5. Персонал'!AE62</f>
        <v>0.21136370499674301</v>
      </c>
      <c r="N33" s="3430">
        <f>'5. Персонал'!AF62</f>
        <v>0.21136718285461659</v>
      </c>
      <c r="O33" s="4280">
        <f t="shared" si="50"/>
        <v>0</v>
      </c>
      <c r="P33" s="4280">
        <f t="shared" si="51"/>
        <v>5.6695568681775686E-2</v>
      </c>
      <c r="R33" s="4354" t="s">
        <v>1857</v>
      </c>
      <c r="S33" s="4355" t="str">
        <f>+'15. ОПП'!$B$7</f>
        <v>2024 г.</v>
      </c>
      <c r="T33" s="4355" t="str">
        <f>+'15. ОПП'!$C$7</f>
        <v>2027 г.</v>
      </c>
      <c r="U33" s="4355" t="str">
        <f>+'15. ОПП'!$D$7</f>
        <v>2028 г.</v>
      </c>
      <c r="V33" s="4355" t="str">
        <f>+'15. ОПП'!$E$7</f>
        <v>2029 г.</v>
      </c>
      <c r="W33" s="4355" t="str">
        <f>+'15. ОПП'!$F$7</f>
        <v>2030 г.</v>
      </c>
      <c r="X33" s="4355" t="str">
        <f>+'15. ОПП'!$G$7</f>
        <v>2031 г.</v>
      </c>
      <c r="Y33" s="4355" t="str">
        <f>+Y16</f>
        <v>Изменение 2027 г.спрямо 2024 г.</v>
      </c>
      <c r="Z33" s="4355" t="str">
        <f>+Z16</f>
        <v>Изменение 2031 г.спрямо 2027 г.</v>
      </c>
      <c r="AB33" s="4299" t="s">
        <v>1706</v>
      </c>
      <c r="AC33" s="3579">
        <f>'16. Необходими приходи'!D55</f>
        <v>546.92842557588597</v>
      </c>
      <c r="AD33" s="3579">
        <f>'16. Необходими приходи'!E55</f>
        <v>560.37503383487069</v>
      </c>
      <c r="AE33" s="3579">
        <f>'16. Необходими приходи'!F55</f>
        <v>575.01791861989011</v>
      </c>
      <c r="AF33" s="3579">
        <f>'16. Необходими приходи'!G55</f>
        <v>595.13606904329856</v>
      </c>
      <c r="AG33" s="3579">
        <f>'16. Необходими приходи'!H55</f>
        <v>604.51073605020417</v>
      </c>
      <c r="AK33" s="1461" t="s">
        <v>608</v>
      </c>
      <c r="AL33" s="3545">
        <f>AR33</f>
        <v>3.6840000000000002</v>
      </c>
      <c r="AM33" s="3545">
        <f t="shared" ref="AM33:AP33" si="73">AS33</f>
        <v>3.9590000000000001</v>
      </c>
      <c r="AN33" s="3545">
        <f t="shared" si="73"/>
        <v>4.2560000000000002</v>
      </c>
      <c r="AO33" s="3545">
        <f t="shared" si="73"/>
        <v>4.593</v>
      </c>
      <c r="AP33" s="3545">
        <f t="shared" si="73"/>
        <v>4.9539999999999997</v>
      </c>
      <c r="AR33" s="3545">
        <f>AL5</f>
        <v>3.6840000000000002</v>
      </c>
      <c r="AS33" s="3545">
        <f>AM5</f>
        <v>3.9590000000000001</v>
      </c>
      <c r="AT33" s="3545">
        <f>AN5</f>
        <v>4.2560000000000002</v>
      </c>
      <c r="AU33" s="3545">
        <f>AO5</f>
        <v>4.593</v>
      </c>
      <c r="AV33" s="3545">
        <f>AP5</f>
        <v>4.9539999999999997</v>
      </c>
    </row>
    <row r="34" spans="1:48" ht="18.75" customHeight="1">
      <c r="A34" s="3436" t="s">
        <v>1545</v>
      </c>
      <c r="B34" s="3554" t="s">
        <v>170</v>
      </c>
      <c r="C34" s="3430">
        <f>'5. Персонал'!U63</f>
        <v>0</v>
      </c>
      <c r="D34" s="3430">
        <f>'5. Персонал'!V63</f>
        <v>0</v>
      </c>
      <c r="E34" s="3430">
        <f>'5. Персонал'!W63</f>
        <v>0</v>
      </c>
      <c r="F34" s="3430">
        <f>'5. Персонал'!X63</f>
        <v>0</v>
      </c>
      <c r="G34" s="3430">
        <f>'5. Персонал'!Y63</f>
        <v>0</v>
      </c>
      <c r="H34" s="3430">
        <f>'5. Персонал'!Z63</f>
        <v>0</v>
      </c>
      <c r="I34" s="3430">
        <f>'5. Персонал'!AA63</f>
        <v>7.63797829294591E-2</v>
      </c>
      <c r="J34" s="3430">
        <f>'5. Персонал'!AB63</f>
        <v>7.34107255061512E-2</v>
      </c>
      <c r="K34" s="3430">
        <f>'5. Персонал'!AC63</f>
        <v>6.8555654233253258E-2</v>
      </c>
      <c r="L34" s="3430">
        <f>'5. Персонал'!AD63</f>
        <v>6.7621726178724501E-2</v>
      </c>
      <c r="M34" s="3430">
        <f>'5. Персонал'!AE63</f>
        <v>6.3143191419673034E-2</v>
      </c>
      <c r="N34" s="3430">
        <f>'5. Персонал'!AF63</f>
        <v>5.574311471200414E-2</v>
      </c>
      <c r="O34" s="4280">
        <f t="shared" si="50"/>
        <v>0</v>
      </c>
      <c r="P34" s="4280">
        <f t="shared" si="51"/>
        <v>-0.24066797695204176</v>
      </c>
      <c r="R34" s="4358" t="s">
        <v>1574</v>
      </c>
      <c r="S34" s="4357">
        <f>IFERROR('8. Ремонтна програма'!J41/'8. Ремонтна програма'!J$54,0)</f>
        <v>0</v>
      </c>
      <c r="T34" s="4357">
        <f>IFERROR('8. Ремонтна програма'!K41/'8. Ремонтна програма'!K$54,0)</f>
        <v>32.196532655989365</v>
      </c>
      <c r="U34" s="4357">
        <f>IFERROR('8. Ремонтна програма'!L41/'8. Ремонтна програма'!L$54,0)</f>
        <v>227.30272365104969</v>
      </c>
      <c r="V34" s="4357">
        <f>IFERROR('8. Ремонтна програма'!M41/'8. Ремонтна програма'!M$54,0)</f>
        <v>-1307.8650951267418</v>
      </c>
      <c r="W34" s="4357">
        <f>IFERROR('8. Ремонтна програма'!N41/'8. Ремонтна програма'!N$54,0)</f>
        <v>67.407898249520045</v>
      </c>
      <c r="X34" s="4357">
        <f>IFERROR('8. Ремонтна програма'!O41/'8. Ремонтна програма'!O$54,0)</f>
        <v>1316.8396223634877</v>
      </c>
      <c r="Y34" s="3558">
        <f t="shared" ref="Y34:Y45" si="74">IFERROR((T34-S34)/S34,0)</f>
        <v>0</v>
      </c>
      <c r="Z34" s="3558">
        <f t="shared" ref="Z34:Z55" si="75">IFERROR((X34-T34)/T34,0)</f>
        <v>39.900044623858662</v>
      </c>
      <c r="AB34" s="4299" t="s">
        <v>1707</v>
      </c>
      <c r="AC34" s="3579">
        <f>'16. Необходими приходи'!D56</f>
        <v>116913.05450493311</v>
      </c>
      <c r="AD34" s="3579">
        <f>'16. Необходими приходи'!E56</f>
        <v>117486.15771329065</v>
      </c>
      <c r="AE34" s="3579">
        <f>'16. Необходими приходи'!F56</f>
        <v>118059.26092164817</v>
      </c>
      <c r="AF34" s="3579">
        <f>'16. Необходими приходи'!G56</f>
        <v>118632.36413000568</v>
      </c>
      <c r="AG34" s="3579">
        <f>'16. Необходими приходи'!H56</f>
        <v>119778.5705467207</v>
      </c>
      <c r="AK34" s="3447" t="s">
        <v>1925</v>
      </c>
      <c r="AL34" s="4366">
        <f>IFERROR(ROUND(AR34,5),"-")</f>
        <v>2.81779</v>
      </c>
      <c r="AM34" s="4366">
        <f t="shared" ref="AM34:AM39" si="76">IFERROR(ROUND(AS34,5),"-")</f>
        <v>3.0981999999999998</v>
      </c>
      <c r="AN34" s="4366">
        <f t="shared" ref="AN34:AN39" si="77">IFERROR(ROUND(AT34,5),"-")</f>
        <v>3.4014700000000002</v>
      </c>
      <c r="AO34" s="4366">
        <f t="shared" ref="AO34:AO39" si="78">IFERROR(ROUND(AU34,5),"-")</f>
        <v>3.7502399999999998</v>
      </c>
      <c r="AP34" s="4366">
        <f t="shared" ref="AP34:AP39" si="79">IFERROR(ROUND(AV34,5),"-")</f>
        <v>4.1296299999999997</v>
      </c>
      <c r="AR34" s="4366">
        <f>IFERROR(('12. Разходи'!D88-'12. Разходи'!D89)/'16. Необходими приходи'!D12,"-")</f>
        <v>2.8177878884755359</v>
      </c>
      <c r="AS34" s="4366">
        <f>IFERROR(('12. Разходи'!E88-'12. Разходи'!E89)/'16. Необходими приходи'!E12,"-")</f>
        <v>3.0982023829797214</v>
      </c>
      <c r="AT34" s="4366">
        <f>IFERROR(('12. Разходи'!F88-'12. Разходи'!F89)/'16. Необходими приходи'!F12,"-")</f>
        <v>3.4014704170475252</v>
      </c>
      <c r="AU34" s="4366">
        <f>IFERROR(('12. Разходи'!G88-'12. Разходи'!G89)/'16. Необходими приходи'!G12,"-")</f>
        <v>3.7502425052138784</v>
      </c>
      <c r="AV34" s="4366">
        <f>IFERROR(('12. Разходи'!H88-'12. Разходи'!H89)/'16. Необходими приходи'!H12,"-")</f>
        <v>4.1296312008386575</v>
      </c>
    </row>
    <row r="35" spans="1:48" ht="14.25" customHeight="1">
      <c r="A35" s="5615" t="s">
        <v>2</v>
      </c>
      <c r="B35" s="5621" t="s">
        <v>1536</v>
      </c>
      <c r="C35" s="5623" t="s">
        <v>1537</v>
      </c>
      <c r="D35" s="5624"/>
      <c r="E35" s="5624"/>
      <c r="F35" s="5624"/>
      <c r="G35" s="5624"/>
      <c r="H35" s="5625"/>
      <c r="I35" s="5618" t="s">
        <v>1538</v>
      </c>
      <c r="J35" s="5619"/>
      <c r="K35" s="5619"/>
      <c r="L35" s="5619"/>
      <c r="M35" s="5619"/>
      <c r="N35" s="5626"/>
      <c r="O35" s="5615" t="str">
        <f>CONCATENATE("Изменение ", H36,"спрямо ",D36)</f>
        <v>Изменение 2031 г.спрямо 2027 г.</v>
      </c>
      <c r="P35" s="5615" t="str">
        <f>CONCATENATE("Изменение ", N36,"спрямо ",J36)</f>
        <v>Изменение 2031 г.спрямо 2027 г.</v>
      </c>
      <c r="R35" s="4356" t="s">
        <v>1573</v>
      </c>
      <c r="S35" s="4357">
        <f>IFERROR('8. Ремонтна програма'!J42/'8. Ремонтна програма'!J$54,0)</f>
        <v>0</v>
      </c>
      <c r="T35" s="4357">
        <f>IFERROR('8. Ремонтна програма'!K42/'8. Ремонтна програма'!K$54,0)</f>
        <v>22.52505550768139</v>
      </c>
      <c r="U35" s="4357">
        <f>IFERROR('8. Ремонтна програма'!L42/'8. Ремонтна програма'!L$54,0)</f>
        <v>189.52281739837338</v>
      </c>
      <c r="V35" s="4357">
        <f>IFERROR('8. Ремонтна програма'!M42/'8. Ремонтна програма'!M$54,0)</f>
        <v>-522.30487648457017</v>
      </c>
      <c r="W35" s="4357">
        <f>IFERROR('8. Ремонтна програма'!N42/'8. Ремонтна програма'!N$54,0)</f>
        <v>69.720705677751084</v>
      </c>
      <c r="X35" s="4357">
        <f>IFERROR('8. Ремонтна програма'!O42/'8. Ремонтна програма'!O$54,0)</f>
        <v>1420.6708776421003</v>
      </c>
      <c r="Y35" s="3558">
        <f t="shared" si="74"/>
        <v>0</v>
      </c>
      <c r="Z35" s="3558">
        <f t="shared" si="75"/>
        <v>62.070693750682643</v>
      </c>
      <c r="AB35" s="4299" t="s">
        <v>1708</v>
      </c>
      <c r="AC35" s="3579">
        <f>'16. Необходими приходи'!D57</f>
        <v>47900.641586924678</v>
      </c>
      <c r="AD35" s="3579">
        <f>'16. Необходими приходи'!E57</f>
        <v>46996.855896605346</v>
      </c>
      <c r="AE35" s="3579">
        <f>'16. Необходими приходи'!F57</f>
        <v>46093.070206286015</v>
      </c>
      <c r="AF35" s="3579">
        <f>'16. Необходими приходи'!G57</f>
        <v>45189.284515966676</v>
      </c>
      <c r="AG35" s="3579">
        <f>'16. Необходими приходи'!H57</f>
        <v>44285.498825647337</v>
      </c>
      <c r="AK35" s="3445" t="s">
        <v>1926</v>
      </c>
      <c r="AL35" s="4597">
        <f t="shared" ref="AL35:AL39" si="80">IFERROR(ROUND(AR35,5),"-")</f>
        <v>0.24088999999999999</v>
      </c>
      <c r="AM35" s="4597">
        <f t="shared" si="76"/>
        <v>0.24256</v>
      </c>
      <c r="AN35" s="4597">
        <f t="shared" si="77"/>
        <v>0.23028000000000001</v>
      </c>
      <c r="AO35" s="4597">
        <f t="shared" si="78"/>
        <v>0.22705</v>
      </c>
      <c r="AP35" s="4597">
        <f t="shared" si="79"/>
        <v>0.22412000000000001</v>
      </c>
      <c r="AR35" s="4597">
        <f>IFERROR('12. Разходи'!D55/'16. Необходими приходи'!D12,"-")</f>
        <v>0.24089275440237359</v>
      </c>
      <c r="AS35" s="4597">
        <f>IFERROR('12. Разходи'!E55/'16. Необходими приходи'!E12,"-")</f>
        <v>0.24255977854073085</v>
      </c>
      <c r="AT35" s="4597">
        <f>IFERROR('12. Разходи'!F55/'16. Необходими приходи'!F12,"-")</f>
        <v>0.23027614969362081</v>
      </c>
      <c r="AU35" s="4597">
        <f>IFERROR('12. Разходи'!G55/'16. Необходими приходи'!G12,"-")</f>
        <v>0.22705058831325309</v>
      </c>
      <c r="AV35" s="4597">
        <f>IFERROR('12. Разходи'!H55/'16. Необходими приходи'!H12,"-")</f>
        <v>0.22411517879831913</v>
      </c>
    </row>
    <row r="36" spans="1:48" ht="12.75" customHeight="1">
      <c r="A36" s="5616"/>
      <c r="B36" s="5622"/>
      <c r="C36" s="4352" t="str">
        <f>+'15. ОПП'!$B$7</f>
        <v>2024 г.</v>
      </c>
      <c r="D36" s="4352" t="str">
        <f>+'15. ОПП'!$C$7</f>
        <v>2027 г.</v>
      </c>
      <c r="E36" s="4352" t="str">
        <f>+'15. ОПП'!$D$7</f>
        <v>2028 г.</v>
      </c>
      <c r="F36" s="4352" t="str">
        <f>+'15. ОПП'!$E$7</f>
        <v>2029 г.</v>
      </c>
      <c r="G36" s="4352" t="str">
        <f>+'15. ОПП'!$F$7</f>
        <v>2030 г.</v>
      </c>
      <c r="H36" s="4352" t="str">
        <f>+'15. ОПП'!$G$7</f>
        <v>2031 г.</v>
      </c>
      <c r="I36" s="4352" t="str">
        <f>+'15. ОПП'!$B$7</f>
        <v>2024 г.</v>
      </c>
      <c r="J36" s="4352" t="str">
        <f>+'15. ОПП'!$C$7</f>
        <v>2027 г.</v>
      </c>
      <c r="K36" s="4352" t="str">
        <f>+'15. ОПП'!$D$7</f>
        <v>2028 г.</v>
      </c>
      <c r="L36" s="4352" t="str">
        <f>+'15. ОПП'!$E$7</f>
        <v>2029 г.</v>
      </c>
      <c r="M36" s="4352" t="str">
        <f>+'15. ОПП'!$F$7</f>
        <v>2030 г.</v>
      </c>
      <c r="N36" s="4352" t="str">
        <f>+'15. ОПП'!$G$7</f>
        <v>2031 г.</v>
      </c>
      <c r="O36" s="5616"/>
      <c r="P36" s="5616"/>
      <c r="R36" s="4356" t="s">
        <v>1575</v>
      </c>
      <c r="S36" s="4357">
        <f>IFERROR('8. Ремонтна програма'!J43/'8. Ремонтна програма'!J$54,0)</f>
        <v>0</v>
      </c>
      <c r="T36" s="4357">
        <f>IFERROR('8. Ремонтна програма'!K43/'8. Ремонтна програма'!K$54,0)</f>
        <v>0</v>
      </c>
      <c r="U36" s="4357">
        <f>IFERROR('8. Ремонтна програма'!L43/'8. Ремонтна програма'!L$54,0)</f>
        <v>8.1213468155240793</v>
      </c>
      <c r="V36" s="4357">
        <f>IFERROR('8. Ремонтна програма'!M43/'8. Ремонтна програма'!M$54,0)</f>
        <v>0</v>
      </c>
      <c r="W36" s="4357">
        <f>IFERROR('8. Ремонтна програма'!N43/'8. Ремонтна програма'!N$54,0)</f>
        <v>2.4425113909641225</v>
      </c>
      <c r="X36" s="4357">
        <f>IFERROR('8. Ремонтна програма'!O43/'8. Ремонтна програма'!O$54,0)</f>
        <v>0</v>
      </c>
      <c r="Y36" s="3558">
        <f t="shared" si="74"/>
        <v>0</v>
      </c>
      <c r="Z36" s="3558">
        <f t="shared" si="75"/>
        <v>0</v>
      </c>
      <c r="AB36" s="4367" t="s">
        <v>1709</v>
      </c>
      <c r="AC36" s="3703">
        <f>SUM(AC33:AC35)</f>
        <v>165360.62451743367</v>
      </c>
      <c r="AD36" s="3703">
        <f t="shared" ref="AD36:AG36" si="81">SUM(AD33:AD35)</f>
        <v>165043.38864373087</v>
      </c>
      <c r="AE36" s="3703">
        <f t="shared" si="81"/>
        <v>164727.34904655407</v>
      </c>
      <c r="AF36" s="3703">
        <f t="shared" si="81"/>
        <v>164416.78471501564</v>
      </c>
      <c r="AG36" s="3703">
        <f t="shared" si="81"/>
        <v>164668.58010841825</v>
      </c>
      <c r="AK36" s="3445" t="s">
        <v>1927</v>
      </c>
      <c r="AL36" s="4597">
        <f t="shared" si="80"/>
        <v>2.1389399999999998</v>
      </c>
      <c r="AM36" s="4597">
        <f t="shared" si="76"/>
        <v>2.4213800000000001</v>
      </c>
      <c r="AN36" s="4597">
        <f t="shared" si="77"/>
        <v>2.74105</v>
      </c>
      <c r="AO36" s="4597">
        <f t="shared" si="78"/>
        <v>3.0947200000000001</v>
      </c>
      <c r="AP36" s="4597">
        <f t="shared" si="79"/>
        <v>3.4825900000000001</v>
      </c>
      <c r="AR36" s="4597">
        <f>IFERROR(('12. Разходи'!D59+'12. Разходи'!D63)/'16. Необходими приходи'!D12,"-")</f>
        <v>2.1389421404092199</v>
      </c>
      <c r="AS36" s="4597">
        <f>IFERROR(('12. Разходи'!E59+'12. Разходи'!E63)/'16. Необходими приходи'!E12,"-")</f>
        <v>2.4213800985776186</v>
      </c>
      <c r="AT36" s="4597">
        <f>IFERROR(('12. Разходи'!F59+'12. Разходи'!F63)/'16. Необходими приходи'!F12,"-")</f>
        <v>2.7410539702582595</v>
      </c>
      <c r="AU36" s="4597">
        <f>IFERROR(('12. Разходи'!G59+'12. Разходи'!G63)/'16. Необходими приходи'!G12,"-")</f>
        <v>3.0947224150948873</v>
      </c>
      <c r="AV36" s="4597">
        <f>IFERROR(('12. Разходи'!H59+'12. Разходи'!H63)/'16. Необходими приходи'!H12,"-")</f>
        <v>3.4825871638976782</v>
      </c>
    </row>
    <row r="37" spans="1:48" ht="20.399999999999999" customHeight="1">
      <c r="A37" s="3435" t="s">
        <v>1541</v>
      </c>
      <c r="B37" s="3539" t="s">
        <v>676</v>
      </c>
      <c r="C37" s="3540">
        <f>C4+C26+I26</f>
        <v>294.88290945434767</v>
      </c>
      <c r="D37" s="3540">
        <f t="shared" ref="D37:H37" si="82">D4+D26+J26</f>
        <v>300.36145051580962</v>
      </c>
      <c r="E37" s="3540">
        <f t="shared" si="82"/>
        <v>298.35885854580107</v>
      </c>
      <c r="F37" s="3540">
        <f t="shared" si="82"/>
        <v>297.356258448863</v>
      </c>
      <c r="G37" s="3540">
        <f t="shared" si="82"/>
        <v>296.35364952516773</v>
      </c>
      <c r="H37" s="3540">
        <f t="shared" si="82"/>
        <v>295.35103221334424</v>
      </c>
      <c r="I37" s="3540">
        <f>I4+C15</f>
        <v>56.746906738439407</v>
      </c>
      <c r="J37" s="3540">
        <f t="shared" ref="J37:N37" si="83">J4+D15</f>
        <v>66.576049484190406</v>
      </c>
      <c r="K37" s="3540">
        <f t="shared" si="83"/>
        <v>66.578641454198902</v>
      </c>
      <c r="L37" s="3540">
        <f t="shared" si="83"/>
        <v>66.581241551137012</v>
      </c>
      <c r="M37" s="3540">
        <f t="shared" si="83"/>
        <v>66.583850474832246</v>
      </c>
      <c r="N37" s="3540">
        <f t="shared" si="83"/>
        <v>66.586467786655803</v>
      </c>
      <c r="O37" s="4280">
        <f t="shared" ref="O37:O45" si="84">IFERROR((H37-D37)/D37,0)</f>
        <v>-1.66812961312479E-2</v>
      </c>
      <c r="P37" s="4280">
        <f t="shared" ref="P37:P45" si="85">IFERROR((N37-J37)/J37,0)</f>
        <v>1.5648724347740582E-4</v>
      </c>
      <c r="R37" s="4358" t="s">
        <v>1576</v>
      </c>
      <c r="S37" s="4357">
        <f>IFERROR('8. Ремонтна програма'!J44/'8. Ремонтна програма'!J$54,0)</f>
        <v>0</v>
      </c>
      <c r="T37" s="4357">
        <f>IFERROR('8. Ремонтна програма'!K44/'8. Ремонтна програма'!K$54,0)</f>
        <v>0</v>
      </c>
      <c r="U37" s="4357">
        <f>IFERROR('8. Ремонтна програма'!L44/'8. Ремонтна програма'!L$54,0)</f>
        <v>0</v>
      </c>
      <c r="V37" s="4357">
        <f>IFERROR('8. Ремонтна програма'!M44/'8. Ремонтна програма'!M$54,0)</f>
        <v>0</v>
      </c>
      <c r="W37" s="4357">
        <f>IFERROR('8. Ремонтна програма'!N44/'8. Ремонтна програма'!N$54,0)</f>
        <v>0</v>
      </c>
      <c r="X37" s="4357">
        <f>IFERROR('8. Ремонтна програма'!O44/'8. Ремонтна програма'!O$54,0)</f>
        <v>0</v>
      </c>
      <c r="Y37" s="3558">
        <f t="shared" si="74"/>
        <v>0</v>
      </c>
      <c r="Z37" s="3558">
        <f t="shared" si="75"/>
        <v>0</v>
      </c>
      <c r="AK37" s="3447" t="s">
        <v>1928</v>
      </c>
      <c r="AL37" s="4366">
        <f t="shared" si="80"/>
        <v>0.64907000000000004</v>
      </c>
      <c r="AM37" s="4366">
        <f t="shared" si="76"/>
        <v>0.63792000000000004</v>
      </c>
      <c r="AN37" s="4366">
        <f t="shared" si="77"/>
        <v>0.62385000000000002</v>
      </c>
      <c r="AO37" s="4366">
        <f t="shared" si="78"/>
        <v>0.60390999999999995</v>
      </c>
      <c r="AP37" s="4366">
        <f t="shared" si="79"/>
        <v>0.57713999999999999</v>
      </c>
      <c r="AR37" s="4366">
        <f>IFERROR('12. Разходи'!D89/'16. Необходими приходи'!D12,"-")</f>
        <v>0.64906758393003072</v>
      </c>
      <c r="AS37" s="4366">
        <f>IFERROR('12. Разходи'!E89/'16. Необходими приходи'!E12,"-")</f>
        <v>0.63792262300064984</v>
      </c>
      <c r="AT37" s="4366">
        <f>IFERROR('12. Разходи'!F89/'16. Необходими приходи'!F12,"-")</f>
        <v>0.62385450023389166</v>
      </c>
      <c r="AU37" s="4366">
        <f>IFERROR('12. Разходи'!G89/'16. Необходими приходи'!G12,"-")</f>
        <v>0.60391195333994696</v>
      </c>
      <c r="AV37" s="4366">
        <f>IFERROR('12. Разходи'!H89/'16. Необходими приходи'!H12,"-")</f>
        <v>0.5771364911818726</v>
      </c>
    </row>
    <row r="38" spans="1:48" ht="20.399999999999999">
      <c r="A38" s="3432" t="s">
        <v>1534</v>
      </c>
      <c r="B38" s="3543" t="s">
        <v>1539</v>
      </c>
      <c r="C38" s="3540">
        <f>C5+C27+I27</f>
        <v>277.21000000000004</v>
      </c>
      <c r="D38" s="3540">
        <f t="shared" ref="D38:H38" si="86">D5+D27+J27</f>
        <v>282.86677481893707</v>
      </c>
      <c r="E38" s="3540">
        <f t="shared" si="86"/>
        <v>279.71819982684463</v>
      </c>
      <c r="F38" s="3540">
        <f t="shared" si="86"/>
        <v>277.48359506684983</v>
      </c>
      <c r="G38" s="3540">
        <f t="shared" si="86"/>
        <v>275.25174055438032</v>
      </c>
      <c r="H38" s="3540">
        <f t="shared" si="86"/>
        <v>273.02271029386793</v>
      </c>
      <c r="I38" s="3540">
        <f>I5+C16</f>
        <v>54.3</v>
      </c>
      <c r="J38" s="3540">
        <f t="shared" ref="J38:N38" si="87">J5+D16</f>
        <v>68.011642125315362</v>
      </c>
      <c r="K38" s="3540">
        <f t="shared" si="87"/>
        <v>66.967126892016609</v>
      </c>
      <c r="L38" s="3540">
        <f t="shared" si="87"/>
        <v>65.919921891927885</v>
      </c>
      <c r="M38" s="3540">
        <f t="shared" si="87"/>
        <v>64.869956498230138</v>
      </c>
      <c r="N38" s="3540">
        <f t="shared" si="87"/>
        <v>63.817156406287054</v>
      </c>
      <c r="O38" s="4280">
        <f t="shared" si="84"/>
        <v>-3.4801063261566602E-2</v>
      </c>
      <c r="P38" s="4280">
        <f t="shared" si="85"/>
        <v>-6.1673054611734356E-2</v>
      </c>
      <c r="R38" s="4356" t="s">
        <v>1577</v>
      </c>
      <c r="S38" s="4357">
        <f>IFERROR('8. Ремонтна програма'!J45/'8. Ремонтна програма'!J$54,0)</f>
        <v>0</v>
      </c>
      <c r="T38" s="4357">
        <f>IFERROR('8. Ремонтна програма'!K45/'8. Ремонтна програма'!K$54,0)</f>
        <v>0</v>
      </c>
      <c r="U38" s="4357">
        <f>IFERROR('8. Ремонтна програма'!L45/'8. Ремонтна програма'!L$54,0)</f>
        <v>0</v>
      </c>
      <c r="V38" s="4357">
        <f>IFERROR('8. Ремонтна програма'!M45/'8. Ремонтна програма'!M$54,0)</f>
        <v>0</v>
      </c>
      <c r="W38" s="4357">
        <f>IFERROR('8. Ремонтна програма'!N45/'8. Ремонтна програма'!N$54,0)</f>
        <v>0</v>
      </c>
      <c r="X38" s="4357">
        <f>IFERROR('8. Ремонтна програма'!O45/'8. Ремонтна програма'!O$54,0)</f>
        <v>0</v>
      </c>
      <c r="Y38" s="3558">
        <f t="shared" si="74"/>
        <v>0</v>
      </c>
      <c r="Z38" s="3558">
        <f t="shared" si="75"/>
        <v>0</v>
      </c>
      <c r="AK38" s="3445" t="s">
        <v>1929</v>
      </c>
      <c r="AL38" s="4597">
        <f t="shared" si="80"/>
        <v>0.56111999999999995</v>
      </c>
      <c r="AM38" s="4597">
        <f t="shared" si="76"/>
        <v>0.55091000000000001</v>
      </c>
      <c r="AN38" s="4597">
        <f t="shared" si="77"/>
        <v>0.53793000000000002</v>
      </c>
      <c r="AO38" s="4597">
        <f t="shared" si="78"/>
        <v>0.51942999999999995</v>
      </c>
      <c r="AP38" s="4597">
        <f t="shared" si="79"/>
        <v>0.49468000000000001</v>
      </c>
      <c r="AR38" s="4597">
        <f>IFERROR('12. Разходи'!D17/'16. Необходими приходи'!D12,"-")</f>
        <v>0.56111660211737424</v>
      </c>
      <c r="AS38" s="4597">
        <f>IFERROR('12. Разходи'!E17/'16. Необходими приходи'!E12,"-")</f>
        <v>0.55090596063754804</v>
      </c>
      <c r="AT38" s="4597">
        <f>IFERROR('12. Разходи'!F17/'16. Необходими приходи'!F12,"-")</f>
        <v>0.53793093970600125</v>
      </c>
      <c r="AU38" s="4597">
        <f>IFERROR('12. Разходи'!G17/'16. Необходими приходи'!G12,"-")</f>
        <v>0.51942732011564219</v>
      </c>
      <c r="AV38" s="4597">
        <f>IFERROR('12. Разходи'!H17/'16. Необходими приходи'!H12,"-")</f>
        <v>0.49467710619643157</v>
      </c>
    </row>
    <row r="39" spans="1:48" ht="15" customHeight="1">
      <c r="A39" s="3438" t="s">
        <v>1544</v>
      </c>
      <c r="B39" s="3546" t="s">
        <v>170</v>
      </c>
      <c r="C39" s="3547"/>
      <c r="D39" s="3548">
        <f>IFERROR((D38-C38)/C38,0)</f>
        <v>2.0406099415378368E-2</v>
      </c>
      <c r="E39" s="3548">
        <f t="shared" ref="E39" si="88">IFERROR((E38-D38)/D38,0)</f>
        <v>-1.1130946694279846E-2</v>
      </c>
      <c r="F39" s="3548">
        <f t="shared" ref="F39" si="89">IFERROR((F38-E38)/E38,0)</f>
        <v>-7.9887714184421824E-3</v>
      </c>
      <c r="G39" s="3548">
        <f t="shared" ref="G39" si="90">IFERROR((G38-F38)/F38,0)</f>
        <v>-8.0431944523849212E-3</v>
      </c>
      <c r="H39" s="3548">
        <f t="shared" ref="H39" si="91">IFERROR((H38-G38)/G38,0)</f>
        <v>-8.0981513723507523E-3</v>
      </c>
      <c r="I39" s="3547"/>
      <c r="J39" s="3549">
        <f>IFERROR((J38-I38)/I38,0)</f>
        <v>0.25251642956381887</v>
      </c>
      <c r="K39" s="3549">
        <f t="shared" ref="K39" si="92">IFERROR((K38-J38)/J38,0)</f>
        <v>-1.5357888747549632E-2</v>
      </c>
      <c r="L39" s="3549">
        <f t="shared" ref="L39" si="93">IFERROR((L38-K38)/K38,0)</f>
        <v>-1.5637597858682583E-2</v>
      </c>
      <c r="M39" s="3549">
        <f t="shared" ref="M39" si="94">IFERROR((M38-L38)/L38,0)</f>
        <v>-1.5927891956836776E-2</v>
      </c>
      <c r="N39" s="3549">
        <f t="shared" ref="N39" si="95">IFERROR((N38-M38)/M38,0)</f>
        <v>-1.6229394141366621E-2</v>
      </c>
      <c r="O39" s="4280">
        <f t="shared" si="84"/>
        <v>-1.3968495501030371</v>
      </c>
      <c r="P39" s="4280">
        <f t="shared" si="85"/>
        <v>-1.0642706463472507</v>
      </c>
      <c r="R39" s="4356" t="s">
        <v>1578</v>
      </c>
      <c r="S39" s="4357">
        <f>IFERROR('8. Ремонтна програма'!J46/'8. Ремонтна програма'!J$54,0)</f>
        <v>0</v>
      </c>
      <c r="T39" s="4357">
        <f>IFERROR('8. Ремонтна програма'!K46/'8. Ремонтна програма'!K$54,0)</f>
        <v>4.5050351837559051</v>
      </c>
      <c r="U39" s="4357">
        <f>IFERROR('8. Ремонтна програма'!L46/'8. Ремонтна програма'!L$54,0)</f>
        <v>35.544241713970877</v>
      </c>
      <c r="V39" s="4357">
        <f>IFERROR('8. Ремонтна програма'!M46/'8. Ремонтна програма'!M$54,0)</f>
        <v>-184.65220187205597</v>
      </c>
      <c r="W39" s="4357">
        <f>IFERROR('8. Ремонтна програма'!N46/'8. Ремонтна програма'!N$54,0)</f>
        <v>10.027338358644396</v>
      </c>
      <c r="X39" s="4357">
        <f>IFERROR('8. Ремонтна програма'!O46/'8. Ремонтна програма'!O$54,0)</f>
        <v>228.87487397178427</v>
      </c>
      <c r="Y39" s="3558">
        <f t="shared" si="74"/>
        <v>0</v>
      </c>
      <c r="Z39" s="3558">
        <f t="shared" si="75"/>
        <v>49.804236734277488</v>
      </c>
      <c r="AK39" s="3447" t="s">
        <v>1930</v>
      </c>
      <c r="AL39" s="4366">
        <f t="shared" si="80"/>
        <v>0.21673999999999999</v>
      </c>
      <c r="AM39" s="4598">
        <f t="shared" si="76"/>
        <v>0.22267000000000001</v>
      </c>
      <c r="AN39" s="4598">
        <f t="shared" si="77"/>
        <v>0.23028999999999999</v>
      </c>
      <c r="AO39" s="4598">
        <f t="shared" si="78"/>
        <v>0.23915</v>
      </c>
      <c r="AP39" s="4598">
        <f t="shared" si="79"/>
        <v>0.24729000000000001</v>
      </c>
      <c r="AR39" s="4366">
        <f>IFERROR('16. Необходими приходи'!D9/'16. Необходими приходи'!D12,"-")</f>
        <v>0.21673557589673267</v>
      </c>
      <c r="AS39" s="4598">
        <f>IFERROR('16. Необходими приходи'!E9/'16. Необходими приходи'!E12,"-")</f>
        <v>0.22267482124407462</v>
      </c>
      <c r="AT39" s="4598">
        <f>IFERROR('16. Необходими приходи'!F9/'16. Необходими приходи'!F12,"-")</f>
        <v>0.23029133246938141</v>
      </c>
      <c r="AU39" s="4598">
        <f>IFERROR('16. Необходими приходи'!G9/'16. Необходими приходи'!G12,"-")</f>
        <v>0.23915421255030156</v>
      </c>
      <c r="AV39" s="4598">
        <f>IFERROR('16. Необходими приходи'!H9/'16. Необходими приходи'!H12,"-")</f>
        <v>0.24729102670669501</v>
      </c>
    </row>
    <row r="40" spans="1:48">
      <c r="A40" s="3438" t="s">
        <v>1543</v>
      </c>
      <c r="B40" s="3546" t="s">
        <v>170</v>
      </c>
      <c r="C40" s="3547"/>
      <c r="D40" s="3548">
        <f>IFERROR((D38-$C$38)/$C$38,0)</f>
        <v>2.0406099415378368E-2</v>
      </c>
      <c r="E40" s="3548">
        <f t="shared" ref="E40:H40" si="96">IFERROR((E38-$C$38)/$C$38,0)</f>
        <v>9.0480135162677687E-3</v>
      </c>
      <c r="F40" s="3548">
        <f t="shared" si="96"/>
        <v>9.8695958605314908E-4</v>
      </c>
      <c r="G40" s="3548">
        <f t="shared" si="96"/>
        <v>-7.0641731741990432E-3</v>
      </c>
      <c r="H40" s="3548">
        <f t="shared" si="96"/>
        <v>-1.5105117802864634E-2</v>
      </c>
      <c r="I40" s="3547"/>
      <c r="J40" s="3559">
        <f>IFERROR((J38-$I$38)/$I$38,0)</f>
        <v>0.25251642956381887</v>
      </c>
      <c r="K40" s="3549">
        <f t="shared" ref="K40:N40" si="97">IFERROR((K38-$I$38)/$I$38,0)</f>
        <v>0.23328042158409967</v>
      </c>
      <c r="L40" s="3548">
        <f t="shared" si="97"/>
        <v>0.21399487830438099</v>
      </c>
      <c r="M40" s="3548">
        <f t="shared" si="97"/>
        <v>0.1946584990465956</v>
      </c>
      <c r="N40" s="3548">
        <f t="shared" si="97"/>
        <v>0.17526991540123496</v>
      </c>
      <c r="O40" s="4280">
        <f t="shared" si="84"/>
        <v>-1.7402256303564401</v>
      </c>
      <c r="P40" s="4280">
        <f t="shared" si="85"/>
        <v>-0.30590688414221096</v>
      </c>
      <c r="R40" s="4356" t="s">
        <v>1579</v>
      </c>
      <c r="S40" s="4357">
        <f>IFERROR('8. Ремонтна програма'!J47/'8. Ремонтна програма'!J$54,0)</f>
        <v>0</v>
      </c>
      <c r="T40" s="4357">
        <f>IFERROR('8. Ремонтна програма'!K47/'8. Ремонтна програма'!K$54,0)</f>
        <v>103.21003666339452</v>
      </c>
      <c r="U40" s="4357">
        <f>IFERROR('8. Ремонтна програма'!L47/'8. Ремонтна програма'!L$54,0)</f>
        <v>856.92491294822662</v>
      </c>
      <c r="V40" s="4357">
        <f>IFERROR('8. Ремонтна програма'!M47/'8. Ремонтна програма'!M$54,0)</f>
        <v>-4592.507532685092</v>
      </c>
      <c r="W40" s="4357">
        <f>IFERROR('8. Ремонтна програма'!N47/'8. Ремонтна програма'!N$54,0)</f>
        <v>259.6048744049703</v>
      </c>
      <c r="X40" s="4357">
        <f>IFERROR('8. Ремонтна програма'!O47/'8. Ремонтна програма'!O$54,0)</f>
        <v>6006.3607162560111</v>
      </c>
      <c r="Y40" s="3558">
        <f t="shared" si="74"/>
        <v>0</v>
      </c>
      <c r="Z40" s="3558">
        <f t="shared" si="75"/>
        <v>57.195509956506832</v>
      </c>
      <c r="AK40" s="5612" t="s">
        <v>174</v>
      </c>
      <c r="AL40" s="5613"/>
      <c r="AM40" s="5613"/>
      <c r="AN40" s="5613"/>
      <c r="AO40" s="5613"/>
      <c r="AP40" s="5614"/>
      <c r="AR40" s="4590"/>
      <c r="AS40" s="4590"/>
      <c r="AT40" s="4590"/>
      <c r="AU40" s="4590"/>
      <c r="AV40" s="4591"/>
    </row>
    <row r="41" spans="1:48" ht="20.399999999999999">
      <c r="A41" s="3433" t="s">
        <v>1535</v>
      </c>
      <c r="B41" s="3550" t="s">
        <v>1540</v>
      </c>
      <c r="C41" s="3551">
        <f>IFERROR(('5. Персонал'!C29+'5. Персонал'!U29+'5. Персонал'!AA29)/C38,0)</f>
        <v>18.566896040475925</v>
      </c>
      <c r="D41" s="3551">
        <f>IFERROR(('5. Персонал'!D29+'5. Персонал'!V29+'5. Персонал'!AB29)/D38,0)</f>
        <v>26.58478647342244</v>
      </c>
      <c r="E41" s="3551">
        <f>IFERROR(('5. Персонал'!E29+'5. Персонал'!W29+'5. Персонал'!AC29)/E38,0)</f>
        <v>30.38294279271183</v>
      </c>
      <c r="F41" s="3551">
        <f>IFERROR(('5. Персонал'!F29+'5. Персонал'!X29+'5. Персонал'!AD29)/F38,0)</f>
        <v>34.775162627327909</v>
      </c>
      <c r="G41" s="3551">
        <f>IFERROR(('5. Персонал'!G29+'5. Персонал'!Y29+'5. Персонал'!AE29)/G38,0)</f>
        <v>39.834960449224859</v>
      </c>
      <c r="H41" s="3551">
        <f>IFERROR(('5. Персонал'!H29+'5. Персонал'!Z29+'5. Персонал'!AF29)/H38,0)</f>
        <v>45.646041806401669</v>
      </c>
      <c r="I41" s="3551">
        <f>IFERROR(('5. Персонал'!I29+'5. Персонал'!O29)/I38,0)</f>
        <v>18.032270478751208</v>
      </c>
      <c r="J41" s="3551">
        <f>IFERROR(('5. Персонал'!J29+'5. Персонал'!P29)/J38,0)</f>
        <v>25.559124756678344</v>
      </c>
      <c r="K41" s="3551">
        <f>IFERROR(('5. Персонал'!K29+'5. Персонал'!Q29)/K38,0)</f>
        <v>29.572475893429512</v>
      </c>
      <c r="L41" s="3551">
        <f>IFERROR(('5. Персонал'!L29+'5. Персонал'!R29)/L38,0)</f>
        <v>34.24294519358812</v>
      </c>
      <c r="M41" s="3551">
        <f>IFERROR(('5. Персонал'!M29+'5. Персонал'!S29)/M38,0)</f>
        <v>39.679993932870964</v>
      </c>
      <c r="N41" s="3551">
        <f>IFERROR(('5. Персонал'!N29+'5. Персонал'!T29)/N38,0)</f>
        <v>46.011697911229845</v>
      </c>
      <c r="O41" s="4280">
        <f t="shared" si="84"/>
        <v>0.71699862445896656</v>
      </c>
      <c r="P41" s="4280">
        <f t="shared" si="85"/>
        <v>0.800206319631796</v>
      </c>
      <c r="R41" s="4356" t="s">
        <v>1070</v>
      </c>
      <c r="S41" s="4357">
        <f>IFERROR('8. Ремонтна програма'!J48/'8. Ремонтна програма'!J$54,0)</f>
        <v>0</v>
      </c>
      <c r="T41" s="4357">
        <f>IFERROR('8. Ремонтна програма'!K48/'8. Ремонтна програма'!K$54,0)</f>
        <v>60.648473868174875</v>
      </c>
      <c r="U41" s="4357">
        <f>IFERROR('8. Ремонтна програма'!L48/'8. Ремонтна програма'!L$54,0)</f>
        <v>534.68992698448812</v>
      </c>
      <c r="V41" s="4357">
        <f>IFERROR('8. Ремонтна програма'!M48/'8. Ремонтна програма'!M$54,0)</f>
        <v>-2535.4819341174921</v>
      </c>
      <c r="W41" s="4357">
        <f>IFERROR('8. Ремонтна програма'!N48/'8. Ремонтна програма'!N$54,0)</f>
        <v>142.72218875035955</v>
      </c>
      <c r="X41" s="4357">
        <f>IFERROR('8. Ремонтна програма'!O48/'8. Ремонтна програма'!O$54,0)</f>
        <v>3460.1939343718359</v>
      </c>
      <c r="Y41" s="3558">
        <f t="shared" si="74"/>
        <v>0</v>
      </c>
      <c r="Z41" s="3558">
        <f t="shared" si="75"/>
        <v>56.05327296269467</v>
      </c>
      <c r="AK41" s="1461" t="s">
        <v>608</v>
      </c>
      <c r="AL41" s="3545">
        <f>AR41</f>
        <v>0.30499999999999999</v>
      </c>
      <c r="AM41" s="3545">
        <f t="shared" ref="AM41:AP41" si="98">AS41</f>
        <v>0.33500000000000002</v>
      </c>
      <c r="AN41" s="3545">
        <f t="shared" si="98"/>
        <v>0.36599999999999999</v>
      </c>
      <c r="AO41" s="3545">
        <f t="shared" si="98"/>
        <v>0.40200000000000002</v>
      </c>
      <c r="AP41" s="3545">
        <f t="shared" si="98"/>
        <v>0.44</v>
      </c>
      <c r="AR41" s="3545">
        <f>AL7</f>
        <v>0.30499999999999999</v>
      </c>
      <c r="AS41" s="3545">
        <f>AM7</f>
        <v>0.33500000000000002</v>
      </c>
      <c r="AT41" s="3545">
        <f>AN7</f>
        <v>0.36599999999999999</v>
      </c>
      <c r="AU41" s="3545">
        <f>AO7</f>
        <v>0.40200000000000002</v>
      </c>
      <c r="AV41" s="3545">
        <f>AP7</f>
        <v>0.44</v>
      </c>
    </row>
    <row r="42" spans="1:48" ht="15.75" customHeight="1">
      <c r="A42" s="3438" t="s">
        <v>1544</v>
      </c>
      <c r="B42" s="3546" t="s">
        <v>170</v>
      </c>
      <c r="C42" s="3547"/>
      <c r="D42" s="3548">
        <f>IFERROR((D41-C41)/C41,0)</f>
        <v>0.43183795586873946</v>
      </c>
      <c r="E42" s="3548">
        <f t="shared" ref="E42" si="99">IFERROR((E41-D41)/D41,0)</f>
        <v>0.14286954394335699</v>
      </c>
      <c r="F42" s="3548">
        <f t="shared" ref="F42" si="100">IFERROR((F41-E41)/E41,0)</f>
        <v>0.14456202825980605</v>
      </c>
      <c r="G42" s="3548">
        <f t="shared" ref="G42" si="101">IFERROR((G41-F41)/F41,0)</f>
        <v>0.14550033528587239</v>
      </c>
      <c r="H42" s="3548">
        <f t="shared" ref="H42" si="102">IFERROR((H41-G41)/G41,0)</f>
        <v>0.14587892875113642</v>
      </c>
      <c r="I42" s="3547"/>
      <c r="J42" s="3549">
        <f>IFERROR((J41-I41)/I41,0)</f>
        <v>0.41741023609847683</v>
      </c>
      <c r="K42" s="3549">
        <f t="shared" ref="K42" si="103">IFERROR((K41-J41)/J41,0)</f>
        <v>0.15702224450007898</v>
      </c>
      <c r="L42" s="3549">
        <f t="shared" ref="L42" si="104">IFERROR((L41-K41)/K41,0)</f>
        <v>0.15793298190484972</v>
      </c>
      <c r="M42" s="3549">
        <f t="shared" ref="M42" si="105">IFERROR((M41-L41)/L41,0)</f>
        <v>0.15877865377949188</v>
      </c>
      <c r="N42" s="3549">
        <f t="shared" ref="N42" si="106">IFERROR((N41-M41)/M41,0)</f>
        <v>0.15956917707877188</v>
      </c>
      <c r="O42" s="4280">
        <f t="shared" si="84"/>
        <v>-0.66219058151646704</v>
      </c>
      <c r="P42" s="4280">
        <f t="shared" si="85"/>
        <v>-0.61771618595111355</v>
      </c>
      <c r="R42" s="4356" t="s">
        <v>1072</v>
      </c>
      <c r="S42" s="4357">
        <f>IFERROR('8. Ремонтна програма'!J49/'8. Ремонтна програма'!J$54,0)</f>
        <v>0</v>
      </c>
      <c r="T42" s="4357">
        <f>IFERROR('8. Ремонтна програма'!K49/'8. Ремонтна програма'!K$54,0)</f>
        <v>10.354492447482363</v>
      </c>
      <c r="U42" s="4357">
        <f>IFERROR('8. Ремонтна програма'!L49/'8. Ремонтна програма'!L$54,0)</f>
        <v>86.221172586354768</v>
      </c>
      <c r="V42" s="4357">
        <f>IFERROR('8. Ремонтна програма'!M49/'8. Ремонтна програма'!M$54,0)</f>
        <v>-641.73940002845575</v>
      </c>
      <c r="W42" s="4357">
        <f>IFERROR('8. Ремонтна програма'!N49/'8. Ремонтна програма'!N$54,0)</f>
        <v>26.673722101726629</v>
      </c>
      <c r="X42" s="4357">
        <f>IFERROR('8. Ремонтна програма'!O49/'8. Ремонтна програма'!O$54,0)</f>
        <v>742.82303535068081</v>
      </c>
      <c r="Y42" s="3558">
        <f t="shared" si="74"/>
        <v>0</v>
      </c>
      <c r="Z42" s="3558">
        <f t="shared" si="75"/>
        <v>70.739202970908934</v>
      </c>
      <c r="AK42" s="3447" t="s">
        <v>1925</v>
      </c>
      <c r="AL42" s="4366">
        <f>IFERROR(ROUND(AR42,5),"-")</f>
        <v>0.27798</v>
      </c>
      <c r="AM42" s="4366">
        <f t="shared" ref="AM42:AM47" si="107">IFERROR(ROUND(AS42,5),"-")</f>
        <v>0.30563000000000001</v>
      </c>
      <c r="AN42" s="4366">
        <f t="shared" ref="AN42:AN47" si="108">IFERROR(ROUND(AT42,5),"-")</f>
        <v>0.33504</v>
      </c>
      <c r="AO42" s="4366">
        <f t="shared" ref="AO42:AO47" si="109">IFERROR(ROUND(AU42,5),"-")</f>
        <v>0.36912</v>
      </c>
      <c r="AP42" s="4366">
        <f t="shared" ref="AP42:AP47" si="110">IFERROR(ROUND(AV42,5),"-")</f>
        <v>0.40486</v>
      </c>
      <c r="AR42" s="4366">
        <f>IFERROR(('12. Разходи'!L88-'12. Разходи'!L89)/'16. Необходими приходи'!D18,"-")</f>
        <v>0.2779841071307837</v>
      </c>
      <c r="AS42" s="4366">
        <f>IFERROR(('12. Разходи'!M88-'12. Разходи'!M89)/'16. Необходими приходи'!E18,"-")</f>
        <v>0.30562746626558956</v>
      </c>
      <c r="AT42" s="4366">
        <f>IFERROR(('12. Разходи'!N88-'12. Разходи'!N89)/'16. Необходими приходи'!F18,"-")</f>
        <v>0.33504161811264421</v>
      </c>
      <c r="AU42" s="4366">
        <f>IFERROR(('12. Разходи'!O88-'12. Разходи'!O89)/'16. Необходими приходи'!G18,"-")</f>
        <v>0.36912083820864822</v>
      </c>
      <c r="AV42" s="4366">
        <f>IFERROR(('12. Разходи'!P88-'12. Разходи'!P89)/'16. Необходими приходи'!H18,"-")</f>
        <v>0.40485954603662155</v>
      </c>
    </row>
    <row r="43" spans="1:48" ht="20.399999999999999">
      <c r="A43" s="3437" t="s">
        <v>1542</v>
      </c>
      <c r="B43" s="3546" t="s">
        <v>170</v>
      </c>
      <c r="C43" s="3547"/>
      <c r="D43" s="3548">
        <f>IFERROR((D41-$C$41)/$C$41,0)</f>
        <v>0.43183795586873946</v>
      </c>
      <c r="E43" s="3548">
        <f t="shared" ref="E43:H43" si="111">IFERROR((E41-$C$41)/$C$41,0)</f>
        <v>0.63640399162449479</v>
      </c>
      <c r="F43" s="3548">
        <f t="shared" si="111"/>
        <v>0.87296587170617446</v>
      </c>
      <c r="G43" s="3548">
        <f t="shared" si="111"/>
        <v>1.145483034018419</v>
      </c>
      <c r="H43" s="3548">
        <f t="shared" si="111"/>
        <v>1.4584638006747641</v>
      </c>
      <c r="I43" s="3547"/>
      <c r="J43" s="3548">
        <f>IFERROR((J41-$I$41)/$I$41,0)</f>
        <v>0.41741023609847683</v>
      </c>
      <c r="K43" s="3549">
        <f t="shared" ref="K43:N43" si="112">IFERROR((K41-$I$41)/$I$41,0)</f>
        <v>0.63997517274804649</v>
      </c>
      <c r="L43" s="3548">
        <f t="shared" si="112"/>
        <v>0.89898134203006663</v>
      </c>
      <c r="M43" s="3548">
        <f t="shared" si="112"/>
        <v>1.2004990430699733</v>
      </c>
      <c r="N43" s="3548">
        <f t="shared" si="112"/>
        <v>1.5516308645352741</v>
      </c>
      <c r="O43" s="4280">
        <f t="shared" si="84"/>
        <v>2.3773404603602644</v>
      </c>
      <c r="P43" s="4280">
        <f t="shared" si="85"/>
        <v>2.7172803404112211</v>
      </c>
      <c r="R43" s="4356" t="s">
        <v>916</v>
      </c>
      <c r="S43" s="4357">
        <f>IFERROR('8. Ремонтна програма'!J50/'8. Ремонтна програма'!J$54,0)</f>
        <v>0</v>
      </c>
      <c r="T43" s="4357">
        <f>IFERROR('8. Ремонтна програма'!K50/'8. Ремонтна програма'!K$54,0)</f>
        <v>0</v>
      </c>
      <c r="U43" s="4357">
        <f>IFERROR('8. Ремонтна програма'!L50/'8. Ремонтна програма'!L$54,0)</f>
        <v>0</v>
      </c>
      <c r="V43" s="4357">
        <f>IFERROR('8. Ремонтна програма'!M50/'8. Ремонтна програма'!M$54,0)</f>
        <v>0</v>
      </c>
      <c r="W43" s="4357">
        <f>IFERROR('8. Ремонтна програма'!N50/'8. Ремонтна програма'!N$54,0)</f>
        <v>0</v>
      </c>
      <c r="X43" s="4357">
        <f>IFERROR('8. Ремонтна програма'!O50/'8. Ремонтна програма'!O$54,0)</f>
        <v>0</v>
      </c>
      <c r="Y43" s="3558">
        <f t="shared" si="74"/>
        <v>0</v>
      </c>
      <c r="Z43" s="3558">
        <f t="shared" si="75"/>
        <v>0</v>
      </c>
      <c r="AK43" s="3445" t="s">
        <v>1926</v>
      </c>
      <c r="AL43" s="4597">
        <f t="shared" ref="AL43:AL47" si="113">IFERROR(ROUND(AR43,5),"-")</f>
        <v>3.508E-2</v>
      </c>
      <c r="AM43" s="4597">
        <f t="shared" si="107"/>
        <v>3.517E-2</v>
      </c>
      <c r="AN43" s="4597">
        <f t="shared" si="108"/>
        <v>3.5229999999999997E-2</v>
      </c>
      <c r="AO43" s="4597">
        <f t="shared" si="109"/>
        <v>3.5229999999999997E-2</v>
      </c>
      <c r="AP43" s="4597">
        <f t="shared" si="110"/>
        <v>3.5209999999999998E-2</v>
      </c>
      <c r="AR43" s="4597">
        <f>IFERROR('12. Разходи'!L55/'16. Необходими приходи'!D18,"-")</f>
        <v>3.5076489602076322E-2</v>
      </c>
      <c r="AS43" s="4597">
        <f>IFERROR('12. Разходи'!M55/'16. Необходими приходи'!E18,"-")</f>
        <v>3.5171319142355377E-2</v>
      </c>
      <c r="AT43" s="4597">
        <f>IFERROR('12. Разходи'!N55/'16. Необходими приходи'!F18,"-")</f>
        <v>3.5226290757802751E-2</v>
      </c>
      <c r="AU43" s="4597">
        <f>IFERROR('12. Разходи'!O55/'16. Необходими приходи'!G18,"-")</f>
        <v>3.5228449964447017E-2</v>
      </c>
      <c r="AV43" s="4597">
        <f>IFERROR('12. Разходи'!P55/'16. Необходими приходи'!H18,"-")</f>
        <v>3.5206610651713051E-2</v>
      </c>
    </row>
    <row r="44" spans="1:48" ht="18.75" customHeight="1">
      <c r="A44" s="3436" t="s">
        <v>1546</v>
      </c>
      <c r="B44" s="3554" t="s">
        <v>170</v>
      </c>
      <c r="C44" s="3430">
        <f>IFERROR(('5. Персонал'!C42+'5. Персонал'!U42+'5. Персонал'!AA42)/('5. Персонал'!C29+'5. Персонал'!U29+'5. Персонал'!AA29),0)</f>
        <v>0.19559410945000705</v>
      </c>
      <c r="D44" s="3430">
        <f>IFERROR(('5. Персонал'!D42+'5. Персонал'!V42+'5. Персонал'!AB42)/('5. Персонал'!D29+'5. Персонал'!V29+'5. Персонал'!AB29),0)</f>
        <v>0.2008252837630092</v>
      </c>
      <c r="E44" s="3430">
        <f>IFERROR(('5. Персонал'!E42+'5. Персонал'!W42+'5. Персонал'!AC42)/('5. Персонал'!E29+'5. Персонал'!W29+'5. Персонал'!AC29),0)</f>
        <v>0.21137466168214764</v>
      </c>
      <c r="F44" s="3430">
        <f>IFERROR(('5. Персонал'!F42+'5. Персонал'!X42+'5. Персонал'!AD42)/('5. Персонал'!F29+'5. Персонал'!X29+'5. Персонал'!AD29),0)</f>
        <v>0.21132639021197741</v>
      </c>
      <c r="G44" s="3430">
        <f>IFERROR(('5. Персонал'!G42+'5. Персонал'!Y42+'5. Персонал'!AE42)/('5. Персонал'!G29+'5. Персонал'!Y29+'5. Персонал'!AE29),0)</f>
        <v>0.21129505866305104</v>
      </c>
      <c r="H44" s="3430">
        <f>IFERROR(('5. Персонал'!H42+'5. Персонал'!Z42+'5. Персонал'!AF42)/('5. Персонал'!H29+'5. Персонал'!Z29+'5. Персонал'!AF29),0)</f>
        <v>0.21119637368652516</v>
      </c>
      <c r="I44" s="3430">
        <f>IFERROR(('5. Персонал'!I42+'5. Персонал'!O42)/('5. Персонал'!I29+'5. Персонал'!O29),0)</f>
        <v>0.20050208145223541</v>
      </c>
      <c r="J44" s="3430">
        <f>IFERROR(('5. Персонал'!J42+'5. Персонал'!P42)/('5. Персонал'!J29+'5. Персонал'!P29),0)</f>
        <v>0.20625213410496732</v>
      </c>
      <c r="K44" s="3430">
        <f>IFERROR(('5. Персонал'!K42+'5. Персонал'!Q42)/('5. Персонал'!K29+'5. Персонал'!Q29),0)</f>
        <v>0.21693953835879046</v>
      </c>
      <c r="L44" s="3430">
        <f>IFERROR(('5. Персонал'!L42+'5. Персонал'!R42)/('5. Персонал'!L29+'5. Персонал'!R29),0)</f>
        <v>0.21676665527766814</v>
      </c>
      <c r="M44" s="3430">
        <f>IFERROR(('5. Персонал'!M42+'5. Персонал'!S42)/('5. Персонал'!M29+'5. Персонал'!S29),0)</f>
        <v>0.21662008248919123</v>
      </c>
      <c r="N44" s="3430">
        <f>IFERROR(('5. Персонал'!N42+'5. Персонал'!T42)/('5. Персонал'!N29+'5. Персонал'!T29),0)</f>
        <v>0.2164934671817135</v>
      </c>
      <c r="O44" s="4280">
        <f t="shared" si="84"/>
        <v>5.1642351646094126E-2</v>
      </c>
      <c r="P44" s="4280">
        <f t="shared" si="85"/>
        <v>4.965443446773788E-2</v>
      </c>
      <c r="R44" s="4358" t="s">
        <v>1355</v>
      </c>
      <c r="S44" s="4357">
        <f>IFERROR('8. Ремонтна програма'!J51/'8. Ремонтна програма'!J$54,0)</f>
        <v>0</v>
      </c>
      <c r="T44" s="4357">
        <f>IFERROR('8. Ремонтна програма'!K51/'8. Ремонтна програма'!K$54,0)</f>
        <v>0</v>
      </c>
      <c r="U44" s="4357">
        <f>IFERROR('8. Ремонтна програма'!L51/'8. Ремонтна програма'!L$54,0)</f>
        <v>0</v>
      </c>
      <c r="V44" s="4357">
        <f>IFERROR('8. Ремонтна програма'!M51/'8. Ремонтна програма'!M$54,0)</f>
        <v>0</v>
      </c>
      <c r="W44" s="4357">
        <f>IFERROR('8. Ремонтна програма'!N51/'8. Ремонтна програма'!N$54,0)</f>
        <v>0</v>
      </c>
      <c r="X44" s="4357">
        <f>IFERROR('8. Ремонтна програма'!O51/'8. Ремонтна програма'!O$54,0)</f>
        <v>0</v>
      </c>
      <c r="Y44" s="3558">
        <f t="shared" si="74"/>
        <v>0</v>
      </c>
      <c r="Z44" s="3558">
        <f t="shared" si="75"/>
        <v>0</v>
      </c>
      <c r="AK44" s="3445" t="s">
        <v>1927</v>
      </c>
      <c r="AL44" s="4597">
        <f t="shared" si="113"/>
        <v>0.20741000000000001</v>
      </c>
      <c r="AM44" s="4597">
        <f t="shared" si="107"/>
        <v>0.23541000000000001</v>
      </c>
      <c r="AN44" s="4597">
        <f t="shared" si="108"/>
        <v>0.26576</v>
      </c>
      <c r="AO44" s="4597">
        <f t="shared" si="109"/>
        <v>0.29908000000000001</v>
      </c>
      <c r="AP44" s="4597">
        <f t="shared" si="110"/>
        <v>0.33611999999999997</v>
      </c>
      <c r="AR44" s="4597">
        <f>IFERROR(('12. Разходи'!L59+'12. Разходи'!L63)/'16. Необходими приходи'!D18,"-")</f>
        <v>0.20741068328684645</v>
      </c>
      <c r="AS44" s="4597">
        <f>IFERROR(('12. Разходи'!M59+'12. Разходи'!M63)/'16. Необходими приходи'!E18,"-")</f>
        <v>0.23540986104065914</v>
      </c>
      <c r="AT44" s="4597">
        <f>IFERROR(('12. Разходи'!N59+'12. Разходи'!N63)/'16. Необходими приходи'!F18,"-")</f>
        <v>0.26575604396891328</v>
      </c>
      <c r="AU44" s="4597">
        <f>IFERROR(('12. Разходи'!O59+'12. Разходи'!O63)/'16. Необходими приходи'!G18,"-")</f>
        <v>0.29908388832667721</v>
      </c>
      <c r="AV44" s="4597">
        <f>IFERROR(('12. Разходи'!P59+'12. Разходи'!P63)/'16. Необходими приходи'!H18,"-")</f>
        <v>0.33612328095800348</v>
      </c>
    </row>
    <row r="45" spans="1:48" ht="18" customHeight="1">
      <c r="A45" s="3436" t="s">
        <v>1545</v>
      </c>
      <c r="B45" s="3554" t="s">
        <v>170</v>
      </c>
      <c r="C45" s="3430">
        <f>IFERROR(('5. Персонал'!C46+'5. Персонал'!U46+'5. Персонал'!AA46)/('5. Персонал'!C29+'5. Персонал'!U29+'5. Персонал'!AA29),0)</f>
        <v>7.5912417187515679E-2</v>
      </c>
      <c r="D45" s="3430">
        <f>IFERROR(('5. Персонал'!D46+'5. Персонал'!V46+'5. Персонал'!AB46)/('5. Персонал'!D29+'5. Персонал'!V29+'5. Персонал'!AB29),0)</f>
        <v>7.7598543094562877E-2</v>
      </c>
      <c r="E45" s="3430">
        <f>IFERROR(('5. Персонал'!E46+'5. Персонал'!W46+'5. Персонал'!AC46)/('5. Персонал'!E29+'5. Персонал'!W29+'5. Персонал'!AC29),0)</f>
        <v>7.195833864180011E-2</v>
      </c>
      <c r="F45" s="3430">
        <f>IFERROR(('5. Персонал'!F46+'5. Персонал'!X46+'5. Персонал'!AD46)/('5. Персонал'!F29+'5. Персонал'!X29+'5. Персонал'!AD29),0)</f>
        <v>7.0510545484123027E-2</v>
      </c>
      <c r="G45" s="3430">
        <f>IFERROR(('5. Персонал'!G46+'5. Персонал'!Y46+'5. Персонал'!AE46)/('5. Персонал'!G29+'5. Персонал'!Y29+'5. Персонал'!AE29),0)</f>
        <v>6.5425089919532928E-2</v>
      </c>
      <c r="H45" s="3430">
        <f>IFERROR(('5. Персонал'!H46+'5. Персонал'!Z46+'5. Персонал'!AF46)/('5. Персонал'!H29+'5. Персонал'!Z29+'5. Персонал'!AF29),0)</f>
        <v>5.7427613227256591E-2</v>
      </c>
      <c r="I45" s="3430">
        <f>IFERROR(('5. Персонал'!I46+'5. Персонал'!O46)/('5. Персонал'!I29+'5. Персонал'!O29),0)</f>
        <v>7.5589377822031512E-2</v>
      </c>
      <c r="J45" s="3430">
        <f>IFERROR(('5. Персонал'!J46+'5. Персонал'!P46)/('5. Персонал'!J29+'5. Персонал'!P29),0)</f>
        <v>7.5055293648841628E-2</v>
      </c>
      <c r="K45" s="3430">
        <f>IFERROR(('5. Персонал'!K46+'5. Персонал'!Q46)/('5. Персонал'!K29+'5. Персонал'!Q29),0)</f>
        <v>6.9549630900741941E-2</v>
      </c>
      <c r="L45" s="3430">
        <f>IFERROR(('5. Персонал'!L46+'5. Персонал'!R46)/('5. Персонал'!L29+'5. Персонал'!R29),0)</f>
        <v>6.8110774010496644E-2</v>
      </c>
      <c r="M45" s="3430">
        <f>IFERROR(('5. Персонал'!M46+'5. Персонал'!S46)/('5. Персонал'!M29+'5. Персонал'!S29),0)</f>
        <v>6.3203950449831264E-2</v>
      </c>
      <c r="N45" s="3430">
        <f>IFERROR(('5. Персонал'!N46+'5. Персонал'!T46)/('5. Персонал'!N29+'5. Персонал'!T29),0)</f>
        <v>5.5499841746017888E-2</v>
      </c>
      <c r="O45" s="4280">
        <f t="shared" si="84"/>
        <v>-0.25993954348763554</v>
      </c>
      <c r="P45" s="4280">
        <f t="shared" si="85"/>
        <v>-0.26054727058050159</v>
      </c>
      <c r="R45" s="4358" t="s">
        <v>1580</v>
      </c>
      <c r="S45" s="4357">
        <f>IFERROR('8. Ремонтна програма'!J52/'8. Ремонтна програма'!J$54,0)</f>
        <v>0</v>
      </c>
      <c r="T45" s="4357">
        <f>IFERROR('8. Ремонтна програма'!K52/'8. Ремонтна програма'!K$54,0)</f>
        <v>4.9776669369609889</v>
      </c>
      <c r="U45" s="4357">
        <f>IFERROR('8. Ремонтна програма'!L52/'8. Ремонтна програма'!L$54,0)</f>
        <v>40.498851902918787</v>
      </c>
      <c r="V45" s="4357">
        <f>IFERROR('8. Ремонтна програма'!M52/'8. Ремонтна програма'!M$54,0)</f>
        <v>-216.11891850787751</v>
      </c>
      <c r="W45" s="4357">
        <f>IFERROR('8. Ремонтна програма'!N52/'8. Ремонтна програма'!N$54,0)</f>
        <v>11.981202465586319</v>
      </c>
      <c r="X45" s="4357">
        <f>IFERROR('8. Ремонтна програма'!O52/'8. Ремонтна програма'!O$54,0)</f>
        <v>276.2798467998698</v>
      </c>
      <c r="Y45" s="3558">
        <f t="shared" si="74"/>
        <v>0</v>
      </c>
      <c r="Z45" s="3558">
        <f t="shared" si="75"/>
        <v>54.503883706720387</v>
      </c>
      <c r="AK45" s="3447" t="s">
        <v>1928</v>
      </c>
      <c r="AL45" s="4366">
        <f t="shared" si="113"/>
        <v>8.9999999999999998E-4</v>
      </c>
      <c r="AM45" s="4366">
        <f t="shared" si="107"/>
        <v>8.8999999999999995E-4</v>
      </c>
      <c r="AN45" s="4366">
        <f t="shared" si="108"/>
        <v>8.8999999999999995E-4</v>
      </c>
      <c r="AO45" s="4366">
        <f t="shared" si="109"/>
        <v>8.8999999999999995E-4</v>
      </c>
      <c r="AP45" s="4366">
        <f t="shared" si="110"/>
        <v>8.9999999999999998E-4</v>
      </c>
      <c r="AR45" s="4366">
        <f>IFERROR('12. Разходи'!L89/'16. Необходими приходи'!D18,"-")</f>
        <v>9.0025789555209571E-4</v>
      </c>
      <c r="AS45" s="4366">
        <f>IFERROR('12. Разходи'!M89/'16. Необходими приходи'!E18,"-")</f>
        <v>8.9099528416145489E-4</v>
      </c>
      <c r="AT45" s="4366">
        <f>IFERROR('12. Разходи'!N89/'16. Необходими приходи'!F18,"-")</f>
        <v>8.915370449869332E-4</v>
      </c>
      <c r="AU45" s="4366">
        <f>IFERROR('12. Разходи'!O89/'16. Необходими приходи'!G18,"-")</f>
        <v>8.9381435831413438E-4</v>
      </c>
      <c r="AV45" s="4366">
        <f>IFERROR('12. Разходи'!P89/'16. Необходими приходи'!H18,"-")</f>
        <v>8.9735407328469022E-4</v>
      </c>
    </row>
    <row r="46" spans="1:48" ht="24.75" customHeight="1">
      <c r="R46" s="4354" t="s">
        <v>1858</v>
      </c>
      <c r="S46" s="4355" t="str">
        <f>+'15. ОПП'!$B$7</f>
        <v>2024 г.</v>
      </c>
      <c r="T46" s="4355" t="str">
        <f>+'15. ОПП'!$C$7</f>
        <v>2027 г.</v>
      </c>
      <c r="U46" s="4355" t="str">
        <f>+'15. ОПП'!$D$7</f>
        <v>2028 г.</v>
      </c>
      <c r="V46" s="4355" t="str">
        <f>+'15. ОПП'!$E$7</f>
        <v>2029 г.</v>
      </c>
      <c r="W46" s="4355" t="str">
        <f>+'15. ОПП'!$F$7</f>
        <v>2030 г.</v>
      </c>
      <c r="X46" s="4355" t="str">
        <f>+'15. ОПП'!$G$7</f>
        <v>2031 г.</v>
      </c>
      <c r="Y46" s="4355" t="str">
        <f>+Y33</f>
        <v>Изменение 2027 г.спрямо 2024 г.</v>
      </c>
      <c r="Z46" s="4355" t="str">
        <f>+Z33</f>
        <v>Изменение 2031 г.спрямо 2027 г.</v>
      </c>
      <c r="AK46" s="3445" t="s">
        <v>1929</v>
      </c>
      <c r="AL46" s="4597">
        <f t="shared" si="113"/>
        <v>9.0000000000000006E-5</v>
      </c>
      <c r="AM46" s="4597">
        <f t="shared" si="107"/>
        <v>8.0000000000000007E-5</v>
      </c>
      <c r="AN46" s="4597">
        <f t="shared" si="108"/>
        <v>8.0000000000000007E-5</v>
      </c>
      <c r="AO46" s="4597">
        <f t="shared" si="109"/>
        <v>8.0000000000000007E-5</v>
      </c>
      <c r="AP46" s="4597">
        <f t="shared" si="110"/>
        <v>8.0000000000000007E-5</v>
      </c>
      <c r="AR46" s="4597">
        <f>IFERROR('12. Разходи'!L17/'16. Необходими приходи'!D18,"-")</f>
        <v>8.5103681856852462E-5</v>
      </c>
      <c r="AS46" s="4597">
        <f>IFERROR('12. Разходи'!M17/'16. Необходими приходи'!E18,"-")</f>
        <v>8.4852518186581541E-5</v>
      </c>
      <c r="AT46" s="4597">
        <f>IFERROR('12. Разходи'!N17/'16. Необходими приходи'!F18,"-")</f>
        <v>8.4489736554152898E-5</v>
      </c>
      <c r="AU46" s="4597">
        <f>IFERROR('12. Разходи'!O17/'16. Необходими приходи'!G18,"-")</f>
        <v>8.3985502637106663E-5</v>
      </c>
      <c r="AV46" s="4597">
        <f>IFERROR('12. Разходи'!P17/'16. Необходими приходи'!H18,"-")</f>
        <v>8.3460240546894107E-5</v>
      </c>
    </row>
    <row r="47" spans="1:48" ht="20.399999999999999">
      <c r="R47" s="4358" t="s">
        <v>1581</v>
      </c>
      <c r="S47" s="4357">
        <f>IFERROR('8. Ремонтна програма'!J71/'8. Ремонтна програма'!J$80,0)</f>
        <v>0</v>
      </c>
      <c r="T47" s="4357">
        <f>IFERROR('8. Ремонтна програма'!K71/'8. Ремонтна програма'!K$80,0)</f>
        <v>18.306336053531616</v>
      </c>
      <c r="U47" s="4357">
        <f>IFERROR('8. Ремонтна програма'!L71/'8. Ремонтна програма'!L$80,0)</f>
        <v>-293.94934884985554</v>
      </c>
      <c r="V47" s="4357">
        <f>IFERROR('8. Ремонтна програма'!M71/'8. Ремонтна програма'!M$80,0)</f>
        <v>86.371015154325491</v>
      </c>
      <c r="W47" s="4357">
        <f>IFERROR('8. Ремонтна програма'!N71/'8. Ремонтна програма'!N$80,0)</f>
        <v>83.714610659175619</v>
      </c>
      <c r="X47" s="4357">
        <f>IFERROR('8. Ремонтна програма'!O71/'8. Ремонтна програма'!O$80,0)</f>
        <v>77.739186183289505</v>
      </c>
      <c r="Y47" s="3558">
        <f t="shared" ref="Y47:Y48" si="114">IFERROR((T47-S47)/S47,0)</f>
        <v>0</v>
      </c>
      <c r="Z47" s="3558">
        <f t="shared" si="75"/>
        <v>3.2465726596498397</v>
      </c>
      <c r="AK47" s="3447" t="s">
        <v>1930</v>
      </c>
      <c r="AL47" s="4366">
        <f t="shared" si="113"/>
        <v>2.632E-2</v>
      </c>
      <c r="AM47" s="4598">
        <f t="shared" si="107"/>
        <v>2.819E-2</v>
      </c>
      <c r="AN47" s="4598">
        <f t="shared" si="108"/>
        <v>3.032E-2</v>
      </c>
      <c r="AO47" s="4598">
        <f t="shared" si="109"/>
        <v>3.2379999999999999E-2</v>
      </c>
      <c r="AP47" s="4598">
        <f t="shared" si="110"/>
        <v>3.4229999999999997E-2</v>
      </c>
      <c r="AR47" s="4366">
        <f>IFERROR('16. Необходими приходи'!D15/'16. Необходими приходи'!D18,"-")</f>
        <v>2.6317256156999577E-2</v>
      </c>
      <c r="AS47" s="4598">
        <f>IFERROR('16. Необходими приходи'!E15/'16. Необходими приходи'!E18,"-")</f>
        <v>2.8186492116476697E-2</v>
      </c>
      <c r="AT47" s="4598">
        <f>IFERROR('16. Необходими приходи'!F15/'16. Необходими приходи'!F18,"-")</f>
        <v>3.0316809187356533E-2</v>
      </c>
      <c r="AU47" s="4598">
        <f>IFERROR('16. Необходими приходи'!G15/'16. Необходими приходи'!G18,"-")</f>
        <v>3.2379218986233166E-2</v>
      </c>
      <c r="AV47" s="4598">
        <f>IFERROR('16. Необходими приходи'!H15/'16. Необходими приходи'!H18,"-")</f>
        <v>3.4232532561576136E-2</v>
      </c>
    </row>
    <row r="48" spans="1:48" ht="14.25" customHeight="1">
      <c r="R48" s="4358" t="s">
        <v>1582</v>
      </c>
      <c r="S48" s="4357">
        <f>IFERROR('8. Ремонтна програма'!J72/'8. Ремонтна програма'!J$80,0)</f>
        <v>0</v>
      </c>
      <c r="T48" s="4357">
        <f>IFERROR('8. Ремонтна програма'!K72/'8. Ремонтна програма'!K$80,0)</f>
        <v>55.941875972004773</v>
      </c>
      <c r="U48" s="4357">
        <f>IFERROR('8. Ремонтна програма'!L72/'8. Ремонтна програма'!L$80,0)</f>
        <v>-776.9021964777279</v>
      </c>
      <c r="V48" s="4357">
        <f>IFERROR('8. Ремонтна програма'!M72/'8. Ремонтна програма'!M$80,0)</f>
        <v>217.8479219962276</v>
      </c>
      <c r="W48" s="4357">
        <f>IFERROR('8. Ремонтна програма'!N72/'8. Ремонтна програма'!N$80,0)</f>
        <v>231.97277356807672</v>
      </c>
      <c r="X48" s="4357">
        <f>IFERROR('8. Ремонтна програма'!O72/'8. Ремонтна програма'!O$80,0)</f>
        <v>293.13130302867467</v>
      </c>
      <c r="Y48" s="3558">
        <f t="shared" si="114"/>
        <v>0</v>
      </c>
      <c r="Z48" s="3558">
        <f t="shared" si="75"/>
        <v>4.2399262258449752</v>
      </c>
      <c r="AK48" s="5612" t="s">
        <v>184</v>
      </c>
      <c r="AL48" s="5613"/>
      <c r="AM48" s="5613"/>
      <c r="AN48" s="5613"/>
      <c r="AO48" s="5613"/>
      <c r="AP48" s="5614"/>
      <c r="AR48" s="4590"/>
      <c r="AS48" s="4590"/>
      <c r="AT48" s="4590"/>
      <c r="AU48" s="4590"/>
      <c r="AV48" s="4591"/>
    </row>
    <row r="49" spans="18:48" ht="20.399999999999999">
      <c r="R49" s="4358" t="s">
        <v>1583</v>
      </c>
      <c r="S49" s="4357">
        <f>IFERROR('8. Ремонтна програма'!J73/'8. Ремонтна програма'!J$80,0)</f>
        <v>0</v>
      </c>
      <c r="T49" s="4357">
        <f>IFERROR('8. Ремонтна програма'!K73/'8. Ремонтна програма'!K$80,0)</f>
        <v>0.91198925180159429</v>
      </c>
      <c r="U49" s="4357">
        <f>IFERROR('8. Ремонтна програма'!L73/'8. Ремонтна програма'!L$80,0)</f>
        <v>-16.26821237580868</v>
      </c>
      <c r="V49" s="4357">
        <f>IFERROR('8. Ремонтна програма'!M73/'8. Ремонтна програма'!M$80,0)</f>
        <v>4.0246336593938263</v>
      </c>
      <c r="W49" s="4357">
        <f>IFERROR('8. Ремонтна програма'!N73/'8. Ремонтна програма'!N$80,0)</f>
        <v>3.6398144969641848</v>
      </c>
      <c r="X49" s="4357">
        <f>IFERROR('8. Ремонтна програма'!O73/'8. Ремонтна програма'!O$80,0)</f>
        <v>4.0395748154004574</v>
      </c>
      <c r="Y49" s="3558">
        <f t="shared" ref="Y49:Y55" si="115">IFERROR((T49-S49)/S49,0)</f>
        <v>0</v>
      </c>
      <c r="Z49" s="3558">
        <f t="shared" si="75"/>
        <v>3.4294105521753204</v>
      </c>
      <c r="AK49" s="1461" t="s">
        <v>608</v>
      </c>
      <c r="AL49" s="3545">
        <f>AR49</f>
        <v>1.492</v>
      </c>
      <c r="AM49" s="3545">
        <f t="shared" ref="AM49:AP49" si="116">AS49</f>
        <v>1.6240000000000001</v>
      </c>
      <c r="AN49" s="3545">
        <f t="shared" si="116"/>
        <v>1.7669999999999999</v>
      </c>
      <c r="AO49" s="3545">
        <f t="shared" si="116"/>
        <v>1.9259999999999999</v>
      </c>
      <c r="AP49" s="3545">
        <f t="shared" si="116"/>
        <v>2.1040000000000001</v>
      </c>
      <c r="AR49" s="3545">
        <f>AL9</f>
        <v>1.492</v>
      </c>
      <c r="AS49" s="3545">
        <f>AM9</f>
        <v>1.6240000000000001</v>
      </c>
      <c r="AT49" s="3545">
        <f>AN9</f>
        <v>1.7669999999999999</v>
      </c>
      <c r="AU49" s="3545">
        <f>AO9</f>
        <v>1.9259999999999999</v>
      </c>
      <c r="AV49" s="3545">
        <f>AP9</f>
        <v>2.1040000000000001</v>
      </c>
    </row>
    <row r="50" spans="18:48" ht="20.25" customHeight="1">
      <c r="R50" s="4358" t="s">
        <v>1584</v>
      </c>
      <c r="S50" s="4357">
        <f>IFERROR('8. Ремонтна програма'!J74/'8. Ремонтна програма'!J$80,0)</f>
        <v>0</v>
      </c>
      <c r="T50" s="4357">
        <f>IFERROR('8. Ремонтна програма'!K74/'8. Ремонтна програма'!K$80,0)</f>
        <v>2.572921014733248</v>
      </c>
      <c r="U50" s="4357">
        <f>IFERROR('8. Ремонтна програма'!L74/'8. Ремонтна програма'!L$80,0)</f>
        <v>-44.304082203562125</v>
      </c>
      <c r="V50" s="4357">
        <f>IFERROR('8. Ремонтна програма'!M74/'8. Ремонтна програма'!M$80,0)</f>
        <v>10.553665239373849</v>
      </c>
      <c r="W50" s="4357">
        <f>IFERROR('8. Ремонтна програма'!N74/'8. Ремонтна програма'!N$80,0)</f>
        <v>9.1634346917660494</v>
      </c>
      <c r="X50" s="4357">
        <f>IFERROR('8. Ремонтна програма'!O74/'8. Ремонтна програма'!O$80,0)</f>
        <v>9.7349326545926793</v>
      </c>
      <c r="Y50" s="3558">
        <f t="shared" si="115"/>
        <v>0</v>
      </c>
      <c r="Z50" s="3558">
        <f t="shared" si="75"/>
        <v>2.7836111558993832</v>
      </c>
      <c r="AK50" s="3447" t="s">
        <v>1925</v>
      </c>
      <c r="AL50" s="4366">
        <f>IFERROR(ROUND(AR50,5),"-")</f>
        <v>1.1213200000000001</v>
      </c>
      <c r="AM50" s="4366">
        <f t="shared" ref="AM50:AM55" si="117">IFERROR(ROUND(AS50,5),"-")</f>
        <v>1.2528999999999999</v>
      </c>
      <c r="AN50" s="4366">
        <f t="shared" ref="AN50:AN55" si="118">IFERROR(ROUND(AT50,5),"-")</f>
        <v>1.3965700000000001</v>
      </c>
      <c r="AO50" s="4366">
        <f t="shared" ref="AO50:AO55" si="119">IFERROR(ROUND(AU50,5),"-")</f>
        <v>1.5561199999999999</v>
      </c>
      <c r="AP50" s="4366">
        <f t="shared" ref="AP50:AP55" si="120">IFERROR(ROUND(AV50,5),"-")</f>
        <v>1.73394</v>
      </c>
      <c r="AR50" s="4366">
        <f>IFERROR(('12. Разходи'!T88-'12. Разходи'!T89)/AR57,"-")</f>
        <v>1.1213235903046885</v>
      </c>
      <c r="AS50" s="4366">
        <f>IFERROR(('12. Разходи'!U88-'12. Разходи'!U89)/AS57,"-")</f>
        <v>1.2529039288180721</v>
      </c>
      <c r="AT50" s="4366">
        <f>IFERROR(('12. Разходи'!V88-'12. Разходи'!V89)/AT57,"-")</f>
        <v>1.3965707647835663</v>
      </c>
      <c r="AU50" s="4366">
        <f>IFERROR(('12. Разходи'!W88-'12. Разходи'!W89)/AU57,"-")</f>
        <v>1.5561219748515089</v>
      </c>
      <c r="AV50" s="4366">
        <f>IFERROR(('12. Разходи'!X88-'12. Разходи'!X89)/AV57,"-")</f>
        <v>1.7339433478669362</v>
      </c>
    </row>
    <row r="51" spans="18:48" ht="22.5" customHeight="1">
      <c r="R51" s="4358" t="s">
        <v>1585</v>
      </c>
      <c r="S51" s="4357">
        <f>IFERROR('8. Ремонтна програма'!J75/'8. Ремонтна програма'!J$80,0)</f>
        <v>0</v>
      </c>
      <c r="T51" s="4357">
        <f>IFERROR('8. Ремонтна програма'!K75/'8. Ремонтна програма'!K$80,0)</f>
        <v>28.440669189325721</v>
      </c>
      <c r="U51" s="4357">
        <f>IFERROR('8. Ремонтна програма'!L75/'8. Ремонтна програма'!L$80,0)</f>
        <v>-608.2567910035018</v>
      </c>
      <c r="V51" s="4357">
        <f>IFERROR('8. Ремонтна програма'!M75/'8. Ремонтна програма'!M$80,0)</f>
        <v>150.34060264511749</v>
      </c>
      <c r="W51" s="4357">
        <f>IFERROR('8. Ремонтна програма'!N75/'8. Ремонтна програма'!N$80,0)</f>
        <v>113.19730887350144</v>
      </c>
      <c r="X51" s="4357">
        <f>IFERROR('8. Ремонтна програма'!O75/'8. Ремонтна програма'!O$80,0)</f>
        <v>175.7100843251034</v>
      </c>
      <c r="Y51" s="3558">
        <f t="shared" si="115"/>
        <v>0</v>
      </c>
      <c r="Z51" s="3558">
        <f t="shared" si="75"/>
        <v>5.1781276367101254</v>
      </c>
      <c r="AK51" s="3445" t="s">
        <v>1926</v>
      </c>
      <c r="AL51" s="4597">
        <f t="shared" ref="AL51:AL55" si="121">IFERROR(ROUND(AR51,5),"-")</f>
        <v>4.7219999999999998E-2</v>
      </c>
      <c r="AM51" s="4597">
        <f t="shared" si="117"/>
        <v>4.7280000000000003E-2</v>
      </c>
      <c r="AN51" s="4597">
        <f t="shared" si="118"/>
        <v>4.5620000000000001E-2</v>
      </c>
      <c r="AO51" s="4597">
        <f t="shared" si="119"/>
        <v>4.5069999999999999E-2</v>
      </c>
      <c r="AP51" s="4597">
        <f t="shared" si="120"/>
        <v>4.5039999999999997E-2</v>
      </c>
      <c r="AR51" s="4597">
        <f>IFERROR('12. Разходи'!T55/AR57,"-")</f>
        <v>4.7222404403352056E-2</v>
      </c>
      <c r="AS51" s="4597">
        <f>IFERROR('12. Разходи'!U55/AS57,"-")</f>
        <v>4.7280471722525204E-2</v>
      </c>
      <c r="AT51" s="4597">
        <f>IFERROR('12. Разходи'!V55/AT57,"-")</f>
        <v>4.5618405547909677E-2</v>
      </c>
      <c r="AU51" s="4597">
        <f>IFERROR('12. Разходи'!W55/AU57,"-")</f>
        <v>4.5067714053439165E-2</v>
      </c>
      <c r="AV51" s="4597">
        <f>IFERROR('12. Разходи'!X55/AV57,"-")</f>
        <v>4.5042124474426397E-2</v>
      </c>
    </row>
    <row r="52" spans="18:48" ht="20.399999999999999">
      <c r="R52" s="4358" t="s">
        <v>914</v>
      </c>
      <c r="S52" s="4357">
        <f>IFERROR('8. Ремонтна програма'!J76/'8. Ремонтна програма'!J$80,0)</f>
        <v>0</v>
      </c>
      <c r="T52" s="4357">
        <f>IFERROR('8. Ремонтна програма'!K76/'8. Ремонтна програма'!K$80,0)</f>
        <v>0</v>
      </c>
      <c r="U52" s="4357">
        <f>IFERROR('8. Ремонтна програма'!L76/'8. Ремонтна програма'!L$80,0)</f>
        <v>0</v>
      </c>
      <c r="V52" s="4357">
        <f>IFERROR('8. Ремонтна програма'!M76/'8. Ремонтна програма'!M$80,0)</f>
        <v>0</v>
      </c>
      <c r="W52" s="4357">
        <f>IFERROR('8. Ремонтна програма'!N76/'8. Ремонтна програма'!N$80,0)</f>
        <v>0</v>
      </c>
      <c r="X52" s="4357">
        <f>IFERROR('8. Ремонтна програма'!O76/'8. Ремонтна програма'!O$80,0)</f>
        <v>0</v>
      </c>
      <c r="Y52" s="3558">
        <f t="shared" si="115"/>
        <v>0</v>
      </c>
      <c r="Z52" s="3558">
        <f t="shared" si="75"/>
        <v>0</v>
      </c>
      <c r="AK52" s="3445" t="s">
        <v>1927</v>
      </c>
      <c r="AL52" s="4597">
        <f t="shared" si="121"/>
        <v>0.94071000000000005</v>
      </c>
      <c r="AM52" s="4597">
        <f t="shared" si="117"/>
        <v>1.07365</v>
      </c>
      <c r="AN52" s="4597">
        <f t="shared" si="118"/>
        <v>1.21879</v>
      </c>
      <c r="AO52" s="4597">
        <f t="shared" si="119"/>
        <v>1.3785400000000001</v>
      </c>
      <c r="AP52" s="4597">
        <f t="shared" si="120"/>
        <v>1.5562400000000001</v>
      </c>
      <c r="AR52" s="4597">
        <f>IFERROR(('12. Разходи'!T59+'12. Разходи'!T63)/AR57,"-")</f>
        <v>0.94071486816263605</v>
      </c>
      <c r="AS52" s="4597">
        <f>IFERROR(('12. Разходи'!U59+'12. Разходи'!U63)/AS57,"-")</f>
        <v>1.073652485595773</v>
      </c>
      <c r="AT52" s="4597">
        <f>IFERROR(('12. Разходи'!V59+'12. Разходи'!V63)/AT57,"-")</f>
        <v>1.2187905476054401</v>
      </c>
      <c r="AU52" s="4597">
        <f>IFERROR(('12. Разходи'!W59+'12. Разходи'!W63)/AU57,"-")</f>
        <v>1.3785372608712929</v>
      </c>
      <c r="AV52" s="4597">
        <f>IFERROR(('12. Разходи'!X59+'12. Разходи'!X63)/AV57,"-")</f>
        <v>1.5562395942916671</v>
      </c>
    </row>
    <row r="53" spans="18:48" ht="30.6">
      <c r="R53" s="4358" t="s">
        <v>918</v>
      </c>
      <c r="S53" s="4357">
        <f>IFERROR('8. Ремонтна програма'!J77/'8. Ремонтна програма'!J$80,0)</f>
        <v>0</v>
      </c>
      <c r="T53" s="4357">
        <f>IFERROR('8. Ремонтна програма'!K77/'8. Ремонтна програма'!K$80,0)</f>
        <v>9.6688122866264923</v>
      </c>
      <c r="U53" s="4357">
        <f>IFERROR('8. Ремонтна програма'!L77/'8. Ремонтна програма'!L$80,0)</f>
        <v>-173.10826724717884</v>
      </c>
      <c r="V53" s="4357">
        <f>IFERROR('8. Ремонтна програма'!M77/'8. Ремонтна програма'!M$80,0)</f>
        <v>42.987801582780506</v>
      </c>
      <c r="W53" s="4357">
        <f>IFERROR('8. Ремонтна програма'!N77/'8. Ремонтна програма'!N$80,0)</f>
        <v>39.02935637518685</v>
      </c>
      <c r="X53" s="4357">
        <f>IFERROR('8. Ремонтна програма'!O77/'8. Ремонтна програма'!O$80,0)</f>
        <v>43.489253261333559</v>
      </c>
      <c r="Y53" s="3558">
        <f t="shared" si="115"/>
        <v>0</v>
      </c>
      <c r="Z53" s="3558">
        <f t="shared" si="75"/>
        <v>3.4978899136852752</v>
      </c>
      <c r="AK53" s="3447" t="s">
        <v>1928</v>
      </c>
      <c r="AL53" s="4366">
        <f t="shared" si="121"/>
        <v>0.32206000000000001</v>
      </c>
      <c r="AM53" s="4366">
        <f t="shared" si="117"/>
        <v>0.31967000000000001</v>
      </c>
      <c r="AN53" s="4366">
        <f t="shared" si="118"/>
        <v>0.31629000000000002</v>
      </c>
      <c r="AO53" s="4366">
        <f t="shared" si="119"/>
        <v>0.31253999999999998</v>
      </c>
      <c r="AP53" s="4366">
        <f t="shared" si="120"/>
        <v>0.30979000000000001</v>
      </c>
      <c r="AR53" s="4366">
        <f>IFERROR('12. Разходи'!T89/AR57,"-")</f>
        <v>0.32205838694247296</v>
      </c>
      <c r="AS53" s="4366">
        <f>IFERROR('12. Разходи'!U89/AS57,"-")</f>
        <v>0.31966737822476221</v>
      </c>
      <c r="AT53" s="4366">
        <f>IFERROR('12. Разходи'!V89/AT57,"-")</f>
        <v>0.31628717654452432</v>
      </c>
      <c r="AU53" s="4366">
        <f>IFERROR('12. Разходи'!W89/AU57,"-")</f>
        <v>0.31253987315657344</v>
      </c>
      <c r="AV53" s="4366">
        <f>IFERROR('12. Разходи'!X89/AV57,"-")</f>
        <v>0.30979496310862342</v>
      </c>
    </row>
    <row r="54" spans="18:48" ht="20.399999999999999">
      <c r="R54" s="4358" t="s">
        <v>1360</v>
      </c>
      <c r="S54" s="4357">
        <f>IFERROR('8. Ремонтна програма'!J78/'8. Ремонтна програма'!J$80,0)</f>
        <v>0</v>
      </c>
      <c r="T54" s="4357">
        <f>IFERROR('8. Ремонтна програма'!K78/'8. Ремонтна програма'!K$80,0)</f>
        <v>30.953285469972176</v>
      </c>
      <c r="U54" s="4357">
        <f>IFERROR('8. Ремонтна програма'!L78/'8. Ремонтна програма'!L$80,0)</f>
        <v>-530.96488192731249</v>
      </c>
      <c r="V54" s="4357">
        <f>IFERROR('8. Ремонтна програма'!M78/'8. Ремонтна програма'!M$80,0)</f>
        <v>125.943325875037</v>
      </c>
      <c r="W54" s="4357">
        <f>IFERROR('8. Ремонтна програма'!N78/'8. Ремонтна програма'!N$80,0)</f>
        <v>108.8297091110958</v>
      </c>
      <c r="X54" s="4357">
        <f>IFERROR('8. Ремонтна програма'!O78/'8. Ремонтна програма'!O$80,0)</f>
        <v>114.99530670872277</v>
      </c>
      <c r="Y54" s="3558">
        <f t="shared" si="115"/>
        <v>0</v>
      </c>
      <c r="Z54" s="3558">
        <f t="shared" si="75"/>
        <v>2.7151244193537991</v>
      </c>
      <c r="AK54" s="3445" t="s">
        <v>1929</v>
      </c>
      <c r="AL54" s="4597">
        <f t="shared" si="121"/>
        <v>0.22198000000000001</v>
      </c>
      <c r="AM54" s="4597">
        <f t="shared" si="117"/>
        <v>0.21908</v>
      </c>
      <c r="AN54" s="4597">
        <f t="shared" si="118"/>
        <v>0.21606</v>
      </c>
      <c r="AO54" s="4597">
        <f t="shared" si="119"/>
        <v>0.21279000000000001</v>
      </c>
      <c r="AP54" s="4597">
        <f t="shared" si="120"/>
        <v>0.21023</v>
      </c>
      <c r="AR54" s="4597">
        <f>IFERROR('12. Разходи'!T17/AR57,"-")</f>
        <v>0.22198301033852841</v>
      </c>
      <c r="AS54" s="4597">
        <f>IFERROR('12. Разходи'!U17/AS57,"-")</f>
        <v>0.2190795251264295</v>
      </c>
      <c r="AT54" s="4597">
        <f>IFERROR('12. Разходи'!V17/AT57,"-")</f>
        <v>0.21605868815238258</v>
      </c>
      <c r="AU54" s="4597">
        <f>IFERROR('12. Разходи'!W17/AU57,"-")</f>
        <v>0.21279227780882376</v>
      </c>
      <c r="AV54" s="4597">
        <f>IFERROR('12. Разходи'!X17/AV57,"-")</f>
        <v>0.21022811912831191</v>
      </c>
    </row>
    <row r="55" spans="18:48" ht="20.399999999999999">
      <c r="R55" s="4358" t="s">
        <v>1580</v>
      </c>
      <c r="S55" s="4357">
        <f>IFERROR('8. Ремонтна програма'!J79/'8. Ремонтна програма'!J$80,0)</f>
        <v>0</v>
      </c>
      <c r="T55" s="4357">
        <f>IFERROR('8. Ремонтна програма'!K79/'8. Ремонтна програма'!K$80,0)</f>
        <v>179.37290841931278</v>
      </c>
      <c r="U55" s="4357">
        <f>IFERROR('8. Ремонтна програма'!L79/'8. Ремонтна програма'!L$80,0)</f>
        <v>-3011.2545198390926</v>
      </c>
      <c r="V55" s="4357">
        <f>IFERROR('8. Ремонтна програма'!M79/'8. Ремонтна програма'!M$80,0)</f>
        <v>757.52673103618861</v>
      </c>
      <c r="W55" s="4357">
        <f>IFERROR('8. Ремонтна програма'!N79/'8. Ремонтна програма'!N$80,0)</f>
        <v>700.87754688057714</v>
      </c>
      <c r="X55" s="4357">
        <f>IFERROR('8. Ремонтна програма'!O79/'8. Ремонтна програма'!O$80,0)</f>
        <v>789.52068971582446</v>
      </c>
      <c r="Y55" s="3558">
        <f t="shared" si="115"/>
        <v>0</v>
      </c>
      <c r="Z55" s="3558">
        <f t="shared" si="75"/>
        <v>3.4015603954538882</v>
      </c>
      <c r="AK55" s="3447" t="s">
        <v>1930</v>
      </c>
      <c r="AL55" s="4366">
        <f t="shared" si="121"/>
        <v>4.8919999999999998E-2</v>
      </c>
      <c r="AM55" s="4598">
        <f t="shared" si="117"/>
        <v>5.117E-2</v>
      </c>
      <c r="AN55" s="4598">
        <f t="shared" si="118"/>
        <v>5.3929999999999999E-2</v>
      </c>
      <c r="AO55" s="4598">
        <f t="shared" si="119"/>
        <v>5.6919999999999998E-2</v>
      </c>
      <c r="AP55" s="4598">
        <f t="shared" si="120"/>
        <v>5.9950000000000003E-2</v>
      </c>
      <c r="AR55" s="4366">
        <f>IFERROR('16. Необходими приходи'!D23/AR57,"-")</f>
        <v>4.8915232642323787E-2</v>
      </c>
      <c r="AS55" s="4366">
        <f>IFERROR('16. Необходими приходи'!E23/AS57,"-")</f>
        <v>5.1168242257447046E-2</v>
      </c>
      <c r="AT55" s="4366">
        <f>IFERROR('16. Необходими приходи'!F23/AT57,"-")</f>
        <v>5.3930476143173187E-2</v>
      </c>
      <c r="AU55" s="4366">
        <f>IFERROR('16. Необходими приходи'!G23/AU57,"-")</f>
        <v>5.6922608169171142E-2</v>
      </c>
      <c r="AV55" s="4366">
        <f>IFERROR('16. Необходими приходи'!H23/AV57,"-")</f>
        <v>5.9946741332026071E-2</v>
      </c>
    </row>
    <row r="56" spans="18:48">
      <c r="AK56" s="1326"/>
      <c r="AL56"/>
      <c r="AM56"/>
      <c r="AN56"/>
      <c r="AO56"/>
      <c r="AP56"/>
      <c r="AQ56"/>
      <c r="AR56"/>
      <c r="AS56"/>
      <c r="AT56"/>
      <c r="AU56"/>
      <c r="AV56"/>
    </row>
    <row r="57" spans="18:48">
      <c r="AK57" s="1"/>
      <c r="AL57" s="3165"/>
      <c r="AM57" s="3165"/>
      <c r="AN57" s="3165"/>
      <c r="AO57" s="3165"/>
      <c r="AP57" s="3165"/>
      <c r="AQ57" s="4592" t="s">
        <v>1931</v>
      </c>
      <c r="AR57" s="4593">
        <f>'16. Необходими приходи'!D27+'16. Необходими приходи'!D29*'16. Необходими приходи'!D49+'16. Необходими приходи'!D30*'16. Необходими приходи'!D50+'16. Необходими приходи'!D31*'16. Необходими приходи'!D51</f>
        <v>2035.2644860942769</v>
      </c>
      <c r="AS57" s="4593">
        <f>'16. Необходими приходи'!E27+'16. Необходими приходи'!E29*'16. Необходими приходи'!E49+'16. Необходими приходи'!E30*'16. Необходими приходи'!E50+'16. Необходими приходи'!E31*'16. Необходими приходи'!E51</f>
        <v>2042.5668226656287</v>
      </c>
      <c r="AT57" s="4593">
        <f>'16. Необходими приходи'!F27+'16. Необходими приходи'!F29*'16. Необходими приходи'!F49+'16. Необходими приходи'!F30*'16. Необходими приходи'!F50+'16. Необходими приходи'!F31*'16. Необходими приходи'!F51</f>
        <v>2051.3483640978707</v>
      </c>
      <c r="AU57" s="4593">
        <f>'16. Необходими приходи'!G27+'16. Необходими приходи'!G29*'16. Необходими приходи'!G49+'16. Необходими приходи'!G30*'16. Необходими приходи'!G50+'16. Необходими приходи'!G31*'16. Необходими приходи'!G51</f>
        <v>2062.9253571619802</v>
      </c>
      <c r="AV57" s="4593">
        <f>'16. Необходими приходи'!H27+'16. Необходими приходи'!H29*'16. Необходими приходи'!H49+'16. Необходими приходи'!H30*'16. Необходими приходи'!H50+'16. Необходими приходи'!H31*'16. Необходими приходи'!H51</f>
        <v>2074.9696417020555</v>
      </c>
    </row>
    <row r="58" spans="18:48">
      <c r="AK58" s="1" t="s">
        <v>1932</v>
      </c>
      <c r="AL58" s="3165"/>
      <c r="AM58" s="3165"/>
      <c r="AN58" s="3165"/>
      <c r="AO58" s="3165"/>
      <c r="AP58" s="3165"/>
      <c r="AQ58" s="4594"/>
      <c r="AR58" s="3165"/>
      <c r="AS58" s="3165"/>
      <c r="AT58" s="3165"/>
      <c r="AU58" s="3165"/>
      <c r="AV58" s="3165"/>
    </row>
    <row r="59" spans="18:48">
      <c r="AK59" s="4595" t="s">
        <v>1933</v>
      </c>
      <c r="AL59" s="4596">
        <f>IFERROR(AL33-AL34-AL37-AL39,0)</f>
        <v>4.0000000000012248E-4</v>
      </c>
      <c r="AM59" s="4596">
        <f t="shared" ref="AM59:AP59" si="122">IFERROR(AM33-AM34-AM37-AM39,0)</f>
        <v>2.1000000000018226E-4</v>
      </c>
      <c r="AN59" s="4596">
        <f t="shared" si="122"/>
        <v>3.9000000000000146E-4</v>
      </c>
      <c r="AO59" s="4596">
        <f t="shared" si="122"/>
        <v>-2.9999999999977267E-4</v>
      </c>
      <c r="AP59" s="4596">
        <f t="shared" si="122"/>
        <v>-5.9999999999948983E-5</v>
      </c>
      <c r="AQ59" s="3165"/>
      <c r="AR59" s="3165"/>
      <c r="AS59" s="3165"/>
      <c r="AT59" s="3165"/>
      <c r="AU59" s="3165"/>
      <c r="AV59" s="3165"/>
    </row>
    <row r="60" spans="18:48">
      <c r="AK60" s="4595" t="s">
        <v>1934</v>
      </c>
      <c r="AL60" s="4596">
        <f>IFERROR(AL41-AL42-AL45-AL47,0)</f>
        <v>-2.0000000000001267E-4</v>
      </c>
      <c r="AM60" s="4596">
        <f t="shared" ref="AM60:AP60" si="123">IFERROR(AM41-AM42-AM45-AM47,0)</f>
        <v>2.90000000000009E-4</v>
      </c>
      <c r="AN60" s="4596">
        <f t="shared" si="123"/>
        <v>-2.5000000000001063E-4</v>
      </c>
      <c r="AO60" s="4596">
        <f t="shared" si="123"/>
        <v>-3.8999999999998064E-4</v>
      </c>
      <c r="AP60" s="4596">
        <f t="shared" si="123"/>
        <v>1.0000000000010001E-5</v>
      </c>
      <c r="AQ60" s="3165"/>
      <c r="AR60" s="3165"/>
      <c r="AS60" s="3165"/>
      <c r="AT60" s="3165"/>
      <c r="AU60" s="3165"/>
      <c r="AV60" s="3165"/>
    </row>
    <row r="61" spans="18:48">
      <c r="AK61" s="4595" t="s">
        <v>1935</v>
      </c>
      <c r="AL61" s="4596">
        <f>IFERROR(AL49-AL50-AL53-AL55,0)</f>
        <v>-3.0000000000011268E-4</v>
      </c>
      <c r="AM61" s="4596">
        <f t="shared" ref="AM61:AP61" si="124">IFERROR(AM49-AM50-AM53-AM55,0)</f>
        <v>2.6000000000019757E-4</v>
      </c>
      <c r="AN61" s="4596">
        <f t="shared" si="124"/>
        <v>2.0999999999980062E-4</v>
      </c>
      <c r="AO61" s="4596">
        <f t="shared" si="124"/>
        <v>4.200000000000037E-4</v>
      </c>
      <c r="AP61" s="4596">
        <f t="shared" si="124"/>
        <v>3.2000000000004247E-4</v>
      </c>
      <c r="AQ61" s="3165"/>
      <c r="AR61" s="3165"/>
      <c r="AS61" s="3165"/>
      <c r="AT61" s="3165"/>
      <c r="AU61" s="3165"/>
      <c r="AV61" s="3165"/>
    </row>
  </sheetData>
  <mergeCells count="75">
    <mergeCell ref="AB31:AB32"/>
    <mergeCell ref="AC31:AG31"/>
    <mergeCell ref="AM2:AM3"/>
    <mergeCell ref="AN2:AN3"/>
    <mergeCell ref="AO2:AO3"/>
    <mergeCell ref="AB25:AB26"/>
    <mergeCell ref="AC25:AG25"/>
    <mergeCell ref="AK4:AP4"/>
    <mergeCell ref="AB2:AB3"/>
    <mergeCell ref="AC2:AG2"/>
    <mergeCell ref="AB5:AB6"/>
    <mergeCell ref="AC5:AG5"/>
    <mergeCell ref="AB10:AB11"/>
    <mergeCell ref="AC10:AG10"/>
    <mergeCell ref="AP2:AP3"/>
    <mergeCell ref="AB18:AB19"/>
    <mergeCell ref="AC18:AG18"/>
    <mergeCell ref="AB21:AB22"/>
    <mergeCell ref="AC21:AG21"/>
    <mergeCell ref="AK2:AK3"/>
    <mergeCell ref="AL2:AL3"/>
    <mergeCell ref="AK19:AK20"/>
    <mergeCell ref="AL19:AL20"/>
    <mergeCell ref="AK6:AP6"/>
    <mergeCell ref="AK8:AP8"/>
    <mergeCell ref="AK14:AP14"/>
    <mergeCell ref="AK16:AP16"/>
    <mergeCell ref="AM19:AN19"/>
    <mergeCell ref="AO19:AS19"/>
    <mergeCell ref="A24:A25"/>
    <mergeCell ref="B24:B25"/>
    <mergeCell ref="C24:H24"/>
    <mergeCell ref="I24:N24"/>
    <mergeCell ref="A35:A36"/>
    <mergeCell ref="B35:B36"/>
    <mergeCell ref="C35:H35"/>
    <mergeCell ref="I35:N35"/>
    <mergeCell ref="A2:A3"/>
    <mergeCell ref="B2:B3"/>
    <mergeCell ref="C2:H2"/>
    <mergeCell ref="I2:N2"/>
    <mergeCell ref="A13:A14"/>
    <mergeCell ref="B13:B14"/>
    <mergeCell ref="C13:H13"/>
    <mergeCell ref="I13:N13"/>
    <mergeCell ref="R8:R9"/>
    <mergeCell ref="S8:X8"/>
    <mergeCell ref="Y8:Y9"/>
    <mergeCell ref="Z8:Z9"/>
    <mergeCell ref="R2:R3"/>
    <mergeCell ref="S2:X2"/>
    <mergeCell ref="Y2:Y3"/>
    <mergeCell ref="Z2:Z3"/>
    <mergeCell ref="O35:O36"/>
    <mergeCell ref="P35:P36"/>
    <mergeCell ref="O2:O3"/>
    <mergeCell ref="P2:P3"/>
    <mergeCell ref="O13:O14"/>
    <mergeCell ref="P13:P14"/>
    <mergeCell ref="O24:O25"/>
    <mergeCell ref="P24:P25"/>
    <mergeCell ref="AK40:AP40"/>
    <mergeCell ref="AK48:AP48"/>
    <mergeCell ref="AK32:AP32"/>
    <mergeCell ref="AV30:AV31"/>
    <mergeCell ref="AK30:AK31"/>
    <mergeCell ref="AR30:AR31"/>
    <mergeCell ref="AS30:AS31"/>
    <mergeCell ref="AT30:AT31"/>
    <mergeCell ref="AU30:AU31"/>
    <mergeCell ref="AL30:AL31"/>
    <mergeCell ref="AM30:AM31"/>
    <mergeCell ref="AN30:AN31"/>
    <mergeCell ref="AO30:AO31"/>
    <mergeCell ref="AP30:AP31"/>
  </mergeCells>
  <conditionalFormatting sqref="S17:X30">
    <cfRule type="top10" dxfId="40" priority="9" rank="7"/>
  </conditionalFormatting>
  <conditionalFormatting sqref="S34:X45">
    <cfRule type="top10" dxfId="39" priority="6" rank="7"/>
  </conditionalFormatting>
  <conditionalFormatting sqref="S47:X55">
    <cfRule type="top10" dxfId="38" priority="3" rank="7"/>
  </conditionalFormatting>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iconSet" priority="5" id="{3B33B46F-49AB-4B66-823F-64CA0C418D1F}">
            <x14:iconSet iconSet="3Symbols" custom="1">
              <x14:cfvo type="percent">
                <xm:f>0</xm:f>
              </x14:cfvo>
              <x14:cfvo type="percent">
                <xm:f>33</xm:f>
              </x14:cfvo>
              <x14:cfvo type="percent">
                <xm:f>67</xm:f>
              </x14:cfvo>
              <x14:cfIcon iconSet="3TrafficLights1" iconId="2"/>
              <x14:cfIcon iconSet="3TrafficLights1" iconId="1"/>
              <x14:cfIcon iconSet="3TrafficLights1" iconId="0"/>
            </x14:iconSet>
          </x14:cfRule>
          <xm:sqref>S34:X45</xm:sqref>
        </x14:conditionalFormatting>
        <x14:conditionalFormatting xmlns:xm="http://schemas.microsoft.com/office/excel/2006/main">
          <x14:cfRule type="iconSet" priority="2" id="{4B08CA2C-BFA3-4D22-96AA-463DC6F97126}">
            <x14:iconSet iconSet="3Symbols" custom="1">
              <x14:cfvo type="percent">
                <xm:f>0</xm:f>
              </x14:cfvo>
              <x14:cfvo type="percent">
                <xm:f>33</xm:f>
              </x14:cfvo>
              <x14:cfvo type="percent">
                <xm:f>67</xm:f>
              </x14:cfvo>
              <x14:cfIcon iconSet="3TrafficLights1" iconId="2"/>
              <x14:cfIcon iconSet="3TrafficLights1" iconId="1"/>
              <x14:cfIcon iconSet="3TrafficLights1" iconId="0"/>
            </x14:iconSet>
          </x14:cfRule>
          <xm:sqref>S47:X55</xm:sqref>
        </x14:conditionalFormatting>
        <x14:conditionalFormatting xmlns:xm="http://schemas.microsoft.com/office/excel/2006/main">
          <x14:cfRule type="iconSet" priority="7" id="{A2384BB8-5CD9-496B-860D-680263816071}">
            <x14:iconSet iconSet="3Symbols" custom="1">
              <x14:cfvo type="percent">
                <xm:f>0</xm:f>
              </x14:cfvo>
              <x14:cfvo type="percent">
                <xm:f>33</xm:f>
              </x14:cfvo>
              <x14:cfvo type="percent">
                <xm:f>67</xm:f>
              </x14:cfvo>
              <x14:cfIcon iconSet="3TrafficLights1" iconId="2"/>
              <x14:cfIcon iconSet="3TrafficLights1" iconId="1"/>
              <x14:cfIcon iconSet="3TrafficLights1" iconId="0"/>
            </x14:iconSet>
          </x14:cfRule>
          <xm:sqref>S17:Z30</xm:sqref>
        </x14:conditionalFormatting>
        <x14:conditionalFormatting xmlns:xm="http://schemas.microsoft.com/office/excel/2006/main">
          <x14:cfRule type="iconSet" priority="4" id="{4A1E654C-25EF-438E-A7C9-3A2B5928C4DB}">
            <x14:iconSet iconSet="3Symbols" custom="1">
              <x14:cfvo type="percent">
                <xm:f>0</xm:f>
              </x14:cfvo>
              <x14:cfvo type="percent">
                <xm:f>33</xm:f>
              </x14:cfvo>
              <x14:cfvo type="percent">
                <xm:f>67</xm:f>
              </x14:cfvo>
              <x14:cfIcon iconSet="3TrafficLights1" iconId="2"/>
              <x14:cfIcon iconSet="3TrafficLights1" iconId="1"/>
              <x14:cfIcon iconSet="3TrafficLights1" iconId="0"/>
            </x14:iconSet>
          </x14:cfRule>
          <xm:sqref>Y34:Z45</xm:sqref>
        </x14:conditionalFormatting>
        <x14:conditionalFormatting xmlns:xm="http://schemas.microsoft.com/office/excel/2006/main">
          <x14:cfRule type="iconSet" priority="1" id="{A3B06CC4-4385-4742-B14F-086F01E9C3E5}">
            <x14:iconSet iconSet="3Symbols" custom="1">
              <x14:cfvo type="percent">
                <xm:f>0</xm:f>
              </x14:cfvo>
              <x14:cfvo type="percent">
                <xm:f>33</xm:f>
              </x14:cfvo>
              <x14:cfvo type="percent">
                <xm:f>67</xm:f>
              </x14:cfvo>
              <x14:cfIcon iconSet="3TrafficLights1" iconId="2"/>
              <x14:cfIcon iconSet="3TrafficLights1" iconId="1"/>
              <x14:cfIcon iconSet="3TrafficLights1" iconId="0"/>
            </x14:iconSet>
          </x14:cfRule>
          <xm:sqref>Y47:Z55</xm:sqref>
        </x14:conditionalFormatting>
      </x14:conditionalFormattings>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9" tint="0.39997558519241921"/>
  </sheetPr>
  <dimension ref="A1:AV61"/>
  <sheetViews>
    <sheetView zoomScaleNormal="100" workbookViewId="0">
      <selection activeCell="AL34" sqref="AL34"/>
    </sheetView>
  </sheetViews>
  <sheetFormatPr defaultColWidth="9.109375" defaultRowHeight="13.2"/>
  <cols>
    <col min="1" max="1" width="32" style="11" customWidth="1"/>
    <col min="2" max="2" width="4.88671875" style="4351" customWidth="1"/>
    <col min="3" max="10" width="5" style="11" customWidth="1"/>
    <col min="11" max="11" width="5" style="3434" customWidth="1"/>
    <col min="12" max="14" width="5" style="11" customWidth="1"/>
    <col min="15" max="15" width="6.88671875" style="11" customWidth="1"/>
    <col min="16" max="16" width="6.44140625" style="11" customWidth="1"/>
    <col min="17" max="17" width="4.5546875" style="11" customWidth="1"/>
    <col min="18" max="18" width="26.5546875" style="11" customWidth="1"/>
    <col min="19" max="24" width="6.5546875" style="11" customWidth="1"/>
    <col min="25" max="26" width="7" style="11" customWidth="1"/>
    <col min="27" max="27" width="4.44140625" style="11" customWidth="1"/>
    <col min="28" max="28" width="39.6640625" style="719" customWidth="1"/>
    <col min="29" max="35" width="9.109375" style="4281"/>
    <col min="36" max="36" width="5.33203125" style="11" customWidth="1"/>
    <col min="37" max="37" width="39.6640625" style="719" customWidth="1"/>
    <col min="38" max="16384" width="9.109375" style="11"/>
  </cols>
  <sheetData>
    <row r="1" spans="1:42" ht="15.6">
      <c r="A1" s="3483" t="s">
        <v>877</v>
      </c>
      <c r="R1" s="3483" t="s">
        <v>1402</v>
      </c>
      <c r="AB1" s="3538" t="s">
        <v>1698</v>
      </c>
      <c r="AK1" s="3538" t="s">
        <v>1699</v>
      </c>
      <c r="AL1" s="4281"/>
      <c r="AM1" s="4281"/>
      <c r="AN1" s="4281"/>
      <c r="AO1" s="4281"/>
      <c r="AP1" s="4281"/>
    </row>
    <row r="2" spans="1:42" ht="12.6" customHeight="1">
      <c r="A2" s="5615" t="s">
        <v>2</v>
      </c>
      <c r="B2" s="5621" t="s">
        <v>1536</v>
      </c>
      <c r="C2" s="5623" t="s">
        <v>207</v>
      </c>
      <c r="D2" s="5624"/>
      <c r="E2" s="5624"/>
      <c r="F2" s="5624"/>
      <c r="G2" s="5624"/>
      <c r="H2" s="5625"/>
      <c r="I2" s="5623" t="s">
        <v>208</v>
      </c>
      <c r="J2" s="5624"/>
      <c r="K2" s="5624"/>
      <c r="L2" s="5624"/>
      <c r="M2" s="5624"/>
      <c r="N2" s="5625"/>
      <c r="O2" s="5615" t="str">
        <f>CONCATENATE("Изменение ", H3,"спрямо ",D3)</f>
        <v>Изменение 2031 г.спрямо 2027 г.</v>
      </c>
      <c r="P2" s="5615" t="str">
        <f>CONCATENATE("Изменение ", N3,"спрямо ",J3)</f>
        <v>Изменение 2031 г.спрямо 2027 г.</v>
      </c>
      <c r="R2" s="5615" t="s">
        <v>1724</v>
      </c>
      <c r="S2" s="5620" t="s">
        <v>1561</v>
      </c>
      <c r="T2" s="5620"/>
      <c r="U2" s="5620"/>
      <c r="V2" s="5620"/>
      <c r="W2" s="5620"/>
      <c r="X2" s="5620"/>
      <c r="Y2" s="5615" t="str">
        <f>CONCATENATE("Изменение ", T3,"спрямо ",S3)</f>
        <v>Изменение 2027 г.спрямо 2024 г.</v>
      </c>
      <c r="Z2" s="5615" t="str">
        <f>CONCATENATE("Изменение ", X3,"спрямо ",T3)</f>
        <v>Изменение 2031 г.спрямо 2027 г.</v>
      </c>
      <c r="AB2" s="5617" t="s">
        <v>1703</v>
      </c>
      <c r="AC2" s="5617" t="s">
        <v>210</v>
      </c>
      <c r="AD2" s="5617"/>
      <c r="AE2" s="5617"/>
      <c r="AF2" s="5617"/>
      <c r="AG2" s="5617"/>
      <c r="AH2" s="11"/>
      <c r="AI2" s="11"/>
      <c r="AK2" s="5617" t="s">
        <v>1906</v>
      </c>
      <c r="AL2" s="5615" t="str">
        <f>+'15. ОПП'!$C$7</f>
        <v>2027 г.</v>
      </c>
      <c r="AM2" s="5615" t="str">
        <f>+'15. ОПП'!$D$7</f>
        <v>2028 г.</v>
      </c>
      <c r="AN2" s="5615" t="str">
        <f>+'15. ОПП'!$E$7</f>
        <v>2029 г.</v>
      </c>
      <c r="AO2" s="5615" t="str">
        <f>+'15. ОПП'!$F$7</f>
        <v>2030 г.</v>
      </c>
      <c r="AP2" s="5615" t="str">
        <f>+'15. ОПП'!$G$7</f>
        <v>2031 г.</v>
      </c>
    </row>
    <row r="3" spans="1:42" ht="27.75" customHeight="1">
      <c r="A3" s="5616"/>
      <c r="B3" s="5622"/>
      <c r="C3" s="4352" t="str">
        <f>+'15. ОПП'!$B$7</f>
        <v>2024 г.</v>
      </c>
      <c r="D3" s="4352" t="str">
        <f>+'15. ОПП'!$C$7</f>
        <v>2027 г.</v>
      </c>
      <c r="E3" s="4352" t="str">
        <f>+'15. ОПП'!$D$7</f>
        <v>2028 г.</v>
      </c>
      <c r="F3" s="4352" t="str">
        <f>+'15. ОПП'!$E$7</f>
        <v>2029 г.</v>
      </c>
      <c r="G3" s="4352" t="str">
        <f>+'15. ОПП'!$F$7</f>
        <v>2030 г.</v>
      </c>
      <c r="H3" s="4352" t="str">
        <f>+'15. ОПП'!$G$7</f>
        <v>2031 г.</v>
      </c>
      <c r="I3" s="4352" t="str">
        <f>+'15. ОПП'!$B$7</f>
        <v>2024 г.</v>
      </c>
      <c r="J3" s="4352" t="str">
        <f>+'15. ОПП'!$C$7</f>
        <v>2027 г.</v>
      </c>
      <c r="K3" s="4352" t="str">
        <f>+'15. ОПП'!$D$7</f>
        <v>2028 г.</v>
      </c>
      <c r="L3" s="4352" t="str">
        <f>+'15. ОПП'!$E$7</f>
        <v>2029 г.</v>
      </c>
      <c r="M3" s="4352" t="str">
        <f>+'15. ОПП'!$F$7</f>
        <v>2030 г.</v>
      </c>
      <c r="N3" s="4352" t="str">
        <f>+'15. ОПП'!$G$7</f>
        <v>2031 г.</v>
      </c>
      <c r="O3" s="5616"/>
      <c r="P3" s="5616"/>
      <c r="R3" s="5616"/>
      <c r="S3" s="4285" t="str">
        <f>+'15. ОПП'!$B$7</f>
        <v>2024 г.</v>
      </c>
      <c r="T3" s="4285" t="str">
        <f>+'15. ОПП'!$C$7</f>
        <v>2027 г.</v>
      </c>
      <c r="U3" s="4285" t="str">
        <f>+'15. ОПП'!$D$7</f>
        <v>2028 г.</v>
      </c>
      <c r="V3" s="4285" t="str">
        <f>+'15. ОПП'!$E$7</f>
        <v>2029 г.</v>
      </c>
      <c r="W3" s="4285" t="str">
        <f>+'15. ОПП'!$F$7</f>
        <v>2030 г.</v>
      </c>
      <c r="X3" s="4285" t="str">
        <f>+'15. ОПП'!$G$7</f>
        <v>2031 г.</v>
      </c>
      <c r="Y3" s="5616"/>
      <c r="Z3" s="5616"/>
      <c r="AB3" s="5617"/>
      <c r="AC3" s="4285" t="str">
        <f>+'15. ОПП'!$C$7</f>
        <v>2027 г.</v>
      </c>
      <c r="AD3" s="4285" t="str">
        <f>+'15. ОПП'!$D$7</f>
        <v>2028 г.</v>
      </c>
      <c r="AE3" s="4285" t="str">
        <f>+'15. ОПП'!$E$7</f>
        <v>2029 г.</v>
      </c>
      <c r="AF3" s="4285" t="str">
        <f>+'15. ОПП'!$F$7</f>
        <v>2030 г.</v>
      </c>
      <c r="AG3" s="4285" t="str">
        <f>+'15. ОПП'!$G$7</f>
        <v>2031 г.</v>
      </c>
      <c r="AH3" s="11"/>
      <c r="AI3" s="11"/>
      <c r="AK3" s="5617"/>
      <c r="AL3" s="5616" t="str">
        <f>+'15. ОПП'!$C$7</f>
        <v>2027 г.</v>
      </c>
      <c r="AM3" s="5616" t="str">
        <f>+'15. ОПП'!$D$7</f>
        <v>2028 г.</v>
      </c>
      <c r="AN3" s="5616" t="str">
        <f>+'15. ОПП'!$E$7</f>
        <v>2029 г.</v>
      </c>
      <c r="AO3" s="5616" t="str">
        <f>+'15. ОПП'!$F$7</f>
        <v>2030 г.</v>
      </c>
      <c r="AP3" s="5616" t="str">
        <f>+'15. ОПП'!$G$7</f>
        <v>2031 г.</v>
      </c>
    </row>
    <row r="4" spans="1:42" ht="15.9" customHeight="1">
      <c r="A4" s="3435" t="s">
        <v>1541</v>
      </c>
      <c r="B4" s="3539" t="s">
        <v>676</v>
      </c>
      <c r="C4" s="3540">
        <f>'5. Персонал'!C11</f>
        <v>259.61890177725104</v>
      </c>
      <c r="D4" s="3540">
        <f>'5. Персонал'!D11</f>
        <v>263.23674122805204</v>
      </c>
      <c r="E4" s="3540">
        <f>'5. Персонал'!E11</f>
        <v>261.18466005678511</v>
      </c>
      <c r="F4" s="3540">
        <f>'5. Персонал'!F11</f>
        <v>260.13243856818235</v>
      </c>
      <c r="G4" s="3540">
        <f>'5. Персонал'!G11</f>
        <v>259.08006291570086</v>
      </c>
      <c r="H4" s="3540">
        <f>'5. Персонал'!H11</f>
        <v>258.02754211807735</v>
      </c>
      <c r="I4" s="3540">
        <f>'5. Персонал'!I11</f>
        <v>7.8849537786250776</v>
      </c>
      <c r="J4" s="3540">
        <f>'5. Персонал'!J11</f>
        <v>10.090820609466149</v>
      </c>
      <c r="K4" s="3540">
        <f>'5. Персонал'!K11</f>
        <v>10.091354129616459</v>
      </c>
      <c r="L4" s="3540">
        <f>'5. Персонал'!L11</f>
        <v>10.09188933907026</v>
      </c>
      <c r="M4" s="3540">
        <f>'5. Персонал'!M11</f>
        <v>10.092426382045391</v>
      </c>
      <c r="N4" s="3540">
        <f>'5. Персонал'!N11</f>
        <v>10.092965168417717</v>
      </c>
      <c r="O4" s="4280">
        <f>IFERROR((H4-D4)/D4,0)</f>
        <v>-1.9789027495450428E-2</v>
      </c>
      <c r="P4" s="4280">
        <f>IFERROR((N4-J4)/J4,0)</f>
        <v>2.1252572358241873E-4</v>
      </c>
      <c r="R4" s="4299" t="s">
        <v>207</v>
      </c>
      <c r="S4" s="3579">
        <f>'8. Ремонтна програма'!D24</f>
        <v>4794</v>
      </c>
      <c r="T4" s="3579">
        <f>'8. Ремонтна програма'!E24</f>
        <v>4427</v>
      </c>
      <c r="U4" s="3579">
        <f>'8. Ремонтна програма'!F24</f>
        <v>4498</v>
      </c>
      <c r="V4" s="3579">
        <f>'8. Ремонтна програма'!G24</f>
        <v>4546</v>
      </c>
      <c r="W4" s="3579">
        <f>'8. Ремонтна програма'!H24</f>
        <v>4599</v>
      </c>
      <c r="X4" s="3579">
        <f>'8. Ремонтна програма'!I24</f>
        <v>4646</v>
      </c>
      <c r="Y4" s="4353">
        <f>IFERROR((T4-S4)/S4,0)</f>
        <v>-7.6554025865665412E-2</v>
      </c>
      <c r="Z4" s="4292">
        <f>IFERROR((X4-T4)/T4,0)</f>
        <v>4.9469166478427827E-2</v>
      </c>
      <c r="AB4" s="3541" t="s">
        <v>1705</v>
      </c>
      <c r="AC4" s="3542">
        <f>'4. Отчет и прогн. потребление'!E20/1000</f>
        <v>3794.9682380000004</v>
      </c>
      <c r="AD4" s="3542">
        <f>'4. Отчет и прогн. потребление'!F20/1000</f>
        <v>3805.0867833795346</v>
      </c>
      <c r="AE4" s="3542">
        <f>'4. Отчет и прогн. потребление'!G20/1000</f>
        <v>3815.0242099647667</v>
      </c>
      <c r="AF4" s="3542">
        <f>'4. Отчет и прогн. потребление'!H20/1000</f>
        <v>3827.0679255925438</v>
      </c>
      <c r="AG4" s="3542">
        <f>'4. Отчет и прогн. потребление'!I20/1000</f>
        <v>3843.4963642007206</v>
      </c>
      <c r="AH4" s="11"/>
      <c r="AI4" s="11"/>
      <c r="AK4" s="5612" t="s">
        <v>207</v>
      </c>
      <c r="AL4" s="5613"/>
      <c r="AM4" s="5613"/>
      <c r="AN4" s="5613"/>
      <c r="AO4" s="5613"/>
      <c r="AP4" s="5614"/>
    </row>
    <row r="5" spans="1:42" ht="14.1" customHeight="1">
      <c r="A5" s="3432" t="s">
        <v>1534</v>
      </c>
      <c r="B5" s="3543" t="s">
        <v>1539</v>
      </c>
      <c r="C5" s="3544">
        <f>'5. Персонал'!C14</f>
        <v>242.45000000000002</v>
      </c>
      <c r="D5" s="3544">
        <f>'5. Персонал'!D14</f>
        <v>244.4896812364201</v>
      </c>
      <c r="E5" s="3544">
        <f>'5. Персонал'!E14</f>
        <v>241.94422043712296</v>
      </c>
      <c r="F5" s="3544">
        <f>'5. Персонал'!F14</f>
        <v>240.3143397331973</v>
      </c>
      <c r="G5" s="3544">
        <f>'5. Персонал'!G14</f>
        <v>238.68881317491136</v>
      </c>
      <c r="H5" s="3544">
        <f>'5. Персонал'!H14</f>
        <v>237.06773070495134</v>
      </c>
      <c r="I5" s="3544">
        <f>'5. Персонал'!I14</f>
        <v>7.5200000000000005</v>
      </c>
      <c r="J5" s="3544">
        <f>'5. Персонал'!J14</f>
        <v>9.0419931552331558</v>
      </c>
      <c r="K5" s="3544">
        <f>'5. Персонал'!K14</f>
        <v>9.0634930245175038</v>
      </c>
      <c r="L5" s="3544">
        <f>'5. Персонал'!L14</f>
        <v>9.08534048737015</v>
      </c>
      <c r="M5" s="3544">
        <f>'5. Персонал'!M14</f>
        <v>9.1075444583825558</v>
      </c>
      <c r="N5" s="3544">
        <f>'5. Персонал'!N14</f>
        <v>9.1301139419028878</v>
      </c>
      <c r="O5" s="4280">
        <f t="shared" ref="O5:O12" si="0">IFERROR((H5-D5)/D5,0)</f>
        <v>-3.0356907064277159E-2</v>
      </c>
      <c r="P5" s="4280">
        <f t="shared" ref="P5:P12" si="1">IFERROR((N5-J5)/J5,0)</f>
        <v>9.7457258766814152E-3</v>
      </c>
      <c r="R5" s="4299" t="s">
        <v>174</v>
      </c>
      <c r="S5" s="3579">
        <f>'8. Ремонтна програма'!D53</f>
        <v>87</v>
      </c>
      <c r="T5" s="3579">
        <f>'8. Ремонтна програма'!E53</f>
        <v>87</v>
      </c>
      <c r="U5" s="3579">
        <f>'8. Ремонтна програма'!F53</f>
        <v>86</v>
      </c>
      <c r="V5" s="3579">
        <f>'8. Ремонтна програма'!G53</f>
        <v>82</v>
      </c>
      <c r="W5" s="3579">
        <f>'8. Ремонтна програма'!H53</f>
        <v>86</v>
      </c>
      <c r="X5" s="3579">
        <f>'8. Ремонтна програма'!I53</f>
        <v>81</v>
      </c>
      <c r="Y5" s="4353">
        <f t="shared" ref="Y5:Y7" si="2">IFERROR((T5-S5)/S5,0)</f>
        <v>0</v>
      </c>
      <c r="Z5" s="4292">
        <f t="shared" ref="Z5:Z7" si="3">IFERROR((X5-T5)/T5,0)</f>
        <v>-6.8965517241379309E-2</v>
      </c>
      <c r="AB5" s="5617" t="s">
        <v>1703</v>
      </c>
      <c r="AC5" s="5617" t="s">
        <v>174</v>
      </c>
      <c r="AD5" s="5617"/>
      <c r="AE5" s="5617"/>
      <c r="AF5" s="5617"/>
      <c r="AG5" s="5617"/>
      <c r="AH5" s="11"/>
      <c r="AI5" s="11"/>
      <c r="AK5" s="1461" t="s">
        <v>608</v>
      </c>
      <c r="AL5" s="3545">
        <f>'20.Цени '!J10</f>
        <v>1.8839999999999999</v>
      </c>
      <c r="AM5" s="3545">
        <f>'20.Цени '!K10</f>
        <v>2.024</v>
      </c>
      <c r="AN5" s="3545">
        <f>'20.Цени '!L10</f>
        <v>2.1760000000000002</v>
      </c>
      <c r="AO5" s="3545">
        <f>'20.Цени '!M10</f>
        <v>2.3479999999999999</v>
      </c>
      <c r="AP5" s="3545">
        <f>'20.Цени '!N10</f>
        <v>2.5329999999999999</v>
      </c>
    </row>
    <row r="6" spans="1:42" ht="17.25" customHeight="1">
      <c r="A6" s="3438" t="s">
        <v>1544</v>
      </c>
      <c r="B6" s="3546" t="s">
        <v>170</v>
      </c>
      <c r="C6" s="3547"/>
      <c r="D6" s="3548">
        <f>IFERROR((D5-C5)/C5,0)</f>
        <v>8.4127912411634549E-3</v>
      </c>
      <c r="E6" s="3548">
        <f t="shared" ref="E6:H6" si="4">IFERROR((E5-D5)/D5,0)</f>
        <v>-1.0411322009274028E-2</v>
      </c>
      <c r="F6" s="3548">
        <f t="shared" si="4"/>
        <v>-6.7365969766954676E-3</v>
      </c>
      <c r="G6" s="3548">
        <f t="shared" si="4"/>
        <v>-6.7641679647192053E-3</v>
      </c>
      <c r="H6" s="3548">
        <f t="shared" si="4"/>
        <v>-6.7916147740534651E-3</v>
      </c>
      <c r="I6" s="3547"/>
      <c r="J6" s="3549">
        <f>IFERROR((J5-I5)/I5,0)</f>
        <v>0.2023927068129196</v>
      </c>
      <c r="K6" s="3549">
        <f t="shared" ref="K6:N6" si="5">IFERROR((K5-J5)/J5,0)</f>
        <v>2.3777798672524656E-3</v>
      </c>
      <c r="L6" s="3549">
        <f t="shared" si="5"/>
        <v>2.4104903918993432E-3</v>
      </c>
      <c r="M6" s="3549">
        <f t="shared" si="5"/>
        <v>2.44393383421043E-3</v>
      </c>
      <c r="N6" s="3549">
        <f t="shared" si="5"/>
        <v>2.4781085201905518E-3</v>
      </c>
      <c r="O6" s="4280">
        <f t="shared" si="0"/>
        <v>-1.8072962444167593</v>
      </c>
      <c r="P6" s="4280">
        <f t="shared" si="1"/>
        <v>-0.98775593963234465</v>
      </c>
      <c r="R6" s="4299" t="s">
        <v>184</v>
      </c>
      <c r="S6" s="3579">
        <f>'8. Ремонтна програма'!D79</f>
        <v>96</v>
      </c>
      <c r="T6" s="3579">
        <f>'8. Ремонтна програма'!E79</f>
        <v>96</v>
      </c>
      <c r="U6" s="3579">
        <f>'8. Ремонтна програма'!F79</f>
        <v>96</v>
      </c>
      <c r="V6" s="3579">
        <f>'8. Ремонтна програма'!G79</f>
        <v>94</v>
      </c>
      <c r="W6" s="3579">
        <f>'8. Ремонтна програма'!H79</f>
        <v>94</v>
      </c>
      <c r="X6" s="3579">
        <f>'8. Ремонтна програма'!I79</f>
        <v>90</v>
      </c>
      <c r="Y6" s="4353">
        <f t="shared" si="2"/>
        <v>0</v>
      </c>
      <c r="Z6" s="4292">
        <f t="shared" si="3"/>
        <v>-6.25E-2</v>
      </c>
      <c r="AB6" s="5617"/>
      <c r="AC6" s="4285" t="str">
        <f>+'15. ОПП'!$C$7</f>
        <v>2027 г.</v>
      </c>
      <c r="AD6" s="4285" t="str">
        <f>+'15. ОПП'!$D$7</f>
        <v>2028 г.</v>
      </c>
      <c r="AE6" s="4285" t="str">
        <f>+'15. ОПП'!$E$7</f>
        <v>2029 г.</v>
      </c>
      <c r="AF6" s="4285" t="str">
        <f>+'15. ОПП'!$F$7</f>
        <v>2030 г.</v>
      </c>
      <c r="AG6" s="4285" t="str">
        <f>+'15. ОПП'!$G$7</f>
        <v>2031 г.</v>
      </c>
      <c r="AH6" s="11"/>
      <c r="AI6" s="11"/>
      <c r="AK6" s="5612" t="s">
        <v>174</v>
      </c>
      <c r="AL6" s="5613"/>
      <c r="AM6" s="5613"/>
      <c r="AN6" s="5613"/>
      <c r="AO6" s="5613"/>
      <c r="AP6" s="5614"/>
    </row>
    <row r="7" spans="1:42" ht="15" customHeight="1">
      <c r="A7" s="3438" t="s">
        <v>1543</v>
      </c>
      <c r="B7" s="3546" t="s">
        <v>170</v>
      </c>
      <c r="C7" s="3547"/>
      <c r="D7" s="3548">
        <f>IFERROR((D5-$C$5)/$C$5,0)</f>
        <v>8.4127912411634549E-3</v>
      </c>
      <c r="E7" s="3548">
        <f t="shared" ref="E7:H7" si="6">IFERROR((E5-$C$5)/$C$5,0)</f>
        <v>-2.0861190467191255E-3</v>
      </c>
      <c r="F7" s="3548">
        <f t="shared" si="6"/>
        <v>-8.8086626801514387E-3</v>
      </c>
      <c r="G7" s="3548">
        <f t="shared" si="6"/>
        <v>-1.5513247370957547E-2</v>
      </c>
      <c r="H7" s="3548">
        <f t="shared" si="6"/>
        <v>-2.219950214497287E-2</v>
      </c>
      <c r="I7" s="3547"/>
      <c r="J7" s="3549">
        <f>IFERROR((J5-$I$5)/$I$5,0)</f>
        <v>0.2023927068129196</v>
      </c>
      <c r="K7" s="3549">
        <f t="shared" ref="K7:N7" si="7">IFERROR((K5-$I$5)/$I$5,0)</f>
        <v>0.20525173198371055</v>
      </c>
      <c r="L7" s="3548">
        <f t="shared" si="7"/>
        <v>0.20815697970347732</v>
      </c>
      <c r="M7" s="3548">
        <f t="shared" si="7"/>
        <v>0.21110963542321212</v>
      </c>
      <c r="N7" s="3548">
        <f t="shared" si="7"/>
        <v>0.21411089652963927</v>
      </c>
      <c r="O7" s="4280">
        <f t="shared" si="0"/>
        <v>-3.6387796283772715</v>
      </c>
      <c r="P7" s="4280">
        <f t="shared" si="1"/>
        <v>5.7898280532170103E-2</v>
      </c>
      <c r="R7" s="3445" t="s">
        <v>1235</v>
      </c>
      <c r="S7" s="3579">
        <f>'8. Ремонтна програма'!D110</f>
        <v>0</v>
      </c>
      <c r="T7" s="3579">
        <f>'8. Ремонтна програма'!E110</f>
        <v>0</v>
      </c>
      <c r="U7" s="3579">
        <f>'8. Ремонтна програма'!F110</f>
        <v>0</v>
      </c>
      <c r="V7" s="3579">
        <f>'8. Ремонтна програма'!G110</f>
        <v>0</v>
      </c>
      <c r="W7" s="3579">
        <f>'8. Ремонтна програма'!H110</f>
        <v>0</v>
      </c>
      <c r="X7" s="3579">
        <f>'8. Ремонтна програма'!I110</f>
        <v>0</v>
      </c>
      <c r="Y7" s="4353">
        <f t="shared" si="2"/>
        <v>0</v>
      </c>
      <c r="Z7" s="4292">
        <f t="shared" si="3"/>
        <v>0</v>
      </c>
      <c r="AB7" s="3541" t="s">
        <v>1693</v>
      </c>
      <c r="AC7" s="3542">
        <f>AC8+AC9</f>
        <v>1889.5652776666668</v>
      </c>
      <c r="AD7" s="3542">
        <f t="shared" ref="AD7:AG7" si="8">AD8+AD9</f>
        <v>1895.1583957083928</v>
      </c>
      <c r="AE7" s="3542">
        <f t="shared" si="8"/>
        <v>1903.2958178917993</v>
      </c>
      <c r="AF7" s="3542">
        <f t="shared" si="8"/>
        <v>1914.7228651251785</v>
      </c>
      <c r="AG7" s="3542">
        <f t="shared" si="8"/>
        <v>1926.7732897072683</v>
      </c>
      <c r="AH7" s="11"/>
      <c r="AI7" s="11"/>
      <c r="AK7" s="1461" t="s">
        <v>608</v>
      </c>
      <c r="AL7" s="3545">
        <f>'20.Цени '!J12</f>
        <v>0.156</v>
      </c>
      <c r="AM7" s="3545">
        <f>'20.Цени '!K12</f>
        <v>0.17100000000000001</v>
      </c>
      <c r="AN7" s="3545">
        <f>'20.Цени '!L12</f>
        <v>0.187</v>
      </c>
      <c r="AO7" s="3545">
        <f>'20.Цени '!M12</f>
        <v>0.20599999999999999</v>
      </c>
      <c r="AP7" s="3545">
        <f>'20.Цени '!N12</f>
        <v>0.22500000000000001</v>
      </c>
    </row>
    <row r="8" spans="1:42" ht="21" customHeight="1">
      <c r="A8" s="3433" t="s">
        <v>1905</v>
      </c>
      <c r="B8" s="3550" t="s">
        <v>1902</v>
      </c>
      <c r="C8" s="3551">
        <f>'5. Персонал'!AZ50</f>
        <v>9.2612688167107926</v>
      </c>
      <c r="D8" s="3551">
        <f>'5. Персонал'!BA50</f>
        <v>13.354655341298306</v>
      </c>
      <c r="E8" s="3551">
        <f>'5. Персонал'!BB50</f>
        <v>15.248223767271835</v>
      </c>
      <c r="F8" s="3551">
        <f>'5. Персонал'!BC50</f>
        <v>17.436902023811484</v>
      </c>
      <c r="G8" s="3551">
        <f>'5. Персонал'!BD50</f>
        <v>19.953901567567637</v>
      </c>
      <c r="H8" s="3551">
        <f>'5. Персонал'!BE50</f>
        <v>22.837860170612529</v>
      </c>
      <c r="I8" s="3551">
        <f>'5. Персонал'!BF50</f>
        <v>8.8411285175735888</v>
      </c>
      <c r="J8" s="3551">
        <f>'5. Персонал'!BG50</f>
        <v>16.557903039904726</v>
      </c>
      <c r="K8" s="3551">
        <f>'5. Персонал'!BH50</f>
        <v>18.710682417323984</v>
      </c>
      <c r="L8" s="3551">
        <f>'5. Персонал'!BI50</f>
        <v>21.166703429849008</v>
      </c>
      <c r="M8" s="3551">
        <f>'5. Персонал'!BJ50</f>
        <v>23.968410013137035</v>
      </c>
      <c r="N8" s="3551">
        <f>'5. Персонал'!BK50</f>
        <v>27.164150148306764</v>
      </c>
      <c r="O8" s="4280">
        <f t="shared" si="0"/>
        <v>0.71010479768714796</v>
      </c>
      <c r="P8" s="4280">
        <f t="shared" si="1"/>
        <v>0.64055497141400497</v>
      </c>
      <c r="R8" s="5615" t="s">
        <v>1724</v>
      </c>
      <c r="S8" s="5618" t="s">
        <v>1904</v>
      </c>
      <c r="T8" s="5619"/>
      <c r="U8" s="5619"/>
      <c r="V8" s="5619"/>
      <c r="W8" s="5619"/>
      <c r="X8" s="5619"/>
      <c r="Y8" s="5615" t="str">
        <f>+Y2</f>
        <v>Изменение 2027 г.спрямо 2024 г.</v>
      </c>
      <c r="Z8" s="5615" t="str">
        <f>+Z2</f>
        <v>Изменение 2031 г.спрямо 2027 г.</v>
      </c>
      <c r="AB8" s="3552" t="s">
        <v>299</v>
      </c>
      <c r="AC8" s="3542">
        <f>'4. Отчет и прогн. потребление'!E50/1000</f>
        <v>1586.5972233333334</v>
      </c>
      <c r="AD8" s="3542">
        <f>'4. Отчет и прогн. потребление'!F50/1000</f>
        <v>1592.1933957083929</v>
      </c>
      <c r="AE8" s="3542">
        <f>'4. Отчет и прогн. потребление'!G50/1000</f>
        <v>1591.9308178917993</v>
      </c>
      <c r="AF8" s="3542">
        <f>'4. Отчет и прогн. потребление'!H50/1000</f>
        <v>1594.9078651251784</v>
      </c>
      <c r="AG8" s="3542">
        <f>'4. Отчет и прогн. потребление'!I50/1000</f>
        <v>1598.5582897072684</v>
      </c>
      <c r="AH8" s="11"/>
      <c r="AI8" s="11"/>
      <c r="AK8" s="5612" t="s">
        <v>184</v>
      </c>
      <c r="AL8" s="5613"/>
      <c r="AM8" s="5613"/>
      <c r="AN8" s="5613"/>
      <c r="AO8" s="5613"/>
      <c r="AP8" s="5614"/>
    </row>
    <row r="9" spans="1:42" ht="12.6" customHeight="1">
      <c r="A9" s="3438" t="s">
        <v>1544</v>
      </c>
      <c r="B9" s="3546" t="s">
        <v>170</v>
      </c>
      <c r="C9" s="3547"/>
      <c r="D9" s="3548">
        <f>IFERROR((D8-C8)/C8,0)</f>
        <v>0.44198981863063014</v>
      </c>
      <c r="E9" s="3548">
        <f t="shared" ref="E9:H9" si="9">IFERROR((E8-D8)/D8,0)</f>
        <v>0.14179088696642025</v>
      </c>
      <c r="F9" s="3548">
        <f t="shared" si="9"/>
        <v>0.14353660399694154</v>
      </c>
      <c r="G9" s="3548">
        <f t="shared" si="9"/>
        <v>0.14434900995136574</v>
      </c>
      <c r="H9" s="3548">
        <f t="shared" si="9"/>
        <v>0.14453106292417398</v>
      </c>
      <c r="I9" s="3547"/>
      <c r="J9" s="3548">
        <f>IFERROR((J8-I8)/I8,0)</f>
        <v>0.87282686898990747</v>
      </c>
      <c r="K9" s="3548">
        <f t="shared" ref="K9:N9" si="10">IFERROR((K8-J8)/J8,0)</f>
        <v>0.13001521824539228</v>
      </c>
      <c r="L9" s="3548">
        <f t="shared" si="10"/>
        <v>0.13126303775275591</v>
      </c>
      <c r="M9" s="3548">
        <f t="shared" si="10"/>
        <v>0.13236386065376138</v>
      </c>
      <c r="N9" s="3548">
        <f t="shared" si="10"/>
        <v>0.13333133626378013</v>
      </c>
      <c r="O9" s="4280">
        <f t="shared" si="0"/>
        <v>-0.67299911257693878</v>
      </c>
      <c r="P9" s="4280">
        <f t="shared" si="1"/>
        <v>-0.84724194339012515</v>
      </c>
      <c r="R9" s="5616"/>
      <c r="S9" s="4285" t="str">
        <f>+'15. ОПП'!$B$7</f>
        <v>2024 г.</v>
      </c>
      <c r="T9" s="4285" t="str">
        <f>+'15. ОПП'!$C$7</f>
        <v>2027 г.</v>
      </c>
      <c r="U9" s="4285" t="str">
        <f>+'15. ОПП'!$D$7</f>
        <v>2028 г.</v>
      </c>
      <c r="V9" s="4285" t="str">
        <f>+'15. ОПП'!$E$7</f>
        <v>2029 г.</v>
      </c>
      <c r="W9" s="4285" t="str">
        <f>+'15. ОПП'!$F$7</f>
        <v>2030 г.</v>
      </c>
      <c r="X9" s="4285" t="str">
        <f>+'15. ОПП'!$G$7</f>
        <v>2031 г.</v>
      </c>
      <c r="Y9" s="5616"/>
      <c r="Z9" s="5616"/>
      <c r="AB9" s="1260" t="s">
        <v>300</v>
      </c>
      <c r="AC9" s="3542">
        <f>'4. Отчет и прогн. потребление'!E51/1000</f>
        <v>302.96805433333333</v>
      </c>
      <c r="AD9" s="3542">
        <f>'4. Отчет и прогн. потребление'!F51/1000</f>
        <v>302.96499999999997</v>
      </c>
      <c r="AE9" s="3542">
        <f>'4. Отчет и прогн. потребление'!G51/1000</f>
        <v>311.36500000000001</v>
      </c>
      <c r="AF9" s="3542">
        <f>'4. Отчет и прогн. потребление'!H51/1000</f>
        <v>319.815</v>
      </c>
      <c r="AG9" s="3542">
        <f>'4. Отчет и прогн. потребление'!I51/1000</f>
        <v>328.21499999999997</v>
      </c>
      <c r="AH9" s="11"/>
      <c r="AI9" s="11"/>
      <c r="AK9" s="1461" t="s">
        <v>608</v>
      </c>
      <c r="AL9" s="3545">
        <f>'20.Цени '!J14</f>
        <v>0.76300000000000001</v>
      </c>
      <c r="AM9" s="3545">
        <f>'20.Цени '!K14</f>
        <v>0.83</v>
      </c>
      <c r="AN9" s="3545">
        <f>'20.Цени '!L14</f>
        <v>0.90300000000000002</v>
      </c>
      <c r="AO9" s="3545">
        <f>'20.Цени '!M14</f>
        <v>0.98499999999999999</v>
      </c>
      <c r="AP9" s="3545">
        <f>'20.Цени '!N14</f>
        <v>1.0760000000000001</v>
      </c>
    </row>
    <row r="10" spans="1:42">
      <c r="A10" s="3437" t="s">
        <v>1542</v>
      </c>
      <c r="B10" s="3546" t="s">
        <v>170</v>
      </c>
      <c r="C10" s="3547"/>
      <c r="D10" s="3548">
        <f>IFERROR((D8-$C$8)/$C$8,0)</f>
        <v>0.44198981863063014</v>
      </c>
      <c r="E10" s="3548">
        <f>IFERROR((E8-$C$8)/$C$8,0)</f>
        <v>0.6464508340108146</v>
      </c>
      <c r="F10" s="3548">
        <f>IFERROR((F8-$C$8)/$C$8,0)</f>
        <v>0.88277679537265907</v>
      </c>
      <c r="G10" s="3548">
        <f>IFERROR((G8-$C$8)/$C$8,0)</f>
        <v>1.1545537617441075</v>
      </c>
      <c r="H10" s="3548">
        <f>IFERROR((H8-$C$8)/$C$8,0)</f>
        <v>1.4659537070562609</v>
      </c>
      <c r="I10" s="3547"/>
      <c r="J10" s="3548">
        <f>IFERROR((J8-$I$8)/$I$8,0)</f>
        <v>0.87282686898990747</v>
      </c>
      <c r="K10" s="3549">
        <f>IFERROR((K8-$I$8)/$I$8,0)</f>
        <v>1.1163228630974651</v>
      </c>
      <c r="L10" s="3548">
        <f>IFERROR((L8-$I$8)/$I$8,0)</f>
        <v>1.394117830973248</v>
      </c>
      <c r="M10" s="3548">
        <f>IFERROR((M8-$I$8)/$I$8,0)</f>
        <v>1.7110125099408764</v>
      </c>
      <c r="N10" s="3548">
        <f>IFERROR((N8-$I$8)/$I$8,0)</f>
        <v>2.072475430519118</v>
      </c>
      <c r="O10" s="4280">
        <f t="shared" si="0"/>
        <v>2.316713746027157</v>
      </c>
      <c r="P10" s="4280">
        <f t="shared" si="1"/>
        <v>1.3744404579541902</v>
      </c>
      <c r="R10" s="4299" t="s">
        <v>207</v>
      </c>
      <c r="S10" s="3579">
        <f>'8. Ремонтна програма'!X24</f>
        <v>860.88554445383215</v>
      </c>
      <c r="T10" s="3579">
        <f>'8. Ремонтна програма'!Y24</f>
        <v>953.15000470525013</v>
      </c>
      <c r="U10" s="3579">
        <f>'8. Ремонтна програма'!Z24</f>
        <v>1013.4999691488044</v>
      </c>
      <c r="V10" s="3579">
        <f>'8. Ремонтна програма'!AA24</f>
        <v>1089.2925400588556</v>
      </c>
      <c r="W10" s="3579">
        <f>'8. Ремонтна програма'!AB24</f>
        <v>1175.5632876976704</v>
      </c>
      <c r="X10" s="3579">
        <f>'8. Ремонтна програма'!AC24</f>
        <v>1265.6174541153662</v>
      </c>
      <c r="Y10" s="3558">
        <f t="shared" ref="Y10:Y14" si="11">IFERROR((T10-S10)/S10,0)</f>
        <v>0.10717389883686909</v>
      </c>
      <c r="Z10" s="4292">
        <f t="shared" ref="Z10:Z14" si="12">IFERROR((X10-T10)/T10,0)</f>
        <v>0.32782610068468998</v>
      </c>
      <c r="AB10" s="5617" t="s">
        <v>1703</v>
      </c>
      <c r="AC10" s="5617" t="s">
        <v>184</v>
      </c>
      <c r="AD10" s="5617"/>
      <c r="AE10" s="5617"/>
      <c r="AF10" s="5617"/>
      <c r="AG10" s="5617"/>
      <c r="AH10" s="11"/>
      <c r="AI10" s="11"/>
      <c r="AK10" s="1461" t="s">
        <v>179</v>
      </c>
      <c r="AL10" s="3553"/>
      <c r="AM10" s="3553"/>
      <c r="AN10" s="3553"/>
      <c r="AO10" s="3553"/>
      <c r="AP10" s="3553"/>
    </row>
    <row r="11" spans="1:42" ht="18.75" customHeight="1">
      <c r="A11" s="3436" t="s">
        <v>1546</v>
      </c>
      <c r="B11" s="3554" t="s">
        <v>170</v>
      </c>
      <c r="C11" s="3430">
        <f>'5. Персонал'!C62</f>
        <v>0.19552367079252059</v>
      </c>
      <c r="D11" s="3430">
        <f>'5. Персонал'!D62</f>
        <v>0.20096712138335088</v>
      </c>
      <c r="E11" s="3430">
        <f>'5. Персонал'!E62</f>
        <v>0.21154258500664933</v>
      </c>
      <c r="F11" s="3430">
        <f>'5. Персонал'!F62</f>
        <v>0.21140031377825788</v>
      </c>
      <c r="G11" s="3430">
        <f>'5. Персонал'!G62</f>
        <v>0.21128290323733206</v>
      </c>
      <c r="H11" s="3430">
        <f>'5. Персонал'!H62</f>
        <v>0.21116615598063879</v>
      </c>
      <c r="I11" s="3430">
        <f>'5. Персонал'!I62</f>
        <v>0.22710876459045873</v>
      </c>
      <c r="J11" s="3430">
        <f>'5. Персонал'!J62</f>
        <v>0.23046617499328592</v>
      </c>
      <c r="K11" s="3430">
        <f>'5. Персонал'!K62</f>
        <v>0.24129972828114854</v>
      </c>
      <c r="L11" s="3430">
        <f>'5. Персонал'!L62</f>
        <v>0.24141270252488967</v>
      </c>
      <c r="M11" s="3430">
        <f>'5. Персонал'!M62</f>
        <v>0.24152505020113038</v>
      </c>
      <c r="N11" s="3430">
        <f>'5. Персонал'!N62</f>
        <v>0.24163486842809098</v>
      </c>
      <c r="O11" s="4280">
        <f t="shared" si="0"/>
        <v>5.0749767061811772E-2</v>
      </c>
      <c r="P11" s="4280">
        <f t="shared" si="1"/>
        <v>4.8461312967642362E-2</v>
      </c>
      <c r="R11" s="4299" t="s">
        <v>174</v>
      </c>
      <c r="S11" s="3579">
        <f>'8. Ремонтна програма'!X53</f>
        <v>22.720973135286219</v>
      </c>
      <c r="T11" s="3579">
        <f>'8. Ремонтна програма'!Y53</f>
        <v>30.931380715222726</v>
      </c>
      <c r="U11" s="3579">
        <f>'8. Ремонтна програма'!Z53</f>
        <v>32.373661019584979</v>
      </c>
      <c r="V11" s="3579">
        <f>'8. Ремонтна програма'!AA53</f>
        <v>32.076015460987072</v>
      </c>
      <c r="W11" s="3579">
        <f>'8. Ремонтна програма'!AB53</f>
        <v>37.689909335101184</v>
      </c>
      <c r="X11" s="3579">
        <f>'8. Ремонтна програма'!AC53</f>
        <v>37.99271256319286</v>
      </c>
      <c r="Y11" s="3558">
        <f t="shared" si="11"/>
        <v>0.36135809549396225</v>
      </c>
      <c r="Z11" s="4292">
        <f t="shared" si="12"/>
        <v>0.22829022451283382</v>
      </c>
      <c r="AB11" s="5617"/>
      <c r="AC11" s="4285" t="str">
        <f>+'15. ОПП'!$C$7</f>
        <v>2027 г.</v>
      </c>
      <c r="AD11" s="4285" t="str">
        <f>+'15. ОПП'!$D$7</f>
        <v>2028 г.</v>
      </c>
      <c r="AE11" s="4285" t="str">
        <f>+'15. ОПП'!$E$7</f>
        <v>2029 г.</v>
      </c>
      <c r="AF11" s="4285" t="str">
        <f>+'15. ОПП'!$F$7</f>
        <v>2030 г.</v>
      </c>
      <c r="AG11" s="4285" t="str">
        <f>+'15. ОПП'!$G$7</f>
        <v>2031 г.</v>
      </c>
      <c r="AH11" s="11"/>
      <c r="AI11" s="11"/>
      <c r="AK11" s="3555" t="s">
        <v>180</v>
      </c>
      <c r="AL11" s="3556">
        <f>'20.Цени '!J16</f>
        <v>0.84099999999999997</v>
      </c>
      <c r="AM11" s="3556">
        <f>'20.Цени '!K16</f>
        <v>0.91500000000000004</v>
      </c>
      <c r="AN11" s="3556">
        <f>'20.Цени '!L16</f>
        <v>0.995</v>
      </c>
      <c r="AO11" s="3556">
        <f>'20.Цени '!M16</f>
        <v>1.085</v>
      </c>
      <c r="AP11" s="3556">
        <f>'20.Цени '!N16</f>
        <v>1.1850000000000001</v>
      </c>
    </row>
    <row r="12" spans="1:42" ht="21.75" customHeight="1">
      <c r="A12" s="3436" t="s">
        <v>1545</v>
      </c>
      <c r="B12" s="3554" t="s">
        <v>170</v>
      </c>
      <c r="C12" s="3430">
        <f>'5. Персонал'!C63</f>
        <v>7.5832034309722449E-2</v>
      </c>
      <c r="D12" s="3430">
        <f>'5. Персонал'!D63</f>
        <v>7.8342219969903884E-2</v>
      </c>
      <c r="E12" s="3430">
        <f>'5. Персонал'!E63</f>
        <v>7.2563459572403219E-2</v>
      </c>
      <c r="F12" s="3430">
        <f>'5. Персонал'!F63</f>
        <v>7.1023040306929283E-2</v>
      </c>
      <c r="G12" s="3430">
        <f>'5. Персонал'!G63</f>
        <v>6.5829152980464059E-2</v>
      </c>
      <c r="H12" s="3430">
        <f>'5. Персонал'!H63</f>
        <v>5.7725616439078684E-2</v>
      </c>
      <c r="I12" s="3430">
        <f>'5. Персонал'!I63</f>
        <v>7.6663341365173443E-2</v>
      </c>
      <c r="J12" s="3430">
        <f>'5. Персонал'!J63</f>
        <v>6.7016374091350167E-2</v>
      </c>
      <c r="K12" s="3430">
        <f>'5. Персонал'!K63</f>
        <v>6.2433829151079138E-2</v>
      </c>
      <c r="L12" s="3430">
        <f>'5. Персонал'!L63</f>
        <v>6.1470515984933333E-2</v>
      </c>
      <c r="M12" s="3430">
        <f>'5. Персонал'!M63</f>
        <v>5.7300210598290748E-2</v>
      </c>
      <c r="N12" s="3430">
        <f>'5. Персонал'!N63</f>
        <v>5.0501859995009946E-2</v>
      </c>
      <c r="O12" s="4280">
        <f t="shared" si="0"/>
        <v>-0.26316082871720153</v>
      </c>
      <c r="P12" s="4280">
        <f t="shared" si="1"/>
        <v>-0.24642506134141562</v>
      </c>
      <c r="R12" s="4299" t="s">
        <v>184</v>
      </c>
      <c r="S12" s="3579">
        <f>'8. Ремонтна програма'!X79</f>
        <v>19.525727675320301</v>
      </c>
      <c r="T12" s="3579">
        <f>'8. Ремонтна програма'!Y79</f>
        <v>24.807265215672658</v>
      </c>
      <c r="U12" s="3579">
        <f>'8. Ремонтна програма'!Z79</f>
        <v>24.413896669805123</v>
      </c>
      <c r="V12" s="3579">
        <f>'8. Ремонтна програма'!AA79</f>
        <v>26.056312802389769</v>
      </c>
      <c r="W12" s="3579">
        <f>'8. Ремонтна програма'!AB79</f>
        <v>28.099461182052028</v>
      </c>
      <c r="X12" s="3579">
        <f>'8. Ремонтна програма'!AC79</f>
        <v>30.201777618207839</v>
      </c>
      <c r="Y12" s="3558">
        <f t="shared" si="11"/>
        <v>0.27049120156622886</v>
      </c>
      <c r="Z12" s="4292">
        <f t="shared" si="12"/>
        <v>0.21745695688886546</v>
      </c>
      <c r="AB12" s="3541" t="s">
        <v>1694</v>
      </c>
      <c r="AC12" s="3542">
        <f>AC13+AC14</f>
        <v>1809.1302706666665</v>
      </c>
      <c r="AD12" s="3542">
        <f t="shared" ref="AD12:AG12" si="13">AD13+AD14</f>
        <v>1816.0858674087426</v>
      </c>
      <c r="AE12" s="3542">
        <f t="shared" si="13"/>
        <v>1823.6646078461222</v>
      </c>
      <c r="AF12" s="3542">
        <f t="shared" si="13"/>
        <v>1834.0324324627582</v>
      </c>
      <c r="AG12" s="3542">
        <f t="shared" si="13"/>
        <v>1844.8010711397849</v>
      </c>
      <c r="AH12" s="11"/>
      <c r="AI12" s="11"/>
      <c r="AK12" s="3555" t="s">
        <v>181</v>
      </c>
      <c r="AL12" s="3556">
        <f>'20.Цени '!J17</f>
        <v>1.4359999999999999</v>
      </c>
      <c r="AM12" s="3556">
        <f>'20.Цени '!K17</f>
        <v>1.5649999999999999</v>
      </c>
      <c r="AN12" s="3556">
        <f>'20.Цени '!L17</f>
        <v>1.7050000000000001</v>
      </c>
      <c r="AO12" s="3556">
        <f>'20.Цени '!M17</f>
        <v>1.86</v>
      </c>
      <c r="AP12" s="3556">
        <f>'20.Цени '!N17</f>
        <v>2.0339999999999998</v>
      </c>
    </row>
    <row r="13" spans="1:42" ht="14.25" customHeight="1">
      <c r="A13" s="5615" t="s">
        <v>2</v>
      </c>
      <c r="B13" s="5621" t="s">
        <v>1536</v>
      </c>
      <c r="C13" s="5623" t="s">
        <v>184</v>
      </c>
      <c r="D13" s="5624"/>
      <c r="E13" s="5624"/>
      <c r="F13" s="5624"/>
      <c r="G13" s="5624"/>
      <c r="H13" s="5625"/>
      <c r="I13" s="5618" t="s">
        <v>1028</v>
      </c>
      <c r="J13" s="5619"/>
      <c r="K13" s="5619"/>
      <c r="L13" s="5619"/>
      <c r="M13" s="5619"/>
      <c r="N13" s="5626"/>
      <c r="O13" s="5615" t="str">
        <f>CONCATENATE("Изменение ", H14,"спрямо ",D14)</f>
        <v>Изменение 2031 г.спрямо 2027 г.</v>
      </c>
      <c r="P13" s="5615" t="str">
        <f>CONCATENATE("Изменение ", N14,"спрямо ",J14)</f>
        <v>Изменение 2031 г.спрямо 2027 г.</v>
      </c>
      <c r="R13" s="3445" t="s">
        <v>1235</v>
      </c>
      <c r="S13" s="3579">
        <f>'8. Ремонтна програма'!X110</f>
        <v>0</v>
      </c>
      <c r="T13" s="3579">
        <f>'8. Ремонтна програма'!Y110</f>
        <v>0</v>
      </c>
      <c r="U13" s="3579">
        <f>'8. Ремонтна програма'!Z110</f>
        <v>0</v>
      </c>
      <c r="V13" s="3579">
        <f>'8. Ремонтна програма'!AA110</f>
        <v>0</v>
      </c>
      <c r="W13" s="3579">
        <f>'8. Ремонтна програма'!AB110</f>
        <v>0</v>
      </c>
      <c r="X13" s="3579">
        <f>'8. Ремонтна програма'!AC110</f>
        <v>0</v>
      </c>
      <c r="Y13" s="3558">
        <f t="shared" si="11"/>
        <v>0</v>
      </c>
      <c r="Z13" s="4292">
        <f t="shared" si="12"/>
        <v>0</v>
      </c>
      <c r="AB13" s="3552" t="s">
        <v>299</v>
      </c>
      <c r="AC13" s="3542">
        <f>'4. Отчет и прогн. потребление'!E55/1000</f>
        <v>1506.1622163333332</v>
      </c>
      <c r="AD13" s="3542">
        <f>'4. Отчет и прогн. потребление'!F55/1000</f>
        <v>1513.1208674087427</v>
      </c>
      <c r="AE13" s="3542">
        <f>'4. Отчет и прогн. потребление'!G55/1000</f>
        <v>1512.2996078461222</v>
      </c>
      <c r="AF13" s="3542">
        <f>'4. Отчет и прогн. потребление'!H55/1000</f>
        <v>1514.2174324627581</v>
      </c>
      <c r="AG13" s="3542">
        <f>'4. Отчет и прогн. потребление'!I55/1000</f>
        <v>1516.586071139785</v>
      </c>
      <c r="AH13" s="11"/>
      <c r="AI13" s="11"/>
      <c r="AK13" s="3555" t="s">
        <v>182</v>
      </c>
      <c r="AL13" s="3556">
        <f>'20.Цени '!J18</f>
        <v>1.6359999999999999</v>
      </c>
      <c r="AM13" s="3556">
        <f>'20.Цени '!K18</f>
        <v>1.7789999999999999</v>
      </c>
      <c r="AN13" s="3556">
        <f>'20.Цени '!L18</f>
        <v>1.9330000000000001</v>
      </c>
      <c r="AO13" s="3556">
        <f>'20.Цени '!M18</f>
        <v>2.105</v>
      </c>
      <c r="AP13" s="3556">
        <f>'20.Цени '!N18</f>
        <v>2.2959999999999998</v>
      </c>
    </row>
    <row r="14" spans="1:42" ht="14.25" customHeight="1">
      <c r="A14" s="5616"/>
      <c r="B14" s="5622"/>
      <c r="C14" s="4352" t="str">
        <f>+'15. ОПП'!$B$7</f>
        <v>2024 г.</v>
      </c>
      <c r="D14" s="4352" t="str">
        <f>+'15. ОПП'!$C$7</f>
        <v>2027 г.</v>
      </c>
      <c r="E14" s="4352" t="str">
        <f>+'15. ОПП'!$D$7</f>
        <v>2028 г.</v>
      </c>
      <c r="F14" s="4352" t="str">
        <f>+'15. ОПП'!$E$7</f>
        <v>2029 г.</v>
      </c>
      <c r="G14" s="4352" t="str">
        <f>+'15. ОПП'!$F$7</f>
        <v>2030 г.</v>
      </c>
      <c r="H14" s="4352" t="str">
        <f>+'15. ОПП'!$G$7</f>
        <v>2031 г.</v>
      </c>
      <c r="I14" s="4352" t="str">
        <f>+'15. ОПП'!$B$7</f>
        <v>2024 г.</v>
      </c>
      <c r="J14" s="4352" t="str">
        <f>+'15. ОПП'!$C$7</f>
        <v>2027 г.</v>
      </c>
      <c r="K14" s="4352" t="str">
        <f>+'15. ОПП'!$D$7</f>
        <v>2028 г.</v>
      </c>
      <c r="L14" s="4352" t="str">
        <f>+'15. ОПП'!$E$7</f>
        <v>2029 г.</v>
      </c>
      <c r="M14" s="4352" t="str">
        <f>+'15. ОПП'!$F$7</f>
        <v>2030 г.</v>
      </c>
      <c r="N14" s="4352" t="str">
        <f>+'15. ОПП'!$G$7</f>
        <v>2031 г.</v>
      </c>
      <c r="O14" s="5616"/>
      <c r="P14" s="5616"/>
      <c r="R14" s="3445" t="s">
        <v>1092</v>
      </c>
      <c r="S14" s="3579">
        <f>'8. Ремонтна програма'!X141</f>
        <v>64.5311248617638</v>
      </c>
      <c r="T14" s="3579">
        <f>'8. Ремонтна програма'!Y141</f>
        <v>116.01092260887278</v>
      </c>
      <c r="U14" s="3579">
        <f>'8. Ремонтна програма'!Z141</f>
        <v>131.01178162470063</v>
      </c>
      <c r="V14" s="3579">
        <f>'8. Ремонтна програма'!AA141</f>
        <v>148.60555154749522</v>
      </c>
      <c r="W14" s="3579">
        <f>'8. Ремонтна програма'!AB141</f>
        <v>167.83078371330456</v>
      </c>
      <c r="X14" s="3579">
        <f>'8. Ремонтна програма'!AC141</f>
        <v>191.62390407454254</v>
      </c>
      <c r="Y14" s="3558">
        <f t="shared" si="11"/>
        <v>0.79775143943929538</v>
      </c>
      <c r="Z14" s="4292">
        <f t="shared" si="12"/>
        <v>0.65177467573977133</v>
      </c>
      <c r="AB14" s="1260" t="s">
        <v>300</v>
      </c>
      <c r="AC14" s="3542">
        <f>SUM(AC15:AC17)</f>
        <v>302.96805433333333</v>
      </c>
      <c r="AD14" s="3542">
        <f t="shared" ref="AD14:AG14" si="14">SUM(AD15:AD17)</f>
        <v>302.96499999999997</v>
      </c>
      <c r="AE14" s="3542">
        <f t="shared" si="14"/>
        <v>311.36500000000001</v>
      </c>
      <c r="AF14" s="3542">
        <f t="shared" si="14"/>
        <v>319.815</v>
      </c>
      <c r="AG14" s="3542">
        <f t="shared" si="14"/>
        <v>328.21499999999997</v>
      </c>
      <c r="AH14" s="11"/>
      <c r="AI14" s="11"/>
      <c r="AK14" s="5612" t="str">
        <f>AC18</f>
        <v>Доставяне вода с непитейни качества</v>
      </c>
      <c r="AL14" s="5613"/>
      <c r="AM14" s="5613"/>
      <c r="AN14" s="5613"/>
      <c r="AO14" s="5613"/>
      <c r="AP14" s="5614"/>
    </row>
    <row r="15" spans="1:42" ht="20.100000000000001" customHeight="1">
      <c r="A15" s="3435" t="s">
        <v>1541</v>
      </c>
      <c r="B15" s="3539" t="s">
        <v>676</v>
      </c>
      <c r="C15" s="3540">
        <f>'5. Персонал'!O11</f>
        <v>48.861952959814332</v>
      </c>
      <c r="D15" s="3540">
        <f>'5. Персонал'!P11</f>
        <v>56.485228874724257</v>
      </c>
      <c r="E15" s="3540">
        <f>'5. Персонал'!Q11</f>
        <v>56.487287324582439</v>
      </c>
      <c r="F15" s="3540">
        <f>'5. Персонал'!R11</f>
        <v>56.489352212066748</v>
      </c>
      <c r="G15" s="3540">
        <f>'5. Персонал'!S11</f>
        <v>56.491424092786858</v>
      </c>
      <c r="H15" s="3540">
        <f>'5. Персонал'!T11</f>
        <v>56.493502618238082</v>
      </c>
      <c r="I15" s="3540">
        <f>C4+I4+C15</f>
        <v>316.36580851569045</v>
      </c>
      <c r="J15" s="3540">
        <f t="shared" ref="J15:N16" si="15">D4+J4+D15</f>
        <v>329.81279071224247</v>
      </c>
      <c r="K15" s="3540">
        <f t="shared" si="15"/>
        <v>327.76330151098398</v>
      </c>
      <c r="L15" s="3540">
        <f t="shared" si="15"/>
        <v>326.71368011931935</v>
      </c>
      <c r="M15" s="3540">
        <f t="shared" si="15"/>
        <v>325.66391339053314</v>
      </c>
      <c r="N15" s="3540">
        <f t="shared" si="15"/>
        <v>324.61400990473317</v>
      </c>
      <c r="O15" s="4280">
        <f t="shared" ref="O15:O23" si="16">IFERROR((H15-D15)/D15,0)</f>
        <v>1.4647623243548347E-4</v>
      </c>
      <c r="P15" s="4280">
        <f t="shared" ref="P15:P23" si="17">IFERROR((N15-J15)/J15,0)</f>
        <v>-1.5762823498392396E-2</v>
      </c>
      <c r="R15" s="4323"/>
      <c r="S15" s="4340"/>
      <c r="T15" s="4340"/>
      <c r="U15" s="4340"/>
      <c r="V15" s="4340"/>
      <c r="W15" s="4340"/>
      <c r="X15" s="4340"/>
      <c r="Y15" s="4316"/>
      <c r="Z15" s="4341"/>
      <c r="AB15" s="3557" t="s">
        <v>997</v>
      </c>
      <c r="AC15" s="3542">
        <f>'4. Отчет и прогн. потребление'!E58/1000</f>
        <v>62.153054333333337</v>
      </c>
      <c r="AD15" s="3542">
        <f>'4. Отчет и прогн. потребление'!F58/1000</f>
        <v>62.15</v>
      </c>
      <c r="AE15" s="3542">
        <f>'4. Отчет и прогн. потребление'!G58/1000</f>
        <v>70.55</v>
      </c>
      <c r="AF15" s="3542">
        <f>'4. Отчет и прогн. потребление'!H58/1000</f>
        <v>79</v>
      </c>
      <c r="AG15" s="3542">
        <f>'4. Отчет и прогн. потребление'!I58/1000</f>
        <v>87.4</v>
      </c>
      <c r="AH15" s="11"/>
      <c r="AI15" s="11"/>
      <c r="AK15" s="1461"/>
      <c r="AL15" s="3545">
        <f>'20.Цени '!J19</f>
        <v>0</v>
      </c>
      <c r="AM15" s="3545">
        <f>'20.Цени '!K19</f>
        <v>0</v>
      </c>
      <c r="AN15" s="3545">
        <f>'20.Цени '!L19</f>
        <v>0</v>
      </c>
      <c r="AO15" s="3545">
        <f>'20.Цени '!M19</f>
        <v>0</v>
      </c>
      <c r="AP15" s="3545">
        <f>'20.Цени '!N19</f>
        <v>0</v>
      </c>
    </row>
    <row r="16" spans="1:42" ht="24" customHeight="1">
      <c r="A16" s="3432" t="s">
        <v>1534</v>
      </c>
      <c r="B16" s="3543" t="s">
        <v>1539</v>
      </c>
      <c r="C16" s="3544">
        <f>'5. Персонал'!O14</f>
        <v>46.779999999999994</v>
      </c>
      <c r="D16" s="3544">
        <f>'5. Персонал'!P14</f>
        <v>58.969648970082204</v>
      </c>
      <c r="E16" s="3544">
        <f>'5. Персонал'!Q14</f>
        <v>57.90363386749911</v>
      </c>
      <c r="F16" s="3544">
        <f>'5. Персонал'!R14</f>
        <v>56.834581404557738</v>
      </c>
      <c r="G16" s="3544">
        <f>'5. Персонал'!S14</f>
        <v>55.762412039847582</v>
      </c>
      <c r="H16" s="3544">
        <f>'5. Персонал'!T14</f>
        <v>54.68704246438417</v>
      </c>
      <c r="I16" s="3540">
        <f>C5+I5+C16</f>
        <v>296.75</v>
      </c>
      <c r="J16" s="3540">
        <f t="shared" si="15"/>
        <v>312.50132336173544</v>
      </c>
      <c r="K16" s="3540">
        <f t="shared" si="15"/>
        <v>308.91134732913957</v>
      </c>
      <c r="L16" s="3540">
        <f t="shared" si="15"/>
        <v>306.23426162512521</v>
      </c>
      <c r="M16" s="3540">
        <f t="shared" si="15"/>
        <v>303.55876967314151</v>
      </c>
      <c r="N16" s="3540">
        <f t="shared" si="15"/>
        <v>300.88488711123841</v>
      </c>
      <c r="O16" s="4280">
        <f t="shared" si="16"/>
        <v>-7.2623910443672154E-2</v>
      </c>
      <c r="P16" s="4280">
        <f t="shared" si="17"/>
        <v>-3.7172438585325422E-2</v>
      </c>
      <c r="R16" s="4354" t="s">
        <v>1856</v>
      </c>
      <c r="S16" s="4355" t="str">
        <f>+'15. ОПП'!$B$7</f>
        <v>2024 г.</v>
      </c>
      <c r="T16" s="4355" t="str">
        <f>+'15. ОПП'!$C$7</f>
        <v>2027 г.</v>
      </c>
      <c r="U16" s="4355" t="str">
        <f>+'15. ОПП'!$D$7</f>
        <v>2028 г.</v>
      </c>
      <c r="V16" s="4355" t="str">
        <f>+'15. ОПП'!$E$7</f>
        <v>2029 г.</v>
      </c>
      <c r="W16" s="4355" t="str">
        <f>+'15. ОПП'!$F$7</f>
        <v>2030 г.</v>
      </c>
      <c r="X16" s="4355" t="str">
        <f>+'15. ОПП'!$G$7</f>
        <v>2031 г.</v>
      </c>
      <c r="Y16" s="4355" t="str">
        <f>+Y8</f>
        <v>Изменение 2027 г.спрямо 2024 г.</v>
      </c>
      <c r="Z16" s="4355" t="str">
        <f>+Z8</f>
        <v>Изменение 2031 г.спрямо 2027 г.</v>
      </c>
      <c r="AB16" s="3557" t="s">
        <v>998</v>
      </c>
      <c r="AC16" s="3542">
        <f>'4. Отчет и прогн. потребление'!E59/1000</f>
        <v>213.25</v>
      </c>
      <c r="AD16" s="3542">
        <f>'4. Отчет и прогн. потребление'!F59/1000</f>
        <v>213.25</v>
      </c>
      <c r="AE16" s="3542">
        <f>'4. Отчет и прогн. потребление'!G59/1000</f>
        <v>213.25</v>
      </c>
      <c r="AF16" s="3542">
        <f>'4. Отчет и прогн. потребление'!H59/1000</f>
        <v>213.25</v>
      </c>
      <c r="AG16" s="3542">
        <f>'4. Отчет и прогн. потребление'!I59/1000</f>
        <v>213.25</v>
      </c>
      <c r="AH16" s="11"/>
      <c r="AI16" s="11"/>
      <c r="AK16" s="5612" t="str">
        <f>AC21</f>
        <v>Доставяне вода на друг ВиК оператор</v>
      </c>
      <c r="AL16" s="5613"/>
      <c r="AM16" s="5613"/>
      <c r="AN16" s="5613"/>
      <c r="AO16" s="5613"/>
      <c r="AP16" s="5614"/>
    </row>
    <row r="17" spans="1:48" ht="14.25" customHeight="1">
      <c r="A17" s="3438" t="s">
        <v>1544</v>
      </c>
      <c r="B17" s="3546" t="s">
        <v>170</v>
      </c>
      <c r="C17" s="3547"/>
      <c r="D17" s="3548">
        <f>IFERROR((D16-C16)/C16,0)</f>
        <v>0.26057394121595151</v>
      </c>
      <c r="E17" s="3548">
        <f t="shared" ref="E17:H17" si="18">IFERROR((E16-D16)/D16,0)</f>
        <v>-1.8077352014151022E-2</v>
      </c>
      <c r="F17" s="3548">
        <f t="shared" si="18"/>
        <v>-1.8462614373869597E-2</v>
      </c>
      <c r="G17" s="3548">
        <f t="shared" si="18"/>
        <v>-1.8864735838877409E-2</v>
      </c>
      <c r="H17" s="3548">
        <f t="shared" si="18"/>
        <v>-1.9284846837237919E-2</v>
      </c>
      <c r="I17" s="3547"/>
      <c r="J17" s="3549">
        <f>IFERROR((J16-I16)/I16,0)</f>
        <v>5.30794384557218E-2</v>
      </c>
      <c r="K17" s="3549">
        <f t="shared" ref="K17:N17" si="19">IFERROR((K16-J16)/J16,0)</f>
        <v>-1.1487874655942814E-2</v>
      </c>
      <c r="L17" s="3549">
        <f t="shared" si="19"/>
        <v>-8.6661941270871224E-3</v>
      </c>
      <c r="M17" s="3549">
        <f t="shared" si="19"/>
        <v>-8.7367492382641656E-3</v>
      </c>
      <c r="N17" s="3549">
        <f t="shared" si="19"/>
        <v>-8.8084510448576923E-3</v>
      </c>
      <c r="O17" s="4280">
        <f t="shared" si="16"/>
        <v>-1.0740091152140787</v>
      </c>
      <c r="P17" s="4280">
        <f t="shared" si="17"/>
        <v>-1.1659484595377849</v>
      </c>
      <c r="R17" s="4356" t="s">
        <v>1563</v>
      </c>
      <c r="S17" s="4357">
        <f>IFERROR('8. Ремонтна програма'!J10/'8. Ремонтна програма'!J$24,0)</f>
        <v>1.0594672339908733E-2</v>
      </c>
      <c r="T17" s="4357">
        <f>IFERROR('8. Ремонтна програма'!K10/'8. Ремонтна програма'!K$24,0)</f>
        <v>8.1285755361846096E-3</v>
      </c>
      <c r="U17" s="4357">
        <f>IFERROR('8. Ремонтна програма'!L10/'8. Ремонтна програма'!L$24,0)</f>
        <v>8.3066869742639514E-3</v>
      </c>
      <c r="V17" s="4357">
        <f>IFERROR('8. Ремонтна програма'!M10/'8. Ремонтна програма'!M$24,0)</f>
        <v>8.4120715975497008E-3</v>
      </c>
      <c r="W17" s="4357">
        <f>IFERROR('8. Ремонтна програма'!N10/'8. Ремонтна програма'!N$24,0)</f>
        <v>8.5056185871871699E-3</v>
      </c>
      <c r="X17" s="4357">
        <f>IFERROR('8. Ремонтна програма'!O10/'8. Ремонтна програма'!O$24,0)</f>
        <v>8.6426296055553287E-3</v>
      </c>
      <c r="Y17" s="3558">
        <f>IFERROR((T17-S17)/S17,0)</f>
        <v>-0.23276763307107307</v>
      </c>
      <c r="Z17" s="3558">
        <f t="shared" ref="Z17:Z30" si="20">IFERROR((X17-T17)/T17,0)</f>
        <v>6.3240363220147408E-2</v>
      </c>
      <c r="AB17" s="3557" t="s">
        <v>999</v>
      </c>
      <c r="AC17" s="3542">
        <f>'4. Отчет и прогн. потребление'!E60/1000</f>
        <v>27.565000000000001</v>
      </c>
      <c r="AD17" s="3542">
        <f>'4. Отчет и прогн. потребление'!F60/1000</f>
        <v>27.565000000000001</v>
      </c>
      <c r="AE17" s="3542">
        <f>'4. Отчет и прогн. потребление'!G60/1000</f>
        <v>27.565000000000001</v>
      </c>
      <c r="AF17" s="3542">
        <f>'4. Отчет и прогн. потребление'!H60/1000</f>
        <v>27.565000000000001</v>
      </c>
      <c r="AG17" s="3542">
        <f>'4. Отчет и прогн. потребление'!I60/1000</f>
        <v>27.565000000000001</v>
      </c>
      <c r="AH17" s="11"/>
      <c r="AI17" s="11"/>
      <c r="AK17" s="1461"/>
      <c r="AL17" s="3545">
        <f>'20.Цени '!J20</f>
        <v>8.3000000000000004E-2</v>
      </c>
      <c r="AM17" s="3545">
        <f>'20.Цени '!K20</f>
        <v>8.5000000000000006E-2</v>
      </c>
      <c r="AN17" s="3545">
        <f>'20.Цени '!L20</f>
        <v>9.1999999999999998E-2</v>
      </c>
      <c r="AO17" s="3545">
        <f>'20.Цени '!M20</f>
        <v>0.1</v>
      </c>
      <c r="AP17" s="3545">
        <f>'20.Цени '!N20</f>
        <v>0.108</v>
      </c>
    </row>
    <row r="18" spans="1:48">
      <c r="A18" s="3438" t="s">
        <v>1543</v>
      </c>
      <c r="B18" s="3546" t="s">
        <v>170</v>
      </c>
      <c r="C18" s="3547"/>
      <c r="D18" s="3548">
        <f>IFERROR((D16-$C$16)/$C$16,0)</f>
        <v>0.26057394121595151</v>
      </c>
      <c r="E18" s="3548">
        <f t="shared" ref="E18:H18" si="21">IFERROR((E16-$C$16)/$C$16,0)</f>
        <v>0.23778610234072503</v>
      </c>
      <c r="F18" s="3548">
        <f t="shared" si="21"/>
        <v>0.21493333485587315</v>
      </c>
      <c r="G18" s="3548">
        <f t="shared" si="21"/>
        <v>0.1920139384319707</v>
      </c>
      <c r="H18" s="3548">
        <f t="shared" si="21"/>
        <v>0.1690261322014574</v>
      </c>
      <c r="I18" s="3547"/>
      <c r="J18" s="3559">
        <f>IFERROR((J16-$I$16)/$I$16,0)</f>
        <v>5.30794384557218E-2</v>
      </c>
      <c r="K18" s="3549">
        <f t="shared" ref="K18:N18" si="22">IFERROR((K16-$I$16)/$I$16,0)</f>
        <v>4.0981793863991825E-2</v>
      </c>
      <c r="L18" s="3548">
        <f t="shared" si="22"/>
        <v>3.1960443555603082E-2</v>
      </c>
      <c r="M18" s="3548">
        <f t="shared" si="22"/>
        <v>2.2944463936449916E-2</v>
      </c>
      <c r="N18" s="3548">
        <f t="shared" si="22"/>
        <v>1.39339077042575E-2</v>
      </c>
      <c r="O18" s="4280">
        <f t="shared" si="16"/>
        <v>-0.35133140553998665</v>
      </c>
      <c r="P18" s="4280">
        <f t="shared" si="17"/>
        <v>-0.73748954190837956</v>
      </c>
      <c r="R18" s="4356" t="s">
        <v>1564</v>
      </c>
      <c r="S18" s="4357">
        <f>IFERROR('8. Ремонтна програма'!J11/'8. Ремонтна програма'!J$24,0)</f>
        <v>0.11226796657212772</v>
      </c>
      <c r="T18" s="4357">
        <f>IFERROR('8. Ремонтна програма'!K11/'8. Ремонтна програма'!K$24,0)</f>
        <v>0.10772869729404731</v>
      </c>
      <c r="U18" s="4357">
        <f>IFERROR('8. Ремонтна програма'!L11/'8. Ремонтна програма'!L$24,0)</f>
        <v>0.10600489703402728</v>
      </c>
      <c r="V18" s="4357">
        <f>IFERROR('8. Ремонтна програма'!M11/'8. Ремонтна програма'!M$24,0)</f>
        <v>0.10812559140080841</v>
      </c>
      <c r="W18" s="4357">
        <f>IFERROR('8. Ремонтна програма'!N11/'8. Ремонтна програма'!N$24,0)</f>
        <v>0.11012252317904879</v>
      </c>
      <c r="X18" s="4357">
        <f>IFERROR('8. Ремонтна програма'!O11/'8. Ремонтна програма'!O$24,0)</f>
        <v>0.10864959359496479</v>
      </c>
      <c r="Y18" s="3558">
        <f t="shared" ref="Y18:Y30" si="23">IFERROR((T18-S18)/S18,0)</f>
        <v>-4.0432452966573544E-2</v>
      </c>
      <c r="Z18" s="3558">
        <f t="shared" si="20"/>
        <v>8.5482914399667691E-3</v>
      </c>
      <c r="AB18" s="5617" t="s">
        <v>1704</v>
      </c>
      <c r="AC18" s="5627" t="str">
        <f>C24</f>
        <v>Доставяне вода с непитейни качества</v>
      </c>
      <c r="AD18" s="5617"/>
      <c r="AE18" s="5617"/>
      <c r="AF18" s="5617"/>
      <c r="AG18" s="5617"/>
      <c r="AH18" s="11"/>
      <c r="AI18" s="11"/>
      <c r="AK18" s="11"/>
    </row>
    <row r="19" spans="1:48" ht="21.75" customHeight="1">
      <c r="A19" s="3433" t="s">
        <v>1905</v>
      </c>
      <c r="B19" s="3550" t="s">
        <v>1903</v>
      </c>
      <c r="C19" s="3551">
        <f>'5. Персонал'!BL50</f>
        <v>9.2806183912720943</v>
      </c>
      <c r="D19" s="3551">
        <f>'5. Персонал'!BM50</f>
        <v>12.533082200869309</v>
      </c>
      <c r="E19" s="3551">
        <f>'5. Персонал'!BN50</f>
        <v>14.558153520516093</v>
      </c>
      <c r="F19" s="3551">
        <f>'5. Персонал'!BO50</f>
        <v>16.923297066621615</v>
      </c>
      <c r="G19" s="3551">
        <f>'5. Персонал'!BP50</f>
        <v>19.686955570850639</v>
      </c>
      <c r="H19" s="3551">
        <f>'5. Персонал'!BQ50</f>
        <v>22.917912044951485</v>
      </c>
      <c r="I19" s="3551">
        <f>IFERROR(('5. Персонал'!AZ29+'5. Персонал'!BF29+'5. Персонал'!BL29)/I16,0)</f>
        <v>9.253672247371167</v>
      </c>
      <c r="J19" s="3551">
        <f>IFERROR(('5. Персонал'!BA29+'5. Персонал'!BG29+'5. Персонал'!BM29)/J16,0)</f>
        <v>13.292306370358187</v>
      </c>
      <c r="K19" s="3551">
        <f>IFERROR(('5. Персонал'!BB29+'5. Персонал'!BH29+'5. Персонал'!BN29)/K16,0)</f>
        <v>15.220463035389642</v>
      </c>
      <c r="L19" s="3551">
        <f>IFERROR(('5. Персонал'!BC29+'5. Персонал'!BI29+'5. Персонал'!BO29)/L16,0)</f>
        <v>17.452236666480172</v>
      </c>
      <c r="M19" s="3551">
        <f>IFERROR(('5. Персонал'!BD29+'5. Персонал'!BJ29+'5. Персонал'!BP29)/M16,0)</f>
        <v>20.025310347846311</v>
      </c>
      <c r="N19" s="3551">
        <f>IFERROR(('5. Персонал'!BE29+'5. Персонал'!BK29+'5. Персонал'!BQ29)/N16,0)</f>
        <v>22.983687769714134</v>
      </c>
      <c r="O19" s="4280">
        <f t="shared" si="16"/>
        <v>0.82859345192532707</v>
      </c>
      <c r="P19" s="4280">
        <f t="shared" si="17"/>
        <v>0.72909705278594139</v>
      </c>
      <c r="R19" s="4358" t="s">
        <v>1565</v>
      </c>
      <c r="S19" s="4357">
        <f>IFERROR('8. Ремонтна програма'!J12/'8. Ремонтна програма'!J$24,0)</f>
        <v>0.48353861466919107</v>
      </c>
      <c r="T19" s="4357">
        <f>IFERROR('8. Ремонтна програма'!K12/'8. Ремонтна програма'!K$24,0)</f>
        <v>0.47601202908027085</v>
      </c>
      <c r="U19" s="4357">
        <f>IFERROR('8. Ремонтна програма'!L12/'8. Ремонтна програма'!L$24,0)</f>
        <v>0.47240323144925844</v>
      </c>
      <c r="V19" s="4357">
        <f>IFERROR('8. Ремонтна програма'!M12/'8. Ремонтна програма'!M$24,0)</f>
        <v>0.46783381199409907</v>
      </c>
      <c r="W19" s="4357">
        <f>IFERROR('8. Ремонтна програма'!N12/'8. Ремонтна програма'!N$24,0)</f>
        <v>0.46267205057789662</v>
      </c>
      <c r="X19" s="4357">
        <f>IFERROR('8. Ремонтна програма'!O12/'8. Ремонтна програма'!O$24,0)</f>
        <v>0.45990685567862882</v>
      </c>
      <c r="Y19" s="3558">
        <f t="shared" si="23"/>
        <v>-1.556563500945932E-2</v>
      </c>
      <c r="Z19" s="3558">
        <f t="shared" si="20"/>
        <v>-3.3833542889157069E-2</v>
      </c>
      <c r="AB19" s="5617"/>
      <c r="AC19" s="4285" t="str">
        <f>+'15. ОПП'!$C$7</f>
        <v>2027 г.</v>
      </c>
      <c r="AD19" s="4285" t="str">
        <f>+'15. ОПП'!$D$7</f>
        <v>2028 г.</v>
      </c>
      <c r="AE19" s="4285" t="str">
        <f>+'15. ОПП'!$E$7</f>
        <v>2029 г.</v>
      </c>
      <c r="AF19" s="4285" t="str">
        <f>+'15. ОПП'!$F$7</f>
        <v>2030 г.</v>
      </c>
      <c r="AG19" s="4285" t="str">
        <f>+'15. ОПП'!$G$7</f>
        <v>2031 г.</v>
      </c>
      <c r="AH19" s="11"/>
      <c r="AI19" s="11"/>
      <c r="AK19" s="5603" t="s">
        <v>279</v>
      </c>
      <c r="AL19" s="5603" t="s">
        <v>280</v>
      </c>
      <c r="AM19" s="5603" t="s">
        <v>192</v>
      </c>
      <c r="AN19" s="5603"/>
      <c r="AO19" s="5603" t="s">
        <v>193</v>
      </c>
      <c r="AP19" s="5603"/>
      <c r="AQ19" s="5603"/>
      <c r="AR19" s="5603"/>
      <c r="AS19" s="5603"/>
    </row>
    <row r="20" spans="1:48" ht="15.75" customHeight="1">
      <c r="A20" s="3438" t="s">
        <v>1544</v>
      </c>
      <c r="B20" s="3546" t="s">
        <v>170</v>
      </c>
      <c r="C20" s="3547"/>
      <c r="D20" s="3548">
        <f>IFERROR((D19-C19)/C19,0)</f>
        <v>0.35045766052141269</v>
      </c>
      <c r="E20" s="3548">
        <f t="shared" ref="E20:H20" si="24">IFERROR((E19-D19)/D19,0)</f>
        <v>0.16157807690005599</v>
      </c>
      <c r="F20" s="3548">
        <f t="shared" si="24"/>
        <v>0.16246178080018461</v>
      </c>
      <c r="G20" s="3548">
        <f t="shared" si="24"/>
        <v>0.16330496908193384</v>
      </c>
      <c r="H20" s="3548">
        <f t="shared" si="24"/>
        <v>0.16411661328096563</v>
      </c>
      <c r="I20" s="3547"/>
      <c r="J20" s="3549">
        <f>IFERROR((J19-I19)/I19,0)</f>
        <v>0.43643582947670712</v>
      </c>
      <c r="K20" s="3549">
        <f t="shared" ref="K20:N20" si="25">IFERROR((K19-J19)/J19,0)</f>
        <v>0.14505809686505874</v>
      </c>
      <c r="L20" s="3549">
        <f t="shared" si="25"/>
        <v>0.14662981184615428</v>
      </c>
      <c r="M20" s="3549">
        <f t="shared" si="25"/>
        <v>0.14743518154943094</v>
      </c>
      <c r="N20" s="3549">
        <f t="shared" si="25"/>
        <v>0.14773191378709352</v>
      </c>
      <c r="O20" s="4280">
        <f t="shared" si="16"/>
        <v>-0.53170773029531704</v>
      </c>
      <c r="P20" s="4280">
        <f t="shared" si="17"/>
        <v>-0.66150369926267005</v>
      </c>
      <c r="R20" s="4356" t="s">
        <v>1566</v>
      </c>
      <c r="S20" s="4357">
        <f>IFERROR('8. Ремонтна програма'!J13/'8. Ремонтна програма'!J$24,0)</f>
        <v>0.16192685735034357</v>
      </c>
      <c r="T20" s="4357">
        <f>IFERROR('8. Ремонтна програма'!K13/'8. Ремонтна програма'!K$24,0)</f>
        <v>0.17313523540314119</v>
      </c>
      <c r="U20" s="4357">
        <f>IFERROR('8. Ремонтна програма'!L13/'8. Ремонтна програма'!L$24,0)</f>
        <v>0.17401822585309143</v>
      </c>
      <c r="V20" s="4357">
        <f>IFERROR('8. Ремонтна програма'!M13/'8. Ремонтна програма'!M$24,0)</f>
        <v>0.17332396177320364</v>
      </c>
      <c r="W20" s="4357">
        <f>IFERROR('8. Ремонтна програма'!N13/'8. Ремонтна програма'!N$24,0)</f>
        <v>0.17471608428977678</v>
      </c>
      <c r="X20" s="4357">
        <f>IFERROR('8. Ремонтна програма'!O13/'8. Ремонтна програма'!O$24,0)</f>
        <v>0.17461792836820914</v>
      </c>
      <c r="Y20" s="3558">
        <f t="shared" si="23"/>
        <v>6.9218770969829091E-2</v>
      </c>
      <c r="Z20" s="3558">
        <f t="shared" si="20"/>
        <v>8.5637851914749496E-3</v>
      </c>
      <c r="AB20" s="3541" t="s">
        <v>340</v>
      </c>
      <c r="AC20" s="3542">
        <f>'4. Отчет и прогн. потребление'!E69/1000</f>
        <v>0</v>
      </c>
      <c r="AD20" s="3542">
        <f>'4. Отчет и прогн. потребление'!F69/1000</f>
        <v>0</v>
      </c>
      <c r="AE20" s="3542">
        <f>'4. Отчет и прогн. потребление'!G69/1000</f>
        <v>0</v>
      </c>
      <c r="AF20" s="3542">
        <f>'4. Отчет и прогн. потребление'!H69/1000</f>
        <v>0</v>
      </c>
      <c r="AG20" s="3542">
        <f>'4. Отчет и прогн. потребление'!I69/1000</f>
        <v>0</v>
      </c>
      <c r="AH20" s="11"/>
      <c r="AI20" s="11"/>
      <c r="AK20" s="5603"/>
      <c r="AL20" s="5603"/>
      <c r="AM20" s="4359" t="str">
        <f>+'9.Инвестиционна програма'!G9</f>
        <v>2025 г.</v>
      </c>
      <c r="AN20" s="4359" t="str">
        <f>+'9.Инвестиционна програма'!H9</f>
        <v>2026 г.</v>
      </c>
      <c r="AO20" s="4359" t="str">
        <f>+'9.Инвестиционна програма'!I9</f>
        <v>2027 г.</v>
      </c>
      <c r="AP20" s="4359" t="str">
        <f>+'9.Инвестиционна програма'!J9</f>
        <v>2028 г.</v>
      </c>
      <c r="AQ20" s="4359" t="str">
        <f>+'9.Инвестиционна програма'!K9</f>
        <v>2029 г.</v>
      </c>
      <c r="AR20" s="4359" t="str">
        <f>+'9.Инвестиционна програма'!L9</f>
        <v>2030 г.</v>
      </c>
      <c r="AS20" s="4359" t="str">
        <f>+'9.Инвестиционна програма'!M9</f>
        <v>2031 г.</v>
      </c>
    </row>
    <row r="21" spans="1:48" ht="20.399999999999999">
      <c r="A21" s="3437" t="s">
        <v>1542</v>
      </c>
      <c r="B21" s="3546" t="s">
        <v>170</v>
      </c>
      <c r="C21" s="3547"/>
      <c r="D21" s="3548">
        <f>IFERROR((D19-$C$19)/$C$19,0)</f>
        <v>0.35045766052141269</v>
      </c>
      <c r="E21" s="3548">
        <f t="shared" ref="E21:H21" si="26">IFERROR((E19-$C$19)/$C$19,0)</f>
        <v>0.56866201224341117</v>
      </c>
      <c r="F21" s="3548">
        <f t="shared" si="26"/>
        <v>0.82350963622607676</v>
      </c>
      <c r="G21" s="3548">
        <f t="shared" si="26"/>
        <v>1.1212978209905846</v>
      </c>
      <c r="H21" s="3548">
        <f t="shared" si="26"/>
        <v>1.4694380351318514</v>
      </c>
      <c r="I21" s="3547"/>
      <c r="J21" s="3548">
        <f>IFERROR((J19-$I$19)/$I$19,0)</f>
        <v>0.43643582947670712</v>
      </c>
      <c r="K21" s="3549">
        <f t="shared" ref="K21:N21" si="27">IFERROR((K19-$I$19)/$I$19,0)</f>
        <v>0.64480247716938033</v>
      </c>
      <c r="L21" s="3548">
        <f t="shared" si="27"/>
        <v>0.88597955492081504</v>
      </c>
      <c r="M21" s="3548">
        <f t="shared" si="27"/>
        <v>1.1640392929990804</v>
      </c>
      <c r="N21" s="3548">
        <f t="shared" si="27"/>
        <v>1.4837369592643033</v>
      </c>
      <c r="O21" s="4280">
        <f t="shared" si="16"/>
        <v>3.192911728468466</v>
      </c>
      <c r="P21" s="4280">
        <f t="shared" si="17"/>
        <v>2.3996680818880649</v>
      </c>
      <c r="R21" s="4356" t="s">
        <v>1567</v>
      </c>
      <c r="S21" s="4357">
        <f>IFERROR('8. Ремонтна програма'!J14/'8. Ремонтна програма'!J$24,0)</f>
        <v>2.7445692063488684E-2</v>
      </c>
      <c r="T21" s="4357">
        <f>IFERROR('8. Ремонтна програма'!K14/'8. Ремонтна програма'!K$24,0)</f>
        <v>2.1698344391753721E-2</v>
      </c>
      <c r="U21" s="4357">
        <f>IFERROR('8. Ремонтна програма'!L14/'8. Ремонтна програма'!L$24,0)</f>
        <v>2.2000321139258656E-2</v>
      </c>
      <c r="V21" s="4357">
        <f>IFERROR('8. Ремонтна програма'!M14/'8. Ремонтна програма'!M$24,0)</f>
        <v>2.2113920704674384E-2</v>
      </c>
      <c r="W21" s="4357">
        <f>IFERROR('8. Ремонтна програма'!N14/'8. Ремонтна програма'!N$24,0)</f>
        <v>2.2200800682514919E-2</v>
      </c>
      <c r="X21" s="4357">
        <f>IFERROR('8. Ремонтна програма'!O14/'8. Ремонтна програма'!O$24,0)</f>
        <v>2.2405321251645054E-2</v>
      </c>
      <c r="Y21" s="3558">
        <f t="shared" si="23"/>
        <v>-0.20940800685367758</v>
      </c>
      <c r="Z21" s="3558">
        <f t="shared" si="20"/>
        <v>3.2582064655587918E-2</v>
      </c>
      <c r="AB21" s="5617" t="s">
        <v>1703</v>
      </c>
      <c r="AC21" s="5617" t="str">
        <f>I24</f>
        <v>Доставяне вода на друг ВиК оператор</v>
      </c>
      <c r="AD21" s="5617"/>
      <c r="AE21" s="5617"/>
      <c r="AF21" s="5617"/>
      <c r="AG21" s="5617"/>
      <c r="AH21" s="11"/>
      <c r="AI21" s="11"/>
      <c r="AK21" s="3445" t="s">
        <v>286</v>
      </c>
      <c r="AL21" s="3439" t="s">
        <v>1727</v>
      </c>
      <c r="AM21" s="4360">
        <f>'13. Соц. поносимост'!C12</f>
        <v>2.8</v>
      </c>
      <c r="AN21" s="4360">
        <f>'13. Соц. поносимост'!D12</f>
        <v>2.8</v>
      </c>
      <c r="AO21" s="4360">
        <f>'13. Соц. поносимост'!E12</f>
        <v>2.8</v>
      </c>
      <c r="AP21" s="4360">
        <f>'13. Соц. поносимост'!F12</f>
        <v>2.8</v>
      </c>
      <c r="AQ21" s="4360">
        <f>'13. Соц. поносимост'!G12</f>
        <v>2.8</v>
      </c>
      <c r="AR21" s="4360">
        <f>'13. Соц. поносимост'!H12</f>
        <v>2.8</v>
      </c>
      <c r="AS21" s="4360">
        <f>'13. Соц. поносимост'!I12</f>
        <v>2.8</v>
      </c>
    </row>
    <row r="22" spans="1:48" ht="21" customHeight="1">
      <c r="A22" s="3436" t="s">
        <v>1546</v>
      </c>
      <c r="B22" s="3554" t="s">
        <v>170</v>
      </c>
      <c r="C22" s="3430">
        <f>'5. Персонал'!O62</f>
        <v>0.19642753616657144</v>
      </c>
      <c r="D22" s="3430">
        <f>'5. Персонал'!P62</f>
        <v>0.20134700604841946</v>
      </c>
      <c r="E22" s="3430">
        <f>'5. Персонал'!Q62</f>
        <v>0.21203888721964825</v>
      </c>
      <c r="F22" s="3430">
        <f>'5. Персонал'!R62</f>
        <v>0.21183895748191325</v>
      </c>
      <c r="G22" s="3430">
        <f>'5. Персонал'!S62</f>
        <v>0.21166778875622663</v>
      </c>
      <c r="H22" s="3430">
        <f>'5. Персонал'!T62</f>
        <v>0.21151836146180023</v>
      </c>
      <c r="I22" s="3430">
        <f>IFERROR(('5. Персонал'!C42+'5. Персонал'!I42+'5. Персонал'!O42)/('5. Персонал'!C29+'5. Персонал'!I29+'5. Персонал'!O29),0)</f>
        <v>0.19643129279653193</v>
      </c>
      <c r="J22" s="3430">
        <f>IFERROR(('5. Персонал'!D42+'5. Персонал'!J42+'5. Персонал'!P42)/('5. Персонал'!D29+'5. Персонал'!J29+'5. Персонал'!P29),0)</f>
        <v>0.20209793744639051</v>
      </c>
      <c r="K22" s="3430">
        <f>IFERROR(('5. Персонал'!E42+'5. Персонал'!K42+'5. Персонал'!Q42)/('5. Персонал'!E29+'5. Персонал'!K29+'5. Персонал'!Q29),0)</f>
        <v>0.21270485008126572</v>
      </c>
      <c r="L22" s="3430">
        <f>IFERROR(('5. Персонал'!F42+'5. Персонал'!L42+'5. Персонал'!R42)/('5. Персонал'!F29+'5. Персонал'!L29+'5. Персонал'!R29),0)</f>
        <v>0.2125591715192143</v>
      </c>
      <c r="M22" s="3430">
        <f>IFERROR(('5. Персонал'!G42+'5. Персонал'!M42+'5. Персонал'!S42)/('5. Персонал'!G29+'5. Персонал'!M29+'5. Персонал'!S29),0)</f>
        <v>0.21243841361454438</v>
      </c>
      <c r="N22" s="3430">
        <f>IFERROR(('5. Персонал'!H42+'5. Персонал'!N42+'5. Персонал'!T42)/('5. Персонал'!H29+'5. Персонал'!N29+'5. Персонал'!T29),0)</f>
        <v>0.21232270111237272</v>
      </c>
      <c r="O22" s="4280">
        <f t="shared" si="16"/>
        <v>5.0516546597841057E-2</v>
      </c>
      <c r="P22" s="4280">
        <f t="shared" si="17"/>
        <v>5.0593112404694787E-2</v>
      </c>
      <c r="R22" s="4358" t="s">
        <v>1568</v>
      </c>
      <c r="S22" s="4357">
        <f>IFERROR('8. Ремонтна програма'!J15/'8. Ремонтна програма'!J$24,0)</f>
        <v>3.9941140568199987E-2</v>
      </c>
      <c r="T22" s="4357">
        <f>IFERROR('8. Ремонтна програма'!K15/'8. Ремонтна програма'!K$24,0)</f>
        <v>3.9329904270296784E-2</v>
      </c>
      <c r="U22" s="4357">
        <f>IFERROR('8. Ремонтна програма'!L15/'8. Ремонтна програма'!L$24,0)</f>
        <v>4.1044590057213122E-2</v>
      </c>
      <c r="V22" s="4357">
        <f>IFERROR('8. Ремонтна програма'!M15/'8. Ремонтна програма'!M$24,0)</f>
        <v>4.2308769736672587E-2</v>
      </c>
      <c r="W22" s="4357">
        <f>IFERROR('8. Ремонтна програма'!N15/'8. Ремонтна програма'!N$24,0)</f>
        <v>4.3494073700002481E-2</v>
      </c>
      <c r="X22" s="4357">
        <f>IFERROR('8. Ремонтна програма'!O15/'8. Ремонтна програма'!O$24,0)</f>
        <v>4.4883399232761662E-2</v>
      </c>
      <c r="Y22" s="3558">
        <f t="shared" si="23"/>
        <v>-1.5303426221880414E-2</v>
      </c>
      <c r="Z22" s="3558">
        <f t="shared" si="20"/>
        <v>0.14120285989760359</v>
      </c>
      <c r="AB22" s="5617"/>
      <c r="AC22" s="4285" t="str">
        <f>+'15. ОПП'!$C$7</f>
        <v>2027 г.</v>
      </c>
      <c r="AD22" s="4285" t="str">
        <f>+'15. ОПП'!$D$7</f>
        <v>2028 г.</v>
      </c>
      <c r="AE22" s="4285" t="str">
        <f>+'15. ОПП'!$E$7</f>
        <v>2029 г.</v>
      </c>
      <c r="AF22" s="4285" t="str">
        <f>+'15. ОПП'!$F$7</f>
        <v>2030 г.</v>
      </c>
      <c r="AG22" s="4285" t="str">
        <f>+'15. ОПП'!$G$7</f>
        <v>2031 г.</v>
      </c>
      <c r="AH22" s="11"/>
      <c r="AI22" s="11"/>
      <c r="AK22" s="3445" t="s">
        <v>339</v>
      </c>
      <c r="AL22" s="4361" t="s">
        <v>1871</v>
      </c>
      <c r="AM22" s="4360">
        <f>'13. Соц. поносимост'!L13</f>
        <v>6.9851469708512495</v>
      </c>
      <c r="AN22" s="4360">
        <f>'13. Соц. поносимост'!M13</f>
        <v>7.2686071897864322</v>
      </c>
      <c r="AO22" s="4360">
        <f>'13. Соц. поносимост'!N13</f>
        <v>9.4160330908105507</v>
      </c>
      <c r="AP22" s="4360">
        <f>'13. Соц. поносимост'!O13</f>
        <v>10.166773185808584</v>
      </c>
      <c r="AQ22" s="4360">
        <f>'13. Соц. поносимост'!P13</f>
        <v>10.975923265314467</v>
      </c>
      <c r="AR22" s="4360">
        <f>'13. Соц. поносимост'!Q13</f>
        <v>11.889867728790334</v>
      </c>
      <c r="AS22" s="4360">
        <f>'13. Соц. поносимост'!R13</f>
        <v>12.881119524703067</v>
      </c>
    </row>
    <row r="23" spans="1:48" ht="19.5" customHeight="1">
      <c r="A23" s="3436" t="s">
        <v>1545</v>
      </c>
      <c r="B23" s="3554" t="s">
        <v>170</v>
      </c>
      <c r="C23" s="3430">
        <f>'5. Персонал'!O63</f>
        <v>7.5424911132630557E-2</v>
      </c>
      <c r="D23" s="3430">
        <f>'5. Персонал'!P63</f>
        <v>7.6683767394618005E-2</v>
      </c>
      <c r="E23" s="3430">
        <f>'5. Персонал'!Q63</f>
        <v>7.0981149376646333E-2</v>
      </c>
      <c r="F23" s="3430">
        <f>'5. Персонал'!R63</f>
        <v>6.9438418338513622E-2</v>
      </c>
      <c r="G23" s="3430">
        <f>'5. Персонал'!S63</f>
        <v>6.4377895110430919E-2</v>
      </c>
      <c r="H23" s="3430">
        <f>'5. Персонал'!T63</f>
        <v>5.6488867272232124E-2</v>
      </c>
      <c r="I23" s="3430">
        <f>IFERROR(('5. Персонал'!C46+'5. Персонал'!I46+'5. Персонал'!O46)/('5. Персонал'!C29+'5. Персонал'!I29+'5. Персонал'!O29),0)</f>
        <v>7.5787795217630974E-2</v>
      </c>
      <c r="J23" s="3430">
        <f>IFERROR(('5. Персонал'!D46+'5. Персонал'!J46+'5. Персонал'!P46)/('5. Персонал'!D29+'5. Персонал'!J29+'5. Персонал'!P29),0)</f>
        <v>7.7638927607582342E-2</v>
      </c>
      <c r="K23" s="3430">
        <f>IFERROR(('5. Персонал'!E46+'5. Персонал'!K46+'5. Персонал'!Q46)/('5. Персонал'!E29+'5. Персонал'!K29+'5. Персонал'!Q29),0)</f>
        <v>7.191441416152157E-2</v>
      </c>
      <c r="L23" s="3430">
        <f>IFERROR(('5. Персонал'!F46+'5. Персонал'!L46+'5. Персонал'!R46)/('5. Персонал'!F29+'5. Персонал'!L29+'5. Персонал'!R29),0)</f>
        <v>7.0394138411342053E-2</v>
      </c>
      <c r="M23" s="3430">
        <f>IFERROR(('5. Персонал'!G46+'5. Персонал'!M46+'5. Персонал'!S46)/('5. Персонал'!G29+'5. Персонал'!M29+'5. Персонал'!S29),0)</f>
        <v>6.5260791187973483E-2</v>
      </c>
      <c r="N23" s="3430">
        <f>IFERROR(('5. Персонал'!H46+'5. Персонал'!N46+'5. Персонал'!T46)/('5. Персонал'!H29+'5. Персонал'!N29+'5. Персонал'!T29),0)</f>
        <v>5.7242406656801144E-2</v>
      </c>
      <c r="O23" s="4280">
        <f t="shared" si="16"/>
        <v>-0.26335299905731085</v>
      </c>
      <c r="P23" s="4280">
        <f t="shared" si="17"/>
        <v>-0.26270997783319772</v>
      </c>
      <c r="R23" s="4358" t="s">
        <v>1569</v>
      </c>
      <c r="S23" s="4357">
        <f>IFERROR('8. Ремонтна програма'!J16/'8. Ремонтна програма'!J$24,0)</f>
        <v>1.4475384715222828E-2</v>
      </c>
      <c r="T23" s="4357">
        <f>IFERROR('8. Ремонтна програма'!K16/'8. Ремонтна програма'!K$24,0)</f>
        <v>1.7111050267834868E-2</v>
      </c>
      <c r="U23" s="4357">
        <f>IFERROR('8. Ремонтна програма'!L16/'8. Ремонтна програма'!L$24,0)</f>
        <v>1.7811496132344031E-2</v>
      </c>
      <c r="V23" s="4357">
        <f>IFERROR('8. Ремонтна програма'!M16/'8. Ремонтна програма'!M$24,0)</f>
        <v>1.8944782594521078E-2</v>
      </c>
      <c r="W23" s="4357">
        <f>IFERROR('8. Ремонтна програма'!N16/'8. Ремонтна програма'!N$24,0)</f>
        <v>1.9422012988338275E-2</v>
      </c>
      <c r="X23" s="4357">
        <f>IFERROR('8. Ремонтна програма'!O16/'8. Ремонтна програма'!O$24,0)</f>
        <v>2.0589050042152782E-2</v>
      </c>
      <c r="Y23" s="3558">
        <f t="shared" si="23"/>
        <v>0.18207913671823039</v>
      </c>
      <c r="Z23" s="3558">
        <f t="shared" si="20"/>
        <v>0.20326044981913316</v>
      </c>
      <c r="AB23" s="3541" t="s">
        <v>340</v>
      </c>
      <c r="AC23" s="3542">
        <f>'4. Отчет и прогн. потребление'!E100/1000</f>
        <v>18322.085999999999</v>
      </c>
      <c r="AD23" s="3542">
        <f>'4. Отчет и прогн. потребление'!F100/1000</f>
        <v>18321.758000000002</v>
      </c>
      <c r="AE23" s="3542">
        <f>'4. Отчет и прогн. потребление'!G100/1000</f>
        <v>18321.429</v>
      </c>
      <c r="AF23" s="3542">
        <f>'4. Отчет и прогн. потребление'!H100/1000</f>
        <v>18321.099999999999</v>
      </c>
      <c r="AG23" s="3542">
        <f>'4. Отчет и прогн. потребление'!I100/1000</f>
        <v>18320.772000000001</v>
      </c>
      <c r="AH23" s="11"/>
      <c r="AI23" s="11"/>
      <c r="AK23" s="3445" t="s">
        <v>289</v>
      </c>
      <c r="AL23" s="4361" t="s">
        <v>1892</v>
      </c>
      <c r="AM23" s="3579">
        <f>'13. Соц. поносимост'!L14</f>
        <v>434.59809901678574</v>
      </c>
      <c r="AN23" s="3579">
        <f>'13. Соц. поносимост'!M14</f>
        <v>444.15925719515502</v>
      </c>
      <c r="AO23" s="3579">
        <f>'13. Соц. поносимост'!N14</f>
        <v>457.92819416820481</v>
      </c>
      <c r="AP23" s="3579">
        <f>'13. Соц. поносимост'!O14</f>
        <v>472.12396818741911</v>
      </c>
      <c r="AQ23" s="3579">
        <f>'13. Соц. поносимост'!P14</f>
        <v>486.75981120122907</v>
      </c>
      <c r="AR23" s="3579">
        <f>'13. Соц. поносимост'!Q14</f>
        <v>501.84936534846713</v>
      </c>
      <c r="AS23" s="3579">
        <f>'13. Соц. поносимост'!R14</f>
        <v>517.4066956742696</v>
      </c>
    </row>
    <row r="24" spans="1:48" ht="12.6" customHeight="1">
      <c r="A24" s="5615" t="s">
        <v>2</v>
      </c>
      <c r="B24" s="5621" t="s">
        <v>1536</v>
      </c>
      <c r="C24" s="5623" t="s">
        <v>1235</v>
      </c>
      <c r="D24" s="5624"/>
      <c r="E24" s="5624"/>
      <c r="F24" s="5624"/>
      <c r="G24" s="5624"/>
      <c r="H24" s="5625"/>
      <c r="I24" s="5618" t="s">
        <v>1236</v>
      </c>
      <c r="J24" s="5619"/>
      <c r="K24" s="5619"/>
      <c r="L24" s="5619"/>
      <c r="M24" s="5619"/>
      <c r="N24" s="5626"/>
      <c r="O24" s="5615" t="str">
        <f>CONCATENATE("Изменение ", H25,"спрямо ",D25)</f>
        <v>Изменение 2031 г.спрямо 2027 г.</v>
      </c>
      <c r="P24" s="5615" t="str">
        <f>CONCATENATE("Изменение ", N25,"спрямо ",J25)</f>
        <v>Изменение 2031 г.спрямо 2027 г.</v>
      </c>
      <c r="R24" s="4356" t="s">
        <v>1570</v>
      </c>
      <c r="S24" s="4357">
        <f>IFERROR('8. Ремонтна програма'!J17/'8. Ремонтна програма'!J$24,0)</f>
        <v>1.4148153825397084E-2</v>
      </c>
      <c r="T24" s="4357">
        <f>IFERROR('8. Ремонтна програма'!K17/'8. Ремонтна програма'!K$24,0)</f>
        <v>1.6710322522908647E-2</v>
      </c>
      <c r="U24" s="4357">
        <f>IFERROR('8. Ремонтна програма'!L17/'8. Ремонтна програма'!L$24,0)</f>
        <v>1.6388773431982352E-2</v>
      </c>
      <c r="V24" s="4357">
        <f>IFERROR('8. Ремонтна програма'!M17/'8. Ремонтна програма'!M$24,0)</f>
        <v>1.6116260272108364E-2</v>
      </c>
      <c r="W24" s="4357">
        <f>IFERROR('8. Ремонтна програма'!N17/'8. Ремонтна програма'!N$24,0)</f>
        <v>1.555614562187343E-2</v>
      </c>
      <c r="X24" s="4357">
        <f>IFERROR('8. Ремонтна програма'!O17/'8. Ремонтна програма'!O$24,0)</f>
        <v>1.5285456086577729E-2</v>
      </c>
      <c r="Y24" s="3558">
        <f t="shared" si="23"/>
        <v>0.1810956206110978</v>
      </c>
      <c r="Z24" s="3558">
        <f t="shared" si="20"/>
        <v>-8.5268637656605903E-2</v>
      </c>
      <c r="AB24" s="1722"/>
      <c r="AC24" s="3560"/>
      <c r="AD24" s="3560"/>
      <c r="AE24" s="3560"/>
      <c r="AF24" s="3560"/>
      <c r="AG24" s="3560"/>
      <c r="AH24" s="11"/>
      <c r="AI24" s="11"/>
      <c r="AK24" s="3445" t="s">
        <v>1784</v>
      </c>
      <c r="AL24" s="4361" t="s">
        <v>170</v>
      </c>
      <c r="AM24" s="4362"/>
      <c r="AN24" s="4363">
        <f>'13. Соц. поносимост'!D15</f>
        <v>2.1999999999999999E-2</v>
      </c>
      <c r="AO24" s="4363">
        <f>'13. Соц. поносимост'!E15</f>
        <v>3.1E-2</v>
      </c>
      <c r="AP24" s="4363">
        <f>'13. Соц. поносимост'!F15</f>
        <v>3.1E-2</v>
      </c>
      <c r="AQ24" s="4363">
        <f>'13. Соц. поносимост'!G15</f>
        <v>3.1E-2</v>
      </c>
      <c r="AR24" s="4363">
        <f>'13. Соц. поносимост'!H15</f>
        <v>3.1E-2</v>
      </c>
      <c r="AS24" s="4363">
        <f>'13. Соц. поносимост'!I15</f>
        <v>3.1E-2</v>
      </c>
    </row>
    <row r="25" spans="1:48" ht="14.25" customHeight="1">
      <c r="A25" s="5616"/>
      <c r="B25" s="5622"/>
      <c r="C25" s="4352" t="str">
        <f>+'15. ОПП'!$B$7</f>
        <v>2024 г.</v>
      </c>
      <c r="D25" s="4352" t="str">
        <f>+'15. ОПП'!$C$7</f>
        <v>2027 г.</v>
      </c>
      <c r="E25" s="4352" t="str">
        <f>+'15. ОПП'!$D$7</f>
        <v>2028 г.</v>
      </c>
      <c r="F25" s="4352" t="str">
        <f>+'15. ОПП'!$E$7</f>
        <v>2029 г.</v>
      </c>
      <c r="G25" s="4352" t="str">
        <f>+'15. ОПП'!$F$7</f>
        <v>2030 г.</v>
      </c>
      <c r="H25" s="4352" t="str">
        <f>+'15. ОПП'!$G$7</f>
        <v>2031 г.</v>
      </c>
      <c r="I25" s="4352" t="str">
        <f>+'15. ОПП'!$B$7</f>
        <v>2024 г.</v>
      </c>
      <c r="J25" s="4352" t="str">
        <f>+'15. ОПП'!$C$7</f>
        <v>2027 г.</v>
      </c>
      <c r="K25" s="4352" t="str">
        <f>+'15. ОПП'!$D$7</f>
        <v>2028 г.</v>
      </c>
      <c r="L25" s="4352" t="str">
        <f>+'15. ОПП'!$E$7</f>
        <v>2029 г.</v>
      </c>
      <c r="M25" s="4352" t="str">
        <f>+'15. ОПП'!$F$7</f>
        <v>2030 г.</v>
      </c>
      <c r="N25" s="4352" t="str">
        <f>+'15. ОПП'!$G$7</f>
        <v>2031 г.</v>
      </c>
      <c r="O25" s="5616"/>
      <c r="P25" s="5616"/>
      <c r="R25" s="4358" t="s">
        <v>1572</v>
      </c>
      <c r="S25" s="4357">
        <f>IFERROR('8. Ремонтна програма'!J18/'8. Ремонтна програма'!J$24,0)</f>
        <v>3.2812702628103583E-3</v>
      </c>
      <c r="T25" s="4357">
        <f>IFERROR('8. Ремонтна програма'!K18/'8. Ремонтна програма'!K$24,0)</f>
        <v>4.101154009605177E-3</v>
      </c>
      <c r="U25" s="4357">
        <f>IFERROR('8. Ремонтна програма'!L18/'8. Ремонтна програма'!L$24,0)</f>
        <v>4.1737976237057337E-3</v>
      </c>
      <c r="V25" s="4357">
        <f>IFERROR('8. Ремонтна програма'!M18/'8. Ремонтна програма'!M$24,0)</f>
        <v>4.3447939228581211E-3</v>
      </c>
      <c r="W25" s="4357">
        <f>IFERROR('8. Ремонтна програма'!N18/'8. Ремонтна програма'!N$24,0)</f>
        <v>4.3673297601624986E-3</v>
      </c>
      <c r="X25" s="4357">
        <f>IFERROR('8. Ремонтна програма'!O18/'8. Ремонтна програма'!O$24,0)</f>
        <v>4.8664573990069519E-3</v>
      </c>
      <c r="Y25" s="3558">
        <f t="shared" si="23"/>
        <v>0.24986778933979081</v>
      </c>
      <c r="Z25" s="3558">
        <f t="shared" si="20"/>
        <v>0.18660683983322332</v>
      </c>
      <c r="AB25" s="5629" t="s">
        <v>1695</v>
      </c>
      <c r="AC25" s="5617" t="s">
        <v>184</v>
      </c>
      <c r="AD25" s="5617"/>
      <c r="AE25" s="5617"/>
      <c r="AF25" s="5617"/>
      <c r="AG25" s="5617"/>
      <c r="AH25" s="11"/>
      <c r="AI25" s="11"/>
      <c r="AK25" s="3445" t="s">
        <v>740</v>
      </c>
      <c r="AL25" s="4361" t="s">
        <v>1871</v>
      </c>
      <c r="AM25" s="4360">
        <f>'13. Соц. поносимост'!L16</f>
        <v>10.864952475419644</v>
      </c>
      <c r="AN25" s="4360">
        <f>'13. Соц. поносимост'!M16</f>
        <v>11.103981429878877</v>
      </c>
      <c r="AO25" s="4360">
        <f>'13. Соц. поносимост'!N16</f>
        <v>11.448204854205121</v>
      </c>
      <c r="AP25" s="4360">
        <f>'13. Соц. поносимост'!O16</f>
        <v>11.803099204685479</v>
      </c>
      <c r="AQ25" s="4360">
        <f>'13. Соц. поносимост'!P16</f>
        <v>12.168995280030728</v>
      </c>
      <c r="AR25" s="4360">
        <f>'13. Соц. поносимост'!Q16</f>
        <v>12.54623413371168</v>
      </c>
      <c r="AS25" s="4360">
        <f>'13. Соц. поносимост'!R16</f>
        <v>12.935167391856741</v>
      </c>
    </row>
    <row r="26" spans="1:48" ht="20.399999999999999" customHeight="1">
      <c r="A26" s="3435" t="s">
        <v>1541</v>
      </c>
      <c r="B26" s="3539" t="s">
        <v>676</v>
      </c>
      <c r="C26" s="3540">
        <f>'5. Персонал'!U11</f>
        <v>0</v>
      </c>
      <c r="D26" s="3540">
        <f>'5. Персонал'!V11</f>
        <v>0</v>
      </c>
      <c r="E26" s="3540">
        <f>'5. Персонал'!W11</f>
        <v>0</v>
      </c>
      <c r="F26" s="3540">
        <f>'5. Персонал'!X11</f>
        <v>0</v>
      </c>
      <c r="G26" s="3540">
        <f>'5. Персонал'!Y11</f>
        <v>0</v>
      </c>
      <c r="H26" s="3540">
        <f>'5. Персонал'!Z11</f>
        <v>0</v>
      </c>
      <c r="I26" s="3540">
        <f>'5. Персонал'!AA11</f>
        <v>35.2640076770966</v>
      </c>
      <c r="J26" s="3540">
        <f>'5. Персонал'!AB11</f>
        <v>37.124709287757575</v>
      </c>
      <c r="K26" s="3540">
        <f>'5. Персонал'!AC11</f>
        <v>37.174198489015964</v>
      </c>
      <c r="L26" s="3540">
        <f>'5. Персонал'!AD11</f>
        <v>37.22381988068063</v>
      </c>
      <c r="M26" s="3540">
        <f>'5. Персонал'!AE11</f>
        <v>37.273586609466882</v>
      </c>
      <c r="N26" s="3540">
        <f>'5. Персонал'!AF11</f>
        <v>37.323490095266905</v>
      </c>
      <c r="O26" s="4280">
        <f t="shared" ref="O26:O34" si="28">IFERROR((H26-D26)/D26,0)</f>
        <v>0</v>
      </c>
      <c r="P26" s="4280">
        <f t="shared" ref="P26:P34" si="29">IFERROR((N26-J26)/J26,0)</f>
        <v>5.3544071138324238E-3</v>
      </c>
      <c r="R26" s="4358" t="s">
        <v>1571</v>
      </c>
      <c r="S26" s="4357">
        <f>IFERROR('8. Ремонтна програма'!J19/'8. Ремонтна програма'!J$24,0)</f>
        <v>8.6533072173762878E-3</v>
      </c>
      <c r="T26" s="4357">
        <f>IFERROR('8. Ремонтна програма'!K19/'8. Ремонтна програма'!K$24,0)</f>
        <v>9.6533710094004518E-3</v>
      </c>
      <c r="U26" s="4357">
        <f>IFERROR('8. Ремонтна програма'!L19/'8. Ремонтна програма'!L$24,0)</f>
        <v>1.0072059762150212E-2</v>
      </c>
      <c r="V26" s="4357">
        <f>IFERROR('8. Ремонтна програма'!M19/'8. Ремонтна програма'!M$24,0)</f>
        <v>1.039616031725722E-2</v>
      </c>
      <c r="W26" s="4357">
        <f>IFERROR('8. Ремонтна програма'!N19/'8. Ремонтна програма'!N$24,0)</f>
        <v>1.0698876677493889E-2</v>
      </c>
      <c r="X26" s="4357">
        <f>IFERROR('8. Ремонтна програма'!O19/'8. Ремонтна програма'!O$24,0)</f>
        <v>1.1049657274540587E-2</v>
      </c>
      <c r="Y26" s="3558">
        <f t="shared" si="23"/>
        <v>0.11557012445091332</v>
      </c>
      <c r="Z26" s="3558">
        <f t="shared" si="20"/>
        <v>0.14464234968079359</v>
      </c>
      <c r="AB26" s="5630"/>
      <c r="AC26" s="4285" t="str">
        <f>+'15. ОПП'!$C$7</f>
        <v>2027 г.</v>
      </c>
      <c r="AD26" s="4285" t="str">
        <f>+'15. ОПП'!$D$7</f>
        <v>2028 г.</v>
      </c>
      <c r="AE26" s="4285" t="str">
        <f>+'15. ОПП'!$E$7</f>
        <v>2029 г.</v>
      </c>
      <c r="AF26" s="4285" t="str">
        <f>+'15. ОПП'!$F$7</f>
        <v>2030 г.</v>
      </c>
      <c r="AG26" s="4285" t="str">
        <f>+'15. ОПП'!$G$7</f>
        <v>2031 г.</v>
      </c>
      <c r="AH26" s="11"/>
      <c r="AI26" s="11"/>
      <c r="AK26" s="3447" t="s">
        <v>1728</v>
      </c>
      <c r="AL26" s="4361" t="s">
        <v>1907</v>
      </c>
      <c r="AM26" s="4589">
        <f>'13. Соц. поносимост'!L17</f>
        <v>3.8803401697927296</v>
      </c>
      <c r="AN26" s="4589">
        <f>'13. Соц. поносимост'!M17</f>
        <v>3.9657076535281699</v>
      </c>
      <c r="AO26" s="4589">
        <f>'13. Соц. поносимост'!N17</f>
        <v>4.0886445907875437</v>
      </c>
      <c r="AP26" s="4589">
        <f>'13. Соц. поносимост'!O17</f>
        <v>4.2153925731019575</v>
      </c>
      <c r="AQ26" s="4589">
        <f>'13. Соц. поносимост'!P17</f>
        <v>4.3460697428681172</v>
      </c>
      <c r="AR26" s="4589">
        <f>'13. Соц. поносимост'!Q17</f>
        <v>4.4807979048970283</v>
      </c>
      <c r="AS26" s="4589">
        <f>'13. Соц. поносимост'!R17</f>
        <v>4.6197026399488363</v>
      </c>
    </row>
    <row r="27" spans="1:48" ht="22.5" customHeight="1">
      <c r="A27" s="3432" t="s">
        <v>1534</v>
      </c>
      <c r="B27" s="3543" t="s">
        <v>1539</v>
      </c>
      <c r="C27" s="3544">
        <f>'5. Персонал'!U14</f>
        <v>0</v>
      </c>
      <c r="D27" s="3544">
        <f>'5. Персонал'!V14</f>
        <v>0</v>
      </c>
      <c r="E27" s="3544">
        <f>'5. Персонал'!W14</f>
        <v>0</v>
      </c>
      <c r="F27" s="3544">
        <f>'5. Персонал'!X14</f>
        <v>0</v>
      </c>
      <c r="G27" s="3544">
        <f>'5. Персонал'!Y14</f>
        <v>0</v>
      </c>
      <c r="H27" s="3544">
        <f>'5. Персонал'!Z14</f>
        <v>0</v>
      </c>
      <c r="I27" s="3544">
        <f>'5. Персонал'!AA14</f>
        <v>34.76</v>
      </c>
      <c r="J27" s="3544">
        <f>'5. Персонал'!AB14</f>
        <v>38.377093582516984</v>
      </c>
      <c r="K27" s="3544">
        <f>'5. Персонал'!AC14</f>
        <v>37.773979389721674</v>
      </c>
      <c r="L27" s="3544">
        <f>'5. Персонал'!AD14</f>
        <v>37.169255333652501</v>
      </c>
      <c r="M27" s="3544">
        <f>'5. Персонал'!AE14</f>
        <v>36.562927379468938</v>
      </c>
      <c r="N27" s="3544">
        <f>'5. Персонал'!AF14</f>
        <v>35.954979588916608</v>
      </c>
      <c r="O27" s="4280">
        <f t="shared" si="28"/>
        <v>0</v>
      </c>
      <c r="P27" s="4280">
        <f t="shared" si="29"/>
        <v>-6.3113533816531425E-2</v>
      </c>
      <c r="R27" s="4358" t="s">
        <v>914</v>
      </c>
      <c r="S27" s="4357">
        <f>IFERROR('8. Ремонтна програма'!J20/'8. Ремонтна програма'!J$24,0)</f>
        <v>1.3749104232272109E-2</v>
      </c>
      <c r="T27" s="4357">
        <f>IFERROR('8. Ремонтна програма'!K20/'8. Ремонтна програма'!K$24,0)</f>
        <v>1.884275528914918E-2</v>
      </c>
      <c r="U27" s="4357">
        <f>IFERROR('8. Ремонтна програма'!L20/'8. Ремонтна програма'!L$24,0)</f>
        <v>1.9767761699730865E-2</v>
      </c>
      <c r="V27" s="4357">
        <f>IFERROR('8. Ремонтна програма'!M20/'8. Ремонтна програма'!M$24,0)</f>
        <v>2.050427567848578E-2</v>
      </c>
      <c r="W27" s="4357">
        <f>IFERROR('8. Ремонтна програма'!N20/'8. Ремонтна програма'!N$24,0)</f>
        <v>2.1196229105285153E-2</v>
      </c>
      <c r="X27" s="4357">
        <f>IFERROR('8. Ремонтна програма'!O20/'8. Ремонтна програма'!O$24,0)</f>
        <v>2.1981059942742302E-2</v>
      </c>
      <c r="Y27" s="3558">
        <f t="shared" si="23"/>
        <v>0.37047148460196949</v>
      </c>
      <c r="Z27" s="3558">
        <f t="shared" si="20"/>
        <v>0.16655232238781723</v>
      </c>
      <c r="AB27" s="3561" t="s">
        <v>302</v>
      </c>
      <c r="AC27" s="3465">
        <f>'16. Необходими приходи'!D49</f>
        <v>1.1016537444363554</v>
      </c>
      <c r="AD27" s="3465">
        <f>'16. Необходими приходи'!E49</f>
        <v>1.101697659744022</v>
      </c>
      <c r="AE27" s="3465">
        <f>'16. Необходими приходи'!F49</f>
        <v>1.1017453626308811</v>
      </c>
      <c r="AF27" s="3465">
        <f>'16. Необходими приходи'!G49</f>
        <v>1.1018098397620257</v>
      </c>
      <c r="AG27" s="3465">
        <f>'16. Необходими приходи'!H49</f>
        <v>1.1018355375860174</v>
      </c>
      <c r="AH27" s="11"/>
      <c r="AI27" s="11"/>
      <c r="AK27" s="3447" t="s">
        <v>1729</v>
      </c>
      <c r="AL27" s="4361" t="s">
        <v>1908</v>
      </c>
      <c r="AM27" s="3576"/>
      <c r="AN27" s="4365"/>
      <c r="AO27" s="4366">
        <f>(AL5+AL7+AL9)*1.2</f>
        <v>3.3635999999999999</v>
      </c>
      <c r="AP27" s="4366">
        <f t="shared" ref="AP27:AS27" si="30">(AM5+AM7+AM9)*1.2</f>
        <v>3.63</v>
      </c>
      <c r="AQ27" s="4366">
        <f t="shared" si="30"/>
        <v>3.9192</v>
      </c>
      <c r="AR27" s="4366">
        <f t="shared" si="30"/>
        <v>4.2467999999999995</v>
      </c>
      <c r="AS27" s="4366">
        <f t="shared" si="30"/>
        <v>4.6007999999999996</v>
      </c>
    </row>
    <row r="28" spans="1:48" ht="16.5" customHeight="1">
      <c r="A28" s="3438" t="s">
        <v>1544</v>
      </c>
      <c r="B28" s="3546" t="s">
        <v>170</v>
      </c>
      <c r="C28" s="3547"/>
      <c r="D28" s="3548">
        <f>IFERROR((D27-C27)/C27,0)</f>
        <v>0</v>
      </c>
      <c r="E28" s="3548">
        <f t="shared" ref="E28:H28" si="31">IFERROR((E27-D27)/D27,0)</f>
        <v>0</v>
      </c>
      <c r="F28" s="3548">
        <f t="shared" si="31"/>
        <v>0</v>
      </c>
      <c r="G28" s="3548">
        <f t="shared" si="31"/>
        <v>0</v>
      </c>
      <c r="H28" s="3548">
        <f t="shared" si="31"/>
        <v>0</v>
      </c>
      <c r="I28" s="3547"/>
      <c r="J28" s="3549">
        <f>IFERROR((J27-I27)/I27,0)</f>
        <v>0.10405907889864749</v>
      </c>
      <c r="K28" s="3549">
        <f t="shared" ref="K28:N28" si="32">IFERROR((K27-J27)/J27,0)</f>
        <v>-1.5715473385146183E-2</v>
      </c>
      <c r="L28" s="3549">
        <f t="shared" si="32"/>
        <v>-1.6009011119271145E-2</v>
      </c>
      <c r="M28" s="3549">
        <f t="shared" si="32"/>
        <v>-1.6312620436993316E-2</v>
      </c>
      <c r="N28" s="3549">
        <f t="shared" si="32"/>
        <v>-1.6627437520052333E-2</v>
      </c>
      <c r="O28" s="4280">
        <f t="shared" si="28"/>
        <v>0</v>
      </c>
      <c r="P28" s="4280">
        <f t="shared" si="29"/>
        <v>-1.1597884364923823</v>
      </c>
      <c r="R28" s="4356" t="s">
        <v>915</v>
      </c>
      <c r="S28" s="4357">
        <f>IFERROR('8. Ремонтна програма'!J21/'8. Ремонтна програма'!J$24,0)</f>
        <v>3.9917446598201504E-2</v>
      </c>
      <c r="T28" s="4357">
        <f>IFERROR('8. Ремонтна програма'!K21/'8. Ремонтна програма'!K$24,0)</f>
        <v>2.9274339630019568E-2</v>
      </c>
      <c r="U28" s="4357">
        <f>IFERROR('8. Ремонтна програма'!L21/'8. Ремонтна програма'!L$24,0)</f>
        <v>2.7620832755483288E-2</v>
      </c>
      <c r="V28" s="4357">
        <f>IFERROR('8. Ремонтна програма'!M21/'8. Ремонтна програма'!M$24,0)</f>
        <v>2.5791506411794576E-2</v>
      </c>
      <c r="W28" s="4357">
        <f>IFERROR('8. Ремонтна програма'!N21/'8. Ремонтна програма'!N$24,0)</f>
        <v>2.39949770099556E-2</v>
      </c>
      <c r="X28" s="4357">
        <f>IFERROR('8. Ремонтна програма'!O21/'8. Ремонтна програма'!O$24,0)</f>
        <v>2.2388073107174004E-2</v>
      </c>
      <c r="Y28" s="3558">
        <f t="shared" si="23"/>
        <v>-0.26662795031236958</v>
      </c>
      <c r="Z28" s="3558">
        <f t="shared" si="20"/>
        <v>-0.23523217294999188</v>
      </c>
      <c r="AB28" s="3561" t="s">
        <v>303</v>
      </c>
      <c r="AC28" s="3465">
        <f>'16. Необходими приходи'!D50</f>
        <v>1.8828074817596185</v>
      </c>
      <c r="AD28" s="3465">
        <f>'16. Необходими приходи'!E50</f>
        <v>1.884740052125083</v>
      </c>
      <c r="AE28" s="3465">
        <f>'16. Необходими приходи'!F50</f>
        <v>1.8866779842083978</v>
      </c>
      <c r="AF28" s="3465">
        <f>'16. Необходими приходи'!G50</f>
        <v>1.8886137551847439</v>
      </c>
      <c r="AG28" s="3465">
        <f>'16. Необходими приходи'!H50</f>
        <v>1.8909567094532744</v>
      </c>
      <c r="AH28" s="11"/>
      <c r="AI28" s="11"/>
      <c r="AK28" s="11"/>
    </row>
    <row r="29" spans="1:48">
      <c r="A29" s="3438" t="s">
        <v>1543</v>
      </c>
      <c r="B29" s="3546" t="s">
        <v>170</v>
      </c>
      <c r="C29" s="3547"/>
      <c r="D29" s="3548">
        <f>IFERROR((D27-$C$27)/$C$27,0)</f>
        <v>0</v>
      </c>
      <c r="E29" s="3548">
        <f t="shared" ref="E29:H29" si="33">IFERROR((E27-$C$27)/$C$27,0)</f>
        <v>0</v>
      </c>
      <c r="F29" s="3548">
        <f t="shared" si="33"/>
        <v>0</v>
      </c>
      <c r="G29" s="3548">
        <f t="shared" si="33"/>
        <v>0</v>
      </c>
      <c r="H29" s="3548">
        <f t="shared" si="33"/>
        <v>0</v>
      </c>
      <c r="I29" s="3547"/>
      <c r="J29" s="3559">
        <f>IFERROR((J27-$I$27)/$I$27,0)</f>
        <v>0.10405907889864749</v>
      </c>
      <c r="K29" s="3549">
        <f t="shared" ref="K29:N29" si="34">IFERROR((K27-$I$27)/$I$27,0)</f>
        <v>8.6708267828586774E-2</v>
      </c>
      <c r="L29" s="3548">
        <f t="shared" si="34"/>
        <v>6.9311143085515045E-2</v>
      </c>
      <c r="M29" s="3548">
        <f t="shared" si="34"/>
        <v>5.1867876279313586E-2</v>
      </c>
      <c r="N29" s="3548">
        <f t="shared" si="34"/>
        <v>3.4378008887129163E-2</v>
      </c>
      <c r="O29" s="4280">
        <f t="shared" si="28"/>
        <v>0</v>
      </c>
      <c r="P29" s="4280">
        <f t="shared" si="29"/>
        <v>-0.66962989437362785</v>
      </c>
      <c r="R29" s="4356" t="s">
        <v>1349</v>
      </c>
      <c r="S29" s="4357">
        <f>IFERROR('8. Ремонтна програма'!J22/'8. Ремонтна програма'!J$24,0)</f>
        <v>1.9606828513811573E-2</v>
      </c>
      <c r="T29" s="4357">
        <f>IFERROR('8. Ремонтна програма'!K22/'8. Ремонтна програма'!K$24,0)</f>
        <v>2.4125984350411474E-2</v>
      </c>
      <c r="U29" s="4357">
        <f>IFERROR('8. Ремонтна програма'!L22/'8. Ремонтна програма'!L$24,0)</f>
        <v>2.5407861669651664E-2</v>
      </c>
      <c r="V29" s="4357">
        <f>IFERROR('8. Ремонтна програма'!M22/'8. Ремонтна програма'!M$24,0)</f>
        <v>2.6443851196100487E-2</v>
      </c>
      <c r="W29" s="4357">
        <f>IFERROR('8. Ремонтна програма'!N22/'8. Ремонтна програма'!N$24,0)</f>
        <v>2.7418446132188939E-2</v>
      </c>
      <c r="X29" s="4357">
        <f>IFERROR('8. Ремонтна програма'!O22/'8. Ремонтна програма'!O$24,0)</f>
        <v>2.8509288161146715E-2</v>
      </c>
      <c r="Y29" s="3558">
        <f t="shared" si="23"/>
        <v>0.23048887449678498</v>
      </c>
      <c r="Z29" s="3558">
        <f t="shared" si="20"/>
        <v>0.18168393658352361</v>
      </c>
      <c r="AB29" s="3561" t="s">
        <v>304</v>
      </c>
      <c r="AC29" s="3465">
        <f>'16. Необходими приходи'!D51</f>
        <v>2.1448369033641215</v>
      </c>
      <c r="AD29" s="3465">
        <f>'16. Необходими приходи'!E51</f>
        <v>2.1423772750996242</v>
      </c>
      <c r="AE29" s="3465">
        <f>'16. Необходими приходи'!F51</f>
        <v>2.1399071571086217</v>
      </c>
      <c r="AF29" s="3465">
        <f>'16. Необходими приходи'!G51</f>
        <v>2.1374229662570445</v>
      </c>
      <c r="AG29" s="3465">
        <f>'16. Необходими приходи'!H51</f>
        <v>2.1344685755973898</v>
      </c>
      <c r="AH29" s="11"/>
      <c r="AI29" s="11"/>
      <c r="AK29" s="11"/>
    </row>
    <row r="30" spans="1:48" ht="19.5" customHeight="1">
      <c r="A30" s="3433" t="s">
        <v>1905</v>
      </c>
      <c r="B30" s="3550" t="s">
        <v>1902</v>
      </c>
      <c r="C30" s="3551">
        <f>'5. Персонал'!BR50</f>
        <v>0</v>
      </c>
      <c r="D30" s="3551">
        <f>'5. Персонал'!BS50</f>
        <v>0</v>
      </c>
      <c r="E30" s="3551">
        <f>'5. Персонал'!BT50</f>
        <v>0</v>
      </c>
      <c r="F30" s="3551">
        <f>'5. Персонал'!BU50</f>
        <v>0</v>
      </c>
      <c r="G30" s="3551">
        <f>'5. Персонал'!BV50</f>
        <v>0</v>
      </c>
      <c r="H30" s="3551">
        <f>'5. Персонал'!BW50</f>
        <v>0</v>
      </c>
      <c r="I30" s="3551">
        <f>'5. Персонал'!BX50</f>
        <v>11.110141389832069</v>
      </c>
      <c r="J30" s="3551">
        <f>'5. Персонал'!BY50</f>
        <v>15.108371600648468</v>
      </c>
      <c r="K30" s="3551">
        <f>'5. Персонал'!BZ50</f>
        <v>17.368498427564226</v>
      </c>
      <c r="L30" s="3551">
        <f>'5. Персонал'!CA50</f>
        <v>20.000196290002211</v>
      </c>
      <c r="M30" s="3551">
        <f>'5. Персонал'!CB50</f>
        <v>23.065971830502189</v>
      </c>
      <c r="N30" s="3551">
        <f>'5. Персонал'!CC50</f>
        <v>26.63907360669511</v>
      </c>
      <c r="O30" s="4280">
        <f t="shared" si="28"/>
        <v>0</v>
      </c>
      <c r="P30" s="4280">
        <f t="shared" si="29"/>
        <v>0.76319952347159181</v>
      </c>
      <c r="R30" s="4356" t="s">
        <v>1562</v>
      </c>
      <c r="S30" s="4357">
        <f>IFERROR('8. Ремонтна програма'!J23/'8. Ремонтна програма'!J$24,0)</f>
        <v>5.0453561071648709E-2</v>
      </c>
      <c r="T30" s="4357">
        <f>IFERROR('8. Ремонтна програма'!K23/'8. Ремонтна програма'!K$24,0)</f>
        <v>5.4148236944976259E-2</v>
      </c>
      <c r="U30" s="4357">
        <f>IFERROR('8. Ремонтна програма'!L23/'8. Ремонтна програма'!L$24,0)</f>
        <v>5.4979464417839095E-2</v>
      </c>
      <c r="V30" s="4357">
        <f>IFERROR('8. Ремонтна програма'!M23/'8. Ремонтна програма'!M$24,0)</f>
        <v>5.534024239986645E-2</v>
      </c>
      <c r="W30" s="4357">
        <f>IFERROR('8. Ремонтна програма'!N23/'8. Ремонтна програма'!N$24,0)</f>
        <v>5.5634831688275349E-2</v>
      </c>
      <c r="X30" s="4357">
        <f>IFERROR('8. Ремонтна програма'!O23/'8. Ремонтна програма'!O$24,0)</f>
        <v>5.6225230254893871E-2</v>
      </c>
      <c r="Y30" s="3558">
        <f t="shared" si="23"/>
        <v>7.3229238825794088E-2</v>
      </c>
      <c r="Z30" s="3558">
        <f t="shared" si="20"/>
        <v>3.835754268468957E-2</v>
      </c>
      <c r="AB30" s="3562" t="s">
        <v>1710</v>
      </c>
      <c r="AC30" s="3560"/>
      <c r="AD30" s="3560"/>
      <c r="AE30" s="3560"/>
      <c r="AF30" s="3560"/>
      <c r="AG30" s="3560"/>
      <c r="AH30" s="11"/>
      <c r="AI30" s="11"/>
      <c r="AK30" s="5617" t="s">
        <v>1906</v>
      </c>
      <c r="AL30" s="5615" t="str">
        <f>+'15. ОПП'!$C$7</f>
        <v>2027 г.</v>
      </c>
      <c r="AM30" s="5615" t="str">
        <f>+'15. ОПП'!$D$7</f>
        <v>2028 г.</v>
      </c>
      <c r="AN30" s="5615" t="str">
        <f>+'15. ОПП'!$E$7</f>
        <v>2029 г.</v>
      </c>
      <c r="AO30" s="5615" t="str">
        <f>+'15. ОПП'!$F$7</f>
        <v>2030 г.</v>
      </c>
      <c r="AP30" s="5615" t="str">
        <f>+'15. ОПП'!$G$7</f>
        <v>2031 г.</v>
      </c>
      <c r="AR30" s="5615" t="str">
        <f>+'15. ОПП'!$C$7</f>
        <v>2027 г.</v>
      </c>
      <c r="AS30" s="5615" t="str">
        <f>+'15. ОПП'!$D$7</f>
        <v>2028 г.</v>
      </c>
      <c r="AT30" s="5615" t="str">
        <f>+'15. ОПП'!$E$7</f>
        <v>2029 г.</v>
      </c>
      <c r="AU30" s="5615" t="str">
        <f>+'15. ОПП'!$F$7</f>
        <v>2030 г.</v>
      </c>
      <c r="AV30" s="5615" t="str">
        <f>+'15. ОПП'!$G$7</f>
        <v>2031 г.</v>
      </c>
    </row>
    <row r="31" spans="1:48" ht="13.5" customHeight="1">
      <c r="A31" s="3438" t="s">
        <v>1544</v>
      </c>
      <c r="B31" s="3546" t="s">
        <v>170</v>
      </c>
      <c r="C31" s="3547"/>
      <c r="D31" s="3548">
        <f>IFERROR((D30-C30)/C30,0)</f>
        <v>0</v>
      </c>
      <c r="E31" s="3548">
        <f t="shared" ref="E31:H31" si="35">IFERROR((E30-D30)/D30,0)</f>
        <v>0</v>
      </c>
      <c r="F31" s="3548">
        <f t="shared" si="35"/>
        <v>0</v>
      </c>
      <c r="G31" s="3548">
        <f t="shared" si="35"/>
        <v>0</v>
      </c>
      <c r="H31" s="3548">
        <f t="shared" si="35"/>
        <v>0</v>
      </c>
      <c r="I31" s="3547"/>
      <c r="J31" s="3549">
        <f>IFERROR((J30-I30)/I30,0)</f>
        <v>0.35987212678279262</v>
      </c>
      <c r="K31" s="3549">
        <f t="shared" ref="K31:N31" si="36">IFERROR((K30-J30)/J30,0)</f>
        <v>0.14959433661393076</v>
      </c>
      <c r="L31" s="3549">
        <f t="shared" si="36"/>
        <v>0.15152132312494077</v>
      </c>
      <c r="M31" s="3549">
        <f t="shared" si="36"/>
        <v>0.15328727258704514</v>
      </c>
      <c r="N31" s="3549">
        <f t="shared" si="36"/>
        <v>0.1549079224777293</v>
      </c>
      <c r="O31" s="4280">
        <f t="shared" si="28"/>
        <v>0</v>
      </c>
      <c r="P31" s="4280">
        <f t="shared" si="29"/>
        <v>-0.5695473170912545</v>
      </c>
      <c r="AB31" s="5628" t="s">
        <v>1722</v>
      </c>
      <c r="AC31" s="5617" t="s">
        <v>184</v>
      </c>
      <c r="AD31" s="5617"/>
      <c r="AE31" s="5617"/>
      <c r="AF31" s="5617"/>
      <c r="AG31" s="5617"/>
      <c r="AK31" s="5617"/>
      <c r="AL31" s="5616" t="str">
        <f>+'15. ОПП'!$C$7</f>
        <v>2027 г.</v>
      </c>
      <c r="AM31" s="5616" t="str">
        <f>+'15. ОПП'!$D$7</f>
        <v>2028 г.</v>
      </c>
      <c r="AN31" s="5616" t="str">
        <f>+'15. ОПП'!$E$7</f>
        <v>2029 г.</v>
      </c>
      <c r="AO31" s="5616" t="str">
        <f>+'15. ОПП'!$F$7</f>
        <v>2030 г.</v>
      </c>
      <c r="AP31" s="5616" t="str">
        <f>+'15. ОПП'!$G$7</f>
        <v>2031 г.</v>
      </c>
      <c r="AR31" s="5616" t="str">
        <f>+'15. ОПП'!$C$7</f>
        <v>2027 г.</v>
      </c>
      <c r="AS31" s="5616" t="str">
        <f>+'15. ОПП'!$D$7</f>
        <v>2028 г.</v>
      </c>
      <c r="AT31" s="5616" t="str">
        <f>+'15. ОПП'!$E$7</f>
        <v>2029 г.</v>
      </c>
      <c r="AU31" s="5616" t="str">
        <f>+'15. ОПП'!$F$7</f>
        <v>2030 г.</v>
      </c>
      <c r="AV31" s="5616" t="str">
        <f>+'15. ОПП'!$G$7</f>
        <v>2031 г.</v>
      </c>
    </row>
    <row r="32" spans="1:48">
      <c r="A32" s="3437" t="s">
        <v>1542</v>
      </c>
      <c r="B32" s="3546" t="s">
        <v>170</v>
      </c>
      <c r="C32" s="3547"/>
      <c r="D32" s="3548">
        <f>IFERROR((D30-$C$30)/$C$30,0)</f>
        <v>0</v>
      </c>
      <c r="E32" s="3548">
        <f t="shared" ref="E32:H32" si="37">IFERROR((E30-$C$30)/$C$30,0)</f>
        <v>0</v>
      </c>
      <c r="F32" s="3548">
        <f t="shared" si="37"/>
        <v>0</v>
      </c>
      <c r="G32" s="3548">
        <f t="shared" si="37"/>
        <v>0</v>
      </c>
      <c r="H32" s="3548">
        <f t="shared" si="37"/>
        <v>0</v>
      </c>
      <c r="I32" s="3547"/>
      <c r="J32" s="3548">
        <f>IFERROR((J30-$I$30)/$I$30,0)</f>
        <v>0.35987212678279262</v>
      </c>
      <c r="K32" s="3549">
        <f t="shared" ref="K32:N32" si="38">IFERROR((K30-$I$30)/$I$30,0)</f>
        <v>0.56330129546863961</v>
      </c>
      <c r="L32" s="3548">
        <f t="shared" si="38"/>
        <v>0.80017477620098187</v>
      </c>
      <c r="M32" s="3548">
        <f t="shared" si="38"/>
        <v>1.0761186578248247</v>
      </c>
      <c r="N32" s="3548">
        <f t="shared" si="38"/>
        <v>1.3977258859257202</v>
      </c>
      <c r="O32" s="4280">
        <f t="shared" si="28"/>
        <v>0</v>
      </c>
      <c r="P32" s="4280">
        <f t="shared" si="29"/>
        <v>2.8839514980534826</v>
      </c>
      <c r="AB32" s="5628"/>
      <c r="AC32" s="4285" t="str">
        <f>+'15. ОПП'!$C$7</f>
        <v>2027 г.</v>
      </c>
      <c r="AD32" s="4285" t="str">
        <f>+'15. ОПП'!$D$7</f>
        <v>2028 г.</v>
      </c>
      <c r="AE32" s="4285" t="str">
        <f>+'15. ОПП'!$E$7</f>
        <v>2029 г.</v>
      </c>
      <c r="AF32" s="4285" t="str">
        <f>+'15. ОПП'!$F$7</f>
        <v>2030 г.</v>
      </c>
      <c r="AG32" s="4285" t="str">
        <f>+'15. ОПП'!$G$7</f>
        <v>2031 г.</v>
      </c>
      <c r="AK32" s="5612" t="s">
        <v>207</v>
      </c>
      <c r="AL32" s="5613"/>
      <c r="AM32" s="5613"/>
      <c r="AN32" s="5613"/>
      <c r="AO32" s="5613"/>
      <c r="AP32" s="5614"/>
      <c r="AR32" s="4590"/>
      <c r="AS32" s="4590"/>
      <c r="AT32" s="4590"/>
      <c r="AU32" s="4590"/>
      <c r="AV32" s="4591"/>
    </row>
    <row r="33" spans="1:48" ht="21" customHeight="1">
      <c r="A33" s="3436" t="s">
        <v>1546</v>
      </c>
      <c r="B33" s="3554" t="s">
        <v>170</v>
      </c>
      <c r="C33" s="3430">
        <f>'5. Персонал'!U62</f>
        <v>0</v>
      </c>
      <c r="D33" s="3430">
        <f>'5. Персонал'!V62</f>
        <v>0</v>
      </c>
      <c r="E33" s="3430">
        <f>'5. Персонал'!W62</f>
        <v>0</v>
      </c>
      <c r="F33" s="3430">
        <f>'5. Персонал'!X62</f>
        <v>0</v>
      </c>
      <c r="G33" s="3430">
        <f>'5. Персонал'!Y62</f>
        <v>0</v>
      </c>
      <c r="H33" s="3430">
        <f>'5. Персонал'!Z62</f>
        <v>0</v>
      </c>
      <c r="I33" s="3430">
        <f>'5. Персонал'!AA62</f>
        <v>0.1960036570591675</v>
      </c>
      <c r="J33" s="3430">
        <f>'5. Персонал'!AB62</f>
        <v>0.20002656310776099</v>
      </c>
      <c r="K33" s="3430">
        <f>'5. Персонал'!AC62</f>
        <v>0.21043040401526486</v>
      </c>
      <c r="L33" s="3430">
        <f>'5. Персонал'!AD62</f>
        <v>0.21090969951405861</v>
      </c>
      <c r="M33" s="3430">
        <f>'5. Персонал'!AE62</f>
        <v>0.21136370499674301</v>
      </c>
      <c r="N33" s="3430">
        <f>'5. Персонал'!AF62</f>
        <v>0.21136718285461659</v>
      </c>
      <c r="O33" s="4280">
        <f t="shared" si="28"/>
        <v>0</v>
      </c>
      <c r="P33" s="4280">
        <f t="shared" si="29"/>
        <v>5.6695568681775686E-2</v>
      </c>
      <c r="R33" s="4354" t="s">
        <v>1857</v>
      </c>
      <c r="S33" s="4355" t="str">
        <f>+'15. ОПП'!$B$7</f>
        <v>2024 г.</v>
      </c>
      <c r="T33" s="4355" t="str">
        <f>+'15. ОПП'!$C$7</f>
        <v>2027 г.</v>
      </c>
      <c r="U33" s="4355" t="str">
        <f>+'15. ОПП'!$D$7</f>
        <v>2028 г.</v>
      </c>
      <c r="V33" s="4355" t="str">
        <f>+'15. ОПП'!$E$7</f>
        <v>2029 г.</v>
      </c>
      <c r="W33" s="4355" t="str">
        <f>+'15. ОПП'!$F$7</f>
        <v>2030 г.</v>
      </c>
      <c r="X33" s="4355" t="str">
        <f>+'15. ОПП'!$G$7</f>
        <v>2031 г.</v>
      </c>
      <c r="Y33" s="4355" t="str">
        <f>+Y16</f>
        <v>Изменение 2027 г.спрямо 2024 г.</v>
      </c>
      <c r="Z33" s="4355" t="str">
        <f>+Z16</f>
        <v>Изменение 2031 г.спрямо 2027 г.</v>
      </c>
      <c r="AB33" s="4299" t="s">
        <v>1706</v>
      </c>
      <c r="AC33" s="3579">
        <f>'16. Необходими приходи'!D55</f>
        <v>546.92842557588597</v>
      </c>
      <c r="AD33" s="3579">
        <f>'16. Необходими приходи'!E55</f>
        <v>560.37503383487069</v>
      </c>
      <c r="AE33" s="3579">
        <f>'16. Необходими приходи'!F55</f>
        <v>575.01791861989011</v>
      </c>
      <c r="AF33" s="3579">
        <f>'16. Необходими приходи'!G55</f>
        <v>595.13606904329856</v>
      </c>
      <c r="AG33" s="3579">
        <f>'16. Необходими приходи'!H55</f>
        <v>604.51073605020417</v>
      </c>
      <c r="AK33" s="1461" t="s">
        <v>608</v>
      </c>
      <c r="AL33" s="3545">
        <f>AR33</f>
        <v>1.8839999999999999</v>
      </c>
      <c r="AM33" s="3545">
        <f t="shared" ref="AM33:AP33" si="39">AS33</f>
        <v>2.024</v>
      </c>
      <c r="AN33" s="3545">
        <f t="shared" si="39"/>
        <v>2.1760000000000002</v>
      </c>
      <c r="AO33" s="3545">
        <f t="shared" si="39"/>
        <v>2.3479999999999999</v>
      </c>
      <c r="AP33" s="3545">
        <f t="shared" si="39"/>
        <v>2.5329999999999999</v>
      </c>
      <c r="AR33" s="3545">
        <f>AL5</f>
        <v>1.8839999999999999</v>
      </c>
      <c r="AS33" s="3545">
        <f>AM5</f>
        <v>2.024</v>
      </c>
      <c r="AT33" s="3545">
        <f>AN5</f>
        <v>2.1760000000000002</v>
      </c>
      <c r="AU33" s="3545">
        <f>AO5</f>
        <v>2.3479999999999999</v>
      </c>
      <c r="AV33" s="3545">
        <f>AP5</f>
        <v>2.5329999999999999</v>
      </c>
    </row>
    <row r="34" spans="1:48" ht="18.75" customHeight="1">
      <c r="A34" s="3436" t="s">
        <v>1545</v>
      </c>
      <c r="B34" s="3554" t="s">
        <v>170</v>
      </c>
      <c r="C34" s="3430">
        <f>'5. Персонал'!U63</f>
        <v>0</v>
      </c>
      <c r="D34" s="3430">
        <f>'5. Персонал'!V63</f>
        <v>0</v>
      </c>
      <c r="E34" s="3430">
        <f>'5. Персонал'!W63</f>
        <v>0</v>
      </c>
      <c r="F34" s="3430">
        <f>'5. Персонал'!X63</f>
        <v>0</v>
      </c>
      <c r="G34" s="3430">
        <f>'5. Персонал'!Y63</f>
        <v>0</v>
      </c>
      <c r="H34" s="3430">
        <f>'5. Персонал'!Z63</f>
        <v>0</v>
      </c>
      <c r="I34" s="3430">
        <f>'5. Персонал'!AA63</f>
        <v>7.63797829294591E-2</v>
      </c>
      <c r="J34" s="3430">
        <f>'5. Персонал'!AB63</f>
        <v>7.34107255061512E-2</v>
      </c>
      <c r="K34" s="3430">
        <f>'5. Персонал'!AC63</f>
        <v>6.8555654233253258E-2</v>
      </c>
      <c r="L34" s="3430">
        <f>'5. Персонал'!AD63</f>
        <v>6.7621726178724501E-2</v>
      </c>
      <c r="M34" s="3430">
        <f>'5. Персонал'!AE63</f>
        <v>6.3143191419673034E-2</v>
      </c>
      <c r="N34" s="3430">
        <f>'5. Персонал'!AF63</f>
        <v>5.574311471200414E-2</v>
      </c>
      <c r="O34" s="4280">
        <f t="shared" si="28"/>
        <v>0</v>
      </c>
      <c r="P34" s="4280">
        <f t="shared" si="29"/>
        <v>-0.24066797695204176</v>
      </c>
      <c r="R34" s="4358" t="s">
        <v>1574</v>
      </c>
      <c r="S34" s="4357">
        <f>IFERROR('8. Ремонтна програма'!J41/'8. Ремонтна програма'!J$54,0)</f>
        <v>0</v>
      </c>
      <c r="T34" s="4357">
        <f>IFERROR('8. Ремонтна програма'!K41/'8. Ремонтна програма'!K$54,0)</f>
        <v>32.196532655989365</v>
      </c>
      <c r="U34" s="4357">
        <f>IFERROR('8. Ремонтна програма'!L41/'8. Ремонтна програма'!L$54,0)</f>
        <v>227.30272365104969</v>
      </c>
      <c r="V34" s="4357">
        <f>IFERROR('8. Ремонтна програма'!M41/'8. Ремонтна програма'!M$54,0)</f>
        <v>-1307.8650951267418</v>
      </c>
      <c r="W34" s="4357">
        <f>IFERROR('8. Ремонтна програма'!N41/'8. Ремонтна програма'!N$54,0)</f>
        <v>67.407898249520045</v>
      </c>
      <c r="X34" s="4357">
        <f>IFERROR('8. Ремонтна програма'!O41/'8. Ремонтна програма'!O$54,0)</f>
        <v>1316.8396223634877</v>
      </c>
      <c r="Y34" s="3558">
        <f t="shared" ref="Y34:Y45" si="40">IFERROR((T34-S34)/S34,0)</f>
        <v>0</v>
      </c>
      <c r="Z34" s="3558">
        <f t="shared" ref="Z34:Z55" si="41">IFERROR((X34-T34)/T34,0)</f>
        <v>39.900044623858662</v>
      </c>
      <c r="AB34" s="4299" t="s">
        <v>1707</v>
      </c>
      <c r="AC34" s="3579">
        <f>'16. Необходими приходи'!D56</f>
        <v>116913.05450493311</v>
      </c>
      <c r="AD34" s="3579">
        <f>'16. Необходими приходи'!E56</f>
        <v>117486.15771329065</v>
      </c>
      <c r="AE34" s="3579">
        <f>'16. Необходими приходи'!F56</f>
        <v>118059.26092164817</v>
      </c>
      <c r="AF34" s="3579">
        <f>'16. Необходими приходи'!G56</f>
        <v>118632.36413000568</v>
      </c>
      <c r="AG34" s="3579">
        <f>'16. Необходими приходи'!H56</f>
        <v>119778.5705467207</v>
      </c>
      <c r="AK34" s="3447" t="s">
        <v>1925</v>
      </c>
      <c r="AL34" s="4366">
        <f>IFERROR(ROUND(AR34,5),"-")</f>
        <v>1.4407099999999999</v>
      </c>
      <c r="AM34" s="4598">
        <f t="shared" ref="AM34:AM39" si="42">IFERROR(ROUND(AS34,5),"-")</f>
        <v>1.4368799999999999</v>
      </c>
      <c r="AN34" s="4598">
        <f t="shared" ref="AN34:AN39" si="43">IFERROR(ROUND(AT34,5),"-")</f>
        <v>1.57996</v>
      </c>
      <c r="AO34" s="4598">
        <f t="shared" ref="AO34:AO39" si="44">IFERROR(ROUND(AU34,5),"-")</f>
        <v>1.73367</v>
      </c>
      <c r="AP34" s="4598">
        <f t="shared" ref="AP34:AP39" si="45">IFERROR(ROUND(AV34,5),"-")</f>
        <v>1.90927</v>
      </c>
      <c r="AR34" s="4366">
        <f>IFERROR(('12. Разходи'!BK88-'12. Разходи'!BK89)/'16. Необходими приходи'!D12,"-")</f>
        <v>1.4407120703105771</v>
      </c>
      <c r="AS34" s="4598">
        <f>IFERROR(('12. Разходи'!BK88-'12. Разходи'!BK89)/'16. Необходими приходи'!E12,"-")</f>
        <v>1.4368809065836536</v>
      </c>
      <c r="AT34" s="4598">
        <f>IFERROR(('12. Разходи'!BL88-'12. Разходи'!BL89)/'16. Необходими приходи'!F12,"-")</f>
        <v>1.5799594768309748</v>
      </c>
      <c r="AU34" s="4598">
        <f>IFERROR(('12. Разходи'!BM88-'12. Разходи'!BM89)/'16. Необходими приходи'!G12,"-")</f>
        <v>1.7336711520496919</v>
      </c>
      <c r="AV34" s="4598">
        <f>IFERROR(('12. Разходи'!BN88-'12. Разходи'!BN89)/'16. Необходими приходи'!H12,"-")</f>
        <v>1.9092726187825046</v>
      </c>
    </row>
    <row r="35" spans="1:48" ht="14.25" customHeight="1">
      <c r="A35" s="5615" t="s">
        <v>2</v>
      </c>
      <c r="B35" s="5621" t="s">
        <v>1536</v>
      </c>
      <c r="C35" s="5623" t="s">
        <v>1537</v>
      </c>
      <c r="D35" s="5624"/>
      <c r="E35" s="5624"/>
      <c r="F35" s="5624"/>
      <c r="G35" s="5624"/>
      <c r="H35" s="5625"/>
      <c r="I35" s="5618" t="s">
        <v>1538</v>
      </c>
      <c r="J35" s="5619"/>
      <c r="K35" s="5619"/>
      <c r="L35" s="5619"/>
      <c r="M35" s="5619"/>
      <c r="N35" s="5626"/>
      <c r="O35" s="5615" t="str">
        <f>CONCATENATE("Изменение ", H36,"спрямо ",D36)</f>
        <v>Изменение 2031 г.спрямо 2027 г.</v>
      </c>
      <c r="P35" s="5615" t="str">
        <f>CONCATENATE("Изменение ", N36,"спрямо ",J36)</f>
        <v>Изменение 2031 г.спрямо 2027 г.</v>
      </c>
      <c r="R35" s="4356" t="s">
        <v>1573</v>
      </c>
      <c r="S35" s="4357">
        <f>IFERROR('8. Ремонтна програма'!J42/'8. Ремонтна програма'!J$54,0)</f>
        <v>0</v>
      </c>
      <c r="T35" s="4357">
        <f>IFERROR('8. Ремонтна програма'!K42/'8. Ремонтна програма'!K$54,0)</f>
        <v>22.52505550768139</v>
      </c>
      <c r="U35" s="4357">
        <f>IFERROR('8. Ремонтна програма'!L42/'8. Ремонтна програма'!L$54,0)</f>
        <v>189.52281739837338</v>
      </c>
      <c r="V35" s="4357">
        <f>IFERROR('8. Ремонтна програма'!M42/'8. Ремонтна програма'!M$54,0)</f>
        <v>-522.30487648457017</v>
      </c>
      <c r="W35" s="4357">
        <f>IFERROR('8. Ремонтна програма'!N42/'8. Ремонтна програма'!N$54,0)</f>
        <v>69.720705677751084</v>
      </c>
      <c r="X35" s="4357">
        <f>IFERROR('8. Ремонтна програма'!O42/'8. Ремонтна програма'!O$54,0)</f>
        <v>1420.6708776421003</v>
      </c>
      <c r="Y35" s="3558">
        <f t="shared" si="40"/>
        <v>0</v>
      </c>
      <c r="Z35" s="3558">
        <f t="shared" si="41"/>
        <v>62.070693750682643</v>
      </c>
      <c r="AB35" s="4299" t="s">
        <v>1708</v>
      </c>
      <c r="AC35" s="3579">
        <f>'16. Необходими приходи'!D57</f>
        <v>47900.641586924678</v>
      </c>
      <c r="AD35" s="3579">
        <f>'16. Необходими приходи'!E57</f>
        <v>46996.855896605346</v>
      </c>
      <c r="AE35" s="3579">
        <f>'16. Необходими приходи'!F57</f>
        <v>46093.070206286015</v>
      </c>
      <c r="AF35" s="3579">
        <f>'16. Необходими приходи'!G57</f>
        <v>45189.284515966676</v>
      </c>
      <c r="AG35" s="3579">
        <f>'16. Необходими приходи'!H57</f>
        <v>44285.498825647337</v>
      </c>
      <c r="AK35" s="3445" t="s">
        <v>1926</v>
      </c>
      <c r="AL35" s="4597">
        <f t="shared" ref="AL35:AL39" si="46">IFERROR(ROUND(AR35,5),"-")</f>
        <v>0.12317</v>
      </c>
      <c r="AM35" s="4599">
        <f t="shared" si="42"/>
        <v>0.12402000000000001</v>
      </c>
      <c r="AN35" s="4599">
        <f t="shared" si="43"/>
        <v>0.11774</v>
      </c>
      <c r="AO35" s="4599">
        <f t="shared" si="44"/>
        <v>0.11609</v>
      </c>
      <c r="AP35" s="4599">
        <f t="shared" si="45"/>
        <v>0.11459</v>
      </c>
      <c r="AR35" s="4597">
        <f>IFERROR('12. Разходи'!BK55/'16. Необходими приходи'!D12,"-")</f>
        <v>0.12316650956492824</v>
      </c>
      <c r="AS35" s="4599">
        <f>IFERROR('12. Разходи'!BL55/'16. Необходими приходи'!E12,"-")</f>
        <v>0.12401884547262843</v>
      </c>
      <c r="AT35" s="4599">
        <f>IFERROR('12. Разходи'!BM55/'16. Необходими приходи'!F12,"-")</f>
        <v>0.1177383257714734</v>
      </c>
      <c r="AU35" s="4599">
        <f>IFERROR('12. Разходи'!BN55/'16. Необходими приходи'!G12,"-")</f>
        <v>0.11608912242539131</v>
      </c>
      <c r="AV35" s="4599">
        <f>IFERROR('12. Разходи'!BO55/'16. Необходими приходи'!H12,"-")</f>
        <v>0.11458827137241946</v>
      </c>
    </row>
    <row r="36" spans="1:48" ht="12.75" customHeight="1">
      <c r="A36" s="5616"/>
      <c r="B36" s="5622"/>
      <c r="C36" s="4352" t="str">
        <f>+'15. ОПП'!$B$7</f>
        <v>2024 г.</v>
      </c>
      <c r="D36" s="4352" t="str">
        <f>+'15. ОПП'!$C$7</f>
        <v>2027 г.</v>
      </c>
      <c r="E36" s="4352" t="str">
        <f>+'15. ОПП'!$D$7</f>
        <v>2028 г.</v>
      </c>
      <c r="F36" s="4352" t="str">
        <f>+'15. ОПП'!$E$7</f>
        <v>2029 г.</v>
      </c>
      <c r="G36" s="4352" t="str">
        <f>+'15. ОПП'!$F$7</f>
        <v>2030 г.</v>
      </c>
      <c r="H36" s="4352" t="str">
        <f>+'15. ОПП'!$G$7</f>
        <v>2031 г.</v>
      </c>
      <c r="I36" s="4352" t="str">
        <f>+'15. ОПП'!$B$7</f>
        <v>2024 г.</v>
      </c>
      <c r="J36" s="4352" t="str">
        <f>+'15. ОПП'!$C$7</f>
        <v>2027 г.</v>
      </c>
      <c r="K36" s="4352" t="str">
        <f>+'15. ОПП'!$D$7</f>
        <v>2028 г.</v>
      </c>
      <c r="L36" s="4352" t="str">
        <f>+'15. ОПП'!$E$7</f>
        <v>2029 г.</v>
      </c>
      <c r="M36" s="4352" t="str">
        <f>+'15. ОПП'!$F$7</f>
        <v>2030 г.</v>
      </c>
      <c r="N36" s="4352" t="str">
        <f>+'15. ОПП'!$G$7</f>
        <v>2031 г.</v>
      </c>
      <c r="O36" s="5616"/>
      <c r="P36" s="5616"/>
      <c r="R36" s="4356" t="s">
        <v>1575</v>
      </c>
      <c r="S36" s="4357">
        <f>IFERROR('8. Ремонтна програма'!J43/'8. Ремонтна програма'!J$54,0)</f>
        <v>0</v>
      </c>
      <c r="T36" s="4357">
        <f>IFERROR('8. Ремонтна програма'!K43/'8. Ремонтна програма'!K$54,0)</f>
        <v>0</v>
      </c>
      <c r="U36" s="4357">
        <f>IFERROR('8. Ремонтна програма'!L43/'8. Ремонтна програма'!L$54,0)</f>
        <v>8.1213468155240793</v>
      </c>
      <c r="V36" s="4357">
        <f>IFERROR('8. Ремонтна програма'!M43/'8. Ремонтна програма'!M$54,0)</f>
        <v>0</v>
      </c>
      <c r="W36" s="4357">
        <f>IFERROR('8. Ремонтна програма'!N43/'8. Ремонтна програма'!N$54,0)</f>
        <v>2.4425113909641225</v>
      </c>
      <c r="X36" s="4357">
        <f>IFERROR('8. Ремонтна програма'!O43/'8. Ремонтна програма'!O$54,0)</f>
        <v>0</v>
      </c>
      <c r="Y36" s="3558">
        <f t="shared" si="40"/>
        <v>0</v>
      </c>
      <c r="Z36" s="3558">
        <f t="shared" si="41"/>
        <v>0</v>
      </c>
      <c r="AB36" s="4367" t="s">
        <v>1709</v>
      </c>
      <c r="AC36" s="3703">
        <f>SUM(AC33:AC35)</f>
        <v>165360.62451743367</v>
      </c>
      <c r="AD36" s="3703">
        <f t="shared" ref="AD36:AG36" si="47">SUM(AD33:AD35)</f>
        <v>165043.38864373087</v>
      </c>
      <c r="AE36" s="3703">
        <f t="shared" si="47"/>
        <v>164727.34904655407</v>
      </c>
      <c r="AF36" s="3703">
        <f t="shared" si="47"/>
        <v>164416.78471501564</v>
      </c>
      <c r="AG36" s="3703">
        <f t="shared" si="47"/>
        <v>164668.58010841825</v>
      </c>
      <c r="AK36" s="3445" t="s">
        <v>1927</v>
      </c>
      <c r="AL36" s="4597">
        <f t="shared" si="46"/>
        <v>1.09362</v>
      </c>
      <c r="AM36" s="4599">
        <f t="shared" si="42"/>
        <v>1.23803</v>
      </c>
      <c r="AN36" s="4599">
        <f t="shared" si="43"/>
        <v>1.4014800000000001</v>
      </c>
      <c r="AO36" s="4599">
        <f t="shared" si="44"/>
        <v>1.5823100000000001</v>
      </c>
      <c r="AP36" s="4599">
        <f t="shared" si="45"/>
        <v>1.7806200000000001</v>
      </c>
      <c r="AR36" s="4597">
        <f>IFERROR(('12. Разходи'!BK59+'12. Разходи'!BK63)/'16. Необходими приходи'!D12,"-")</f>
        <v>1.0936237507396962</v>
      </c>
      <c r="AS36" s="4599">
        <f>IFERROR(('12. Разходи'!BL59+'12. Разходи'!BL63)/'16. Необходими приходи'!E12,"-")</f>
        <v>1.2380319856928357</v>
      </c>
      <c r="AT36" s="4599">
        <f>IFERROR(('12. Разходи'!BM59+'12. Разходи'!BM63)/'16. Необходими приходи'!F12,"-")</f>
        <v>1.401478640913709</v>
      </c>
      <c r="AU36" s="4599">
        <f>IFERROR(('12. Разходи'!BN59+'12. Разходи'!BN63)/'16. Необходими приходи'!G12,"-")</f>
        <v>1.5823064453939693</v>
      </c>
      <c r="AV36" s="4599">
        <f>IFERROR(('12. Разходи'!BO59+'12. Разходи'!BO63)/'16. Необходими приходи'!H12,"-")</f>
        <v>1.780618542459047</v>
      </c>
    </row>
    <row r="37" spans="1:48" ht="15" customHeight="1">
      <c r="A37" s="3435" t="s">
        <v>1541</v>
      </c>
      <c r="B37" s="3539" t="s">
        <v>676</v>
      </c>
      <c r="C37" s="3540">
        <f>C4+C26+I26</f>
        <v>294.88290945434767</v>
      </c>
      <c r="D37" s="3540">
        <f t="shared" ref="D37:H38" si="48">D4+D26+J26</f>
        <v>300.36145051580962</v>
      </c>
      <c r="E37" s="3540">
        <f t="shared" si="48"/>
        <v>298.35885854580107</v>
      </c>
      <c r="F37" s="3540">
        <f t="shared" si="48"/>
        <v>297.356258448863</v>
      </c>
      <c r="G37" s="3540">
        <f t="shared" si="48"/>
        <v>296.35364952516773</v>
      </c>
      <c r="H37" s="3540">
        <f t="shared" si="48"/>
        <v>295.35103221334424</v>
      </c>
      <c r="I37" s="3540">
        <f>I4+C15</f>
        <v>56.746906738439407</v>
      </c>
      <c r="J37" s="3540">
        <f t="shared" ref="J37:N38" si="49">J4+D15</f>
        <v>66.576049484190406</v>
      </c>
      <c r="K37" s="3540">
        <f t="shared" si="49"/>
        <v>66.578641454198902</v>
      </c>
      <c r="L37" s="3540">
        <f t="shared" si="49"/>
        <v>66.581241551137012</v>
      </c>
      <c r="M37" s="3540">
        <f t="shared" si="49"/>
        <v>66.583850474832246</v>
      </c>
      <c r="N37" s="3540">
        <f t="shared" si="49"/>
        <v>66.586467786655803</v>
      </c>
      <c r="O37" s="4280">
        <f t="shared" ref="O37:O45" si="50">IFERROR((H37-D37)/D37,0)</f>
        <v>-1.66812961312479E-2</v>
      </c>
      <c r="P37" s="4280">
        <f t="shared" ref="P37:P45" si="51">IFERROR((N37-J37)/J37,0)</f>
        <v>1.5648724347740582E-4</v>
      </c>
      <c r="R37" s="4358" t="s">
        <v>1576</v>
      </c>
      <c r="S37" s="4357">
        <f>IFERROR('8. Ремонтна програма'!J44/'8. Ремонтна програма'!J$54,0)</f>
        <v>0</v>
      </c>
      <c r="T37" s="4357">
        <f>IFERROR('8. Ремонтна програма'!K44/'8. Ремонтна програма'!K$54,0)</f>
        <v>0</v>
      </c>
      <c r="U37" s="4357">
        <f>IFERROR('8. Ремонтна програма'!L44/'8. Ремонтна програма'!L$54,0)</f>
        <v>0</v>
      </c>
      <c r="V37" s="4357">
        <f>IFERROR('8. Ремонтна програма'!M44/'8. Ремонтна програма'!M$54,0)</f>
        <v>0</v>
      </c>
      <c r="W37" s="4357">
        <f>IFERROR('8. Ремонтна програма'!N44/'8. Ремонтна програма'!N$54,0)</f>
        <v>0</v>
      </c>
      <c r="X37" s="4357">
        <f>IFERROR('8. Ремонтна програма'!O44/'8. Ремонтна програма'!O$54,0)</f>
        <v>0</v>
      </c>
      <c r="Y37" s="3558">
        <f t="shared" si="40"/>
        <v>0</v>
      </c>
      <c r="Z37" s="3558">
        <f t="shared" si="41"/>
        <v>0</v>
      </c>
      <c r="AK37" s="3447" t="s">
        <v>1928</v>
      </c>
      <c r="AL37" s="4366">
        <f t="shared" si="46"/>
        <v>0.33185999999999999</v>
      </c>
      <c r="AM37" s="4598">
        <f t="shared" si="42"/>
        <v>0.32616000000000001</v>
      </c>
      <c r="AN37" s="4598">
        <f t="shared" si="43"/>
        <v>0.31896999999999998</v>
      </c>
      <c r="AO37" s="4598">
        <f t="shared" si="44"/>
        <v>0.30878</v>
      </c>
      <c r="AP37" s="4598">
        <f t="shared" si="45"/>
        <v>0.29509000000000002</v>
      </c>
      <c r="AR37" s="4366">
        <f>IFERROR('12. Разходи'!BK89/'16. Необходими приходи'!D12,"-")</f>
        <v>0.33186298601106984</v>
      </c>
      <c r="AS37" s="4598">
        <f>IFERROR('12. Разходи'!BL89/'16. Необходими приходи'!E12,"-")</f>
        <v>0.32616465797162836</v>
      </c>
      <c r="AT37" s="4598">
        <f>IFERROR('12. Разходи'!BM89/'16. Необходими приходи'!F12,"-")</f>
        <v>0.31897174101731324</v>
      </c>
      <c r="AU37" s="4598">
        <f>IFERROR('12. Разходи'!BN89/'16. Необходими приходи'!G12,"-")</f>
        <v>0.30877527870006438</v>
      </c>
      <c r="AV37" s="4598">
        <f>IFERROR('12. Разходи'!BO89/'16. Необходими приходи'!H12,"-")</f>
        <v>0.29508520228336438</v>
      </c>
    </row>
    <row r="38" spans="1:48" ht="15" customHeight="1">
      <c r="A38" s="3432" t="s">
        <v>1534</v>
      </c>
      <c r="B38" s="3543" t="s">
        <v>1539</v>
      </c>
      <c r="C38" s="3540">
        <f>C5+C27+I27</f>
        <v>277.21000000000004</v>
      </c>
      <c r="D38" s="3540">
        <f t="shared" si="48"/>
        <v>282.86677481893707</v>
      </c>
      <c r="E38" s="3540">
        <f t="shared" si="48"/>
        <v>279.71819982684463</v>
      </c>
      <c r="F38" s="3540">
        <f t="shared" si="48"/>
        <v>277.48359506684983</v>
      </c>
      <c r="G38" s="3540">
        <f t="shared" si="48"/>
        <v>275.25174055438032</v>
      </c>
      <c r="H38" s="3540">
        <f t="shared" si="48"/>
        <v>273.02271029386793</v>
      </c>
      <c r="I38" s="3540">
        <f>I5+C16</f>
        <v>54.3</v>
      </c>
      <c r="J38" s="3540">
        <f t="shared" si="49"/>
        <v>68.011642125315362</v>
      </c>
      <c r="K38" s="3540">
        <f t="shared" si="49"/>
        <v>66.967126892016609</v>
      </c>
      <c r="L38" s="3540">
        <f t="shared" si="49"/>
        <v>65.919921891927885</v>
      </c>
      <c r="M38" s="3540">
        <f t="shared" si="49"/>
        <v>64.869956498230138</v>
      </c>
      <c r="N38" s="3540">
        <f t="shared" si="49"/>
        <v>63.817156406287054</v>
      </c>
      <c r="O38" s="4280">
        <f t="shared" si="50"/>
        <v>-3.4801063261566602E-2</v>
      </c>
      <c r="P38" s="4280">
        <f t="shared" si="51"/>
        <v>-6.1673054611734356E-2</v>
      </c>
      <c r="R38" s="4356" t="s">
        <v>1577</v>
      </c>
      <c r="S38" s="4357">
        <f>IFERROR('8. Ремонтна програма'!J45/'8. Ремонтна програма'!J$54,0)</f>
        <v>0</v>
      </c>
      <c r="T38" s="4357">
        <f>IFERROR('8. Ремонтна програма'!K45/'8. Ремонтна програма'!K$54,0)</f>
        <v>0</v>
      </c>
      <c r="U38" s="4357">
        <f>IFERROR('8. Ремонтна програма'!L45/'8. Ремонтна програма'!L$54,0)</f>
        <v>0</v>
      </c>
      <c r="V38" s="4357">
        <f>IFERROR('8. Ремонтна програма'!M45/'8. Ремонтна програма'!M$54,0)</f>
        <v>0</v>
      </c>
      <c r="W38" s="4357">
        <f>IFERROR('8. Ремонтна програма'!N45/'8. Ремонтна програма'!N$54,0)</f>
        <v>0</v>
      </c>
      <c r="X38" s="4357">
        <f>IFERROR('8. Ремонтна програма'!O45/'8. Ремонтна програма'!O$54,0)</f>
        <v>0</v>
      </c>
      <c r="Y38" s="3558">
        <f t="shared" si="40"/>
        <v>0</v>
      </c>
      <c r="Z38" s="3558">
        <f t="shared" si="41"/>
        <v>0</v>
      </c>
      <c r="AK38" s="3445" t="s">
        <v>1929</v>
      </c>
      <c r="AL38" s="4597">
        <f t="shared" si="46"/>
        <v>0.28688999999999998</v>
      </c>
      <c r="AM38" s="4599">
        <f t="shared" si="42"/>
        <v>0.28166999999999998</v>
      </c>
      <c r="AN38" s="4599">
        <f t="shared" si="43"/>
        <v>0.27504000000000001</v>
      </c>
      <c r="AO38" s="4599">
        <f t="shared" si="44"/>
        <v>0.26557999999999998</v>
      </c>
      <c r="AP38" s="4599">
        <f t="shared" si="45"/>
        <v>0.25291999999999998</v>
      </c>
      <c r="AR38" s="4597">
        <f>IFERROR('12. Разходи'!BK17/'16. Необходими приходи'!D12,"-")</f>
        <v>0.28689436306702232</v>
      </c>
      <c r="AS38" s="4599">
        <f>IFERROR('12. Разходи'!BL17/'16. Необходими приходи'!E12,"-")</f>
        <v>0.28167374497658187</v>
      </c>
      <c r="AT38" s="4599">
        <f>IFERROR('12. Разходи'!BM17/'16. Необходими приходи'!F12,"-")</f>
        <v>0.27503972211593097</v>
      </c>
      <c r="AU38" s="4599">
        <f>IFERROR('12. Разходи'!BN17/'16. Необходими приходи'!G12,"-")</f>
        <v>0.26557897164663707</v>
      </c>
      <c r="AV38" s="4599">
        <f>IFERROR('12. Разходи'!BO17/'16. Необходими приходи'!H12,"-")</f>
        <v>0.25292438821187507</v>
      </c>
    </row>
    <row r="39" spans="1:48" ht="15" customHeight="1">
      <c r="A39" s="3438" t="s">
        <v>1544</v>
      </c>
      <c r="B39" s="3546" t="s">
        <v>170</v>
      </c>
      <c r="C39" s="3547"/>
      <c r="D39" s="3548">
        <f>IFERROR((D38-C38)/C38,0)</f>
        <v>2.0406099415378368E-2</v>
      </c>
      <c r="E39" s="3548">
        <f t="shared" ref="E39:H39" si="52">IFERROR((E38-D38)/D38,0)</f>
        <v>-1.1130946694279846E-2</v>
      </c>
      <c r="F39" s="3548">
        <f t="shared" si="52"/>
        <v>-7.9887714184421824E-3</v>
      </c>
      <c r="G39" s="3548">
        <f t="shared" si="52"/>
        <v>-8.0431944523849212E-3</v>
      </c>
      <c r="H39" s="3548">
        <f t="shared" si="52"/>
        <v>-8.0981513723507523E-3</v>
      </c>
      <c r="I39" s="3547"/>
      <c r="J39" s="3549">
        <f>IFERROR((J38-I38)/I38,0)</f>
        <v>0.25251642956381887</v>
      </c>
      <c r="K39" s="3549">
        <f t="shared" ref="K39:N39" si="53">IFERROR((K38-J38)/J38,0)</f>
        <v>-1.5357888747549632E-2</v>
      </c>
      <c r="L39" s="3549">
        <f t="shared" si="53"/>
        <v>-1.5637597858682583E-2</v>
      </c>
      <c r="M39" s="3549">
        <f t="shared" si="53"/>
        <v>-1.5927891956836776E-2</v>
      </c>
      <c r="N39" s="3549">
        <f t="shared" si="53"/>
        <v>-1.6229394141366621E-2</v>
      </c>
      <c r="O39" s="4280">
        <f t="shared" si="50"/>
        <v>-1.3968495501030371</v>
      </c>
      <c r="P39" s="4280">
        <f t="shared" si="51"/>
        <v>-1.0642706463472507</v>
      </c>
      <c r="R39" s="4356" t="s">
        <v>1578</v>
      </c>
      <c r="S39" s="4357">
        <f>IFERROR('8. Ремонтна програма'!J46/'8. Ремонтна програма'!J$54,0)</f>
        <v>0</v>
      </c>
      <c r="T39" s="4357">
        <f>IFERROR('8. Ремонтна програма'!K46/'8. Ремонтна програма'!K$54,0)</f>
        <v>4.5050351837559051</v>
      </c>
      <c r="U39" s="4357">
        <f>IFERROR('8. Ремонтна програма'!L46/'8. Ремонтна програма'!L$54,0)</f>
        <v>35.544241713970877</v>
      </c>
      <c r="V39" s="4357">
        <f>IFERROR('8. Ремонтна програма'!M46/'8. Ремонтна програма'!M$54,0)</f>
        <v>-184.65220187205597</v>
      </c>
      <c r="W39" s="4357">
        <f>IFERROR('8. Ремонтна програма'!N46/'8. Ремонтна програма'!N$54,0)</f>
        <v>10.027338358644396</v>
      </c>
      <c r="X39" s="4357">
        <f>IFERROR('8. Ремонтна програма'!O46/'8. Ремонтна програма'!O$54,0)</f>
        <v>228.87487397178427</v>
      </c>
      <c r="Y39" s="3558">
        <f t="shared" si="40"/>
        <v>0</v>
      </c>
      <c r="Z39" s="3558">
        <f t="shared" si="41"/>
        <v>49.804236734277488</v>
      </c>
      <c r="AK39" s="3447" t="s">
        <v>1930</v>
      </c>
      <c r="AL39" s="4366">
        <f t="shared" si="46"/>
        <v>0.21673999999999999</v>
      </c>
      <c r="AM39" s="4598">
        <f t="shared" si="42"/>
        <v>0.22267000000000001</v>
      </c>
      <c r="AN39" s="4598">
        <f t="shared" si="43"/>
        <v>0.23028999999999999</v>
      </c>
      <c r="AO39" s="4598">
        <f t="shared" si="44"/>
        <v>0.23915</v>
      </c>
      <c r="AP39" s="4598">
        <f t="shared" si="45"/>
        <v>0.24729000000000001</v>
      </c>
      <c r="AR39" s="4366">
        <f>IFERROR('16. Необходими приходи'!D9/'16. Необходими приходи'!D12,"-")</f>
        <v>0.21673557589673267</v>
      </c>
      <c r="AS39" s="4598">
        <f>IFERROR('16. Необходими приходи'!E9/'16. Необходими приходи'!E12,"-")</f>
        <v>0.22267482124407462</v>
      </c>
      <c r="AT39" s="4598">
        <f>IFERROR('16. Необходими приходи'!F9/'16. Необходими приходи'!F12,"-")</f>
        <v>0.23029133246938141</v>
      </c>
      <c r="AU39" s="4598">
        <f>IFERROR('16. Необходими приходи'!G9/'16. Необходими приходи'!G12,"-")</f>
        <v>0.23915421255030156</v>
      </c>
      <c r="AV39" s="4598">
        <f>IFERROR('16. Необходими приходи'!H9/'16. Необходими приходи'!H12,"-")</f>
        <v>0.24729102670669501</v>
      </c>
    </row>
    <row r="40" spans="1:48">
      <c r="A40" s="3438" t="s">
        <v>1543</v>
      </c>
      <c r="B40" s="3546" t="s">
        <v>170</v>
      </c>
      <c r="C40" s="3547"/>
      <c r="D40" s="3548">
        <f>IFERROR((D38-$C$38)/$C$38,0)</f>
        <v>2.0406099415378368E-2</v>
      </c>
      <c r="E40" s="3548">
        <f t="shared" ref="E40:H40" si="54">IFERROR((E38-$C$38)/$C$38,0)</f>
        <v>9.0480135162677687E-3</v>
      </c>
      <c r="F40" s="3548">
        <f t="shared" si="54"/>
        <v>9.8695958605314908E-4</v>
      </c>
      <c r="G40" s="3548">
        <f t="shared" si="54"/>
        <v>-7.0641731741990432E-3</v>
      </c>
      <c r="H40" s="3548">
        <f t="shared" si="54"/>
        <v>-1.5105117802864634E-2</v>
      </c>
      <c r="I40" s="3547"/>
      <c r="J40" s="3559">
        <f>IFERROR((J38-$I$38)/$I$38,0)</f>
        <v>0.25251642956381887</v>
      </c>
      <c r="K40" s="3549">
        <f t="shared" ref="K40:N40" si="55">IFERROR((K38-$I$38)/$I$38,0)</f>
        <v>0.23328042158409967</v>
      </c>
      <c r="L40" s="3548">
        <f t="shared" si="55"/>
        <v>0.21399487830438099</v>
      </c>
      <c r="M40" s="3548">
        <f t="shared" si="55"/>
        <v>0.1946584990465956</v>
      </c>
      <c r="N40" s="3548">
        <f t="shared" si="55"/>
        <v>0.17526991540123496</v>
      </c>
      <c r="O40" s="4280">
        <f t="shared" si="50"/>
        <v>-1.7402256303564401</v>
      </c>
      <c r="P40" s="4280">
        <f t="shared" si="51"/>
        <v>-0.30590688414221096</v>
      </c>
      <c r="R40" s="4356" t="s">
        <v>1579</v>
      </c>
      <c r="S40" s="4357">
        <f>IFERROR('8. Ремонтна програма'!J47/'8. Ремонтна програма'!J$54,0)</f>
        <v>0</v>
      </c>
      <c r="T40" s="4357">
        <f>IFERROR('8. Ремонтна програма'!K47/'8. Ремонтна програма'!K$54,0)</f>
        <v>103.21003666339452</v>
      </c>
      <c r="U40" s="4357">
        <f>IFERROR('8. Ремонтна програма'!L47/'8. Ремонтна програма'!L$54,0)</f>
        <v>856.92491294822662</v>
      </c>
      <c r="V40" s="4357">
        <f>IFERROR('8. Ремонтна програма'!M47/'8. Ремонтна програма'!M$54,0)</f>
        <v>-4592.507532685092</v>
      </c>
      <c r="W40" s="4357">
        <f>IFERROR('8. Ремонтна програма'!N47/'8. Ремонтна програма'!N$54,0)</f>
        <v>259.6048744049703</v>
      </c>
      <c r="X40" s="4357">
        <f>IFERROR('8. Ремонтна програма'!O47/'8. Ремонтна програма'!O$54,0)</f>
        <v>6006.3607162560111</v>
      </c>
      <c r="Y40" s="3558">
        <f t="shared" si="40"/>
        <v>0</v>
      </c>
      <c r="Z40" s="3558">
        <f t="shared" si="41"/>
        <v>57.195509956506832</v>
      </c>
      <c r="AK40" s="5612" t="s">
        <v>174</v>
      </c>
      <c r="AL40" s="5613"/>
      <c r="AM40" s="5613"/>
      <c r="AN40" s="5613"/>
      <c r="AO40" s="5613"/>
      <c r="AP40" s="5614"/>
      <c r="AR40" s="4590"/>
      <c r="AS40" s="4590"/>
      <c r="AT40" s="4590"/>
      <c r="AU40" s="4590"/>
      <c r="AV40" s="4591"/>
    </row>
    <row r="41" spans="1:48" ht="15" customHeight="1">
      <c r="A41" s="3433" t="s">
        <v>1905</v>
      </c>
      <c r="B41" s="3550" t="s">
        <v>1903</v>
      </c>
      <c r="C41" s="3551">
        <f>IFERROR(('5. Персонал'!AZ29+'5. Персонал'!BR29+'5. Персонал'!BX29)/C38,0)</f>
        <v>9.4931032045095574</v>
      </c>
      <c r="D41" s="3551">
        <f>IFERROR(('5. Персонал'!BA29+'5. Персонал'!BS29+'5. Персонал'!BY29)/D38,0)</f>
        <v>13.592585487195942</v>
      </c>
      <c r="E41" s="3551">
        <f>IFERROR(('5. Персонал'!BB29+'5. Персонал'!BT29+'5. Персонал'!BZ29)/E38,0)</f>
        <v>15.534551976762719</v>
      </c>
      <c r="F41" s="3551">
        <f>IFERROR(('5. Персонал'!BC29+'5. Персонал'!BU29+'5. Персонал'!CA29)/F38,0)</f>
        <v>17.780258318630921</v>
      </c>
      <c r="G41" s="3551">
        <f>IFERROR(('5. Персонал'!BD29+'5. Персонал'!BV29+'5. Персонал'!CB29)/G38,0)</f>
        <v>20.367291865461137</v>
      </c>
      <c r="H41" s="3551">
        <f>IFERROR(('5. Персонал'!BE29+'5. Персонал'!BW29+'5. Персонал'!CC29)/H38,0)</f>
        <v>23.338450584356345</v>
      </c>
      <c r="I41" s="3551">
        <f>IFERROR(('5. Персонал'!BF29+'5. Персонал'!BL29)/I38,0)</f>
        <v>9.2197534953197398</v>
      </c>
      <c r="J41" s="3551">
        <f>IFERROR(('5. Персонал'!BG29+'5. Персонал'!BM29)/J38,0)</f>
        <v>13.06817297857091</v>
      </c>
      <c r="K41" s="3551">
        <f>IFERROR(('5. Персонал'!BH29+'5. Персонал'!BN29)/K38,0)</f>
        <v>15.120166831181399</v>
      </c>
      <c r="L41" s="3551">
        <f>IFERROR(('5. Персонал'!BI29+'5. Персонал'!BO29)/L38,0)</f>
        <v>17.50813986572868</v>
      </c>
      <c r="M41" s="3551">
        <f>IFERROR(('5. Персонал'!BJ29+'5. Персонал'!BP29)/M38,0)</f>
        <v>20.288058743792135</v>
      </c>
      <c r="N41" s="3551">
        <f>IFERROR(('5. Персонал'!BK29+'5. Персонал'!BQ29)/N38,0)</f>
        <v>23.525407582064826</v>
      </c>
      <c r="O41" s="4280">
        <f t="shared" si="50"/>
        <v>0.71699862445896656</v>
      </c>
      <c r="P41" s="4280">
        <f t="shared" si="51"/>
        <v>0.80020631963179623</v>
      </c>
      <c r="R41" s="4356" t="s">
        <v>1070</v>
      </c>
      <c r="S41" s="4357">
        <f>IFERROR('8. Ремонтна програма'!J48/'8. Ремонтна програма'!J$54,0)</f>
        <v>0</v>
      </c>
      <c r="T41" s="4357">
        <f>IFERROR('8. Ремонтна програма'!K48/'8. Ремонтна програма'!K$54,0)</f>
        <v>60.648473868174875</v>
      </c>
      <c r="U41" s="4357">
        <f>IFERROR('8. Ремонтна програма'!L48/'8. Ремонтна програма'!L$54,0)</f>
        <v>534.68992698448812</v>
      </c>
      <c r="V41" s="4357">
        <f>IFERROR('8. Ремонтна програма'!M48/'8. Ремонтна програма'!M$54,0)</f>
        <v>-2535.4819341174921</v>
      </c>
      <c r="W41" s="4357">
        <f>IFERROR('8. Ремонтна програма'!N48/'8. Ремонтна програма'!N$54,0)</f>
        <v>142.72218875035955</v>
      </c>
      <c r="X41" s="4357">
        <f>IFERROR('8. Ремонтна програма'!O48/'8. Ремонтна програма'!O$54,0)</f>
        <v>3460.1939343718359</v>
      </c>
      <c r="Y41" s="3558">
        <f t="shared" si="40"/>
        <v>0</v>
      </c>
      <c r="Z41" s="3558">
        <f t="shared" si="41"/>
        <v>56.05327296269467</v>
      </c>
      <c r="AK41" s="1461" t="s">
        <v>608</v>
      </c>
      <c r="AL41" s="3545">
        <f>AR41</f>
        <v>0.156</v>
      </c>
      <c r="AM41" s="3545">
        <f t="shared" ref="AM41:AP41" si="56">AS41</f>
        <v>0.17100000000000001</v>
      </c>
      <c r="AN41" s="3545">
        <f t="shared" si="56"/>
        <v>0.187</v>
      </c>
      <c r="AO41" s="3545">
        <f t="shared" si="56"/>
        <v>0.20599999999999999</v>
      </c>
      <c r="AP41" s="3545">
        <f t="shared" si="56"/>
        <v>0.22500000000000001</v>
      </c>
      <c r="AR41" s="3545">
        <f>AL7</f>
        <v>0.156</v>
      </c>
      <c r="AS41" s="3545">
        <f>AM7</f>
        <v>0.17100000000000001</v>
      </c>
      <c r="AT41" s="3545">
        <f>AN7</f>
        <v>0.187</v>
      </c>
      <c r="AU41" s="3545">
        <f>AO7</f>
        <v>0.20599999999999999</v>
      </c>
      <c r="AV41" s="3545">
        <f>AP7</f>
        <v>0.22500000000000001</v>
      </c>
    </row>
    <row r="42" spans="1:48" ht="15" customHeight="1">
      <c r="A42" s="3438" t="s">
        <v>1544</v>
      </c>
      <c r="B42" s="3546" t="s">
        <v>170</v>
      </c>
      <c r="C42" s="3547"/>
      <c r="D42" s="3548">
        <f>IFERROR((D41-C41)/C41,0)</f>
        <v>0.43183795586873919</v>
      </c>
      <c r="E42" s="3548">
        <f t="shared" ref="E42:H42" si="57">IFERROR((E41-D41)/D41,0)</f>
        <v>0.14286954394335699</v>
      </c>
      <c r="F42" s="3548">
        <f t="shared" si="57"/>
        <v>0.14456202825980627</v>
      </c>
      <c r="G42" s="3548">
        <f t="shared" si="57"/>
        <v>0.14550033528587217</v>
      </c>
      <c r="H42" s="3548">
        <f t="shared" si="57"/>
        <v>0.14587892875113651</v>
      </c>
      <c r="I42" s="3547"/>
      <c r="J42" s="3549">
        <f>IFERROR((J41-I41)/I41,0)</f>
        <v>0.41741023609847694</v>
      </c>
      <c r="K42" s="3549">
        <f t="shared" ref="K42:N42" si="58">IFERROR((K41-J41)/J41,0)</f>
        <v>0.15702224450007909</v>
      </c>
      <c r="L42" s="3549">
        <f t="shared" si="58"/>
        <v>0.15793298190484975</v>
      </c>
      <c r="M42" s="3549">
        <f t="shared" si="58"/>
        <v>0.15877865377949196</v>
      </c>
      <c r="N42" s="3549">
        <f t="shared" si="58"/>
        <v>0.15956917707877177</v>
      </c>
      <c r="O42" s="4280">
        <f t="shared" si="50"/>
        <v>-0.6621905815164667</v>
      </c>
      <c r="P42" s="4280">
        <f t="shared" si="51"/>
        <v>-0.61771618595111399</v>
      </c>
      <c r="R42" s="4356" t="s">
        <v>1072</v>
      </c>
      <c r="S42" s="4357">
        <f>IFERROR('8. Ремонтна програма'!J49/'8. Ремонтна програма'!J$54,0)</f>
        <v>0</v>
      </c>
      <c r="T42" s="4357">
        <f>IFERROR('8. Ремонтна програма'!K49/'8. Ремонтна програма'!K$54,0)</f>
        <v>10.354492447482363</v>
      </c>
      <c r="U42" s="4357">
        <f>IFERROR('8. Ремонтна програма'!L49/'8. Ремонтна програма'!L$54,0)</f>
        <v>86.221172586354768</v>
      </c>
      <c r="V42" s="4357">
        <f>IFERROR('8. Ремонтна програма'!M49/'8. Ремонтна програма'!M$54,0)</f>
        <v>-641.73940002845575</v>
      </c>
      <c r="W42" s="4357">
        <f>IFERROR('8. Ремонтна програма'!N49/'8. Ремонтна програма'!N$54,0)</f>
        <v>26.673722101726629</v>
      </c>
      <c r="X42" s="4357">
        <f>IFERROR('8. Ремонтна програма'!O49/'8. Ремонтна програма'!O$54,0)</f>
        <v>742.82303535068081</v>
      </c>
      <c r="Y42" s="3558">
        <f t="shared" si="40"/>
        <v>0</v>
      </c>
      <c r="Z42" s="3558">
        <f t="shared" si="41"/>
        <v>70.739202970908934</v>
      </c>
      <c r="AK42" s="3447" t="s">
        <v>1925</v>
      </c>
      <c r="AL42" s="4366">
        <f>IFERROR(ROUND(AR42,5),"-")</f>
        <v>0.14213000000000001</v>
      </c>
      <c r="AM42" s="4598">
        <f t="shared" ref="AM42:AM47" si="59">IFERROR(ROUND(AS42,5),"-")</f>
        <v>0.15626000000000001</v>
      </c>
      <c r="AN42" s="4598">
        <f t="shared" ref="AN42:AN47" si="60">IFERROR(ROUND(AT42,5),"-")</f>
        <v>0.17130000000000001</v>
      </c>
      <c r="AO42" s="4598">
        <f t="shared" ref="AO42:AO47" si="61">IFERROR(ROUND(AU42,5),"-")</f>
        <v>0.18873000000000001</v>
      </c>
      <c r="AP42" s="4598">
        <f t="shared" ref="AP42:AP47" si="62">IFERROR(ROUND(AV42,5),"-")</f>
        <v>0.20699999999999999</v>
      </c>
      <c r="AR42" s="4366">
        <f>IFERROR(('12. Разходи'!BR88-'12. Разходи'!BR89)/'16. Необходими приходи'!D18,"-")</f>
        <v>0.14213101707754952</v>
      </c>
      <c r="AS42" s="4598">
        <f>IFERROR(('12. Разходи'!BS88-'12. Разходи'!BS89)/'16. Необходими приходи'!E18,"-")</f>
        <v>0.15626484217216713</v>
      </c>
      <c r="AT42" s="4598">
        <f>IFERROR(('12. Разходи'!BT88-'12. Разходи'!BT89)/'16. Необходими приходи'!F18,"-")</f>
        <v>0.1713040592038389</v>
      </c>
      <c r="AU42" s="4598">
        <f>IFERROR(('12. Разходи'!BU88-'12. Разходи'!BU89)/'16. Необходими приходи'!G18,"-")</f>
        <v>0.18872848775642476</v>
      </c>
      <c r="AV42" s="4598">
        <f>IFERROR(('12. Разходи'!BV88-'12. Разходи'!BV89)/'16. Необходими приходи'!H18,"-")</f>
        <v>0.20700139891331124</v>
      </c>
    </row>
    <row r="43" spans="1:48" ht="15" customHeight="1">
      <c r="A43" s="3437" t="s">
        <v>1542</v>
      </c>
      <c r="B43" s="3546" t="s">
        <v>170</v>
      </c>
      <c r="C43" s="3547"/>
      <c r="D43" s="3548">
        <f>IFERROR((D41-$C$41)/$C$41,0)</f>
        <v>0.43183795586873919</v>
      </c>
      <c r="E43" s="3548">
        <f t="shared" ref="E43:H43" si="63">IFERROR((E41-$C$41)/$C$41,0)</f>
        <v>0.63640399162449446</v>
      </c>
      <c r="F43" s="3548">
        <f t="shared" si="63"/>
        <v>0.87296587170617435</v>
      </c>
      <c r="G43" s="3548">
        <f t="shared" si="63"/>
        <v>1.1454830340184186</v>
      </c>
      <c r="H43" s="3548">
        <f t="shared" si="63"/>
        <v>1.4584638006747637</v>
      </c>
      <c r="I43" s="3547"/>
      <c r="J43" s="3548">
        <f>IFERROR((J41-$I$41)/$I$41,0)</f>
        <v>0.41741023609847694</v>
      </c>
      <c r="K43" s="3549">
        <f t="shared" ref="K43:N43" si="64">IFERROR((K41-$I$41)/$I$41,0)</f>
        <v>0.63997517274804683</v>
      </c>
      <c r="L43" s="3548">
        <f t="shared" si="64"/>
        <v>0.89898134203006697</v>
      </c>
      <c r="M43" s="3548">
        <f t="shared" si="64"/>
        <v>1.200499043069974</v>
      </c>
      <c r="N43" s="3548">
        <f t="shared" si="64"/>
        <v>1.5516308645352745</v>
      </c>
      <c r="O43" s="4280">
        <f t="shared" si="50"/>
        <v>2.3773404603602653</v>
      </c>
      <c r="P43" s="4280">
        <f t="shared" si="51"/>
        <v>2.7172803404112216</v>
      </c>
      <c r="R43" s="4356" t="s">
        <v>916</v>
      </c>
      <c r="S43" s="4357">
        <f>IFERROR('8. Ремонтна програма'!J50/'8. Ремонтна програма'!J$54,0)</f>
        <v>0</v>
      </c>
      <c r="T43" s="4357">
        <f>IFERROR('8. Ремонтна програма'!K50/'8. Ремонтна програма'!K$54,0)</f>
        <v>0</v>
      </c>
      <c r="U43" s="4357">
        <f>IFERROR('8. Ремонтна програма'!L50/'8. Ремонтна програма'!L$54,0)</f>
        <v>0</v>
      </c>
      <c r="V43" s="4357">
        <f>IFERROR('8. Ремонтна програма'!M50/'8. Ремонтна програма'!M$54,0)</f>
        <v>0</v>
      </c>
      <c r="W43" s="4357">
        <f>IFERROR('8. Ремонтна програма'!N50/'8. Ремонтна програма'!N$54,0)</f>
        <v>0</v>
      </c>
      <c r="X43" s="4357">
        <f>IFERROR('8. Ремонтна програма'!O50/'8. Ремонтна програма'!O$54,0)</f>
        <v>0</v>
      </c>
      <c r="Y43" s="3558">
        <f t="shared" si="40"/>
        <v>0</v>
      </c>
      <c r="Z43" s="3558">
        <f t="shared" si="41"/>
        <v>0</v>
      </c>
      <c r="AK43" s="3445" t="s">
        <v>1926</v>
      </c>
      <c r="AL43" s="4597">
        <f t="shared" ref="AL43:AL47" si="65">IFERROR(ROUND(AR43,5),"-")</f>
        <v>1.7930000000000001E-2</v>
      </c>
      <c r="AM43" s="4599">
        <f t="shared" si="59"/>
        <v>1.7979999999999999E-2</v>
      </c>
      <c r="AN43" s="4599">
        <f t="shared" si="60"/>
        <v>1.8010000000000002E-2</v>
      </c>
      <c r="AO43" s="4599">
        <f t="shared" si="61"/>
        <v>1.8010000000000002E-2</v>
      </c>
      <c r="AP43" s="4599">
        <f t="shared" si="62"/>
        <v>1.7999999999999999E-2</v>
      </c>
      <c r="AR43" s="4597">
        <f>IFERROR('12. Разходи'!BR55/'16. Необходими приходи'!D18,"-")</f>
        <v>1.7934324354405201E-2</v>
      </c>
      <c r="AS43" s="4599">
        <f>IFERROR('12. Разходи'!BS55/'16. Необходими приходи'!E18,"-")</f>
        <v>1.798280992844745E-2</v>
      </c>
      <c r="AT43" s="4599">
        <f>IFERROR('12. Разходи'!BT55/'16. Необходими приходи'!F18,"-")</f>
        <v>1.8010916469121934E-2</v>
      </c>
      <c r="AU43" s="4599">
        <f>IFERROR('12. Разходи'!BU55/'16. Необходими приходи'!G18,"-")</f>
        <v>1.8012020453948972E-2</v>
      </c>
      <c r="AV43" s="4599">
        <f>IFERROR('12. Разходи'!BV55/'16. Необходими приходи'!H18,"-")</f>
        <v>1.8000854190657188E-2</v>
      </c>
    </row>
    <row r="44" spans="1:48" ht="15" customHeight="1">
      <c r="A44" s="3436" t="s">
        <v>1546</v>
      </c>
      <c r="B44" s="3554" t="s">
        <v>170</v>
      </c>
      <c r="C44" s="3430">
        <f>IFERROR(('5. Персонал'!C42+'5. Персонал'!U42+'5. Персонал'!AA42)/('5. Персонал'!C29+'5. Персонал'!U29+'5. Персонал'!AA29),0)</f>
        <v>0.19559410945000705</v>
      </c>
      <c r="D44" s="3430">
        <f>IFERROR(('5. Персонал'!D42+'5. Персонал'!V42+'5. Персонал'!AB42)/('5. Персонал'!D29+'5. Персонал'!V29+'5. Персонал'!AB29),0)</f>
        <v>0.2008252837630092</v>
      </c>
      <c r="E44" s="3430">
        <f>IFERROR(('5. Персонал'!E42+'5. Персонал'!W42+'5. Персонал'!AC42)/('5. Персонал'!E29+'5. Персонал'!W29+'5. Персонал'!AC29),0)</f>
        <v>0.21137466168214764</v>
      </c>
      <c r="F44" s="3430">
        <f>IFERROR(('5. Персонал'!F42+'5. Персонал'!X42+'5. Персонал'!AD42)/('5. Персонал'!F29+'5. Персонал'!X29+'5. Персонал'!AD29),0)</f>
        <v>0.21132639021197741</v>
      </c>
      <c r="G44" s="3430">
        <f>IFERROR(('5. Персонал'!G42+'5. Персонал'!Y42+'5. Персонал'!AE42)/('5. Персонал'!G29+'5. Персонал'!Y29+'5. Персонал'!AE29),0)</f>
        <v>0.21129505866305104</v>
      </c>
      <c r="H44" s="3430">
        <f>IFERROR(('5. Персонал'!H42+'5. Персонал'!Z42+'5. Персонал'!AF42)/('5. Персонал'!H29+'5. Персонал'!Z29+'5. Персонал'!AF29),0)</f>
        <v>0.21119637368652516</v>
      </c>
      <c r="I44" s="3430">
        <f>IFERROR(('5. Персонал'!I42+'5. Персонал'!O42)/('5. Персонал'!I29+'5. Персонал'!O29),0)</f>
        <v>0.20050208145223541</v>
      </c>
      <c r="J44" s="3430">
        <f>IFERROR(('5. Персонал'!J42+'5. Персонал'!P42)/('5. Персонал'!J29+'5. Персонал'!P29),0)</f>
        <v>0.20625213410496732</v>
      </c>
      <c r="K44" s="3430">
        <f>IFERROR(('5. Персонал'!K42+'5. Персонал'!Q42)/('5. Персонал'!K29+'5. Персонал'!Q29),0)</f>
        <v>0.21693953835879046</v>
      </c>
      <c r="L44" s="3430">
        <f>IFERROR(('5. Персонал'!L42+'5. Персонал'!R42)/('5. Персонал'!L29+'5. Персонал'!R29),0)</f>
        <v>0.21676665527766814</v>
      </c>
      <c r="M44" s="3430">
        <f>IFERROR(('5. Персонал'!M42+'5. Персонал'!S42)/('5. Персонал'!M29+'5. Персонал'!S29),0)</f>
        <v>0.21662008248919123</v>
      </c>
      <c r="N44" s="3430">
        <f>IFERROR(('5. Персонал'!N42+'5. Персонал'!T42)/('5. Персонал'!N29+'5. Персонал'!T29),0)</f>
        <v>0.2164934671817135</v>
      </c>
      <c r="O44" s="4280">
        <f t="shared" si="50"/>
        <v>5.1642351646094126E-2</v>
      </c>
      <c r="P44" s="4280">
        <f t="shared" si="51"/>
        <v>4.965443446773788E-2</v>
      </c>
      <c r="R44" s="4358" t="s">
        <v>1355</v>
      </c>
      <c r="S44" s="4357">
        <f>IFERROR('8. Ремонтна програма'!J51/'8. Ремонтна програма'!J$54,0)</f>
        <v>0</v>
      </c>
      <c r="T44" s="4357">
        <f>IFERROR('8. Ремонтна програма'!K51/'8. Ремонтна програма'!K$54,0)</f>
        <v>0</v>
      </c>
      <c r="U44" s="4357">
        <f>IFERROR('8. Ремонтна програма'!L51/'8. Ремонтна програма'!L$54,0)</f>
        <v>0</v>
      </c>
      <c r="V44" s="4357">
        <f>IFERROR('8. Ремонтна програма'!M51/'8. Ремонтна програма'!M$54,0)</f>
        <v>0</v>
      </c>
      <c r="W44" s="4357">
        <f>IFERROR('8. Ремонтна програма'!N51/'8. Ремонтна програма'!N$54,0)</f>
        <v>0</v>
      </c>
      <c r="X44" s="4357">
        <f>IFERROR('8. Ремонтна програма'!O51/'8. Ремонтна програма'!O$54,0)</f>
        <v>0</v>
      </c>
      <c r="Y44" s="3558">
        <f t="shared" si="40"/>
        <v>0</v>
      </c>
      <c r="Z44" s="3558">
        <f t="shared" si="41"/>
        <v>0</v>
      </c>
      <c r="AK44" s="3445" t="s">
        <v>1927</v>
      </c>
      <c r="AL44" s="4597">
        <f t="shared" si="65"/>
        <v>0.10605000000000001</v>
      </c>
      <c r="AM44" s="4599">
        <f t="shared" si="59"/>
        <v>0.12035999999999999</v>
      </c>
      <c r="AN44" s="4599">
        <f t="shared" si="60"/>
        <v>0.13588</v>
      </c>
      <c r="AO44" s="4599">
        <f t="shared" si="61"/>
        <v>0.15292</v>
      </c>
      <c r="AP44" s="4599">
        <f t="shared" si="62"/>
        <v>0.17186000000000001</v>
      </c>
      <c r="AR44" s="4597">
        <f>IFERROR(('12. Разходи'!BR59+'12. Разходи'!BR63)/'16. Необходими приходи'!D18,"-")</f>
        <v>0.10604739843792478</v>
      </c>
      <c r="AS44" s="4599">
        <f>IFERROR(('12. Разходи'!BS59+'12. Разходи'!BS63)/'16. Необходими приходи'!E18,"-")</f>
        <v>0.12036315070361901</v>
      </c>
      <c r="AT44" s="4599">
        <f>IFERROR(('12. Разходи'!BT59+'12. Разходи'!BT63)/'16. Необходими приходи'!F18,"-")</f>
        <v>0.13587890766013061</v>
      </c>
      <c r="AU44" s="4599">
        <f>IFERROR(('12. Разходи'!BU59+'12. Разходи'!BU63)/'16. Необходими приходи'!G18,"-")</f>
        <v>0.15291916389802654</v>
      </c>
      <c r="AV44" s="4599">
        <f>IFERROR(('12. Разходи'!BV59+'12. Разходи'!BV63)/'16. Необходими приходи'!H18,"-")</f>
        <v>0.1718571046348627</v>
      </c>
    </row>
    <row r="45" spans="1:48" ht="15" customHeight="1">
      <c r="A45" s="3436" t="s">
        <v>1545</v>
      </c>
      <c r="B45" s="3554" t="s">
        <v>170</v>
      </c>
      <c r="C45" s="3430">
        <f>IFERROR(('5. Персонал'!C46+'5. Персонал'!U46+'5. Персонал'!AA46)/('5. Персонал'!C29+'5. Персонал'!U29+'5. Персонал'!AA29),0)</f>
        <v>7.5912417187515679E-2</v>
      </c>
      <c r="D45" s="3430">
        <f>IFERROR(('5. Персонал'!D46+'5. Персонал'!V46+'5. Персонал'!AB46)/('5. Персонал'!D29+'5. Персонал'!V29+'5. Персонал'!AB29),0)</f>
        <v>7.7598543094562877E-2</v>
      </c>
      <c r="E45" s="3430">
        <f>IFERROR(('5. Персонал'!E46+'5. Персонал'!W46+'5. Персонал'!AC46)/('5. Персонал'!E29+'5. Персонал'!W29+'5. Персонал'!AC29),0)</f>
        <v>7.195833864180011E-2</v>
      </c>
      <c r="F45" s="3430">
        <f>IFERROR(('5. Персонал'!F46+'5. Персонал'!X46+'5. Персонал'!AD46)/('5. Персонал'!F29+'5. Персонал'!X29+'5. Персонал'!AD29),0)</f>
        <v>7.0510545484123027E-2</v>
      </c>
      <c r="G45" s="3430">
        <f>IFERROR(('5. Персонал'!G46+'5. Персонал'!Y46+'5. Персонал'!AE46)/('5. Персонал'!G29+'5. Персонал'!Y29+'5. Персонал'!AE29),0)</f>
        <v>6.5425089919532928E-2</v>
      </c>
      <c r="H45" s="3430">
        <f>IFERROR(('5. Персонал'!H46+'5. Персонал'!Z46+'5. Персонал'!AF46)/('5. Персонал'!H29+'5. Персонал'!Z29+'5. Персонал'!AF29),0)</f>
        <v>5.7427613227256591E-2</v>
      </c>
      <c r="I45" s="3430">
        <f>IFERROR(('5. Персонал'!I46+'5. Персонал'!O46)/('5. Персонал'!I29+'5. Персонал'!O29),0)</f>
        <v>7.5589377822031512E-2</v>
      </c>
      <c r="J45" s="3430">
        <f>IFERROR(('5. Персонал'!J46+'5. Персонал'!P46)/('5. Персонал'!J29+'5. Персонал'!P29),0)</f>
        <v>7.5055293648841628E-2</v>
      </c>
      <c r="K45" s="3430">
        <f>IFERROR(('5. Персонал'!K46+'5. Персонал'!Q46)/('5. Персонал'!K29+'5. Персонал'!Q29),0)</f>
        <v>6.9549630900741941E-2</v>
      </c>
      <c r="L45" s="3430">
        <f>IFERROR(('5. Персонал'!L46+'5. Персонал'!R46)/('5. Персонал'!L29+'5. Персонал'!R29),0)</f>
        <v>6.8110774010496644E-2</v>
      </c>
      <c r="M45" s="3430">
        <f>IFERROR(('5. Персонал'!M46+'5. Персонал'!S46)/('5. Персонал'!M29+'5. Персонал'!S29),0)</f>
        <v>6.3203950449831264E-2</v>
      </c>
      <c r="N45" s="3430">
        <f>IFERROR(('5. Персонал'!N46+'5. Персонал'!T46)/('5. Персонал'!N29+'5. Персонал'!T29),0)</f>
        <v>5.5499841746017888E-2</v>
      </c>
      <c r="O45" s="4280">
        <f t="shared" si="50"/>
        <v>-0.25993954348763554</v>
      </c>
      <c r="P45" s="4280">
        <f t="shared" si="51"/>
        <v>-0.26054727058050159</v>
      </c>
      <c r="R45" s="4358" t="s">
        <v>1580</v>
      </c>
      <c r="S45" s="4357">
        <f>IFERROR('8. Ремонтна програма'!J52/'8. Ремонтна програма'!J$54,0)</f>
        <v>0</v>
      </c>
      <c r="T45" s="4357">
        <f>IFERROR('8. Ремонтна програма'!K52/'8. Ремонтна програма'!K$54,0)</f>
        <v>4.9776669369609889</v>
      </c>
      <c r="U45" s="4357">
        <f>IFERROR('8. Ремонтна програма'!L52/'8. Ремонтна програма'!L$54,0)</f>
        <v>40.498851902918787</v>
      </c>
      <c r="V45" s="4357">
        <f>IFERROR('8. Ремонтна програма'!M52/'8. Ремонтна програма'!M$54,0)</f>
        <v>-216.11891850787751</v>
      </c>
      <c r="W45" s="4357">
        <f>IFERROR('8. Ремонтна програма'!N52/'8. Ремонтна програма'!N$54,0)</f>
        <v>11.981202465586319</v>
      </c>
      <c r="X45" s="4357">
        <f>IFERROR('8. Ремонтна програма'!O52/'8. Ремонтна програма'!O$54,0)</f>
        <v>276.2798467998698</v>
      </c>
      <c r="Y45" s="3558">
        <f t="shared" si="40"/>
        <v>0</v>
      </c>
      <c r="Z45" s="3558">
        <f t="shared" si="41"/>
        <v>54.503883706720387</v>
      </c>
      <c r="AK45" s="3447" t="s">
        <v>1928</v>
      </c>
      <c r="AL45" s="4366">
        <f t="shared" si="65"/>
        <v>4.6000000000000001E-4</v>
      </c>
      <c r="AM45" s="4598">
        <f t="shared" si="59"/>
        <v>4.6000000000000001E-4</v>
      </c>
      <c r="AN45" s="4598">
        <f t="shared" si="60"/>
        <v>4.6000000000000001E-4</v>
      </c>
      <c r="AO45" s="4598">
        <f t="shared" si="61"/>
        <v>4.6000000000000001E-4</v>
      </c>
      <c r="AP45" s="4598">
        <f t="shared" si="62"/>
        <v>4.6000000000000001E-4</v>
      </c>
      <c r="AR45" s="4366">
        <f>IFERROR('12. Разходи'!BR89/'16. Необходими приходи'!D18,"-")</f>
        <v>4.6029455297857974E-4</v>
      </c>
      <c r="AS45" s="4598">
        <f>IFERROR('12. Разходи'!BS89/'16. Необходими приходи'!E18,"-")</f>
        <v>4.5555865497586961E-4</v>
      </c>
      <c r="AT45" s="4598">
        <f>IFERROR('12. Разходи'!BT89/'16. Необходими приходи'!F18,"-")</f>
        <v>4.5583565288748683E-4</v>
      </c>
      <c r="AU45" s="4598">
        <f>IFERROR('12. Разходи'!BU89/'16. Необходими приходи'!G18,"-")</f>
        <v>4.5700002470262465E-4</v>
      </c>
      <c r="AV45" s="4598">
        <f>IFERROR('12. Разходи'!BV89/'16. Необходими приходи'!H18,"-")</f>
        <v>4.5880985222881862E-4</v>
      </c>
    </row>
    <row r="46" spans="1:48" ht="15" customHeight="1">
      <c r="R46" s="4354" t="s">
        <v>1858</v>
      </c>
      <c r="S46" s="4355" t="str">
        <f>+'15. ОПП'!$B$7</f>
        <v>2024 г.</v>
      </c>
      <c r="T46" s="4355" t="str">
        <f>+'15. ОПП'!$C$7</f>
        <v>2027 г.</v>
      </c>
      <c r="U46" s="4355" t="str">
        <f>+'15. ОПП'!$D$7</f>
        <v>2028 г.</v>
      </c>
      <c r="V46" s="4355" t="str">
        <f>+'15. ОПП'!$E$7</f>
        <v>2029 г.</v>
      </c>
      <c r="W46" s="4355" t="str">
        <f>+'15. ОПП'!$F$7</f>
        <v>2030 г.</v>
      </c>
      <c r="X46" s="4355" t="str">
        <f>+'15. ОПП'!$G$7</f>
        <v>2031 г.</v>
      </c>
      <c r="Y46" s="4355" t="str">
        <f>+Y33</f>
        <v>Изменение 2027 г.спрямо 2024 г.</v>
      </c>
      <c r="Z46" s="4355" t="str">
        <f>+Z33</f>
        <v>Изменение 2031 г.спрямо 2027 г.</v>
      </c>
      <c r="AK46" s="3445" t="s">
        <v>1929</v>
      </c>
      <c r="AL46" s="4597">
        <f t="shared" si="65"/>
        <v>4.0000000000000003E-5</v>
      </c>
      <c r="AM46" s="4599">
        <f t="shared" si="59"/>
        <v>4.0000000000000003E-5</v>
      </c>
      <c r="AN46" s="4599">
        <f t="shared" si="60"/>
        <v>4.0000000000000003E-5</v>
      </c>
      <c r="AO46" s="4599">
        <f t="shared" si="61"/>
        <v>4.0000000000000003E-5</v>
      </c>
      <c r="AP46" s="4599">
        <f t="shared" si="62"/>
        <v>4.0000000000000003E-5</v>
      </c>
      <c r="AR46" s="4597">
        <f>IFERROR('12. Разходи'!BR17/'16. Необходими приходи'!D18,"-")</f>
        <v>4.3512821593314581E-5</v>
      </c>
      <c r="AS46" s="4599">
        <f>IFERROR('12. Разходи'!BS17/'16. Необходими приходи'!E18,"-")</f>
        <v>4.3384403647853616E-5</v>
      </c>
      <c r="AT46" s="4599">
        <f>IFERROR('12. Разходи'!BT17/'16. Необходими приходи'!F18,"-")</f>
        <v>4.3198916344545743E-5</v>
      </c>
      <c r="AU46" s="4599">
        <f>IFERROR('12. Разходи'!BU17/'16. Необходими приходи'!G18,"-")</f>
        <v>4.2941105636536229E-5</v>
      </c>
      <c r="AV46" s="4599">
        <f>IFERROR('12. Разходи'!BV17/'16. Необходими приходи'!H18,"-")</f>
        <v>4.2672543394310398E-5</v>
      </c>
    </row>
    <row r="47" spans="1:48" ht="15" customHeight="1">
      <c r="R47" s="4358" t="s">
        <v>1581</v>
      </c>
      <c r="S47" s="4357">
        <f>IFERROR('8. Ремонтна програма'!J71/'8. Ремонтна програма'!J$80,0)</f>
        <v>0</v>
      </c>
      <c r="T47" s="4357">
        <f>IFERROR('8. Ремонтна програма'!K71/'8. Ремонтна програма'!K$80,0)</f>
        <v>18.306336053531616</v>
      </c>
      <c r="U47" s="4357">
        <f>IFERROR('8. Ремонтна програма'!L71/'8. Ремонтна програма'!L$80,0)</f>
        <v>-293.94934884985554</v>
      </c>
      <c r="V47" s="4357">
        <f>IFERROR('8. Ремонтна програма'!M71/'8. Ремонтна програма'!M$80,0)</f>
        <v>86.371015154325491</v>
      </c>
      <c r="W47" s="4357">
        <f>IFERROR('8. Ремонтна програма'!N71/'8. Ремонтна програма'!N$80,0)</f>
        <v>83.714610659175619</v>
      </c>
      <c r="X47" s="4357">
        <f>IFERROR('8. Ремонтна програма'!O71/'8. Ремонтна програма'!O$80,0)</f>
        <v>77.739186183289505</v>
      </c>
      <c r="Y47" s="3558">
        <f t="shared" ref="Y47:Y55" si="66">IFERROR((T47-S47)/S47,0)</f>
        <v>0</v>
      </c>
      <c r="Z47" s="3558">
        <f t="shared" si="41"/>
        <v>3.2465726596498397</v>
      </c>
      <c r="AK47" s="3447" t="s">
        <v>1930</v>
      </c>
      <c r="AL47" s="4366">
        <f t="shared" si="65"/>
        <v>2.632E-2</v>
      </c>
      <c r="AM47" s="4598">
        <f t="shared" si="59"/>
        <v>2.819E-2</v>
      </c>
      <c r="AN47" s="4598">
        <f t="shared" si="60"/>
        <v>3.032E-2</v>
      </c>
      <c r="AO47" s="4598">
        <f t="shared" si="61"/>
        <v>3.2379999999999999E-2</v>
      </c>
      <c r="AP47" s="4598">
        <f t="shared" si="62"/>
        <v>3.4229999999999997E-2</v>
      </c>
      <c r="AR47" s="4366">
        <f>IFERROR('16. Необходими приходи'!D15/'16. Необходими приходи'!D18,"-")</f>
        <v>2.6317256156999577E-2</v>
      </c>
      <c r="AS47" s="4598">
        <f>IFERROR('16. Необходими приходи'!E15/'16. Необходими приходи'!E18,"-")</f>
        <v>2.8186492116476697E-2</v>
      </c>
      <c r="AT47" s="4598">
        <f>IFERROR('16. Необходими приходи'!F15/'16. Необходими приходи'!F18,"-")</f>
        <v>3.0316809187356533E-2</v>
      </c>
      <c r="AU47" s="4598">
        <f>IFERROR('16. Необходими приходи'!G15/'16. Необходими приходи'!G18,"-")</f>
        <v>3.2379218986233166E-2</v>
      </c>
      <c r="AV47" s="4598">
        <f>IFERROR('16. Необходими приходи'!H15/'16. Необходими приходи'!H18,"-")</f>
        <v>3.4232532561576136E-2</v>
      </c>
    </row>
    <row r="48" spans="1:48" ht="15" customHeight="1">
      <c r="R48" s="4358" t="s">
        <v>1582</v>
      </c>
      <c r="S48" s="4357">
        <f>IFERROR('8. Ремонтна програма'!J72/'8. Ремонтна програма'!J$80,0)</f>
        <v>0</v>
      </c>
      <c r="T48" s="4357">
        <f>IFERROR('8. Ремонтна програма'!K72/'8. Ремонтна програма'!K$80,0)</f>
        <v>55.941875972004773</v>
      </c>
      <c r="U48" s="4357">
        <f>IFERROR('8. Ремонтна програма'!L72/'8. Ремонтна програма'!L$80,0)</f>
        <v>-776.9021964777279</v>
      </c>
      <c r="V48" s="4357">
        <f>IFERROR('8. Ремонтна програма'!M72/'8. Ремонтна програма'!M$80,0)</f>
        <v>217.8479219962276</v>
      </c>
      <c r="W48" s="4357">
        <f>IFERROR('8. Ремонтна програма'!N72/'8. Ремонтна програма'!N$80,0)</f>
        <v>231.97277356807672</v>
      </c>
      <c r="X48" s="4357">
        <f>IFERROR('8. Ремонтна програма'!O72/'8. Ремонтна програма'!O$80,0)</f>
        <v>293.13130302867467</v>
      </c>
      <c r="Y48" s="3558">
        <f t="shared" si="66"/>
        <v>0</v>
      </c>
      <c r="Z48" s="3558">
        <f t="shared" si="41"/>
        <v>4.2399262258449752</v>
      </c>
      <c r="AK48" s="5612" t="s">
        <v>184</v>
      </c>
      <c r="AL48" s="5613"/>
      <c r="AM48" s="5613"/>
      <c r="AN48" s="5613"/>
      <c r="AO48" s="5613"/>
      <c r="AP48" s="5614"/>
      <c r="AR48" s="4590"/>
      <c r="AS48" s="4590"/>
      <c r="AT48" s="4590"/>
      <c r="AU48" s="4590"/>
      <c r="AV48" s="4591"/>
    </row>
    <row r="49" spans="18:48" ht="15" customHeight="1">
      <c r="R49" s="4358" t="s">
        <v>1583</v>
      </c>
      <c r="S49" s="4357">
        <f>IFERROR('8. Ремонтна програма'!J73/'8. Ремонтна програма'!J$80,0)</f>
        <v>0</v>
      </c>
      <c r="T49" s="4357">
        <f>IFERROR('8. Ремонтна програма'!K73/'8. Ремонтна програма'!K$80,0)</f>
        <v>0.91198925180159429</v>
      </c>
      <c r="U49" s="4357">
        <f>IFERROR('8. Ремонтна програма'!L73/'8. Ремонтна програма'!L$80,0)</f>
        <v>-16.26821237580868</v>
      </c>
      <c r="V49" s="4357">
        <f>IFERROR('8. Ремонтна програма'!M73/'8. Ремонтна програма'!M$80,0)</f>
        <v>4.0246336593938263</v>
      </c>
      <c r="W49" s="4357">
        <f>IFERROR('8. Ремонтна програма'!N73/'8. Ремонтна програма'!N$80,0)</f>
        <v>3.6398144969641848</v>
      </c>
      <c r="X49" s="4357">
        <f>IFERROR('8. Ремонтна програма'!O73/'8. Ремонтна програма'!O$80,0)</f>
        <v>4.0395748154004574</v>
      </c>
      <c r="Y49" s="3558">
        <f t="shared" si="66"/>
        <v>0</v>
      </c>
      <c r="Z49" s="3558">
        <f t="shared" si="41"/>
        <v>3.4294105521753204</v>
      </c>
      <c r="AK49" s="1461" t="s">
        <v>608</v>
      </c>
      <c r="AL49" s="3545">
        <f>AR49</f>
        <v>0.76300000000000001</v>
      </c>
      <c r="AM49" s="3545">
        <f t="shared" ref="AM49:AP49" si="67">AS49</f>
        <v>0.83</v>
      </c>
      <c r="AN49" s="3545">
        <f t="shared" si="67"/>
        <v>0.90300000000000002</v>
      </c>
      <c r="AO49" s="3545">
        <f t="shared" si="67"/>
        <v>0.98499999999999999</v>
      </c>
      <c r="AP49" s="3545">
        <f t="shared" si="67"/>
        <v>1.0760000000000001</v>
      </c>
      <c r="AR49" s="3545">
        <f>AL9</f>
        <v>0.76300000000000001</v>
      </c>
      <c r="AS49" s="3545">
        <f>AM9</f>
        <v>0.83</v>
      </c>
      <c r="AT49" s="3545">
        <f>AN9</f>
        <v>0.90300000000000002</v>
      </c>
      <c r="AU49" s="3545">
        <f>AO9</f>
        <v>0.98499999999999999</v>
      </c>
      <c r="AV49" s="3545">
        <f>AP9</f>
        <v>1.0760000000000001</v>
      </c>
    </row>
    <row r="50" spans="18:48" ht="15" customHeight="1">
      <c r="R50" s="4358" t="s">
        <v>1584</v>
      </c>
      <c r="S50" s="4357">
        <f>IFERROR('8. Ремонтна програма'!J74/'8. Ремонтна програма'!J$80,0)</f>
        <v>0</v>
      </c>
      <c r="T50" s="4357">
        <f>IFERROR('8. Ремонтна програма'!K74/'8. Ремонтна програма'!K$80,0)</f>
        <v>2.572921014733248</v>
      </c>
      <c r="U50" s="4357">
        <f>IFERROR('8. Ремонтна програма'!L74/'8. Ремонтна програма'!L$80,0)</f>
        <v>-44.304082203562125</v>
      </c>
      <c r="V50" s="4357">
        <f>IFERROR('8. Ремонтна програма'!M74/'8. Ремонтна програма'!M$80,0)</f>
        <v>10.553665239373849</v>
      </c>
      <c r="W50" s="4357">
        <f>IFERROR('8. Ремонтна програма'!N74/'8. Ремонтна програма'!N$80,0)</f>
        <v>9.1634346917660494</v>
      </c>
      <c r="X50" s="4357">
        <f>IFERROR('8. Ремонтна програма'!O74/'8. Ремонтна програма'!O$80,0)</f>
        <v>9.7349326545926793</v>
      </c>
      <c r="Y50" s="3558">
        <f t="shared" si="66"/>
        <v>0</v>
      </c>
      <c r="Z50" s="3558">
        <f t="shared" si="41"/>
        <v>2.7836111558993832</v>
      </c>
      <c r="AK50" s="3447" t="s">
        <v>1925</v>
      </c>
      <c r="AL50" s="4366">
        <f>IFERROR(ROUND(AR50,5),"-")</f>
        <v>0.57332000000000005</v>
      </c>
      <c r="AM50" s="4598">
        <f t="shared" ref="AM50:AM55" si="68">IFERROR(ROUND(AS50,5),"-")</f>
        <v>0.64059999999999995</v>
      </c>
      <c r="AN50" s="4598">
        <f t="shared" ref="AN50:AN55" si="69">IFERROR(ROUND(AT50,5),"-")</f>
        <v>0.71406000000000003</v>
      </c>
      <c r="AO50" s="4598">
        <f t="shared" ref="AO50:AO55" si="70">IFERROR(ROUND(AU50,5),"-")</f>
        <v>0.79562999999999995</v>
      </c>
      <c r="AP50" s="4598">
        <f t="shared" ref="AP50:AP55" si="71">IFERROR(ROUND(AV50,5),"-")</f>
        <v>0.88654999999999995</v>
      </c>
      <c r="AR50" s="4366">
        <f>IFERROR(('12. Разходи'!BY88-'12. Разходи'!BY89)/AR57,"-")</f>
        <v>0.57332364791658186</v>
      </c>
      <c r="AS50" s="4366">
        <f>IFERROR(('12. Разходи'!BZ88-'12. Разходи'!BZ89)/AS57,"-")</f>
        <v>0.64059960672352501</v>
      </c>
      <c r="AT50" s="4366">
        <f>IFERROR(('12. Разходи'!CA88-'12. Разходи'!CA89)/AT57,"-")</f>
        <v>0.71405529354983122</v>
      </c>
      <c r="AU50" s="4366">
        <f>IFERROR(('12. Разходи'!CB88-'12. Разходи'!CB89)/AU57,"-")</f>
        <v>0.79563253189260263</v>
      </c>
      <c r="AV50" s="4366">
        <f>IFERROR(('12. Разходи'!CC88-'12. Разходи'!CC89)/AV57,"-")</f>
        <v>0.88655115621855474</v>
      </c>
    </row>
    <row r="51" spans="18:48" ht="15" customHeight="1">
      <c r="R51" s="4358" t="s">
        <v>1585</v>
      </c>
      <c r="S51" s="4357">
        <f>IFERROR('8. Ремонтна програма'!J75/'8. Ремонтна програма'!J$80,0)</f>
        <v>0</v>
      </c>
      <c r="T51" s="4357">
        <f>IFERROR('8. Ремонтна програма'!K75/'8. Ремонтна програма'!K$80,0)</f>
        <v>28.440669189325721</v>
      </c>
      <c r="U51" s="4357">
        <f>IFERROR('8. Ремонтна програма'!L75/'8. Ремонтна програма'!L$80,0)</f>
        <v>-608.2567910035018</v>
      </c>
      <c r="V51" s="4357">
        <f>IFERROR('8. Ремонтна програма'!M75/'8. Ремонтна програма'!M$80,0)</f>
        <v>150.34060264511749</v>
      </c>
      <c r="W51" s="4357">
        <f>IFERROR('8. Ремонтна програма'!N75/'8. Ремонтна програма'!N$80,0)</f>
        <v>113.19730887350144</v>
      </c>
      <c r="X51" s="4357">
        <f>IFERROR('8. Ремонтна програма'!O75/'8. Ремонтна програма'!O$80,0)</f>
        <v>175.7100843251034</v>
      </c>
      <c r="Y51" s="3558">
        <f t="shared" si="66"/>
        <v>0</v>
      </c>
      <c r="Z51" s="3558">
        <f t="shared" si="41"/>
        <v>5.1781276367101254</v>
      </c>
      <c r="AK51" s="3445" t="s">
        <v>1926</v>
      </c>
      <c r="AL51" s="4597">
        <f t="shared" ref="AL51:AL55" si="72">IFERROR(ROUND(AR51,5),"-")</f>
        <v>2.4140000000000002E-2</v>
      </c>
      <c r="AM51" s="4599">
        <f t="shared" si="68"/>
        <v>2.4170000000000001E-2</v>
      </c>
      <c r="AN51" s="4599">
        <f t="shared" si="69"/>
        <v>2.332E-2</v>
      </c>
      <c r="AO51" s="4599">
        <f t="shared" si="70"/>
        <v>2.3040000000000001E-2</v>
      </c>
      <c r="AP51" s="4599">
        <f t="shared" si="71"/>
        <v>2.3029999999999998E-2</v>
      </c>
      <c r="AR51" s="4597">
        <f>IFERROR('12. Разходи'!BY55/AR57,"-")</f>
        <v>2.4144431981998463E-2</v>
      </c>
      <c r="AS51" s="4597">
        <f>IFERROR('12. Разходи'!BZ55/AS57,"-")</f>
        <v>2.4174121330854524E-2</v>
      </c>
      <c r="AT51" s="4597">
        <f>IFERROR('12. Разходи'!CA55/AT57,"-")</f>
        <v>2.3324320389762749E-2</v>
      </c>
      <c r="AU51" s="4597">
        <f>IFERROR('12. Разходи'!CB55/AU57,"-")</f>
        <v>2.3042756299596165E-2</v>
      </c>
      <c r="AV51" s="4597">
        <f>IFERROR('12. Разходи'!CC55/AV57,"-")</f>
        <v>2.3029672555603706E-2</v>
      </c>
    </row>
    <row r="52" spans="18:48" ht="15" customHeight="1">
      <c r="R52" s="4358" t="s">
        <v>914</v>
      </c>
      <c r="S52" s="4357">
        <f>IFERROR('8. Ремонтна програма'!J76/'8. Ремонтна програма'!J$80,0)</f>
        <v>0</v>
      </c>
      <c r="T52" s="4357">
        <f>IFERROR('8. Ремонтна програма'!K76/'8. Ремонтна програма'!K$80,0)</f>
        <v>0</v>
      </c>
      <c r="U52" s="4357">
        <f>IFERROR('8. Ремонтна програма'!L76/'8. Ремонтна програма'!L$80,0)</f>
        <v>0</v>
      </c>
      <c r="V52" s="4357">
        <f>IFERROR('8. Ремонтна програма'!M76/'8. Ремонтна програма'!M$80,0)</f>
        <v>0</v>
      </c>
      <c r="W52" s="4357">
        <f>IFERROR('8. Ремонтна програма'!N76/'8. Ремонтна програма'!N$80,0)</f>
        <v>0</v>
      </c>
      <c r="X52" s="4357">
        <f>IFERROR('8. Ремонтна програма'!O76/'8. Ремонтна програма'!O$80,0)</f>
        <v>0</v>
      </c>
      <c r="Y52" s="3558">
        <f t="shared" si="66"/>
        <v>0</v>
      </c>
      <c r="Z52" s="3558">
        <f t="shared" si="41"/>
        <v>0</v>
      </c>
      <c r="AK52" s="3445" t="s">
        <v>1927</v>
      </c>
      <c r="AL52" s="4597">
        <f t="shared" si="72"/>
        <v>0.48098000000000002</v>
      </c>
      <c r="AM52" s="4599">
        <f t="shared" si="68"/>
        <v>0.54895000000000005</v>
      </c>
      <c r="AN52" s="4599">
        <f t="shared" si="69"/>
        <v>0.62316000000000005</v>
      </c>
      <c r="AO52" s="4599">
        <f t="shared" si="70"/>
        <v>0.70482999999999996</v>
      </c>
      <c r="AP52" s="4599">
        <f t="shared" si="71"/>
        <v>0.79569000000000001</v>
      </c>
      <c r="AR52" s="4597">
        <f>IFERROR(('12. Разходи'!BY59+'12. Разходи'!BY63)/AR57,"-")</f>
        <v>0.48097987461212682</v>
      </c>
      <c r="AS52" s="4597">
        <f>IFERROR(('12. Разходи'!BZ59+'12. Разходи'!BZ63)/AS57,"-")</f>
        <v>0.54894979911125863</v>
      </c>
      <c r="AT52" s="4597">
        <f>IFERROR(('12. Разходи'!CA59+'12. Разходи'!CA63)/AT57,"-")</f>
        <v>0.62315771186935476</v>
      </c>
      <c r="AU52" s="4597">
        <f>IFERROR(('12. Разходи'!CB59+'12. Разходи'!CB63)/AU57,"-")</f>
        <v>0.70483490940996563</v>
      </c>
      <c r="AV52" s="4597">
        <f>IFERROR(('12. Разходи'!CC59+'12. Разходи'!CC63)/AV57,"-")</f>
        <v>0.79569266975742636</v>
      </c>
    </row>
    <row r="53" spans="18:48" ht="15" customHeight="1">
      <c r="R53" s="4358" t="s">
        <v>918</v>
      </c>
      <c r="S53" s="4357">
        <f>IFERROR('8. Ремонтна програма'!J77/'8. Ремонтна програма'!J$80,0)</f>
        <v>0</v>
      </c>
      <c r="T53" s="4357">
        <f>IFERROR('8. Ремонтна програма'!K77/'8. Ремонтна програма'!K$80,0)</f>
        <v>9.6688122866264923</v>
      </c>
      <c r="U53" s="4357">
        <f>IFERROR('8. Ремонтна програма'!L77/'8. Ремонтна програма'!L$80,0)</f>
        <v>-173.10826724717884</v>
      </c>
      <c r="V53" s="4357">
        <f>IFERROR('8. Ремонтна програма'!M77/'8. Ремонтна програма'!M$80,0)</f>
        <v>42.987801582780506</v>
      </c>
      <c r="W53" s="4357">
        <f>IFERROR('8. Ремонтна програма'!N77/'8. Ремонтна програма'!N$80,0)</f>
        <v>39.02935637518685</v>
      </c>
      <c r="X53" s="4357">
        <f>IFERROR('8. Ремонтна програма'!O77/'8. Ремонтна програма'!O$80,0)</f>
        <v>43.489253261333559</v>
      </c>
      <c r="Y53" s="3558">
        <f t="shared" si="66"/>
        <v>0</v>
      </c>
      <c r="Z53" s="3558">
        <f t="shared" si="41"/>
        <v>3.4978899136852752</v>
      </c>
      <c r="AK53" s="3447" t="s">
        <v>1928</v>
      </c>
      <c r="AL53" s="4366">
        <f t="shared" si="72"/>
        <v>0.16467000000000001</v>
      </c>
      <c r="AM53" s="4598">
        <f t="shared" si="68"/>
        <v>0.16344</v>
      </c>
      <c r="AN53" s="4598">
        <f t="shared" si="69"/>
        <v>0.16172</v>
      </c>
      <c r="AO53" s="4598">
        <f t="shared" si="70"/>
        <v>0.1598</v>
      </c>
      <c r="AP53" s="4598">
        <f t="shared" si="71"/>
        <v>0.15840000000000001</v>
      </c>
      <c r="AR53" s="4366">
        <f>IFERROR('12. Разходи'!BY89/AR57,"-")</f>
        <v>0.16466583851483665</v>
      </c>
      <c r="AS53" s="4366">
        <f>IFERROR('12. Разходи'!BZ89/AS57,"-")</f>
        <v>0.16344333516960177</v>
      </c>
      <c r="AT53" s="4366">
        <f>IFERROR('12. Разходи'!CA89/AT57,"-")</f>
        <v>0.1617150654936903</v>
      </c>
      <c r="AU53" s="4366">
        <f>IFERROR('12. Разходи'!CB89/AU57,"-")</f>
        <v>0.15979909969505196</v>
      </c>
      <c r="AV53" s="4366">
        <f>IFERROR('12. Разходи'!CC89/AV57,"-")</f>
        <v>0.15839564947292117</v>
      </c>
    </row>
    <row r="54" spans="18:48" ht="15" customHeight="1">
      <c r="R54" s="4358" t="s">
        <v>1360</v>
      </c>
      <c r="S54" s="4357">
        <f>IFERROR('8. Ремонтна програма'!J78/'8. Ремонтна програма'!J$80,0)</f>
        <v>0</v>
      </c>
      <c r="T54" s="4357">
        <f>IFERROR('8. Ремонтна програма'!K78/'8. Ремонтна програма'!K$80,0)</f>
        <v>30.953285469972176</v>
      </c>
      <c r="U54" s="4357">
        <f>IFERROR('8. Ремонтна програма'!L78/'8. Ремонтна програма'!L$80,0)</f>
        <v>-530.96488192731249</v>
      </c>
      <c r="V54" s="4357">
        <f>IFERROR('8. Ремонтна програма'!M78/'8. Ремонтна програма'!M$80,0)</f>
        <v>125.943325875037</v>
      </c>
      <c r="W54" s="4357">
        <f>IFERROR('8. Ремонтна програма'!N78/'8. Ремонтна програма'!N$80,0)</f>
        <v>108.8297091110958</v>
      </c>
      <c r="X54" s="4357">
        <f>IFERROR('8. Ремонтна програма'!O78/'8. Ремонтна програма'!O$80,0)</f>
        <v>114.99530670872277</v>
      </c>
      <c r="Y54" s="3558">
        <f t="shared" si="66"/>
        <v>0</v>
      </c>
      <c r="Z54" s="3558">
        <f t="shared" si="41"/>
        <v>2.7151244193537991</v>
      </c>
      <c r="AK54" s="3445" t="s">
        <v>1929</v>
      </c>
      <c r="AL54" s="4597">
        <f t="shared" si="72"/>
        <v>0.1135</v>
      </c>
      <c r="AM54" s="4599">
        <f t="shared" si="68"/>
        <v>0.11201</v>
      </c>
      <c r="AN54" s="4599">
        <f t="shared" si="69"/>
        <v>0.11047</v>
      </c>
      <c r="AO54" s="4599">
        <f t="shared" si="70"/>
        <v>0.10879999999999999</v>
      </c>
      <c r="AP54" s="4599">
        <f t="shared" si="71"/>
        <v>0.10749</v>
      </c>
      <c r="AR54" s="4597">
        <f>IFERROR('12. Разходи'!BY17/AR57,"-")</f>
        <v>0.11349811094958581</v>
      </c>
      <c r="AS54" s="4597">
        <f>IFERROR('12. Разходи'!BZ17/AS57,"-")</f>
        <v>0.11201358253346635</v>
      </c>
      <c r="AT54" s="4597">
        <f>IFERROR('12. Разходи'!CA17/AT57,"-")</f>
        <v>0.11046905311421881</v>
      </c>
      <c r="AU54" s="4597">
        <f>IFERROR('12. Разходи'!CB17/AU57,"-")</f>
        <v>0.10879896402490184</v>
      </c>
      <c r="AV54" s="4597">
        <f>IFERROR('12. Разходи'!CC17/AV57,"-")</f>
        <v>0.10748793050945732</v>
      </c>
    </row>
    <row r="55" spans="18:48" ht="15" customHeight="1">
      <c r="R55" s="4358" t="s">
        <v>1580</v>
      </c>
      <c r="S55" s="4357">
        <f>IFERROR('8. Ремонтна програма'!J79/'8. Ремонтна програма'!J$80,0)</f>
        <v>0</v>
      </c>
      <c r="T55" s="4357">
        <f>IFERROR('8. Ремонтна програма'!K79/'8. Ремонтна програма'!K$80,0)</f>
        <v>179.37290841931278</v>
      </c>
      <c r="U55" s="4357">
        <f>IFERROR('8. Ремонтна програма'!L79/'8. Ремонтна програма'!L$80,0)</f>
        <v>-3011.2545198390926</v>
      </c>
      <c r="V55" s="4357">
        <f>IFERROR('8. Ремонтна програма'!M79/'8. Ремонтна програма'!M$80,0)</f>
        <v>757.52673103618861</v>
      </c>
      <c r="W55" s="4357">
        <f>IFERROR('8. Ремонтна програма'!N79/'8. Ремонтна програма'!N$80,0)</f>
        <v>700.87754688057714</v>
      </c>
      <c r="X55" s="4357">
        <f>IFERROR('8. Ремонтна програма'!O79/'8. Ремонтна програма'!O$80,0)</f>
        <v>789.52068971582446</v>
      </c>
      <c r="Y55" s="3558">
        <f t="shared" si="66"/>
        <v>0</v>
      </c>
      <c r="Z55" s="3558">
        <f t="shared" si="41"/>
        <v>3.4015603954538882</v>
      </c>
      <c r="AK55" s="3447" t="s">
        <v>1930</v>
      </c>
      <c r="AL55" s="4366">
        <f t="shared" si="72"/>
        <v>4.8919999999999998E-2</v>
      </c>
      <c r="AM55" s="4598">
        <f t="shared" si="68"/>
        <v>5.117E-2</v>
      </c>
      <c r="AN55" s="4598">
        <f t="shared" si="69"/>
        <v>5.3929999999999999E-2</v>
      </c>
      <c r="AO55" s="4598">
        <f t="shared" si="70"/>
        <v>5.6919999999999998E-2</v>
      </c>
      <c r="AP55" s="4598">
        <f t="shared" si="71"/>
        <v>5.9950000000000003E-2</v>
      </c>
      <c r="AR55" s="4366">
        <f>IFERROR('16. Необходими приходи'!D23/AR57,"-")</f>
        <v>4.8915232642323787E-2</v>
      </c>
      <c r="AS55" s="4366">
        <f>IFERROR('16. Необходими приходи'!E23/AS57,"-")</f>
        <v>5.1168242257447046E-2</v>
      </c>
      <c r="AT55" s="4366">
        <f>IFERROR('16. Необходими приходи'!F23/AT57,"-")</f>
        <v>5.3930476143173187E-2</v>
      </c>
      <c r="AU55" s="4366">
        <f>IFERROR('16. Необходими приходи'!G23/AU57,"-")</f>
        <v>5.6922608169171142E-2</v>
      </c>
      <c r="AV55" s="4366">
        <f>IFERROR('16. Необходими приходи'!H23/AV57,"-")</f>
        <v>5.9946741332026071E-2</v>
      </c>
    </row>
    <row r="56" spans="18:48">
      <c r="AK56" s="1326"/>
      <c r="AL56"/>
      <c r="AM56"/>
      <c r="AN56"/>
      <c r="AO56"/>
      <c r="AP56"/>
      <c r="AQ56"/>
      <c r="AR56"/>
      <c r="AS56"/>
      <c r="AT56"/>
      <c r="AU56"/>
      <c r="AV56"/>
    </row>
    <row r="57" spans="18:48">
      <c r="AK57" s="1"/>
      <c r="AL57" s="3165"/>
      <c r="AM57" s="3165"/>
      <c r="AN57" s="3165"/>
      <c r="AO57" s="3165"/>
      <c r="AP57" s="3165"/>
      <c r="AQ57" s="4592" t="s">
        <v>1931</v>
      </c>
      <c r="AR57" s="4593">
        <f>'16. Необходими приходи'!D27+'16. Необходими приходи'!D29*'16. Необходими приходи'!D49+'16. Необходими приходи'!D30*'16. Необходими приходи'!D50+'16. Необходими приходи'!D31*'16. Необходими приходи'!D51</f>
        <v>2035.2644860942769</v>
      </c>
      <c r="AS57" s="4593">
        <f>'16. Необходими приходи'!E27+'16. Необходими приходи'!E29*'16. Необходими приходи'!E49+'16. Необходими приходи'!E30*'16. Необходими приходи'!E50+'16. Необходими приходи'!E31*'16. Необходими приходи'!E51</f>
        <v>2042.5668226656287</v>
      </c>
      <c r="AT57" s="4593">
        <f>'16. Необходими приходи'!F27+'16. Необходими приходи'!F29*'16. Необходими приходи'!F49+'16. Необходими приходи'!F30*'16. Необходими приходи'!F50+'16. Необходими приходи'!F31*'16. Необходими приходи'!F51</f>
        <v>2051.3483640978707</v>
      </c>
      <c r="AU57" s="4593">
        <f>'16. Необходими приходи'!G27+'16. Необходими приходи'!G29*'16. Необходими приходи'!G49+'16. Необходими приходи'!G30*'16. Необходими приходи'!G50+'16. Необходими приходи'!G31*'16. Необходими приходи'!G51</f>
        <v>2062.9253571619802</v>
      </c>
      <c r="AV57" s="4593">
        <f>'16. Необходими приходи'!H27+'16. Необходими приходи'!H29*'16. Необходими приходи'!H49+'16. Необходими приходи'!H30*'16. Необходими приходи'!H50+'16. Необходими приходи'!H31*'16. Необходими приходи'!H51</f>
        <v>2074.9696417020555</v>
      </c>
    </row>
    <row r="58" spans="18:48">
      <c r="AK58" s="1" t="s">
        <v>1932</v>
      </c>
      <c r="AL58" s="3165"/>
      <c r="AM58" s="3165"/>
      <c r="AN58" s="3165"/>
      <c r="AO58" s="3165"/>
      <c r="AP58" s="3165"/>
      <c r="AQ58" s="4594"/>
      <c r="AR58" s="3165"/>
      <c r="AS58" s="3165"/>
      <c r="AT58" s="3165"/>
      <c r="AU58" s="3165"/>
      <c r="AV58" s="3165"/>
    </row>
    <row r="59" spans="18:48">
      <c r="AK59" s="4595" t="s">
        <v>1933</v>
      </c>
      <c r="AL59" s="4596">
        <f>IFERROR(AL33-AL34-AL37-AL39,0)</f>
        <v>-0.10531000000000001</v>
      </c>
      <c r="AM59" s="4596">
        <f t="shared" ref="AM59:AP59" si="73">IFERROR(AM33-AM34-AM37-AM39,0)</f>
        <v>3.8290000000000074E-2</v>
      </c>
      <c r="AN59" s="4596">
        <f t="shared" si="73"/>
        <v>4.6780000000000155E-2</v>
      </c>
      <c r="AO59" s="4596">
        <f t="shared" si="73"/>
        <v>6.639999999999982E-2</v>
      </c>
      <c r="AP59" s="4596">
        <f t="shared" si="73"/>
        <v>8.1349999999999867E-2</v>
      </c>
      <c r="AQ59" s="3165"/>
      <c r="AR59" s="3165"/>
      <c r="AS59" s="3165"/>
      <c r="AT59" s="3165"/>
      <c r="AU59" s="3165"/>
      <c r="AV59" s="3165"/>
    </row>
    <row r="60" spans="18:48">
      <c r="AK60" s="4595" t="s">
        <v>1934</v>
      </c>
      <c r="AL60" s="4596">
        <f>IFERROR(AL41-AL42-AL45-AL47,0)</f>
        <v>-1.2910000000000007E-2</v>
      </c>
      <c r="AM60" s="4596">
        <f t="shared" ref="AM60:AP60" si="74">IFERROR(AM41-AM42-AM45-AM47,0)</f>
        <v>-1.3909999999999997E-2</v>
      </c>
      <c r="AN60" s="4596">
        <f t="shared" si="74"/>
        <v>-1.5080000000000008E-2</v>
      </c>
      <c r="AO60" s="4596">
        <f t="shared" si="74"/>
        <v>-1.5570000000000018E-2</v>
      </c>
      <c r="AP60" s="4596">
        <f t="shared" si="74"/>
        <v>-1.6689999999999979E-2</v>
      </c>
      <c r="AQ60" s="3165"/>
      <c r="AR60" s="3165"/>
      <c r="AS60" s="3165"/>
      <c r="AT60" s="3165"/>
      <c r="AU60" s="3165"/>
      <c r="AV60" s="3165"/>
    </row>
    <row r="61" spans="18:48">
      <c r="AK61" s="4595" t="s">
        <v>1935</v>
      </c>
      <c r="AL61" s="4596">
        <f>IFERROR(AL49-AL50-AL53-AL55,0)</f>
        <v>-2.3910000000000049E-2</v>
      </c>
      <c r="AM61" s="4596">
        <f t="shared" ref="AM61:AP61" si="75">IFERROR(AM49-AM50-AM53-AM55,0)</f>
        <v>-2.5209999999999989E-2</v>
      </c>
      <c r="AN61" s="4596">
        <f t="shared" si="75"/>
        <v>-2.6710000000000005E-2</v>
      </c>
      <c r="AO61" s="4596">
        <f t="shared" si="75"/>
        <v>-2.7349999999999958E-2</v>
      </c>
      <c r="AP61" s="4596">
        <f t="shared" si="75"/>
        <v>-2.8899999999999898E-2</v>
      </c>
      <c r="AQ61" s="3165"/>
      <c r="AR61" s="3165"/>
      <c r="AS61" s="3165"/>
      <c r="AT61" s="3165"/>
      <c r="AU61" s="3165"/>
      <c r="AV61" s="3165"/>
    </row>
  </sheetData>
  <mergeCells count="75">
    <mergeCell ref="AU30:AU31"/>
    <mergeCell ref="AV30:AV31"/>
    <mergeCell ref="P2:P3"/>
    <mergeCell ref="AK30:AK31"/>
    <mergeCell ref="AR30:AR31"/>
    <mergeCell ref="AS30:AS31"/>
    <mergeCell ref="AT30:AT31"/>
    <mergeCell ref="AK4:AP4"/>
    <mergeCell ref="AB5:AB6"/>
    <mergeCell ref="AC5:AG5"/>
    <mergeCell ref="AK6:AP6"/>
    <mergeCell ref="R8:R9"/>
    <mergeCell ref="S8:X8"/>
    <mergeCell ref="Y8:Y9"/>
    <mergeCell ref="Z8:Z9"/>
    <mergeCell ref="AK8:AP8"/>
    <mergeCell ref="AB10:AB11"/>
    <mergeCell ref="AC10:AG10"/>
    <mergeCell ref="A2:A3"/>
    <mergeCell ref="B2:B3"/>
    <mergeCell ref="C2:H2"/>
    <mergeCell ref="I2:N2"/>
    <mergeCell ref="O2:O3"/>
    <mergeCell ref="AP2:AP3"/>
    <mergeCell ref="R2:R3"/>
    <mergeCell ref="S2:X2"/>
    <mergeCell ref="Y2:Y3"/>
    <mergeCell ref="Z2:Z3"/>
    <mergeCell ref="AB2:AB3"/>
    <mergeCell ref="AC2:AG2"/>
    <mergeCell ref="AK2:AK3"/>
    <mergeCell ref="AL2:AL3"/>
    <mergeCell ref="AM2:AM3"/>
    <mergeCell ref="AN2:AN3"/>
    <mergeCell ref="AO2:AO3"/>
    <mergeCell ref="A13:A14"/>
    <mergeCell ref="B13:B14"/>
    <mergeCell ref="C13:H13"/>
    <mergeCell ref="I13:N13"/>
    <mergeCell ref="O13:O14"/>
    <mergeCell ref="P13:P14"/>
    <mergeCell ref="AK14:AP14"/>
    <mergeCell ref="AK16:AP16"/>
    <mergeCell ref="AB18:AB19"/>
    <mergeCell ref="AC18:AG18"/>
    <mergeCell ref="AK19:AK20"/>
    <mergeCell ref="AL19:AL20"/>
    <mergeCell ref="AM19:AN19"/>
    <mergeCell ref="AO19:AS19"/>
    <mergeCell ref="P35:P36"/>
    <mergeCell ref="AB21:AB22"/>
    <mergeCell ref="AC21:AG21"/>
    <mergeCell ref="A24:A25"/>
    <mergeCell ref="B24:B25"/>
    <mergeCell ref="C24:H24"/>
    <mergeCell ref="I24:N24"/>
    <mergeCell ref="O24:O25"/>
    <mergeCell ref="P24:P25"/>
    <mergeCell ref="AB25:AB26"/>
    <mergeCell ref="AC25:AG25"/>
    <mergeCell ref="A35:A36"/>
    <mergeCell ref="B35:B36"/>
    <mergeCell ref="C35:H35"/>
    <mergeCell ref="I35:N35"/>
    <mergeCell ref="O35:O36"/>
    <mergeCell ref="AK32:AP32"/>
    <mergeCell ref="AK40:AP40"/>
    <mergeCell ref="AK48:AP48"/>
    <mergeCell ref="AB31:AB32"/>
    <mergeCell ref="AC31:AG31"/>
    <mergeCell ref="AL30:AL31"/>
    <mergeCell ref="AM30:AM31"/>
    <mergeCell ref="AN30:AN31"/>
    <mergeCell ref="AO30:AO31"/>
    <mergeCell ref="AP30:AP31"/>
  </mergeCells>
  <conditionalFormatting sqref="S17:X30">
    <cfRule type="top10" dxfId="37" priority="8" rank="7"/>
  </conditionalFormatting>
  <conditionalFormatting sqref="S34:X45">
    <cfRule type="top10" dxfId="36" priority="6" rank="7"/>
  </conditionalFormatting>
  <conditionalFormatting sqref="S47:X55">
    <cfRule type="top10" dxfId="35" priority="3" rank="7"/>
  </conditionalFormatting>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iconSet" priority="5" id="{0FE66AD7-21CB-458E-93B5-B438028F66BE}">
            <x14:iconSet iconSet="3Symbols" custom="1">
              <x14:cfvo type="percent">
                <xm:f>0</xm:f>
              </x14:cfvo>
              <x14:cfvo type="percent">
                <xm:f>33</xm:f>
              </x14:cfvo>
              <x14:cfvo type="percent">
                <xm:f>67</xm:f>
              </x14:cfvo>
              <x14:cfIcon iconSet="3TrafficLights1" iconId="2"/>
              <x14:cfIcon iconSet="3TrafficLights1" iconId="1"/>
              <x14:cfIcon iconSet="3TrafficLights1" iconId="0"/>
            </x14:iconSet>
          </x14:cfRule>
          <xm:sqref>S34:X45</xm:sqref>
        </x14:conditionalFormatting>
        <x14:conditionalFormatting xmlns:xm="http://schemas.microsoft.com/office/excel/2006/main">
          <x14:cfRule type="iconSet" priority="2" id="{91CC5EE5-E5E2-46CF-A5F2-51F1C59EE624}">
            <x14:iconSet iconSet="3Symbols" custom="1">
              <x14:cfvo type="percent">
                <xm:f>0</xm:f>
              </x14:cfvo>
              <x14:cfvo type="percent">
                <xm:f>33</xm:f>
              </x14:cfvo>
              <x14:cfvo type="percent">
                <xm:f>67</xm:f>
              </x14:cfvo>
              <x14:cfIcon iconSet="3TrafficLights1" iconId="2"/>
              <x14:cfIcon iconSet="3TrafficLights1" iconId="1"/>
              <x14:cfIcon iconSet="3TrafficLights1" iconId="0"/>
            </x14:iconSet>
          </x14:cfRule>
          <xm:sqref>S47:X55</xm:sqref>
        </x14:conditionalFormatting>
        <x14:conditionalFormatting xmlns:xm="http://schemas.microsoft.com/office/excel/2006/main">
          <x14:cfRule type="iconSet" priority="7" id="{9C1B025A-D370-4637-B513-80219B400AA3}">
            <x14:iconSet iconSet="3Symbols" custom="1">
              <x14:cfvo type="percent">
                <xm:f>0</xm:f>
              </x14:cfvo>
              <x14:cfvo type="percent">
                <xm:f>33</xm:f>
              </x14:cfvo>
              <x14:cfvo type="percent">
                <xm:f>67</xm:f>
              </x14:cfvo>
              <x14:cfIcon iconSet="3TrafficLights1" iconId="2"/>
              <x14:cfIcon iconSet="3TrafficLights1" iconId="1"/>
              <x14:cfIcon iconSet="3TrafficLights1" iconId="0"/>
            </x14:iconSet>
          </x14:cfRule>
          <xm:sqref>S17:Z30</xm:sqref>
        </x14:conditionalFormatting>
        <x14:conditionalFormatting xmlns:xm="http://schemas.microsoft.com/office/excel/2006/main">
          <x14:cfRule type="iconSet" priority="4" id="{3E02B569-1DAC-47A8-8A64-26420C1FDE43}">
            <x14:iconSet iconSet="3Symbols" custom="1">
              <x14:cfvo type="percent">
                <xm:f>0</xm:f>
              </x14:cfvo>
              <x14:cfvo type="percent">
                <xm:f>33</xm:f>
              </x14:cfvo>
              <x14:cfvo type="percent">
                <xm:f>67</xm:f>
              </x14:cfvo>
              <x14:cfIcon iconSet="3TrafficLights1" iconId="2"/>
              <x14:cfIcon iconSet="3TrafficLights1" iconId="1"/>
              <x14:cfIcon iconSet="3TrafficLights1" iconId="0"/>
            </x14:iconSet>
          </x14:cfRule>
          <xm:sqref>Y34:Z45</xm:sqref>
        </x14:conditionalFormatting>
        <x14:conditionalFormatting xmlns:xm="http://schemas.microsoft.com/office/excel/2006/main">
          <x14:cfRule type="iconSet" priority="1" id="{0E38F90B-9FAE-4C1D-9796-8B4C8D9ECD3D}">
            <x14:iconSet iconSet="3Symbols" custom="1">
              <x14:cfvo type="percent">
                <xm:f>0</xm:f>
              </x14:cfvo>
              <x14:cfvo type="percent">
                <xm:f>33</xm:f>
              </x14:cfvo>
              <x14:cfvo type="percent">
                <xm:f>67</xm:f>
              </x14:cfvo>
              <x14:cfIcon iconSet="3TrafficLights1" iconId="2"/>
              <x14:cfIcon iconSet="3TrafficLights1" iconId="1"/>
              <x14:cfIcon iconSet="3TrafficLights1" iconId="0"/>
            </x14:iconSet>
          </x14:cfRule>
          <xm:sqref>Y47:Z55</xm:sqref>
        </x14:conditionalFormatting>
      </x14:conditionalFormattings>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9" tint="-0.249977111117893"/>
  </sheetPr>
  <dimension ref="A1:AW179"/>
  <sheetViews>
    <sheetView topLeftCell="A109" zoomScaleNormal="100" workbookViewId="0">
      <selection activeCell="I116" sqref="I116"/>
    </sheetView>
  </sheetViews>
  <sheetFormatPr defaultColWidth="9.109375" defaultRowHeight="15.75" customHeight="1"/>
  <cols>
    <col min="1" max="1" width="37.5546875" style="11" customWidth="1"/>
    <col min="2" max="7" width="9.109375" style="4281"/>
    <col min="8" max="8" width="3.6640625" style="11" customWidth="1"/>
    <col min="9" max="9" width="37.5546875" style="11" customWidth="1"/>
    <col min="10" max="17" width="9.109375" style="11"/>
    <col min="18" max="18" width="4.5546875" style="11" customWidth="1"/>
    <col min="19" max="19" width="37.5546875" style="719" customWidth="1"/>
    <col min="20" max="27" width="9.109375" style="4281"/>
    <col min="28" max="28" width="3.5546875" style="11" customWidth="1"/>
    <col min="29" max="29" width="37.5546875" style="11" customWidth="1"/>
    <col min="30" max="30" width="9" style="3347" customWidth="1"/>
    <col min="31" max="35" width="9.109375" style="11"/>
    <col min="36" max="36" width="4.109375" style="11" customWidth="1"/>
    <col min="37" max="37" width="37.5546875" style="11" customWidth="1"/>
    <col min="38" max="42" width="9.109375" style="4281"/>
    <col min="43" max="43" width="9.109375" style="11"/>
    <col min="44" max="44" width="37.5546875" style="11" customWidth="1"/>
    <col min="45" max="16384" width="9.109375" style="11"/>
  </cols>
  <sheetData>
    <row r="1" spans="1:49" ht="15.75" customHeight="1">
      <c r="A1" s="3483" t="s">
        <v>1655</v>
      </c>
      <c r="I1" s="3483" t="s">
        <v>1009</v>
      </c>
      <c r="S1" s="3538" t="s">
        <v>1671</v>
      </c>
      <c r="AC1" s="3538" t="s">
        <v>1688</v>
      </c>
      <c r="AD1" s="3563"/>
      <c r="AK1" s="3538" t="s">
        <v>1692</v>
      </c>
    </row>
    <row r="2" spans="1:49" ht="15.75" customHeight="1">
      <c r="A2" s="2" t="s">
        <v>207</v>
      </c>
      <c r="G2" s="3446" t="s">
        <v>1634</v>
      </c>
      <c r="I2" s="1332" t="s">
        <v>1632</v>
      </c>
      <c r="O2" s="3446" t="s">
        <v>1634</v>
      </c>
      <c r="S2" s="2" t="s">
        <v>1679</v>
      </c>
      <c r="AA2" s="3446"/>
      <c r="AK2" s="2" t="s">
        <v>305</v>
      </c>
      <c r="AR2" s="2" t="s">
        <v>1697</v>
      </c>
      <c r="AS2" s="4281"/>
      <c r="AT2" s="4281"/>
      <c r="AU2" s="4281"/>
      <c r="AV2" s="4281"/>
      <c r="AW2" s="4281"/>
    </row>
    <row r="3" spans="1:49" ht="12.75" customHeight="1">
      <c r="A3" s="5632" t="s">
        <v>87</v>
      </c>
      <c r="B3" s="5636" t="s">
        <v>210</v>
      </c>
      <c r="C3" s="5636"/>
      <c r="D3" s="5636"/>
      <c r="E3" s="5636"/>
      <c r="F3" s="5636"/>
      <c r="G3" s="5636"/>
      <c r="I3" s="4282" t="s">
        <v>1494</v>
      </c>
      <c r="J3" s="4283" t="str">
        <f>+'15. ОПП'!$C$7</f>
        <v>2027 г.</v>
      </c>
      <c r="K3" s="4283" t="str">
        <f>+'15. ОПП'!$D$7</f>
        <v>2028 г.</v>
      </c>
      <c r="L3" s="4283" t="str">
        <f>+'15. ОПП'!$E$7</f>
        <v>2029 г.</v>
      </c>
      <c r="M3" s="4283" t="str">
        <f>+'15. ОПП'!$F$7</f>
        <v>2030 г.</v>
      </c>
      <c r="N3" s="4283" t="str">
        <f>+'15. ОПП'!$G$7</f>
        <v>2031 г.</v>
      </c>
      <c r="O3" s="4284" t="s">
        <v>1593</v>
      </c>
      <c r="S3" s="5636" t="s">
        <v>1666</v>
      </c>
      <c r="T3" s="5636" t="s">
        <v>207</v>
      </c>
      <c r="U3" s="5636"/>
      <c r="V3" s="5636"/>
      <c r="W3" s="5636"/>
      <c r="X3" s="5636"/>
      <c r="Y3" s="5636"/>
      <c r="Z3" s="5603" t="str">
        <f>+"Изменение "&amp;U4&amp;" спр. "&amp;T4</f>
        <v>Изменение 2027 г. спр. 2024 г.</v>
      </c>
      <c r="AA3" s="5603" t="str">
        <f>+"Изменение "&amp;Y4&amp;" спр. "&amp;U4</f>
        <v>Изменение 2031 г. спр. 2027 г.</v>
      </c>
      <c r="AC3" s="3564" t="s">
        <v>1683</v>
      </c>
      <c r="AD3" s="4285" t="s">
        <v>1065</v>
      </c>
      <c r="AE3" s="4286" t="s">
        <v>1775</v>
      </c>
      <c r="AF3" s="4286" t="s">
        <v>1776</v>
      </c>
      <c r="AG3" s="4286" t="s">
        <v>1777</v>
      </c>
      <c r="AH3" s="4286" t="s">
        <v>1778</v>
      </c>
      <c r="AI3" s="4286" t="s">
        <v>1779</v>
      </c>
      <c r="AK3" s="5650" t="s">
        <v>1690</v>
      </c>
      <c r="AL3" s="5651" t="str">
        <f>T3</f>
        <v>Доставяне на вода на потребителите</v>
      </c>
      <c r="AM3" s="5652"/>
      <c r="AN3" s="5652"/>
      <c r="AO3" s="5652"/>
      <c r="AP3" s="5652"/>
      <c r="AR3" s="5642" t="s">
        <v>1691</v>
      </c>
      <c r="AS3" s="5644" t="s">
        <v>210</v>
      </c>
      <c r="AT3" s="5645"/>
      <c r="AU3" s="5645"/>
      <c r="AV3" s="5645"/>
      <c r="AW3" s="5646"/>
    </row>
    <row r="4" spans="1:49" ht="15.75" customHeight="1">
      <c r="A4" s="5632"/>
      <c r="B4" s="4283" t="str">
        <f>+'15. ОПП'!$B$7</f>
        <v>2024 г.</v>
      </c>
      <c r="C4" s="4283" t="str">
        <f>+'15. ОПП'!$C$7</f>
        <v>2027 г.</v>
      </c>
      <c r="D4" s="4283" t="str">
        <f>+'15. ОПП'!$D$7</f>
        <v>2028 г.</v>
      </c>
      <c r="E4" s="4283" t="str">
        <f>+'15. ОПП'!$E$7</f>
        <v>2029 г.</v>
      </c>
      <c r="F4" s="4283" t="str">
        <f>+'15. ОПП'!$F$7</f>
        <v>2030 г.</v>
      </c>
      <c r="G4" s="4283" t="str">
        <f>+'15. ОПП'!$G$7</f>
        <v>2031 г.</v>
      </c>
      <c r="I4" s="4287" t="str">
        <f>I27</f>
        <v>Доставяне на вода на потребителите</v>
      </c>
      <c r="J4" s="4288"/>
      <c r="K4" s="4288"/>
      <c r="L4" s="4288"/>
      <c r="M4" s="4288"/>
      <c r="N4" s="4288"/>
      <c r="O4" s="3703">
        <f>SUM(J4:N4)</f>
        <v>0</v>
      </c>
      <c r="S4" s="5636"/>
      <c r="T4" s="4283" t="str">
        <f>+'15. ОПП'!$B$7</f>
        <v>2024 г.</v>
      </c>
      <c r="U4" s="4283" t="str">
        <f>+'15. ОПП'!$C$7</f>
        <v>2027 г.</v>
      </c>
      <c r="V4" s="4283" t="str">
        <f>+'15. ОПП'!$D$7</f>
        <v>2028 г.</v>
      </c>
      <c r="W4" s="4283" t="str">
        <f>+'15. ОПП'!$E$7</f>
        <v>2029 г.</v>
      </c>
      <c r="X4" s="4283" t="str">
        <f>+'15. ОПП'!$F$7</f>
        <v>2030 г.</v>
      </c>
      <c r="Y4" s="4283" t="str">
        <f>+'15. ОПП'!$G$7</f>
        <v>2031 г.</v>
      </c>
      <c r="Z4" s="5603"/>
      <c r="AA4" s="5603"/>
      <c r="AC4" s="3565" t="s">
        <v>1684</v>
      </c>
      <c r="AD4" s="3566">
        <f>'14. ОПР'!B9</f>
        <v>18577.712489999998</v>
      </c>
      <c r="AE4" s="3566">
        <f>'14. ОПР'!C9</f>
        <v>23043.773135523767</v>
      </c>
      <c r="AF4" s="3566">
        <f>'14. ОПР'!D9</f>
        <v>24380.954242923497</v>
      </c>
      <c r="AG4" s="3566">
        <f>'14. ОПР'!E9</f>
        <v>26190.115648644285</v>
      </c>
      <c r="AH4" s="3566">
        <f>'14. ОПР'!F9</f>
        <v>28290.904796248564</v>
      </c>
      <c r="AI4" s="3566">
        <f>'14. ОПР'!G9</f>
        <v>30515.711510139809</v>
      </c>
      <c r="AK4" s="5650"/>
      <c r="AL4" s="4289" t="s">
        <v>1775</v>
      </c>
      <c r="AM4" s="4289" t="s">
        <v>1776</v>
      </c>
      <c r="AN4" s="4289" t="s">
        <v>1777</v>
      </c>
      <c r="AO4" s="4289" t="s">
        <v>1778</v>
      </c>
      <c r="AP4" s="4289" t="s">
        <v>1779</v>
      </c>
      <c r="AR4" s="5643"/>
      <c r="AS4" s="4289" t="s">
        <v>1775</v>
      </c>
      <c r="AT4" s="4289" t="s">
        <v>1776</v>
      </c>
      <c r="AU4" s="4289" t="s">
        <v>1777</v>
      </c>
      <c r="AV4" s="4289" t="s">
        <v>1778</v>
      </c>
      <c r="AW4" s="4289" t="s">
        <v>1779</v>
      </c>
    </row>
    <row r="5" spans="1:49" ht="15.75" customHeight="1">
      <c r="A5" s="5631" t="s">
        <v>1656</v>
      </c>
      <c r="B5" s="5631"/>
      <c r="C5" s="5631"/>
      <c r="D5" s="5631"/>
      <c r="E5" s="5631"/>
      <c r="F5" s="5631"/>
      <c r="G5" s="5631"/>
      <c r="I5" s="4287" t="str">
        <f>I30</f>
        <v>Отвеждане на отпадъчните води</v>
      </c>
      <c r="J5" s="4288"/>
      <c r="K5" s="4288"/>
      <c r="L5" s="4288"/>
      <c r="M5" s="4288"/>
      <c r="N5" s="4288"/>
      <c r="O5" s="3703">
        <f>SUM(J5:N5)</f>
        <v>0</v>
      </c>
      <c r="S5" s="4290" t="s">
        <v>226</v>
      </c>
      <c r="T5" s="4291">
        <f>'12. Разходи'!C11</f>
        <v>2514.1377450844034</v>
      </c>
      <c r="U5" s="4291">
        <f>'12. Разходи'!D11</f>
        <v>2949.7268850005094</v>
      </c>
      <c r="V5" s="4291">
        <f>'12. Разходи'!E11</f>
        <v>2905.0024813039731</v>
      </c>
      <c r="W5" s="4291">
        <f>'12. Разходи'!F11</f>
        <v>2855.3751192850964</v>
      </c>
      <c r="X5" s="4291">
        <f>'12. Разходи'!G11</f>
        <v>2785.9380629032412</v>
      </c>
      <c r="Y5" s="4291">
        <f>'12. Разходи'!H11</f>
        <v>2691.0767562752148</v>
      </c>
      <c r="Z5" s="4292">
        <f>IFERROR((U5-T5)/T5,0)</f>
        <v>0.17325587699709849</v>
      </c>
      <c r="AA5" s="4292">
        <f>IFERROR((Y5-U5)/U5,0)</f>
        <v>-8.7686127837984518E-2</v>
      </c>
      <c r="AC5" s="3455" t="s">
        <v>494</v>
      </c>
      <c r="AD5" s="3459">
        <f>'14. ОПР'!B16</f>
        <v>0</v>
      </c>
      <c r="AE5" s="3459">
        <f>'14. ОПР'!C16</f>
        <v>0</v>
      </c>
      <c r="AF5" s="3459">
        <f>'14. ОПР'!D16</f>
        <v>0</v>
      </c>
      <c r="AG5" s="3459">
        <f>'14. ОПР'!E16</f>
        <v>0</v>
      </c>
      <c r="AH5" s="3459">
        <f>'14. ОПР'!F16</f>
        <v>0</v>
      </c>
      <c r="AI5" s="3459">
        <f>'14. ОПР'!G16</f>
        <v>0</v>
      </c>
      <c r="AK5" s="3460" t="s">
        <v>547</v>
      </c>
      <c r="AL5" s="3567">
        <f>'17. РБА'!C10</f>
        <v>12447.76622419534</v>
      </c>
      <c r="AM5" s="3567">
        <f>'17. РБА'!D10</f>
        <v>13113.099557528672</v>
      </c>
      <c r="AN5" s="3567">
        <f>'17. РБА'!E10</f>
        <v>13781.432890862006</v>
      </c>
      <c r="AO5" s="3567">
        <f>'17. РБА'!F10</f>
        <v>14487.099557528672</v>
      </c>
      <c r="AP5" s="3567">
        <f>'17. РБА'!G10</f>
        <v>15201.766224195337</v>
      </c>
      <c r="AR5" s="3568" t="s">
        <v>294</v>
      </c>
      <c r="AS5" s="3305">
        <f>'16. Необходими приходи'!D9</f>
        <v>822.50462657273886</v>
      </c>
      <c r="AT5" s="3305">
        <f>'16. Необходими приходи'!E9</f>
        <v>847.29701930722865</v>
      </c>
      <c r="AU5" s="3305">
        <f>'16. Необходими приходи'!F9</f>
        <v>878.56700871573537</v>
      </c>
      <c r="AV5" s="3305">
        <f>'16. Необходими приходи'!G9</f>
        <v>915.25941612160079</v>
      </c>
      <c r="AW5" s="3305">
        <f>'16. Необходими приходи'!H9</f>
        <v>950.46216204664552</v>
      </c>
    </row>
    <row r="6" spans="1:49" ht="15.75" customHeight="1">
      <c r="A6" s="4293" t="s">
        <v>334</v>
      </c>
      <c r="B6" s="3703">
        <f>'11. Амортиз. план'!E10</f>
        <v>6975.7070999604475</v>
      </c>
      <c r="C6" s="3703">
        <f>'11. Амортиз. план'!G10</f>
        <v>7021.0404332937806</v>
      </c>
      <c r="D6" s="3703">
        <f>'11. Амортиз. план'!H10</f>
        <v>7030.0404332937806</v>
      </c>
      <c r="E6" s="3703">
        <f>'11. Амортиз. план'!I10</f>
        <v>7045.3737666271127</v>
      </c>
      <c r="F6" s="3703">
        <f>'11. Амортиз. план'!J10</f>
        <v>7058.7070999604448</v>
      </c>
      <c r="G6" s="3703">
        <f>'11. Амортиз. план'!K10</f>
        <v>7067.7070999604484</v>
      </c>
      <c r="I6" s="4287" t="str">
        <f>I33</f>
        <v>Пречистване на отпадъчните води</v>
      </c>
      <c r="J6" s="4288"/>
      <c r="K6" s="4288"/>
      <c r="L6" s="4288"/>
      <c r="M6" s="4288"/>
      <c r="N6" s="4288"/>
      <c r="O6" s="3703">
        <f>SUM(J6:N6)</f>
        <v>0</v>
      </c>
      <c r="S6" s="4294" t="s">
        <v>239</v>
      </c>
      <c r="T6" s="3579">
        <f>'12. Разходи'!C29</f>
        <v>773.75609888426754</v>
      </c>
      <c r="U6" s="3579">
        <f>'12. Разходи'!D29</f>
        <v>866.67024897420299</v>
      </c>
      <c r="V6" s="3579">
        <f>'12. Разходи'!E29</f>
        <v>868.14851677056879</v>
      </c>
      <c r="W6" s="3579">
        <f>'12. Разходи'!F29</f>
        <v>861.83188950694682</v>
      </c>
      <c r="X6" s="3579">
        <f>'12. Разходи'!G29</f>
        <v>865.0654766489738</v>
      </c>
      <c r="Y6" s="3579">
        <f>'12. Разходи'!H29</f>
        <v>858.19871765239009</v>
      </c>
      <c r="Z6" s="4292">
        <f t="shared" ref="Z6:Z21" si="0">IFERROR((U6-T6)/T6,0)</f>
        <v>0.12008196151722073</v>
      </c>
      <c r="AA6" s="4292">
        <f t="shared" ref="AA6:AA15" si="1">IFERROR((Y6-U6)/U6,0)</f>
        <v>-9.7748034293779762E-3</v>
      </c>
      <c r="AC6" s="3569" t="s">
        <v>489</v>
      </c>
      <c r="AD6" s="3570">
        <f t="shared" ref="AD6:AI6" si="2">AD4+AD5</f>
        <v>18577.712489999998</v>
      </c>
      <c r="AE6" s="3570">
        <f t="shared" si="2"/>
        <v>23043.773135523767</v>
      </c>
      <c r="AF6" s="3570">
        <f t="shared" si="2"/>
        <v>24380.954242923497</v>
      </c>
      <c r="AG6" s="3570">
        <f t="shared" si="2"/>
        <v>26190.115648644285</v>
      </c>
      <c r="AH6" s="3570">
        <f t="shared" si="2"/>
        <v>28290.904796248564</v>
      </c>
      <c r="AI6" s="3570">
        <f t="shared" si="2"/>
        <v>30515.711510139809</v>
      </c>
      <c r="AK6" s="3460" t="s">
        <v>548</v>
      </c>
      <c r="AL6" s="3571">
        <f>'17. РБА'!C13</f>
        <v>5349.338563522294</v>
      </c>
      <c r="AM6" s="3571">
        <f>'17. РБА'!D13</f>
        <v>5744.3790189655392</v>
      </c>
      <c r="AN6" s="3571">
        <f>'17. РБА'!E13</f>
        <v>6173.7216063602882</v>
      </c>
      <c r="AO6" s="3571">
        <f>'17. РБА'!F13</f>
        <v>6639.4802257651918</v>
      </c>
      <c r="AP6" s="3571">
        <f>'17. РБА'!G13</f>
        <v>7144.4119457020915</v>
      </c>
      <c r="AR6" s="3568" t="s">
        <v>296</v>
      </c>
      <c r="AS6" s="3305">
        <f>'16. Необходими приходи'!D10</f>
        <v>13156.606403515611</v>
      </c>
      <c r="AT6" s="3305">
        <f>'16. Необходими приходи'!E10</f>
        <v>14216.279881309692</v>
      </c>
      <c r="AU6" s="3305">
        <f>'16. Необходими приходи'!F10</f>
        <v>15356.712012403028</v>
      </c>
      <c r="AV6" s="3305">
        <f>'16. Необходими приходи'!G10</f>
        <v>16663.644871407112</v>
      </c>
      <c r="AW6" s="3305">
        <f>'16. Необходими приходи'!H10</f>
        <v>18090.444511418325</v>
      </c>
    </row>
    <row r="7" spans="1:49" ht="15.75" customHeight="1">
      <c r="A7" s="4295" t="s">
        <v>218</v>
      </c>
      <c r="B7" s="4296">
        <f>'11. Амортиз. план'!E35</f>
        <v>94.807717711711689</v>
      </c>
      <c r="C7" s="4296">
        <f>'11. Амортиз. план'!G35</f>
        <v>152.54794037861484</v>
      </c>
      <c r="D7" s="4296">
        <f>'11. Амортиз. план'!H35</f>
        <v>156.32859616207406</v>
      </c>
      <c r="E7" s="4296">
        <f>'11. Амортиз. план'!I35</f>
        <v>161.35061836025824</v>
      </c>
      <c r="F7" s="4296">
        <f>'11. Амортиз. план'!J35</f>
        <v>167.60469068723475</v>
      </c>
      <c r="G7" s="4296">
        <f>'11. Амортиз. план'!K35</f>
        <v>172.05254154020071</v>
      </c>
      <c r="I7" s="4297" t="s">
        <v>1028</v>
      </c>
      <c r="J7" s="4298">
        <f t="shared" ref="J7:O7" si="3">SUM(J4:J6)</f>
        <v>0</v>
      </c>
      <c r="K7" s="4298">
        <f t="shared" si="3"/>
        <v>0</v>
      </c>
      <c r="L7" s="4298">
        <f t="shared" si="3"/>
        <v>0</v>
      </c>
      <c r="M7" s="4298">
        <f t="shared" si="3"/>
        <v>0</v>
      </c>
      <c r="N7" s="4298">
        <f t="shared" si="3"/>
        <v>0</v>
      </c>
      <c r="O7" s="4298">
        <f t="shared" si="3"/>
        <v>0</v>
      </c>
      <c r="S7" s="4294" t="s">
        <v>446</v>
      </c>
      <c r="T7" s="3579">
        <f>'12. Разходи'!C55</f>
        <v>906.89258219512067</v>
      </c>
      <c r="U7" s="3579">
        <f>'12. Разходи'!D55</f>
        <v>914.18035172134239</v>
      </c>
      <c r="V7" s="3579">
        <f>'12. Разходи'!E55</f>
        <v>922.96100750480173</v>
      </c>
      <c r="W7" s="3579">
        <f>'12. Разходи'!F55</f>
        <v>878.50908605863424</v>
      </c>
      <c r="X7" s="3579">
        <f>'12. Разходи'!G55</f>
        <v>868.93802402056804</v>
      </c>
      <c r="Y7" s="3579">
        <f>'12. Разходи'!H55</f>
        <v>861.38587487353402</v>
      </c>
      <c r="Z7" s="4292">
        <f t="shared" si="0"/>
        <v>8.0359787579051319E-3</v>
      </c>
      <c r="AA7" s="4292">
        <f t="shared" si="1"/>
        <v>-5.7750614250677984E-2</v>
      </c>
      <c r="AC7" s="3565" t="s">
        <v>1685</v>
      </c>
      <c r="AD7" s="3566">
        <f>'14. ОПР'!B22</f>
        <v>17828.818521606798</v>
      </c>
      <c r="AE7" s="3566">
        <f>'14. ОПР'!C22</f>
        <v>22693.173390549691</v>
      </c>
      <c r="AF7" s="3566">
        <f>'14. ОПР'!D22</f>
        <v>23986.045559179558</v>
      </c>
      <c r="AG7" s="3566">
        <f>'14. ОПР'!E22</f>
        <v>25743.996110766126</v>
      </c>
      <c r="AH7" s="3566">
        <f>'14. ОПР'!F22</f>
        <v>27786.118916212621</v>
      </c>
      <c r="AI7" s="3566">
        <f>'14. ОПР'!G22</f>
        <v>29954.669730539095</v>
      </c>
      <c r="AK7" s="3460" t="s">
        <v>549</v>
      </c>
      <c r="AL7" s="3567">
        <f>'17. РБА'!C16</f>
        <v>251.61206673513362</v>
      </c>
      <c r="AM7" s="3567">
        <f>'17. РБА'!D16</f>
        <v>107.83402226177776</v>
      </c>
      <c r="AN7" s="3567">
        <f>'17. РБА'!E16</f>
        <v>17.972500012549915</v>
      </c>
      <c r="AO7" s="3567">
        <f>'17. РБА'!F16</f>
        <v>0</v>
      </c>
      <c r="AP7" s="3567">
        <f>'17. РБА'!G16</f>
        <v>0</v>
      </c>
      <c r="AR7" s="3568" t="s">
        <v>1785</v>
      </c>
      <c r="AS7" s="3305">
        <f>'12. Разходи'!D17</f>
        <v>2129.4196828499189</v>
      </c>
      <c r="AT7" s="3305">
        <f>'12. Разходи'!E17</f>
        <v>2096.24498970694</v>
      </c>
      <c r="AU7" s="3305">
        <f>'12. Разходи'!F17</f>
        <v>2052.2195582674922</v>
      </c>
      <c r="AV7" s="3305">
        <f>'12. Разходи'!G17</f>
        <v>1987.8836364910649</v>
      </c>
      <c r="AW7" s="3305">
        <f>'12. Разходи'!H17</f>
        <v>1901.2896591193185</v>
      </c>
    </row>
    <row r="8" spans="1:49" ht="15.75" customHeight="1">
      <c r="A8" s="4299" t="s">
        <v>220</v>
      </c>
      <c r="B8" s="3579">
        <f>'11. Амортиз. план'!E60</f>
        <v>4471.9860242105942</v>
      </c>
      <c r="C8" s="3579">
        <f>'11. Амортиз. план'!G60</f>
        <v>4769.8461729040391</v>
      </c>
      <c r="D8" s="3579">
        <f>'11. Амортиз. план'!H60</f>
        <v>4926.1747690661114</v>
      </c>
      <c r="E8" s="3579">
        <f>'11. Амортиз. план'!I60</f>
        <v>5087.5253874263717</v>
      </c>
      <c r="F8" s="3579">
        <f>'11. Амортиз. план'!J60</f>
        <v>5255.1300781136051</v>
      </c>
      <c r="G8" s="3579">
        <f>'11. Амортиз. план'!K60</f>
        <v>5427.1826196538068</v>
      </c>
      <c r="I8" s="1331" t="s">
        <v>1732</v>
      </c>
      <c r="J8" s="1331"/>
      <c r="K8" s="1331"/>
      <c r="L8" s="1331"/>
      <c r="M8" s="1331"/>
      <c r="N8" s="1331"/>
      <c r="O8" s="3446" t="s">
        <v>1634</v>
      </c>
      <c r="S8" s="4300" t="s">
        <v>447</v>
      </c>
      <c r="T8" s="4296">
        <f>'12. Разходи'!C56</f>
        <v>67.592755528453949</v>
      </c>
      <c r="U8" s="4296">
        <f>'12. Разходи'!D56</f>
        <v>152.54794037861484</v>
      </c>
      <c r="V8" s="4296">
        <f>'12. Разходи'!E56</f>
        <v>156.32859616207406</v>
      </c>
      <c r="W8" s="4296">
        <f>'12. Разходи'!F56</f>
        <v>161.35061836025824</v>
      </c>
      <c r="X8" s="4296">
        <f>'12. Разходи'!G56</f>
        <v>167.60469068723475</v>
      </c>
      <c r="Y8" s="4296">
        <f>'12. Разходи'!H56</f>
        <v>172.05254154020071</v>
      </c>
      <c r="Z8" s="4292">
        <f t="shared" si="0"/>
        <v>1.2568681981665628</v>
      </c>
      <c r="AA8" s="4292">
        <f t="shared" si="1"/>
        <v>0.1278588299073499</v>
      </c>
      <c r="AC8" s="3456" t="s">
        <v>508</v>
      </c>
      <c r="AD8" s="3459">
        <f>'14. ОПР'!B34</f>
        <v>21.703154973160999</v>
      </c>
      <c r="AE8" s="3459">
        <f>'14. ОПР'!C34</f>
        <v>10.255336130618831</v>
      </c>
      <c r="AF8" s="3459">
        <f>'14. ОПР'!D34</f>
        <v>4.531474990096795</v>
      </c>
      <c r="AG8" s="3459">
        <f>'14. ОПР'!E34</f>
        <v>0.23852252102736687</v>
      </c>
      <c r="AH8" s="3459">
        <f>'14. ОПР'!F34</f>
        <v>0</v>
      </c>
      <c r="AI8" s="3459">
        <f>'14. ОПР'!G34</f>
        <v>0</v>
      </c>
      <c r="AK8" s="3460" t="s">
        <v>329</v>
      </c>
      <c r="AL8" s="3567">
        <f>'17. РБА'!C19</f>
        <v>665.33333333333337</v>
      </c>
      <c r="AM8" s="3567">
        <f>'17. РБА'!D19</f>
        <v>668.33333333333337</v>
      </c>
      <c r="AN8" s="3567">
        <f>'17. РБА'!E19</f>
        <v>705.66666666666663</v>
      </c>
      <c r="AO8" s="3567">
        <f>'17. РБА'!F19</f>
        <v>714.66666666666663</v>
      </c>
      <c r="AP8" s="3567">
        <f>'17. РБА'!G19</f>
        <v>698.33333333333337</v>
      </c>
      <c r="AR8" s="3541" t="s">
        <v>297</v>
      </c>
      <c r="AS8" s="3542">
        <f>AS5+AS6</f>
        <v>13979.11103008835</v>
      </c>
      <c r="AT8" s="3542">
        <f>AT5+AT6</f>
        <v>15063.576900616921</v>
      </c>
      <c r="AU8" s="3542">
        <f>AU5+AU6</f>
        <v>16235.279021118764</v>
      </c>
      <c r="AV8" s="3542">
        <f>AV5+AV6</f>
        <v>17578.904287528712</v>
      </c>
      <c r="AW8" s="3542">
        <f>AW5+AW6</f>
        <v>19040.906673464971</v>
      </c>
    </row>
    <row r="9" spans="1:49" ht="15.75" customHeight="1">
      <c r="A9" s="4299" t="s">
        <v>222</v>
      </c>
      <c r="B9" s="3579">
        <f>'11. Амортиз. план'!E85</f>
        <v>2503.7210757498506</v>
      </c>
      <c r="C9" s="3579">
        <f>'11. Амортиз. план'!G85</f>
        <v>2251.1942603897423</v>
      </c>
      <c r="D9" s="3579">
        <f>'11. Амортиз. план'!H85</f>
        <v>2103.8656642276678</v>
      </c>
      <c r="E9" s="3579">
        <f>'11. Амортиз. план'!I85</f>
        <v>1957.8483792007428</v>
      </c>
      <c r="F9" s="3579">
        <f>'11. Амортиз. план'!J85</f>
        <v>1803.5770218468417</v>
      </c>
      <c r="G9" s="3579">
        <f>'11. Амортиз. план'!K85</f>
        <v>1640.524480306641</v>
      </c>
      <c r="I9" s="4282" t="s">
        <v>1494</v>
      </c>
      <c r="J9" s="4283" t="str">
        <f>+'15. ОПП'!$C$7</f>
        <v>2027 г.</v>
      </c>
      <c r="K9" s="4283" t="str">
        <f>+'15. ОПП'!$D$7</f>
        <v>2028 г.</v>
      </c>
      <c r="L9" s="4283" t="str">
        <f>+'15. ОПП'!$E$7</f>
        <v>2029 г.</v>
      </c>
      <c r="M9" s="4283" t="str">
        <f>+'15. ОПП'!$F$7</f>
        <v>2030 г.</v>
      </c>
      <c r="N9" s="4283" t="str">
        <f>+'15. ОПП'!$G$7</f>
        <v>2031 г.</v>
      </c>
      <c r="O9" s="4284" t="s">
        <v>1593</v>
      </c>
      <c r="S9" s="4300" t="s">
        <v>736</v>
      </c>
      <c r="T9" s="4296">
        <f>'12. Разходи'!C57</f>
        <v>109.55983130204145</v>
      </c>
      <c r="U9" s="4296">
        <f>'12. Разходи'!D57</f>
        <v>242.49251506462986</v>
      </c>
      <c r="V9" s="4296">
        <f>'12. Разходи'!E57</f>
        <v>273.01399123267618</v>
      </c>
      <c r="W9" s="4296">
        <f>'12. Разходи'!F57</f>
        <v>304.40800104464404</v>
      </c>
      <c r="X9" s="4296">
        <f>'12. Разходи'!G57</f>
        <v>337.32702924966594</v>
      </c>
      <c r="Y9" s="4296">
        <f>'12. Разходи'!H57</f>
        <v>369.9912308247853</v>
      </c>
      <c r="Z9" s="4292">
        <f t="shared" si="0"/>
        <v>1.2133341406496985</v>
      </c>
      <c r="AA9" s="4292">
        <f t="shared" si="1"/>
        <v>0.52578412874382574</v>
      </c>
      <c r="AC9" s="3569" t="s">
        <v>499</v>
      </c>
      <c r="AD9" s="3570">
        <f t="shared" ref="AD9:AI9" si="4">AD7+AD8</f>
        <v>17850.52167657996</v>
      </c>
      <c r="AE9" s="3570">
        <f t="shared" si="4"/>
        <v>22703.428726680311</v>
      </c>
      <c r="AF9" s="3570">
        <f t="shared" si="4"/>
        <v>23990.577034169655</v>
      </c>
      <c r="AG9" s="3570">
        <f t="shared" si="4"/>
        <v>25744.234633287153</v>
      </c>
      <c r="AH9" s="3570">
        <f t="shared" si="4"/>
        <v>27786.118916212621</v>
      </c>
      <c r="AI9" s="3570">
        <f t="shared" si="4"/>
        <v>29954.669730539095</v>
      </c>
      <c r="AK9" s="3460" t="s">
        <v>306</v>
      </c>
      <c r="AL9" s="3567">
        <f>'17. РБА'!C20</f>
        <v>2012.4535975552221</v>
      </c>
      <c r="AM9" s="3567">
        <f>'17. РБА'!D20</f>
        <v>2185.2031025432698</v>
      </c>
      <c r="AN9" s="3567">
        <f>'17. РБА'!E20</f>
        <v>2379.9785632346952</v>
      </c>
      <c r="AO9" s="3567">
        <f>'17. РБА'!F20</f>
        <v>2596.3901666936786</v>
      </c>
      <c r="AP9" s="3567">
        <f>'17. РБА'!G20</f>
        <v>2832.1740224457194</v>
      </c>
      <c r="AR9" s="5642" t="s">
        <v>1691</v>
      </c>
      <c r="AS9" s="5644" t="s">
        <v>174</v>
      </c>
      <c r="AT9" s="5645"/>
      <c r="AU9" s="5645"/>
      <c r="AV9" s="5645"/>
      <c r="AW9" s="5646"/>
    </row>
    <row r="10" spans="1:49" ht="15.75" customHeight="1">
      <c r="A10" s="5631" t="s">
        <v>1657</v>
      </c>
      <c r="B10" s="5631"/>
      <c r="C10" s="5631"/>
      <c r="D10" s="5631"/>
      <c r="E10" s="5631"/>
      <c r="F10" s="5631"/>
      <c r="G10" s="5631"/>
      <c r="I10" s="4287" t="s">
        <v>207</v>
      </c>
      <c r="J10" s="4288">
        <f>J28</f>
        <v>654.33333333333337</v>
      </c>
      <c r="K10" s="4288">
        <f t="shared" ref="K10:N10" si="5">K28</f>
        <v>659.33333333333337</v>
      </c>
      <c r="L10" s="4288">
        <f t="shared" si="5"/>
        <v>690.33333333333326</v>
      </c>
      <c r="M10" s="4288">
        <f t="shared" si="5"/>
        <v>701.33333333333326</v>
      </c>
      <c r="N10" s="4288">
        <f t="shared" si="5"/>
        <v>689.33333333333337</v>
      </c>
      <c r="O10" s="3703">
        <f>SUM(J10:N10)</f>
        <v>3394.6666666666665</v>
      </c>
      <c r="S10" s="4300" t="s">
        <v>737</v>
      </c>
      <c r="T10" s="4296">
        <f>'12. Разходи'!C58</f>
        <v>729.73999536462532</v>
      </c>
      <c r="U10" s="4296">
        <f>'12. Разходи'!D58</f>
        <v>519.13989627809769</v>
      </c>
      <c r="V10" s="4296">
        <f>'12. Разходи'!E58</f>
        <v>493.61842011005143</v>
      </c>
      <c r="W10" s="4296">
        <f>'12. Разходи'!F58</f>
        <v>412.75046665373196</v>
      </c>
      <c r="X10" s="4296">
        <f>'12. Разходи'!G58</f>
        <v>364.00630408366732</v>
      </c>
      <c r="Y10" s="4296">
        <f>'12. Разходи'!H58</f>
        <v>319.34210250854807</v>
      </c>
      <c r="Z10" s="4292">
        <f t="shared" si="0"/>
        <v>-0.28859607589590619</v>
      </c>
      <c r="AA10" s="4292">
        <f t="shared" si="1"/>
        <v>-0.38486310761698822</v>
      </c>
      <c r="AC10" s="3455" t="s">
        <v>513</v>
      </c>
      <c r="AD10" s="3566">
        <f t="shared" ref="AD10:AI10" si="6">AD4-AD7</f>
        <v>748.89396839320034</v>
      </c>
      <c r="AE10" s="3566">
        <f t="shared" si="6"/>
        <v>350.59974497407529</v>
      </c>
      <c r="AF10" s="3566">
        <f t="shared" si="6"/>
        <v>394.90868374393904</v>
      </c>
      <c r="AG10" s="3566">
        <f t="shared" si="6"/>
        <v>446.11953787815946</v>
      </c>
      <c r="AH10" s="3566">
        <f t="shared" si="6"/>
        <v>504.78588003594268</v>
      </c>
      <c r="AI10" s="3566">
        <f t="shared" si="6"/>
        <v>561.0417796007132</v>
      </c>
      <c r="AK10" s="3461" t="s">
        <v>305</v>
      </c>
      <c r="AL10" s="3462">
        <f t="shared" ref="AL10:AP10" si="7">AL5-AL6+AL7+AL8+AL9</f>
        <v>10027.826658296735</v>
      </c>
      <c r="AM10" s="3462">
        <f t="shared" si="7"/>
        <v>10330.090996701514</v>
      </c>
      <c r="AN10" s="3462">
        <f t="shared" si="7"/>
        <v>10711.329014415631</v>
      </c>
      <c r="AO10" s="3462">
        <f t="shared" si="7"/>
        <v>11158.676165123825</v>
      </c>
      <c r="AP10" s="3462">
        <f t="shared" si="7"/>
        <v>11587.861634272298</v>
      </c>
      <c r="AR10" s="5643"/>
      <c r="AS10" s="4289" t="s">
        <v>1775</v>
      </c>
      <c r="AT10" s="4289" t="s">
        <v>1776</v>
      </c>
      <c r="AU10" s="4289" t="s">
        <v>1777</v>
      </c>
      <c r="AV10" s="4289" t="s">
        <v>1778</v>
      </c>
      <c r="AW10" s="4289" t="s">
        <v>1779</v>
      </c>
    </row>
    <row r="11" spans="1:49" ht="15.75" customHeight="1">
      <c r="A11" s="4293" t="s">
        <v>334</v>
      </c>
      <c r="B11" s="3703">
        <f>'11. Амортиз. план'!E111</f>
        <v>4618.1424575682258</v>
      </c>
      <c r="C11" s="3703">
        <f>'11. Амортиз. план'!G111</f>
        <v>6092.0591242348919</v>
      </c>
      <c r="D11" s="3703">
        <f>'11. Амортиз. план'!H111</f>
        <v>6751.3924575682258</v>
      </c>
      <c r="E11" s="3703">
        <f>'11. Амортиз. план'!I111</f>
        <v>7441.7257909015598</v>
      </c>
      <c r="F11" s="3703">
        <f>'11. Амортиз. план'!J111</f>
        <v>8143.0591242348928</v>
      </c>
      <c r="G11" s="3703">
        <f>'11. Амортиз. план'!K111</f>
        <v>8832.3924575682267</v>
      </c>
      <c r="I11" s="4287" t="s">
        <v>208</v>
      </c>
      <c r="J11" s="4288">
        <f>J31</f>
        <v>48.333333333333329</v>
      </c>
      <c r="K11" s="4288">
        <f t="shared" ref="K11:N11" si="8">K31</f>
        <v>48.333333333333329</v>
      </c>
      <c r="L11" s="4288">
        <f t="shared" si="8"/>
        <v>48.333333333333329</v>
      </c>
      <c r="M11" s="4288">
        <f t="shared" si="8"/>
        <v>48.333333333333329</v>
      </c>
      <c r="N11" s="4288">
        <f t="shared" si="8"/>
        <v>48.333333333333329</v>
      </c>
      <c r="O11" s="3703">
        <f>SUM(J11:N11)</f>
        <v>241.66666666666663</v>
      </c>
      <c r="S11" s="4294" t="s">
        <v>448</v>
      </c>
      <c r="T11" s="3579">
        <f>'12. Разходи'!C59</f>
        <v>4447.1427175985673</v>
      </c>
      <c r="U11" s="3579">
        <f>'12. Разходи'!D59</f>
        <v>6370.0914846573869</v>
      </c>
      <c r="V11" s="3579">
        <f>'12. Разходи'!E59</f>
        <v>7205.8487994249681</v>
      </c>
      <c r="W11" s="3579">
        <f>'12. Разходи'!F59</f>
        <v>8189.6774093476279</v>
      </c>
      <c r="X11" s="3579">
        <f>'12. Разходи'!G59</f>
        <v>9314.0075625125082</v>
      </c>
      <c r="Y11" s="3579">
        <f>'12. Разходи'!H59</f>
        <v>10593.759394561384</v>
      </c>
      <c r="Z11" s="4292">
        <f t="shared" si="0"/>
        <v>0.43240095701205683</v>
      </c>
      <c r="AA11" s="4292">
        <f t="shared" si="1"/>
        <v>0.66304666425542957</v>
      </c>
      <c r="AC11" s="3455" t="s">
        <v>514</v>
      </c>
      <c r="AD11" s="3566">
        <f t="shared" ref="AD11:AI11" si="9">AD6-AD9</f>
        <v>727.19081342003847</v>
      </c>
      <c r="AE11" s="3566">
        <f t="shared" si="9"/>
        <v>340.34440884345531</v>
      </c>
      <c r="AF11" s="3566">
        <f t="shared" si="9"/>
        <v>390.37720875384184</v>
      </c>
      <c r="AG11" s="3566">
        <f t="shared" si="9"/>
        <v>445.88101535713213</v>
      </c>
      <c r="AH11" s="3566">
        <f t="shared" si="9"/>
        <v>504.78588003594268</v>
      </c>
      <c r="AI11" s="3566">
        <f t="shared" si="9"/>
        <v>561.0417796007132</v>
      </c>
      <c r="AK11" s="5650" t="s">
        <v>1690</v>
      </c>
      <c r="AL11" s="5651" t="str">
        <f>T24</f>
        <v>Отвеждане на отпадъчните води</v>
      </c>
      <c r="AM11" s="5652"/>
      <c r="AN11" s="5652"/>
      <c r="AO11" s="5652"/>
      <c r="AP11" s="5652"/>
      <c r="AR11" s="3568" t="s">
        <v>294</v>
      </c>
      <c r="AS11" s="3305">
        <f>'16. Необходими приходи'!D15</f>
        <v>49.728173437725701</v>
      </c>
      <c r="AT11" s="3305">
        <f>'16. Необходими приходи'!E15</f>
        <v>53.417867180109241</v>
      </c>
      <c r="AU11" s="3305">
        <f>'16. Необходими приходи'!F15</f>
        <v>57.701856138119368</v>
      </c>
      <c r="AV11" s="3305">
        <f>'16. Необходими приходи'!G15</f>
        <v>61.997230947835945</v>
      </c>
      <c r="AW11" s="3305">
        <f>'16. Необходими приходи'!H15</f>
        <v>65.958329378679238</v>
      </c>
    </row>
    <row r="12" spans="1:49" ht="15.75" customHeight="1">
      <c r="A12" s="4295" t="s">
        <v>218</v>
      </c>
      <c r="B12" s="4296">
        <f>'11. Амортиз. план'!E131</f>
        <v>147.5935315407767</v>
      </c>
      <c r="C12" s="4296">
        <f>'11. Амортиз. план'!G131</f>
        <v>242.49251506462986</v>
      </c>
      <c r="D12" s="4296">
        <f>'11. Амортиз. план'!H131</f>
        <v>273.01399123267618</v>
      </c>
      <c r="E12" s="4296">
        <f>'11. Амортиз. план'!I131</f>
        <v>304.40800104464404</v>
      </c>
      <c r="F12" s="4296">
        <f>'11. Амортиз. план'!J131</f>
        <v>337.32702924966594</v>
      </c>
      <c r="G12" s="4296">
        <f>'11. Амортиз. план'!K131</f>
        <v>369.9912308247853</v>
      </c>
      <c r="I12" s="4287" t="s">
        <v>209</v>
      </c>
      <c r="J12" s="4288">
        <f>J34</f>
        <v>73.333333333333329</v>
      </c>
      <c r="K12" s="4288">
        <f t="shared" ref="K12:N12" si="10">K34</f>
        <v>73.333333333333329</v>
      </c>
      <c r="L12" s="4288">
        <f t="shared" si="10"/>
        <v>73.333333333333329</v>
      </c>
      <c r="M12" s="4288">
        <f t="shared" si="10"/>
        <v>73.333333333333329</v>
      </c>
      <c r="N12" s="4288">
        <f t="shared" si="10"/>
        <v>73.333333333333329</v>
      </c>
      <c r="O12" s="3703">
        <f>SUM(J12:N12)</f>
        <v>366.66666666666663</v>
      </c>
      <c r="S12" s="4294" t="s">
        <v>449</v>
      </c>
      <c r="T12" s="3579">
        <f>'12. Разходи'!C63</f>
        <v>1172.6227583451002</v>
      </c>
      <c r="U12" s="3579">
        <f>'12. Разходи'!D63</f>
        <v>1747.1260011153388</v>
      </c>
      <c r="V12" s="3579">
        <f>'12. Разходи'!E63</f>
        <v>2007.7126112109611</v>
      </c>
      <c r="W12" s="3579">
        <f>'12. Разходи'!F63</f>
        <v>2267.5098480076772</v>
      </c>
      <c r="X12" s="3579">
        <f>'12. Разходи'!G63</f>
        <v>2529.7053309094272</v>
      </c>
      <c r="Y12" s="3579">
        <f>'12. Разходи'!H63</f>
        <v>2791.5517078914395</v>
      </c>
      <c r="Z12" s="4292">
        <f t="shared" si="0"/>
        <v>0.48993014904556675</v>
      </c>
      <c r="AA12" s="4292">
        <f t="shared" si="1"/>
        <v>0.59779644176170188</v>
      </c>
      <c r="AC12" s="3457"/>
      <c r="AD12" s="3458"/>
      <c r="AE12" s="3573"/>
      <c r="AF12" s="3573"/>
      <c r="AG12" s="3573"/>
      <c r="AH12" s="3573"/>
      <c r="AI12" s="3573"/>
      <c r="AK12" s="5650"/>
      <c r="AL12" s="4289" t="s">
        <v>1775</v>
      </c>
      <c r="AM12" s="4289" t="s">
        <v>1776</v>
      </c>
      <c r="AN12" s="4289" t="s">
        <v>1777</v>
      </c>
      <c r="AO12" s="4289" t="s">
        <v>1778</v>
      </c>
      <c r="AP12" s="4289" t="s">
        <v>1779</v>
      </c>
      <c r="AR12" s="3568" t="s">
        <v>296</v>
      </c>
      <c r="AS12" s="3305">
        <f>'16. Необходими приходи'!D16</f>
        <v>526.97021263788019</v>
      </c>
      <c r="AT12" s="3305">
        <f>'16. Необходими приходи'!E16</f>
        <v>580.90103584563087</v>
      </c>
      <c r="AU12" s="3305">
        <f>'16. Необходими приходи'!F16</f>
        <v>639.38016930271624</v>
      </c>
      <c r="AV12" s="3305">
        <f>'16. Необходими приходи'!G16</f>
        <v>708.47551570131156</v>
      </c>
      <c r="AW12" s="3305">
        <f>'16. Необходими приходи'!H16</f>
        <v>781.80155724618749</v>
      </c>
    </row>
    <row r="13" spans="1:49" ht="15.75" customHeight="1">
      <c r="A13" s="4299" t="s">
        <v>220</v>
      </c>
      <c r="B13" s="3579">
        <f>'11. Амортиз. план'!E151</f>
        <v>534.24992128086546</v>
      </c>
      <c r="C13" s="3579">
        <f>'11. Амортиз. план'!G151</f>
        <v>974.53284606150032</v>
      </c>
      <c r="D13" s="3579">
        <f>'11. Амортиз. план'!H151</f>
        <v>1247.5468372941764</v>
      </c>
      <c r="E13" s="3579">
        <f>'11. Амортиз. план'!I151</f>
        <v>1551.9548383388205</v>
      </c>
      <c r="F13" s="3579">
        <f>'11. Амортиз. план'!J151</f>
        <v>1889.2818675884866</v>
      </c>
      <c r="G13" s="3579">
        <f>'11. Амортиз. план'!K151</f>
        <v>2259.2730984132722</v>
      </c>
      <c r="I13" s="4287" t="s">
        <v>1029</v>
      </c>
      <c r="J13" s="4288">
        <f>J37</f>
        <v>0</v>
      </c>
      <c r="K13" s="4288">
        <f t="shared" ref="K13:N13" si="11">K37</f>
        <v>0</v>
      </c>
      <c r="L13" s="4288">
        <f t="shared" si="11"/>
        <v>0</v>
      </c>
      <c r="M13" s="4288">
        <f t="shared" si="11"/>
        <v>0</v>
      </c>
      <c r="N13" s="4288">
        <f t="shared" si="11"/>
        <v>0</v>
      </c>
      <c r="O13" s="3703">
        <f t="shared" ref="O13:O14" si="12">SUM(J13:N13)</f>
        <v>0</v>
      </c>
      <c r="S13" s="4294" t="s">
        <v>450</v>
      </c>
      <c r="T13" s="3579">
        <f>'12. Разходи'!C70</f>
        <v>241.62791660667429</v>
      </c>
      <c r="U13" s="3579">
        <f>'12. Разходи'!D70</f>
        <v>248.68983028684625</v>
      </c>
      <c r="V13" s="3579">
        <f>'12. Разходи'!E70</f>
        <v>246.48486333443509</v>
      </c>
      <c r="W13" s="3579">
        <f>'12. Разходи'!F70</f>
        <v>243.68705843706161</v>
      </c>
      <c r="X13" s="3579">
        <f>'12. Разходи'!G70</f>
        <v>239.86881265240908</v>
      </c>
      <c r="Y13" s="3579">
        <f>'12. Разходи'!H70</f>
        <v>234.35045840438184</v>
      </c>
      <c r="Z13" s="4292">
        <f t="shared" si="0"/>
        <v>2.9226398089039721E-2</v>
      </c>
      <c r="AA13" s="4292">
        <f t="shared" si="1"/>
        <v>-5.7659663308004781E-2</v>
      </c>
      <c r="AC13" s="3564" t="s">
        <v>1686</v>
      </c>
      <c r="AD13" s="4285" t="s">
        <v>1065</v>
      </c>
      <c r="AE13" s="4286" t="s">
        <v>1775</v>
      </c>
      <c r="AF13" s="4286" t="s">
        <v>1776</v>
      </c>
      <c r="AG13" s="4286" t="s">
        <v>1777</v>
      </c>
      <c r="AH13" s="4286" t="s">
        <v>1778</v>
      </c>
      <c r="AI13" s="4286" t="s">
        <v>1779</v>
      </c>
      <c r="AK13" s="3460" t="s">
        <v>547</v>
      </c>
      <c r="AL13" s="3567">
        <f>'17. РБА'!C24</f>
        <v>1390.4609992991768</v>
      </c>
      <c r="AM13" s="3567">
        <f>'17. РБА'!D24</f>
        <v>1450.7943326325101</v>
      </c>
      <c r="AN13" s="3567">
        <f>'17. РБА'!E24</f>
        <v>1509.1276659658429</v>
      </c>
      <c r="AO13" s="3567">
        <f>'17. РБА'!F24</f>
        <v>1573.7943326325103</v>
      </c>
      <c r="AP13" s="3567">
        <f>'17. РБА'!G24</f>
        <v>1636.4609992991766</v>
      </c>
      <c r="AR13" s="3568" t="s">
        <v>1785</v>
      </c>
      <c r="AS13" s="3305">
        <f>'12. Разходи'!L17</f>
        <v>0.1608089622382991</v>
      </c>
      <c r="AT13" s="3305">
        <f>'12. Разходи'!M17</f>
        <v>0.1608089622382991</v>
      </c>
      <c r="AU13" s="3305">
        <f>'12. Разходи'!N17</f>
        <v>0.1608089622382991</v>
      </c>
      <c r="AV13" s="3305">
        <f>'12. Разходи'!O17</f>
        <v>0.1608089622382991</v>
      </c>
      <c r="AW13" s="3305">
        <f>'12. Разходи'!P17</f>
        <v>0.1608089622382991</v>
      </c>
    </row>
    <row r="14" spans="1:49" ht="15.75" customHeight="1">
      <c r="A14" s="4299" t="s">
        <v>222</v>
      </c>
      <c r="B14" s="3579">
        <f>'11. Амортиз. план'!E171</f>
        <v>4083.8925362873597</v>
      </c>
      <c r="C14" s="3579">
        <f>'11. Амортиз. план'!G171</f>
        <v>5117.5262781733918</v>
      </c>
      <c r="D14" s="3579">
        <f>'11. Амортиз. план'!H171</f>
        <v>5503.8456202740499</v>
      </c>
      <c r="E14" s="3579">
        <f>'11. Амортиз. план'!I171</f>
        <v>5889.7709525627397</v>
      </c>
      <c r="F14" s="3579">
        <f>'11. Амортиз. план'!J171</f>
        <v>6253.7772566464064</v>
      </c>
      <c r="G14" s="3579">
        <f>'11. Амортиз. план'!K171</f>
        <v>6573.1193591549536</v>
      </c>
      <c r="I14" s="4287" t="s">
        <v>1092</v>
      </c>
      <c r="J14" s="4288">
        <f>J40</f>
        <v>290</v>
      </c>
      <c r="K14" s="4288">
        <f t="shared" ref="K14:N14" si="13">K40</f>
        <v>135</v>
      </c>
      <c r="L14" s="4288">
        <f t="shared" si="13"/>
        <v>130</v>
      </c>
      <c r="M14" s="4288">
        <f t="shared" si="13"/>
        <v>155</v>
      </c>
      <c r="N14" s="4288">
        <f t="shared" si="13"/>
        <v>155</v>
      </c>
      <c r="O14" s="3703">
        <f t="shared" si="12"/>
        <v>865</v>
      </c>
      <c r="S14" s="4294" t="s">
        <v>267</v>
      </c>
      <c r="T14" s="3579">
        <f>'12. Разходи'!C76</f>
        <v>55.561891993823863</v>
      </c>
      <c r="U14" s="3579">
        <f>'12. Разходи'!D76</f>
        <v>60.121601759982788</v>
      </c>
      <c r="V14" s="3579">
        <f>'12. Разходи'!E76</f>
        <v>60.121601759982788</v>
      </c>
      <c r="W14" s="3579">
        <f>'12. Разходи'!F76</f>
        <v>60.121601759982788</v>
      </c>
      <c r="X14" s="3579">
        <f>'12. Разходи'!G76</f>
        <v>60.121601759982788</v>
      </c>
      <c r="Y14" s="3579">
        <f>'12. Разходи'!H76</f>
        <v>60.121601759982788</v>
      </c>
      <c r="Z14" s="4292">
        <f t="shared" si="0"/>
        <v>8.2065415746925455E-2</v>
      </c>
      <c r="AA14" s="4292">
        <f t="shared" si="1"/>
        <v>0</v>
      </c>
      <c r="AC14" s="4301" t="s">
        <v>1687</v>
      </c>
      <c r="AD14" s="3576">
        <f>IFERROR(AD10/AD7,0)</f>
        <v>4.2004688503930507E-2</v>
      </c>
      <c r="AE14" s="3576">
        <f t="shared" ref="AE14:AI14" si="14">IFERROR(AE10/AE7,0)</f>
        <v>1.5449568861095402E-2</v>
      </c>
      <c r="AF14" s="3576">
        <f t="shared" si="14"/>
        <v>1.6464101294629864E-2</v>
      </c>
      <c r="AG14" s="3576">
        <f t="shared" si="14"/>
        <v>1.7329071056361469E-2</v>
      </c>
      <c r="AH14" s="3576">
        <f t="shared" si="14"/>
        <v>1.8166836525752097E-2</v>
      </c>
      <c r="AI14" s="3576">
        <f t="shared" si="14"/>
        <v>1.8729693388297494E-2</v>
      </c>
      <c r="AK14" s="3460" t="s">
        <v>548</v>
      </c>
      <c r="AL14" s="3571">
        <f>'17. РБА'!C27</f>
        <v>924.05261108044283</v>
      </c>
      <c r="AM14" s="3571">
        <f>'17. РБА'!D27</f>
        <v>944.03108262898957</v>
      </c>
      <c r="AN14" s="3571">
        <f>'17. РБА'!E27</f>
        <v>964.6579293658682</v>
      </c>
      <c r="AO14" s="3571">
        <f>'17. РБА'!F27</f>
        <v>985.97565755106132</v>
      </c>
      <c r="AP14" s="3571">
        <f>'17. РБА'!G27</f>
        <v>1008.0067292790825</v>
      </c>
      <c r="AR14" s="3541" t="s">
        <v>297</v>
      </c>
      <c r="AS14" s="3542">
        <f>AS11+AS12</f>
        <v>576.69838607560587</v>
      </c>
      <c r="AT14" s="3542">
        <f>AT11+AT12</f>
        <v>634.31890302574016</v>
      </c>
      <c r="AU14" s="3542">
        <f>AU11+AU12</f>
        <v>697.08202544083565</v>
      </c>
      <c r="AV14" s="3542">
        <f>AV11+AV12</f>
        <v>770.47274664914755</v>
      </c>
      <c r="AW14" s="3542">
        <f>AW11+AW12</f>
        <v>847.75988662486668</v>
      </c>
    </row>
    <row r="15" spans="1:49" ht="15.75" customHeight="1">
      <c r="A15" s="5631" t="s">
        <v>1658</v>
      </c>
      <c r="B15" s="5631"/>
      <c r="C15" s="5631"/>
      <c r="D15" s="5631"/>
      <c r="E15" s="5631"/>
      <c r="F15" s="5631"/>
      <c r="G15" s="5631"/>
      <c r="I15" s="4297" t="s">
        <v>1028</v>
      </c>
      <c r="J15" s="4298">
        <f>SUM(J10:J14)</f>
        <v>1066</v>
      </c>
      <c r="K15" s="4298">
        <f t="shared" ref="K15:O15" si="15">SUM(K10:K14)</f>
        <v>916.00000000000011</v>
      </c>
      <c r="L15" s="4298">
        <f t="shared" si="15"/>
        <v>942</v>
      </c>
      <c r="M15" s="4298">
        <f t="shared" si="15"/>
        <v>978</v>
      </c>
      <c r="N15" s="4298">
        <f t="shared" si="15"/>
        <v>966.00000000000011</v>
      </c>
      <c r="O15" s="4298">
        <f t="shared" si="15"/>
        <v>4868</v>
      </c>
      <c r="S15" s="4302" t="s">
        <v>277</v>
      </c>
      <c r="T15" s="4303">
        <f>SUM(T5:T7,T11:T14)</f>
        <v>10111.741710707956</v>
      </c>
      <c r="U15" s="4303">
        <f t="shared" ref="U15:Y15" si="16">SUM(U5:U7,U11:U14)</f>
        <v>13156.606403515611</v>
      </c>
      <c r="V15" s="4303">
        <f t="shared" si="16"/>
        <v>14216.279881309692</v>
      </c>
      <c r="W15" s="4303">
        <f t="shared" si="16"/>
        <v>15356.712012403028</v>
      </c>
      <c r="X15" s="4303">
        <f t="shared" si="16"/>
        <v>16663.644871407112</v>
      </c>
      <c r="Y15" s="4303">
        <f t="shared" si="16"/>
        <v>18090.444511418325</v>
      </c>
      <c r="Z15" s="4304">
        <f t="shared" si="0"/>
        <v>0.30112168406984291</v>
      </c>
      <c r="AA15" s="4292">
        <f t="shared" si="1"/>
        <v>0.37500841452430556</v>
      </c>
      <c r="AC15" s="2" t="s">
        <v>1689</v>
      </c>
      <c r="AD15" s="4305"/>
      <c r="AE15" s="4306"/>
      <c r="AF15" s="4306"/>
      <c r="AG15" s="4306"/>
      <c r="AH15" s="4306"/>
      <c r="AI15" s="4306"/>
      <c r="AK15" s="3460" t="s">
        <v>549</v>
      </c>
      <c r="AL15" s="3567">
        <f>'17. РБА'!C30</f>
        <v>3.8051049942546644</v>
      </c>
      <c r="AM15" s="3567">
        <f>'17. РБА'!D30</f>
        <v>1.6307691826786648</v>
      </c>
      <c r="AN15" s="3567">
        <f>'17. РБА'!E30</f>
        <v>0.27180063844533164</v>
      </c>
      <c r="AO15" s="3567">
        <f>'17. РБА'!F30</f>
        <v>-1.5543122344752192E-15</v>
      </c>
      <c r="AP15" s="3567">
        <f>'17. РБА'!G30</f>
        <v>-1.5543122344752192E-15</v>
      </c>
      <c r="AR15" s="5642" t="s">
        <v>1691</v>
      </c>
      <c r="AS15" s="5644" t="s">
        <v>184</v>
      </c>
      <c r="AT15" s="5645"/>
      <c r="AU15" s="5645"/>
      <c r="AV15" s="5645"/>
      <c r="AW15" s="5646"/>
    </row>
    <row r="16" spans="1:49" ht="15.75" customHeight="1">
      <c r="A16" s="4293" t="s">
        <v>334</v>
      </c>
      <c r="B16" s="3703">
        <f>'11. Амортиз. план'!E192</f>
        <v>56942.261905249085</v>
      </c>
      <c r="C16" s="3703">
        <f>'11. Амортиз. план'!G192</f>
        <v>84983.574230649101</v>
      </c>
      <c r="D16" s="3703">
        <f>'11. Амортиз. план'!H192</f>
        <v>91313.757230649106</v>
      </c>
      <c r="E16" s="3703">
        <f>'11. Амортиз. план'!I192</f>
        <v>103176.91912064911</v>
      </c>
      <c r="F16" s="3703">
        <f>'11. Амортиз. план'!J192</f>
        <v>103806.59412064911</v>
      </c>
      <c r="G16" s="3703">
        <f>'11. Амортиз. план'!K192</f>
        <v>127387.1728406491</v>
      </c>
      <c r="I16" s="4307" t="s">
        <v>1433</v>
      </c>
      <c r="J16" s="4308">
        <f>J7-J15</f>
        <v>-1066</v>
      </c>
      <c r="K16" s="4308">
        <f t="shared" ref="K16:O16" si="17">K7-K15</f>
        <v>-916.00000000000011</v>
      </c>
      <c r="L16" s="4308">
        <f t="shared" si="17"/>
        <v>-942</v>
      </c>
      <c r="M16" s="4308">
        <f t="shared" si="17"/>
        <v>-978</v>
      </c>
      <c r="N16" s="4308">
        <f t="shared" si="17"/>
        <v>-966.00000000000011</v>
      </c>
      <c r="O16" s="4308">
        <f t="shared" si="17"/>
        <v>-4868</v>
      </c>
      <c r="P16" s="4309"/>
      <c r="Q16" s="4309"/>
      <c r="S16" s="4310" t="str">
        <f>CONCATENATE("Спестявания и увеличения спрямо ",T4," - нето:")</f>
        <v>Спестявания и увеличения спрямо 2024 г. - нето:</v>
      </c>
      <c r="T16" s="4311"/>
      <c r="U16" s="4310">
        <f>U15-$T15</f>
        <v>3044.8646928076541</v>
      </c>
      <c r="V16" s="4310">
        <f t="shared" ref="V16:Y16" si="18">V15-$T15</f>
        <v>4104.5381706017361</v>
      </c>
      <c r="W16" s="4310">
        <f t="shared" si="18"/>
        <v>5244.9703016950716</v>
      </c>
      <c r="X16" s="4310">
        <f t="shared" si="18"/>
        <v>6551.9031606991557</v>
      </c>
      <c r="Y16" s="4310">
        <f t="shared" si="18"/>
        <v>7978.702800710369</v>
      </c>
      <c r="Z16" s="4311"/>
      <c r="AA16" s="4311"/>
      <c r="AC16" s="3564" t="s">
        <v>1686</v>
      </c>
      <c r="AD16" s="4285" t="s">
        <v>1065</v>
      </c>
      <c r="AE16" s="4286" t="s">
        <v>1775</v>
      </c>
      <c r="AF16" s="4286" t="s">
        <v>1776</v>
      </c>
      <c r="AG16" s="4286" t="s">
        <v>1777</v>
      </c>
      <c r="AH16" s="4286" t="s">
        <v>1778</v>
      </c>
      <c r="AI16" s="4286" t="s">
        <v>1779</v>
      </c>
      <c r="AK16" s="3460" t="s">
        <v>329</v>
      </c>
      <c r="AL16" s="3567">
        <f>'17. РБА'!C33</f>
        <v>60.333333333333329</v>
      </c>
      <c r="AM16" s="3567">
        <f>'17. РБА'!D33</f>
        <v>58.333333333333329</v>
      </c>
      <c r="AN16" s="3567">
        <f>'17. РБА'!E33</f>
        <v>64.666666666666657</v>
      </c>
      <c r="AO16" s="3567">
        <f>'17. РБА'!F33</f>
        <v>62.666666666666664</v>
      </c>
      <c r="AP16" s="3567">
        <f>'17. РБА'!G33</f>
        <v>58.333333333333329</v>
      </c>
      <c r="AR16" s="5643"/>
      <c r="AS16" s="4289" t="s">
        <v>1775</v>
      </c>
      <c r="AT16" s="4289" t="s">
        <v>1776</v>
      </c>
      <c r="AU16" s="4289" t="s">
        <v>1777</v>
      </c>
      <c r="AV16" s="4289" t="s">
        <v>1778</v>
      </c>
      <c r="AW16" s="4289" t="s">
        <v>1779</v>
      </c>
    </row>
    <row r="17" spans="1:49" ht="15.75" customHeight="1">
      <c r="A17" s="4295" t="s">
        <v>218</v>
      </c>
      <c r="B17" s="4296">
        <f>'11. Амортиз. план'!E214</f>
        <v>945.4039829159716</v>
      </c>
      <c r="C17" s="4296">
        <f>'11. Амортиз. план'!G214</f>
        <v>1506.2302294239717</v>
      </c>
      <c r="D17" s="4296">
        <f>'11. Амортиз. план'!H214</f>
        <v>1632.8338894239716</v>
      </c>
      <c r="E17" s="4296">
        <f>'11. Амортиз. план'!I214</f>
        <v>1870.0971272239715</v>
      </c>
      <c r="F17" s="4296">
        <f>'11. Амортиз. план'!J214</f>
        <v>1882.6906272239714</v>
      </c>
      <c r="G17" s="4296">
        <f>'11. Амортиз. план'!K214</f>
        <v>2354.3022016239711</v>
      </c>
      <c r="I17" s="1331" t="s">
        <v>1733</v>
      </c>
      <c r="J17" s="4308"/>
      <c r="K17" s="4308"/>
      <c r="L17" s="4308"/>
      <c r="M17" s="4308"/>
      <c r="N17" s="4308"/>
      <c r="O17" s="4308"/>
      <c r="P17" s="4309"/>
      <c r="Q17" s="3446" t="s">
        <v>1634</v>
      </c>
      <c r="S17" s="4294" t="s">
        <v>1668</v>
      </c>
      <c r="T17" s="3579">
        <f>'12. Разходи'!C92</f>
        <v>6284.5752997103846</v>
      </c>
      <c r="U17" s="3579">
        <f>'12. Разходи'!D92</f>
        <v>8409.3909930529771</v>
      </c>
      <c r="V17" s="3579">
        <f>'12. Разходи'!E92</f>
        <v>9031.940263668992</v>
      </c>
      <c r="W17" s="3579">
        <f>'12. Разходи'!F92</f>
        <v>9706.857860184653</v>
      </c>
      <c r="X17" s="3579">
        <f>'12. Разходи'!G92</f>
        <v>10452.581870956355</v>
      </c>
      <c r="Y17" s="3579">
        <f>'12. Разходи'!H92</f>
        <v>11253.427866937238</v>
      </c>
      <c r="Z17" s="4292">
        <f t="shared" si="0"/>
        <v>0.33810012483111018</v>
      </c>
      <c r="AA17" s="4292">
        <f t="shared" ref="AA17:AA21" si="19">IFERROR((Y17-U17)/U17,0)</f>
        <v>0.33819772159883255</v>
      </c>
      <c r="AC17" s="4312" t="s">
        <v>545</v>
      </c>
      <c r="AD17" s="3540">
        <f>'15. ОПП'!B45</f>
        <v>276.73945000000151</v>
      </c>
      <c r="AE17" s="3540">
        <f>'15. ОПП'!C45</f>
        <v>86.274057917422056</v>
      </c>
      <c r="AF17" s="3540">
        <f>'15. ОПП'!D45</f>
        <v>665.49160347641157</v>
      </c>
      <c r="AG17" s="3540">
        <f>'15. ОПП'!E45</f>
        <v>1322.2359029535378</v>
      </c>
      <c r="AH17" s="3540">
        <f>'15. ОПП'!F45</f>
        <v>2079.1027090137927</v>
      </c>
      <c r="AI17" s="3540">
        <f>'15. ОПП'!G45</f>
        <v>3019.4574412912966</v>
      </c>
      <c r="AK17" s="3460" t="s">
        <v>306</v>
      </c>
      <c r="AL17" s="3567">
        <f>'17. РБА'!C34</f>
        <v>75.730010272333303</v>
      </c>
      <c r="AM17" s="3567">
        <f>'17. РБА'!D34</f>
        <v>84.533558644086042</v>
      </c>
      <c r="AN17" s="3567">
        <f>'17. РБА'!E34</f>
        <v>94.082320672364347</v>
      </c>
      <c r="AO17" s="3567">
        <f>'17. РБА'!F34</f>
        <v>105.37361047421369</v>
      </c>
      <c r="AP17" s="3567">
        <f>'17. РБА'!G34</f>
        <v>117.36433976241263</v>
      </c>
      <c r="AR17" s="3568" t="s">
        <v>294</v>
      </c>
      <c r="AS17" s="3305">
        <f>'16. Необходими приходи'!D23</f>
        <v>99.555435825961126</v>
      </c>
      <c r="AT17" s="3305">
        <f>'16. Необходими приходи'!E23</f>
        <v>104.51455400917877</v>
      </c>
      <c r="AU17" s="3305">
        <f>'16. Необходими приходи'!F23</f>
        <v>110.63019401131756</v>
      </c>
      <c r="AV17" s="3305">
        <f>'16. Необходими приходи'!G23</f>
        <v>117.42709178797882</v>
      </c>
      <c r="AW17" s="3305">
        <f>'16. Необходими приходи'!H23</f>
        <v>124.38766838291994</v>
      </c>
    </row>
    <row r="18" spans="1:49" ht="15.75" customHeight="1">
      <c r="A18" s="4299" t="s">
        <v>220</v>
      </c>
      <c r="B18" s="3579">
        <f>'11. Амортиз. план'!E236</f>
        <v>16996.531908830941</v>
      </c>
      <c r="C18" s="3579">
        <f>'11. Амортиз. план'!G236</f>
        <v>19636.946898078888</v>
      </c>
      <c r="D18" s="3579">
        <f>'11. Амортиз. план'!H236</f>
        <v>21269.780787502856</v>
      </c>
      <c r="E18" s="3579">
        <f>'11. Амортиз. план'!I236</f>
        <v>23139.877914726825</v>
      </c>
      <c r="F18" s="3579">
        <f>'11. Амортиз. план'!J236</f>
        <v>25022.568541950797</v>
      </c>
      <c r="G18" s="3579">
        <f>'11. Амортиз. план'!K236</f>
        <v>27376.870743574767</v>
      </c>
      <c r="I18" s="4282" t="s">
        <v>1494</v>
      </c>
      <c r="J18" s="4283" t="str">
        <f>+'15. ОПП'!$C$7</f>
        <v>2027 г.</v>
      </c>
      <c r="K18" s="4283" t="str">
        <f>+'15. ОПП'!$D$7</f>
        <v>2028 г.</v>
      </c>
      <c r="L18" s="4283" t="str">
        <f>+'15. ОПП'!$E$7</f>
        <v>2029 г.</v>
      </c>
      <c r="M18" s="4283" t="str">
        <f>+'15. ОПП'!$F$7</f>
        <v>2030 г.</v>
      </c>
      <c r="N18" s="4283" t="str">
        <f>+'15. ОПП'!$G$7</f>
        <v>2031 г.</v>
      </c>
      <c r="O18" s="4284" t="s">
        <v>1593</v>
      </c>
      <c r="P18" s="3486" t="s">
        <v>1730</v>
      </c>
      <c r="Q18" s="3486" t="s">
        <v>1731</v>
      </c>
      <c r="S18" s="4294" t="s">
        <v>1670</v>
      </c>
      <c r="T18" s="3579">
        <f>'12. Разходи'!C93</f>
        <v>2920.273828802452</v>
      </c>
      <c r="U18" s="3579">
        <f>'12. Разходи'!D93</f>
        <v>3833.0350587412904</v>
      </c>
      <c r="V18" s="3579">
        <f>'12. Разходи'!E93</f>
        <v>4261.3786101358983</v>
      </c>
      <c r="W18" s="3579">
        <f>'12. Разходи'!F93</f>
        <v>4771.3450661597417</v>
      </c>
      <c r="X18" s="3579">
        <f>'12. Разходи'!G93</f>
        <v>5342.1249764301883</v>
      </c>
      <c r="Y18" s="3579">
        <f>'12. Разходи'!H93</f>
        <v>5975.6307696075546</v>
      </c>
      <c r="Z18" s="4292">
        <f t="shared" si="0"/>
        <v>0.31256015135852661</v>
      </c>
      <c r="AA18" s="4292">
        <f t="shared" si="19"/>
        <v>0.55898150630791765</v>
      </c>
      <c r="AC18" s="4312" t="s">
        <v>546</v>
      </c>
      <c r="AD18" s="3540">
        <f>'15. ОПП'!B46</f>
        <v>86.274057917422056</v>
      </c>
      <c r="AE18" s="3540">
        <f>'15. ОПП'!C46</f>
        <v>665.49160347641157</v>
      </c>
      <c r="AF18" s="3540">
        <f>'15. ОПП'!D46</f>
        <v>1322.2359029535378</v>
      </c>
      <c r="AG18" s="3540">
        <f>'15. ОПП'!E46</f>
        <v>2079.1027090137927</v>
      </c>
      <c r="AH18" s="3540">
        <f>'15. ОПП'!F46</f>
        <v>3019.4574412912966</v>
      </c>
      <c r="AI18" s="3540">
        <f>'15. ОПП'!G46</f>
        <v>4173.6217243719293</v>
      </c>
      <c r="AK18" s="3461" t="s">
        <v>305</v>
      </c>
      <c r="AL18" s="3462">
        <f t="shared" ref="AL18:AP18" si="20">AL13-AL14+AL15+AL16+AL17</f>
        <v>606.27683681865528</v>
      </c>
      <c r="AM18" s="3462">
        <f t="shared" si="20"/>
        <v>651.26091116361852</v>
      </c>
      <c r="AN18" s="3462">
        <f t="shared" si="20"/>
        <v>703.49052457745097</v>
      </c>
      <c r="AO18" s="3462">
        <f t="shared" si="20"/>
        <v>755.85895222232932</v>
      </c>
      <c r="AP18" s="3462">
        <f t="shared" si="20"/>
        <v>804.15194311584014</v>
      </c>
      <c r="AR18" s="3568" t="s">
        <v>296</v>
      </c>
      <c r="AS18" s="3305">
        <f>'16. Необходими приходи'!D24</f>
        <v>2937.6640781596852</v>
      </c>
      <c r="AT18" s="3305">
        <f>'16. Необходими приходи'!E24</f>
        <v>3212.0819780416168</v>
      </c>
      <c r="AU18" s="3305">
        <f>'16. Необходими приходи'!F24</f>
        <v>3513.6683358754253</v>
      </c>
      <c r="AV18" s="3305">
        <f>'16. Необходими приходи'!G24</f>
        <v>3854.9099102170394</v>
      </c>
      <c r="AW18" s="3305">
        <f>'16. Необходими приходи'!H24</f>
        <v>4240.6949508577209</v>
      </c>
    </row>
    <row r="19" spans="1:49" ht="15.75" customHeight="1">
      <c r="A19" s="4299" t="s">
        <v>222</v>
      </c>
      <c r="B19" s="3579">
        <f>'11. Амортиз. план'!E258</f>
        <v>39945.729996418151</v>
      </c>
      <c r="C19" s="3579">
        <f>'11. Амортиз. план'!G258</f>
        <v>65346.627332570206</v>
      </c>
      <c r="D19" s="3579">
        <f>'11. Амортиз. план'!H258</f>
        <v>70043.976443146239</v>
      </c>
      <c r="E19" s="3579">
        <f>'11. Амортиз. план'!I258</f>
        <v>80037.041205922273</v>
      </c>
      <c r="F19" s="3579">
        <f>'11. Амортиз. план'!J258</f>
        <v>78784.025578698318</v>
      </c>
      <c r="G19" s="3579">
        <f>'11. Амортиз. план'!K258</f>
        <v>100010.30209707432</v>
      </c>
      <c r="I19" s="4287" t="s">
        <v>207</v>
      </c>
      <c r="J19" s="4288">
        <f>J27</f>
        <v>665.33333333333337</v>
      </c>
      <c r="K19" s="4288">
        <f t="shared" ref="K19:N19" si="21">K27</f>
        <v>668.33333333333337</v>
      </c>
      <c r="L19" s="4288">
        <f t="shared" si="21"/>
        <v>705.66666666666663</v>
      </c>
      <c r="M19" s="4288">
        <f t="shared" si="21"/>
        <v>714.66666666666663</v>
      </c>
      <c r="N19" s="4288">
        <f t="shared" si="21"/>
        <v>698.33333333333337</v>
      </c>
      <c r="O19" s="3703">
        <f>SUM(J19:N19)</f>
        <v>3452.3333333333335</v>
      </c>
      <c r="P19" s="3579">
        <f>O28</f>
        <v>3394.6666666666665</v>
      </c>
      <c r="Q19" s="3579">
        <f>O29</f>
        <v>57.666666666666657</v>
      </c>
      <c r="S19" s="4313" t="s">
        <v>1669</v>
      </c>
      <c r="T19" s="4296">
        <f>'12. Разходи'!C94</f>
        <v>686.45641276112349</v>
      </c>
      <c r="U19" s="4296">
        <f>'12. Разходи'!D94</f>
        <v>883.29541228143898</v>
      </c>
      <c r="V19" s="4296">
        <f>'12. Разходи'!E94</f>
        <v>997.37035537334054</v>
      </c>
      <c r="W19" s="4296">
        <f>'12. Разходи'!F94</f>
        <v>1127.3572909871784</v>
      </c>
      <c r="X19" s="4296">
        <f>'12. Разходи'!G94</f>
        <v>1274.7321230498637</v>
      </c>
      <c r="Y19" s="4296">
        <f>'12. Разходи'!H94</f>
        <v>1441.8471394296766</v>
      </c>
      <c r="Z19" s="4292">
        <f t="shared" si="0"/>
        <v>0.28674653752387991</v>
      </c>
      <c r="AA19" s="4292">
        <f t="shared" si="19"/>
        <v>0.63234985643768948</v>
      </c>
      <c r="AK19" s="5650" t="s">
        <v>1690</v>
      </c>
      <c r="AL19" s="5651" t="str">
        <f>T45</f>
        <v>Пречистване на отпадъчните води</v>
      </c>
      <c r="AM19" s="5652"/>
      <c r="AN19" s="5652"/>
      <c r="AO19" s="5652"/>
      <c r="AP19" s="5652"/>
      <c r="AR19" s="3568" t="s">
        <v>1785</v>
      </c>
      <c r="AS19" s="3305">
        <f>'12. Разходи'!T17</f>
        <v>451.79413745830556</v>
      </c>
      <c r="AT19" s="3305">
        <f>'12. Разходи'!U17</f>
        <v>447.48456954858585</v>
      </c>
      <c r="AU19" s="3305">
        <f>'12. Разходи'!V17</f>
        <v>443.21163649052198</v>
      </c>
      <c r="AV19" s="3305">
        <f>'12. Разходи'!W17</f>
        <v>438.97458570007905</v>
      </c>
      <c r="AW19" s="3305">
        <f>'12. Разходи'!X17</f>
        <v>436.21696502337039</v>
      </c>
    </row>
    <row r="20" spans="1:49" ht="15.75" customHeight="1">
      <c r="A20" s="2" t="s">
        <v>174</v>
      </c>
      <c r="B20" s="11"/>
      <c r="C20" s="11"/>
      <c r="D20" s="11"/>
      <c r="E20" s="11"/>
      <c r="F20" s="11"/>
      <c r="G20" s="3446" t="s">
        <v>1634</v>
      </c>
      <c r="I20" s="4287" t="s">
        <v>208</v>
      </c>
      <c r="J20" s="4288">
        <f>J30</f>
        <v>60.333333333333329</v>
      </c>
      <c r="K20" s="4288">
        <f t="shared" ref="K20:N20" si="22">K30</f>
        <v>58.333333333333329</v>
      </c>
      <c r="L20" s="4288">
        <f t="shared" si="22"/>
        <v>64.666666666666657</v>
      </c>
      <c r="M20" s="4288">
        <f t="shared" si="22"/>
        <v>62.666666666666657</v>
      </c>
      <c r="N20" s="4288">
        <f t="shared" si="22"/>
        <v>58.333333333333329</v>
      </c>
      <c r="O20" s="3703">
        <f>SUM(J20:N20)</f>
        <v>304.33333333333331</v>
      </c>
      <c r="P20" s="3579">
        <f>O31</f>
        <v>241.66666666666663</v>
      </c>
      <c r="Q20" s="3579">
        <f>O32</f>
        <v>62.666666666666657</v>
      </c>
      <c r="S20" s="4294" t="s">
        <v>1672</v>
      </c>
      <c r="T20" s="3579">
        <f>'12. Разходи'!C90</f>
        <v>1683.7457744091387</v>
      </c>
      <c r="U20" s="3579">
        <f>'12. Разходи'!D90</f>
        <v>1864.1993737026696</v>
      </c>
      <c r="V20" s="3579">
        <f>'12. Разходи'!E90</f>
        <v>1982.2336446603063</v>
      </c>
      <c r="W20" s="3579">
        <f>'12. Разходи'!F90</f>
        <v>2130.4710286233117</v>
      </c>
      <c r="X20" s="3579">
        <f>'12. Разходи'!G90</f>
        <v>2299.2019449777345</v>
      </c>
      <c r="Y20" s="3579">
        <f>'12. Разходи'!H90</f>
        <v>2475.3325852824564</v>
      </c>
      <c r="Z20" s="4292">
        <f t="shared" si="0"/>
        <v>0.10717389883686916</v>
      </c>
      <c r="AA20" s="4292">
        <f t="shared" si="19"/>
        <v>0.32782610068468965</v>
      </c>
      <c r="AK20" s="5650"/>
      <c r="AL20" s="4289" t="s">
        <v>1775</v>
      </c>
      <c r="AM20" s="4289" t="s">
        <v>1776</v>
      </c>
      <c r="AN20" s="4289" t="s">
        <v>1777</v>
      </c>
      <c r="AO20" s="4289" t="s">
        <v>1778</v>
      </c>
      <c r="AP20" s="4289" t="s">
        <v>1779</v>
      </c>
      <c r="AR20" s="3541" t="s">
        <v>297</v>
      </c>
      <c r="AS20" s="3542">
        <f>AS17+AS18</f>
        <v>3037.2195139856462</v>
      </c>
      <c r="AT20" s="3542">
        <f>AT17+AT18</f>
        <v>3316.5965320507958</v>
      </c>
      <c r="AU20" s="3542">
        <f>AU17+AU18</f>
        <v>3624.2985298867429</v>
      </c>
      <c r="AV20" s="3542">
        <f>AV17+AV18</f>
        <v>3972.3370020050183</v>
      </c>
      <c r="AW20" s="3542">
        <f>AW17+AW18</f>
        <v>4365.0826192406412</v>
      </c>
    </row>
    <row r="21" spans="1:49" ht="15.75" customHeight="1">
      <c r="A21" s="5632" t="s">
        <v>87</v>
      </c>
      <c r="B21" s="5636" t="s">
        <v>174</v>
      </c>
      <c r="C21" s="5636"/>
      <c r="D21" s="5636"/>
      <c r="E21" s="5636"/>
      <c r="F21" s="5636"/>
      <c r="G21" s="5636"/>
      <c r="I21" s="4287" t="s">
        <v>209</v>
      </c>
      <c r="J21" s="4288">
        <f>J33</f>
        <v>84.333333333333329</v>
      </c>
      <c r="K21" s="4288">
        <f t="shared" ref="K21:N21" si="23">K33</f>
        <v>82.333333333333329</v>
      </c>
      <c r="L21" s="4288">
        <f t="shared" si="23"/>
        <v>88.666666666666657</v>
      </c>
      <c r="M21" s="4288">
        <f t="shared" si="23"/>
        <v>86.666666666666657</v>
      </c>
      <c r="N21" s="4288">
        <f t="shared" si="23"/>
        <v>82.333333333333329</v>
      </c>
      <c r="O21" s="3703">
        <f>SUM(J21:N21)</f>
        <v>424.33333333333331</v>
      </c>
      <c r="P21" s="3579">
        <f>O34</f>
        <v>366.66666666666663</v>
      </c>
      <c r="Q21" s="3579">
        <f>O35</f>
        <v>57.666666666666657</v>
      </c>
      <c r="S21" s="4294" t="s">
        <v>1231</v>
      </c>
      <c r="T21" s="3579">
        <f>'12. Разходи'!C89</f>
        <v>1987.6414943220148</v>
      </c>
      <c r="U21" s="3579">
        <f>'12. Разходи'!D89</f>
        <v>2463.1908653298656</v>
      </c>
      <c r="V21" s="3579">
        <f>'12. Разходи'!E89</f>
        <v>2427.3509415985777</v>
      </c>
      <c r="W21" s="3579">
        <f>'12. Разходи'!F89</f>
        <v>2380.0200218877671</v>
      </c>
      <c r="X21" s="3579">
        <f>'12. Разходи'!G89</f>
        <v>2311.2120665092516</v>
      </c>
      <c r="Y21" s="3579">
        <f>'12. Разходи'!H89</f>
        <v>2218.2220055050884</v>
      </c>
      <c r="Z21" s="4292">
        <f t="shared" si="0"/>
        <v>0.2392530908447657</v>
      </c>
      <c r="AA21" s="4292">
        <f t="shared" si="19"/>
        <v>-9.9451838374681301E-2</v>
      </c>
      <c r="AK21" s="3460" t="s">
        <v>547</v>
      </c>
      <c r="AL21" s="3567">
        <f>'17. РБА'!C38</f>
        <v>1578.9546536962414</v>
      </c>
      <c r="AM21" s="3567">
        <f>'17. РБА'!D38</f>
        <v>1663.2879870295747</v>
      </c>
      <c r="AN21" s="3567">
        <f>'17. РБА'!E38</f>
        <v>1745.6213203629079</v>
      </c>
      <c r="AO21" s="3567">
        <f>'17. РБА'!F38</f>
        <v>1834.2879870295749</v>
      </c>
      <c r="AP21" s="3567">
        <f>'17. РБА'!G38</f>
        <v>1920.9546536962416</v>
      </c>
      <c r="AR21" s="5642" t="s">
        <v>1691</v>
      </c>
      <c r="AS21" s="5647" t="str">
        <f>AL27</f>
        <v>Доставяне на вода с непитейни качества</v>
      </c>
      <c r="AT21" s="5648"/>
      <c r="AU21" s="5648"/>
      <c r="AV21" s="5648"/>
      <c r="AW21" s="5649"/>
    </row>
    <row r="22" spans="1:49" ht="15.75" customHeight="1">
      <c r="A22" s="5632"/>
      <c r="B22" s="4283" t="str">
        <f>+'15. ОПП'!$B$7</f>
        <v>2024 г.</v>
      </c>
      <c r="C22" s="4283" t="str">
        <f>+'15. ОПП'!$C$7</f>
        <v>2027 г.</v>
      </c>
      <c r="D22" s="4283" t="str">
        <f>+'15. ОПП'!$D$7</f>
        <v>2028 г.</v>
      </c>
      <c r="E22" s="4283" t="str">
        <f>+'15. ОПП'!$E$7</f>
        <v>2029 г.</v>
      </c>
      <c r="F22" s="4283" t="str">
        <f>+'15. ОПП'!$F$7</f>
        <v>2030 г.</v>
      </c>
      <c r="G22" s="4283" t="str">
        <f>+'15. ОПП'!$G$7</f>
        <v>2031 г.</v>
      </c>
      <c r="I22" s="4287" t="s">
        <v>1029</v>
      </c>
      <c r="J22" s="4288">
        <f>J36</f>
        <v>0</v>
      </c>
      <c r="K22" s="4288">
        <f t="shared" ref="K22:N22" si="24">K36</f>
        <v>0</v>
      </c>
      <c r="L22" s="4288">
        <f t="shared" si="24"/>
        <v>0</v>
      </c>
      <c r="M22" s="4288">
        <f t="shared" si="24"/>
        <v>0</v>
      </c>
      <c r="N22" s="4288">
        <f t="shared" si="24"/>
        <v>0</v>
      </c>
      <c r="O22" s="3703">
        <f t="shared" ref="O22:O23" si="25">SUM(J22:N22)</f>
        <v>0</v>
      </c>
      <c r="P22" s="3579">
        <f>O37</f>
        <v>0</v>
      </c>
      <c r="Q22" s="3579">
        <f>O38</f>
        <v>0</v>
      </c>
      <c r="T22" s="11"/>
      <c r="U22" s="11"/>
      <c r="V22" s="11"/>
      <c r="W22" s="11"/>
      <c r="X22" s="11"/>
      <c r="Y22" s="11"/>
      <c r="Z22" s="11"/>
      <c r="AA22" s="11"/>
      <c r="AK22" s="3460" t="s">
        <v>548</v>
      </c>
      <c r="AL22" s="3567">
        <f>'17. РБА'!C41</f>
        <v>939.45971801144879</v>
      </c>
      <c r="AM22" s="3567">
        <f>'17. РБА'!D41</f>
        <v>993.32105205470214</v>
      </c>
      <c r="AN22" s="3567">
        <f>'17. РБА'!E41</f>
        <v>1049.3418789581169</v>
      </c>
      <c r="AO22" s="3567">
        <f>'17. РБА'!F41</f>
        <v>1107.7057924030671</v>
      </c>
      <c r="AP22" s="3567">
        <f>'17. РБА'!G41</f>
        <v>1168.5132617731895</v>
      </c>
      <c r="AR22" s="5643"/>
      <c r="AS22" s="4289" t="s">
        <v>1775</v>
      </c>
      <c r="AT22" s="4289" t="s">
        <v>1776</v>
      </c>
      <c r="AU22" s="4289" t="s">
        <v>1777</v>
      </c>
      <c r="AV22" s="4289" t="s">
        <v>1778</v>
      </c>
      <c r="AW22" s="4289" t="s">
        <v>1779</v>
      </c>
    </row>
    <row r="23" spans="1:49" ht="15.75" customHeight="1">
      <c r="A23" s="5631" t="s">
        <v>1656</v>
      </c>
      <c r="B23" s="5631"/>
      <c r="C23" s="5631"/>
      <c r="D23" s="5631"/>
      <c r="E23" s="5631"/>
      <c r="F23" s="5631"/>
      <c r="G23" s="5631"/>
      <c r="I23" s="4287" t="s">
        <v>1092</v>
      </c>
      <c r="J23" s="4288">
        <f>J39</f>
        <v>296</v>
      </c>
      <c r="K23" s="4288">
        <f t="shared" ref="K23:N23" si="26">K39</f>
        <v>141</v>
      </c>
      <c r="L23" s="4288">
        <f t="shared" si="26"/>
        <v>136</v>
      </c>
      <c r="M23" s="4288">
        <f t="shared" si="26"/>
        <v>161</v>
      </c>
      <c r="N23" s="4288">
        <f t="shared" si="26"/>
        <v>161</v>
      </c>
      <c r="O23" s="3703">
        <f t="shared" si="25"/>
        <v>895</v>
      </c>
      <c r="P23" s="3579">
        <f>O40</f>
        <v>865</v>
      </c>
      <c r="Q23" s="3579">
        <f>O41</f>
        <v>30</v>
      </c>
      <c r="S23" s="2" t="s">
        <v>1680</v>
      </c>
      <c r="T23" s="11"/>
      <c r="U23" s="11"/>
      <c r="V23" s="11"/>
      <c r="W23" s="11"/>
      <c r="X23" s="11"/>
      <c r="Y23" s="11"/>
      <c r="Z23" s="11"/>
      <c r="AA23" s="11"/>
      <c r="AK23" s="3460" t="s">
        <v>549</v>
      </c>
      <c r="AL23" s="3567">
        <f>'17. РБА'!C44</f>
        <v>22.828712674799725</v>
      </c>
      <c r="AM23" s="3567">
        <f>'17. РБА'!D44</f>
        <v>9.7837695960557269</v>
      </c>
      <c r="AN23" s="3567">
        <f>'17. РБА'!E44</f>
        <v>1.630649028341862</v>
      </c>
      <c r="AO23" s="3567">
        <f>'17. РБА'!F44</f>
        <v>-5.773159728050814E-15</v>
      </c>
      <c r="AP23" s="3567">
        <f>'17. РБА'!G44</f>
        <v>-5.773159728050814E-15</v>
      </c>
      <c r="AR23" s="3568" t="s">
        <v>294</v>
      </c>
      <c r="AS23" s="3305">
        <f>'16. Необходими приходи'!D34</f>
        <v>0</v>
      </c>
      <c r="AT23" s="3305">
        <f>'16. Необходими приходи'!E34</f>
        <v>0</v>
      </c>
      <c r="AU23" s="3305">
        <f>'16. Необходими приходи'!F34</f>
        <v>0</v>
      </c>
      <c r="AV23" s="3305">
        <f>'16. Необходими приходи'!G34</f>
        <v>0</v>
      </c>
      <c r="AW23" s="3305">
        <f>'16. Необходими приходи'!H34</f>
        <v>0</v>
      </c>
    </row>
    <row r="24" spans="1:49" ht="15.75" customHeight="1">
      <c r="A24" s="4293" t="s">
        <v>334</v>
      </c>
      <c r="B24" s="3703">
        <f>'11. Амортиз. план'!L10</f>
        <v>1249.2554026325101</v>
      </c>
      <c r="C24" s="3703">
        <f>'11. Амортиз. план'!N10</f>
        <v>1293.5887359658434</v>
      </c>
      <c r="D24" s="3703">
        <f>'11. Амортиз. план'!O10</f>
        <v>1303.5887359658429</v>
      </c>
      <c r="E24" s="3703">
        <f>'11. Амортиз. план'!P10</f>
        <v>1319.9220692991769</v>
      </c>
      <c r="F24" s="3703">
        <f>'11. Амортиз. план'!Q10</f>
        <v>1334.2554026325099</v>
      </c>
      <c r="G24" s="3703">
        <f>'11. Амортиз. план'!R10</f>
        <v>1344.2554026325099</v>
      </c>
      <c r="I24" s="4297" t="s">
        <v>1028</v>
      </c>
      <c r="J24" s="4298">
        <f>SUM(J19:J23)</f>
        <v>1106</v>
      </c>
      <c r="K24" s="4298">
        <f t="shared" ref="K24" si="27">SUM(K19:K23)</f>
        <v>950.00000000000011</v>
      </c>
      <c r="L24" s="4298">
        <f t="shared" ref="L24" si="28">SUM(L19:L23)</f>
        <v>994.99999999999989</v>
      </c>
      <c r="M24" s="4298">
        <f t="shared" ref="M24" si="29">SUM(M19:M23)</f>
        <v>1025</v>
      </c>
      <c r="N24" s="4298">
        <f t="shared" ref="N24" si="30">SUM(N19:N23)</f>
        <v>1000.0000000000001</v>
      </c>
      <c r="O24" s="4298">
        <f t="shared" ref="O24" si="31">SUM(O19:O23)</f>
        <v>5076</v>
      </c>
      <c r="P24" s="3703">
        <f>O43</f>
        <v>4868</v>
      </c>
      <c r="Q24" s="3703">
        <f>O44</f>
        <v>207.99999999999997</v>
      </c>
      <c r="S24" s="5636" t="s">
        <v>1666</v>
      </c>
      <c r="T24" s="5636" t="s">
        <v>208</v>
      </c>
      <c r="U24" s="5636"/>
      <c r="V24" s="5636"/>
      <c r="W24" s="5636"/>
      <c r="X24" s="5636"/>
      <c r="Y24" s="5636"/>
      <c r="Z24" s="5603" t="str">
        <f>+Z3</f>
        <v>Изменение 2027 г. спр. 2024 г.</v>
      </c>
      <c r="AA24" s="5603" t="str">
        <f>+AA3</f>
        <v>Изменение 2031 г. спр. 2027 г.</v>
      </c>
      <c r="AK24" s="3460" t="s">
        <v>329</v>
      </c>
      <c r="AL24" s="3574">
        <f>'17. РБА'!C47</f>
        <v>84.333333333333329</v>
      </c>
      <c r="AM24" s="3574">
        <f>'17. РБА'!D47</f>
        <v>82.333333333333329</v>
      </c>
      <c r="AN24" s="3574">
        <f>'17. РБА'!E47</f>
        <v>88.666666666666657</v>
      </c>
      <c r="AO24" s="3574">
        <f>'17. РБА'!F47</f>
        <v>86.666666666666657</v>
      </c>
      <c r="AP24" s="3574">
        <f>'17. РБА'!G47</f>
        <v>82.333333333333329</v>
      </c>
      <c r="AR24" s="3568" t="s">
        <v>296</v>
      </c>
      <c r="AS24" s="3305">
        <f>'16. Необходими приходи'!D35</f>
        <v>0</v>
      </c>
      <c r="AT24" s="3305">
        <f>'16. Необходими приходи'!E35</f>
        <v>0</v>
      </c>
      <c r="AU24" s="3305">
        <f>'16. Необходими приходи'!F35</f>
        <v>0</v>
      </c>
      <c r="AV24" s="3305">
        <f>'16. Необходими приходи'!G35</f>
        <v>0</v>
      </c>
      <c r="AW24" s="3305">
        <f>'16. Необходими приходи'!H35</f>
        <v>0</v>
      </c>
    </row>
    <row r="25" spans="1:49" ht="15.75" customHeight="1">
      <c r="A25" s="4295" t="s">
        <v>218</v>
      </c>
      <c r="B25" s="4296">
        <f>'11. Амортиз. план'!L35</f>
        <v>15.713491932866761</v>
      </c>
      <c r="C25" s="4296">
        <f>'11. Амортиз. план'!N35</f>
        <v>17.945983481185962</v>
      </c>
      <c r="D25" s="4296">
        <f>'11. Амортиз. план'!O35</f>
        <v>18.321887427440771</v>
      </c>
      <c r="E25" s="4296">
        <f>'11. Амортиз. план'!P35</f>
        <v>18.712718545833184</v>
      </c>
      <c r="F25" s="4296">
        <f>'11. Амортиз. план'!Q35</f>
        <v>19.119385316511654</v>
      </c>
      <c r="G25" s="4296">
        <f>'11. Амортиз. план'!R35</f>
        <v>19.501823691510772</v>
      </c>
      <c r="I25" s="1332" t="s">
        <v>1633</v>
      </c>
      <c r="J25" s="4314"/>
      <c r="K25" s="4314"/>
      <c r="L25" s="4314"/>
      <c r="M25" s="4314"/>
      <c r="N25" s="4314"/>
      <c r="O25" s="4314"/>
      <c r="P25" s="3446" t="s">
        <v>1634</v>
      </c>
      <c r="Q25" s="3446"/>
      <c r="S25" s="5636"/>
      <c r="T25" s="4279" t="str">
        <f t="shared" ref="T25:Y25" si="32">T4</f>
        <v>2024 г.</v>
      </c>
      <c r="U25" s="4279" t="str">
        <f t="shared" si="32"/>
        <v>2027 г.</v>
      </c>
      <c r="V25" s="4279" t="str">
        <f t="shared" si="32"/>
        <v>2028 г.</v>
      </c>
      <c r="W25" s="4279" t="str">
        <f t="shared" si="32"/>
        <v>2029 г.</v>
      </c>
      <c r="X25" s="4279" t="str">
        <f t="shared" si="32"/>
        <v>2030 г.</v>
      </c>
      <c r="Y25" s="4279" t="str">
        <f t="shared" si="32"/>
        <v>2031 г.</v>
      </c>
      <c r="Z25" s="5603"/>
      <c r="AA25" s="5603"/>
      <c r="AK25" s="3460" t="s">
        <v>306</v>
      </c>
      <c r="AL25" s="3567">
        <f>'17. РБА'!C48</f>
        <v>467.10476638842096</v>
      </c>
      <c r="AM25" s="3567">
        <f>'17. РБА'!D48</f>
        <v>512.13837618759555</v>
      </c>
      <c r="AN25" s="3567">
        <f>'17. РБА'!E48</f>
        <v>562.2064264573097</v>
      </c>
      <c r="AO25" s="3567">
        <f>'17. РБА'!F48</f>
        <v>618.40086248332182</v>
      </c>
      <c r="AP25" s="3567">
        <f>'17. РБА'!G48</f>
        <v>681.73708109186646</v>
      </c>
      <c r="AR25" s="3568" t="s">
        <v>1785</v>
      </c>
      <c r="AS25" s="3305">
        <f>'12. Разходи'!AB17</f>
        <v>0</v>
      </c>
      <c r="AT25" s="3305">
        <f>'12. Разходи'!AC17</f>
        <v>0</v>
      </c>
      <c r="AU25" s="3305">
        <f>'12. Разходи'!AD17</f>
        <v>0</v>
      </c>
      <c r="AV25" s="3305">
        <f>'12. Разходи'!AE17</f>
        <v>0</v>
      </c>
      <c r="AW25" s="3305">
        <f>'12. Разходи'!AF17</f>
        <v>0</v>
      </c>
    </row>
    <row r="26" spans="1:49" ht="15.75" customHeight="1">
      <c r="A26" s="4299" t="s">
        <v>220</v>
      </c>
      <c r="B26" s="3579">
        <f>'11. Амортиз. план'!L60</f>
        <v>900.36394066587764</v>
      </c>
      <c r="C26" s="3579">
        <f>'11. Амортиз. план'!N60</f>
        <v>936.03101770778278</v>
      </c>
      <c r="D26" s="3579">
        <f>'11. Амортиз. план'!O60</f>
        <v>954.35290513522284</v>
      </c>
      <c r="E26" s="3579">
        <f>'11. Амортиз. план'!P60</f>
        <v>973.06562368105688</v>
      </c>
      <c r="F26" s="3579">
        <f>'11. Амортиз. план'!Q60</f>
        <v>992.18500899756816</v>
      </c>
      <c r="G26" s="3579">
        <f>'11. Амортиз. план'!R60</f>
        <v>1011.6868326890791</v>
      </c>
      <c r="I26" s="4315" t="s">
        <v>1494</v>
      </c>
      <c r="J26" s="4283" t="str">
        <f>+'15. ОПП'!$C$7</f>
        <v>2027 г.</v>
      </c>
      <c r="K26" s="4283" t="str">
        <f>+'15. ОПП'!$D$7</f>
        <v>2028 г.</v>
      </c>
      <c r="L26" s="4283" t="str">
        <f>+'15. ОПП'!$E$7</f>
        <v>2029 г.</v>
      </c>
      <c r="M26" s="4283" t="str">
        <f>+'15. ОПП'!$F$7</f>
        <v>2030 г.</v>
      </c>
      <c r="N26" s="4283" t="str">
        <f>+'15. ОПП'!$G$7</f>
        <v>2031 г.</v>
      </c>
      <c r="O26" s="4283" t="s">
        <v>1593</v>
      </c>
      <c r="P26" s="4283" t="s">
        <v>1594</v>
      </c>
      <c r="Q26" s="4309"/>
      <c r="S26" s="4294" t="s">
        <v>226</v>
      </c>
      <c r="T26" s="3579">
        <f>'12. Разходи'!K11</f>
        <v>28.895134562316255</v>
      </c>
      <c r="U26" s="3579">
        <f>'12. Разходи'!L11</f>
        <v>32.618635563952701</v>
      </c>
      <c r="V26" s="3579">
        <f>'12. Разходи'!M11</f>
        <v>32.141328089889093</v>
      </c>
      <c r="W26" s="3579">
        <f>'12. Разходи'!N11</f>
        <v>31.284798538189317</v>
      </c>
      <c r="X26" s="3579">
        <f>'12. Разходи'!O11</f>
        <v>32.244298724236586</v>
      </c>
      <c r="Y26" s="3579">
        <f>'12. Разходи'!P11</f>
        <v>30.920884922980932</v>
      </c>
      <c r="Z26" s="4292">
        <f>IFERROR((U26-T26)/T26,0)</f>
        <v>0.12886255966748361</v>
      </c>
      <c r="AA26" s="4292">
        <f t="shared" ref="AA26:AA36" si="33">IFERROR((Y26-U26)/U26,0)</f>
        <v>-5.2048487363707402E-2</v>
      </c>
      <c r="AK26" s="3461" t="s">
        <v>305</v>
      </c>
      <c r="AL26" s="3462">
        <f t="shared" ref="AL26:AP26" si="34">AL21-AL22+AL23+AL24+AL25</f>
        <v>1213.7617480813467</v>
      </c>
      <c r="AM26" s="3462">
        <f t="shared" si="34"/>
        <v>1274.2224140918572</v>
      </c>
      <c r="AN26" s="3462">
        <f t="shared" si="34"/>
        <v>1348.7831835571092</v>
      </c>
      <c r="AO26" s="3462">
        <f t="shared" si="34"/>
        <v>1431.6497237764961</v>
      </c>
      <c r="AP26" s="3462">
        <f t="shared" si="34"/>
        <v>1516.5118063482519</v>
      </c>
      <c r="AR26" s="3541" t="s">
        <v>297</v>
      </c>
      <c r="AS26" s="3542">
        <f>AS23+AS24</f>
        <v>0</v>
      </c>
      <c r="AT26" s="3542">
        <f>AT23+AT24</f>
        <v>0</v>
      </c>
      <c r="AU26" s="3542">
        <f>AU23+AU24</f>
        <v>0</v>
      </c>
      <c r="AV26" s="3542">
        <f>AV23+AV24</f>
        <v>0</v>
      </c>
      <c r="AW26" s="3542">
        <f>AW23+AW24</f>
        <v>0</v>
      </c>
    </row>
    <row r="27" spans="1:49" ht="15.75" customHeight="1">
      <c r="A27" s="4299" t="s">
        <v>222</v>
      </c>
      <c r="B27" s="3579">
        <f>'11. Амортиз. план'!L85</f>
        <v>348.8914619666329</v>
      </c>
      <c r="C27" s="3579">
        <f>'11. Амортиз. план'!N85</f>
        <v>357.55771825806113</v>
      </c>
      <c r="D27" s="3579">
        <f>'11. Амортиз. план'!O85</f>
        <v>349.23583083062033</v>
      </c>
      <c r="E27" s="3579">
        <f>'11. Амортиз. план'!P85</f>
        <v>346.85644561812046</v>
      </c>
      <c r="F27" s="3579">
        <f>'11. Амортиз. план'!Q85</f>
        <v>342.07039363494221</v>
      </c>
      <c r="G27" s="3579">
        <f>'11. Амортиз. план'!R85</f>
        <v>332.56856994343144</v>
      </c>
      <c r="I27" s="3572" t="str">
        <f>'9.Инвестиционна програма'!E140</f>
        <v>Доставяне на вода на потребителите</v>
      </c>
      <c r="J27" s="3703">
        <f>SUM(J28:J29)</f>
        <v>665.33333333333337</v>
      </c>
      <c r="K27" s="3703">
        <f t="shared" ref="K27:N27" si="35">SUM(K28:K29)</f>
        <v>668.33333333333337</v>
      </c>
      <c r="L27" s="3703">
        <f t="shared" si="35"/>
        <v>705.66666666666663</v>
      </c>
      <c r="M27" s="3703">
        <f t="shared" si="35"/>
        <v>714.66666666666663</v>
      </c>
      <c r="N27" s="3703">
        <f t="shared" si="35"/>
        <v>698.33333333333337</v>
      </c>
      <c r="O27" s="3703">
        <f>SUM(J27:N27)</f>
        <v>3452.3333333333335</v>
      </c>
      <c r="P27" s="3558">
        <f t="shared" ref="P27:P44" si="36">IFERROR(O27/$O$42,0)</f>
        <v>0.68012871027055433</v>
      </c>
      <c r="Q27" s="4316"/>
      <c r="S27" s="4294" t="s">
        <v>239</v>
      </c>
      <c r="T27" s="3579">
        <f>'12. Разходи'!K29</f>
        <v>31.803552062251342</v>
      </c>
      <c r="U27" s="3579">
        <f>'12. Разходи'!L29</f>
        <v>31.73133924565569</v>
      </c>
      <c r="V27" s="3579">
        <f>'12. Разходи'!M29</f>
        <v>31.553135620472325</v>
      </c>
      <c r="W27" s="3579">
        <f>'12. Разходи'!N29</f>
        <v>30.816293493210374</v>
      </c>
      <c r="X27" s="3579">
        <f>'12. Разходи'!O29</f>
        <v>31.680532371125409</v>
      </c>
      <c r="Y27" s="3579">
        <f>'12. Разходи'!P29</f>
        <v>30.959358042465631</v>
      </c>
      <c r="Z27" s="4292">
        <f t="shared" ref="Z27:Z42" si="37">IFERROR((U27-T27)/T27,0)</f>
        <v>-2.2705896641452084E-3</v>
      </c>
      <c r="AA27" s="4292">
        <f t="shared" si="33"/>
        <v>-2.4328667542632954E-2</v>
      </c>
      <c r="AK27" s="5650" t="s">
        <v>1690</v>
      </c>
      <c r="AL27" s="5651" t="str">
        <f>T76</f>
        <v>Доставяне на вода с непитейни качества</v>
      </c>
      <c r="AM27" s="5652"/>
      <c r="AN27" s="5652"/>
      <c r="AO27" s="5652"/>
      <c r="AP27" s="5652"/>
      <c r="AR27" s="5642" t="s">
        <v>1691</v>
      </c>
      <c r="AS27" s="5647" t="str">
        <f>AL35</f>
        <v>Доставяне на вода на друг ВиК оператор</v>
      </c>
      <c r="AT27" s="5648"/>
      <c r="AU27" s="5648"/>
      <c r="AV27" s="5648"/>
      <c r="AW27" s="5649"/>
    </row>
    <row r="28" spans="1:49" ht="15.75" customHeight="1">
      <c r="A28" s="5631" t="s">
        <v>1657</v>
      </c>
      <c r="B28" s="5631"/>
      <c r="C28" s="5631"/>
      <c r="D28" s="5631"/>
      <c r="E28" s="5631"/>
      <c r="F28" s="5631"/>
      <c r="G28" s="5631"/>
      <c r="I28" s="4317" t="s">
        <v>1615</v>
      </c>
      <c r="J28" s="4313">
        <f>'9.Инвестиционна програма'!I153</f>
        <v>654.33333333333337</v>
      </c>
      <c r="K28" s="4313">
        <f>'9.Инвестиционна програма'!J153</f>
        <v>659.33333333333337</v>
      </c>
      <c r="L28" s="4313">
        <f>'9.Инвестиционна програма'!K153</f>
        <v>690.33333333333326</v>
      </c>
      <c r="M28" s="4313">
        <f>'9.Инвестиционна програма'!L153</f>
        <v>701.33333333333326</v>
      </c>
      <c r="N28" s="4313">
        <f>'9.Инвестиционна програма'!M153</f>
        <v>689.33333333333337</v>
      </c>
      <c r="O28" s="4313">
        <f t="shared" ref="O28:O41" si="38">SUM(J28:N28)</f>
        <v>3394.6666666666665</v>
      </c>
      <c r="P28" s="4318">
        <f t="shared" si="36"/>
        <v>0.66876805883898083</v>
      </c>
      <c r="Q28" s="4319"/>
      <c r="S28" s="4294" t="s">
        <v>446</v>
      </c>
      <c r="T28" s="3579">
        <f>'12. Разходи'!K55</f>
        <v>55.90684802055199</v>
      </c>
      <c r="U28" s="3579">
        <f>'12. Разходи'!L55</f>
        <v>66.279316814519291</v>
      </c>
      <c r="V28" s="3579">
        <f>'12. Разходи'!M55</f>
        <v>66.6552207607741</v>
      </c>
      <c r="W28" s="3579">
        <f>'12. Разходи'!N55</f>
        <v>67.046051879166512</v>
      </c>
      <c r="X28" s="3579">
        <f>'12. Разходи'!O55</f>
        <v>67.452718649844982</v>
      </c>
      <c r="Y28" s="3579">
        <f>'12. Разходи'!P55</f>
        <v>67.835157024844108</v>
      </c>
      <c r="Z28" s="4292">
        <f t="shared" si="37"/>
        <v>0.18553127499075361</v>
      </c>
      <c r="AA28" s="4292">
        <f t="shared" si="33"/>
        <v>2.3473992869884129E-2</v>
      </c>
      <c r="AK28" s="5650"/>
      <c r="AL28" s="4289" t="s">
        <v>1775</v>
      </c>
      <c r="AM28" s="4289" t="s">
        <v>1776</v>
      </c>
      <c r="AN28" s="4289" t="s">
        <v>1777</v>
      </c>
      <c r="AO28" s="4289" t="s">
        <v>1778</v>
      </c>
      <c r="AP28" s="4289" t="s">
        <v>1779</v>
      </c>
      <c r="AR28" s="5643"/>
      <c r="AS28" s="4289" t="s">
        <v>1775</v>
      </c>
      <c r="AT28" s="4289" t="s">
        <v>1776</v>
      </c>
      <c r="AU28" s="4289" t="s">
        <v>1777</v>
      </c>
      <c r="AV28" s="4289" t="s">
        <v>1778</v>
      </c>
      <c r="AW28" s="4289" t="s">
        <v>1779</v>
      </c>
    </row>
    <row r="29" spans="1:49" ht="15.75" customHeight="1">
      <c r="A29" s="4293" t="s">
        <v>334</v>
      </c>
      <c r="B29" s="3703">
        <f>'11. Амортиз. план'!L111</f>
        <v>79.538929999999993</v>
      </c>
      <c r="C29" s="3703">
        <f>'11. Амортиз. план'!N111</f>
        <v>157.20559666666665</v>
      </c>
      <c r="D29" s="3703">
        <f>'11. Амортиз. план'!O111</f>
        <v>205.53892999999999</v>
      </c>
      <c r="E29" s="3703">
        <f>'11. Амортиз. план'!P111</f>
        <v>253.87226333333331</v>
      </c>
      <c r="F29" s="3703">
        <f>'11. Амортиз. план'!Q111</f>
        <v>302.20559666666662</v>
      </c>
      <c r="G29" s="3703">
        <f>'11. Амортиз. план'!R111</f>
        <v>350.53892999999994</v>
      </c>
      <c r="I29" s="4317" t="s">
        <v>1616</v>
      </c>
      <c r="J29" s="4313">
        <f>'9.Инвестиционна програма'!I147</f>
        <v>11</v>
      </c>
      <c r="K29" s="4313">
        <f>'9.Инвестиционна програма'!J147</f>
        <v>9</v>
      </c>
      <c r="L29" s="4313">
        <f>'9.Инвестиционна програма'!K147</f>
        <v>15.333333333333332</v>
      </c>
      <c r="M29" s="4313">
        <f>'9.Инвестиционна програма'!L147</f>
        <v>13.333333333333332</v>
      </c>
      <c r="N29" s="4313">
        <f>'9.Инвестиционна програма'!M147</f>
        <v>9</v>
      </c>
      <c r="O29" s="4313">
        <f t="shared" si="38"/>
        <v>57.666666666666657</v>
      </c>
      <c r="P29" s="4318">
        <f t="shared" si="36"/>
        <v>1.1360651431573415E-2</v>
      </c>
      <c r="Q29" s="4319"/>
      <c r="S29" s="4300" t="s">
        <v>447</v>
      </c>
      <c r="T29" s="4296">
        <f>'12. Разходи'!K56</f>
        <v>15.546651353885323</v>
      </c>
      <c r="U29" s="4296">
        <f>'12. Разходи'!L56</f>
        <v>17.945983481185962</v>
      </c>
      <c r="V29" s="4296">
        <f>'12. Разходи'!M56</f>
        <v>18.321887427440771</v>
      </c>
      <c r="W29" s="4296">
        <f>'12. Разходи'!N56</f>
        <v>18.712718545833184</v>
      </c>
      <c r="X29" s="4296">
        <f>'12. Разходи'!O56</f>
        <v>19.119385316511654</v>
      </c>
      <c r="Y29" s="4296">
        <f>'12. Разходи'!P56</f>
        <v>19.501823691510772</v>
      </c>
      <c r="Z29" s="4292">
        <f t="shared" si="37"/>
        <v>0.15433112074652736</v>
      </c>
      <c r="AA29" s="4292">
        <f t="shared" si="33"/>
        <v>8.669573400398517E-2</v>
      </c>
      <c r="AK29" s="3460" t="s">
        <v>547</v>
      </c>
      <c r="AL29" s="3567">
        <f>'17. РБА'!C52</f>
        <v>0</v>
      </c>
      <c r="AM29" s="3567">
        <f>'17. РБА'!D52</f>
        <v>0</v>
      </c>
      <c r="AN29" s="3567">
        <f>'17. РБА'!E52</f>
        <v>0</v>
      </c>
      <c r="AO29" s="3567">
        <f>'17. РБА'!F52</f>
        <v>0</v>
      </c>
      <c r="AP29" s="3567">
        <f>'17. РБА'!G52</f>
        <v>0</v>
      </c>
      <c r="AR29" s="3568" t="s">
        <v>294</v>
      </c>
      <c r="AS29" s="3305">
        <f>'16. Необходими приходи'!D40</f>
        <v>89.253076951278388</v>
      </c>
      <c r="AT29" s="3305">
        <f>'16. Необходими приходи'!E40</f>
        <v>99.43088557769623</v>
      </c>
      <c r="AU29" s="3305">
        <f>'16. Необходими приходи'!F40</f>
        <v>108.767419078399</v>
      </c>
      <c r="AV29" s="3305">
        <f>'16. Необходими приходи'!G40</f>
        <v>119.98757915504642</v>
      </c>
      <c r="AW29" s="3305">
        <f>'16. Необходими приходи'!H40</f>
        <v>131.06915050662528</v>
      </c>
    </row>
    <row r="30" spans="1:49" ht="15.75" customHeight="1">
      <c r="A30" s="4295" t="s">
        <v>218</v>
      </c>
      <c r="B30" s="4296">
        <f>'11. Амортиз. план'!L131</f>
        <v>1.4074199999999999</v>
      </c>
      <c r="C30" s="4296">
        <f>'11. Амортиз. план'!N131</f>
        <v>2.0324880673606445</v>
      </c>
      <c r="D30" s="4296">
        <f>'11. Амортиз. план'!O131</f>
        <v>2.3049593094386145</v>
      </c>
      <c r="E30" s="4296">
        <f>'11. Амортиз. план'!P131</f>
        <v>2.6050096393590039</v>
      </c>
      <c r="F30" s="4296">
        <f>'11. Амортиз. план'!Q131</f>
        <v>2.9116864115098871</v>
      </c>
      <c r="G30" s="4296">
        <f>'11. Амортиз. план'!R131</f>
        <v>3.2258642573829102</v>
      </c>
      <c r="I30" s="3572" t="str">
        <f>'9.Инвестиционна програма'!E141</f>
        <v>Отвеждане на отпадъчните води</v>
      </c>
      <c r="J30" s="3703">
        <f>SUM(J31:J32)</f>
        <v>60.333333333333329</v>
      </c>
      <c r="K30" s="3703">
        <f t="shared" ref="K30" si="39">SUM(K31:K32)</f>
        <v>58.333333333333329</v>
      </c>
      <c r="L30" s="3703">
        <f t="shared" ref="L30" si="40">SUM(L31:L32)</f>
        <v>64.666666666666657</v>
      </c>
      <c r="M30" s="3703">
        <f t="shared" ref="M30" si="41">SUM(M31:M32)</f>
        <v>62.666666666666657</v>
      </c>
      <c r="N30" s="3703">
        <f t="shared" ref="N30" si="42">SUM(N31:N32)</f>
        <v>58.333333333333329</v>
      </c>
      <c r="O30" s="3703">
        <f t="shared" ref="O30:O39" si="43">SUM(J30:N30)</f>
        <v>304.33333333333331</v>
      </c>
      <c r="P30" s="3558">
        <f t="shared" si="36"/>
        <v>5.9955345416338318E-2</v>
      </c>
      <c r="Q30" s="4316"/>
      <c r="S30" s="4300" t="s">
        <v>736</v>
      </c>
      <c r="T30" s="4296">
        <f>'12. Разходи'!K57</f>
        <v>1.01101</v>
      </c>
      <c r="U30" s="4296">
        <f>'12. Разходи'!L57</f>
        <v>2.0324880673606445</v>
      </c>
      <c r="V30" s="4296">
        <f>'12. Разходи'!M57</f>
        <v>2.3049593094386145</v>
      </c>
      <c r="W30" s="4296">
        <f>'12. Разходи'!N57</f>
        <v>2.6050096393590039</v>
      </c>
      <c r="X30" s="4296">
        <f>'12. Разходи'!O57</f>
        <v>2.9116864115098871</v>
      </c>
      <c r="Y30" s="4296">
        <f>'12. Разходи'!P57</f>
        <v>3.2258642573829102</v>
      </c>
      <c r="Z30" s="4292">
        <f t="shared" si="37"/>
        <v>1.0103540690602908</v>
      </c>
      <c r="AA30" s="4292">
        <f t="shared" si="33"/>
        <v>0.58715040407197294</v>
      </c>
      <c r="AK30" s="3460" t="s">
        <v>548</v>
      </c>
      <c r="AL30" s="3567">
        <f>'17. РБА'!C55</f>
        <v>0</v>
      </c>
      <c r="AM30" s="3567">
        <f>'17. РБА'!D55</f>
        <v>0</v>
      </c>
      <c r="AN30" s="3567">
        <f>'17. РБА'!E55</f>
        <v>0</v>
      </c>
      <c r="AO30" s="3567">
        <f>'17. РБА'!F55</f>
        <v>0</v>
      </c>
      <c r="AP30" s="3567">
        <f>'17. РБА'!G55</f>
        <v>0</v>
      </c>
      <c r="AR30" s="3568" t="s">
        <v>296</v>
      </c>
      <c r="AS30" s="3305">
        <f>'16. Необходими приходи'!D41</f>
        <v>2889.0135484228877</v>
      </c>
      <c r="AT30" s="3305">
        <f>'16. Необходими приходи'!E41</f>
        <v>2939.5534416523446</v>
      </c>
      <c r="AU30" s="3305">
        <f>'16. Необходими приходи'!F41</f>
        <v>3166.2110731195448</v>
      </c>
      <c r="AV30" s="3305">
        <f>'16. Необходими приходи'!G41</f>
        <v>3449.7256009106445</v>
      </c>
      <c r="AW30" s="3305">
        <f>'16. Необходими приходи'!H41</f>
        <v>3738.4156003027051</v>
      </c>
    </row>
    <row r="31" spans="1:49" ht="18.75" customHeight="1">
      <c r="A31" s="4299" t="s">
        <v>220</v>
      </c>
      <c r="B31" s="3579">
        <f>'11. Амортиз. план'!L151</f>
        <v>4.2585199999999999</v>
      </c>
      <c r="C31" s="3579">
        <f>'11. Амортиз. план'!N151</f>
        <v>8.000064921206798</v>
      </c>
      <c r="D31" s="3579">
        <f>'11. Амортиз. план'!O151</f>
        <v>10.305024230645413</v>
      </c>
      <c r="E31" s="3579">
        <f>'11. Амортиз. план'!P151</f>
        <v>12.910033870004417</v>
      </c>
      <c r="F31" s="3579">
        <f>'11. Амортиз. план'!Q151</f>
        <v>15.821720281514304</v>
      </c>
      <c r="G31" s="3579">
        <f>'11. Амортиз. план'!R151</f>
        <v>19.047584538897215</v>
      </c>
      <c r="I31" s="4317" t="s">
        <v>1615</v>
      </c>
      <c r="J31" s="4313">
        <f>'9.Инвестиционна програма'!I154</f>
        <v>48.333333333333329</v>
      </c>
      <c r="K31" s="4313">
        <f>'9.Инвестиционна програма'!J154</f>
        <v>48.333333333333329</v>
      </c>
      <c r="L31" s="4313">
        <f>'9.Инвестиционна програма'!K154</f>
        <v>48.333333333333329</v>
      </c>
      <c r="M31" s="4313">
        <f>'9.Инвестиционна програма'!L154</f>
        <v>48.333333333333329</v>
      </c>
      <c r="N31" s="4313">
        <f>'9.Инвестиционна програма'!M154</f>
        <v>48.333333333333329</v>
      </c>
      <c r="O31" s="4313">
        <f t="shared" si="38"/>
        <v>241.66666666666663</v>
      </c>
      <c r="P31" s="4318">
        <f t="shared" si="36"/>
        <v>4.760966640399264E-2</v>
      </c>
      <c r="Q31" s="4319"/>
      <c r="S31" s="4300" t="s">
        <v>737</v>
      </c>
      <c r="T31" s="4296">
        <f>'12. Разходи'!K58</f>
        <v>39.349186666666668</v>
      </c>
      <c r="U31" s="4296">
        <f>'12. Разходи'!L58</f>
        <v>46.300845265972683</v>
      </c>
      <c r="V31" s="4296">
        <f>'12. Разходи'!M58</f>
        <v>46.028374023894713</v>
      </c>
      <c r="W31" s="4296">
        <f>'12. Разходи'!N58</f>
        <v>45.728323693974325</v>
      </c>
      <c r="X31" s="4296">
        <f>'12. Разходи'!O58</f>
        <v>45.421646921823438</v>
      </c>
      <c r="Y31" s="4296">
        <f>'12. Разходи'!P58</f>
        <v>45.107469075950419</v>
      </c>
      <c r="Z31" s="4292">
        <f t="shared" si="37"/>
        <v>0.17666587770147932</v>
      </c>
      <c r="AA31" s="4292">
        <f t="shared" si="33"/>
        <v>-2.5774393170728934E-2</v>
      </c>
      <c r="AK31" s="3460" t="s">
        <v>549</v>
      </c>
      <c r="AL31" s="3567">
        <f>'17. РБА'!C58</f>
        <v>0</v>
      </c>
      <c r="AM31" s="3567">
        <f>'17. РБА'!D58</f>
        <v>0</v>
      </c>
      <c r="AN31" s="3567">
        <f>'17. РБА'!E58</f>
        <v>0</v>
      </c>
      <c r="AO31" s="3567">
        <f>'17. РБА'!F58</f>
        <v>0</v>
      </c>
      <c r="AP31" s="3567">
        <f>'17. РБА'!G58</f>
        <v>0</v>
      </c>
      <c r="AR31" s="3568" t="s">
        <v>1785</v>
      </c>
      <c r="AS31" s="3305">
        <f>'12. Разходи'!AJ17</f>
        <v>387.19523685636199</v>
      </c>
      <c r="AT31" s="3305">
        <f>'12. Разходи'!AK17</f>
        <v>387.66540248461638</v>
      </c>
      <c r="AU31" s="3305">
        <f>'12. Разходи'!AL17</f>
        <v>388.13624904687413</v>
      </c>
      <c r="AV31" s="3305">
        <f>'12. Разходи'!AM17</f>
        <v>388.60783804313564</v>
      </c>
      <c r="AW31" s="3305">
        <f>'12. Разходи'!AN17</f>
        <v>389.08091190740419</v>
      </c>
    </row>
    <row r="32" spans="1:49" ht="15.75" customHeight="1">
      <c r="A32" s="4299" t="s">
        <v>222</v>
      </c>
      <c r="B32" s="3579">
        <f>'11. Амортиз. план'!L171</f>
        <v>75.280409999999989</v>
      </c>
      <c r="C32" s="3579">
        <f>'11. Амортиз. план'!N171</f>
        <v>149.20553174545987</v>
      </c>
      <c r="D32" s="3579">
        <f>'11. Амортиз. план'!O171</f>
        <v>195.23390576935458</v>
      </c>
      <c r="E32" s="3579">
        <f>'11. Амортиз. план'!P171</f>
        <v>240.9622294633289</v>
      </c>
      <c r="F32" s="3579">
        <f>'11. Амортиз. план'!Q171</f>
        <v>286.38387638515229</v>
      </c>
      <c r="G32" s="3579">
        <f>'11. Амортиз. план'!R171</f>
        <v>331.4913454611027</v>
      </c>
      <c r="I32" s="4317" t="s">
        <v>1616</v>
      </c>
      <c r="J32" s="4313">
        <f>'9.Инвестиционна програма'!I148</f>
        <v>12</v>
      </c>
      <c r="K32" s="4313">
        <f>'9.Инвестиционна програма'!J148</f>
        <v>10</v>
      </c>
      <c r="L32" s="4313">
        <f>'9.Инвестиционна програма'!K148</f>
        <v>16.333333333333332</v>
      </c>
      <c r="M32" s="4313">
        <f>'9.Инвестиционна програма'!L148</f>
        <v>14.333333333333332</v>
      </c>
      <c r="N32" s="4313">
        <f>'9.Инвестиционна програма'!M148</f>
        <v>10</v>
      </c>
      <c r="O32" s="4313">
        <f t="shared" si="38"/>
        <v>62.666666666666657</v>
      </c>
      <c r="P32" s="4318">
        <f t="shared" si="36"/>
        <v>1.2345679012345677E-2</v>
      </c>
      <c r="Q32" s="4319"/>
      <c r="S32" s="4294" t="s">
        <v>448</v>
      </c>
      <c r="T32" s="3579">
        <f>'12. Разходи'!K59</f>
        <v>134.9475993023747</v>
      </c>
      <c r="U32" s="3579">
        <f>'12. Разходи'!L59</f>
        <v>303.42793629628341</v>
      </c>
      <c r="V32" s="3579">
        <f>'12. Разходи'!M59</f>
        <v>343.87189525875783</v>
      </c>
      <c r="W32" s="3579">
        <f>'12. Разходи'!N59</f>
        <v>390.15042170055636</v>
      </c>
      <c r="X32" s="3579">
        <f>'12. Разходи'!O59</f>
        <v>443.10372122729319</v>
      </c>
      <c r="Y32" s="3579">
        <f>'12. Разходи'!P59</f>
        <v>503.69270682527917</v>
      </c>
      <c r="Z32" s="4292">
        <f t="shared" si="37"/>
        <v>1.2484871006589586</v>
      </c>
      <c r="AA32" s="4292">
        <f t="shared" si="33"/>
        <v>0.66000768740504645</v>
      </c>
      <c r="AK32" s="3460" t="s">
        <v>329</v>
      </c>
      <c r="AL32" s="3574">
        <f>'17. РБА'!C61</f>
        <v>0</v>
      </c>
      <c r="AM32" s="3574">
        <f>'17. РБА'!D61</f>
        <v>0</v>
      </c>
      <c r="AN32" s="3574">
        <f>'17. РБА'!E61</f>
        <v>0</v>
      </c>
      <c r="AO32" s="3574">
        <f>'17. РБА'!F61</f>
        <v>0</v>
      </c>
      <c r="AP32" s="3574">
        <f>'17. РБА'!G61</f>
        <v>0</v>
      </c>
      <c r="AR32" s="3541" t="s">
        <v>297</v>
      </c>
      <c r="AS32" s="3542">
        <f>AS29+AS30</f>
        <v>2978.2666253741659</v>
      </c>
      <c r="AT32" s="3542">
        <f>AT29+AT30</f>
        <v>3038.9843272300409</v>
      </c>
      <c r="AU32" s="3542">
        <f>AU29+AU30</f>
        <v>3274.978492197944</v>
      </c>
      <c r="AV32" s="3542">
        <f>AV29+AV30</f>
        <v>3569.7131800656907</v>
      </c>
      <c r="AW32" s="3542">
        <f>AW29+AW30</f>
        <v>3869.4847508093303</v>
      </c>
    </row>
    <row r="33" spans="1:44" ht="15.75" customHeight="1">
      <c r="A33" s="5631" t="s">
        <v>1658</v>
      </c>
      <c r="B33" s="5631"/>
      <c r="C33" s="5631"/>
      <c r="D33" s="5631"/>
      <c r="E33" s="5631"/>
      <c r="F33" s="5631"/>
      <c r="G33" s="5631"/>
      <c r="I33" s="3572" t="str">
        <f>'9.Инвестиционна програма'!E142</f>
        <v>Пречистване на отпадъчните води</v>
      </c>
      <c r="J33" s="3703">
        <f>SUM(J34:J35)</f>
        <v>84.333333333333329</v>
      </c>
      <c r="K33" s="3703">
        <f t="shared" ref="K33" si="44">SUM(K34:K35)</f>
        <v>82.333333333333329</v>
      </c>
      <c r="L33" s="3703">
        <f t="shared" ref="L33" si="45">SUM(L34:L35)</f>
        <v>88.666666666666657</v>
      </c>
      <c r="M33" s="3703">
        <f t="shared" ref="M33" si="46">SUM(M34:M35)</f>
        <v>86.666666666666657</v>
      </c>
      <c r="N33" s="3703">
        <f t="shared" ref="N33" si="47">SUM(N34:N35)</f>
        <v>82.333333333333329</v>
      </c>
      <c r="O33" s="3703">
        <f t="shared" si="43"/>
        <v>424.33333333333331</v>
      </c>
      <c r="P33" s="3558">
        <f t="shared" si="36"/>
        <v>8.3596007354872603E-2</v>
      </c>
      <c r="Q33" s="4316"/>
      <c r="S33" s="4294" t="s">
        <v>449</v>
      </c>
      <c r="T33" s="3579">
        <f>'12. Разходи'!K63</f>
        <v>39.950415243085629</v>
      </c>
      <c r="U33" s="3579">
        <f>'12. Разходи'!L63</f>
        <v>88.488089059659657</v>
      </c>
      <c r="V33" s="3579">
        <f>'12. Разходи'!M63</f>
        <v>102.26707932499346</v>
      </c>
      <c r="W33" s="3579">
        <f>'12. Разходи'!N63</f>
        <v>115.66194536494544</v>
      </c>
      <c r="X33" s="3579">
        <f>'12. Разходи'!O63</f>
        <v>129.55903834234115</v>
      </c>
      <c r="Y33" s="3579">
        <f>'12. Разходи'!P63</f>
        <v>143.94065297337363</v>
      </c>
      <c r="Z33" s="4292">
        <f t="shared" si="37"/>
        <v>1.214947917843598</v>
      </c>
      <c r="AA33" s="4292">
        <f t="shared" si="33"/>
        <v>0.62666698425736411</v>
      </c>
      <c r="AK33" s="3460" t="s">
        <v>306</v>
      </c>
      <c r="AL33" s="3567">
        <f>'17. РБА'!C62</f>
        <v>0</v>
      </c>
      <c r="AM33" s="3567">
        <f>'17. РБА'!D62</f>
        <v>0</v>
      </c>
      <c r="AN33" s="3567">
        <f>'17. РБА'!E62</f>
        <v>0</v>
      </c>
      <c r="AO33" s="3567">
        <f>'17. РБА'!F62</f>
        <v>0</v>
      </c>
      <c r="AP33" s="3567">
        <f>'17. РБА'!G62</f>
        <v>0</v>
      </c>
      <c r="AR33" s="4281"/>
    </row>
    <row r="34" spans="1:44" ht="12.75" customHeight="1">
      <c r="A34" s="4293" t="s">
        <v>334</v>
      </c>
      <c r="B34" s="3703">
        <f>'11. Амортиз. план'!L192</f>
        <v>42059.709390000025</v>
      </c>
      <c r="C34" s="3703">
        <f>'11. Амортиз. план'!N192</f>
        <v>42533.653370000029</v>
      </c>
      <c r="D34" s="3703">
        <f>'11. Амортиз. план'!O192</f>
        <v>42533.653370000029</v>
      </c>
      <c r="E34" s="3703">
        <f>'11. Амортиз. план'!P192</f>
        <v>42533.653370000029</v>
      </c>
      <c r="F34" s="3703">
        <f>'11. Амортиз. план'!Q192</f>
        <v>42533.653370000029</v>
      </c>
      <c r="G34" s="3703">
        <f>'11. Амортиз. план'!R192</f>
        <v>42533.653370000029</v>
      </c>
      <c r="I34" s="4317" t="s">
        <v>1615</v>
      </c>
      <c r="J34" s="4313">
        <f>'9.Инвестиционна програма'!I155</f>
        <v>73.333333333333329</v>
      </c>
      <c r="K34" s="4313">
        <f>'9.Инвестиционна програма'!J155</f>
        <v>73.333333333333329</v>
      </c>
      <c r="L34" s="4313">
        <f>'9.Инвестиционна програма'!K155</f>
        <v>73.333333333333329</v>
      </c>
      <c r="M34" s="4313">
        <f>'9.Инвестиционна програма'!L155</f>
        <v>73.333333333333329</v>
      </c>
      <c r="N34" s="4313">
        <f>'9.Инвестиционна програма'!M155</f>
        <v>73.333333333333329</v>
      </c>
      <c r="O34" s="4313">
        <f t="shared" si="38"/>
        <v>366.66666666666663</v>
      </c>
      <c r="P34" s="4318">
        <f t="shared" si="36"/>
        <v>7.2235355923299174E-2</v>
      </c>
      <c r="Q34" s="4319"/>
      <c r="S34" s="4294" t="s">
        <v>450</v>
      </c>
      <c r="T34" s="3579">
        <f>'12. Разходи'!K70</f>
        <v>3.4990109960544906</v>
      </c>
      <c r="U34" s="3579">
        <f>'12. Разходи'!L70</f>
        <v>3.0399949789136045</v>
      </c>
      <c r="V34" s="3579">
        <f>'12. Разходи'!M70</f>
        <v>3.0274761118482667</v>
      </c>
      <c r="W34" s="3579">
        <f>'12. Разходи'!N70</f>
        <v>3.0357576477523427</v>
      </c>
      <c r="X34" s="3579">
        <f>'12. Разходи'!O70</f>
        <v>3.0503057075743625</v>
      </c>
      <c r="Y34" s="3579">
        <f>'12. Разходи'!P70</f>
        <v>3.06789677834806</v>
      </c>
      <c r="Z34" s="4292">
        <f t="shared" si="37"/>
        <v>-0.13118450260901604</v>
      </c>
      <c r="AA34" s="4292">
        <f t="shared" si="33"/>
        <v>9.1782386576265574E-3</v>
      </c>
      <c r="AK34" s="3461" t="s">
        <v>305</v>
      </c>
      <c r="AL34" s="3462">
        <f t="shared" ref="AL34:AP34" si="48">AL29-AL30+AL31+AL32+AL33</f>
        <v>0</v>
      </c>
      <c r="AM34" s="3462">
        <f t="shared" si="48"/>
        <v>0</v>
      </c>
      <c r="AN34" s="3462">
        <f t="shared" si="48"/>
        <v>0</v>
      </c>
      <c r="AO34" s="3462">
        <f t="shared" si="48"/>
        <v>0</v>
      </c>
      <c r="AP34" s="3462">
        <f t="shared" si="48"/>
        <v>0</v>
      </c>
      <c r="AR34" s="4281"/>
    </row>
    <row r="35" spans="1:44" ht="15.75" customHeight="1">
      <c r="A35" s="4295" t="s">
        <v>218</v>
      </c>
      <c r="B35" s="4296">
        <f>'11. Амортиз. план'!L214</f>
        <v>842.94337999999993</v>
      </c>
      <c r="C35" s="4296">
        <f>'11. Амортиз. план'!N214</f>
        <v>852.42225959999996</v>
      </c>
      <c r="D35" s="4296">
        <f>'11. Амортиз. план'!O214</f>
        <v>852.42225959999996</v>
      </c>
      <c r="E35" s="4296">
        <f>'11. Амортиз. план'!P214</f>
        <v>852.42225959999996</v>
      </c>
      <c r="F35" s="4296">
        <f>'11. Амортиз. план'!Q214</f>
        <v>852.42225959999996</v>
      </c>
      <c r="G35" s="4296">
        <f>'11. Амортиз. план'!R214</f>
        <v>852.42225959999996</v>
      </c>
      <c r="I35" s="4317" t="s">
        <v>1616</v>
      </c>
      <c r="J35" s="4313">
        <f>'9.Инвестиционна програма'!I149</f>
        <v>11</v>
      </c>
      <c r="K35" s="4313">
        <f>'9.Инвестиционна програма'!J149</f>
        <v>9</v>
      </c>
      <c r="L35" s="4313">
        <f>'9.Инвестиционна програма'!K149</f>
        <v>15.333333333333332</v>
      </c>
      <c r="M35" s="4313">
        <f>'9.Инвестиционна програма'!L149</f>
        <v>13.333333333333332</v>
      </c>
      <c r="N35" s="4313">
        <f>'9.Инвестиционна програма'!M149</f>
        <v>9</v>
      </c>
      <c r="O35" s="4313">
        <f t="shared" si="38"/>
        <v>57.666666666666657</v>
      </c>
      <c r="P35" s="4318">
        <f t="shared" si="36"/>
        <v>1.1360651431573415E-2</v>
      </c>
      <c r="Q35" s="4319"/>
      <c r="S35" s="4294" t="s">
        <v>267</v>
      </c>
      <c r="T35" s="3579">
        <f>'12. Разходи'!K76</f>
        <v>1.2801262127461539</v>
      </c>
      <c r="U35" s="3579">
        <f>'12. Разходи'!L76</f>
        <v>1.3849006788958513</v>
      </c>
      <c r="V35" s="3579">
        <f>'12. Разходи'!M76</f>
        <v>1.3849006788958513</v>
      </c>
      <c r="W35" s="3579">
        <f>'12. Разходи'!N76</f>
        <v>1.3849006788958513</v>
      </c>
      <c r="X35" s="3579">
        <f>'12. Разходи'!O76</f>
        <v>1.3849006788958513</v>
      </c>
      <c r="Y35" s="3579">
        <f>'12. Разходи'!P76</f>
        <v>1.3849006788958513</v>
      </c>
      <c r="Z35" s="4292">
        <f t="shared" si="37"/>
        <v>8.184698126361542E-2</v>
      </c>
      <c r="AA35" s="4292">
        <f t="shared" si="33"/>
        <v>0</v>
      </c>
      <c r="AK35" s="5650" t="s">
        <v>1690</v>
      </c>
      <c r="AL35" s="5651" t="str">
        <f>T100</f>
        <v>Доставяне на вода на друг ВиК оператор</v>
      </c>
      <c r="AM35" s="5652"/>
      <c r="AN35" s="5652"/>
      <c r="AO35" s="5652"/>
      <c r="AP35" s="5652"/>
      <c r="AR35" s="4281"/>
    </row>
    <row r="36" spans="1:44" ht="15.75" customHeight="1">
      <c r="A36" s="4299" t="s">
        <v>220</v>
      </c>
      <c r="B36" s="3579">
        <f>'11. Амортиз. план'!L236</f>
        <v>11108.463589999999</v>
      </c>
      <c r="C36" s="3579">
        <f>'11. Амортиз. план'!N236</f>
        <v>12813.308109199999</v>
      </c>
      <c r="D36" s="3579">
        <f>'11. Амортиз. план'!O236</f>
        <v>13665.730368799999</v>
      </c>
      <c r="E36" s="3579">
        <f>'11. Амортиз. план'!P236</f>
        <v>14518.152628399999</v>
      </c>
      <c r="F36" s="3579">
        <f>'11. Амортиз. план'!Q236</f>
        <v>15370.574888000001</v>
      </c>
      <c r="G36" s="3579">
        <f>'11. Амортиз. план'!R236</f>
        <v>16222.997147600001</v>
      </c>
      <c r="I36" s="3572" t="str">
        <f>'9.Инвестиционна програма'!E143</f>
        <v>Доставяне на вода с непитейни качества</v>
      </c>
      <c r="J36" s="3703">
        <f>SUM(J37:J38)</f>
        <v>0</v>
      </c>
      <c r="K36" s="3703">
        <f t="shared" ref="K36" si="49">SUM(K37:K38)</f>
        <v>0</v>
      </c>
      <c r="L36" s="3703">
        <f t="shared" ref="L36" si="50">SUM(L37:L38)</f>
        <v>0</v>
      </c>
      <c r="M36" s="3703">
        <f t="shared" ref="M36" si="51">SUM(M37:M38)</f>
        <v>0</v>
      </c>
      <c r="N36" s="3703">
        <f t="shared" ref="N36" si="52">SUM(N37:N38)</f>
        <v>0</v>
      </c>
      <c r="O36" s="3703">
        <f t="shared" si="43"/>
        <v>0</v>
      </c>
      <c r="P36" s="3558">
        <f t="shared" si="36"/>
        <v>0</v>
      </c>
      <c r="Q36" s="4316"/>
      <c r="S36" s="4302" t="s">
        <v>277</v>
      </c>
      <c r="T36" s="4303">
        <f>SUM(T26:T28,T32:T35)</f>
        <v>296.28268639938057</v>
      </c>
      <c r="U36" s="4303">
        <f t="shared" ref="U36" si="53">SUM(U26:U28,U32:U35)</f>
        <v>526.97021263788019</v>
      </c>
      <c r="V36" s="4303">
        <f t="shared" ref="V36" si="54">SUM(V26:V28,V32:V35)</f>
        <v>580.90103584563087</v>
      </c>
      <c r="W36" s="4303">
        <f t="shared" ref="W36" si="55">SUM(W26:W28,W32:W35)</f>
        <v>639.38016930271624</v>
      </c>
      <c r="X36" s="4303">
        <f t="shared" ref="X36" si="56">SUM(X26:X28,X32:X35)</f>
        <v>708.47551570131156</v>
      </c>
      <c r="Y36" s="4303">
        <f t="shared" ref="Y36" si="57">SUM(Y26:Y28,Y32:Y35)</f>
        <v>781.80155724618749</v>
      </c>
      <c r="Z36" s="4304">
        <f t="shared" si="37"/>
        <v>0.77860616508498726</v>
      </c>
      <c r="AA36" s="4304">
        <f t="shared" si="33"/>
        <v>0.48357827159278272</v>
      </c>
      <c r="AK36" s="5650"/>
      <c r="AL36" s="4289" t="s">
        <v>1775</v>
      </c>
      <c r="AM36" s="4289" t="s">
        <v>1776</v>
      </c>
      <c r="AN36" s="4289" t="s">
        <v>1777</v>
      </c>
      <c r="AO36" s="4289" t="s">
        <v>1778</v>
      </c>
      <c r="AP36" s="4289" t="s">
        <v>1779</v>
      </c>
      <c r="AR36" s="4281"/>
    </row>
    <row r="37" spans="1:44" ht="15.75" customHeight="1">
      <c r="A37" s="4299" t="s">
        <v>222</v>
      </c>
      <c r="B37" s="3579">
        <f>'11. Амортиз. план'!L258</f>
        <v>30951.24580000003</v>
      </c>
      <c r="C37" s="3579">
        <f>'11. Амортиз. план'!N258</f>
        <v>29720.345260800033</v>
      </c>
      <c r="D37" s="3579">
        <f>'11. Амортиз. план'!O258</f>
        <v>28867.923001200033</v>
      </c>
      <c r="E37" s="3579">
        <f>'11. Амортиз. план'!P258</f>
        <v>28015.500741600034</v>
      </c>
      <c r="F37" s="3579">
        <f>'11. Амортиз. план'!Q258</f>
        <v>27163.078482000034</v>
      </c>
      <c r="G37" s="3579">
        <f>'11. Амортиз. план'!R258</f>
        <v>26310.65622240003</v>
      </c>
      <c r="I37" s="4317" t="s">
        <v>1615</v>
      </c>
      <c r="J37" s="4313">
        <f>'9.Инвестиционна програма'!I156</f>
        <v>0</v>
      </c>
      <c r="K37" s="4313">
        <f>'9.Инвестиционна програма'!J156</f>
        <v>0</v>
      </c>
      <c r="L37" s="4313">
        <f>'9.Инвестиционна програма'!K156</f>
        <v>0</v>
      </c>
      <c r="M37" s="4313">
        <f>'9.Инвестиционна програма'!L156</f>
        <v>0</v>
      </c>
      <c r="N37" s="4313">
        <f>'9.Инвестиционна програма'!M156</f>
        <v>0</v>
      </c>
      <c r="O37" s="4313">
        <f t="shared" si="38"/>
        <v>0</v>
      </c>
      <c r="P37" s="4318">
        <f t="shared" si="36"/>
        <v>0</v>
      </c>
      <c r="Q37" s="4319"/>
      <c r="S37" s="4310" t="str">
        <f>CONCATENATE("Спестявания и увеличения спрямо ",T25," - нето:")</f>
        <v>Спестявания и увеличения спрямо 2024 г. - нето:</v>
      </c>
      <c r="T37" s="4311"/>
      <c r="U37" s="4310">
        <f>U36-$T36</f>
        <v>230.68752623849963</v>
      </c>
      <c r="V37" s="4310">
        <f t="shared" ref="V37" si="58">V36-$T36</f>
        <v>284.61834944625031</v>
      </c>
      <c r="W37" s="4310">
        <f t="shared" ref="W37" si="59">W36-$T36</f>
        <v>343.09748290333567</v>
      </c>
      <c r="X37" s="4310">
        <f t="shared" ref="X37" si="60">X36-$T36</f>
        <v>412.192829301931</v>
      </c>
      <c r="Y37" s="4310">
        <f t="shared" ref="Y37" si="61">Y36-$T36</f>
        <v>485.51887084680692</v>
      </c>
      <c r="Z37" s="4311"/>
      <c r="AA37" s="4311"/>
      <c r="AK37" s="3460" t="s">
        <v>547</v>
      </c>
      <c r="AL37" s="3567">
        <f>'17. РБА'!C66</f>
        <v>954.28410286249175</v>
      </c>
      <c r="AM37" s="3567">
        <f>'17. РБА'!D66</f>
        <v>1250.2841028624919</v>
      </c>
      <c r="AN37" s="3567">
        <f>'17. РБА'!E66</f>
        <v>1391.2841028624919</v>
      </c>
      <c r="AO37" s="3567">
        <f>'17. РБА'!F66</f>
        <v>1527.2841028624919</v>
      </c>
      <c r="AP37" s="3567">
        <f>'17. РБА'!G66</f>
        <v>1688.2841028624919</v>
      </c>
      <c r="AR37" s="4281"/>
    </row>
    <row r="38" spans="1:44" ht="15.75" customHeight="1">
      <c r="A38" s="2" t="s">
        <v>184</v>
      </c>
      <c r="B38" s="11"/>
      <c r="C38" s="11"/>
      <c r="D38" s="11"/>
      <c r="E38" s="11"/>
      <c r="F38" s="11"/>
      <c r="G38" s="3446" t="s">
        <v>1634</v>
      </c>
      <c r="I38" s="4317" t="s">
        <v>1616</v>
      </c>
      <c r="J38" s="4313">
        <f>'9.Инвестиционна програма'!I150</f>
        <v>0</v>
      </c>
      <c r="K38" s="4313">
        <f>'9.Инвестиционна програма'!J150</f>
        <v>0</v>
      </c>
      <c r="L38" s="4313">
        <f>'9.Инвестиционна програма'!K150</f>
        <v>0</v>
      </c>
      <c r="M38" s="4313">
        <f>'9.Инвестиционна програма'!L150</f>
        <v>0</v>
      </c>
      <c r="N38" s="4313">
        <f>'9.Инвестиционна програма'!M150</f>
        <v>0</v>
      </c>
      <c r="O38" s="4313">
        <f t="shared" si="38"/>
        <v>0</v>
      </c>
      <c r="P38" s="4318">
        <f t="shared" si="36"/>
        <v>0</v>
      </c>
      <c r="Q38" s="4319"/>
      <c r="S38" s="4294" t="s">
        <v>1668</v>
      </c>
      <c r="T38" s="3579">
        <f>'12. Разходи'!K92</f>
        <v>171.3780758813059</v>
      </c>
      <c r="U38" s="3579">
        <f>'12. Разходи'!L92</f>
        <v>303.44805773073233</v>
      </c>
      <c r="V38" s="3579">
        <f>'12. Разходи'!M92</f>
        <v>336.42648555251208</v>
      </c>
      <c r="W38" s="3579">
        <f>'12. Разходи'!N92</f>
        <v>371.71656217928495</v>
      </c>
      <c r="X38" s="3579">
        <f>'12. Разходи'!O92</f>
        <v>414.75289305993505</v>
      </c>
      <c r="Y38" s="3579">
        <f>'12. Разходи'!P92</f>
        <v>458.80407724336823</v>
      </c>
      <c r="Z38" s="4292">
        <f t="shared" si="37"/>
        <v>0.77063522373127979</v>
      </c>
      <c r="AA38" s="4292">
        <f t="shared" ref="AA38:AA42" si="62">IFERROR((Y38-U38)/U38,0)</f>
        <v>0.51196906869146153</v>
      </c>
      <c r="AK38" s="3460" t="s">
        <v>548</v>
      </c>
      <c r="AL38" s="3567">
        <f>'17. РБА'!C69</f>
        <v>585.6018232359761</v>
      </c>
      <c r="AM38" s="3567">
        <f>'17. РБА'!D69</f>
        <v>636.20458305210241</v>
      </c>
      <c r="AN38" s="3567">
        <f>'17. РБА'!E69</f>
        <v>696.35734286822913</v>
      </c>
      <c r="AO38" s="3567">
        <f>'17. РБА'!F69</f>
        <v>762.96010268435566</v>
      </c>
      <c r="AP38" s="3567">
        <f>'17. РБА'!G69</f>
        <v>836.21286250048217</v>
      </c>
      <c r="AR38" s="4281"/>
    </row>
    <row r="39" spans="1:44" ht="15.75" customHeight="1">
      <c r="A39" s="5632" t="s">
        <v>87</v>
      </c>
      <c r="B39" s="5636" t="s">
        <v>184</v>
      </c>
      <c r="C39" s="5636"/>
      <c r="D39" s="5636"/>
      <c r="E39" s="5636"/>
      <c r="F39" s="5636"/>
      <c r="G39" s="5636"/>
      <c r="I39" s="3572" t="str">
        <f>'9.Инвестиционна програма'!E144</f>
        <v>Доставяне на вода на друг ВиК оператор</v>
      </c>
      <c r="J39" s="3703">
        <f>SUM(J40:J41)</f>
        <v>296</v>
      </c>
      <c r="K39" s="3703">
        <f t="shared" ref="K39" si="63">SUM(K40:K41)</f>
        <v>141</v>
      </c>
      <c r="L39" s="3703">
        <f t="shared" ref="L39" si="64">SUM(L40:L41)</f>
        <v>136</v>
      </c>
      <c r="M39" s="3703">
        <f t="shared" ref="M39" si="65">SUM(M40:M41)</f>
        <v>161</v>
      </c>
      <c r="N39" s="3703">
        <f t="shared" ref="N39" si="66">SUM(N40:N41)</f>
        <v>161</v>
      </c>
      <c r="O39" s="3703">
        <f t="shared" si="43"/>
        <v>895</v>
      </c>
      <c r="P39" s="3558">
        <f t="shared" si="36"/>
        <v>0.17631993695823484</v>
      </c>
      <c r="Q39" s="4316"/>
      <c r="S39" s="4294" t="s">
        <v>1670</v>
      </c>
      <c r="T39" s="3579">
        <f>'12. Разходи'!K93</f>
        <v>68.997762497522672</v>
      </c>
      <c r="U39" s="3579">
        <f>'12. Разходи'!L93</f>
        <v>157.24283809262857</v>
      </c>
      <c r="V39" s="3579">
        <f>'12. Разходи'!M93</f>
        <v>177.81932953234468</v>
      </c>
      <c r="W39" s="3579">
        <f>'12. Разходи'!N93</f>
        <v>200.61755524426479</v>
      </c>
      <c r="X39" s="3579">
        <f>'12. Разходи'!O93</f>
        <v>226.26990399153152</v>
      </c>
      <c r="Y39" s="3579">
        <f>'12. Разходи'!P93</f>
        <v>255.16232297797518</v>
      </c>
      <c r="Z39" s="4292">
        <f t="shared" si="37"/>
        <v>1.2789556124848873</v>
      </c>
      <c r="AA39" s="4292">
        <f t="shared" si="62"/>
        <v>0.62272778889722291</v>
      </c>
      <c r="AK39" s="3460" t="s">
        <v>549</v>
      </c>
      <c r="AL39" s="3567">
        <f>'17. РБА'!C72</f>
        <v>0</v>
      </c>
      <c r="AM39" s="3567">
        <f>'17. РБА'!D72</f>
        <v>0</v>
      </c>
      <c r="AN39" s="3567">
        <f>'17. РБА'!E72</f>
        <v>0</v>
      </c>
      <c r="AO39" s="3567">
        <f>'17. РБА'!F72</f>
        <v>0</v>
      </c>
      <c r="AP39" s="3567">
        <f>'17. РБА'!G72</f>
        <v>0</v>
      </c>
      <c r="AR39" s="4281"/>
    </row>
    <row r="40" spans="1:44" ht="13.5" customHeight="1">
      <c r="A40" s="5632"/>
      <c r="B40" s="4283" t="str">
        <f>+'15. ОПП'!$B$7</f>
        <v>2024 г.</v>
      </c>
      <c r="C40" s="4283" t="str">
        <f>+'15. ОПП'!$C$7</f>
        <v>2027 г.</v>
      </c>
      <c r="D40" s="4283" t="str">
        <f>+'15. ОПП'!$D$7</f>
        <v>2028 г.</v>
      </c>
      <c r="E40" s="4283" t="str">
        <f>+'15. ОПП'!$E$7</f>
        <v>2029 г.</v>
      </c>
      <c r="F40" s="4283" t="str">
        <f>+'15. ОПП'!$F$7</f>
        <v>2030 г.</v>
      </c>
      <c r="G40" s="4283" t="str">
        <f>+'15. ОПП'!$G$7</f>
        <v>2031 г.</v>
      </c>
      <c r="I40" s="4317" t="s">
        <v>1615</v>
      </c>
      <c r="J40" s="4313">
        <f>'9.Инвестиционна програма'!I157</f>
        <v>290</v>
      </c>
      <c r="K40" s="4313">
        <f>'9.Инвестиционна програма'!J157</f>
        <v>135</v>
      </c>
      <c r="L40" s="4313">
        <f>'9.Инвестиционна програма'!K157</f>
        <v>130</v>
      </c>
      <c r="M40" s="4313">
        <f>'9.Инвестиционна програма'!L157</f>
        <v>155</v>
      </c>
      <c r="N40" s="4313">
        <f>'9.Инвестиционна програма'!M157</f>
        <v>155</v>
      </c>
      <c r="O40" s="4313">
        <f t="shared" si="38"/>
        <v>865</v>
      </c>
      <c r="P40" s="4318">
        <f t="shared" si="36"/>
        <v>0.17040977147360126</v>
      </c>
      <c r="Q40" s="4319"/>
      <c r="S40" s="4313" t="s">
        <v>1669</v>
      </c>
      <c r="T40" s="3579">
        <f>'12. Разходи'!K94</f>
        <v>18.719415964481527</v>
      </c>
      <c r="U40" s="3579">
        <f>'12. Разходи'!L94</f>
        <v>40.892835338014464</v>
      </c>
      <c r="V40" s="3579">
        <f>'12. Разходи'!M94</f>
        <v>46.273907054850795</v>
      </c>
      <c r="W40" s="3579">
        <f>'12. Разходи'!N94</f>
        <v>52.406489708686081</v>
      </c>
      <c r="X40" s="3579">
        <f>'12. Разходи'!O94</f>
        <v>59.367938369573039</v>
      </c>
      <c r="Y40" s="3579">
        <f>'12. Разходи'!P94</f>
        <v>67.271688006706455</v>
      </c>
      <c r="Z40" s="4292">
        <f t="shared" si="37"/>
        <v>1.1845144856872181</v>
      </c>
      <c r="AA40" s="4292">
        <f t="shared" si="62"/>
        <v>0.64507272363601298</v>
      </c>
      <c r="AK40" s="3460" t="s">
        <v>329</v>
      </c>
      <c r="AL40" s="3574">
        <f>'17. РБА'!C75</f>
        <v>296</v>
      </c>
      <c r="AM40" s="3574">
        <f>'17. РБА'!D75</f>
        <v>141</v>
      </c>
      <c r="AN40" s="3574">
        <f>'17. РБА'!E75</f>
        <v>136</v>
      </c>
      <c r="AO40" s="3574">
        <f>'17. РБА'!F75</f>
        <v>161</v>
      </c>
      <c r="AP40" s="3574">
        <f>'17. РБА'!G75</f>
        <v>161</v>
      </c>
      <c r="AR40" s="4281"/>
    </row>
    <row r="41" spans="1:44" ht="15.75" customHeight="1">
      <c r="A41" s="5633" t="s">
        <v>1656</v>
      </c>
      <c r="B41" s="5634"/>
      <c r="C41" s="5634"/>
      <c r="D41" s="5634"/>
      <c r="E41" s="5634"/>
      <c r="F41" s="5634"/>
      <c r="G41" s="5635"/>
      <c r="I41" s="4317" t="s">
        <v>1616</v>
      </c>
      <c r="J41" s="4313">
        <f>'9.Инвестиционна програма'!I151</f>
        <v>6</v>
      </c>
      <c r="K41" s="4313">
        <f>'9.Инвестиционна програма'!J151</f>
        <v>6</v>
      </c>
      <c r="L41" s="4313">
        <f>'9.Инвестиционна програма'!K151</f>
        <v>6</v>
      </c>
      <c r="M41" s="4313">
        <f>'9.Инвестиционна програма'!L151</f>
        <v>6</v>
      </c>
      <c r="N41" s="4313">
        <f>'9.Инвестиционна програма'!M151</f>
        <v>6</v>
      </c>
      <c r="O41" s="4313">
        <f t="shared" si="38"/>
        <v>30</v>
      </c>
      <c r="P41" s="4318">
        <f t="shared" si="36"/>
        <v>5.9101654846335696E-3</v>
      </c>
      <c r="Q41" s="4319"/>
      <c r="S41" s="4294" t="s">
        <v>1672</v>
      </c>
      <c r="T41" s="3579">
        <f>'12. Разходи'!K90</f>
        <v>44.438360887186846</v>
      </c>
      <c r="U41" s="3579">
        <f>'12. Разходи'!L90</f>
        <v>60.49652234425406</v>
      </c>
      <c r="V41" s="3579">
        <f>'12. Разходи'!M90</f>
        <v>63.317377431934894</v>
      </c>
      <c r="W41" s="3579">
        <f>'12. Разходи'!N90</f>
        <v>62.735233319062353</v>
      </c>
      <c r="X41" s="3579">
        <f>'12. Разходи'!O90</f>
        <v>73.715055374870943</v>
      </c>
      <c r="Y41" s="3579">
        <f>'12. Разходи'!P90</f>
        <v>74.307287012469473</v>
      </c>
      <c r="Z41" s="4292">
        <f t="shared" si="37"/>
        <v>0.36135809549396208</v>
      </c>
      <c r="AA41" s="4292">
        <f t="shared" si="62"/>
        <v>0.22829022451283357</v>
      </c>
      <c r="AK41" s="3460" t="s">
        <v>306</v>
      </c>
      <c r="AL41" s="3567">
        <f>'17. РБА'!C76</f>
        <v>423.47498474832247</v>
      </c>
      <c r="AM41" s="3567">
        <f>'17. РБА'!D76</f>
        <v>457.16373432028797</v>
      </c>
      <c r="AN41" s="3567">
        <f>'17. РБА'!E76</f>
        <v>495.14581072585514</v>
      </c>
      <c r="AO41" s="3567">
        <f>'17. РБА'!F76</f>
        <v>537.5427194038441</v>
      </c>
      <c r="AP41" s="3567">
        <f>'17. РБА'!G76</f>
        <v>584.89997957788148</v>
      </c>
      <c r="AR41" s="4281"/>
    </row>
    <row r="42" spans="1:44" ht="15.75" customHeight="1">
      <c r="A42" s="4293" t="s">
        <v>334</v>
      </c>
      <c r="B42" s="3703">
        <f>'11. Амортиз. план'!S10</f>
        <v>1091.7487870295749</v>
      </c>
      <c r="C42" s="3703">
        <f>'11. Амортиз. план'!U10</f>
        <v>1135.082120362908</v>
      </c>
      <c r="D42" s="3703">
        <f>'11. Амортиз. план'!V10</f>
        <v>1144.082120362908</v>
      </c>
      <c r="E42" s="3703">
        <f>'11. Амортиз. план'!W10</f>
        <v>1159.4154536962415</v>
      </c>
      <c r="F42" s="3703">
        <f>'11. Амортиз. план'!X10</f>
        <v>1172.7487870295749</v>
      </c>
      <c r="G42" s="3703">
        <f>'11. Амортиз. план'!Y10</f>
        <v>1181.7487870295745</v>
      </c>
      <c r="I42" s="4297" t="s">
        <v>1028</v>
      </c>
      <c r="J42" s="4298">
        <f>SUM(J27,J30,J33,J36,J39)</f>
        <v>1106</v>
      </c>
      <c r="K42" s="4298">
        <f t="shared" ref="K42:N42" si="67">SUM(K27,K30,K33,K36,K39)</f>
        <v>950.00000000000011</v>
      </c>
      <c r="L42" s="4298">
        <f t="shared" si="67"/>
        <v>994.99999999999989</v>
      </c>
      <c r="M42" s="4298">
        <f t="shared" si="67"/>
        <v>1025</v>
      </c>
      <c r="N42" s="4298">
        <f t="shared" si="67"/>
        <v>1000.0000000000001</v>
      </c>
      <c r="O42" s="4298">
        <f>SUM(O27,O30,O33,O36,O39)</f>
        <v>5076</v>
      </c>
      <c r="P42" s="3558">
        <f t="shared" si="36"/>
        <v>1</v>
      </c>
      <c r="Q42" s="4316"/>
      <c r="S42" s="4294" t="s">
        <v>1231</v>
      </c>
      <c r="T42" s="3579">
        <f>'12. Разходи'!K89</f>
        <v>2.1007854810116919</v>
      </c>
      <c r="U42" s="3579">
        <f>'12. Разходи'!L89</f>
        <v>1.7010960603805048</v>
      </c>
      <c r="V42" s="3579">
        <f>'12. Разходи'!M89</f>
        <v>1.6885771933151665</v>
      </c>
      <c r="W42" s="3579">
        <f>'12. Разходи'!N89</f>
        <v>1.696858729219243</v>
      </c>
      <c r="X42" s="3579">
        <f>'12. Разходи'!O89</f>
        <v>1.7114067890412623</v>
      </c>
      <c r="Y42" s="3579">
        <f>'12. Разходи'!P89</f>
        <v>1.7289978598149598</v>
      </c>
      <c r="Z42" s="4292">
        <f t="shared" si="37"/>
        <v>-0.19025713203173203</v>
      </c>
      <c r="AA42" s="4292">
        <f t="shared" si="62"/>
        <v>1.6402247988402195E-2</v>
      </c>
      <c r="AK42" s="3461" t="s">
        <v>305</v>
      </c>
      <c r="AL42" s="3462">
        <f t="shared" ref="AL42:AP42" si="68">AL37-AL38+AL39+AL40+AL41</f>
        <v>1088.1572643748382</v>
      </c>
      <c r="AM42" s="3462">
        <f t="shared" si="68"/>
        <v>1212.2432541306775</v>
      </c>
      <c r="AN42" s="3462">
        <f t="shared" si="68"/>
        <v>1326.0725707201179</v>
      </c>
      <c r="AO42" s="3462">
        <f t="shared" si="68"/>
        <v>1462.8667195819803</v>
      </c>
      <c r="AP42" s="3462">
        <f t="shared" si="68"/>
        <v>1597.9712199398912</v>
      </c>
      <c r="AR42" s="4281"/>
    </row>
    <row r="43" spans="1:44" ht="13.5" customHeight="1">
      <c r="A43" s="4295" t="s">
        <v>218</v>
      </c>
      <c r="B43" s="4296">
        <f>'11. Амортиз. план'!S35</f>
        <v>15.515842339827399</v>
      </c>
      <c r="C43" s="4296">
        <f>'11. Амортиз. план'!U35</f>
        <v>18.108148920777261</v>
      </c>
      <c r="D43" s="4296">
        <f>'11. Амортиз. план'!V35</f>
        <v>18.571589191063225</v>
      </c>
      <c r="E43" s="4296">
        <f>'11. Амортиз. план'!W35</f>
        <v>19.078735874486608</v>
      </c>
      <c r="F43" s="4296">
        <f>'11. Амортиз. план'!X35</f>
        <v>19.63799677683166</v>
      </c>
      <c r="G43" s="4296">
        <f>'11. Амортиз. план'!Y35</f>
        <v>20.127707548866596</v>
      </c>
      <c r="I43" s="4317" t="s">
        <v>1615</v>
      </c>
      <c r="J43" s="4320">
        <f>SUM(J28,J31,J34,J37,J40)</f>
        <v>1066</v>
      </c>
      <c r="K43" s="4320">
        <f t="shared" ref="K43:N43" si="69">SUM(K28,K31,K34,K37,K40)</f>
        <v>916.00000000000011</v>
      </c>
      <c r="L43" s="4320">
        <f t="shared" si="69"/>
        <v>942</v>
      </c>
      <c r="M43" s="4320">
        <f t="shared" si="69"/>
        <v>978</v>
      </c>
      <c r="N43" s="4320">
        <f t="shared" si="69"/>
        <v>966.00000000000011</v>
      </c>
      <c r="O43" s="4320">
        <f t="shared" ref="O43:O44" si="70">SUM(O28,O31,O34,O37,O40)</f>
        <v>4868</v>
      </c>
      <c r="P43" s="4321">
        <f t="shared" si="36"/>
        <v>0.95902285263987397</v>
      </c>
      <c r="Q43" s="4322"/>
      <c r="T43" s="11"/>
      <c r="U43" s="11"/>
      <c r="V43" s="11"/>
      <c r="W43" s="11"/>
      <c r="X43" s="11"/>
      <c r="Y43" s="11"/>
      <c r="Z43" s="11"/>
      <c r="AA43" s="11"/>
      <c r="AK43" s="3347"/>
      <c r="AL43" s="3347"/>
      <c r="AM43" s="3347"/>
      <c r="AN43" s="3347"/>
      <c r="AO43" s="3347"/>
      <c r="AP43" s="3347"/>
      <c r="AQ43" s="3347"/>
      <c r="AR43" s="4281"/>
    </row>
    <row r="44" spans="1:44" ht="15.75" customHeight="1">
      <c r="A44" s="4299" t="s">
        <v>220</v>
      </c>
      <c r="B44" s="3579">
        <f>'11. Амортиз. план'!S60</f>
        <v>767.78811542180244</v>
      </c>
      <c r="C44" s="3579">
        <f>'11. Амортиз. план'!U60</f>
        <v>803.73003524761089</v>
      </c>
      <c r="D44" s="3579">
        <f>'11. Амортиз. план'!V60</f>
        <v>822.30162443867403</v>
      </c>
      <c r="E44" s="3579">
        <f>'11. Амортиз. план'!W60</f>
        <v>841.38036031316074</v>
      </c>
      <c r="F44" s="3579">
        <f>'11. Амортиз. план'!X60</f>
        <v>861.01835708999238</v>
      </c>
      <c r="G44" s="3579">
        <f>'11. Амортиз. план'!Y60</f>
        <v>881.14606463885889</v>
      </c>
      <c r="I44" s="4317" t="s">
        <v>1616</v>
      </c>
      <c r="J44" s="4320">
        <f>SUM(J29,J32,J35,J38,J41)</f>
        <v>40</v>
      </c>
      <c r="K44" s="4320">
        <f t="shared" ref="K44:N44" si="71">SUM(K29,K32,K35,K38,K41)</f>
        <v>34</v>
      </c>
      <c r="L44" s="4320">
        <f t="shared" si="71"/>
        <v>53</v>
      </c>
      <c r="M44" s="4320">
        <f t="shared" si="71"/>
        <v>47</v>
      </c>
      <c r="N44" s="4320">
        <f t="shared" si="71"/>
        <v>34</v>
      </c>
      <c r="O44" s="4320">
        <f t="shared" si="70"/>
        <v>207.99999999999997</v>
      </c>
      <c r="P44" s="4321">
        <f t="shared" si="36"/>
        <v>4.097714736012608E-2</v>
      </c>
      <c r="Q44" s="4322"/>
      <c r="S44" s="2" t="s">
        <v>1681</v>
      </c>
      <c r="T44" s="11"/>
      <c r="U44" s="11"/>
      <c r="V44" s="11"/>
      <c r="W44" s="11"/>
      <c r="X44" s="11"/>
      <c r="Y44" s="11"/>
      <c r="Z44" s="11"/>
      <c r="AA44" s="11"/>
      <c r="AK44" s="3347"/>
      <c r="AL44" s="3347"/>
      <c r="AM44" s="3347"/>
      <c r="AN44" s="3347"/>
      <c r="AO44" s="3347"/>
      <c r="AP44" s="3347"/>
      <c r="AQ44" s="3347"/>
      <c r="AR44" s="4281"/>
    </row>
    <row r="45" spans="1:44" ht="15.75" customHeight="1">
      <c r="A45" s="4299" t="s">
        <v>222</v>
      </c>
      <c r="B45" s="3579">
        <f>'11. Амортиз. план'!S85</f>
        <v>323.96067160777227</v>
      </c>
      <c r="C45" s="3579">
        <f>'11. Амортиз. план'!U85</f>
        <v>331.35208511529703</v>
      </c>
      <c r="D45" s="3579">
        <f>'11. Амортиз. план'!V85</f>
        <v>321.78049592423389</v>
      </c>
      <c r="E45" s="3579">
        <f>'11. Амортиз. план'!W85</f>
        <v>318.03509338308055</v>
      </c>
      <c r="F45" s="3579">
        <f>'11. Амортиз. план'!X85</f>
        <v>311.73042993958228</v>
      </c>
      <c r="G45" s="3579">
        <f>'11. Амортиз. план'!Y85</f>
        <v>300.60272239071571</v>
      </c>
      <c r="S45" s="5636" t="s">
        <v>1666</v>
      </c>
      <c r="T45" s="5636" t="s">
        <v>209</v>
      </c>
      <c r="U45" s="5636"/>
      <c r="V45" s="5636"/>
      <c r="W45" s="5636"/>
      <c r="X45" s="5636"/>
      <c r="Y45" s="5636"/>
      <c r="Z45" s="5603" t="str">
        <f>+Z24</f>
        <v>Изменение 2027 г. спр. 2024 г.</v>
      </c>
      <c r="AA45" s="5603" t="str">
        <f>+AA24</f>
        <v>Изменение 2031 г. спр. 2027 г.</v>
      </c>
      <c r="AK45" s="2" t="s">
        <v>1013</v>
      </c>
      <c r="AR45" s="4281"/>
    </row>
    <row r="46" spans="1:44" ht="15.75" customHeight="1">
      <c r="A46" s="5633" t="s">
        <v>1657</v>
      </c>
      <c r="B46" s="5634"/>
      <c r="C46" s="5634"/>
      <c r="D46" s="5634"/>
      <c r="E46" s="5634"/>
      <c r="F46" s="5634"/>
      <c r="G46" s="5635"/>
      <c r="I46" s="1332" t="s">
        <v>1635</v>
      </c>
      <c r="J46" s="4323"/>
      <c r="K46" s="1331"/>
      <c r="L46" s="1331"/>
      <c r="M46" s="1331"/>
      <c r="N46" s="1331"/>
      <c r="O46" s="1331"/>
      <c r="P46" s="3446" t="s">
        <v>1634</v>
      </c>
      <c r="Q46" s="3446"/>
      <c r="S46" s="5636"/>
      <c r="T46" s="4279" t="str">
        <f t="shared" ref="T46:Y46" si="72">T25</f>
        <v>2024 г.</v>
      </c>
      <c r="U46" s="4279" t="str">
        <f t="shared" si="72"/>
        <v>2027 г.</v>
      </c>
      <c r="V46" s="4279" t="str">
        <f t="shared" si="72"/>
        <v>2028 г.</v>
      </c>
      <c r="W46" s="4279" t="str">
        <f t="shared" si="72"/>
        <v>2029 г.</v>
      </c>
      <c r="X46" s="4279" t="str">
        <f t="shared" si="72"/>
        <v>2030 г.</v>
      </c>
      <c r="Y46" s="4279" t="str">
        <f t="shared" si="72"/>
        <v>2031 г.</v>
      </c>
      <c r="Z46" s="5603"/>
      <c r="AA46" s="5603"/>
      <c r="AK46" s="3486" t="s">
        <v>87</v>
      </c>
      <c r="AL46" s="3484" t="s">
        <v>166</v>
      </c>
      <c r="AM46" s="4289" t="s">
        <v>1775</v>
      </c>
      <c r="AN46" s="4289" t="s">
        <v>1776</v>
      </c>
      <c r="AO46" s="4289" t="s">
        <v>1777</v>
      </c>
      <c r="AP46" s="4289" t="s">
        <v>1778</v>
      </c>
      <c r="AQ46" s="4289" t="s">
        <v>1779</v>
      </c>
      <c r="AR46" s="4281"/>
    </row>
    <row r="47" spans="1:44" ht="15.75" customHeight="1">
      <c r="A47" s="4293" t="s">
        <v>334</v>
      </c>
      <c r="B47" s="3703">
        <f>'11. Амортиз. план'!S111</f>
        <v>433.53920000000005</v>
      </c>
      <c r="C47" s="3703">
        <f>'11. Амортиз. план'!U111</f>
        <v>528.20586666666668</v>
      </c>
      <c r="D47" s="3703">
        <f>'11. Амортиз. план'!V111</f>
        <v>601.53919999999994</v>
      </c>
      <c r="E47" s="3703">
        <f>'11. Амортиз. план'!W111</f>
        <v>674.87253333333342</v>
      </c>
      <c r="F47" s="3703">
        <f>'11. Амортиз. план'!X111</f>
        <v>748.20586666666668</v>
      </c>
      <c r="G47" s="3703">
        <f>'11. Амортиз. план'!Y111</f>
        <v>821.53920000000016</v>
      </c>
      <c r="I47" s="4283" t="s">
        <v>1494</v>
      </c>
      <c r="J47" s="4283" t="str">
        <f>+'15. ОПП'!$C$7</f>
        <v>2027 г.</v>
      </c>
      <c r="K47" s="4283" t="str">
        <f>+'15. ОПП'!$D$7</f>
        <v>2028 г.</v>
      </c>
      <c r="L47" s="4283" t="str">
        <f>+'15. ОПП'!$E$7</f>
        <v>2029 г.</v>
      </c>
      <c r="M47" s="4283" t="str">
        <f>+'15. ОПП'!$F$7</f>
        <v>2030 г.</v>
      </c>
      <c r="N47" s="4283" t="str">
        <f>+'15. ОПП'!$G$7</f>
        <v>2031 г.</v>
      </c>
      <c r="O47" s="4284" t="s">
        <v>1593</v>
      </c>
      <c r="P47" s="4283" t="s">
        <v>1594</v>
      </c>
      <c r="Q47" s="4309"/>
      <c r="S47" s="4294" t="s">
        <v>226</v>
      </c>
      <c r="T47" s="3579">
        <f>'12. Разходи'!S11</f>
        <v>488.01550500956137</v>
      </c>
      <c r="U47" s="3579">
        <f>'12. Разходи'!T11</f>
        <v>602.30172362323981</v>
      </c>
      <c r="V47" s="3579">
        <f>'12. Разходи'!U11</f>
        <v>597.10814164345356</v>
      </c>
      <c r="W47" s="3579">
        <f>'12. Разходи'!V11</f>
        <v>593.69408307101799</v>
      </c>
      <c r="X47" s="3579">
        <f>'12. Разходи'!W11</f>
        <v>590.49935721270595</v>
      </c>
      <c r="Y47" s="3579">
        <f>'12. Разходи'!X11</f>
        <v>588.66511721204415</v>
      </c>
      <c r="Z47" s="4292">
        <f>IFERROR((U47-T47)/T47,0)</f>
        <v>0.23418563025254557</v>
      </c>
      <c r="AA47" s="4292">
        <f t="shared" ref="AA47:AA57" si="73">IFERROR((Y47-U47)/U47,0)</f>
        <v>-2.2640822492026966E-2</v>
      </c>
      <c r="AK47" s="3447" t="s">
        <v>324</v>
      </c>
      <c r="AL47" s="3511" t="s">
        <v>170</v>
      </c>
      <c r="AM47" s="3521">
        <f>'19. HB'!D11</f>
        <v>0.1</v>
      </c>
      <c r="AN47" s="3521">
        <f>'19. HB'!E11</f>
        <v>0.1</v>
      </c>
      <c r="AO47" s="3521">
        <f>'19. HB'!F11</f>
        <v>0.1</v>
      </c>
      <c r="AP47" s="3521">
        <f>'19. HB'!G11</f>
        <v>0.1</v>
      </c>
      <c r="AQ47" s="3521">
        <f>'19. HB'!H11</f>
        <v>0.1</v>
      </c>
      <c r="AR47" s="4281"/>
    </row>
    <row r="48" spans="1:44" ht="15.75" customHeight="1">
      <c r="A48" s="4295" t="s">
        <v>218</v>
      </c>
      <c r="B48" s="4296">
        <f>'11. Амортиз. план'!S131</f>
        <v>32.261279999999999</v>
      </c>
      <c r="C48" s="4296">
        <f>'11. Амортиз. план'!U131</f>
        <v>35.753185122475927</v>
      </c>
      <c r="D48" s="4296">
        <f>'11. Амортиз. план'!V131</f>
        <v>37.449237712351618</v>
      </c>
      <c r="E48" s="4296">
        <f>'11. Амортиз. план'!W131</f>
        <v>39.285177570463446</v>
      </c>
      <c r="F48" s="4296">
        <f>'11. Амортиз. план'!X131</f>
        <v>41.169472593290656</v>
      </c>
      <c r="G48" s="4296">
        <f>'11. Амортиз. план'!Y131</f>
        <v>43.091093172298237</v>
      </c>
      <c r="I48" s="4299" t="s">
        <v>1636</v>
      </c>
      <c r="J48" s="3579">
        <f>SUM('9.Инвестиционна програма'!I12:I15)</f>
        <v>13</v>
      </c>
      <c r="K48" s="3579">
        <f>SUM('9.Инвестиционна програма'!J12:J15)</f>
        <v>13</v>
      </c>
      <c r="L48" s="3579">
        <f>SUM('9.Инвестиционна програма'!K12:K15)</f>
        <v>13</v>
      </c>
      <c r="M48" s="3579">
        <f>SUM('9.Инвестиционна програма'!L12:L15)</f>
        <v>13</v>
      </c>
      <c r="N48" s="3579">
        <f>SUM('9.Инвестиционна програма'!M12:M15)</f>
        <v>13</v>
      </c>
      <c r="O48" s="3703">
        <f>SUM(J48:N48)</f>
        <v>65</v>
      </c>
      <c r="P48" s="4324">
        <f t="shared" ref="P48:P88" si="74">IFERROR(O48/$O$88,0)</f>
        <v>1.2805358550039401E-2</v>
      </c>
      <c r="Q48" s="4325"/>
      <c r="S48" s="4294" t="s">
        <v>239</v>
      </c>
      <c r="T48" s="3579">
        <f>'12. Разходи'!S29</f>
        <v>244.59925512739284</v>
      </c>
      <c r="U48" s="3579">
        <f>'12. Разходи'!T29</f>
        <v>261.49212466517702</v>
      </c>
      <c r="V48" s="3579">
        <f>'12. Разходи'!U29</f>
        <v>262.14565633799248</v>
      </c>
      <c r="W48" s="3579">
        <f>'12. Разходи'!V29</f>
        <v>262.91631955948776</v>
      </c>
      <c r="X48" s="3579">
        <f>'12. Разходи'!W29</f>
        <v>264.21864372272188</v>
      </c>
      <c r="Y48" s="3579">
        <f>'12. Разходи'!X29</f>
        <v>265.9260759950883</v>
      </c>
      <c r="Z48" s="4292">
        <f t="shared" ref="Z48:Z63" si="75">IFERROR((U48-T48)/T48,0)</f>
        <v>6.9063454543170991E-2</v>
      </c>
      <c r="AA48" s="4292">
        <f t="shared" si="73"/>
        <v>1.6956347483078719E-2</v>
      </c>
      <c r="AK48" s="3447" t="s">
        <v>923</v>
      </c>
      <c r="AL48" s="3511" t="s">
        <v>170</v>
      </c>
      <c r="AM48" s="3492">
        <f>'19. HB'!D12</f>
        <v>0.10929999999999999</v>
      </c>
      <c r="AN48" s="3492">
        <f>'19. HB'!E12</f>
        <v>0.10929999999999999</v>
      </c>
      <c r="AO48" s="3492">
        <f>'19. HB'!F12</f>
        <v>0.10929999999999999</v>
      </c>
      <c r="AP48" s="3492">
        <f>'19. HB'!G12</f>
        <v>0.10929999999999999</v>
      </c>
      <c r="AQ48" s="3492">
        <f>'19. HB'!H12</f>
        <v>0.10929999999999999</v>
      </c>
      <c r="AR48" s="4281"/>
    </row>
    <row r="49" spans="1:44" ht="15.75" customHeight="1">
      <c r="A49" s="4299" t="s">
        <v>220</v>
      </c>
      <c r="B49" s="3579">
        <f>'11. Амортиз. план'!S151</f>
        <v>119.07660999999999</v>
      </c>
      <c r="C49" s="3579">
        <f>'11. Амортиз. план'!U151</f>
        <v>189.59101680709125</v>
      </c>
      <c r="D49" s="3579">
        <f>'11. Амортиз. план'!V151</f>
        <v>227.04025451944293</v>
      </c>
      <c r="E49" s="3579">
        <f>'11. Амортиз. план'!W151</f>
        <v>266.32543208990637</v>
      </c>
      <c r="F49" s="3579">
        <f>'11. Амортиз. план'!X151</f>
        <v>307.49490468319703</v>
      </c>
      <c r="G49" s="3579">
        <f>'11. Амортиз. план'!Y151</f>
        <v>350.58599785549529</v>
      </c>
      <c r="I49" s="4299" t="s">
        <v>357</v>
      </c>
      <c r="J49" s="3579">
        <f>'9.Инвестиционна програма'!I16</f>
        <v>167</v>
      </c>
      <c r="K49" s="3579">
        <f>'9.Инвестиционна програма'!J16</f>
        <v>172</v>
      </c>
      <c r="L49" s="3579">
        <f>'9.Инвестиционна програма'!K16</f>
        <v>177</v>
      </c>
      <c r="M49" s="3579">
        <f>'9.Инвестиционна програма'!L16</f>
        <v>182</v>
      </c>
      <c r="N49" s="3579">
        <f>'9.Инвестиционна програма'!M16</f>
        <v>187</v>
      </c>
      <c r="O49" s="3703">
        <f t="shared" ref="O49:O72" si="76">SUM(J49:N49)</f>
        <v>885</v>
      </c>
      <c r="P49" s="4324">
        <f t="shared" si="74"/>
        <v>0.17434988179669031</v>
      </c>
      <c r="Q49" s="4325"/>
      <c r="S49" s="4294" t="s">
        <v>446</v>
      </c>
      <c r="T49" s="3579">
        <f>'12. Разходи'!S55</f>
        <v>128.62337155499634</v>
      </c>
      <c r="U49" s="3579">
        <f>'12. Разходи'!T55</f>
        <v>96.110082630124438</v>
      </c>
      <c r="V49" s="3579">
        <f>'12. Разходи'!U55</f>
        <v>96.57352290041041</v>
      </c>
      <c r="W49" s="3579">
        <f>'12. Разходи'!V55</f>
        <v>93.579241593457738</v>
      </c>
      <c r="X49" s="3579">
        <f>'12. Разходи'!W55</f>
        <v>92.971330110164985</v>
      </c>
      <c r="Y49" s="3579">
        <f>'12. Разходи'!X55</f>
        <v>93.461040882199924</v>
      </c>
      <c r="Z49" s="4292">
        <f t="shared" si="75"/>
        <v>-0.25277901311248074</v>
      </c>
      <c r="AA49" s="4292">
        <f t="shared" si="73"/>
        <v>-2.7562579028458836E-2</v>
      </c>
      <c r="AK49" s="3447" t="s">
        <v>1700</v>
      </c>
      <c r="AL49" s="3511" t="s">
        <v>170</v>
      </c>
      <c r="AM49" s="3492">
        <f>'19. HB'!D13</f>
        <v>4.2599999999999999E-2</v>
      </c>
      <c r="AN49" s="3492">
        <f>'19. HB'!E13</f>
        <v>4.2599999999999999E-2</v>
      </c>
      <c r="AO49" s="3492">
        <f>'19. HB'!F13</f>
        <v>4.2599999999999999E-2</v>
      </c>
      <c r="AP49" s="3492">
        <f>'19. HB'!G13</f>
        <v>4.2599999999999999E-2</v>
      </c>
      <c r="AQ49" s="3492">
        <f>'19. HB'!H13</f>
        <v>4.2599999999999999E-2</v>
      </c>
      <c r="AR49" s="4281"/>
    </row>
    <row r="50" spans="1:44" ht="15.75" customHeight="1">
      <c r="A50" s="4299" t="s">
        <v>222</v>
      </c>
      <c r="B50" s="3579">
        <f>'11. Амортиз. план'!S171</f>
        <v>314.46259000000015</v>
      </c>
      <c r="C50" s="3579">
        <f>'11. Амортиз. план'!U171</f>
        <v>338.61484985957543</v>
      </c>
      <c r="D50" s="3579">
        <f>'11. Амортиз. план'!V171</f>
        <v>374.49894548055715</v>
      </c>
      <c r="E50" s="3579">
        <f>'11. Амортиз. план'!W171</f>
        <v>408.54710124342705</v>
      </c>
      <c r="F50" s="3579">
        <f>'11. Амортиз. план'!X171</f>
        <v>440.71096198346976</v>
      </c>
      <c r="G50" s="3579">
        <f>'11. Амортиз. план'!Y171</f>
        <v>470.95320214450476</v>
      </c>
      <c r="I50" s="4299" t="s">
        <v>1595</v>
      </c>
      <c r="J50" s="3579">
        <f>'9.Инвестиционна програма'!I17</f>
        <v>0</v>
      </c>
      <c r="K50" s="3579">
        <f>'9.Инвестиционна програма'!J17</f>
        <v>0</v>
      </c>
      <c r="L50" s="3579">
        <f>'9.Инвестиционна програма'!K17</f>
        <v>0</v>
      </c>
      <c r="M50" s="3579">
        <f>'9.Инвестиционна програма'!L17</f>
        <v>0</v>
      </c>
      <c r="N50" s="3579">
        <f>'9.Инвестиционна програма'!M17</f>
        <v>0</v>
      </c>
      <c r="O50" s="3703">
        <f t="shared" si="76"/>
        <v>0</v>
      </c>
      <c r="P50" s="4324">
        <f t="shared" si="74"/>
        <v>0</v>
      </c>
      <c r="Q50" s="4325"/>
      <c r="S50" s="4300" t="s">
        <v>447</v>
      </c>
      <c r="T50" s="4296">
        <f>'12. Разходи'!S56</f>
        <v>24.147934888329651</v>
      </c>
      <c r="U50" s="4296">
        <f>'12. Разходи'!T56</f>
        <v>18.108148920777261</v>
      </c>
      <c r="V50" s="4296">
        <f>'12. Разходи'!U56</f>
        <v>18.571589191063225</v>
      </c>
      <c r="W50" s="4296">
        <f>'12. Разходи'!V56</f>
        <v>19.078735874486608</v>
      </c>
      <c r="X50" s="4296">
        <f>'12. Разходи'!W56</f>
        <v>19.63799677683166</v>
      </c>
      <c r="Y50" s="4296">
        <f>'12. Разходи'!X56</f>
        <v>20.127707548866596</v>
      </c>
      <c r="Z50" s="4292">
        <f t="shared" si="75"/>
        <v>-0.25011604493232803</v>
      </c>
      <c r="AA50" s="4292">
        <f t="shared" si="73"/>
        <v>0.11152761317155377</v>
      </c>
      <c r="AK50" s="3447" t="s">
        <v>325</v>
      </c>
      <c r="AL50" s="3511" t="s">
        <v>170</v>
      </c>
      <c r="AM50" s="3576">
        <f>'19. HB'!D14</f>
        <v>0.5</v>
      </c>
      <c r="AN50" s="3576">
        <f>'19. HB'!E14</f>
        <v>0.5</v>
      </c>
      <c r="AO50" s="3576">
        <f>'19. HB'!F14</f>
        <v>0.5</v>
      </c>
      <c r="AP50" s="3576">
        <f>'19. HB'!G14</f>
        <v>0.5</v>
      </c>
      <c r="AQ50" s="3576">
        <f>'19. HB'!H14</f>
        <v>0.5</v>
      </c>
      <c r="AR50" s="4281"/>
    </row>
    <row r="51" spans="1:44" ht="15.75" customHeight="1">
      <c r="A51" s="5633" t="s">
        <v>1658</v>
      </c>
      <c r="B51" s="5634"/>
      <c r="C51" s="5634"/>
      <c r="D51" s="5634"/>
      <c r="E51" s="5634"/>
      <c r="F51" s="5634"/>
      <c r="G51" s="5634"/>
      <c r="I51" s="4299" t="s">
        <v>1596</v>
      </c>
      <c r="J51" s="3579">
        <f>SUM('9.Инвестиционна програма'!I18:I21)</f>
        <v>46</v>
      </c>
      <c r="K51" s="3579">
        <f>SUM('9.Инвестиционна програма'!J18:J21)</f>
        <v>46</v>
      </c>
      <c r="L51" s="3579">
        <f>SUM('9.Инвестиционна програма'!K18:K21)</f>
        <v>46</v>
      </c>
      <c r="M51" s="3579">
        <f>SUM('9.Инвестиционна програма'!L18:L21)</f>
        <v>46</v>
      </c>
      <c r="N51" s="3579">
        <f>SUM('9.Инвестиционна програма'!M18:M21)</f>
        <v>46</v>
      </c>
      <c r="O51" s="3703">
        <f t="shared" si="76"/>
        <v>230</v>
      </c>
      <c r="P51" s="4324">
        <f t="shared" si="74"/>
        <v>4.5311268715524038E-2</v>
      </c>
      <c r="Q51" s="4325"/>
      <c r="S51" s="4300" t="s">
        <v>736</v>
      </c>
      <c r="T51" s="4296">
        <f>'12. Разходи'!S57</f>
        <v>26.016989999999996</v>
      </c>
      <c r="U51" s="4296">
        <f>'12. Разходи'!T57</f>
        <v>35.753185122475927</v>
      </c>
      <c r="V51" s="4296">
        <f>'12. Разходи'!U57</f>
        <v>37.449237712351618</v>
      </c>
      <c r="W51" s="4296">
        <f>'12. Разходи'!V57</f>
        <v>39.285177570463446</v>
      </c>
      <c r="X51" s="4296">
        <f>'12. Разходи'!W57</f>
        <v>41.169472593290656</v>
      </c>
      <c r="Y51" s="4296">
        <f>'12. Разходи'!X57</f>
        <v>43.091093172298237</v>
      </c>
      <c r="Z51" s="4292">
        <f t="shared" si="75"/>
        <v>0.37422450185344008</v>
      </c>
      <c r="AA51" s="4292">
        <f t="shared" si="73"/>
        <v>0.2052378836930363</v>
      </c>
      <c r="AK51" s="3447" t="s">
        <v>326</v>
      </c>
      <c r="AL51" s="3511" t="s">
        <v>170</v>
      </c>
      <c r="AM51" s="3576">
        <f>'19. HB'!D15</f>
        <v>0.5</v>
      </c>
      <c r="AN51" s="3576">
        <f>'19. HB'!E15</f>
        <v>0.5</v>
      </c>
      <c r="AO51" s="3576">
        <f>'19. HB'!F15</f>
        <v>0.5</v>
      </c>
      <c r="AP51" s="3576">
        <f>'19. HB'!G15</f>
        <v>0.5</v>
      </c>
      <c r="AQ51" s="3576">
        <f>'19. HB'!H15</f>
        <v>0.5</v>
      </c>
      <c r="AR51" s="4281"/>
    </row>
    <row r="52" spans="1:44" ht="13.5" customHeight="1">
      <c r="A52" s="4293" t="s">
        <v>334</v>
      </c>
      <c r="B52" s="3703">
        <f>'11. Амортиз. план'!S192</f>
        <v>34653.271649999995</v>
      </c>
      <c r="C52" s="3703">
        <f>'11. Амортиз. план'!U192</f>
        <v>40053.271649999995</v>
      </c>
      <c r="D52" s="3703">
        <f>'11. Амортиз. план'!V192</f>
        <v>40053.271649999995</v>
      </c>
      <c r="E52" s="3703">
        <f>'11. Амортиз. план'!W192</f>
        <v>40053.271649999995</v>
      </c>
      <c r="F52" s="3703">
        <f>'11. Амортиз. план'!X192</f>
        <v>40053.271649999995</v>
      </c>
      <c r="G52" s="3703">
        <f>'11. Амортиз. план'!Y192</f>
        <v>40053.271649999995</v>
      </c>
      <c r="I52" s="4299" t="s">
        <v>1597</v>
      </c>
      <c r="J52" s="3579">
        <f>'9.Инвестиционна програма'!I22</f>
        <v>306</v>
      </c>
      <c r="K52" s="3579">
        <f>'9.Инвестиционна програма'!J22</f>
        <v>306</v>
      </c>
      <c r="L52" s="3579">
        <f>'9.Инвестиционна програма'!K22</f>
        <v>311</v>
      </c>
      <c r="M52" s="3579">
        <f>'9.Инвестиционна програма'!L22</f>
        <v>306</v>
      </c>
      <c r="N52" s="3579">
        <f>'9.Инвестиционна програма'!M22</f>
        <v>300</v>
      </c>
      <c r="O52" s="3703">
        <f t="shared" si="76"/>
        <v>1529</v>
      </c>
      <c r="P52" s="4324">
        <f t="shared" si="74"/>
        <v>0.30122143420015762</v>
      </c>
      <c r="Q52" s="4325"/>
      <c r="S52" s="4300" t="s">
        <v>737</v>
      </c>
      <c r="T52" s="4296">
        <f>'12. Разходи'!S58</f>
        <v>78.458446666666688</v>
      </c>
      <c r="U52" s="4296">
        <f>'12. Разходи'!T58</f>
        <v>42.248748586871251</v>
      </c>
      <c r="V52" s="4296">
        <f>'12. Разходи'!U58</f>
        <v>40.55269599699556</v>
      </c>
      <c r="W52" s="4296">
        <f>'12. Разходи'!V58</f>
        <v>35.21532814850768</v>
      </c>
      <c r="X52" s="4296">
        <f>'12. Разходи'!W58</f>
        <v>32.163860740042672</v>
      </c>
      <c r="Y52" s="4296">
        <f>'12. Разходи'!X58</f>
        <v>30.242240161035092</v>
      </c>
      <c r="Z52" s="4292">
        <f t="shared" si="75"/>
        <v>-0.46151433807545972</v>
      </c>
      <c r="AA52" s="4292">
        <f t="shared" si="73"/>
        <v>-0.28418613159981659</v>
      </c>
      <c r="AK52" s="3453" t="s">
        <v>694</v>
      </c>
      <c r="AL52" s="3577" t="s">
        <v>170</v>
      </c>
      <c r="AM52" s="3578">
        <f>'19. HB'!D16</f>
        <v>8.2022222222222219E-2</v>
      </c>
      <c r="AN52" s="3578">
        <f>'19. HB'!E16</f>
        <v>8.2022222222222219E-2</v>
      </c>
      <c r="AO52" s="3578">
        <f>'19. HB'!F16</f>
        <v>8.2022222222222219E-2</v>
      </c>
      <c r="AP52" s="3578">
        <f>'19. HB'!G16</f>
        <v>8.2022222222222219E-2</v>
      </c>
      <c r="AQ52" s="3578">
        <f>'19. HB'!H16</f>
        <v>8.2022222222222219E-2</v>
      </c>
      <c r="AR52" s="4281"/>
    </row>
    <row r="53" spans="1:44" ht="15.75" customHeight="1">
      <c r="A53" s="4295" t="s">
        <v>218</v>
      </c>
      <c r="B53" s="4296">
        <f>'11. Амортиз. план'!S214</f>
        <v>999.20738999999969</v>
      </c>
      <c r="C53" s="4296">
        <f>'11. Амортиз. план'!U214</f>
        <v>1215.2073899999998</v>
      </c>
      <c r="D53" s="4296">
        <f>'11. Амортиз. план'!V214</f>
        <v>1215.2073899999998</v>
      </c>
      <c r="E53" s="4296">
        <f>'11. Амортиз. план'!W214</f>
        <v>1215.2073899999998</v>
      </c>
      <c r="F53" s="4296">
        <f>'11. Амортиз. план'!X214</f>
        <v>1215.2073899999998</v>
      </c>
      <c r="G53" s="4296">
        <f>'11. Амортиз. план'!Y214</f>
        <v>1215.2073899999998</v>
      </c>
      <c r="I53" s="4299" t="s">
        <v>1598</v>
      </c>
      <c r="J53" s="3579">
        <f>SUM('9.Инвестиционна програма'!I23:I24)</f>
        <v>46</v>
      </c>
      <c r="K53" s="3579">
        <f>SUM('9.Инвестиционна програма'!J23:J24)</f>
        <v>49</v>
      </c>
      <c r="L53" s="3579">
        <f>SUM('9.Инвестиционна програма'!K23:K24)</f>
        <v>50</v>
      </c>
      <c r="M53" s="3579">
        <f>SUM('9.Инвестиционна програма'!L23:L24)</f>
        <v>52</v>
      </c>
      <c r="N53" s="3579">
        <f>SUM('9.Инвестиционна програма'!M23:M24)</f>
        <v>55</v>
      </c>
      <c r="O53" s="3703">
        <f t="shared" si="76"/>
        <v>252</v>
      </c>
      <c r="P53" s="4324">
        <f t="shared" si="74"/>
        <v>4.9645390070921988E-2</v>
      </c>
      <c r="Q53" s="4325"/>
      <c r="S53" s="4294" t="s">
        <v>448</v>
      </c>
      <c r="T53" s="3579">
        <f>'12. Разходи'!S59</f>
        <v>895.42580898990229</v>
      </c>
      <c r="U53" s="3579">
        <f>'12. Разходи'!T59</f>
        <v>1504.6185611640419</v>
      </c>
      <c r="V53" s="3579">
        <f>'12. Разходи'!U59</f>
        <v>1717.2928221781851</v>
      </c>
      <c r="W53" s="3579">
        <f>'12. Разходи'!V59</f>
        <v>1960.5776324415199</v>
      </c>
      <c r="X53" s="3579">
        <f>'12. Разходи'!W59</f>
        <v>2239.1540090903168</v>
      </c>
      <c r="Y53" s="3579">
        <f>'12. Разходи'!X59</f>
        <v>2558.4457968488068</v>
      </c>
      <c r="Z53" s="4292">
        <f t="shared" si="75"/>
        <v>0.68033861215296898</v>
      </c>
      <c r="AA53" s="4292">
        <f t="shared" si="73"/>
        <v>0.70039494585888651</v>
      </c>
      <c r="AK53" s="3445" t="s">
        <v>1701</v>
      </c>
      <c r="AL53" s="3439" t="s">
        <v>323</v>
      </c>
      <c r="AM53" s="3579">
        <f>'19. HB'!D17</f>
        <v>822.50462657273886</v>
      </c>
      <c r="AN53" s="3579">
        <f>'19. HB'!E17</f>
        <v>847.29701930722865</v>
      </c>
      <c r="AO53" s="3579">
        <f>'19. HB'!F17</f>
        <v>878.56700871573537</v>
      </c>
      <c r="AP53" s="3579">
        <f>'19. HB'!G17</f>
        <v>915.25941612160079</v>
      </c>
      <c r="AQ53" s="3579">
        <f>'19. HB'!H17</f>
        <v>950.46216204664552</v>
      </c>
      <c r="AR53" s="4281"/>
    </row>
    <row r="54" spans="1:44" ht="15.75" customHeight="1">
      <c r="A54" s="4299" t="s">
        <v>220</v>
      </c>
      <c r="B54" s="3579">
        <f>'11. Амортиз. план'!S236</f>
        <v>22621.687759999993</v>
      </c>
      <c r="C54" s="3579">
        <f>'11. Амортиз. план'!U236</f>
        <v>25052.102539999993</v>
      </c>
      <c r="D54" s="3579">
        <f>'11. Амортиз. план'!V236</f>
        <v>26267.309929999996</v>
      </c>
      <c r="E54" s="3579">
        <f>'11. Амортиз. план'!W236</f>
        <v>27482.517319999995</v>
      </c>
      <c r="F54" s="3579">
        <f>'11. Амортиз. план'!X236</f>
        <v>28697.724709999995</v>
      </c>
      <c r="G54" s="3579">
        <f>'11. Амортиз. план'!Y236</f>
        <v>29912.932099999991</v>
      </c>
      <c r="I54" s="4299" t="s">
        <v>1599</v>
      </c>
      <c r="J54" s="3579">
        <f>SUM('9.Инвестиционна програма'!I25:I26)</f>
        <v>17</v>
      </c>
      <c r="K54" s="3579">
        <f>SUM('9.Инвестиционна програма'!J25:J26)</f>
        <v>14</v>
      </c>
      <c r="L54" s="3579">
        <f>SUM('9.Инвестиционна програма'!K25:K26)</f>
        <v>27</v>
      </c>
      <c r="M54" s="3579">
        <f>SUM('9.Инвестиционна програма'!L25:L26)</f>
        <v>33</v>
      </c>
      <c r="N54" s="3579">
        <f>SUM('9.Инвестиционна програма'!M25:M26)</f>
        <v>32</v>
      </c>
      <c r="O54" s="3703">
        <f t="shared" si="76"/>
        <v>123</v>
      </c>
      <c r="P54" s="4324">
        <f t="shared" si="74"/>
        <v>2.4231678486997636E-2</v>
      </c>
      <c r="Q54" s="4325"/>
      <c r="S54" s="4294" t="s">
        <v>449</v>
      </c>
      <c r="T54" s="3579">
        <f>'12. Разходи'!S63</f>
        <v>235.8227283559373</v>
      </c>
      <c r="U54" s="3579">
        <f>'12. Разходи'!T63</f>
        <v>409.9850015482308</v>
      </c>
      <c r="V54" s="3579">
        <f>'12. Разходи'!U63</f>
        <v>475.71412397222758</v>
      </c>
      <c r="W54" s="3579">
        <f>'12. Разходи'!V63</f>
        <v>539.58636356684747</v>
      </c>
      <c r="X54" s="3579">
        <f>'12. Разходи'!W63</f>
        <v>604.66546215369328</v>
      </c>
      <c r="Y54" s="3579">
        <f>'12. Разходи'!X63</f>
        <v>670.70411652112591</v>
      </c>
      <c r="Z54" s="4292">
        <f t="shared" si="75"/>
        <v>0.73853048180081671</v>
      </c>
      <c r="AA54" s="4292">
        <f t="shared" si="73"/>
        <v>0.6359235435158328</v>
      </c>
      <c r="AK54" s="3445" t="s">
        <v>1398</v>
      </c>
      <c r="AL54" s="3439" t="s">
        <v>323</v>
      </c>
      <c r="AM54" s="3579">
        <f>'19. HB'!D18</f>
        <v>49.728173437725701</v>
      </c>
      <c r="AN54" s="3579">
        <f>'19. HB'!E18</f>
        <v>53.417867180109241</v>
      </c>
      <c r="AO54" s="3579">
        <f>'19. HB'!F18</f>
        <v>57.701856138119368</v>
      </c>
      <c r="AP54" s="3579">
        <f>'19. HB'!G18</f>
        <v>61.997230947835945</v>
      </c>
      <c r="AQ54" s="3579">
        <f>'19. HB'!H18</f>
        <v>65.958329378679238</v>
      </c>
      <c r="AR54" s="4281"/>
    </row>
    <row r="55" spans="1:44" ht="15.75" customHeight="1">
      <c r="A55" s="4299" t="s">
        <v>222</v>
      </c>
      <c r="B55" s="3579">
        <f>'11. Амортиз. план'!S258</f>
        <v>12031.583889999998</v>
      </c>
      <c r="C55" s="3579">
        <f>'11. Амортиз. план'!U258</f>
        <v>15001.169110000003</v>
      </c>
      <c r="D55" s="3579">
        <f>'11. Амортиз. план'!V258</f>
        <v>13785.961720000001</v>
      </c>
      <c r="E55" s="3579">
        <f>'11. Амортиз. план'!W258</f>
        <v>12570.754330000003</v>
      </c>
      <c r="F55" s="3579">
        <f>'11. Амортиз. план'!X258</f>
        <v>11355.546940000002</v>
      </c>
      <c r="G55" s="3579">
        <f>'11. Амортиз. план'!Y258</f>
        <v>10140.339550000004</v>
      </c>
      <c r="I55" s="4299" t="s">
        <v>1600</v>
      </c>
      <c r="J55" s="3579">
        <f>SUM('9.Инвестиционна програма'!I27:I28)</f>
        <v>10</v>
      </c>
      <c r="K55" s="3579">
        <f>SUM('9.Инвестиционна програма'!J27:J28)</f>
        <v>10</v>
      </c>
      <c r="L55" s="3579">
        <f>SUM('9.Инвестиционна програма'!K27:K28)</f>
        <v>17</v>
      </c>
      <c r="M55" s="3579">
        <f>SUM('9.Инвестиционна програма'!L27:L28)</f>
        <v>20</v>
      </c>
      <c r="N55" s="3579">
        <f>SUM('9.Инвестиционна програма'!M27:M28)</f>
        <v>7</v>
      </c>
      <c r="O55" s="3703">
        <f t="shared" si="76"/>
        <v>64</v>
      </c>
      <c r="P55" s="4324">
        <f t="shared" si="74"/>
        <v>1.260835303388495E-2</v>
      </c>
      <c r="Q55" s="4325"/>
      <c r="S55" s="4294" t="s">
        <v>450</v>
      </c>
      <c r="T55" s="3579">
        <f>'12. Разходи'!S70</f>
        <v>26.131879646003725</v>
      </c>
      <c r="U55" s="3579">
        <f>'12. Разходи'!T70</f>
        <v>29.655213733450459</v>
      </c>
      <c r="V55" s="3579">
        <f>'12. Разходи'!U70</f>
        <v>29.74634021392696</v>
      </c>
      <c r="W55" s="3579">
        <f>'12. Разходи'!V70</f>
        <v>29.813324847673588</v>
      </c>
      <c r="X55" s="3579">
        <f>'12. Разходи'!W70</f>
        <v>29.899737132015495</v>
      </c>
      <c r="Y55" s="3579">
        <f>'12. Разходи'!X70</f>
        <v>29.991432603035658</v>
      </c>
      <c r="Z55" s="4292">
        <f t="shared" si="75"/>
        <v>0.13482895739516954</v>
      </c>
      <c r="AA55" s="4292">
        <f t="shared" si="73"/>
        <v>1.1337597247055119E-2</v>
      </c>
      <c r="AK55" s="3445" t="s">
        <v>1399</v>
      </c>
      <c r="AL55" s="3439" t="s">
        <v>323</v>
      </c>
      <c r="AM55" s="3579">
        <f>'19. HB'!D19</f>
        <v>99.555435825961126</v>
      </c>
      <c r="AN55" s="3579">
        <f>'19. HB'!E19</f>
        <v>104.51455400917877</v>
      </c>
      <c r="AO55" s="3579">
        <f>'19. HB'!F19</f>
        <v>110.63019401131756</v>
      </c>
      <c r="AP55" s="3579">
        <f>'19. HB'!G19</f>
        <v>117.42709178797882</v>
      </c>
      <c r="AQ55" s="3579">
        <f>'19. HB'!H19</f>
        <v>124.38766838291994</v>
      </c>
      <c r="AR55" s="4281"/>
    </row>
    <row r="56" spans="1:44" ht="15.75" customHeight="1">
      <c r="A56" s="2" t="s">
        <v>1665</v>
      </c>
      <c r="B56" s="11"/>
      <c r="C56" s="11"/>
      <c r="D56" s="11"/>
      <c r="E56" s="11"/>
      <c r="F56" s="11"/>
      <c r="G56" s="3446" t="s">
        <v>1634</v>
      </c>
      <c r="I56" s="4299" t="s">
        <v>1601</v>
      </c>
      <c r="J56" s="3579">
        <f>'9.Инвестиционна програма'!I29</f>
        <v>6</v>
      </c>
      <c r="K56" s="3579">
        <f>'9.Инвестиционна програма'!J29</f>
        <v>6</v>
      </c>
      <c r="L56" s="3579">
        <f>'9.Инвестиционна програма'!K29</f>
        <v>6</v>
      </c>
      <c r="M56" s="3579">
        <f>'9.Инвестиционна програма'!L29</f>
        <v>6</v>
      </c>
      <c r="N56" s="3579">
        <f>'9.Инвестиционна програма'!M29</f>
        <v>6</v>
      </c>
      <c r="O56" s="3703">
        <f t="shared" si="76"/>
        <v>30</v>
      </c>
      <c r="P56" s="4324">
        <f t="shared" si="74"/>
        <v>5.9101654846335696E-3</v>
      </c>
      <c r="Q56" s="4325"/>
      <c r="S56" s="4294" t="s">
        <v>267</v>
      </c>
      <c r="T56" s="3579">
        <f>'12. Разходи'!S76</f>
        <v>29.501370795420687</v>
      </c>
      <c r="U56" s="3579">
        <f>'12. Разходи'!T76</f>
        <v>33.501370795420691</v>
      </c>
      <c r="V56" s="3579">
        <f>'12. Разходи'!U76</f>
        <v>33.501370795420691</v>
      </c>
      <c r="W56" s="3579">
        <f>'12. Разходи'!V76</f>
        <v>33.501370795420691</v>
      </c>
      <c r="X56" s="3579">
        <f>'12. Разходи'!W76</f>
        <v>33.501370795420691</v>
      </c>
      <c r="Y56" s="3579">
        <f>'12. Разходи'!X76</f>
        <v>33.501370795420691</v>
      </c>
      <c r="Z56" s="4292">
        <f t="shared" si="75"/>
        <v>0.13558691993461194</v>
      </c>
      <c r="AA56" s="4292">
        <f t="shared" si="73"/>
        <v>0</v>
      </c>
      <c r="AK56" s="3445" t="s">
        <v>1237</v>
      </c>
      <c r="AL56" s="3439" t="s">
        <v>323</v>
      </c>
      <c r="AM56" s="3579">
        <f>'19. HB'!D20</f>
        <v>0</v>
      </c>
      <c r="AN56" s="3579">
        <f>'19. HB'!E20</f>
        <v>0</v>
      </c>
      <c r="AO56" s="3579">
        <f>'19. HB'!F20</f>
        <v>0</v>
      </c>
      <c r="AP56" s="3579">
        <f>'19. HB'!G20</f>
        <v>0</v>
      </c>
      <c r="AQ56" s="3579">
        <f>'19. HB'!H20</f>
        <v>0</v>
      </c>
      <c r="AR56" s="4281"/>
    </row>
    <row r="57" spans="1:44" ht="12.75" customHeight="1">
      <c r="A57" s="5632" t="s">
        <v>87</v>
      </c>
      <c r="B57" s="5636" t="s">
        <v>1029</v>
      </c>
      <c r="C57" s="5636"/>
      <c r="D57" s="5636"/>
      <c r="E57" s="5636"/>
      <c r="F57" s="5636"/>
      <c r="G57" s="5636"/>
      <c r="I57" s="4295" t="s">
        <v>1602</v>
      </c>
      <c r="J57" s="4296">
        <f>SUM(J48:J56)</f>
        <v>611</v>
      </c>
      <c r="K57" s="4296">
        <f>SUM(K48:K56)</f>
        <v>616</v>
      </c>
      <c r="L57" s="4296">
        <f>SUM(L48:L56)</f>
        <v>647</v>
      </c>
      <c r="M57" s="4296">
        <f>SUM(M48:M56)</f>
        <v>658</v>
      </c>
      <c r="N57" s="4296">
        <f>SUM(N48:N56)</f>
        <v>646</v>
      </c>
      <c r="O57" s="3703">
        <f t="shared" si="76"/>
        <v>3178</v>
      </c>
      <c r="P57" s="4326">
        <f t="shared" si="74"/>
        <v>0.62608353033884945</v>
      </c>
      <c r="Q57" s="4327"/>
      <c r="S57" s="4302" t="s">
        <v>277</v>
      </c>
      <c r="T57" s="4303">
        <f>SUM(T47:T49,T53:T56)</f>
        <v>2048.1199194792143</v>
      </c>
      <c r="U57" s="4303">
        <f t="shared" ref="U57" si="77">SUM(U47:U49,U53:U56)</f>
        <v>2937.6640781596852</v>
      </c>
      <c r="V57" s="4303">
        <f t="shared" ref="V57" si="78">SUM(V47:V49,V53:V56)</f>
        <v>3212.0819780416168</v>
      </c>
      <c r="W57" s="4303">
        <f t="shared" ref="W57" si="79">SUM(W47:W49,W53:W56)</f>
        <v>3513.6683358754253</v>
      </c>
      <c r="X57" s="4303">
        <f t="shared" ref="X57" si="80">SUM(X47:X49,X53:X56)</f>
        <v>3854.9099102170394</v>
      </c>
      <c r="Y57" s="4303">
        <f t="shared" ref="Y57" si="81">SUM(Y47:Y49,Y53:Y56)</f>
        <v>4240.6949508577209</v>
      </c>
      <c r="Z57" s="4304">
        <f t="shared" si="75"/>
        <v>0.43432230223446083</v>
      </c>
      <c r="AA57" s="4304">
        <f t="shared" si="73"/>
        <v>0.44356020226598747</v>
      </c>
      <c r="AK57" s="3445" t="s">
        <v>1702</v>
      </c>
      <c r="AL57" s="3439" t="s">
        <v>323</v>
      </c>
      <c r="AM57" s="3579">
        <f>'19. HB'!D21</f>
        <v>89.253076951278388</v>
      </c>
      <c r="AN57" s="3579">
        <f>'19. HB'!E21</f>
        <v>99.43088557769623</v>
      </c>
      <c r="AO57" s="3579">
        <f>'19. HB'!F21</f>
        <v>108.767419078399</v>
      </c>
      <c r="AP57" s="3579">
        <f>'19. HB'!G21</f>
        <v>119.98757915504642</v>
      </c>
      <c r="AQ57" s="3579">
        <f>'19. HB'!H21</f>
        <v>131.06915050662528</v>
      </c>
      <c r="AR57" s="4281"/>
    </row>
    <row r="58" spans="1:44" ht="12.75" customHeight="1">
      <c r="A58" s="5632"/>
      <c r="B58" s="4283" t="str">
        <f>+'15. ОПП'!$B$7</f>
        <v>2024 г.</v>
      </c>
      <c r="C58" s="4283" t="str">
        <f>+'15. ОПП'!$C$7</f>
        <v>2027 г.</v>
      </c>
      <c r="D58" s="4283" t="str">
        <f>+'15. ОПП'!$D$7</f>
        <v>2028 г.</v>
      </c>
      <c r="E58" s="4283" t="str">
        <f>+'15. ОПП'!$E$7</f>
        <v>2029 г.</v>
      </c>
      <c r="F58" s="4283" t="str">
        <f>+'15. ОПП'!$F$7</f>
        <v>2030 г.</v>
      </c>
      <c r="G58" s="4283" t="str">
        <f>+'15. ОПП'!$G$7</f>
        <v>2031 г.</v>
      </c>
      <c r="I58" s="4295" t="s">
        <v>1603</v>
      </c>
      <c r="J58" s="4296">
        <f>SUM('9.Инвестиционна програма'!I30:I35)</f>
        <v>2</v>
      </c>
      <c r="K58" s="4296">
        <f>SUM('9.Инвестиционна програма'!J30:J35)</f>
        <v>2</v>
      </c>
      <c r="L58" s="4296">
        <f>SUM('9.Инвестиционна програма'!K30:K35)</f>
        <v>2</v>
      </c>
      <c r="M58" s="4296">
        <f>SUM('9.Инвестиционна програма'!L30:L35)</f>
        <v>2</v>
      </c>
      <c r="N58" s="4296">
        <f>SUM('9.Инвестиционна програма'!M30:M35)</f>
        <v>2</v>
      </c>
      <c r="O58" s="3703">
        <f t="shared" si="76"/>
        <v>10</v>
      </c>
      <c r="P58" s="4326">
        <f t="shared" si="74"/>
        <v>1.9700551615445231E-3</v>
      </c>
      <c r="Q58" s="4327"/>
      <c r="S58" s="4310" t="str">
        <f>CONCATENATE("Спестявания и увеличения спрямо ",T46," - нето:")</f>
        <v>Спестявания и увеличения спрямо 2024 г. - нето:</v>
      </c>
      <c r="T58" s="4311"/>
      <c r="U58" s="4310">
        <f>U57-$T57</f>
        <v>889.5441586804709</v>
      </c>
      <c r="V58" s="4310">
        <f t="shared" ref="V58" si="82">V57-$T57</f>
        <v>1163.9620585624025</v>
      </c>
      <c r="W58" s="4310">
        <f t="shared" ref="W58" si="83">W57-$T57</f>
        <v>1465.548416396211</v>
      </c>
      <c r="X58" s="4310">
        <f t="shared" ref="X58" si="84">X57-$T57</f>
        <v>1806.7899907378251</v>
      </c>
      <c r="Y58" s="4310">
        <f t="shared" ref="Y58" si="85">Y57-$T57</f>
        <v>2192.5750313785065</v>
      </c>
      <c r="Z58" s="4311"/>
      <c r="AA58" s="4311"/>
      <c r="AK58" s="3447" t="s">
        <v>327</v>
      </c>
      <c r="AL58" s="3511" t="s">
        <v>323</v>
      </c>
      <c r="AM58" s="3703">
        <f>SUM(AM53:AM57)</f>
        <v>1061.0413127877041</v>
      </c>
      <c r="AN58" s="3703">
        <f t="shared" ref="AN58:AQ58" si="86">SUM(AN53:AN57)</f>
        <v>1104.6603260742129</v>
      </c>
      <c r="AO58" s="3703">
        <f t="shared" si="86"/>
        <v>1155.6664779435712</v>
      </c>
      <c r="AP58" s="3703">
        <f t="shared" si="86"/>
        <v>1214.6713180124621</v>
      </c>
      <c r="AQ58" s="3703">
        <f t="shared" si="86"/>
        <v>1271.8773103148699</v>
      </c>
      <c r="AR58" s="4281"/>
    </row>
    <row r="59" spans="1:44" ht="15.75" customHeight="1">
      <c r="A59" s="5631" t="s">
        <v>1656</v>
      </c>
      <c r="B59" s="5631"/>
      <c r="C59" s="5631"/>
      <c r="D59" s="5631"/>
      <c r="E59" s="5631"/>
      <c r="F59" s="5631"/>
      <c r="G59" s="5631"/>
      <c r="I59" s="3575" t="s">
        <v>207</v>
      </c>
      <c r="J59" s="4303">
        <f>J57+J58</f>
        <v>613</v>
      </c>
      <c r="K59" s="4303">
        <f>K57+K58</f>
        <v>618</v>
      </c>
      <c r="L59" s="4303">
        <f>L57+L58</f>
        <v>649</v>
      </c>
      <c r="M59" s="4303">
        <f>M57+M58</f>
        <v>660</v>
      </c>
      <c r="N59" s="4303">
        <f>N57+N58</f>
        <v>648</v>
      </c>
      <c r="O59" s="4303">
        <f>SUM(J59:N59)</f>
        <v>3188</v>
      </c>
      <c r="P59" s="4304">
        <f t="shared" si="74"/>
        <v>0.62805358550039403</v>
      </c>
      <c r="Q59" s="4309"/>
      <c r="S59" s="4294" t="s">
        <v>1668</v>
      </c>
      <c r="T59" s="3703">
        <f>'12. Разходи'!S92</f>
        <v>1477.1737273971303</v>
      </c>
      <c r="U59" s="3703">
        <f>'12. Разходи'!T92</f>
        <v>2144.7813232156077</v>
      </c>
      <c r="V59" s="3703">
        <f>'12. Разходи'!U92</f>
        <v>2329.7782939737831</v>
      </c>
      <c r="W59" s="3703">
        <f>'12. Разходи'!V92</f>
        <v>2535.6233134117588</v>
      </c>
      <c r="X59" s="3703">
        <f>'12. Разходи'!W92</f>
        <v>2766.3055589251626</v>
      </c>
      <c r="Y59" s="3703">
        <f>'12. Разходи'!X92</f>
        <v>3025.9040048183551</v>
      </c>
      <c r="Z59" s="4292">
        <f t="shared" si="75"/>
        <v>0.4519492754551237</v>
      </c>
      <c r="AA59" s="4292">
        <f t="shared" ref="AA59:AA63" si="87">IFERROR((Y59-U59)/U59,0)</f>
        <v>0.41082168707143818</v>
      </c>
      <c r="AR59" s="4281"/>
    </row>
    <row r="60" spans="1:44" ht="15.75" customHeight="1">
      <c r="A60" s="4293" t="s">
        <v>334</v>
      </c>
      <c r="B60" s="3703">
        <f>'11. Амортиз. план'!Z10</f>
        <v>0</v>
      </c>
      <c r="C60" s="3703">
        <f>'11. Амортиз. план'!AB10</f>
        <v>0</v>
      </c>
      <c r="D60" s="3703">
        <f>'11. Амортиз. план'!AC10</f>
        <v>0</v>
      </c>
      <c r="E60" s="3703">
        <f>'11. Амортиз. план'!AD10</f>
        <v>0</v>
      </c>
      <c r="F60" s="3703">
        <f>'11. Амортиз. план'!AE10</f>
        <v>0</v>
      </c>
      <c r="G60" s="3703">
        <f>'11. Амортиз. план'!AF10</f>
        <v>0</v>
      </c>
      <c r="I60" s="4299" t="s">
        <v>1604</v>
      </c>
      <c r="J60" s="3579">
        <f>'9.Инвестиционна програма'!I37</f>
        <v>0</v>
      </c>
      <c r="K60" s="3579">
        <f>'9.Инвестиционна програма'!J37</f>
        <v>0</v>
      </c>
      <c r="L60" s="3579">
        <f>'9.Инвестиционна програма'!K37</f>
        <v>0</v>
      </c>
      <c r="M60" s="3579">
        <f>'9.Инвестиционна програма'!L37</f>
        <v>0</v>
      </c>
      <c r="N60" s="3579">
        <f>'9.Инвестиционна програма'!M37</f>
        <v>0</v>
      </c>
      <c r="O60" s="3703">
        <f t="shared" si="76"/>
        <v>0</v>
      </c>
      <c r="P60" s="4324">
        <f t="shared" si="74"/>
        <v>0</v>
      </c>
      <c r="Q60" s="4325"/>
      <c r="S60" s="4294" t="s">
        <v>1670</v>
      </c>
      <c r="T60" s="3703">
        <f>'12. Разходи'!S93</f>
        <v>442.32282052708774</v>
      </c>
      <c r="U60" s="3703">
        <f>'12. Разходи'!T93</f>
        <v>696.77267231395308</v>
      </c>
      <c r="V60" s="3703">
        <f>'12. Разходи'!U93</f>
        <v>785.73016116742338</v>
      </c>
      <c r="W60" s="3703">
        <f>'12. Разходи'!V93</f>
        <v>884.46578087020862</v>
      </c>
      <c r="X60" s="3703">
        <f>'12. Разходи'!W93</f>
        <v>995.63302118171168</v>
      </c>
      <c r="Y60" s="3703">
        <f>'12. Разходи'!X93</f>
        <v>1121.3299051571657</v>
      </c>
      <c r="Z60" s="4292">
        <f t="shared" si="75"/>
        <v>0.57525825026087007</v>
      </c>
      <c r="AA60" s="4292">
        <f t="shared" si="87"/>
        <v>0.60931958113867435</v>
      </c>
      <c r="AR60" s="4281"/>
    </row>
    <row r="61" spans="1:44" ht="15.75" customHeight="1">
      <c r="A61" s="4295" t="s">
        <v>218</v>
      </c>
      <c r="B61" s="4296">
        <f>'11. Амортиз. план'!Z35</f>
        <v>0</v>
      </c>
      <c r="C61" s="4296">
        <f>'11. Амортиз. план'!AB35</f>
        <v>0</v>
      </c>
      <c r="D61" s="4296">
        <f>'11. Амортиз. план'!AC35</f>
        <v>0</v>
      </c>
      <c r="E61" s="4296">
        <f>'11. Амортиз. план'!AD35</f>
        <v>0</v>
      </c>
      <c r="F61" s="4296">
        <f>'11. Амортиз. план'!AE35</f>
        <v>0</v>
      </c>
      <c r="G61" s="4296">
        <f>'11. Амортиз. план'!AF35</f>
        <v>0</v>
      </c>
      <c r="I61" s="4299" t="s">
        <v>1605</v>
      </c>
      <c r="J61" s="3579">
        <f>'9.Инвестиционна програма'!I38</f>
        <v>0</v>
      </c>
      <c r="K61" s="3579">
        <f>'9.Инвестиционна програма'!J38</f>
        <v>0</v>
      </c>
      <c r="L61" s="3579">
        <f>'9.Инвестиционна програма'!K38</f>
        <v>0</v>
      </c>
      <c r="M61" s="3579">
        <f>'9.Инвестиционна програма'!L38</f>
        <v>0</v>
      </c>
      <c r="N61" s="3579">
        <f>'9.Инвестиционна програма'!M38</f>
        <v>0</v>
      </c>
      <c r="O61" s="3703">
        <f t="shared" si="76"/>
        <v>0</v>
      </c>
      <c r="P61" s="4324">
        <f t="shared" si="74"/>
        <v>0</v>
      </c>
      <c r="Q61" s="4325"/>
      <c r="S61" s="4313" t="s">
        <v>1669</v>
      </c>
      <c r="T61" s="3579">
        <f>'12. Разходи'!S94</f>
        <v>161.34986527741043</v>
      </c>
      <c r="U61" s="3579">
        <f>'12. Разходи'!T94</f>
        <v>229.30358365951793</v>
      </c>
      <c r="V61" s="3579">
        <f>'12. Разходи'!U94</f>
        <v>259.71194974606078</v>
      </c>
      <c r="W61" s="3579">
        <f>'12. Разходи'!V94</f>
        <v>294.36631897186902</v>
      </c>
      <c r="X61" s="3579">
        <f>'12. Разходи'!W94</f>
        <v>333.71015010152468</v>
      </c>
      <c r="Y61" s="3579">
        <f>'12. Разходи'!X94</f>
        <v>378.38655850527948</v>
      </c>
      <c r="Z61" s="4292">
        <f t="shared" si="75"/>
        <v>0.42115757744993459</v>
      </c>
      <c r="AA61" s="4292">
        <f t="shared" si="87"/>
        <v>0.6501554509812103</v>
      </c>
      <c r="AR61" s="4281"/>
    </row>
    <row r="62" spans="1:44" ht="15.75" customHeight="1">
      <c r="A62" s="4299" t="s">
        <v>220</v>
      </c>
      <c r="B62" s="3579">
        <f>'11. Амортиз. план'!Z60</f>
        <v>0</v>
      </c>
      <c r="C62" s="3579">
        <f>'11. Амортиз. план'!AB60</f>
        <v>0</v>
      </c>
      <c r="D62" s="3579">
        <f>'11. Амортиз. план'!AC60</f>
        <v>0</v>
      </c>
      <c r="E62" s="3579">
        <f>'11. Амортиз. план'!AD60</f>
        <v>0</v>
      </c>
      <c r="F62" s="3579">
        <f>'11. Амортиз. план'!AE60</f>
        <v>0</v>
      </c>
      <c r="G62" s="3579">
        <f>'11. Амортиз. план'!AF60</f>
        <v>0</v>
      </c>
      <c r="I62" s="4299" t="s">
        <v>1606</v>
      </c>
      <c r="J62" s="3579">
        <f>'9.Инвестиционна програма'!I39</f>
        <v>0</v>
      </c>
      <c r="K62" s="3579">
        <f>'9.Инвестиционна програма'!J39</f>
        <v>0</v>
      </c>
      <c r="L62" s="3579">
        <f>'9.Инвестиционна програма'!K39</f>
        <v>0</v>
      </c>
      <c r="M62" s="3579">
        <f>'9.Инвестиционна програма'!L39</f>
        <v>0</v>
      </c>
      <c r="N62" s="3579">
        <f>'9.Инвестиционна програма'!M39</f>
        <v>0</v>
      </c>
      <c r="O62" s="3703">
        <f t="shared" si="76"/>
        <v>0</v>
      </c>
      <c r="P62" s="4324">
        <f t="shared" si="74"/>
        <v>0</v>
      </c>
      <c r="Q62" s="4309"/>
      <c r="S62" s="4294" t="s">
        <v>1672</v>
      </c>
      <c r="T62" s="3579">
        <f>'12. Разходи'!S90</f>
        <v>38.189003959221701</v>
      </c>
      <c r="U62" s="3579">
        <f>'12. Разходи'!T90</f>
        <v>48.518793526769052</v>
      </c>
      <c r="V62" s="3579">
        <f>'12. Разходи'!U90</f>
        <v>47.749431523704956</v>
      </c>
      <c r="W62" s="3579">
        <f>'12. Разходи'!V90</f>
        <v>50.961718268297979</v>
      </c>
      <c r="X62" s="3579">
        <f>'12. Разходи'!W90</f>
        <v>54.957769163692817</v>
      </c>
      <c r="Y62" s="3579">
        <f>'12. Разходи'!X90</f>
        <v>59.069542719019431</v>
      </c>
      <c r="Z62" s="4292">
        <f t="shared" si="75"/>
        <v>0.27049120156622891</v>
      </c>
      <c r="AA62" s="4292">
        <f t="shared" si="87"/>
        <v>0.21745695688886538</v>
      </c>
      <c r="AR62" s="4281"/>
    </row>
    <row r="63" spans="1:44" ht="14.25" customHeight="1">
      <c r="A63" s="4299" t="s">
        <v>222</v>
      </c>
      <c r="B63" s="3579">
        <f>'11. Амортиз. план'!Z85</f>
        <v>0</v>
      </c>
      <c r="C63" s="3579">
        <f>'11. Амортиз. план'!AB85</f>
        <v>0</v>
      </c>
      <c r="D63" s="3579">
        <f>'11. Амортиз. план'!AC85</f>
        <v>0</v>
      </c>
      <c r="E63" s="3579">
        <f>'11. Амортиз. план'!AD85</f>
        <v>0</v>
      </c>
      <c r="F63" s="3579">
        <f>'11. Амортиз. план'!AE85</f>
        <v>0</v>
      </c>
      <c r="G63" s="3579">
        <f>'11. Амортиз. план'!AF85</f>
        <v>0</v>
      </c>
      <c r="I63" s="4299" t="s">
        <v>1573</v>
      </c>
      <c r="J63" s="3579">
        <f>'9.Инвестиционна програма'!I40</f>
        <v>5</v>
      </c>
      <c r="K63" s="3579">
        <f>'9.Инвестиционна програма'!J40</f>
        <v>5</v>
      </c>
      <c r="L63" s="3579">
        <f>'9.Инвестиционна програма'!K40</f>
        <v>5</v>
      </c>
      <c r="M63" s="3579">
        <f>'9.Инвестиционна програма'!L40</f>
        <v>5</v>
      </c>
      <c r="N63" s="3579">
        <f>'9.Инвестиционна програма'!M40</f>
        <v>5</v>
      </c>
      <c r="O63" s="3703">
        <f t="shared" si="76"/>
        <v>25</v>
      </c>
      <c r="P63" s="4324">
        <f t="shared" si="74"/>
        <v>4.9251379038613083E-3</v>
      </c>
      <c r="Q63" s="4309"/>
      <c r="S63" s="4294" t="s">
        <v>1231</v>
      </c>
      <c r="T63" s="3579">
        <f>'12. Разходи'!S89</f>
        <v>552.65249416140523</v>
      </c>
      <c r="U63" s="3579">
        <f>'12. Разходи'!T89</f>
        <v>655.473997392824</v>
      </c>
      <c r="V63" s="3579">
        <f>'12. Разходи'!U89</f>
        <v>652.94198105040437</v>
      </c>
      <c r="W63" s="3579">
        <f>'12. Разходи'!V89</f>
        <v>648.81518218974441</v>
      </c>
      <c r="X63" s="3579">
        <f>'12. Разходи'!W89</f>
        <v>644.74642945888422</v>
      </c>
      <c r="Y63" s="3579">
        <f>'12. Разходи'!X89</f>
        <v>642.81514360260178</v>
      </c>
      <c r="Z63" s="4292">
        <f t="shared" si="75"/>
        <v>0.1860509168377863</v>
      </c>
      <c r="AA63" s="4292">
        <f t="shared" si="87"/>
        <v>-1.9312518636243937E-2</v>
      </c>
      <c r="AR63" s="4281"/>
    </row>
    <row r="64" spans="1:44" ht="20.25" customHeight="1">
      <c r="A64" s="5631" t="s">
        <v>1657</v>
      </c>
      <c r="B64" s="5631"/>
      <c r="C64" s="5631"/>
      <c r="D64" s="5631"/>
      <c r="E64" s="5631"/>
      <c r="F64" s="5631"/>
      <c r="G64" s="5631"/>
      <c r="I64" s="4299" t="s">
        <v>1607</v>
      </c>
      <c r="J64" s="3579">
        <f>'9.Инвестиционна програма'!I42</f>
        <v>0</v>
      </c>
      <c r="K64" s="3579">
        <f>'9.Инвестиционна програма'!J42</f>
        <v>0</v>
      </c>
      <c r="L64" s="3579">
        <f>'9.Инвестиционна програма'!K42</f>
        <v>0</v>
      </c>
      <c r="M64" s="3579">
        <f>'9.Инвестиционна програма'!L42</f>
        <v>0</v>
      </c>
      <c r="N64" s="3579">
        <f>'9.Инвестиционна програма'!M42</f>
        <v>0</v>
      </c>
      <c r="O64" s="3703">
        <f t="shared" si="76"/>
        <v>0</v>
      </c>
      <c r="P64" s="4324">
        <f t="shared" si="74"/>
        <v>0</v>
      </c>
      <c r="Q64" s="4309"/>
      <c r="T64" s="11"/>
      <c r="U64" s="11"/>
      <c r="V64" s="11"/>
      <c r="W64" s="11"/>
      <c r="X64" s="11"/>
      <c r="Y64" s="11"/>
      <c r="Z64" s="11"/>
      <c r="AA64" s="11"/>
      <c r="AR64" s="4281"/>
    </row>
    <row r="65" spans="1:44" ht="15.75" customHeight="1">
      <c r="A65" s="4293" t="s">
        <v>334</v>
      </c>
      <c r="B65" s="3703">
        <f>'11. Амортиз. план'!Z111</f>
        <v>0</v>
      </c>
      <c r="C65" s="3703">
        <f>'11. Амортиз. план'!AB111</f>
        <v>0</v>
      </c>
      <c r="D65" s="3703">
        <f>'11. Амортиз. план'!AC111</f>
        <v>0</v>
      </c>
      <c r="E65" s="3703">
        <f>'11. Амортиз. план'!AD111</f>
        <v>0</v>
      </c>
      <c r="F65" s="3703">
        <f>'11. Амортиз. план'!AE111</f>
        <v>0</v>
      </c>
      <c r="G65" s="3703">
        <f>'11. Амортиз. план'!AF111</f>
        <v>0</v>
      </c>
      <c r="I65" s="4299" t="s">
        <v>1601</v>
      </c>
      <c r="J65" s="3579">
        <f>'9.Инвестиционна програма'!I41</f>
        <v>0</v>
      </c>
      <c r="K65" s="3579">
        <f>'9.Инвестиционна програма'!J41</f>
        <v>0</v>
      </c>
      <c r="L65" s="3579">
        <f>'9.Инвестиционна програма'!K41</f>
        <v>0</v>
      </c>
      <c r="M65" s="3579">
        <f>'9.Инвестиционна програма'!L41</f>
        <v>0</v>
      </c>
      <c r="N65" s="3579">
        <f>'9.Инвестиционна програма'!M41</f>
        <v>0</v>
      </c>
      <c r="O65" s="3703">
        <f t="shared" si="76"/>
        <v>0</v>
      </c>
      <c r="P65" s="4324">
        <f t="shared" si="74"/>
        <v>0</v>
      </c>
      <c r="Q65" s="4309"/>
      <c r="T65" s="11"/>
      <c r="U65" s="11"/>
      <c r="V65" s="11"/>
      <c r="W65" s="11"/>
      <c r="X65" s="11"/>
      <c r="Y65" s="11"/>
      <c r="Z65" s="11"/>
      <c r="AA65" s="11"/>
      <c r="AR65" s="4281"/>
    </row>
    <row r="66" spans="1:44" ht="15" customHeight="1">
      <c r="A66" s="4295" t="s">
        <v>218</v>
      </c>
      <c r="B66" s="4296">
        <f>'11. Амортиз. план'!Z131</f>
        <v>0</v>
      </c>
      <c r="C66" s="4296">
        <f>'11. Амортиз. план'!AB131</f>
        <v>0</v>
      </c>
      <c r="D66" s="4296">
        <f>'11. Амортиз. план'!AC131</f>
        <v>0</v>
      </c>
      <c r="E66" s="4296">
        <f>'11. Амортиз. план'!AD131</f>
        <v>0</v>
      </c>
      <c r="F66" s="4296">
        <f>'11. Амортиз. план'!AE131</f>
        <v>0</v>
      </c>
      <c r="G66" s="4296">
        <f>'11. Амортиз. план'!AF131</f>
        <v>0</v>
      </c>
      <c r="I66" s="4295" t="s">
        <v>1608</v>
      </c>
      <c r="J66" s="4296">
        <f>SUM(J60:J65)</f>
        <v>5</v>
      </c>
      <c r="K66" s="4296">
        <f t="shared" ref="K66:N66" si="88">SUM(K60:K65)</f>
        <v>5</v>
      </c>
      <c r="L66" s="4296">
        <f t="shared" si="88"/>
        <v>5</v>
      </c>
      <c r="M66" s="4296">
        <f t="shared" si="88"/>
        <v>5</v>
      </c>
      <c r="N66" s="4296">
        <f t="shared" si="88"/>
        <v>5</v>
      </c>
      <c r="O66" s="4328">
        <f t="shared" si="76"/>
        <v>25</v>
      </c>
      <c r="P66" s="4326">
        <f t="shared" si="74"/>
        <v>4.9251379038613083E-3</v>
      </c>
      <c r="Q66" s="4309"/>
      <c r="T66" s="11"/>
      <c r="U66" s="11"/>
      <c r="V66" s="11"/>
      <c r="W66" s="11"/>
      <c r="X66" s="11"/>
      <c r="Y66" s="11"/>
      <c r="Z66" s="11"/>
      <c r="AA66" s="11"/>
      <c r="AR66" s="4281"/>
    </row>
    <row r="67" spans="1:44" ht="20.25" customHeight="1">
      <c r="A67" s="4299" t="s">
        <v>220</v>
      </c>
      <c r="B67" s="3579">
        <f>'11. Амортиз. план'!Z151</f>
        <v>0</v>
      </c>
      <c r="C67" s="3579">
        <f>'11. Амортиз. план'!AB151</f>
        <v>0</v>
      </c>
      <c r="D67" s="3579">
        <f>'11. Амортиз. план'!AC151</f>
        <v>0</v>
      </c>
      <c r="E67" s="3579">
        <f>'11. Амортиз. план'!AD151</f>
        <v>0</v>
      </c>
      <c r="F67" s="3579">
        <f>'11. Амортиз. план'!AE151</f>
        <v>0</v>
      </c>
      <c r="G67" s="3579">
        <f>'11. Амортиз. план'!AF151</f>
        <v>0</v>
      </c>
      <c r="I67" s="4295" t="s">
        <v>1603</v>
      </c>
      <c r="J67" s="4296">
        <f>SUM('9.Инвестиционна програма'!I43:I47)</f>
        <v>3</v>
      </c>
      <c r="K67" s="4296">
        <f>SUM('9.Инвестиционна програма'!J43:J47)</f>
        <v>3</v>
      </c>
      <c r="L67" s="4296">
        <f>SUM('9.Инвестиционна програма'!K43:K47)</f>
        <v>3</v>
      </c>
      <c r="M67" s="4296">
        <f>SUM('9.Инвестиционна програма'!L43:L47)</f>
        <v>3</v>
      </c>
      <c r="N67" s="4296">
        <f>SUM('9.Инвестиционна програма'!M43:M47)</f>
        <v>3</v>
      </c>
      <c r="O67" s="4328">
        <f t="shared" si="76"/>
        <v>15</v>
      </c>
      <c r="P67" s="4326">
        <f t="shared" si="74"/>
        <v>2.9550827423167848E-3</v>
      </c>
      <c r="Q67" s="4309"/>
      <c r="T67" s="11"/>
      <c r="U67" s="11"/>
      <c r="V67" s="11"/>
      <c r="W67" s="11"/>
      <c r="X67" s="11"/>
      <c r="Y67" s="11"/>
      <c r="Z67" s="11"/>
      <c r="AA67" s="11"/>
      <c r="AR67" s="4281"/>
    </row>
    <row r="68" spans="1:44" ht="20.25" customHeight="1">
      <c r="A68" s="4299" t="s">
        <v>222</v>
      </c>
      <c r="B68" s="3579">
        <f>'11. Амортиз. план'!Z171</f>
        <v>0</v>
      </c>
      <c r="C68" s="3579">
        <f>'11. Амортиз. план'!AB171</f>
        <v>0</v>
      </c>
      <c r="D68" s="3579">
        <f>'11. Амортиз. план'!AC171</f>
        <v>0</v>
      </c>
      <c r="E68" s="3579">
        <f>'11. Амортиз. план'!AD171</f>
        <v>0</v>
      </c>
      <c r="F68" s="3579">
        <f>'11. Амортиз. план'!AE171</f>
        <v>0</v>
      </c>
      <c r="G68" s="3579">
        <f>'11. Амортиз. план'!AF171</f>
        <v>0</v>
      </c>
      <c r="I68" s="3575" t="s">
        <v>208</v>
      </c>
      <c r="J68" s="4303">
        <f>J66+J67</f>
        <v>8</v>
      </c>
      <c r="K68" s="4303">
        <f t="shared" ref="K68:N68" si="89">K66+K67</f>
        <v>8</v>
      </c>
      <c r="L68" s="4303">
        <f t="shared" si="89"/>
        <v>8</v>
      </c>
      <c r="M68" s="4303">
        <f t="shared" si="89"/>
        <v>8</v>
      </c>
      <c r="N68" s="4303">
        <f t="shared" si="89"/>
        <v>8</v>
      </c>
      <c r="O68" s="4303">
        <f t="shared" ref="O68" si="90">SUM(J68:N68)</f>
        <v>40</v>
      </c>
      <c r="P68" s="4304">
        <f t="shared" si="74"/>
        <v>7.8802206461780922E-3</v>
      </c>
      <c r="Q68" s="4309"/>
      <c r="T68" s="11"/>
      <c r="U68" s="11"/>
      <c r="V68" s="11"/>
      <c r="W68" s="11"/>
      <c r="X68" s="11"/>
      <c r="Y68" s="11"/>
      <c r="Z68" s="11"/>
      <c r="AA68" s="11"/>
      <c r="AR68" s="4281"/>
    </row>
    <row r="69" spans="1:44" ht="14.25" customHeight="1">
      <c r="A69" s="5631" t="s">
        <v>1658</v>
      </c>
      <c r="B69" s="5631"/>
      <c r="C69" s="5631"/>
      <c r="D69" s="5631"/>
      <c r="E69" s="5631"/>
      <c r="F69" s="5631"/>
      <c r="G69" s="5631"/>
      <c r="I69" s="4299" t="s">
        <v>1609</v>
      </c>
      <c r="J69" s="3579">
        <f>'9.Инвестиционна програма'!I49</f>
        <v>30</v>
      </c>
      <c r="K69" s="3579">
        <f>'9.Инвестиционна програма'!J49</f>
        <v>30</v>
      </c>
      <c r="L69" s="3579">
        <f>'9.Инвестиционна програма'!K49</f>
        <v>30</v>
      </c>
      <c r="M69" s="3579">
        <f>'9.Инвестиционна програма'!L49</f>
        <v>30</v>
      </c>
      <c r="N69" s="3579">
        <f>'9.Инвестиционна програма'!M49</f>
        <v>30</v>
      </c>
      <c r="O69" s="4329">
        <f t="shared" si="76"/>
        <v>150</v>
      </c>
      <c r="P69" s="4324">
        <f t="shared" si="74"/>
        <v>2.955082742316785E-2</v>
      </c>
      <c r="Q69" s="4309"/>
      <c r="T69" s="11"/>
      <c r="U69" s="11"/>
      <c r="V69" s="11"/>
      <c r="W69" s="11"/>
      <c r="X69" s="11"/>
      <c r="Y69" s="11"/>
      <c r="Z69" s="11"/>
      <c r="AA69" s="11"/>
      <c r="AR69" s="4281"/>
    </row>
    <row r="70" spans="1:44" ht="14.25" customHeight="1">
      <c r="A70" s="4293" t="s">
        <v>334</v>
      </c>
      <c r="B70" s="3703">
        <f>'11. Амортиз. план'!Z192</f>
        <v>0</v>
      </c>
      <c r="C70" s="3703">
        <f>'11. Амортиз. план'!AB192</f>
        <v>0</v>
      </c>
      <c r="D70" s="3703">
        <f>'11. Амортиз. план'!AC192</f>
        <v>0</v>
      </c>
      <c r="E70" s="3703">
        <f>'11. Амортиз. план'!AD192</f>
        <v>0</v>
      </c>
      <c r="F70" s="3703">
        <f>'11. Амортиз. план'!AE192</f>
        <v>0</v>
      </c>
      <c r="G70" s="3703">
        <f>'11. Амортиз. план'!AF192</f>
        <v>0</v>
      </c>
      <c r="I70" s="4299" t="s">
        <v>1601</v>
      </c>
      <c r="J70" s="3579">
        <f>'9.Инвестиционна програма'!I51</f>
        <v>0</v>
      </c>
      <c r="K70" s="3579">
        <f>'9.Инвестиционна програма'!J51</f>
        <v>0</v>
      </c>
      <c r="L70" s="3579">
        <f>'9.Инвестиционна програма'!K51</f>
        <v>0</v>
      </c>
      <c r="M70" s="3579">
        <f>'9.Инвестиционна програма'!L51</f>
        <v>0</v>
      </c>
      <c r="N70" s="3579">
        <f>'9.Инвестиционна програма'!M51</f>
        <v>0</v>
      </c>
      <c r="O70" s="4329">
        <f t="shared" si="76"/>
        <v>0</v>
      </c>
      <c r="P70" s="4324">
        <f t="shared" si="74"/>
        <v>0</v>
      </c>
      <c r="Q70" s="4309"/>
      <c r="T70" s="11"/>
      <c r="U70" s="11"/>
      <c r="V70" s="11"/>
      <c r="W70" s="11"/>
      <c r="X70" s="11"/>
      <c r="Y70" s="11"/>
      <c r="Z70" s="11"/>
      <c r="AA70" s="11"/>
      <c r="AR70" s="4281"/>
    </row>
    <row r="71" spans="1:44" ht="12.75" customHeight="1">
      <c r="A71" s="4295" t="s">
        <v>218</v>
      </c>
      <c r="B71" s="4296">
        <f>'11. Амортиз. план'!Z214</f>
        <v>0</v>
      </c>
      <c r="C71" s="4296">
        <f>'11. Амортиз. план'!AB214</f>
        <v>0</v>
      </c>
      <c r="D71" s="4296">
        <f>'11. Амортиз. план'!AC214</f>
        <v>0</v>
      </c>
      <c r="E71" s="4296">
        <f>'11. Амортиз. план'!AD214</f>
        <v>0</v>
      </c>
      <c r="F71" s="4296">
        <f>'11. Амортиз. план'!AE214</f>
        <v>0</v>
      </c>
      <c r="G71" s="4296">
        <f>'11. Амортиз. план'!AF214</f>
        <v>0</v>
      </c>
      <c r="I71" s="4295" t="s">
        <v>1610</v>
      </c>
      <c r="J71" s="4296">
        <f>SUM(J69:J70)</f>
        <v>30</v>
      </c>
      <c r="K71" s="4296">
        <f>SUM(K69:K70)</f>
        <v>30</v>
      </c>
      <c r="L71" s="4296">
        <f>SUM(L69:L70)</f>
        <v>30</v>
      </c>
      <c r="M71" s="4296">
        <f>SUM(M69:M70)</f>
        <v>30</v>
      </c>
      <c r="N71" s="4296">
        <f>SUM(N69:N70)</f>
        <v>30</v>
      </c>
      <c r="O71" s="4329">
        <f t="shared" si="76"/>
        <v>150</v>
      </c>
      <c r="P71" s="4326">
        <f t="shared" si="74"/>
        <v>2.955082742316785E-2</v>
      </c>
      <c r="Q71" s="4309"/>
      <c r="T71" s="11"/>
      <c r="U71" s="11"/>
      <c r="V71" s="11"/>
      <c r="W71" s="11"/>
      <c r="X71" s="11"/>
      <c r="Y71" s="11"/>
      <c r="Z71" s="11"/>
      <c r="AA71" s="11"/>
    </row>
    <row r="72" spans="1:44" ht="15.75" customHeight="1">
      <c r="A72" s="4299" t="s">
        <v>220</v>
      </c>
      <c r="B72" s="3579">
        <f>'11. Амортиз. план'!Z236</f>
        <v>0</v>
      </c>
      <c r="C72" s="3579">
        <f>'11. Амортиз. план'!AB236</f>
        <v>0</v>
      </c>
      <c r="D72" s="3579">
        <f>'11. Амортиз. план'!AC236</f>
        <v>0</v>
      </c>
      <c r="E72" s="3579">
        <f>'11. Амортиз. план'!AD236</f>
        <v>0</v>
      </c>
      <c r="F72" s="3579">
        <f>'11. Амортиз. план'!AE236</f>
        <v>0</v>
      </c>
      <c r="G72" s="3579">
        <f>'11. Амортиз. план'!AF236</f>
        <v>0</v>
      </c>
      <c r="I72" s="4295" t="s">
        <v>1603</v>
      </c>
      <c r="J72" s="4296">
        <f>SUM('9.Инвестиционна програма'!I52:I56,'9.Инвестиционна програма'!I50)</f>
        <v>2</v>
      </c>
      <c r="K72" s="4296">
        <f>SUM('9.Инвестиционна програма'!J52:J56,'9.Инвестиционна програма'!J50)</f>
        <v>2</v>
      </c>
      <c r="L72" s="4296">
        <f>SUM('9.Инвестиционна програма'!K52:K56,'9.Инвестиционна програма'!K50)</f>
        <v>2</v>
      </c>
      <c r="M72" s="4296">
        <f>SUM('9.Инвестиционна програма'!L52:L56,'9.Инвестиционна програма'!L50)</f>
        <v>2</v>
      </c>
      <c r="N72" s="4296">
        <f>SUM('9.Инвестиционна програма'!M52:M56,'9.Инвестиционна програма'!M50)</f>
        <v>2</v>
      </c>
      <c r="O72" s="3703">
        <f t="shared" si="76"/>
        <v>10</v>
      </c>
      <c r="P72" s="4326">
        <f t="shared" si="74"/>
        <v>1.9700551615445231E-3</v>
      </c>
      <c r="Q72" s="4309"/>
      <c r="T72" s="11"/>
      <c r="U72" s="11"/>
      <c r="V72" s="11"/>
      <c r="W72" s="11"/>
      <c r="X72" s="11"/>
      <c r="Y72" s="11"/>
      <c r="Z72" s="11"/>
      <c r="AA72" s="11"/>
    </row>
    <row r="73" spans="1:44" ht="15.75" customHeight="1">
      <c r="A73" s="4299" t="s">
        <v>222</v>
      </c>
      <c r="B73" s="3579">
        <f>'11. Амортиз. план'!Z258</f>
        <v>0</v>
      </c>
      <c r="C73" s="3579">
        <f>'11. Амортиз. план'!AB258</f>
        <v>0</v>
      </c>
      <c r="D73" s="3579">
        <f>'11. Амортиз. план'!AC258</f>
        <v>0</v>
      </c>
      <c r="E73" s="3579">
        <f>'11. Амортиз. план'!AD258</f>
        <v>0</v>
      </c>
      <c r="F73" s="3579">
        <f>'11. Амортиз. план'!AE258</f>
        <v>0</v>
      </c>
      <c r="G73" s="3579">
        <f>'11. Амортиз. план'!AF258</f>
        <v>0</v>
      </c>
      <c r="I73" s="3575" t="s">
        <v>209</v>
      </c>
      <c r="J73" s="4303">
        <f>J71+J72</f>
        <v>32</v>
      </c>
      <c r="K73" s="4303">
        <f t="shared" ref="K73:N73" si="91">K71+K72</f>
        <v>32</v>
      </c>
      <c r="L73" s="4303">
        <f t="shared" si="91"/>
        <v>32</v>
      </c>
      <c r="M73" s="4303">
        <f t="shared" si="91"/>
        <v>32</v>
      </c>
      <c r="N73" s="4303">
        <f t="shared" si="91"/>
        <v>32</v>
      </c>
      <c r="O73" s="4303">
        <f t="shared" ref="O73:O88" si="92">SUM(J73:N73)</f>
        <v>160</v>
      </c>
      <c r="P73" s="4304">
        <f t="shared" si="74"/>
        <v>3.1520882584712369E-2</v>
      </c>
      <c r="Q73" s="4309"/>
      <c r="T73" s="11"/>
      <c r="U73" s="11"/>
      <c r="V73" s="11"/>
      <c r="W73" s="11"/>
      <c r="X73" s="11"/>
      <c r="Y73" s="11"/>
      <c r="Z73" s="11"/>
      <c r="AA73" s="11"/>
    </row>
    <row r="74" spans="1:44" ht="20.25" customHeight="1">
      <c r="B74" s="11"/>
      <c r="C74" s="11"/>
      <c r="D74" s="11"/>
      <c r="E74" s="11"/>
      <c r="F74" s="11"/>
      <c r="G74" s="11"/>
      <c r="I74" s="4330" t="s">
        <v>1611</v>
      </c>
      <c r="J74" s="4303">
        <f>'9.Инвестиционна програма'!I57</f>
        <v>130</v>
      </c>
      <c r="K74" s="4303">
        <f>'9.Инвестиционна програма'!J57</f>
        <v>130</v>
      </c>
      <c r="L74" s="4303">
        <f>'9.Инвестиционна програма'!K57</f>
        <v>130</v>
      </c>
      <c r="M74" s="4303">
        <f>'9.Инвестиционна програма'!L57</f>
        <v>130</v>
      </c>
      <c r="N74" s="4303">
        <f>'9.Инвестиционна програма'!M57</f>
        <v>130</v>
      </c>
      <c r="O74" s="4303">
        <f t="shared" si="92"/>
        <v>650</v>
      </c>
      <c r="P74" s="4304">
        <f t="shared" si="74"/>
        <v>0.128053585500394</v>
      </c>
      <c r="Q74" s="4309"/>
      <c r="T74" s="11"/>
      <c r="U74" s="11"/>
      <c r="V74" s="11"/>
      <c r="W74" s="11"/>
      <c r="X74" s="11"/>
      <c r="Y74" s="11"/>
      <c r="Z74" s="11"/>
      <c r="AA74" s="11"/>
    </row>
    <row r="75" spans="1:44" ht="17.25" customHeight="1">
      <c r="B75" s="11"/>
      <c r="C75" s="11"/>
      <c r="D75" s="11"/>
      <c r="E75" s="11"/>
      <c r="F75" s="11"/>
      <c r="G75" s="11"/>
      <c r="I75" s="4299" t="s">
        <v>659</v>
      </c>
      <c r="J75" s="3579">
        <f>'9.Инвестиционна програма'!I70</f>
        <v>0</v>
      </c>
      <c r="K75" s="3579">
        <f>'9.Инвестиционна програма'!J70</f>
        <v>0</v>
      </c>
      <c r="L75" s="3579">
        <f>'9.Инвестиционна програма'!K70</f>
        <v>0</v>
      </c>
      <c r="M75" s="3579">
        <f>'9.Инвестиционна програма'!L70</f>
        <v>0</v>
      </c>
      <c r="N75" s="3579">
        <f>'9.Инвестиционна програма'!M70</f>
        <v>0</v>
      </c>
      <c r="O75" s="3703">
        <f t="shared" ref="O75:O81" si="93">SUM(J75:N75)</f>
        <v>0</v>
      </c>
      <c r="P75" s="4324">
        <f t="shared" si="74"/>
        <v>0</v>
      </c>
      <c r="Q75" s="4309"/>
      <c r="S75" s="2" t="s">
        <v>1665</v>
      </c>
      <c r="T75" s="11"/>
      <c r="U75" s="11"/>
      <c r="V75" s="11"/>
      <c r="W75" s="11"/>
      <c r="X75" s="11"/>
      <c r="Y75" s="11"/>
      <c r="Z75" s="11"/>
      <c r="AA75" s="11"/>
    </row>
    <row r="76" spans="1:44" ht="27.75" customHeight="1">
      <c r="B76" s="11"/>
      <c r="C76" s="11"/>
      <c r="D76" s="11"/>
      <c r="E76" s="11"/>
      <c r="F76" s="11"/>
      <c r="G76" s="11"/>
      <c r="I76" s="4299" t="s">
        <v>985</v>
      </c>
      <c r="J76" s="3579">
        <f>'9.Инвестиционна програма'!I69</f>
        <v>0</v>
      </c>
      <c r="K76" s="3579">
        <f>'9.Инвестиционна програма'!J69</f>
        <v>0</v>
      </c>
      <c r="L76" s="3579">
        <f>'9.Инвестиционна програма'!K69</f>
        <v>0</v>
      </c>
      <c r="M76" s="3579">
        <f>'9.Инвестиционна програма'!L69</f>
        <v>0</v>
      </c>
      <c r="N76" s="3579">
        <f>'9.Инвестиционна програма'!M69</f>
        <v>0</v>
      </c>
      <c r="O76" s="3703">
        <f t="shared" si="93"/>
        <v>0</v>
      </c>
      <c r="P76" s="4324">
        <f t="shared" si="74"/>
        <v>0</v>
      </c>
      <c r="Q76" s="4309"/>
      <c r="S76" s="5636" t="s">
        <v>1666</v>
      </c>
      <c r="T76" s="5636" t="s">
        <v>1029</v>
      </c>
      <c r="U76" s="5636"/>
      <c r="V76" s="5636"/>
      <c r="W76" s="5636"/>
      <c r="X76" s="5636"/>
      <c r="Y76" s="5636"/>
      <c r="Z76" s="5603" t="str">
        <f>+"Изменение "&amp;U77&amp;" спр. "&amp;T77</f>
        <v>Изменение 2027 г. спр. 2024 г.</v>
      </c>
      <c r="AA76" s="5603" t="str">
        <f>+"Изменение "&amp;Y77&amp;" спр. "&amp;T77</f>
        <v>Изменение 2031 г. спр. 2024 г.</v>
      </c>
    </row>
    <row r="77" spans="1:44" ht="15.75" customHeight="1">
      <c r="B77" s="11"/>
      <c r="C77" s="11"/>
      <c r="D77" s="11"/>
      <c r="E77" s="11"/>
      <c r="F77" s="11"/>
      <c r="G77" s="11"/>
      <c r="I77" s="4299" t="s">
        <v>1612</v>
      </c>
      <c r="J77" s="3579">
        <f>SUM('9.Инвестиционна програма'!I68,'9.Инвестиционна програма'!I71)</f>
        <v>21</v>
      </c>
      <c r="K77" s="3579">
        <f>SUM('9.Инвестиционна програма'!J68,'9.Инвестиционна програма'!J71)</f>
        <v>15</v>
      </c>
      <c r="L77" s="3579">
        <f>SUM('9.Инвестиционна програма'!K68,'9.Инвестиционна програма'!K71)</f>
        <v>34</v>
      </c>
      <c r="M77" s="3579">
        <f>SUM('9.Инвестиционна програма'!L68,'9.Инвестиционна програма'!L71)</f>
        <v>28</v>
      </c>
      <c r="N77" s="3579">
        <f>SUM('9.Инвестиционна програма'!M68,'9.Инвестиционна програма'!M71)</f>
        <v>15</v>
      </c>
      <c r="O77" s="3703">
        <f t="shared" si="93"/>
        <v>113</v>
      </c>
      <c r="P77" s="4324">
        <f t="shared" si="74"/>
        <v>2.2261623325453114E-2</v>
      </c>
      <c r="Q77" s="4309"/>
      <c r="S77" s="5636"/>
      <c r="T77" s="4279" t="str">
        <f t="shared" ref="T77:Y77" si="94">T46</f>
        <v>2024 г.</v>
      </c>
      <c r="U77" s="4279" t="str">
        <f t="shared" si="94"/>
        <v>2027 г.</v>
      </c>
      <c r="V77" s="4279" t="str">
        <f t="shared" si="94"/>
        <v>2028 г.</v>
      </c>
      <c r="W77" s="4279" t="str">
        <f t="shared" si="94"/>
        <v>2029 г.</v>
      </c>
      <c r="X77" s="4279" t="str">
        <f t="shared" si="94"/>
        <v>2030 г.</v>
      </c>
      <c r="Y77" s="4279" t="str">
        <f t="shared" si="94"/>
        <v>2031 г.</v>
      </c>
      <c r="Z77" s="5603"/>
      <c r="AA77" s="5603"/>
    </row>
    <row r="78" spans="1:44" ht="15.75" customHeight="1">
      <c r="B78" s="11"/>
      <c r="C78" s="11"/>
      <c r="D78" s="11"/>
      <c r="E78" s="11"/>
      <c r="F78" s="11"/>
      <c r="G78" s="11"/>
      <c r="I78" s="4299" t="s">
        <v>1613</v>
      </c>
      <c r="J78" s="3579">
        <f>SUM('9.Инвестиционна програма'!I61:I67)</f>
        <v>6</v>
      </c>
      <c r="K78" s="3579">
        <f>SUM('9.Инвестиционна програма'!J61:J67)</f>
        <v>6</v>
      </c>
      <c r="L78" s="3579">
        <f>SUM('9.Инвестиционна програма'!K61:K67)</f>
        <v>6</v>
      </c>
      <c r="M78" s="3579">
        <f>SUM('9.Инвестиционна програма'!L61:L67)</f>
        <v>6</v>
      </c>
      <c r="N78" s="3579">
        <f>SUM('9.Инвестиционна програма'!M61:M67)</f>
        <v>6</v>
      </c>
      <c r="O78" s="3703">
        <f t="shared" si="93"/>
        <v>30</v>
      </c>
      <c r="P78" s="4324">
        <f t="shared" si="74"/>
        <v>5.9101654846335696E-3</v>
      </c>
      <c r="Q78" s="4309"/>
      <c r="S78" s="4294" t="s">
        <v>226</v>
      </c>
      <c r="T78" s="3579">
        <f>'12. Разходи'!AA11</f>
        <v>0</v>
      </c>
      <c r="U78" s="3579">
        <f>'12. Разходи'!AB11</f>
        <v>0</v>
      </c>
      <c r="V78" s="3579">
        <f>'12. Разходи'!AC11</f>
        <v>0</v>
      </c>
      <c r="W78" s="3579">
        <f>'12. Разходи'!AD11</f>
        <v>0</v>
      </c>
      <c r="X78" s="3579">
        <f>'12. Разходи'!AE11</f>
        <v>0</v>
      </c>
      <c r="Y78" s="3579">
        <f>'12. Разходи'!AF11</f>
        <v>0</v>
      </c>
      <c r="Z78" s="4292">
        <f>IFERROR((U78-T78)/T78,0)</f>
        <v>0</v>
      </c>
      <c r="AA78" s="4292">
        <f>IFERROR((Y78-T78)/T78,0)</f>
        <v>0</v>
      </c>
    </row>
    <row r="79" spans="1:44" ht="15.75" customHeight="1">
      <c r="B79" s="11"/>
      <c r="C79" s="11"/>
      <c r="D79" s="11"/>
      <c r="E79" s="11"/>
      <c r="F79" s="11"/>
      <c r="G79" s="11"/>
      <c r="I79" s="4330" t="s">
        <v>1614</v>
      </c>
      <c r="J79" s="4303">
        <f>J75+J76+J77+J78</f>
        <v>27</v>
      </c>
      <c r="K79" s="4303">
        <f t="shared" ref="K79:N79" si="95">K75+K76+K77+K78</f>
        <v>21</v>
      </c>
      <c r="L79" s="4303">
        <f t="shared" si="95"/>
        <v>40</v>
      </c>
      <c r="M79" s="4303">
        <f t="shared" si="95"/>
        <v>34</v>
      </c>
      <c r="N79" s="4303">
        <f t="shared" si="95"/>
        <v>21</v>
      </c>
      <c r="O79" s="4303">
        <f t="shared" si="93"/>
        <v>143</v>
      </c>
      <c r="P79" s="4304">
        <f t="shared" si="74"/>
        <v>2.8171788810086681E-2</v>
      </c>
      <c r="Q79" s="4309"/>
      <c r="S79" s="4294" t="s">
        <v>239</v>
      </c>
      <c r="T79" s="3579">
        <f>'12. Разходи'!AA29</f>
        <v>0</v>
      </c>
      <c r="U79" s="3579">
        <f>'12. Разходи'!AB29</f>
        <v>0</v>
      </c>
      <c r="V79" s="3579">
        <f>'12. Разходи'!AC29</f>
        <v>0</v>
      </c>
      <c r="W79" s="3579">
        <f>'12. Разходи'!AD29</f>
        <v>0</v>
      </c>
      <c r="X79" s="3579">
        <f>'12. Разходи'!AE29</f>
        <v>0</v>
      </c>
      <c r="Y79" s="3579">
        <f>'12. Разходи'!AF29</f>
        <v>0</v>
      </c>
      <c r="Z79" s="4292">
        <f t="shared" ref="Z79:Z94" si="96">IFERROR((U79-T79)/T79,0)</f>
        <v>0</v>
      </c>
      <c r="AA79" s="4292">
        <f t="shared" ref="AA79:AA94" si="97">IFERROR((Y79-T79)/T79,0)</f>
        <v>0</v>
      </c>
    </row>
    <row r="80" spans="1:44" ht="15.75" customHeight="1">
      <c r="A80" s="2" t="s">
        <v>1664</v>
      </c>
      <c r="B80" s="11"/>
      <c r="C80" s="11"/>
      <c r="D80" s="11"/>
      <c r="E80" s="11"/>
      <c r="F80" s="11"/>
      <c r="G80" s="3446" t="s">
        <v>1634</v>
      </c>
      <c r="I80" s="4331" t="s">
        <v>1639</v>
      </c>
      <c r="J80" s="3540">
        <f>SUM('9.Инвестиционна програма'!I74:I91)</f>
        <v>0</v>
      </c>
      <c r="K80" s="3540">
        <f>SUM('9.Инвестиционна програма'!J74:J91)</f>
        <v>0</v>
      </c>
      <c r="L80" s="3540">
        <f>SUM('9.Инвестиционна програма'!K74:K91)</f>
        <v>0</v>
      </c>
      <c r="M80" s="3540">
        <f>SUM('9.Инвестиционна програма'!L74:L91)</f>
        <v>0</v>
      </c>
      <c r="N80" s="3540">
        <f>SUM('9.Инвестиционна програма'!M74:M91)</f>
        <v>0</v>
      </c>
      <c r="O80" s="3544">
        <f t="shared" si="93"/>
        <v>0</v>
      </c>
      <c r="P80" s="4332">
        <f t="shared" si="74"/>
        <v>0</v>
      </c>
      <c r="Q80" s="4309"/>
      <c r="S80" s="4294" t="s">
        <v>446</v>
      </c>
      <c r="T80" s="3579">
        <f>'12. Разходи'!AA55</f>
        <v>0</v>
      </c>
      <c r="U80" s="3579">
        <f>'12. Разходи'!AB55</f>
        <v>0</v>
      </c>
      <c r="V80" s="3579">
        <f>'12. Разходи'!AC55</f>
        <v>0</v>
      </c>
      <c r="W80" s="3579">
        <f>'12. Разходи'!AD55</f>
        <v>0</v>
      </c>
      <c r="X80" s="3579">
        <f>'12. Разходи'!AE55</f>
        <v>0</v>
      </c>
      <c r="Y80" s="3579">
        <f>'12. Разходи'!AF55</f>
        <v>0</v>
      </c>
      <c r="Z80" s="4292">
        <f t="shared" si="96"/>
        <v>0</v>
      </c>
      <c r="AA80" s="4292">
        <f t="shared" si="97"/>
        <v>0</v>
      </c>
    </row>
    <row r="81" spans="1:27" ht="17.25" customHeight="1">
      <c r="A81" s="5632" t="s">
        <v>87</v>
      </c>
      <c r="B81" s="5636" t="s">
        <v>1092</v>
      </c>
      <c r="C81" s="5636"/>
      <c r="D81" s="5636"/>
      <c r="E81" s="5636"/>
      <c r="F81" s="5636"/>
      <c r="G81" s="5636"/>
      <c r="I81" s="4331" t="s">
        <v>1638</v>
      </c>
      <c r="J81" s="3540">
        <f>SUM('9.Инвестиционна програма'!I92:I97)</f>
        <v>0</v>
      </c>
      <c r="K81" s="3540">
        <f>SUM('9.Инвестиционна програма'!J92:J97)</f>
        <v>0</v>
      </c>
      <c r="L81" s="3540">
        <f>SUM('9.Инвестиционна програма'!K92:K97)</f>
        <v>0</v>
      </c>
      <c r="M81" s="3540">
        <f>SUM('9.Инвестиционна програма'!L92:L97)</f>
        <v>0</v>
      </c>
      <c r="N81" s="3540">
        <f>SUM('9.Инвестиционна програма'!M92:M97)</f>
        <v>0</v>
      </c>
      <c r="O81" s="3544">
        <f t="shared" si="93"/>
        <v>0</v>
      </c>
      <c r="P81" s="4332">
        <f t="shared" si="74"/>
        <v>0</v>
      </c>
      <c r="Q81" s="4309"/>
      <c r="S81" s="4300" t="s">
        <v>447</v>
      </c>
      <c r="T81" s="4296">
        <f>'12. Разходи'!AA56</f>
        <v>0</v>
      </c>
      <c r="U81" s="4296">
        <f>'12. Разходи'!AB56</f>
        <v>0</v>
      </c>
      <c r="V81" s="4296">
        <f>'12. Разходи'!AC56</f>
        <v>0</v>
      </c>
      <c r="W81" s="4296">
        <f>'12. Разходи'!AD56</f>
        <v>0</v>
      </c>
      <c r="X81" s="4296">
        <f>'12. Разходи'!AE56</f>
        <v>0</v>
      </c>
      <c r="Y81" s="4296">
        <f>'12. Разходи'!AF56</f>
        <v>0</v>
      </c>
      <c r="Z81" s="4292">
        <f t="shared" si="96"/>
        <v>0</v>
      </c>
      <c r="AA81" s="4292">
        <f t="shared" si="97"/>
        <v>0</v>
      </c>
    </row>
    <row r="82" spans="1:27" ht="15.75" customHeight="1">
      <c r="A82" s="5632"/>
      <c r="B82" s="4333" t="str">
        <f>B22</f>
        <v>2024 г.</v>
      </c>
      <c r="C82" s="4333" t="str">
        <f>C58</f>
        <v>2027 г.</v>
      </c>
      <c r="D82" s="4333" t="str">
        <f>D22</f>
        <v>2028 г.</v>
      </c>
      <c r="E82" s="4333" t="str">
        <f>E22</f>
        <v>2029 г.</v>
      </c>
      <c r="F82" s="4333" t="str">
        <f>F22</f>
        <v>2030 г.</v>
      </c>
      <c r="G82" s="4333" t="str">
        <f>G22</f>
        <v>2031 г.</v>
      </c>
      <c r="I82" s="3575" t="s">
        <v>1029</v>
      </c>
      <c r="J82" s="4334">
        <f>J80+J81</f>
        <v>0</v>
      </c>
      <c r="K82" s="4334">
        <f>K80+K81</f>
        <v>0</v>
      </c>
      <c r="L82" s="4334">
        <f>L80+L81</f>
        <v>0</v>
      </c>
      <c r="M82" s="4334">
        <f>M80+M81</f>
        <v>0</v>
      </c>
      <c r="N82" s="4334">
        <f>N80+N81</f>
        <v>0</v>
      </c>
      <c r="O82" s="4303">
        <f t="shared" si="92"/>
        <v>0</v>
      </c>
      <c r="P82" s="4304">
        <f t="shared" si="74"/>
        <v>0</v>
      </c>
      <c r="Q82" s="4309"/>
      <c r="S82" s="4300" t="s">
        <v>736</v>
      </c>
      <c r="T82" s="4296">
        <f>'12. Разходи'!AA57</f>
        <v>0</v>
      </c>
      <c r="U82" s="4296">
        <f>'12. Разходи'!AB57</f>
        <v>0</v>
      </c>
      <c r="V82" s="4296">
        <f>'12. Разходи'!AC57</f>
        <v>0</v>
      </c>
      <c r="W82" s="4296">
        <f>'12. Разходи'!AD57</f>
        <v>0</v>
      </c>
      <c r="X82" s="4296">
        <f>'12. Разходи'!AE57</f>
        <v>0</v>
      </c>
      <c r="Y82" s="4296">
        <f>'12. Разходи'!AF57</f>
        <v>0</v>
      </c>
      <c r="Z82" s="4292">
        <f t="shared" si="96"/>
        <v>0</v>
      </c>
      <c r="AA82" s="4292">
        <f t="shared" si="97"/>
        <v>0</v>
      </c>
    </row>
    <row r="83" spans="1:27" ht="15.75" customHeight="1">
      <c r="A83" s="5631" t="s">
        <v>1656</v>
      </c>
      <c r="B83" s="5631"/>
      <c r="C83" s="5631"/>
      <c r="D83" s="5631"/>
      <c r="E83" s="5631"/>
      <c r="F83" s="5631"/>
      <c r="G83" s="5631"/>
      <c r="I83" s="4331" t="s">
        <v>1640</v>
      </c>
      <c r="J83" s="3540">
        <f>SUM('9.Инвестиционна програма'!I100:I117)</f>
        <v>290</v>
      </c>
      <c r="K83" s="3540">
        <f>SUM('9.Инвестиционна програма'!J100:J117)</f>
        <v>135</v>
      </c>
      <c r="L83" s="3540">
        <f>SUM('9.Инвестиционна програма'!K100:K117)</f>
        <v>130</v>
      </c>
      <c r="M83" s="3540">
        <f>SUM('9.Инвестиционна програма'!L100:L117)</f>
        <v>155</v>
      </c>
      <c r="N83" s="3540">
        <f>SUM('9.Инвестиционна програма'!M100:M117)</f>
        <v>155</v>
      </c>
      <c r="O83" s="3544">
        <f t="shared" ref="O83:O84" si="98">SUM(J83:N83)</f>
        <v>865</v>
      </c>
      <c r="P83" s="4332">
        <f t="shared" si="74"/>
        <v>0.17040977147360126</v>
      </c>
      <c r="Q83" s="4309"/>
      <c r="S83" s="4300" t="s">
        <v>737</v>
      </c>
      <c r="T83" s="4296">
        <f>'12. Разходи'!AA58</f>
        <v>0</v>
      </c>
      <c r="U83" s="4296">
        <f>'12. Разходи'!AB58</f>
        <v>0</v>
      </c>
      <c r="V83" s="4296">
        <f>'12. Разходи'!AC58</f>
        <v>0</v>
      </c>
      <c r="W83" s="4296">
        <f>'12. Разходи'!AD58</f>
        <v>0</v>
      </c>
      <c r="X83" s="4296">
        <f>'12. Разходи'!AE58</f>
        <v>0</v>
      </c>
      <c r="Y83" s="4296">
        <f>'12. Разходи'!AF58</f>
        <v>0</v>
      </c>
      <c r="Z83" s="4292">
        <f t="shared" si="96"/>
        <v>0</v>
      </c>
      <c r="AA83" s="4292">
        <f t="shared" si="97"/>
        <v>0</v>
      </c>
    </row>
    <row r="84" spans="1:27" ht="15.75" customHeight="1">
      <c r="A84" s="4293" t="s">
        <v>334</v>
      </c>
      <c r="B84" s="3703">
        <f>'11. Амортиз. план'!AG10</f>
        <v>656.93143043071859</v>
      </c>
      <c r="C84" s="3703">
        <f>'11. Амортиз. план'!AI10</f>
        <v>672.93143043071859</v>
      </c>
      <c r="D84" s="3703">
        <f>'11. Амортиз. план'!AJ10</f>
        <v>678.93143043071859</v>
      </c>
      <c r="E84" s="3703">
        <f>'11. Амортиз. план'!AK10</f>
        <v>684.93143043071859</v>
      </c>
      <c r="F84" s="3703">
        <f>'11. Амортиз. план'!AL10</f>
        <v>690.93143043071859</v>
      </c>
      <c r="G84" s="3703">
        <f>'11. Амортиз. план'!AM10</f>
        <v>696.93143043071859</v>
      </c>
      <c r="I84" s="4331" t="s">
        <v>1641</v>
      </c>
      <c r="J84" s="3540">
        <f>SUM('9.Инвестиционна програма'!I118:I123)</f>
        <v>6</v>
      </c>
      <c r="K84" s="3540">
        <f>SUM('9.Инвестиционна програма'!J118:J123)</f>
        <v>6</v>
      </c>
      <c r="L84" s="3540">
        <f>SUM('9.Инвестиционна програма'!K118:K123)</f>
        <v>6</v>
      </c>
      <c r="M84" s="3540">
        <f>SUM('9.Инвестиционна програма'!L118:L123)</f>
        <v>6</v>
      </c>
      <c r="N84" s="3540">
        <f>SUM('9.Инвестиционна програма'!M118:M123)</f>
        <v>6</v>
      </c>
      <c r="O84" s="3544">
        <f t="shared" si="98"/>
        <v>30</v>
      </c>
      <c r="P84" s="4332">
        <f t="shared" si="74"/>
        <v>5.9101654846335696E-3</v>
      </c>
      <c r="Q84" s="4309"/>
      <c r="S84" s="4294" t="s">
        <v>448</v>
      </c>
      <c r="T84" s="3579">
        <f>'12. Разходи'!AA59</f>
        <v>0</v>
      </c>
      <c r="U84" s="3579">
        <f>'12. Разходи'!AB59</f>
        <v>0</v>
      </c>
      <c r="V84" s="3579">
        <f>'12. Разходи'!AC59</f>
        <v>0</v>
      </c>
      <c r="W84" s="3579">
        <f>'12. Разходи'!AD59</f>
        <v>0</v>
      </c>
      <c r="X84" s="3579">
        <f>'12. Разходи'!AE59</f>
        <v>0</v>
      </c>
      <c r="Y84" s="3579">
        <f>'12. Разходи'!AF59</f>
        <v>0</v>
      </c>
      <c r="Z84" s="4292">
        <f t="shared" si="96"/>
        <v>0</v>
      </c>
      <c r="AA84" s="4292">
        <f t="shared" si="97"/>
        <v>0</v>
      </c>
    </row>
    <row r="85" spans="1:27" ht="15.75" customHeight="1">
      <c r="A85" s="4295" t="s">
        <v>218</v>
      </c>
      <c r="B85" s="4296">
        <f>'11. Амортиз. план'!AG35</f>
        <v>12.329727495048909</v>
      </c>
      <c r="C85" s="4296">
        <f>'11. Амортиз. план'!AI35</f>
        <v>22.874057870592878</v>
      </c>
      <c r="D85" s="4296">
        <f>'11. Амортиз. план'!AJ35</f>
        <v>23.474057870592876</v>
      </c>
      <c r="E85" s="4296">
        <f>'11. Амортиз. план'!AK35</f>
        <v>24.074057870592881</v>
      </c>
      <c r="F85" s="4296">
        <f>'11. Амортиз. план'!AL35</f>
        <v>24.674057870592872</v>
      </c>
      <c r="G85" s="4296">
        <f>'11. Амортиз. план'!AM35</f>
        <v>25.274057870592888</v>
      </c>
      <c r="I85" s="3575" t="s">
        <v>1092</v>
      </c>
      <c r="J85" s="4303">
        <f>J83+J84</f>
        <v>296</v>
      </c>
      <c r="K85" s="4303">
        <f>K83+K84</f>
        <v>141</v>
      </c>
      <c r="L85" s="4303">
        <f>L83+L84</f>
        <v>136</v>
      </c>
      <c r="M85" s="4303">
        <f>M83+M84</f>
        <v>161</v>
      </c>
      <c r="N85" s="4303">
        <f>N83+N84</f>
        <v>161</v>
      </c>
      <c r="O85" s="4303">
        <f t="shared" ref="O85" si="99">SUM(J85:N85)</f>
        <v>895</v>
      </c>
      <c r="P85" s="4304">
        <f t="shared" si="74"/>
        <v>0.17631993695823484</v>
      </c>
      <c r="Q85" s="4309"/>
      <c r="S85" s="4294" t="s">
        <v>449</v>
      </c>
      <c r="T85" s="3579">
        <f>'12. Разходи'!AA63</f>
        <v>0</v>
      </c>
      <c r="U85" s="3579">
        <f>'12. Разходи'!AB63</f>
        <v>0</v>
      </c>
      <c r="V85" s="3579">
        <f>'12. Разходи'!AC63</f>
        <v>0</v>
      </c>
      <c r="W85" s="3579">
        <f>'12. Разходи'!AD63</f>
        <v>0</v>
      </c>
      <c r="X85" s="3579">
        <f>'12. Разходи'!AE63</f>
        <v>0</v>
      </c>
      <c r="Y85" s="3579">
        <f>'12. Разходи'!AF63</f>
        <v>0</v>
      </c>
      <c r="Z85" s="4292">
        <f t="shared" si="96"/>
        <v>0</v>
      </c>
      <c r="AA85" s="4292">
        <f t="shared" si="97"/>
        <v>0</v>
      </c>
    </row>
    <row r="86" spans="1:27" ht="15.75" customHeight="1">
      <c r="A86" s="4299" t="s">
        <v>220</v>
      </c>
      <c r="B86" s="3579">
        <f>'11. Амортиз. план'!AG60</f>
        <v>461.55943470071509</v>
      </c>
      <c r="C86" s="3579">
        <f>'11. Амортиз. план'!AI60</f>
        <v>506.52755044190076</v>
      </c>
      <c r="D86" s="3579">
        <f>'11. Амортиз. план'!AJ60</f>
        <v>530.00160831249377</v>
      </c>
      <c r="E86" s="3579">
        <f>'11. Амортиз. план'!AK60</f>
        <v>554.07566618308681</v>
      </c>
      <c r="F86" s="3579">
        <f>'11. Амортиз. план'!AL60</f>
        <v>578.74972405367964</v>
      </c>
      <c r="G86" s="3579">
        <f>'11. Амортиз. план'!AM60</f>
        <v>604.02378192427273</v>
      </c>
      <c r="I86" s="4293" t="s">
        <v>1615</v>
      </c>
      <c r="J86" s="3703">
        <f>J57+J66+J71+J74+J75+J76+J80+J83</f>
        <v>1066</v>
      </c>
      <c r="K86" s="3703">
        <f t="shared" ref="K86:O86" si="100">K57+K66+K71+K74+K75+K76+K80+K83</f>
        <v>916</v>
      </c>
      <c r="L86" s="3703">
        <f t="shared" si="100"/>
        <v>942</v>
      </c>
      <c r="M86" s="3703">
        <f t="shared" si="100"/>
        <v>978</v>
      </c>
      <c r="N86" s="3703">
        <f t="shared" si="100"/>
        <v>966</v>
      </c>
      <c r="O86" s="3703">
        <f t="shared" si="100"/>
        <v>4868</v>
      </c>
      <c r="P86" s="4292">
        <f t="shared" si="74"/>
        <v>0.95902285263987397</v>
      </c>
      <c r="Q86" s="4309"/>
      <c r="S86" s="4294" t="s">
        <v>450</v>
      </c>
      <c r="T86" s="3579">
        <f>'12. Разходи'!AA70</f>
        <v>0</v>
      </c>
      <c r="U86" s="3579">
        <f>'12. Разходи'!AB70</f>
        <v>0</v>
      </c>
      <c r="V86" s="3579">
        <f>'12. Разходи'!AC70</f>
        <v>0</v>
      </c>
      <c r="W86" s="3579">
        <f>'12. Разходи'!AD70</f>
        <v>0</v>
      </c>
      <c r="X86" s="3579">
        <f>'12. Разходи'!AE70</f>
        <v>0</v>
      </c>
      <c r="Y86" s="3579">
        <f>'12. Разходи'!AF70</f>
        <v>0</v>
      </c>
      <c r="Z86" s="4292">
        <f t="shared" si="96"/>
        <v>0</v>
      </c>
      <c r="AA86" s="4292">
        <f t="shared" si="97"/>
        <v>0</v>
      </c>
    </row>
    <row r="87" spans="1:27" ht="15.75" customHeight="1">
      <c r="A87" s="4299" t="s">
        <v>222</v>
      </c>
      <c r="B87" s="3579">
        <f>'11. Амортиз. план'!AG85</f>
        <v>195.37199573000311</v>
      </c>
      <c r="C87" s="3579">
        <f>'11. Амортиз. план'!AI85</f>
        <v>166.40387998881732</v>
      </c>
      <c r="D87" s="3579">
        <f>'11. Амортиз. план'!AJ85</f>
        <v>148.92982211822439</v>
      </c>
      <c r="E87" s="3579">
        <f>'11. Амортиз. план'!AK85</f>
        <v>130.85576424763156</v>
      </c>
      <c r="F87" s="3579">
        <f>'11. Амортиз. план'!AL85</f>
        <v>112.18170637703869</v>
      </c>
      <c r="G87" s="3579">
        <f>'11. Амортиз. план'!AM85</f>
        <v>92.907648506445838</v>
      </c>
      <c r="I87" s="4293" t="s">
        <v>1616</v>
      </c>
      <c r="J87" s="3703">
        <f>J58+J67+J72+J77+J78+J81+J84</f>
        <v>40</v>
      </c>
      <c r="K87" s="3703">
        <f t="shared" ref="K87:O87" si="101">K58+K67+K72+K77+K78+K81+K84</f>
        <v>34</v>
      </c>
      <c r="L87" s="3703">
        <f t="shared" si="101"/>
        <v>53</v>
      </c>
      <c r="M87" s="3703">
        <f t="shared" si="101"/>
        <v>47</v>
      </c>
      <c r="N87" s="3703">
        <f t="shared" si="101"/>
        <v>34</v>
      </c>
      <c r="O87" s="3703">
        <f t="shared" si="101"/>
        <v>208</v>
      </c>
      <c r="P87" s="4292">
        <f t="shared" si="74"/>
        <v>4.097714736012608E-2</v>
      </c>
      <c r="Q87" s="4309"/>
      <c r="S87" s="4294" t="s">
        <v>267</v>
      </c>
      <c r="T87" s="3579">
        <f>'12. Разходи'!AA76</f>
        <v>0</v>
      </c>
      <c r="U87" s="3579">
        <f>'12. Разходи'!AB76</f>
        <v>0</v>
      </c>
      <c r="V87" s="3579">
        <f>'12. Разходи'!AC76</f>
        <v>0</v>
      </c>
      <c r="W87" s="3579">
        <f>'12. Разходи'!AD76</f>
        <v>0</v>
      </c>
      <c r="X87" s="3579">
        <f>'12. Разходи'!AE76</f>
        <v>0</v>
      </c>
      <c r="Y87" s="3579">
        <f>'12. Разходи'!AF76</f>
        <v>0</v>
      </c>
      <c r="Z87" s="4292">
        <f t="shared" si="96"/>
        <v>0</v>
      </c>
      <c r="AA87" s="4292">
        <f t="shared" si="97"/>
        <v>0</v>
      </c>
    </row>
    <row r="88" spans="1:27" ht="18" customHeight="1">
      <c r="A88" s="5631" t="s">
        <v>1657</v>
      </c>
      <c r="B88" s="5631"/>
      <c r="C88" s="5631"/>
      <c r="D88" s="5631"/>
      <c r="E88" s="5631"/>
      <c r="F88" s="5631"/>
      <c r="G88" s="5631"/>
      <c r="I88" s="4335" t="s">
        <v>1617</v>
      </c>
      <c r="J88" s="4336">
        <f>J86+J87</f>
        <v>1106</v>
      </c>
      <c r="K88" s="4336">
        <f>K86+K87</f>
        <v>950</v>
      </c>
      <c r="L88" s="4336">
        <f>L86+L87</f>
        <v>995</v>
      </c>
      <c r="M88" s="4336">
        <f>M86+M87</f>
        <v>1025</v>
      </c>
      <c r="N88" s="4336">
        <f>N86+N87</f>
        <v>1000</v>
      </c>
      <c r="O88" s="4336">
        <f t="shared" si="92"/>
        <v>5076</v>
      </c>
      <c r="P88" s="4337">
        <f t="shared" si="74"/>
        <v>1</v>
      </c>
      <c r="Q88" s="4309"/>
      <c r="S88" s="4302" t="s">
        <v>277</v>
      </c>
      <c r="T88" s="4303">
        <f>SUM(T78:T80,T84:T87)</f>
        <v>0</v>
      </c>
      <c r="U88" s="4303">
        <f t="shared" ref="U88" si="102">SUM(U78:U80,U84:U87)</f>
        <v>0</v>
      </c>
      <c r="V88" s="4303">
        <f t="shared" ref="V88" si="103">SUM(V78:V80,V84:V87)</f>
        <v>0</v>
      </c>
      <c r="W88" s="4303">
        <f t="shared" ref="W88" si="104">SUM(W78:W80,W84:W87)</f>
        <v>0</v>
      </c>
      <c r="X88" s="4303">
        <f t="shared" ref="X88" si="105">SUM(X78:X80,X84:X87)</f>
        <v>0</v>
      </c>
      <c r="Y88" s="4303">
        <f t="shared" ref="Y88" si="106">SUM(Y78:Y80,Y84:Y87)</f>
        <v>0</v>
      </c>
      <c r="Z88" s="4304">
        <f t="shared" si="96"/>
        <v>0</v>
      </c>
      <c r="AA88" s="4304">
        <f t="shared" si="97"/>
        <v>0</v>
      </c>
    </row>
    <row r="89" spans="1:27" ht="15.75" customHeight="1">
      <c r="A89" s="4293" t="s">
        <v>334</v>
      </c>
      <c r="B89" s="3703">
        <f>'11. Амортиз. план'!AG111</f>
        <v>267.35267243177321</v>
      </c>
      <c r="C89" s="3703">
        <f>'11. Амортиз. план'!AI111</f>
        <v>577.35267243177327</v>
      </c>
      <c r="D89" s="3703">
        <f>'11. Амортиз. план'!AJ111</f>
        <v>712.35267243177327</v>
      </c>
      <c r="E89" s="3703">
        <f>'11. Амортиз. план'!AK111</f>
        <v>842.35267243177327</v>
      </c>
      <c r="F89" s="3703">
        <f>'11. Амортиз. план'!AL111</f>
        <v>997.35267243177327</v>
      </c>
      <c r="G89" s="3703">
        <f>'11. Амортиз. план'!AM111</f>
        <v>1152.3526724317733</v>
      </c>
      <c r="I89" s="1331"/>
      <c r="J89" s="1331"/>
      <c r="K89" s="1331"/>
      <c r="L89" s="1331"/>
      <c r="M89" s="1331"/>
      <c r="N89" s="1331"/>
      <c r="O89" s="1331"/>
      <c r="P89" s="1331"/>
      <c r="Q89" s="4309"/>
      <c r="S89" s="4310" t="str">
        <f>CONCATENATE("Спестявания и увеличения спрямо ",T77," - нето:")</f>
        <v>Спестявания и увеличения спрямо 2024 г. - нето:</v>
      </c>
      <c r="T89" s="4311"/>
      <c r="U89" s="4310">
        <f>U88-$T88</f>
        <v>0</v>
      </c>
      <c r="V89" s="4310">
        <f t="shared" ref="V89" si="107">V88-$T88</f>
        <v>0</v>
      </c>
      <c r="W89" s="4310">
        <f t="shared" ref="W89" si="108">W88-$T88</f>
        <v>0</v>
      </c>
      <c r="X89" s="4310">
        <f t="shared" ref="X89" si="109">X88-$T88</f>
        <v>0</v>
      </c>
      <c r="Y89" s="4310">
        <f t="shared" ref="Y89" si="110">Y88-$T88</f>
        <v>0</v>
      </c>
      <c r="Z89" s="4311"/>
      <c r="AA89" s="4311"/>
    </row>
    <row r="90" spans="1:27" ht="15.75" customHeight="1">
      <c r="A90" s="4295" t="s">
        <v>218</v>
      </c>
      <c r="B90" s="4296">
        <f>'11. Амортиз. план'!AG131</f>
        <v>18.600048459223355</v>
      </c>
      <c r="C90" s="4296">
        <f>'11. Амортиз. план'!AI131</f>
        <v>27.728701945533619</v>
      </c>
      <c r="D90" s="4296">
        <f>'11. Амортиз. план'!AJ131</f>
        <v>36.678701945533618</v>
      </c>
      <c r="E90" s="4296">
        <f>'11. Амортиз. план'!AK131</f>
        <v>42.528701945533619</v>
      </c>
      <c r="F90" s="4296">
        <f>'11. Амортиз. план'!AL131</f>
        <v>48.578701945533624</v>
      </c>
      <c r="G90" s="4296">
        <f>'11. Амортиз. план'!AM131</f>
        <v>54.878701945533621</v>
      </c>
      <c r="I90" s="4282" t="s">
        <v>82</v>
      </c>
      <c r="J90" s="4283" t="str">
        <f>+'15. ОПП'!$C$7</f>
        <v>2027 г.</v>
      </c>
      <c r="K90" s="4283" t="str">
        <f>+'15. ОПП'!$D$7</f>
        <v>2028 г.</v>
      </c>
      <c r="L90" s="4283" t="str">
        <f>+'15. ОПП'!$E$7</f>
        <v>2029 г.</v>
      </c>
      <c r="M90" s="4283" t="str">
        <f>+'15. ОПП'!$F$7</f>
        <v>2030 г.</v>
      </c>
      <c r="N90" s="4283" t="str">
        <f>+'15. ОПП'!$G$7</f>
        <v>2031 г.</v>
      </c>
      <c r="O90" s="4283" t="s">
        <v>1618</v>
      </c>
      <c r="Q90" s="4309"/>
      <c r="S90" s="4294" t="s">
        <v>1668</v>
      </c>
      <c r="T90" s="3579">
        <f>+'12. Разходи'!AA92</f>
        <v>0</v>
      </c>
      <c r="U90" s="3579">
        <f>+'12. Разходи'!AB92</f>
        <v>0</v>
      </c>
      <c r="V90" s="3579">
        <f>+'12. Разходи'!AC92</f>
        <v>0</v>
      </c>
      <c r="W90" s="3579">
        <f>+'12. Разходи'!AD92</f>
        <v>0</v>
      </c>
      <c r="X90" s="3579">
        <f>+'12. Разходи'!AE92</f>
        <v>0</v>
      </c>
      <c r="Y90" s="3579">
        <f>+'12. Разходи'!AF92</f>
        <v>0</v>
      </c>
      <c r="Z90" s="4292">
        <f t="shared" ref="Z90:Z91" si="111">IFERROR((U90-T90)/T90,0)</f>
        <v>0</v>
      </c>
      <c r="AA90" s="4292">
        <f t="shared" ref="AA90:AA91" si="112">IFERROR((Y90-T90)/T90,0)</f>
        <v>0</v>
      </c>
    </row>
    <row r="91" spans="1:27" ht="15.75" customHeight="1">
      <c r="A91" s="4299" t="s">
        <v>220</v>
      </c>
      <c r="B91" s="3579">
        <f>'11. Амортиз. план'!AG151</f>
        <v>81.129628719134416</v>
      </c>
      <c r="C91" s="3579">
        <f>'11. Амортиз. план'!AI151</f>
        <v>129.67703261020168</v>
      </c>
      <c r="D91" s="3579">
        <f>'11. Амортиз. план'!AJ151</f>
        <v>166.3557345557353</v>
      </c>
      <c r="E91" s="3579">
        <f>'11. Амортиз. план'!AK151</f>
        <v>208.88443650126891</v>
      </c>
      <c r="F91" s="3579">
        <f>'11. Амортиз. план'!AL151</f>
        <v>257.46313844680253</v>
      </c>
      <c r="G91" s="3579">
        <f>'11. Амортиз. план'!AM151</f>
        <v>312.34184039233617</v>
      </c>
      <c r="I91" s="3445" t="s">
        <v>1643</v>
      </c>
      <c r="J91" s="3579">
        <f>'2. Променливи'!F10</f>
        <v>78970</v>
      </c>
      <c r="K91" s="3579">
        <f>'2. Променливи'!G10</f>
        <v>77644</v>
      </c>
      <c r="L91" s="3579">
        <f>'2. Променливи'!H10</f>
        <v>76320</v>
      </c>
      <c r="M91" s="3579">
        <f>'2. Променливи'!I10</f>
        <v>75019</v>
      </c>
      <c r="N91" s="3579">
        <f>'2. Променливи'!J10</f>
        <v>73987</v>
      </c>
      <c r="O91" s="3703">
        <f>AVERAGE(J91:N91)</f>
        <v>76388</v>
      </c>
      <c r="Q91" s="4309"/>
      <c r="S91" s="4294" t="s">
        <v>1670</v>
      </c>
      <c r="T91" s="3579">
        <f>+'12. Разходи'!AA93</f>
        <v>0</v>
      </c>
      <c r="U91" s="3579">
        <f>+'12. Разходи'!AB93</f>
        <v>0</v>
      </c>
      <c r="V91" s="3579">
        <f>+'12. Разходи'!AC93</f>
        <v>0</v>
      </c>
      <c r="W91" s="3579">
        <f>+'12. Разходи'!AD93</f>
        <v>0</v>
      </c>
      <c r="X91" s="3579">
        <f>+'12. Разходи'!AE93</f>
        <v>0</v>
      </c>
      <c r="Y91" s="3579">
        <f>+'12. Разходи'!AF93</f>
        <v>0</v>
      </c>
      <c r="Z91" s="4292">
        <f t="shared" si="111"/>
        <v>0</v>
      </c>
      <c r="AA91" s="4292">
        <f t="shared" si="112"/>
        <v>0</v>
      </c>
    </row>
    <row r="92" spans="1:27" ht="15.75" customHeight="1">
      <c r="A92" s="4299" t="s">
        <v>222</v>
      </c>
      <c r="B92" s="3579">
        <f>'11. Амортиз. план'!AG171</f>
        <v>186.22304371263877</v>
      </c>
      <c r="C92" s="3579">
        <f>'11. Амортиз. план'!AI171</f>
        <v>447.67563982157151</v>
      </c>
      <c r="D92" s="3579">
        <f>'11. Амортиз. план'!AJ171</f>
        <v>545.9969378760378</v>
      </c>
      <c r="E92" s="3579">
        <f>'11. Амортиз. план'!AK171</f>
        <v>633.46823593050431</v>
      </c>
      <c r="F92" s="3579">
        <f>'11. Амортиз. план'!AL171</f>
        <v>739.88953398497063</v>
      </c>
      <c r="G92" s="3579">
        <f>'11. Амортиз. план'!AM171</f>
        <v>840.0108320394371</v>
      </c>
      <c r="I92" s="3445" t="s">
        <v>1642</v>
      </c>
      <c r="J92" s="3579">
        <f>J59+J68+J73+J74+J79</f>
        <v>810</v>
      </c>
      <c r="K92" s="3579">
        <f>K59+K68+K73+K74+K79</f>
        <v>809</v>
      </c>
      <c r="L92" s="3579">
        <f>L59+L68+L73+L74+L79</f>
        <v>859</v>
      </c>
      <c r="M92" s="3579">
        <f>M59+M68+M73+M74+M79</f>
        <v>864</v>
      </c>
      <c r="N92" s="3579">
        <f>N59+N68+N73+N74+N79</f>
        <v>839</v>
      </c>
      <c r="O92" s="3703">
        <f>AVERAGE(J92:N92)</f>
        <v>836.2</v>
      </c>
      <c r="Q92" s="4309"/>
      <c r="S92" s="4313" t="s">
        <v>1669</v>
      </c>
      <c r="T92" s="3579">
        <f>+'12. Разходи'!AA94</f>
        <v>0</v>
      </c>
      <c r="U92" s="3579">
        <f>+'12. Разходи'!AB94</f>
        <v>0</v>
      </c>
      <c r="V92" s="3579">
        <f>+'12. Разходи'!AC94</f>
        <v>0</v>
      </c>
      <c r="W92" s="3579">
        <f>+'12. Разходи'!AD94</f>
        <v>0</v>
      </c>
      <c r="X92" s="3579">
        <f>+'12. Разходи'!AE94</f>
        <v>0</v>
      </c>
      <c r="Y92" s="3579">
        <f>+'12. Разходи'!AF94</f>
        <v>0</v>
      </c>
      <c r="Z92" s="4292">
        <f t="shared" ref="Z92" si="113">IFERROR((U92-T92)/T92,0)</f>
        <v>0</v>
      </c>
      <c r="AA92" s="4292">
        <f t="shared" ref="AA92" si="114">IFERROR((Y92-T92)/T92,0)</f>
        <v>0</v>
      </c>
    </row>
    <row r="93" spans="1:27" ht="18" customHeight="1">
      <c r="A93" s="5631" t="s">
        <v>1658</v>
      </c>
      <c r="B93" s="5631"/>
      <c r="C93" s="5631"/>
      <c r="D93" s="5631"/>
      <c r="E93" s="5631"/>
      <c r="F93" s="5631"/>
      <c r="G93" s="5631"/>
      <c r="I93" s="4299" t="s">
        <v>1619</v>
      </c>
      <c r="J93" s="4338">
        <f>IFERROR((J92*1000)/J91,0)</f>
        <v>10.257059642902368</v>
      </c>
      <c r="K93" s="4338">
        <f t="shared" ref="K93:O93" si="115">IFERROR((K92*1000)/K91,0)</f>
        <v>10.419349853176033</v>
      </c>
      <c r="L93" s="4338">
        <f t="shared" si="115"/>
        <v>11.25524109014675</v>
      </c>
      <c r="M93" s="4338">
        <f t="shared" si="115"/>
        <v>11.517082339140751</v>
      </c>
      <c r="N93" s="4338">
        <f t="shared" si="115"/>
        <v>11.339829970129887</v>
      </c>
      <c r="O93" s="4338">
        <f t="shared" si="115"/>
        <v>10.946745562130177</v>
      </c>
      <c r="Q93" s="4309"/>
      <c r="S93" s="4294" t="s">
        <v>1672</v>
      </c>
      <c r="T93" s="3579">
        <f>'12. Разходи'!AA90</f>
        <v>0</v>
      </c>
      <c r="U93" s="3579">
        <f>'12. Разходи'!AB90</f>
        <v>0</v>
      </c>
      <c r="V93" s="3579">
        <f>'12. Разходи'!AC90</f>
        <v>0</v>
      </c>
      <c r="W93" s="3579">
        <f>'12. Разходи'!AD90</f>
        <v>0</v>
      </c>
      <c r="X93" s="3579">
        <f>'12. Разходи'!AE90</f>
        <v>0</v>
      </c>
      <c r="Y93" s="3579">
        <f>'12. Разходи'!AF90</f>
        <v>0</v>
      </c>
      <c r="Z93" s="4292">
        <f t="shared" si="96"/>
        <v>0</v>
      </c>
      <c r="AA93" s="4292">
        <f t="shared" si="97"/>
        <v>0</v>
      </c>
    </row>
    <row r="94" spans="1:27" ht="15.75" customHeight="1">
      <c r="A94" s="4293" t="s">
        <v>334</v>
      </c>
      <c r="B94" s="3703">
        <f>'11. Амортиз. план'!AG192</f>
        <v>1811.4277347508857</v>
      </c>
      <c r="C94" s="3703">
        <f>'11. Амортиз. план'!AI192</f>
        <v>1811.4277347508857</v>
      </c>
      <c r="D94" s="3703">
        <f>'11. Амортиз. план'!AJ192</f>
        <v>1811.4277347508857</v>
      </c>
      <c r="E94" s="3703">
        <f>'11. Амортиз. план'!AK192</f>
        <v>1811.4277347508857</v>
      </c>
      <c r="F94" s="3703">
        <f>'11. Амортиз. план'!AL192</f>
        <v>1811.4277347508857</v>
      </c>
      <c r="G94" s="3703">
        <f>'11. Амортиз. план'!AM192</f>
        <v>1811.4277347508857</v>
      </c>
      <c r="I94" s="1332"/>
      <c r="J94" s="1331"/>
      <c r="K94" s="1331"/>
      <c r="L94" s="1331"/>
      <c r="M94" s="1331"/>
      <c r="N94" s="1331"/>
      <c r="O94" s="1331"/>
      <c r="Q94" s="4309"/>
      <c r="S94" s="4294" t="s">
        <v>1231</v>
      </c>
      <c r="T94" s="3579">
        <f>'12. Разходи'!AA89</f>
        <v>0</v>
      </c>
      <c r="U94" s="3579">
        <f>'12. Разходи'!AB89</f>
        <v>0</v>
      </c>
      <c r="V94" s="3579">
        <f>'12. Разходи'!AC89</f>
        <v>0</v>
      </c>
      <c r="W94" s="3579">
        <f>'12. Разходи'!AD89</f>
        <v>0</v>
      </c>
      <c r="X94" s="3579">
        <f>'12. Разходи'!AE89</f>
        <v>0</v>
      </c>
      <c r="Y94" s="3579">
        <f>'12. Разходи'!AF89</f>
        <v>0</v>
      </c>
      <c r="Z94" s="4292">
        <f t="shared" si="96"/>
        <v>0</v>
      </c>
      <c r="AA94" s="4292">
        <f t="shared" si="97"/>
        <v>0</v>
      </c>
    </row>
    <row r="95" spans="1:27" ht="15.75" customHeight="1">
      <c r="A95" s="4295" t="s">
        <v>218</v>
      </c>
      <c r="B95" s="4296">
        <f>'11. Амортиз. план'!AG214</f>
        <v>18.111887084027405</v>
      </c>
      <c r="C95" s="4296">
        <f>'11. Амортиз. план'!AI214</f>
        <v>18.111887084027405</v>
      </c>
      <c r="D95" s="4296">
        <f>'11. Амортиз. план'!AJ214</f>
        <v>18.111887084027405</v>
      </c>
      <c r="E95" s="4296">
        <f>'11. Амортиз. план'!AK214</f>
        <v>18.111887084027405</v>
      </c>
      <c r="F95" s="4296">
        <f>'11. Амортиз. план'!AL214</f>
        <v>18.111887084027405</v>
      </c>
      <c r="G95" s="4296">
        <f>'11. Амортиз. план'!AM214</f>
        <v>18.111887084027405</v>
      </c>
      <c r="I95" s="1332" t="s">
        <v>1644</v>
      </c>
      <c r="J95" s="1331"/>
      <c r="K95" s="1331"/>
      <c r="L95" s="1331"/>
      <c r="M95" s="1331"/>
      <c r="N95" s="1331"/>
      <c r="O95" s="1331"/>
      <c r="Q95" s="4309"/>
      <c r="S95" s="4339"/>
      <c r="T95" s="4340"/>
      <c r="U95" s="4340"/>
      <c r="V95" s="4340"/>
      <c r="W95" s="4340"/>
      <c r="X95" s="4340"/>
      <c r="Y95" s="4340"/>
      <c r="Z95" s="4341"/>
      <c r="AA95" s="4341"/>
    </row>
    <row r="96" spans="1:27" ht="16.5" customHeight="1">
      <c r="A96" s="4299" t="s">
        <v>220</v>
      </c>
      <c r="B96" s="3579">
        <f>'11. Амортиз. план'!AG236</f>
        <v>1465.1274611690478</v>
      </c>
      <c r="C96" s="3579">
        <f>'11. Амортиз. план'!AI236</f>
        <v>1501.3512353371025</v>
      </c>
      <c r="D96" s="3579">
        <f>'11. Амортиз. план'!AJ236</f>
        <v>1519.46312242113</v>
      </c>
      <c r="E96" s="3579">
        <f>'11. Амортиз. план'!AK236</f>
        <v>1537.5750095051574</v>
      </c>
      <c r="F96" s="3579">
        <f>'11. Амортиз. план'!AL236</f>
        <v>1555.6868965891847</v>
      </c>
      <c r="G96" s="3579">
        <f>'11. Амортиз. план'!AM236</f>
        <v>1573.798783673212</v>
      </c>
      <c r="I96" s="1332" t="s">
        <v>948</v>
      </c>
      <c r="J96" s="1331"/>
      <c r="K96" s="1331"/>
      <c r="L96" s="1331"/>
      <c r="M96" s="1331"/>
      <c r="N96" s="1331"/>
      <c r="O96" s="1331"/>
      <c r="Q96" s="4309"/>
      <c r="S96" s="4339"/>
      <c r="T96" s="4340"/>
      <c r="U96" s="4340"/>
      <c r="V96" s="4340"/>
      <c r="W96" s="4340"/>
      <c r="X96" s="4340"/>
      <c r="Y96" s="4340"/>
      <c r="Z96" s="4341"/>
      <c r="AA96" s="4341"/>
    </row>
    <row r="97" spans="1:27" ht="15.75" customHeight="1">
      <c r="A97" s="4299" t="s">
        <v>222</v>
      </c>
      <c r="B97" s="3579">
        <f>'11. Амортиз. план'!AG258</f>
        <v>346.30027358183804</v>
      </c>
      <c r="C97" s="3579">
        <f>'11. Амортиз. план'!AI258</f>
        <v>310.07649941378332</v>
      </c>
      <c r="D97" s="3579">
        <f>'11. Амортиз. план'!AJ258</f>
        <v>291.96461232975599</v>
      </c>
      <c r="E97" s="3579">
        <f>'11. Амортиз. план'!AK258</f>
        <v>273.85272524572855</v>
      </c>
      <c r="F97" s="3579">
        <f>'11. Амортиз. план'!AL258</f>
        <v>255.74083816170122</v>
      </c>
      <c r="G97" s="3579">
        <f>'11. Амортиз. план'!AM258</f>
        <v>237.62895107767383</v>
      </c>
      <c r="I97" s="4282" t="s">
        <v>1620</v>
      </c>
      <c r="J97" s="4283" t="str">
        <f>+'15. ОПП'!$C$7</f>
        <v>2027 г.</v>
      </c>
      <c r="K97" s="4283" t="str">
        <f>+'15. ОПП'!$D$7</f>
        <v>2028 г.</v>
      </c>
      <c r="L97" s="4283" t="str">
        <f>+'15. ОПП'!$E$7</f>
        <v>2029 г.</v>
      </c>
      <c r="M97" s="4283" t="str">
        <f>+'15. ОПП'!$F$7</f>
        <v>2030 г.</v>
      </c>
      <c r="N97" s="4283" t="str">
        <f>+'15. ОПП'!$G$7</f>
        <v>2031 г.</v>
      </c>
      <c r="O97" s="4283" t="s">
        <v>1621</v>
      </c>
      <c r="Q97" s="4309"/>
      <c r="S97" s="4339"/>
      <c r="T97" s="4340"/>
      <c r="U97" s="4340"/>
      <c r="V97" s="4340"/>
      <c r="W97" s="4340"/>
      <c r="X97" s="4340"/>
      <c r="Y97" s="4340"/>
      <c r="Z97" s="4341"/>
      <c r="AA97" s="4341"/>
    </row>
    <row r="98" spans="1:27" ht="15.75" customHeight="1">
      <c r="A98" s="2" t="s">
        <v>1663</v>
      </c>
      <c r="B98" s="11"/>
      <c r="C98" s="11"/>
      <c r="D98" s="11"/>
      <c r="E98" s="11"/>
      <c r="F98" s="11"/>
      <c r="G98" s="3446" t="s">
        <v>1634</v>
      </c>
      <c r="I98" s="4330" t="s">
        <v>1616</v>
      </c>
      <c r="J98" s="4303">
        <f>'9.Инвестиционна програма'!I146</f>
        <v>40</v>
      </c>
      <c r="K98" s="4303">
        <f>'9.Инвестиционна програма'!J146</f>
        <v>34</v>
      </c>
      <c r="L98" s="4303">
        <f>'9.Инвестиционна програма'!K146</f>
        <v>53</v>
      </c>
      <c r="M98" s="4303">
        <f>'9.Инвестиционна програма'!L146</f>
        <v>47</v>
      </c>
      <c r="N98" s="4303">
        <f>'9.Инвестиционна програма'!M146</f>
        <v>34</v>
      </c>
      <c r="O98" s="4303">
        <f t="shared" ref="O98:O101" si="116">SUM(J98:N98)</f>
        <v>208</v>
      </c>
      <c r="Q98" s="4309"/>
      <c r="S98" s="4339"/>
      <c r="T98" s="4340"/>
      <c r="U98" s="4340"/>
      <c r="V98" s="4340"/>
      <c r="W98" s="4340"/>
      <c r="X98" s="4340"/>
      <c r="Y98" s="4340"/>
      <c r="Z98" s="4341"/>
      <c r="AA98" s="4341"/>
    </row>
    <row r="99" spans="1:27" ht="16.5" customHeight="1">
      <c r="A99" s="5632" t="s">
        <v>87</v>
      </c>
      <c r="B99" s="5636" t="s">
        <v>1659</v>
      </c>
      <c r="C99" s="5636"/>
      <c r="D99" s="5636"/>
      <c r="E99" s="5636"/>
      <c r="F99" s="5636"/>
      <c r="G99" s="5636"/>
      <c r="I99" s="4295" t="s">
        <v>1622</v>
      </c>
      <c r="J99" s="4296">
        <f>'10. Финансиране на ИП'!AT15</f>
        <v>40</v>
      </c>
      <c r="K99" s="4296">
        <f>'10. Финансиране на ИП'!AU15</f>
        <v>34</v>
      </c>
      <c r="L99" s="4296">
        <f>'10. Финансиране на ИП'!AV15</f>
        <v>53</v>
      </c>
      <c r="M99" s="4296">
        <f>'10. Финансиране на ИП'!AW15</f>
        <v>47</v>
      </c>
      <c r="N99" s="4296">
        <f>'10. Финансиране на ИП'!AX15</f>
        <v>34</v>
      </c>
      <c r="O99" s="4328">
        <f t="shared" si="116"/>
        <v>208</v>
      </c>
      <c r="Q99" s="4309"/>
      <c r="S99" s="3454" t="s">
        <v>1092</v>
      </c>
      <c r="T99" s="11"/>
      <c r="U99" s="11"/>
      <c r="V99" s="11"/>
      <c r="W99" s="11"/>
      <c r="X99" s="11"/>
      <c r="Y99" s="11"/>
      <c r="Z99" s="11"/>
      <c r="AA99" s="11"/>
    </row>
    <row r="100" spans="1:27" ht="19.5" customHeight="1">
      <c r="A100" s="5632"/>
      <c r="B100" s="4333" t="str">
        <f>B40</f>
        <v>2024 г.</v>
      </c>
      <c r="C100" s="4333" t="str">
        <f>C82</f>
        <v>2027 г.</v>
      </c>
      <c r="D100" s="4333" t="str">
        <f>D40</f>
        <v>2028 г.</v>
      </c>
      <c r="E100" s="4333" t="str">
        <f>E40</f>
        <v>2029 г.</v>
      </c>
      <c r="F100" s="4333" t="str">
        <f>F40</f>
        <v>2030 г.</v>
      </c>
      <c r="G100" s="4333" t="str">
        <f>G40</f>
        <v>2031 г.</v>
      </c>
      <c r="I100" s="4295" t="s">
        <v>1645</v>
      </c>
      <c r="J100" s="4296">
        <f>'10. Финансиране на ИП'!AT16</f>
        <v>0</v>
      </c>
      <c r="K100" s="4296">
        <f>'10. Финансиране на ИП'!AU16</f>
        <v>0</v>
      </c>
      <c r="L100" s="4296">
        <f>'10. Финансиране на ИП'!AV16</f>
        <v>0</v>
      </c>
      <c r="M100" s="4296">
        <f>'10. Финансиране на ИП'!AW16</f>
        <v>0</v>
      </c>
      <c r="N100" s="4296">
        <f>'10. Финансиране на ИП'!AX16</f>
        <v>0</v>
      </c>
      <c r="O100" s="4328">
        <f t="shared" si="116"/>
        <v>0</v>
      </c>
      <c r="Q100" s="4309"/>
      <c r="S100" s="5636" t="s">
        <v>1666</v>
      </c>
      <c r="T100" s="5636" t="str">
        <f>S99</f>
        <v>Доставяне на вода на друг ВиК оператор</v>
      </c>
      <c r="U100" s="5636"/>
      <c r="V100" s="5636"/>
      <c r="W100" s="5636"/>
      <c r="X100" s="5636"/>
      <c r="Y100" s="5636"/>
      <c r="Z100" s="5603" t="str">
        <f>+"Изменение "&amp;U101&amp;" спр. "&amp;T101</f>
        <v>Изменение 2027 г. спр. 2024 г.</v>
      </c>
      <c r="AA100" s="5603" t="str">
        <f>+"Изменение "&amp;Y101&amp;" спр. "&amp;T101</f>
        <v>Изменение 2031 г. спр. 2024 г.</v>
      </c>
    </row>
    <row r="101" spans="1:27" ht="21" customHeight="1">
      <c r="A101" s="5631" t="s">
        <v>1656</v>
      </c>
      <c r="B101" s="5631"/>
      <c r="C101" s="5631"/>
      <c r="D101" s="5631"/>
      <c r="E101" s="5631"/>
      <c r="F101" s="5631"/>
      <c r="G101" s="5631"/>
      <c r="I101" s="4330" t="s">
        <v>1623</v>
      </c>
      <c r="J101" s="4303">
        <f>'12. Разходи'!AX56</f>
        <v>211.47613065117096</v>
      </c>
      <c r="K101" s="4303">
        <f>'12. Разходи'!AY56</f>
        <v>216.69613065117093</v>
      </c>
      <c r="L101" s="4303">
        <f>'12. Разходи'!AZ56</f>
        <v>223.21613065117089</v>
      </c>
      <c r="M101" s="4303">
        <f>'12. Разходи'!BA56</f>
        <v>231.03613065117094</v>
      </c>
      <c r="N101" s="4303">
        <f>'12. Разходи'!BB56</f>
        <v>236.95613065117095</v>
      </c>
      <c r="O101" s="4303">
        <f t="shared" si="116"/>
        <v>1119.3806532558547</v>
      </c>
      <c r="Q101" s="4309"/>
      <c r="S101" s="5636"/>
      <c r="T101" s="4279" t="str">
        <f t="shared" ref="T101:Y101" si="117">T77</f>
        <v>2024 г.</v>
      </c>
      <c r="U101" s="4279" t="str">
        <f t="shared" si="117"/>
        <v>2027 г.</v>
      </c>
      <c r="V101" s="4279" t="str">
        <f t="shared" si="117"/>
        <v>2028 г.</v>
      </c>
      <c r="W101" s="4279" t="str">
        <f t="shared" si="117"/>
        <v>2029 г.</v>
      </c>
      <c r="X101" s="4279" t="str">
        <f t="shared" si="117"/>
        <v>2030 г.</v>
      </c>
      <c r="Y101" s="4279" t="str">
        <f t="shared" si="117"/>
        <v>2031 г.</v>
      </c>
      <c r="Z101" s="5603"/>
      <c r="AA101" s="5603"/>
    </row>
    <row r="102" spans="1:27" ht="16.5" customHeight="1">
      <c r="A102" s="4293" t="s">
        <v>334</v>
      </c>
      <c r="B102" s="3703">
        <f t="shared" ref="B102:G105" si="118">B6+B24+B42+B60+B84</f>
        <v>9973.6427200532526</v>
      </c>
      <c r="C102" s="3703">
        <f t="shared" si="118"/>
        <v>10122.642720053251</v>
      </c>
      <c r="D102" s="3703">
        <f t="shared" si="118"/>
        <v>10156.642720053251</v>
      </c>
      <c r="E102" s="3703">
        <f t="shared" si="118"/>
        <v>10209.642720053251</v>
      </c>
      <c r="F102" s="3703">
        <f t="shared" si="118"/>
        <v>10256.642720053249</v>
      </c>
      <c r="G102" s="3703">
        <f t="shared" si="118"/>
        <v>10290.642720053253</v>
      </c>
      <c r="I102" s="4342" t="s">
        <v>1624</v>
      </c>
      <c r="J102" s="4343">
        <f>J101-J99</f>
        <v>171.47613065117096</v>
      </c>
      <c r="K102" s="4343">
        <f t="shared" ref="K102:O102" si="119">K101-K99</f>
        <v>182.69613065117093</v>
      </c>
      <c r="L102" s="4343">
        <f t="shared" si="119"/>
        <v>170.21613065117089</v>
      </c>
      <c r="M102" s="4343">
        <f t="shared" si="119"/>
        <v>184.03613065117094</v>
      </c>
      <c r="N102" s="4343">
        <f t="shared" si="119"/>
        <v>202.95613065117095</v>
      </c>
      <c r="O102" s="4343">
        <f t="shared" si="119"/>
        <v>911.38065325585467</v>
      </c>
      <c r="Q102" s="4309"/>
      <c r="S102" s="4294" t="s">
        <v>226</v>
      </c>
      <c r="T102" s="3579">
        <f>'12. Разходи'!AI11</f>
        <v>390.65483100591996</v>
      </c>
      <c r="U102" s="3579">
        <f>'12. Разходи'!AJ11</f>
        <v>532.97447359353191</v>
      </c>
      <c r="V102" s="3579">
        <f>'12. Разходи'!AK11</f>
        <v>535.3976749282408</v>
      </c>
      <c r="W102" s="3579">
        <f>'12. Разходи'!AL11</f>
        <v>538.39731452372325</v>
      </c>
      <c r="X102" s="3579">
        <f>'12. Разходи'!AM11</f>
        <v>540.87608892572678</v>
      </c>
      <c r="Y102" s="3579">
        <f>'12. Разходи'!AN11</f>
        <v>544.03841950529443</v>
      </c>
      <c r="Z102" s="4292">
        <f>IFERROR((U102-T102)/T102,0)</f>
        <v>0.36431046359044067</v>
      </c>
      <c r="AA102" s="4292">
        <f>IFERROR((Y102-T102)/T102,0)</f>
        <v>0.3926320022829824</v>
      </c>
    </row>
    <row r="103" spans="1:27" ht="15.75" customHeight="1">
      <c r="A103" s="4295" t="s">
        <v>218</v>
      </c>
      <c r="B103" s="3579">
        <f t="shared" si="118"/>
        <v>138.36677947945475</v>
      </c>
      <c r="C103" s="3579">
        <f t="shared" si="118"/>
        <v>211.47613065117096</v>
      </c>
      <c r="D103" s="3579">
        <f t="shared" si="118"/>
        <v>216.69613065117093</v>
      </c>
      <c r="E103" s="3579">
        <f t="shared" si="118"/>
        <v>223.21613065117089</v>
      </c>
      <c r="F103" s="3579">
        <f t="shared" si="118"/>
        <v>231.03613065117094</v>
      </c>
      <c r="G103" s="3579">
        <f t="shared" si="118"/>
        <v>236.95613065117095</v>
      </c>
      <c r="I103" s="4344"/>
      <c r="J103" s="4345"/>
      <c r="K103" s="4345"/>
      <c r="L103" s="4345"/>
      <c r="M103" s="4345"/>
      <c r="N103" s="4345"/>
      <c r="O103" s="4345"/>
      <c r="Q103" s="4309"/>
      <c r="S103" s="4294" t="s">
        <v>239</v>
      </c>
      <c r="T103" s="3579">
        <f>'12. Разходи'!AI29</f>
        <v>96.249440048971195</v>
      </c>
      <c r="U103" s="3579">
        <f>'12. Разходи'!AJ29</f>
        <v>130.66925413983037</v>
      </c>
      <c r="V103" s="3579">
        <f>'12. Разходи'!AK29</f>
        <v>131.51547840202358</v>
      </c>
      <c r="W103" s="3579">
        <f>'12. Разходи'!AL29</f>
        <v>132.2451345944697</v>
      </c>
      <c r="X103" s="3579">
        <f>'12. Разходи'!AM29</f>
        <v>133.30508410847096</v>
      </c>
      <c r="Y103" s="3579">
        <f>'12. Разходи'!AN29</f>
        <v>134.05657878966491</v>
      </c>
      <c r="Z103" s="4292">
        <f t="shared" ref="Z103:Z118" si="120">IFERROR((U103-T103)/T103,0)</f>
        <v>0.35761053854803271</v>
      </c>
      <c r="AA103" s="4292">
        <f t="shared" ref="AA103:AA118" si="121">IFERROR((Y103-T103)/T103,0)</f>
        <v>0.39280372666539826</v>
      </c>
    </row>
    <row r="104" spans="1:27" ht="21" customHeight="1">
      <c r="A104" s="4299" t="s">
        <v>220</v>
      </c>
      <c r="B104" s="3579">
        <f t="shared" si="118"/>
        <v>6601.6975149989894</v>
      </c>
      <c r="C104" s="3579">
        <f t="shared" si="118"/>
        <v>7016.1347763013327</v>
      </c>
      <c r="D104" s="3579">
        <f t="shared" si="118"/>
        <v>7232.8309069525021</v>
      </c>
      <c r="E104" s="3579">
        <f t="shared" si="118"/>
        <v>7456.0470376036756</v>
      </c>
      <c r="F104" s="3579">
        <f t="shared" si="118"/>
        <v>7687.0831682548451</v>
      </c>
      <c r="G104" s="3579">
        <f t="shared" si="118"/>
        <v>7924.0392989060174</v>
      </c>
      <c r="I104" s="3452" t="s">
        <v>1726</v>
      </c>
      <c r="J104" s="4283" t="str">
        <f>+'15. ОПП'!$C$7</f>
        <v>2027 г.</v>
      </c>
      <c r="K104" s="4283" t="str">
        <f>+'15. ОПП'!$D$7</f>
        <v>2028 г.</v>
      </c>
      <c r="L104" s="4283" t="str">
        <f>+'15. ОПП'!$E$7</f>
        <v>2029 г.</v>
      </c>
      <c r="M104" s="4283" t="str">
        <f>+'15. ОПП'!$F$7</f>
        <v>2030 г.</v>
      </c>
      <c r="N104" s="4283" t="str">
        <f>+'15. ОПП'!$G$7</f>
        <v>2031 г.</v>
      </c>
      <c r="Q104" s="4309"/>
      <c r="S104" s="4294" t="s">
        <v>446</v>
      </c>
      <c r="T104" s="3579">
        <f>'12. Разходи'!AI55</f>
        <v>27.458201023514821</v>
      </c>
      <c r="U104" s="3579">
        <f>'12. Разходи'!AJ55</f>
        <v>312.87405787059288</v>
      </c>
      <c r="V104" s="3579">
        <f>'12. Разходи'!AK55</f>
        <v>158.47405787059287</v>
      </c>
      <c r="W104" s="3579">
        <f>'12. Разходи'!AL55</f>
        <v>154.0740578705929</v>
      </c>
      <c r="X104" s="3579">
        <f>'12. Разходи'!AM55</f>
        <v>179.67405787059289</v>
      </c>
      <c r="Y104" s="3579">
        <f>'12. Разходи'!AN55</f>
        <v>180.27405787059288</v>
      </c>
      <c r="Z104" s="4292">
        <f t="shared" si="120"/>
        <v>10.394557771743745</v>
      </c>
      <c r="AA104" s="4292">
        <f t="shared" si="121"/>
        <v>5.565399449010104</v>
      </c>
    </row>
    <row r="105" spans="1:27" ht="15.75" customHeight="1">
      <c r="A105" s="4299" t="s">
        <v>222</v>
      </c>
      <c r="B105" s="3579">
        <f t="shared" si="118"/>
        <v>3371.9452050542591</v>
      </c>
      <c r="C105" s="3579">
        <f t="shared" si="118"/>
        <v>3106.5079437519175</v>
      </c>
      <c r="D105" s="3579">
        <f t="shared" si="118"/>
        <v>2923.8118131007463</v>
      </c>
      <c r="E105" s="3579">
        <f t="shared" si="118"/>
        <v>2753.5956824495752</v>
      </c>
      <c r="F105" s="3579">
        <f t="shared" si="118"/>
        <v>2569.5595517984048</v>
      </c>
      <c r="G105" s="3579">
        <f t="shared" si="118"/>
        <v>2366.6034211472338</v>
      </c>
      <c r="I105" s="3445" t="s">
        <v>1654</v>
      </c>
      <c r="J105" s="3450">
        <f>'10. Финансиране на ИП'!AT59*'10. Финансиране на ИП'!AT66</f>
        <v>0</v>
      </c>
      <c r="K105" s="3450">
        <f>'10. Финансиране на ИП'!AU59*'10. Финансиране на ИП'!AU66</f>
        <v>0</v>
      </c>
      <c r="L105" s="3450">
        <f>'10. Финансиране на ИП'!AV59*'10. Финансиране на ИП'!AV66</f>
        <v>0</v>
      </c>
      <c r="M105" s="3450">
        <f>'10. Финансиране на ИП'!AW59*'10. Финансиране на ИП'!AW66</f>
        <v>0</v>
      </c>
      <c r="N105" s="3450">
        <f>'10. Финансиране на ИП'!AX59*'10. Финансиране на ИП'!AX66</f>
        <v>0</v>
      </c>
      <c r="Q105" s="4309"/>
      <c r="S105" s="4300" t="s">
        <v>447</v>
      </c>
      <c r="T105" s="3579">
        <f>'12. Разходи'!AI56</f>
        <v>3.1194110235148176</v>
      </c>
      <c r="U105" s="3579">
        <f>'12. Разходи'!AJ56</f>
        <v>22.874057870592878</v>
      </c>
      <c r="V105" s="3579">
        <f>'12. Разходи'!AK56</f>
        <v>23.474057870592876</v>
      </c>
      <c r="W105" s="3579">
        <f>'12. Разходи'!AL56</f>
        <v>24.074057870592881</v>
      </c>
      <c r="X105" s="3579">
        <f>'12. Разходи'!AM56</f>
        <v>24.674057870592872</v>
      </c>
      <c r="Y105" s="3579">
        <f>'12. Разходи'!AN56</f>
        <v>25.274057870592888</v>
      </c>
      <c r="Z105" s="4292">
        <f t="shared" si="120"/>
        <v>6.3328130529010496</v>
      </c>
      <c r="AA105" s="4292">
        <f t="shared" si="121"/>
        <v>7.1021890607141502</v>
      </c>
    </row>
    <row r="106" spans="1:27" ht="15.75" customHeight="1">
      <c r="A106" s="5631" t="s">
        <v>1657</v>
      </c>
      <c r="B106" s="5631"/>
      <c r="C106" s="5631"/>
      <c r="D106" s="5631"/>
      <c r="E106" s="5631"/>
      <c r="F106" s="5631"/>
      <c r="G106" s="5631"/>
      <c r="I106" s="3447" t="s">
        <v>1649</v>
      </c>
      <c r="J106" s="3448">
        <f>'10. Финансиране на ИП'!AT60*'10. Финансиране на ИП'!AT66</f>
        <v>0</v>
      </c>
      <c r="K106" s="3448">
        <f>'10. Финансиране на ИП'!AU60*'10. Финансиране на ИП'!AU66</f>
        <v>0</v>
      </c>
      <c r="L106" s="3448">
        <f>'10. Финансиране на ИП'!AV60*'10. Финансиране на ИП'!AV66</f>
        <v>0</v>
      </c>
      <c r="M106" s="3448">
        <f>'10. Финансиране на ИП'!AW60*'10. Финансиране на ИП'!AW66</f>
        <v>0</v>
      </c>
      <c r="N106" s="3448">
        <f>'10. Финансиране на ИП'!AX60*'10. Финансиране на ИП'!AX66</f>
        <v>0</v>
      </c>
      <c r="Q106" s="4309"/>
      <c r="S106" s="4300" t="s">
        <v>736</v>
      </c>
      <c r="T106" s="3579">
        <f>'12. Разходи'!AI57</f>
        <v>16.31593869795859</v>
      </c>
      <c r="U106" s="3579">
        <f>'12. Разходи'!AJ57</f>
        <v>27.728701945533619</v>
      </c>
      <c r="V106" s="3579">
        <f>'12. Разходи'!AK57</f>
        <v>36.678701945533618</v>
      </c>
      <c r="W106" s="3579">
        <f>'12. Разходи'!AL57</f>
        <v>42.528701945533619</v>
      </c>
      <c r="X106" s="3579">
        <f>'12. Разходи'!AM57</f>
        <v>48.578701945533624</v>
      </c>
      <c r="Y106" s="3579">
        <f>'12. Разходи'!AN57</f>
        <v>54.878701945533621</v>
      </c>
      <c r="Z106" s="4292">
        <f t="shared" si="120"/>
        <v>0.69948554348288683</v>
      </c>
      <c r="AA106" s="4292">
        <f t="shared" si="121"/>
        <v>2.3635025824410527</v>
      </c>
    </row>
    <row r="107" spans="1:27" ht="15.75" customHeight="1">
      <c r="A107" s="4293" t="s">
        <v>334</v>
      </c>
      <c r="B107" s="3703">
        <f t="shared" ref="B107:G110" si="122">B11+B29+B47+B65+B89</f>
        <v>5398.5732599999992</v>
      </c>
      <c r="C107" s="3703">
        <f t="shared" si="122"/>
        <v>7354.8232599999983</v>
      </c>
      <c r="D107" s="3703">
        <f t="shared" si="122"/>
        <v>8270.8232599999992</v>
      </c>
      <c r="E107" s="3703">
        <f t="shared" si="122"/>
        <v>9212.8232599999992</v>
      </c>
      <c r="F107" s="3703">
        <f t="shared" si="122"/>
        <v>10190.823259999999</v>
      </c>
      <c r="G107" s="3703">
        <f t="shared" si="122"/>
        <v>11156.823259999999</v>
      </c>
      <c r="I107" s="3447" t="s">
        <v>1650</v>
      </c>
      <c r="J107" s="3448">
        <f>'10. Финансиране на ИП'!AT61*'10. Финансиране на ИП'!AT66</f>
        <v>0</v>
      </c>
      <c r="K107" s="3448">
        <f>'10. Финансиране на ИП'!AU61*'10. Финансиране на ИП'!AU66</f>
        <v>0</v>
      </c>
      <c r="L107" s="3448">
        <f>'10. Финансиране на ИП'!AV61*'10. Финансиране на ИП'!AV66</f>
        <v>0</v>
      </c>
      <c r="M107" s="3448">
        <f>'10. Финансиране на ИП'!AW61*'10. Финансиране на ИП'!AW66</f>
        <v>0</v>
      </c>
      <c r="N107" s="3448">
        <f>'10. Финансиране на ИП'!AX61*'10. Финансиране на ИП'!AX66</f>
        <v>0</v>
      </c>
      <c r="Q107" s="4309"/>
      <c r="S107" s="4300" t="s">
        <v>737</v>
      </c>
      <c r="T107" s="3579">
        <f>'12. Разходи'!AI58</f>
        <v>8.0228513020414134</v>
      </c>
      <c r="U107" s="3579">
        <f>'12. Разходи'!AJ58</f>
        <v>262.2712980544664</v>
      </c>
      <c r="V107" s="3579">
        <f>'12. Разходи'!AK58</f>
        <v>98.321298054466382</v>
      </c>
      <c r="W107" s="3579">
        <f>'12. Разходи'!AL58</f>
        <v>87.471298054466388</v>
      </c>
      <c r="X107" s="3579">
        <f>'12. Разходи'!AM58</f>
        <v>106.42129805446638</v>
      </c>
      <c r="Y107" s="3579">
        <f>'12. Разходи'!AN58</f>
        <v>100.12129805446638</v>
      </c>
      <c r="Z107" s="4292">
        <f t="shared" si="120"/>
        <v>31.690534596812423</v>
      </c>
      <c r="AA107" s="4292">
        <f t="shared" si="121"/>
        <v>11.479515609243627</v>
      </c>
    </row>
    <row r="108" spans="1:27" ht="15.75" customHeight="1">
      <c r="A108" s="4295" t="s">
        <v>218</v>
      </c>
      <c r="B108" s="3579">
        <f t="shared" si="122"/>
        <v>199.86228000000006</v>
      </c>
      <c r="C108" s="3579">
        <f t="shared" si="122"/>
        <v>308.00689020000004</v>
      </c>
      <c r="D108" s="3579">
        <f t="shared" si="122"/>
        <v>349.44689019999998</v>
      </c>
      <c r="E108" s="3579">
        <f t="shared" si="122"/>
        <v>388.82689020000009</v>
      </c>
      <c r="F108" s="3579">
        <f t="shared" si="122"/>
        <v>429.98689020000012</v>
      </c>
      <c r="G108" s="3579">
        <f t="shared" si="122"/>
        <v>471.18689020000011</v>
      </c>
      <c r="I108" s="3445" t="s">
        <v>1651</v>
      </c>
      <c r="J108" s="3450">
        <f>'10. Финансиране на ИП'!AT62*'10. Финансиране на ИП'!AT66</f>
        <v>0</v>
      </c>
      <c r="K108" s="3450">
        <f>'10. Финансиране на ИП'!AU62*'10. Финансиране на ИП'!AU66</f>
        <v>0</v>
      </c>
      <c r="L108" s="3450">
        <f>'10. Финансиране на ИП'!AV62*'10. Финансиране на ИП'!AV66</f>
        <v>0</v>
      </c>
      <c r="M108" s="3450">
        <f>'10. Финансиране на ИП'!AW62*'10. Финансиране на ИП'!AW66</f>
        <v>0</v>
      </c>
      <c r="N108" s="3450">
        <f>'10. Финансиране на ИП'!AX62*'10. Финансиране на ИП'!AX66</f>
        <v>0</v>
      </c>
      <c r="Q108" s="4309"/>
      <c r="S108" s="4294" t="s">
        <v>448</v>
      </c>
      <c r="T108" s="3579">
        <f>'12. Разходи'!AI59</f>
        <v>799.3297945531591</v>
      </c>
      <c r="U108" s="3579">
        <f>'12. Разходи'!AJ59</f>
        <v>1185.2538277173915</v>
      </c>
      <c r="V108" s="3579">
        <f>'12. Разходи'!AK59</f>
        <v>1339.0445334069477</v>
      </c>
      <c r="W108" s="3579">
        <f>'12. Разходи'!AL59</f>
        <v>1518.3295856048292</v>
      </c>
      <c r="X108" s="3579">
        <f>'12. Разходи'!AM59</f>
        <v>1723.7253252542639</v>
      </c>
      <c r="Y108" s="3579">
        <f>'12. Разходи'!AN59</f>
        <v>1959.0289603192336</v>
      </c>
      <c r="Z108" s="4292">
        <f t="shared" si="120"/>
        <v>0.48280951841657721</v>
      </c>
      <c r="AA108" s="4292">
        <f t="shared" si="121"/>
        <v>1.4508394077995916</v>
      </c>
    </row>
    <row r="109" spans="1:27" ht="15.75" customHeight="1">
      <c r="A109" s="4299" t="s">
        <v>220</v>
      </c>
      <c r="B109" s="3579">
        <f t="shared" si="122"/>
        <v>738.71467999999982</v>
      </c>
      <c r="C109" s="3579">
        <f t="shared" si="122"/>
        <v>1301.8009604000001</v>
      </c>
      <c r="D109" s="3579">
        <f t="shared" si="122"/>
        <v>1651.2478506</v>
      </c>
      <c r="E109" s="3579">
        <f t="shared" si="122"/>
        <v>2040.0747408000002</v>
      </c>
      <c r="F109" s="3579">
        <f t="shared" si="122"/>
        <v>2470.0616310000005</v>
      </c>
      <c r="G109" s="3579">
        <f t="shared" si="122"/>
        <v>2941.2485212000011</v>
      </c>
      <c r="I109" s="3447" t="s">
        <v>199</v>
      </c>
      <c r="J109" s="3441">
        <f>'10. Финансиране на ИП'!AT63</f>
        <v>0</v>
      </c>
      <c r="K109" s="3441">
        <f>'10. Финансиране на ИП'!AU63</f>
        <v>0</v>
      </c>
      <c r="L109" s="3441">
        <f>'10. Финансиране на ИП'!AV63</f>
        <v>0</v>
      </c>
      <c r="M109" s="3441">
        <f>'10. Финансиране на ИП'!AW63</f>
        <v>0</v>
      </c>
      <c r="N109" s="3441">
        <f>'10. Финансиране на ИП'!AX63</f>
        <v>0</v>
      </c>
      <c r="Q109" s="4309"/>
      <c r="S109" s="4294" t="s">
        <v>449</v>
      </c>
      <c r="T109" s="3579">
        <f>'12. Разходи'!AI63</f>
        <v>209.45682051322046</v>
      </c>
      <c r="U109" s="3579">
        <f>'12. Разходи'!AJ63</f>
        <v>316.73623040373377</v>
      </c>
      <c r="V109" s="3579">
        <f>'12. Разходи'!AK63</f>
        <v>364.48957234673253</v>
      </c>
      <c r="W109" s="3579">
        <f>'12. Разходи'!AL63</f>
        <v>412.40549582812247</v>
      </c>
      <c r="X109" s="3579">
        <f>'12. Разходи'!AM63</f>
        <v>461.2583800537821</v>
      </c>
      <c r="Y109" s="3579">
        <f>'12. Разходи'!AN63</f>
        <v>510.00325912011209</v>
      </c>
      <c r="Z109" s="4292">
        <f t="shared" si="120"/>
        <v>0.51217911943689631</v>
      </c>
      <c r="AA109" s="4292">
        <f t="shared" si="121"/>
        <v>1.4348849460737507</v>
      </c>
    </row>
    <row r="110" spans="1:27" ht="15.75" customHeight="1">
      <c r="A110" s="4299" t="s">
        <v>222</v>
      </c>
      <c r="B110" s="3579">
        <f t="shared" si="122"/>
        <v>4659.8585799999992</v>
      </c>
      <c r="C110" s="3579">
        <f t="shared" si="122"/>
        <v>6053.0222995999984</v>
      </c>
      <c r="D110" s="3579">
        <f t="shared" si="122"/>
        <v>6619.5754093999994</v>
      </c>
      <c r="E110" s="3579">
        <f t="shared" si="122"/>
        <v>7172.7485192000004</v>
      </c>
      <c r="F110" s="3579">
        <f t="shared" si="122"/>
        <v>7720.7616289999996</v>
      </c>
      <c r="G110" s="3579">
        <f t="shared" si="122"/>
        <v>8215.5747387999982</v>
      </c>
      <c r="I110" s="3445" t="s">
        <v>1652</v>
      </c>
      <c r="J110" s="3451">
        <f>'10. Финансиране на ИП'!AT64*'10. Финансиране на ИП'!AT66</f>
        <v>0</v>
      </c>
      <c r="K110" s="3451">
        <f>'10. Финансиране на ИП'!AU64*'10. Финансиране на ИП'!AU66</f>
        <v>0</v>
      </c>
      <c r="L110" s="3451">
        <f>'10. Финансиране на ИП'!AV64*'10. Финансиране на ИП'!AV66</f>
        <v>0</v>
      </c>
      <c r="M110" s="3451">
        <f>'10. Финансиране на ИП'!AW64*'10. Финансиране на ИП'!AW66</f>
        <v>0</v>
      </c>
      <c r="N110" s="3451">
        <f>'10. Финансиране на ИП'!AX64*'10. Финансиране на ИП'!AX66</f>
        <v>0</v>
      </c>
      <c r="Q110" s="4309"/>
      <c r="S110" s="4294" t="s">
        <v>450</v>
      </c>
      <c r="T110" s="3579">
        <f>'12. Разходи'!AI70</f>
        <v>367.64795138189612</v>
      </c>
      <c r="U110" s="3579">
        <f>'12. Разходи'!AJ70</f>
        <v>397.43663138189612</v>
      </c>
      <c r="V110" s="3579">
        <f>'12. Разходи'!AK70</f>
        <v>397.56305138189612</v>
      </c>
      <c r="W110" s="3579">
        <f>'12. Разходи'!AL70</f>
        <v>397.69041138189618</v>
      </c>
      <c r="X110" s="3579">
        <f>'12. Разходи'!AM70</f>
        <v>397.81759138189614</v>
      </c>
      <c r="Y110" s="3579">
        <f>'12. Разходи'!AN70</f>
        <v>397.94525138189613</v>
      </c>
      <c r="Z110" s="4292">
        <f t="shared" si="120"/>
        <v>8.1025012890815387E-2</v>
      </c>
      <c r="AA110" s="4292">
        <f t="shared" si="121"/>
        <v>8.2408455932149446E-2</v>
      </c>
    </row>
    <row r="111" spans="1:27" ht="15.75" customHeight="1">
      <c r="A111" s="5631" t="s">
        <v>1658</v>
      </c>
      <c r="B111" s="5631"/>
      <c r="C111" s="5631"/>
      <c r="D111" s="5631"/>
      <c r="E111" s="5631"/>
      <c r="F111" s="5631"/>
      <c r="G111" s="5631"/>
      <c r="I111" s="3445" t="s">
        <v>1653</v>
      </c>
      <c r="J111" s="3451">
        <f>'10. Финансиране на ИП'!AT65*'10. Финансиране на ИП'!AT66</f>
        <v>0</v>
      </c>
      <c r="K111" s="3451">
        <f>'10. Финансиране на ИП'!AU65*'10. Финансиране на ИП'!AU66</f>
        <v>0</v>
      </c>
      <c r="L111" s="3451">
        <f>'10. Финансиране на ИП'!AV65*'10. Финансиране на ИП'!AV66</f>
        <v>0</v>
      </c>
      <c r="M111" s="3451">
        <f>'10. Финансиране на ИП'!AW65*'10. Финансиране на ИП'!AW66</f>
        <v>0</v>
      </c>
      <c r="N111" s="3451">
        <f>'10. Финансиране на ИП'!AX65*'10. Финансиране на ИП'!AX66</f>
        <v>0</v>
      </c>
      <c r="Q111" s="4309"/>
      <c r="S111" s="4294" t="s">
        <v>267</v>
      </c>
      <c r="T111" s="3579">
        <f>'12. Разходи'!AI76</f>
        <v>12.08443322908029</v>
      </c>
      <c r="U111" s="3579">
        <f>'12. Разходи'!AJ76</f>
        <v>13.069073315911467</v>
      </c>
      <c r="V111" s="3579">
        <f>'12. Разходи'!AK76</f>
        <v>13.069073315911467</v>
      </c>
      <c r="W111" s="3579">
        <f>'12. Разходи'!AL76</f>
        <v>13.069073315911467</v>
      </c>
      <c r="X111" s="3579">
        <f>'12. Разходи'!AM76</f>
        <v>13.069073315911467</v>
      </c>
      <c r="Y111" s="3579">
        <f>'12. Разходи'!AN76</f>
        <v>13.069073315911467</v>
      </c>
      <c r="Z111" s="4292">
        <f t="shared" si="120"/>
        <v>8.148003867171151E-2</v>
      </c>
      <c r="AA111" s="4292">
        <f t="shared" si="121"/>
        <v>8.148003867171151E-2</v>
      </c>
    </row>
    <row r="112" spans="1:27" ht="20.25" customHeight="1">
      <c r="A112" s="4293" t="s">
        <v>334</v>
      </c>
      <c r="B112" s="3703">
        <f t="shared" ref="B112:G115" si="123">B16+B34+B52+B70+B94</f>
        <v>135466.67067999998</v>
      </c>
      <c r="C112" s="3703">
        <f t="shared" si="123"/>
        <v>169381.9269854</v>
      </c>
      <c r="D112" s="3703">
        <f t="shared" si="123"/>
        <v>175712.10998540002</v>
      </c>
      <c r="E112" s="3703">
        <f t="shared" si="123"/>
        <v>187575.27187540001</v>
      </c>
      <c r="F112" s="3703">
        <f t="shared" si="123"/>
        <v>188204.9468754</v>
      </c>
      <c r="G112" s="3703">
        <f t="shared" si="123"/>
        <v>211785.52559539999</v>
      </c>
      <c r="I112" s="3452" t="s">
        <v>1936</v>
      </c>
      <c r="J112" s="4283" t="str">
        <f>+'15. ОПП'!$C$7</f>
        <v>2027 г.</v>
      </c>
      <c r="K112" s="4283" t="str">
        <f>+'15. ОПП'!$D$7</f>
        <v>2028 г.</v>
      </c>
      <c r="L112" s="4283" t="str">
        <f>+'15. ОПП'!$E$7</f>
        <v>2029 г.</v>
      </c>
      <c r="M112" s="4283" t="str">
        <f>+'15. ОПП'!$F$7</f>
        <v>2030 г.</v>
      </c>
      <c r="N112" s="4283" t="str">
        <f>+'15. ОПП'!$G$7</f>
        <v>2031 г.</v>
      </c>
      <c r="Q112" s="4309"/>
      <c r="S112" s="4302" t="s">
        <v>277</v>
      </c>
      <c r="T112" s="4303">
        <f>SUM(T102:T104,T108:T111)</f>
        <v>1902.8814717557618</v>
      </c>
      <c r="U112" s="4303">
        <f t="shared" ref="U112" si="124">SUM(U102:U104,U108:U111)</f>
        <v>2889.0135484228877</v>
      </c>
      <c r="V112" s="4303">
        <f t="shared" ref="V112" si="125">SUM(V102:V104,V108:V111)</f>
        <v>2939.5534416523446</v>
      </c>
      <c r="W112" s="4303">
        <f t="shared" ref="W112" si="126">SUM(W102:W104,W108:W111)</f>
        <v>3166.2110731195448</v>
      </c>
      <c r="X112" s="4303">
        <f t="shared" ref="X112" si="127">SUM(X102:X104,X108:X111)</f>
        <v>3449.7256009106445</v>
      </c>
      <c r="Y112" s="4303">
        <f t="shared" ref="Y112" si="128">SUM(Y102:Y104,Y108:Y111)</f>
        <v>3738.4156003027051</v>
      </c>
      <c r="Z112" s="4304">
        <f t="shared" si="120"/>
        <v>0.51823095200839586</v>
      </c>
      <c r="AA112" s="4304">
        <f t="shared" si="121"/>
        <v>0.96460770457411726</v>
      </c>
    </row>
    <row r="113" spans="1:27" ht="15.75" customHeight="1">
      <c r="A113" s="4295" t="s">
        <v>218</v>
      </c>
      <c r="B113" s="3579">
        <f t="shared" si="123"/>
        <v>2805.6666399999986</v>
      </c>
      <c r="C113" s="3579">
        <f t="shared" si="123"/>
        <v>3591.9717661079985</v>
      </c>
      <c r="D113" s="3579">
        <f t="shared" si="123"/>
        <v>3718.5754261079983</v>
      </c>
      <c r="E113" s="3579">
        <f t="shared" si="123"/>
        <v>3955.8386639079981</v>
      </c>
      <c r="F113" s="3579">
        <f t="shared" si="123"/>
        <v>3968.4321639079981</v>
      </c>
      <c r="G113" s="3579">
        <f t="shared" si="123"/>
        <v>4440.043738307998</v>
      </c>
      <c r="I113" s="3445" t="s">
        <v>1654</v>
      </c>
      <c r="J113" s="3450">
        <f>'10. Финансиране на ИП'!AT70*'10. Финансиране на ИП'!AT77</f>
        <v>0</v>
      </c>
      <c r="K113" s="3450">
        <f>'10. Финансиране на ИП'!AU70*'10. Финансиране на ИП'!AU77</f>
        <v>0</v>
      </c>
      <c r="L113" s="3450">
        <f>'10. Финансиране на ИП'!AV70*'10. Финансиране на ИП'!AV77</f>
        <v>0</v>
      </c>
      <c r="M113" s="3450">
        <f>'10. Финансиране на ИП'!AW70*'10. Финансиране на ИП'!AW77</f>
        <v>0</v>
      </c>
      <c r="N113" s="3450">
        <f>'10. Финансиране на ИП'!AX70*'10. Финансиране на ИП'!AX77</f>
        <v>0</v>
      </c>
      <c r="Q113" s="4309"/>
      <c r="S113" s="4310" t="str">
        <f>CONCATENATE("Спестявания и увеличения спрямо ",T101," - нето:")</f>
        <v>Спестявания и увеличения спрямо 2024 г. - нето:</v>
      </c>
      <c r="T113" s="4311"/>
      <c r="U113" s="4310">
        <f>U112-$T112</f>
        <v>986.13207666712583</v>
      </c>
      <c r="V113" s="4310">
        <f t="shared" ref="V113" si="129">V112-$T112</f>
        <v>1036.6719698965828</v>
      </c>
      <c r="W113" s="4310">
        <f t="shared" ref="W113" si="130">W112-$T112</f>
        <v>1263.329601363783</v>
      </c>
      <c r="X113" s="4310">
        <f t="shared" ref="X113" si="131">X112-$T112</f>
        <v>1546.8441291548827</v>
      </c>
      <c r="Y113" s="4310">
        <f t="shared" ref="Y113" si="132">Y112-$T112</f>
        <v>1835.5341285469433</v>
      </c>
      <c r="Z113" s="4311"/>
      <c r="AA113" s="4311"/>
    </row>
    <row r="114" spans="1:27" ht="15.75" customHeight="1">
      <c r="A114" s="4299" t="s">
        <v>220</v>
      </c>
      <c r="B114" s="3579">
        <f t="shared" si="123"/>
        <v>52191.810719999979</v>
      </c>
      <c r="C114" s="3579">
        <f t="shared" si="123"/>
        <v>59003.708782615984</v>
      </c>
      <c r="D114" s="3579">
        <f t="shared" si="123"/>
        <v>62722.284208723984</v>
      </c>
      <c r="E114" s="3579">
        <f t="shared" si="123"/>
        <v>66678.122872631982</v>
      </c>
      <c r="F114" s="3579">
        <f t="shared" si="123"/>
        <v>70646.555036539983</v>
      </c>
      <c r="G114" s="3579">
        <f t="shared" si="123"/>
        <v>75086.598774847967</v>
      </c>
      <c r="I114" s="3447" t="s">
        <v>1649</v>
      </c>
      <c r="J114" s="3448">
        <f>'10. Финансиране на ИП'!AT71*'10. Финансиране на ИП'!AT77</f>
        <v>0</v>
      </c>
      <c r="K114" s="3448">
        <f>'10. Финансиране на ИП'!AU71*'10. Финансиране на ИП'!AU77</f>
        <v>0</v>
      </c>
      <c r="L114" s="3448">
        <f>'10. Финансиране на ИП'!AV71*'10. Финансиране на ИП'!AV77</f>
        <v>0</v>
      </c>
      <c r="M114" s="3448">
        <f>'10. Финансиране на ИП'!AW71*'10. Финансиране на ИП'!AW77</f>
        <v>0</v>
      </c>
      <c r="N114" s="3448">
        <f>'10. Финансиране на ИП'!AX71*'10. Финансиране на ИП'!AX77</f>
        <v>0</v>
      </c>
      <c r="Q114" s="4309"/>
      <c r="S114" s="4294" t="s">
        <v>1668</v>
      </c>
      <c r="T114" s="3579">
        <f>+'12. Разходи'!AI92</f>
        <v>1578.4246274477432</v>
      </c>
      <c r="U114" s="3579">
        <f>+'12. Разходи'!AJ92</f>
        <v>2211.9972779636469</v>
      </c>
      <c r="V114" s="3579">
        <f>+'12. Разходи'!AK92</f>
        <v>2377.3430316616596</v>
      </c>
      <c r="W114" s="3579">
        <f>+'12. Разходи'!AL92</f>
        <v>2559.7558728848908</v>
      </c>
      <c r="X114" s="3579">
        <f>+'12. Разходи'!AM92</f>
        <v>2762.7030335797012</v>
      </c>
      <c r="Y114" s="3579">
        <f>+'12. Разходи'!AN92</f>
        <v>2988.7633289088312</v>
      </c>
      <c r="Z114" s="4292">
        <f t="shared" ref="Z114:Z116" si="133">IFERROR((U114-T114)/T114,0)</f>
        <v>0.40139556840314145</v>
      </c>
      <c r="AA114" s="4292">
        <f t="shared" ref="AA114:AA116" si="134">IFERROR((Y114-T114)/T114,0)</f>
        <v>0.89351032474800895</v>
      </c>
    </row>
    <row r="115" spans="1:27" ht="15.75" customHeight="1">
      <c r="A115" s="4299" t="s">
        <v>222</v>
      </c>
      <c r="B115" s="3579">
        <f t="shared" si="123"/>
        <v>83274.859960000016</v>
      </c>
      <c r="C115" s="3579">
        <f t="shared" si="123"/>
        <v>110378.21820278403</v>
      </c>
      <c r="D115" s="3579">
        <f t="shared" si="123"/>
        <v>112989.82577667604</v>
      </c>
      <c r="E115" s="3579">
        <f t="shared" si="123"/>
        <v>120897.14900276804</v>
      </c>
      <c r="F115" s="3579">
        <f t="shared" si="123"/>
        <v>117558.39183886006</v>
      </c>
      <c r="G115" s="3579">
        <f t="shared" si="123"/>
        <v>136698.92682055203</v>
      </c>
      <c r="I115" s="3447" t="s">
        <v>1650</v>
      </c>
      <c r="J115" s="3448">
        <f>'10. Финансиране на ИП'!AT72*'10. Финансиране на ИП'!AT77</f>
        <v>0</v>
      </c>
      <c r="K115" s="3448">
        <f>'10. Финансиране на ИП'!AU72*'10. Финансиране на ИП'!AU77</f>
        <v>0</v>
      </c>
      <c r="L115" s="3448">
        <f>'10. Финансиране на ИП'!AV72*'10. Финансиране на ИП'!AV77</f>
        <v>0</v>
      </c>
      <c r="M115" s="3448">
        <f>'10. Финансиране на ИП'!AW72*'10. Финансиране на ИП'!AW77</f>
        <v>0</v>
      </c>
      <c r="N115" s="3448">
        <f>'10. Финансиране на ИП'!AX72*'10. Финансиране на ИП'!AX77</f>
        <v>0</v>
      </c>
      <c r="Q115" s="4309"/>
      <c r="S115" s="4294" t="s">
        <v>1670</v>
      </c>
      <c r="T115" s="3579">
        <f>+'12. Разходи'!AI93</f>
        <v>296.99864328450371</v>
      </c>
      <c r="U115" s="3579">
        <f>+'12. Разходи'!AJ93</f>
        <v>364.14221258864791</v>
      </c>
      <c r="V115" s="3579">
        <f>+'12. Разходи'!AK93</f>
        <v>403.73635212009231</v>
      </c>
      <c r="W115" s="3579">
        <f>+'12. Разходи'!AL93</f>
        <v>452.38114236406136</v>
      </c>
      <c r="X115" s="3579">
        <f>+'12. Разходи'!AM93</f>
        <v>507.34850946035021</v>
      </c>
      <c r="Y115" s="3579">
        <f>+'12. Разходи'!AN93</f>
        <v>569.37821352328092</v>
      </c>
      <c r="Z115" s="4292">
        <f t="shared" si="133"/>
        <v>0.22607365663898135</v>
      </c>
      <c r="AA115" s="4292">
        <f t="shared" si="134"/>
        <v>0.91710711950241752</v>
      </c>
    </row>
    <row r="116" spans="1:27" ht="15.75" customHeight="1">
      <c r="A116" s="4346"/>
      <c r="B116" s="4340"/>
      <c r="C116" s="4340"/>
      <c r="D116" s="4340"/>
      <c r="E116" s="4340"/>
      <c r="F116" s="4340"/>
      <c r="G116" s="3446" t="s">
        <v>1634</v>
      </c>
      <c r="I116" s="3445" t="s">
        <v>1651</v>
      </c>
      <c r="J116" s="3450">
        <f>'10. Финансиране на ИП'!AT73*'10. Финансиране на ИП'!AT77</f>
        <v>0</v>
      </c>
      <c r="K116" s="3450">
        <f>'10. Финансиране на ИП'!AU73*'10. Финансиране на ИП'!AU77</f>
        <v>0</v>
      </c>
      <c r="L116" s="3450">
        <f>'10. Финансиране на ИП'!AV73*'10. Финансиране на ИП'!AV77</f>
        <v>0</v>
      </c>
      <c r="M116" s="3450">
        <f>'10. Финансиране на ИП'!AW73*'10. Финансиране на ИП'!AW77</f>
        <v>0</v>
      </c>
      <c r="N116" s="3450">
        <f>'10. Финансиране на ИП'!AX73*'10. Финансиране на ИП'!AX77</f>
        <v>0</v>
      </c>
      <c r="Q116" s="4309"/>
      <c r="S116" s="4313" t="s">
        <v>1669</v>
      </c>
      <c r="T116" s="3579">
        <f>+'12. Разходи'!AI94</f>
        <v>172.40937627424452</v>
      </c>
      <c r="U116" s="3579">
        <f>+'12. Разходи'!AJ94</f>
        <v>213.65440182012733</v>
      </c>
      <c r="V116" s="3579">
        <f>+'12. Разходи'!AK94</f>
        <v>239.71130603757453</v>
      </c>
      <c r="W116" s="3579">
        <f>+'12. Разходи'!AL94</f>
        <v>269.69115183863408</v>
      </c>
      <c r="X116" s="3579">
        <f>+'12. Разходи'!AM94</f>
        <v>303.73407310396937</v>
      </c>
      <c r="Y116" s="3579">
        <f>+'12. Разходи'!AN94</f>
        <v>342.33918697531237</v>
      </c>
      <c r="Z116" s="4292">
        <f t="shared" si="133"/>
        <v>0.23922727659704562</v>
      </c>
      <c r="AA116" s="4292">
        <f t="shared" si="134"/>
        <v>0.98561815124699181</v>
      </c>
    </row>
    <row r="117" spans="1:27" ht="15.75" customHeight="1">
      <c r="A117" s="5632" t="s">
        <v>1660</v>
      </c>
      <c r="B117" s="5636" t="s">
        <v>1659</v>
      </c>
      <c r="C117" s="5636"/>
      <c r="D117" s="5636"/>
      <c r="E117" s="5636"/>
      <c r="F117" s="5636"/>
      <c r="G117" s="5636"/>
      <c r="I117" s="3447" t="s">
        <v>199</v>
      </c>
      <c r="J117" s="3441">
        <f>'10. Финансиране на ИП'!AT74</f>
        <v>0</v>
      </c>
      <c r="K117" s="3441">
        <f>'10. Финансиране на ИП'!AU74</f>
        <v>0</v>
      </c>
      <c r="L117" s="3441">
        <f>'10. Финансиране на ИП'!AV74</f>
        <v>0</v>
      </c>
      <c r="M117" s="3441">
        <f>'10. Финансиране на ИП'!AW74</f>
        <v>0</v>
      </c>
      <c r="N117" s="3441">
        <f>'10. Финансиране на ИП'!AX74</f>
        <v>0</v>
      </c>
      <c r="Q117" s="4309"/>
      <c r="S117" s="4294" t="s">
        <v>637</v>
      </c>
      <c r="T117" s="3579">
        <f>'12. Разходи'!AI90</f>
        <v>126.21190993838351</v>
      </c>
      <c r="U117" s="3579">
        <f>'12. Разходи'!AJ90</f>
        <v>226.89764276611163</v>
      </c>
      <c r="V117" s="3579">
        <f>'12. Разходи'!AK90</f>
        <v>256.23677285503823</v>
      </c>
      <c r="W117" s="3579">
        <f>'12. Разходи'!AL90</f>
        <v>290.64719588313756</v>
      </c>
      <c r="X117" s="3579">
        <f>'12. Разходи'!AM90</f>
        <v>328.24848170999246</v>
      </c>
      <c r="Y117" s="3579">
        <f>'12. Разходи'!AN90</f>
        <v>374.78378030611248</v>
      </c>
      <c r="Z117" s="4292">
        <f t="shared" si="120"/>
        <v>0.79775143943929505</v>
      </c>
      <c r="AA117" s="4292">
        <f t="shared" si="121"/>
        <v>1.9694803009405484</v>
      </c>
    </row>
    <row r="118" spans="1:27" ht="15.75" customHeight="1">
      <c r="A118" s="5632"/>
      <c r="B118" s="4333" t="str">
        <f>+B100</f>
        <v>2024 г.</v>
      </c>
      <c r="C118" s="4333" t="str">
        <f t="shared" ref="C118:G118" si="135">+C100</f>
        <v>2027 г.</v>
      </c>
      <c r="D118" s="4333" t="str">
        <f t="shared" si="135"/>
        <v>2028 г.</v>
      </c>
      <c r="E118" s="4333" t="str">
        <f t="shared" si="135"/>
        <v>2029 г.</v>
      </c>
      <c r="F118" s="4333" t="str">
        <f t="shared" si="135"/>
        <v>2030 г.</v>
      </c>
      <c r="G118" s="4333" t="str">
        <f t="shared" si="135"/>
        <v>2031 г.</v>
      </c>
      <c r="I118" s="3445" t="s">
        <v>1652</v>
      </c>
      <c r="J118" s="3451">
        <f>'10. Финансиране на ИП'!AT75*'10. Финансиране на ИП'!AT77</f>
        <v>0</v>
      </c>
      <c r="K118" s="3451">
        <f>'10. Финансиране на ИП'!AU75*'10. Финансиране на ИП'!AU77</f>
        <v>0</v>
      </c>
      <c r="L118" s="3451">
        <f>'10. Финансиране на ИП'!AV75*'10. Финансиране на ИП'!AV77</f>
        <v>0</v>
      </c>
      <c r="M118" s="3451">
        <f>'10. Финансиране на ИП'!AW75*'10. Финансиране на ИП'!AW77</f>
        <v>0</v>
      </c>
      <c r="N118" s="3451">
        <f>'10. Финансиране на ИП'!AX75*'10. Финансиране на ИП'!AX77</f>
        <v>0</v>
      </c>
      <c r="Q118" s="4309"/>
      <c r="S118" s="4294" t="s">
        <v>1667</v>
      </c>
      <c r="T118" s="3579">
        <f>'12. Разходи'!AI89</f>
        <v>664.57386348865384</v>
      </c>
      <c r="U118" s="3579">
        <f>'12. Разходи'!AJ89</f>
        <v>812.87291517771541</v>
      </c>
      <c r="V118" s="3579">
        <f>'12. Разходи'!AK89</f>
        <v>813.47260011363051</v>
      </c>
      <c r="W118" s="3579">
        <f>'12. Разходи'!AL89</f>
        <v>814.05763909540929</v>
      </c>
      <c r="X118" s="3579">
        <f>'12. Разходи'!AM89</f>
        <v>814.65395900067983</v>
      </c>
      <c r="Y118" s="3579">
        <f>'12. Разходи'!AN89</f>
        <v>815.24921150819</v>
      </c>
      <c r="Z118" s="4292">
        <f t="shared" si="120"/>
        <v>0.22314908821507312</v>
      </c>
      <c r="AA118" s="4292">
        <f t="shared" si="121"/>
        <v>0.22672475746875143</v>
      </c>
    </row>
    <row r="119" spans="1:27" ht="15.75" customHeight="1">
      <c r="A119" s="4299" t="s">
        <v>1661</v>
      </c>
      <c r="B119" s="3579">
        <f t="shared" ref="B119:G119" si="136">B16</f>
        <v>56942.261905249085</v>
      </c>
      <c r="C119" s="3579">
        <f t="shared" si="136"/>
        <v>84983.574230649101</v>
      </c>
      <c r="D119" s="3579">
        <f t="shared" si="136"/>
        <v>91313.757230649106</v>
      </c>
      <c r="E119" s="3579">
        <f t="shared" si="136"/>
        <v>103176.91912064911</v>
      </c>
      <c r="F119" s="3579">
        <f t="shared" si="136"/>
        <v>103806.59412064911</v>
      </c>
      <c r="G119" s="3579">
        <f t="shared" si="136"/>
        <v>127387.1728406491</v>
      </c>
      <c r="I119" s="3445" t="s">
        <v>1653</v>
      </c>
      <c r="J119" s="3451">
        <f>'10. Финансиране на ИП'!AT76*'10. Финансиране на ИП'!AT77</f>
        <v>0</v>
      </c>
      <c r="K119" s="3451">
        <f>'10. Финансиране на ИП'!AU76*'10. Финансиране на ИП'!AU77</f>
        <v>0</v>
      </c>
      <c r="L119" s="3451">
        <f>'10. Финансиране на ИП'!AV76*'10. Финансиране на ИП'!AV77</f>
        <v>0</v>
      </c>
      <c r="M119" s="3451">
        <f>'10. Финансиране на ИП'!AW76*'10. Финансиране на ИП'!AW77</f>
        <v>0</v>
      </c>
      <c r="N119" s="3451">
        <f>'10. Финансиране на ИП'!AX76*'10. Финансиране на ИП'!AX77</f>
        <v>0</v>
      </c>
      <c r="Q119" s="4309"/>
      <c r="S119" s="1365" t="s">
        <v>1682</v>
      </c>
      <c r="T119" s="4340"/>
      <c r="U119" s="4340"/>
      <c r="V119" s="4340"/>
      <c r="W119" s="4340"/>
      <c r="X119" s="4340"/>
      <c r="Y119" s="4340"/>
      <c r="Z119" s="4340"/>
      <c r="AA119" s="4340"/>
    </row>
    <row r="120" spans="1:27" ht="15.75" customHeight="1">
      <c r="A120" s="4317" t="s">
        <v>1662</v>
      </c>
      <c r="B120" s="4311"/>
      <c r="C120" s="4296">
        <f>'11.2. ДА за периода'!G110</f>
        <v>18602.27348</v>
      </c>
      <c r="D120" s="4296">
        <f>'11.2. ДА за периода'!H110</f>
        <v>6330.183</v>
      </c>
      <c r="E120" s="4296">
        <f>'11.2. ДА за периода'!I110</f>
        <v>11863.161889999999</v>
      </c>
      <c r="F120" s="4296">
        <f>'11.2. ДА за периода'!J110</f>
        <v>629.67499999999995</v>
      </c>
      <c r="G120" s="4296">
        <f>'11.2. ДА за периода'!K110</f>
        <v>23580.578719999998</v>
      </c>
      <c r="I120" s="1332" t="s">
        <v>951</v>
      </c>
      <c r="J120" s="1331"/>
      <c r="K120" s="1331"/>
      <c r="L120" s="1331"/>
      <c r="M120" s="1331"/>
      <c r="N120" s="1331"/>
      <c r="O120" s="1331"/>
      <c r="Q120" s="4309"/>
      <c r="S120" s="5637" t="s">
        <v>223</v>
      </c>
      <c r="T120" s="5636" t="s">
        <v>1659</v>
      </c>
      <c r="U120" s="5636"/>
      <c r="V120" s="5636"/>
      <c r="W120" s="5636"/>
      <c r="X120" s="5636"/>
      <c r="Y120" s="5636"/>
      <c r="Z120" s="5603" t="str">
        <f>+"Изменение "&amp;U121&amp;" спр. "&amp;T121</f>
        <v>Изменение 2027 г. спр. 2024 г.</v>
      </c>
      <c r="AA120" s="5603" t="str">
        <f>+"Изменение "&amp;Y121&amp;" спр. "&amp;T121</f>
        <v>Изменение 2031 г. спр. 2024 г.</v>
      </c>
    </row>
    <row r="121" spans="1:27" ht="15.75" customHeight="1">
      <c r="A121" s="4299" t="s">
        <v>174</v>
      </c>
      <c r="B121" s="3579">
        <f t="shared" ref="B121:G121" si="137">B34</f>
        <v>42059.709390000025</v>
      </c>
      <c r="C121" s="3579">
        <f t="shared" si="137"/>
        <v>42533.653370000029</v>
      </c>
      <c r="D121" s="3579">
        <f t="shared" si="137"/>
        <v>42533.653370000029</v>
      </c>
      <c r="E121" s="3579">
        <f t="shared" si="137"/>
        <v>42533.653370000029</v>
      </c>
      <c r="F121" s="3579">
        <f t="shared" si="137"/>
        <v>42533.653370000029</v>
      </c>
      <c r="G121" s="3579">
        <f t="shared" si="137"/>
        <v>42533.653370000029</v>
      </c>
      <c r="I121" s="4282" t="s">
        <v>1620</v>
      </c>
      <c r="J121" s="4283" t="str">
        <f>+'15. ОПП'!$C$7</f>
        <v>2027 г.</v>
      </c>
      <c r="K121" s="4283" t="str">
        <f>+'15. ОПП'!$D$7</f>
        <v>2028 г.</v>
      </c>
      <c r="L121" s="4283" t="str">
        <f>+'15. ОПП'!$E$7</f>
        <v>2029 г.</v>
      </c>
      <c r="M121" s="4283" t="str">
        <f>+'15. ОПП'!$F$7</f>
        <v>2030 г.</v>
      </c>
      <c r="N121" s="4283" t="str">
        <f>+'15. ОПП'!$G$7</f>
        <v>2031 г.</v>
      </c>
      <c r="O121" s="4283" t="s">
        <v>1621</v>
      </c>
      <c r="Q121" s="4309"/>
      <c r="S121" s="5638"/>
      <c r="T121" s="4279" t="str">
        <f t="shared" ref="T121:Y121" si="138">T46</f>
        <v>2024 г.</v>
      </c>
      <c r="U121" s="4279" t="str">
        <f t="shared" si="138"/>
        <v>2027 г.</v>
      </c>
      <c r="V121" s="4279" t="str">
        <f t="shared" si="138"/>
        <v>2028 г.</v>
      </c>
      <c r="W121" s="4279" t="str">
        <f t="shared" si="138"/>
        <v>2029 г.</v>
      </c>
      <c r="X121" s="4279" t="str">
        <f t="shared" si="138"/>
        <v>2030 г.</v>
      </c>
      <c r="Y121" s="4279" t="str">
        <f t="shared" si="138"/>
        <v>2031 г.</v>
      </c>
      <c r="Z121" s="5603"/>
      <c r="AA121" s="5603"/>
    </row>
    <row r="122" spans="1:27" ht="15.75" customHeight="1">
      <c r="A122" s="4317" t="s">
        <v>1662</v>
      </c>
      <c r="B122" s="4311"/>
      <c r="C122" s="4296">
        <f>'11.2. ДА за периода'!N110</f>
        <v>0</v>
      </c>
      <c r="D122" s="4296">
        <f>'11.2. ДА за периода'!O110</f>
        <v>0</v>
      </c>
      <c r="E122" s="4296">
        <f>'11.2. ДА за периода'!P110</f>
        <v>0</v>
      </c>
      <c r="F122" s="4296">
        <f>'11.2. ДА за периода'!Q110</f>
        <v>0</v>
      </c>
      <c r="G122" s="4296">
        <f>'11.2. ДА за периода'!R110</f>
        <v>0</v>
      </c>
      <c r="I122" s="4330" t="s">
        <v>1615</v>
      </c>
      <c r="J122" s="4303">
        <f>'9.Инвестиционна програма'!I152</f>
        <v>1066</v>
      </c>
      <c r="K122" s="4303">
        <f>'9.Инвестиционна програма'!J152</f>
        <v>916.00000000000011</v>
      </c>
      <c r="L122" s="4303">
        <f>'9.Инвестиционна програма'!K152</f>
        <v>942</v>
      </c>
      <c r="M122" s="4303">
        <f>'9.Инвестиционна програма'!L152</f>
        <v>978</v>
      </c>
      <c r="N122" s="4303">
        <f>'9.Инвестиционна програма'!M152</f>
        <v>966.00000000000011</v>
      </c>
      <c r="O122" s="4303">
        <f t="shared" ref="O122:O124" si="139">SUM(J122:N122)</f>
        <v>4868</v>
      </c>
      <c r="Q122" s="4309"/>
      <c r="S122" s="4294" t="s">
        <v>226</v>
      </c>
      <c r="T122" s="3579">
        <f t="shared" ref="T122:Y131" si="140">T5+T26+T47+T78+T102</f>
        <v>3421.7032156622008</v>
      </c>
      <c r="U122" s="3579">
        <f t="shared" si="140"/>
        <v>4117.6217177812341</v>
      </c>
      <c r="V122" s="3579">
        <f t="shared" si="140"/>
        <v>4069.6496259655569</v>
      </c>
      <c r="W122" s="3579">
        <f t="shared" si="140"/>
        <v>4018.7513154180269</v>
      </c>
      <c r="X122" s="3579">
        <f t="shared" si="140"/>
        <v>3949.5578077659106</v>
      </c>
      <c r="Y122" s="3579">
        <f t="shared" si="140"/>
        <v>3854.7011779155341</v>
      </c>
      <c r="Z122" s="4292">
        <f>IFERROR((U122-T122)/T122,0)</f>
        <v>0.20338365377032047</v>
      </c>
      <c r="AA122" s="4292">
        <f>IFERROR((Y122-T122)/T122,0)</f>
        <v>0.12654457004668518</v>
      </c>
    </row>
    <row r="123" spans="1:27" ht="15.75" customHeight="1">
      <c r="A123" s="4299" t="s">
        <v>184</v>
      </c>
      <c r="B123" s="3579">
        <f t="shared" ref="B123:G123" si="141">B52</f>
        <v>34653.271649999995</v>
      </c>
      <c r="C123" s="3579">
        <f t="shared" si="141"/>
        <v>40053.271649999995</v>
      </c>
      <c r="D123" s="3579">
        <f t="shared" si="141"/>
        <v>40053.271649999995</v>
      </c>
      <c r="E123" s="3579">
        <f t="shared" si="141"/>
        <v>40053.271649999995</v>
      </c>
      <c r="F123" s="3579">
        <f t="shared" si="141"/>
        <v>40053.271649999995</v>
      </c>
      <c r="G123" s="3579">
        <f t="shared" si="141"/>
        <v>40053.271649999995</v>
      </c>
      <c r="I123" s="4295" t="s">
        <v>1622</v>
      </c>
      <c r="J123" s="4296">
        <f>'10. Финансиране на ИП'!AT18</f>
        <v>1066</v>
      </c>
      <c r="K123" s="4296">
        <f>'10. Финансиране на ИП'!AU18</f>
        <v>916.00000000000011</v>
      </c>
      <c r="L123" s="4296">
        <f>'10. Финансиране на ИП'!AV18</f>
        <v>942</v>
      </c>
      <c r="M123" s="4296">
        <f>'10. Финансиране на ИП'!AW18</f>
        <v>978</v>
      </c>
      <c r="N123" s="4296">
        <f>'10. Финансиране на ИП'!AX18</f>
        <v>966.00000000000011</v>
      </c>
      <c r="O123" s="4328">
        <f t="shared" si="139"/>
        <v>4868</v>
      </c>
      <c r="Q123" s="4309"/>
      <c r="S123" s="4294" t="s">
        <v>239</v>
      </c>
      <c r="T123" s="3579">
        <f t="shared" si="140"/>
        <v>1146.4083461228829</v>
      </c>
      <c r="U123" s="3579">
        <f t="shared" si="140"/>
        <v>1290.5629670248661</v>
      </c>
      <c r="V123" s="3579">
        <f t="shared" si="140"/>
        <v>1293.3627871310571</v>
      </c>
      <c r="W123" s="3579">
        <f t="shared" si="140"/>
        <v>1287.8096371541146</v>
      </c>
      <c r="X123" s="3579">
        <f t="shared" si="140"/>
        <v>1294.269736851292</v>
      </c>
      <c r="Y123" s="3579">
        <f t="shared" si="140"/>
        <v>1289.1407304796089</v>
      </c>
      <c r="Z123" s="4292">
        <f t="shared" ref="Z123:Z138" si="142">IFERROR((U123-T123)/T123,0)</f>
        <v>0.12574456683738358</v>
      </c>
      <c r="AA123" s="4292">
        <f t="shared" ref="AA123:AA138" si="143">IFERROR((Y123-T123)/T123,0)</f>
        <v>0.12450396478658103</v>
      </c>
    </row>
    <row r="124" spans="1:27" ht="15.75" customHeight="1">
      <c r="A124" s="4317" t="s">
        <v>1662</v>
      </c>
      <c r="B124" s="4311"/>
      <c r="C124" s="4296">
        <f>'11.2. ДА за периода'!U110</f>
        <v>0</v>
      </c>
      <c r="D124" s="4296">
        <f>'11.2. ДА за периода'!V110</f>
        <v>0</v>
      </c>
      <c r="E124" s="4296">
        <f>'11.2. ДА за периода'!W110</f>
        <v>0</v>
      </c>
      <c r="F124" s="4296">
        <f>'11.2. ДА за периода'!X110</f>
        <v>0</v>
      </c>
      <c r="G124" s="4296">
        <f>'11.2. ДА за периода'!Y110</f>
        <v>0</v>
      </c>
      <c r="I124" s="4295" t="s">
        <v>1625</v>
      </c>
      <c r="J124" s="4296">
        <f>'10. Финансиране на ИП'!AT19</f>
        <v>0</v>
      </c>
      <c r="K124" s="4296">
        <f>'10. Финансиране на ИП'!AU19</f>
        <v>0</v>
      </c>
      <c r="L124" s="4296">
        <f>'10. Финансиране на ИП'!AV19</f>
        <v>0</v>
      </c>
      <c r="M124" s="4296">
        <f>'10. Финансиране на ИП'!AW19</f>
        <v>0</v>
      </c>
      <c r="N124" s="4296">
        <f>'10. Финансиране на ИП'!AX19</f>
        <v>0</v>
      </c>
      <c r="O124" s="4328">
        <f t="shared" si="139"/>
        <v>0</v>
      </c>
      <c r="Q124" s="4309"/>
      <c r="S124" s="4294" t="s">
        <v>446</v>
      </c>
      <c r="T124" s="3579">
        <f t="shared" si="140"/>
        <v>1118.8810027941838</v>
      </c>
      <c r="U124" s="3579">
        <f t="shared" si="140"/>
        <v>1389.4438090365791</v>
      </c>
      <c r="V124" s="3579">
        <f t="shared" si="140"/>
        <v>1244.6638090365791</v>
      </c>
      <c r="W124" s="3579">
        <f t="shared" si="140"/>
        <v>1193.2084374018514</v>
      </c>
      <c r="X124" s="3579">
        <f t="shared" si="140"/>
        <v>1209.0361306511709</v>
      </c>
      <c r="Y124" s="3579">
        <f t="shared" si="140"/>
        <v>1202.956130651171</v>
      </c>
      <c r="Z124" s="4292">
        <f t="shared" si="142"/>
        <v>0.24181553316815479</v>
      </c>
      <c r="AA124" s="4292">
        <f t="shared" si="143"/>
        <v>7.5142153318383406E-2</v>
      </c>
    </row>
    <row r="125" spans="1:27" ht="15.75" customHeight="1">
      <c r="A125" s="4299" t="s">
        <v>1029</v>
      </c>
      <c r="B125" s="3579">
        <f t="shared" ref="B125:G125" si="144">B70</f>
        <v>0</v>
      </c>
      <c r="C125" s="3579">
        <f t="shared" si="144"/>
        <v>0</v>
      </c>
      <c r="D125" s="3579">
        <f t="shared" si="144"/>
        <v>0</v>
      </c>
      <c r="E125" s="3579">
        <f t="shared" si="144"/>
        <v>0</v>
      </c>
      <c r="F125" s="3579">
        <f t="shared" si="144"/>
        <v>0</v>
      </c>
      <c r="G125" s="3579">
        <f t="shared" si="144"/>
        <v>0</v>
      </c>
      <c r="I125" s="1332"/>
      <c r="J125" s="4347"/>
      <c r="K125" s="4347"/>
      <c r="L125" s="4347"/>
      <c r="M125" s="4347"/>
      <c r="N125" s="4347"/>
      <c r="O125" s="4348"/>
      <c r="Q125" s="4309"/>
      <c r="S125" s="4313" t="s">
        <v>447</v>
      </c>
      <c r="T125" s="3579">
        <f t="shared" si="140"/>
        <v>110.40675279418373</v>
      </c>
      <c r="U125" s="3579">
        <f t="shared" si="140"/>
        <v>211.47613065117096</v>
      </c>
      <c r="V125" s="3579">
        <f t="shared" si="140"/>
        <v>216.69613065117093</v>
      </c>
      <c r="W125" s="3579">
        <f t="shared" si="140"/>
        <v>223.21613065117089</v>
      </c>
      <c r="X125" s="3579">
        <f t="shared" si="140"/>
        <v>231.03613065117094</v>
      </c>
      <c r="Y125" s="3579">
        <f t="shared" si="140"/>
        <v>236.95613065117095</v>
      </c>
      <c r="Z125" s="4292">
        <f t="shared" si="142"/>
        <v>0.91542750148079355</v>
      </c>
      <c r="AA125" s="4292">
        <f t="shared" si="143"/>
        <v>1.146210486716297</v>
      </c>
    </row>
    <row r="126" spans="1:27" ht="15.75" customHeight="1">
      <c r="A126" s="4317" t="s">
        <v>1662</v>
      </c>
      <c r="B126" s="4311"/>
      <c r="C126" s="4296">
        <f>'11.2. ДА за периода'!AB110</f>
        <v>0</v>
      </c>
      <c r="D126" s="4296">
        <f>'11.2. ДА за периода'!AC110</f>
        <v>0</v>
      </c>
      <c r="E126" s="4296">
        <f>'11.2. ДА за периода'!AD110</f>
        <v>0</v>
      </c>
      <c r="F126" s="4296">
        <f>'11.2. ДА за периода'!AE110</f>
        <v>0</v>
      </c>
      <c r="G126" s="4296">
        <f>'11.2. ДА за периода'!AF110</f>
        <v>0</v>
      </c>
      <c r="I126" s="4282" t="s">
        <v>1620</v>
      </c>
      <c r="J126" s="4283" t="str">
        <f>+'15. ОПП'!$C$7</f>
        <v>2027 г.</v>
      </c>
      <c r="K126" s="4283" t="str">
        <f>+'15. ОПП'!$D$7</f>
        <v>2028 г.</v>
      </c>
      <c r="L126" s="4283" t="str">
        <f>+'15. ОПП'!$E$7</f>
        <v>2029 г.</v>
      </c>
      <c r="M126" s="4283" t="str">
        <f>+'15. ОПП'!$F$7</f>
        <v>2030 г.</v>
      </c>
      <c r="N126" s="4283" t="str">
        <f>+'15. ОПП'!$G$7</f>
        <v>2031 г.</v>
      </c>
      <c r="O126" s="4283" t="s">
        <v>1621</v>
      </c>
      <c r="Q126" s="4309"/>
      <c r="S126" s="4300" t="s">
        <v>736</v>
      </c>
      <c r="T126" s="3579">
        <f t="shared" si="140"/>
        <v>152.90377000000004</v>
      </c>
      <c r="U126" s="3579">
        <f t="shared" si="140"/>
        <v>308.00689020000004</v>
      </c>
      <c r="V126" s="3579">
        <f t="shared" si="140"/>
        <v>349.44689019999998</v>
      </c>
      <c r="W126" s="3579">
        <f t="shared" si="140"/>
        <v>388.82689020000009</v>
      </c>
      <c r="X126" s="3579">
        <f t="shared" si="140"/>
        <v>429.98689020000012</v>
      </c>
      <c r="Y126" s="3579">
        <f t="shared" si="140"/>
        <v>471.18689020000011</v>
      </c>
      <c r="Z126" s="4292">
        <f t="shared" si="142"/>
        <v>1.0143838847138953</v>
      </c>
      <c r="AA126" s="4292">
        <f t="shared" si="143"/>
        <v>2.081591056911154</v>
      </c>
    </row>
    <row r="127" spans="1:27" ht="15.75" customHeight="1">
      <c r="A127" s="4299" t="s">
        <v>1092</v>
      </c>
      <c r="B127" s="3579">
        <f t="shared" ref="B127:G127" si="145">B94</f>
        <v>1811.4277347508857</v>
      </c>
      <c r="C127" s="3579">
        <f t="shared" si="145"/>
        <v>1811.4277347508857</v>
      </c>
      <c r="D127" s="3579">
        <f t="shared" si="145"/>
        <v>1811.4277347508857</v>
      </c>
      <c r="E127" s="3579">
        <f t="shared" si="145"/>
        <v>1811.4277347508857</v>
      </c>
      <c r="F127" s="3579">
        <f t="shared" si="145"/>
        <v>1811.4277347508857</v>
      </c>
      <c r="G127" s="3579">
        <f t="shared" si="145"/>
        <v>1811.4277347508857</v>
      </c>
      <c r="I127" s="3445" t="s">
        <v>1622</v>
      </c>
      <c r="J127" s="3579">
        <f>J123</f>
        <v>1066</v>
      </c>
      <c r="K127" s="3579">
        <f t="shared" ref="K127:N127" si="146">K123</f>
        <v>916.00000000000011</v>
      </c>
      <c r="L127" s="3579">
        <f t="shared" si="146"/>
        <v>942</v>
      </c>
      <c r="M127" s="3579">
        <f t="shared" si="146"/>
        <v>978</v>
      </c>
      <c r="N127" s="3579">
        <f t="shared" si="146"/>
        <v>966.00000000000011</v>
      </c>
      <c r="O127" s="3703">
        <f t="shared" ref="O127:O128" si="147">SUM(J127:N127)</f>
        <v>4868</v>
      </c>
      <c r="Q127" s="4309"/>
      <c r="S127" s="4300" t="s">
        <v>737</v>
      </c>
      <c r="T127" s="3579">
        <f t="shared" si="140"/>
        <v>855.57048000000009</v>
      </c>
      <c r="U127" s="3579">
        <f t="shared" si="140"/>
        <v>869.96078818540809</v>
      </c>
      <c r="V127" s="3579">
        <f t="shared" si="140"/>
        <v>678.52078818540815</v>
      </c>
      <c r="W127" s="3579">
        <f t="shared" si="140"/>
        <v>581.16541655068045</v>
      </c>
      <c r="X127" s="3579">
        <f t="shared" si="140"/>
        <v>548.01310979999971</v>
      </c>
      <c r="Y127" s="3579">
        <f t="shared" si="140"/>
        <v>494.81310979999995</v>
      </c>
      <c r="Z127" s="4292">
        <f t="shared" si="142"/>
        <v>1.681954733338626E-2</v>
      </c>
      <c r="AA127" s="4292">
        <f t="shared" si="143"/>
        <v>-0.4216571032231034</v>
      </c>
    </row>
    <row r="128" spans="1:27" ht="15.75" customHeight="1">
      <c r="A128" s="4317" t="s">
        <v>1662</v>
      </c>
      <c r="B128" s="4311"/>
      <c r="C128" s="4296">
        <f>'11.2. ДА за периода'!AI110</f>
        <v>0</v>
      </c>
      <c r="D128" s="4296">
        <f>'11.2. ДА за периода'!AJ110</f>
        <v>0</v>
      </c>
      <c r="E128" s="4296">
        <f>'11.2. ДА за периода'!AK110</f>
        <v>0</v>
      </c>
      <c r="F128" s="4296">
        <f>'11.2. ДА за периода'!AL110</f>
        <v>0</v>
      </c>
      <c r="G128" s="4296">
        <f>'11.2. ДА за периода'!AM110</f>
        <v>0</v>
      </c>
      <c r="I128" s="4331" t="s">
        <v>1626</v>
      </c>
      <c r="J128" s="3579">
        <f>'10. Финансиране на ИП'!AT24</f>
        <v>111.96767838540809</v>
      </c>
      <c r="K128" s="3579">
        <f>'10. Финансиране на ИП'!AU24</f>
        <v>111.96767838540809</v>
      </c>
      <c r="L128" s="3579">
        <f>'10. Финансиране на ИП'!AV24</f>
        <v>27.992306750680534</v>
      </c>
      <c r="M128" s="3579">
        <f>'10. Финансиране на ИП'!AW24</f>
        <v>0</v>
      </c>
      <c r="N128" s="3579">
        <f>'10. Финансиране на ИП'!AX24</f>
        <v>0</v>
      </c>
      <c r="O128" s="3703">
        <f t="shared" si="147"/>
        <v>251.92766352149673</v>
      </c>
      <c r="Q128" s="4309"/>
      <c r="S128" s="4349" t="s">
        <v>448</v>
      </c>
      <c r="T128" s="3579">
        <f t="shared" si="140"/>
        <v>6276.8459204440032</v>
      </c>
      <c r="U128" s="3579">
        <f t="shared" si="140"/>
        <v>9363.3918098351041</v>
      </c>
      <c r="V128" s="3579">
        <f t="shared" si="140"/>
        <v>10606.058050268859</v>
      </c>
      <c r="W128" s="3579">
        <f t="shared" si="140"/>
        <v>12058.735049094534</v>
      </c>
      <c r="X128" s="3579">
        <f t="shared" si="140"/>
        <v>13719.990618084381</v>
      </c>
      <c r="Y128" s="3579">
        <f t="shared" si="140"/>
        <v>15614.926858554705</v>
      </c>
      <c r="Z128" s="4292">
        <f t="shared" si="142"/>
        <v>0.4917351689863958</v>
      </c>
      <c r="AA128" s="4292">
        <f t="shared" si="143"/>
        <v>1.4877027501497373</v>
      </c>
    </row>
    <row r="129" spans="1:42" ht="15.75" customHeight="1">
      <c r="A129" s="4293" t="s">
        <v>1659</v>
      </c>
      <c r="B129" s="3703">
        <f>SUM(B119,B121,B123,B125,B127)</f>
        <v>135466.67067999998</v>
      </c>
      <c r="C129" s="3703">
        <f t="shared" ref="C129:G129" si="148">SUM(C119,C121,C123,C125,C127)</f>
        <v>169381.9269854</v>
      </c>
      <c r="D129" s="3703">
        <f t="shared" si="148"/>
        <v>175712.10998540002</v>
      </c>
      <c r="E129" s="3703">
        <f t="shared" si="148"/>
        <v>187575.27187540001</v>
      </c>
      <c r="F129" s="3703">
        <f t="shared" si="148"/>
        <v>188204.9468754</v>
      </c>
      <c r="G129" s="3703">
        <f t="shared" si="148"/>
        <v>211785.52559539999</v>
      </c>
      <c r="I129" s="3453" t="s">
        <v>1647</v>
      </c>
      <c r="J129" s="4303">
        <f>SUM(J127:J128)</f>
        <v>1177.9676783854081</v>
      </c>
      <c r="K129" s="4303">
        <f t="shared" ref="K129:N129" si="149">SUM(K127:K128)</f>
        <v>1027.9676783854081</v>
      </c>
      <c r="L129" s="4303">
        <f t="shared" si="149"/>
        <v>969.99230675068054</v>
      </c>
      <c r="M129" s="4303">
        <f t="shared" si="149"/>
        <v>978</v>
      </c>
      <c r="N129" s="4303">
        <f t="shared" si="149"/>
        <v>966.00000000000011</v>
      </c>
      <c r="O129" s="4303">
        <f>SUM(J129:N129)</f>
        <v>5119.9276635214974</v>
      </c>
      <c r="Q129" s="4309"/>
      <c r="S129" s="4294" t="s">
        <v>449</v>
      </c>
      <c r="T129" s="3579">
        <f t="shared" si="140"/>
        <v>1657.8527224573436</v>
      </c>
      <c r="U129" s="3579">
        <f t="shared" si="140"/>
        <v>2562.3353221269631</v>
      </c>
      <c r="V129" s="3579">
        <f t="shared" si="140"/>
        <v>2950.1833868549147</v>
      </c>
      <c r="W129" s="3579">
        <f t="shared" si="140"/>
        <v>3335.1636527675928</v>
      </c>
      <c r="X129" s="3579">
        <f t="shared" si="140"/>
        <v>3725.1882114592436</v>
      </c>
      <c r="Y129" s="3579">
        <f t="shared" si="140"/>
        <v>4116.1997365060515</v>
      </c>
      <c r="Z129" s="4292">
        <f t="shared" si="142"/>
        <v>0.54557475909497855</v>
      </c>
      <c r="AA129" s="4292">
        <f t="shared" si="143"/>
        <v>1.4828500630652135</v>
      </c>
    </row>
    <row r="130" spans="1:42" ht="15.75" customHeight="1">
      <c r="I130" s="3453" t="s">
        <v>1627</v>
      </c>
      <c r="J130" s="4303">
        <f>'12. Разходи'!AX57</f>
        <v>308.00689020000004</v>
      </c>
      <c r="K130" s="4303">
        <f>'12. Разходи'!AY57</f>
        <v>349.44689019999998</v>
      </c>
      <c r="L130" s="4303">
        <f>'12. Разходи'!AZ57</f>
        <v>388.82689020000009</v>
      </c>
      <c r="M130" s="4303">
        <f>'12. Разходи'!BA57</f>
        <v>429.98689020000012</v>
      </c>
      <c r="N130" s="4303">
        <f>'12. Разходи'!BB57</f>
        <v>471.18689020000011</v>
      </c>
      <c r="O130" s="4303">
        <f t="shared" ref="O130:O135" si="150">SUM(J130:N130)</f>
        <v>1947.4544510000003</v>
      </c>
      <c r="Q130" s="4309"/>
      <c r="S130" s="4294" t="s">
        <v>450</v>
      </c>
      <c r="T130" s="3579">
        <f t="shared" si="140"/>
        <v>638.9067586306287</v>
      </c>
      <c r="U130" s="3579">
        <f t="shared" si="140"/>
        <v>678.8216703811064</v>
      </c>
      <c r="V130" s="3579">
        <f t="shared" si="140"/>
        <v>676.82173104210642</v>
      </c>
      <c r="W130" s="3579">
        <f t="shared" si="140"/>
        <v>674.22655231438375</v>
      </c>
      <c r="X130" s="3579">
        <f t="shared" si="140"/>
        <v>670.63644687389501</v>
      </c>
      <c r="Y130" s="3579">
        <f t="shared" si="140"/>
        <v>665.35503916766174</v>
      </c>
      <c r="Z130" s="4292">
        <f t="shared" si="142"/>
        <v>6.247376665106421E-2</v>
      </c>
      <c r="AA130" s="4292">
        <f t="shared" si="143"/>
        <v>4.1396150815057493E-2</v>
      </c>
    </row>
    <row r="131" spans="1:42" ht="15.75" customHeight="1">
      <c r="I131" s="4350" t="s">
        <v>1628</v>
      </c>
      <c r="J131" s="4296">
        <f>J130-J129</f>
        <v>-869.96078818540809</v>
      </c>
      <c r="K131" s="4296">
        <f>K130-K129</f>
        <v>-678.52078818540815</v>
      </c>
      <c r="L131" s="4296">
        <f>L130-L129</f>
        <v>-581.16541655068045</v>
      </c>
      <c r="M131" s="4296">
        <f>M130-M129</f>
        <v>-548.01310979999994</v>
      </c>
      <c r="N131" s="4296">
        <f>N130-N129</f>
        <v>-494.81310980000001</v>
      </c>
      <c r="O131" s="4328">
        <f t="shared" si="150"/>
        <v>-3172.4732125214964</v>
      </c>
      <c r="Q131" s="4309"/>
      <c r="S131" s="4294" t="s">
        <v>267</v>
      </c>
      <c r="T131" s="3579">
        <f t="shared" si="140"/>
        <v>98.427822231070991</v>
      </c>
      <c r="U131" s="3579">
        <f t="shared" si="140"/>
        <v>108.07694655021079</v>
      </c>
      <c r="V131" s="3579">
        <f t="shared" si="140"/>
        <v>108.07694655021079</v>
      </c>
      <c r="W131" s="3579">
        <f t="shared" si="140"/>
        <v>108.07694655021079</v>
      </c>
      <c r="X131" s="3579">
        <f t="shared" si="140"/>
        <v>108.07694655021079</v>
      </c>
      <c r="Y131" s="3579">
        <f t="shared" si="140"/>
        <v>108.07694655021079</v>
      </c>
      <c r="Z131" s="4292">
        <f t="shared" si="142"/>
        <v>9.8032488176842292E-2</v>
      </c>
      <c r="AA131" s="4292">
        <f t="shared" si="143"/>
        <v>9.8032488176842292E-2</v>
      </c>
    </row>
    <row r="132" spans="1:42" ht="15.75" customHeight="1">
      <c r="I132" s="3453" t="s">
        <v>1629</v>
      </c>
      <c r="J132" s="4303">
        <f>'11. Амортиз. план'!G214+'11. Амортиз. план'!N214+'11. Амортиз. план'!U214+'11. Амортиз. план'!AB214+'11. Амортиз. план'!AI214</f>
        <v>3591.9717661079985</v>
      </c>
      <c r="K132" s="4303">
        <f>'11. Амортиз. план'!H214+'11. Амортиз. план'!O214+'11. Амортиз. план'!V214+'11. Амортиз. план'!AC214+'11. Амортиз. план'!AJ214</f>
        <v>3718.5754261079983</v>
      </c>
      <c r="L132" s="4303">
        <f>'11. Амортиз. план'!I214+'11. Амортиз. план'!P214+'11. Амортиз. план'!W214+'11. Амортиз. план'!AD214+'11. Амортиз. план'!AK214</f>
        <v>3955.8386639079981</v>
      </c>
      <c r="M132" s="4303">
        <f>'11. Амортиз. план'!J214+'11. Амортиз. план'!Q214+'11. Амортиз. план'!X214+'11. Амортиз. план'!AE214+'11. Амортиз. план'!AL214</f>
        <v>3968.4321639079981</v>
      </c>
      <c r="N132" s="4303">
        <f>'11. Амортиз. план'!K214+'11. Амортиз. план'!R214+'11. Амортиз. план'!Y214+'11. Амортиз. план'!AF214+'11. Амортиз. план'!AM214</f>
        <v>4440.043738307998</v>
      </c>
      <c r="O132" s="4303">
        <f t="shared" si="150"/>
        <v>19674.86175833999</v>
      </c>
      <c r="Q132" s="4309"/>
      <c r="S132" s="4302" t="s">
        <v>277</v>
      </c>
      <c r="T132" s="4303">
        <f>SUM(T122:T124,T128:T131)</f>
        <v>14359.025788342313</v>
      </c>
      <c r="U132" s="4303">
        <f t="shared" ref="U132" si="151">SUM(U122:U124,U128:U131)</f>
        <v>19510.254242736064</v>
      </c>
      <c r="V132" s="4303">
        <f t="shared" ref="V132" si="152">SUM(V122:V124,V128:V131)</f>
        <v>20948.816336849286</v>
      </c>
      <c r="W132" s="4303">
        <f t="shared" ref="W132" si="153">SUM(W122:W124,W128:W131)</f>
        <v>22675.971590700712</v>
      </c>
      <c r="X132" s="4303">
        <f t="shared" ref="X132" si="154">SUM(X122:X124,X128:X131)</f>
        <v>24676.755898236108</v>
      </c>
      <c r="Y132" s="4303">
        <f t="shared" ref="Y132" si="155">SUM(Y122:Y124,Y128:Y131)</f>
        <v>26851.356619824946</v>
      </c>
      <c r="Z132" s="4304">
        <f t="shared" si="142"/>
        <v>0.35874498244692116</v>
      </c>
      <c r="AA132" s="4304">
        <f t="shared" si="143"/>
        <v>0.86999849541497476</v>
      </c>
    </row>
    <row r="133" spans="1:42" ht="15.75" customHeight="1">
      <c r="I133" s="3453" t="s">
        <v>1630</v>
      </c>
      <c r="J133" s="4303">
        <f>'10. Финансиране на ИП'!AT31</f>
        <v>869.96078818540809</v>
      </c>
      <c r="K133" s="4303">
        <f>'10. Финансиране на ИП'!AU31</f>
        <v>678.52078818540815</v>
      </c>
      <c r="L133" s="4303">
        <f>'10. Финансиране на ИП'!AV31</f>
        <v>581.16541655068045</v>
      </c>
      <c r="M133" s="4303">
        <f>'10. Финансиране на ИП'!AW31</f>
        <v>548.01310979999971</v>
      </c>
      <c r="N133" s="4303">
        <f>'10. Финансиране на ИП'!AX31</f>
        <v>494.81310979999995</v>
      </c>
      <c r="O133" s="4303">
        <f t="shared" si="150"/>
        <v>3172.473212521496</v>
      </c>
      <c r="Q133" s="4309"/>
      <c r="S133" s="4310" t="str">
        <f>CONCATENATE("Спестявания и увеличения спрямо ",T121," - нето:")</f>
        <v>Спестявания и увеличения спрямо 2024 г. - нето:</v>
      </c>
      <c r="T133" s="4311"/>
      <c r="U133" s="4310">
        <f>U132-$T132</f>
        <v>5151.2284543937512</v>
      </c>
      <c r="V133" s="4310">
        <f t="shared" ref="V133" si="156">V132-$T132</f>
        <v>6589.7905485069732</v>
      </c>
      <c r="W133" s="4310">
        <f t="shared" ref="W133" si="157">W132-$T132</f>
        <v>8316.9458023583993</v>
      </c>
      <c r="X133" s="4310">
        <f t="shared" ref="X133" si="158">X132-$T132</f>
        <v>10317.730109893795</v>
      </c>
      <c r="Y133" s="4310">
        <f t="shared" ref="Y133" si="159">Y132-$T132</f>
        <v>12492.330831482634</v>
      </c>
      <c r="Z133" s="4311"/>
      <c r="AA133" s="4311"/>
    </row>
    <row r="134" spans="1:42" ht="15.75" customHeight="1">
      <c r="I134" s="3453" t="s">
        <v>1631</v>
      </c>
      <c r="J134" s="4304">
        <f t="shared" ref="J134:O134" si="160">IFERROR(J133/J132,0)</f>
        <v>0.24219588705955639</v>
      </c>
      <c r="K134" s="4304">
        <f t="shared" si="160"/>
        <v>0.18246793743150549</v>
      </c>
      <c r="L134" s="4304">
        <f t="shared" si="160"/>
        <v>0.14691332633281445</v>
      </c>
      <c r="M134" s="4304">
        <f t="shared" si="160"/>
        <v>0.13809310255673671</v>
      </c>
      <c r="N134" s="4304">
        <f t="shared" si="160"/>
        <v>0.11144329627450072</v>
      </c>
      <c r="O134" s="4304">
        <f t="shared" si="160"/>
        <v>0.16124500652090804</v>
      </c>
      <c r="Q134" s="4309"/>
      <c r="S134" s="4294" t="s">
        <v>1668</v>
      </c>
      <c r="T134" s="3579">
        <f>T17+T38+T59+T90+T114</f>
        <v>9511.551730436564</v>
      </c>
      <c r="U134" s="3579">
        <f t="shared" ref="U134:Y134" si="161">U17+U38+U59+U90+U114</f>
        <v>13069.617651962964</v>
      </c>
      <c r="V134" s="3579">
        <f t="shared" si="161"/>
        <v>14075.488074856947</v>
      </c>
      <c r="W134" s="3579">
        <f t="shared" si="161"/>
        <v>15173.953608660588</v>
      </c>
      <c r="X134" s="3579">
        <f t="shared" si="161"/>
        <v>16396.343356521156</v>
      </c>
      <c r="Y134" s="3579">
        <f t="shared" si="161"/>
        <v>17726.899277907793</v>
      </c>
      <c r="Z134" s="4292">
        <f t="shared" ref="Z134" si="162">IFERROR((U134-T134)/T134,0)</f>
        <v>0.37407838619441447</v>
      </c>
      <c r="AA134" s="4292">
        <f t="shared" ref="AA134" si="163">IFERROR((Y134-T134)/T134,0)</f>
        <v>0.86372316319139208</v>
      </c>
    </row>
    <row r="135" spans="1:42" ht="15.75" customHeight="1">
      <c r="I135" s="4350" t="s">
        <v>1646</v>
      </c>
      <c r="J135" s="4296">
        <f>J133+J131</f>
        <v>0</v>
      </c>
      <c r="K135" s="4296">
        <f>K133+K131</f>
        <v>0</v>
      </c>
      <c r="L135" s="4296">
        <f>L133+L131</f>
        <v>0</v>
      </c>
      <c r="M135" s="4296">
        <f>M133+M131</f>
        <v>0</v>
      </c>
      <c r="N135" s="4296">
        <f>N133+N131</f>
        <v>0</v>
      </c>
      <c r="O135" s="4328">
        <f t="shared" si="150"/>
        <v>0</v>
      </c>
      <c r="Q135" s="4309"/>
      <c r="S135" s="4294" t="s">
        <v>1670</v>
      </c>
      <c r="T135" s="3579">
        <f t="shared" ref="T135:Y136" si="164">T18+T39+T60+T91+T115</f>
        <v>3728.5930551115662</v>
      </c>
      <c r="U135" s="3579">
        <f t="shared" si="164"/>
        <v>5051.1927817365195</v>
      </c>
      <c r="V135" s="3579">
        <f t="shared" si="164"/>
        <v>5628.6644529557589</v>
      </c>
      <c r="W135" s="3579">
        <f t="shared" si="164"/>
        <v>6308.8095446382758</v>
      </c>
      <c r="X135" s="3579">
        <f t="shared" si="164"/>
        <v>7071.3764110637812</v>
      </c>
      <c r="Y135" s="3579">
        <f t="shared" si="164"/>
        <v>7921.501211265977</v>
      </c>
      <c r="Z135" s="4292">
        <f t="shared" ref="Z135" si="165">IFERROR((U135-T135)/T135,0)</f>
        <v>0.35471817575044501</v>
      </c>
      <c r="AA135" s="4292">
        <f t="shared" ref="AA135" si="166">IFERROR((Y135-T135)/T135,0)</f>
        <v>1.1245282320113508</v>
      </c>
      <c r="AC135" s="3347"/>
      <c r="AD135" s="11"/>
      <c r="AK135" s="4281"/>
      <c r="AP135" s="11"/>
    </row>
    <row r="136" spans="1:42" ht="15.75" customHeight="1">
      <c r="Q136" s="4309"/>
      <c r="S136" s="4313" t="s">
        <v>1669</v>
      </c>
      <c r="T136" s="3579">
        <f t="shared" si="164"/>
        <v>1038.9350702772599</v>
      </c>
      <c r="U136" s="3579">
        <f t="shared" si="164"/>
        <v>1367.1462330990987</v>
      </c>
      <c r="V136" s="3579">
        <f t="shared" si="164"/>
        <v>1543.0675182118266</v>
      </c>
      <c r="W136" s="3579">
        <f t="shared" si="164"/>
        <v>1743.8212515063678</v>
      </c>
      <c r="X136" s="3579">
        <f t="shared" si="164"/>
        <v>1971.5442846249309</v>
      </c>
      <c r="Y136" s="3579">
        <f t="shared" si="164"/>
        <v>2229.8445729169748</v>
      </c>
      <c r="Z136" s="4292">
        <f t="shared" si="142"/>
        <v>0.31591114037015738</v>
      </c>
      <c r="AA136" s="4292">
        <f t="shared" si="143"/>
        <v>1.1462790473729005</v>
      </c>
      <c r="AC136" s="3347"/>
      <c r="AD136" s="11"/>
      <c r="AK136" s="4281"/>
      <c r="AP136" s="11"/>
    </row>
    <row r="137" spans="1:42" ht="15.75" customHeight="1">
      <c r="I137" s="3452" t="s">
        <v>1648</v>
      </c>
      <c r="J137" s="4283" t="str">
        <f>+'15. ОПП'!$C$7</f>
        <v>2027 г.</v>
      </c>
      <c r="K137" s="4283" t="str">
        <f>+'15. ОПП'!$D$7</f>
        <v>2028 г.</v>
      </c>
      <c r="L137" s="4283" t="str">
        <f>+'15. ОПП'!$E$7</f>
        <v>2029 г.</v>
      </c>
      <c r="M137" s="4283" t="str">
        <f>+'15. ОПП'!$F$7</f>
        <v>2030 г.</v>
      </c>
      <c r="N137" s="4283" t="str">
        <f>+'15. ОПП'!$G$7</f>
        <v>2031 г.</v>
      </c>
      <c r="Q137" s="4309"/>
      <c r="S137" s="4294" t="s">
        <v>637</v>
      </c>
      <c r="T137" s="3579">
        <f t="shared" ref="T137:Y138" si="167">T20+T41+T62+T93+T117</f>
        <v>1892.5850491939309</v>
      </c>
      <c r="U137" s="3579">
        <f t="shared" si="167"/>
        <v>2200.1123323398042</v>
      </c>
      <c r="V137" s="3579">
        <f t="shared" si="167"/>
        <v>2349.537226470984</v>
      </c>
      <c r="W137" s="3579">
        <f t="shared" si="167"/>
        <v>2534.8151760938094</v>
      </c>
      <c r="X137" s="3579">
        <f t="shared" si="167"/>
        <v>2756.1232512262909</v>
      </c>
      <c r="Y137" s="3579">
        <f t="shared" si="167"/>
        <v>2983.4931953200576</v>
      </c>
      <c r="Z137" s="4292">
        <f t="shared" si="142"/>
        <v>0.16249060155941311</v>
      </c>
      <c r="AA137" s="4292">
        <f t="shared" si="143"/>
        <v>0.57641168971019519</v>
      </c>
      <c r="AC137" s="3347"/>
      <c r="AD137" s="11"/>
      <c r="AK137" s="4281"/>
      <c r="AP137" s="11"/>
    </row>
    <row r="138" spans="1:42" ht="15.75" customHeight="1">
      <c r="I138" s="3445" t="s">
        <v>1654</v>
      </c>
      <c r="J138" s="3450">
        <f>'10. Финансиране на ИП'!AT59*'10. Финансиране на ИП'!AT67</f>
        <v>0</v>
      </c>
      <c r="K138" s="3450">
        <f>'10. Финансиране на ИП'!AU59*'10. Финансиране на ИП'!AU67</f>
        <v>0</v>
      </c>
      <c r="L138" s="3450">
        <f>'10. Финансиране на ИП'!AV59*'10. Финансиране на ИП'!AV67</f>
        <v>0</v>
      </c>
      <c r="M138" s="3450">
        <f>'10. Финансиране на ИП'!AW59*'10. Финансиране на ИП'!AW67</f>
        <v>0</v>
      </c>
      <c r="N138" s="3450">
        <f>'10. Финансиране на ИП'!AX59*'10. Финансиране на ИП'!AX67</f>
        <v>0</v>
      </c>
      <c r="Q138" s="4309"/>
      <c r="S138" s="4294" t="s">
        <v>1667</v>
      </c>
      <c r="T138" s="3579">
        <f t="shared" si="167"/>
        <v>3206.9686374530856</v>
      </c>
      <c r="U138" s="3579">
        <f t="shared" si="167"/>
        <v>3933.2388739607859</v>
      </c>
      <c r="V138" s="3579">
        <f t="shared" si="167"/>
        <v>3895.4540999559276</v>
      </c>
      <c r="W138" s="3579">
        <f t="shared" si="167"/>
        <v>3844.5897019021404</v>
      </c>
      <c r="X138" s="3579">
        <f t="shared" si="167"/>
        <v>3772.3238617578563</v>
      </c>
      <c r="Y138" s="3579">
        <f t="shared" si="167"/>
        <v>3678.0153584756954</v>
      </c>
      <c r="Z138" s="4292">
        <f t="shared" si="142"/>
        <v>0.22646627348513468</v>
      </c>
      <c r="AA138" s="4292">
        <f t="shared" si="143"/>
        <v>0.14688223499332573</v>
      </c>
      <c r="AC138" s="3347"/>
      <c r="AD138" s="11"/>
      <c r="AK138" s="4281"/>
      <c r="AP138" s="11"/>
    </row>
    <row r="139" spans="1:42" ht="15.75" customHeight="1">
      <c r="I139" s="3447" t="s">
        <v>1649</v>
      </c>
      <c r="J139" s="3448">
        <f>'10. Финансиране на ИП'!AT60*'10. Финансиране на ИП'!AT67</f>
        <v>0</v>
      </c>
      <c r="K139" s="3440">
        <f>'10. Финансиране на ИП'!AU60*'10. Финансиране на ИП'!AU67</f>
        <v>0</v>
      </c>
      <c r="L139" s="3440">
        <f>'10. Финансиране на ИП'!AV60*'10. Финансиране на ИП'!AV67</f>
        <v>0</v>
      </c>
      <c r="M139" s="3448">
        <f>'10. Финансиране на ИП'!AW60*'10. Финансиране на ИП'!AW67</f>
        <v>0</v>
      </c>
      <c r="N139" s="3448">
        <f>'10. Финансиране на ИП'!AX60*'10. Финансиране на ИП'!AX67</f>
        <v>0</v>
      </c>
      <c r="Q139" s="4309"/>
      <c r="S139" s="4340"/>
      <c r="T139" s="4340"/>
      <c r="U139" s="4340"/>
      <c r="V139" s="4340"/>
      <c r="W139" s="4340"/>
      <c r="X139" s="4340"/>
      <c r="Y139" s="4340"/>
      <c r="Z139" s="4340"/>
      <c r="AA139" s="4340"/>
      <c r="AC139" s="3347"/>
      <c r="AD139" s="11"/>
      <c r="AK139" s="4281"/>
      <c r="AP139" s="11"/>
    </row>
    <row r="140" spans="1:42" ht="15.75" customHeight="1">
      <c r="I140" s="3447" t="s">
        <v>1650</v>
      </c>
      <c r="J140" s="3448">
        <f>'10. Финансиране на ИП'!AT61*'10. Финансиране на ИП'!AT67</f>
        <v>0</v>
      </c>
      <c r="K140" s="3440">
        <f>'10. Финансиране на ИП'!AU61*'10. Финансиране на ИП'!AU67</f>
        <v>0</v>
      </c>
      <c r="L140" s="3440">
        <f>'10. Финансиране на ИП'!AV61*'10. Финансиране на ИП'!AV67</f>
        <v>0</v>
      </c>
      <c r="M140" s="3440">
        <f>'10. Финансиране на ИП'!AW61*'10. Финансиране на ИП'!AW67</f>
        <v>0</v>
      </c>
      <c r="N140" s="3440">
        <f>'10. Финансиране на ИП'!AX61*'10. Финансиране на ИП'!AX67</f>
        <v>0</v>
      </c>
      <c r="Q140" s="4309"/>
      <c r="S140" s="1365" t="s">
        <v>1678</v>
      </c>
      <c r="T140" s="4340"/>
      <c r="U140" s="4340"/>
      <c r="V140" s="4340"/>
      <c r="W140" s="4340"/>
      <c r="X140" s="4340"/>
      <c r="Y140" s="4340"/>
      <c r="Z140" s="4340"/>
      <c r="AA140" s="4340"/>
      <c r="AC140" s="3347"/>
      <c r="AD140" s="11"/>
      <c r="AK140" s="4281"/>
      <c r="AP140" s="11"/>
    </row>
    <row r="141" spans="1:42" ht="15.75" customHeight="1">
      <c r="I141" s="3445" t="s">
        <v>1651</v>
      </c>
      <c r="J141" s="3449">
        <f>'10. Финансиране на ИП'!AT62*'10. Финансиране на ИП'!AT67</f>
        <v>0</v>
      </c>
      <c r="K141" s="3449">
        <f>'10. Финансиране на ИП'!AU62*'10. Финансиране на ИП'!AU67</f>
        <v>0</v>
      </c>
      <c r="L141" s="3449">
        <f>'10. Финансиране на ИП'!AV62*'10. Финансиране на ИП'!AV67</f>
        <v>0</v>
      </c>
      <c r="M141" s="3449">
        <f>'10. Финансиране на ИП'!AW62*'10. Финансиране на ИП'!AW67</f>
        <v>0</v>
      </c>
      <c r="N141" s="3449">
        <f>'10. Финансиране на ИП'!AX62*'10. Финансиране на ИП'!AX67</f>
        <v>0</v>
      </c>
      <c r="Q141" s="4309"/>
      <c r="S141" s="5636" t="s">
        <v>1674</v>
      </c>
      <c r="T141" s="5639" t="s">
        <v>207</v>
      </c>
      <c r="U141" s="5640"/>
      <c r="V141" s="5640"/>
      <c r="W141" s="5640"/>
      <c r="X141" s="5641"/>
      <c r="Y141" s="4340"/>
      <c r="Z141" s="4340"/>
      <c r="AA141" s="11"/>
      <c r="AC141" s="3347"/>
      <c r="AD141" s="11"/>
      <c r="AK141" s="4281"/>
      <c r="AP141" s="11"/>
    </row>
    <row r="142" spans="1:42" ht="15.75" customHeight="1">
      <c r="I142" s="3447" t="s">
        <v>199</v>
      </c>
      <c r="J142" s="3441">
        <f>'10. Финансиране на ИП'!AT63</f>
        <v>0</v>
      </c>
      <c r="K142" s="3441">
        <f>'10. Финансиране на ИП'!AU63</f>
        <v>0</v>
      </c>
      <c r="L142" s="3441">
        <f>'10. Финансиране на ИП'!AV63</f>
        <v>0</v>
      </c>
      <c r="M142" s="3441">
        <f>'10. Финансиране на ИП'!AW63</f>
        <v>0</v>
      </c>
      <c r="N142" s="3441">
        <f>'10. Финансиране на ИП'!AX63</f>
        <v>0</v>
      </c>
      <c r="Q142" s="4309"/>
      <c r="S142" s="5636"/>
      <c r="T142" s="4279" t="str">
        <f>+U121</f>
        <v>2027 г.</v>
      </c>
      <c r="U142" s="4279" t="str">
        <f>+V121</f>
        <v>2028 г.</v>
      </c>
      <c r="V142" s="4279" t="str">
        <f>+W121</f>
        <v>2029 г.</v>
      </c>
      <c r="W142" s="4279" t="str">
        <f>+X121</f>
        <v>2030 г.</v>
      </c>
      <c r="X142" s="4279" t="str">
        <f>+Y121</f>
        <v>2031 г.</v>
      </c>
      <c r="Y142" s="4340"/>
      <c r="Z142" s="4340"/>
      <c r="AA142" s="11"/>
      <c r="AC142" s="3347"/>
      <c r="AD142" s="11"/>
      <c r="AK142" s="4281"/>
      <c r="AP142" s="11"/>
    </row>
    <row r="143" spans="1:42" ht="15.75" customHeight="1">
      <c r="I143" s="3445" t="s">
        <v>1652</v>
      </c>
      <c r="J143" s="3439">
        <f>'10. Финансиране на ИП'!AT64*'10. Финансиране на ИП'!AT67</f>
        <v>0</v>
      </c>
      <c r="K143" s="3439">
        <f>'10. Финансиране на ИП'!AU64*'10. Финансиране на ИП'!AU67</f>
        <v>0</v>
      </c>
      <c r="L143" s="3439">
        <f>'10. Финансиране на ИП'!AV64*'10. Финансиране на ИП'!AV67</f>
        <v>0</v>
      </c>
      <c r="M143" s="3439">
        <f>'10. Финансиране на ИП'!AW64*'10. Финансиране на ИП'!AW67</f>
        <v>0</v>
      </c>
      <c r="N143" s="3439">
        <f>'10. Финансиране на ИП'!AX64*'10. Финансиране на ИП'!AX67</f>
        <v>0</v>
      </c>
      <c r="Q143" s="4309"/>
      <c r="S143" s="4294">
        <f>'12.2.Нови дейности или обекти'!C10</f>
        <v>0</v>
      </c>
      <c r="T143" s="3579">
        <f>'12.2.Нови дейности или обекти'!C21</f>
        <v>0</v>
      </c>
      <c r="U143" s="3579">
        <f>'12.2.Нови дейности или обекти'!D21</f>
        <v>0</v>
      </c>
      <c r="V143" s="3579">
        <f>'12.2.Нови дейности или обекти'!E21</f>
        <v>0</v>
      </c>
      <c r="W143" s="3579">
        <f>'12.2.Нови дейности или обекти'!F21</f>
        <v>0</v>
      </c>
      <c r="X143" s="3579">
        <f>'12.2.Нови дейности или обекти'!G21</f>
        <v>0</v>
      </c>
      <c r="Y143" s="4340"/>
      <c r="Z143" s="4340"/>
      <c r="AA143" s="11"/>
      <c r="AC143" s="3347"/>
      <c r="AD143" s="11"/>
      <c r="AK143" s="4281"/>
      <c r="AP143" s="11"/>
    </row>
    <row r="144" spans="1:42" ht="15.75" customHeight="1">
      <c r="I144" s="3445" t="s">
        <v>1653</v>
      </c>
      <c r="J144" s="3439">
        <f>'10. Финансиране на ИП'!AT65*'10. Финансиране на ИП'!AT67</f>
        <v>0</v>
      </c>
      <c r="K144" s="3439">
        <f>'10. Финансиране на ИП'!AU65*'10. Финансиране на ИП'!AU67</f>
        <v>0</v>
      </c>
      <c r="L144" s="3439">
        <f>'10. Финансиране на ИП'!AV65*'10. Финансиране на ИП'!AV67</f>
        <v>0</v>
      </c>
      <c r="M144" s="3451">
        <f>'10. Финансиране на ИП'!AW65*'10. Финансиране на ИП'!AW67</f>
        <v>0</v>
      </c>
      <c r="N144" s="3451">
        <f>'10. Финансиране на ИП'!AX65*'10. Финансиране на ИП'!AX67</f>
        <v>0</v>
      </c>
      <c r="Q144" s="4309"/>
      <c r="S144" s="4294">
        <f>'12.2.Нови дейности или обекти'!H10</f>
        <v>0</v>
      </c>
      <c r="T144" s="3579">
        <f>'12.2.Нови дейности или обекти'!H21</f>
        <v>0</v>
      </c>
      <c r="U144" s="3579">
        <f>'12.2.Нови дейности или обекти'!I21</f>
        <v>0</v>
      </c>
      <c r="V144" s="3579">
        <f>'12.2.Нови дейности или обекти'!J21</f>
        <v>0</v>
      </c>
      <c r="W144" s="3579">
        <f>'12.2.Нови дейности или обекти'!K21</f>
        <v>0</v>
      </c>
      <c r="X144" s="3579">
        <f>'12.2.Нови дейности или обекти'!L21</f>
        <v>0</v>
      </c>
      <c r="Y144" s="4340"/>
      <c r="Z144" s="4340"/>
      <c r="AA144" s="11"/>
      <c r="AC144" s="3347"/>
      <c r="AD144" s="11"/>
      <c r="AK144" s="4281"/>
      <c r="AP144" s="11"/>
    </row>
    <row r="145" spans="9:42" ht="15.75" customHeight="1">
      <c r="I145" s="3452" t="s">
        <v>1937</v>
      </c>
      <c r="J145" s="4283" t="s">
        <v>1062</v>
      </c>
      <c r="K145" s="4283" t="s">
        <v>1063</v>
      </c>
      <c r="L145" s="4283" t="s">
        <v>1064</v>
      </c>
      <c r="M145" s="4283" t="s">
        <v>1065</v>
      </c>
      <c r="N145" s="4283" t="s">
        <v>1066</v>
      </c>
      <c r="Q145" s="4309"/>
      <c r="S145" s="4294">
        <f>'12.2.Нови дейности или обекти'!M10</f>
        <v>0</v>
      </c>
      <c r="T145" s="3579">
        <f>'12.2.Нови дейности или обекти'!M21</f>
        <v>0</v>
      </c>
      <c r="U145" s="3579">
        <f>'12.2.Нови дейности или обекти'!N21</f>
        <v>0</v>
      </c>
      <c r="V145" s="3579">
        <f>'12.2.Нови дейности или обекти'!O21</f>
        <v>0</v>
      </c>
      <c r="W145" s="3579">
        <f>'12.2.Нови дейности или обекти'!P21</f>
        <v>0</v>
      </c>
      <c r="X145" s="3579">
        <f>'12.2.Нови дейности или обекти'!Q21</f>
        <v>0</v>
      </c>
      <c r="Y145" s="4340"/>
      <c r="Z145" s="4340"/>
      <c r="AA145" s="11"/>
      <c r="AC145" s="3347"/>
      <c r="AD145" s="11"/>
      <c r="AK145" s="4281"/>
      <c r="AP145" s="11"/>
    </row>
    <row r="146" spans="9:42" ht="15.75" customHeight="1">
      <c r="I146" s="3445" t="s">
        <v>1654</v>
      </c>
      <c r="J146" s="3450">
        <f>'10. Финансиране на ИП'!AT70*'10. Финансиране на ИП'!AT78</f>
        <v>0</v>
      </c>
      <c r="K146" s="3450">
        <f>'10. Финансиране на ИП'!AU70*'10. Финансиране на ИП'!AU78</f>
        <v>0</v>
      </c>
      <c r="L146" s="3450">
        <f>'10. Финансиране на ИП'!AV70*'10. Финансиране на ИП'!AV78</f>
        <v>0</v>
      </c>
      <c r="M146" s="3450">
        <f>'10. Финансиране на ИП'!AW70*'10. Финансиране на ИП'!AW78</f>
        <v>0</v>
      </c>
      <c r="N146" s="3450">
        <f>'10. Финансиране на ИП'!AX70*'10. Финансиране на ИП'!AX78</f>
        <v>0</v>
      </c>
      <c r="S146" s="4294">
        <f>'12.2.Нови дейности или обекти'!R10</f>
        <v>0</v>
      </c>
      <c r="T146" s="3579">
        <f>'12.2.Нови дейности или обекти'!R21</f>
        <v>0</v>
      </c>
      <c r="U146" s="3579">
        <f>'12.2.Нови дейности или обекти'!S21</f>
        <v>0</v>
      </c>
      <c r="V146" s="3579">
        <f>'12.2.Нови дейности или обекти'!T21</f>
        <v>0</v>
      </c>
      <c r="W146" s="3579">
        <f>'12.2.Нови дейности или обекти'!U21</f>
        <v>0</v>
      </c>
      <c r="X146" s="3579">
        <f>'12.2.Нови дейности или обекти'!V21</f>
        <v>0</v>
      </c>
      <c r="Y146" s="4340"/>
      <c r="Z146" s="4340"/>
      <c r="AA146" s="11"/>
      <c r="AC146" s="3347"/>
      <c r="AD146" s="11"/>
      <c r="AK146" s="4281"/>
      <c r="AP146" s="11"/>
    </row>
    <row r="147" spans="9:42" ht="15.75" customHeight="1">
      <c r="I147" s="3447" t="s">
        <v>1649</v>
      </c>
      <c r="J147" s="3448">
        <f>'10. Финансиране на ИП'!AT71*'10. Финансиране на ИП'!AT78</f>
        <v>0</v>
      </c>
      <c r="K147" s="3440">
        <f>'10. Финансиране на ИП'!AU71*'10. Финансиране на ИП'!AU78</f>
        <v>0</v>
      </c>
      <c r="L147" s="3440">
        <f>'10. Финансиране на ИП'!AV71*'10. Финансиране на ИП'!AV78</f>
        <v>0</v>
      </c>
      <c r="M147" s="3448">
        <f>'10. Финансиране на ИП'!AW71*'10. Финансиране на ИП'!AW78</f>
        <v>0</v>
      </c>
      <c r="N147" s="3448">
        <f>'10. Финансиране на ИП'!AX71*'10. Финансиране на ИП'!AX78</f>
        <v>0</v>
      </c>
      <c r="S147" s="4294">
        <f>'12.2.Нови дейности или обекти'!W10</f>
        <v>0</v>
      </c>
      <c r="T147" s="3579">
        <f>'12.2.Нови дейности или обекти'!W21</f>
        <v>0</v>
      </c>
      <c r="U147" s="3579">
        <f>'12.2.Нови дейности или обекти'!X21</f>
        <v>0</v>
      </c>
      <c r="V147" s="3579">
        <f>'12.2.Нови дейности или обекти'!Y21</f>
        <v>0</v>
      </c>
      <c r="W147" s="3579">
        <f>'12.2.Нови дейности или обекти'!Z21</f>
        <v>0</v>
      </c>
      <c r="X147" s="3579">
        <f>'12.2.Нови дейности или обекти'!AA21</f>
        <v>0</v>
      </c>
      <c r="Y147" s="4340"/>
      <c r="Z147" s="4340"/>
      <c r="AA147" s="11"/>
      <c r="AC147" s="3347"/>
      <c r="AD147" s="11"/>
      <c r="AK147" s="4281"/>
      <c r="AP147" s="11"/>
    </row>
    <row r="148" spans="9:42" ht="15.75" customHeight="1">
      <c r="I148" s="3447" t="s">
        <v>1650</v>
      </c>
      <c r="J148" s="3448">
        <f>'10. Финансиране на ИП'!AT72*'10. Финансиране на ИП'!AT78</f>
        <v>0</v>
      </c>
      <c r="K148" s="3440">
        <f>'10. Финансиране на ИП'!AU72*'10. Финансиране на ИП'!AU78</f>
        <v>0</v>
      </c>
      <c r="L148" s="3440">
        <f>'10. Финансиране на ИП'!AV72*'10. Финансиране на ИП'!AV78</f>
        <v>0</v>
      </c>
      <c r="M148" s="3440">
        <f>'10. Финансиране на ИП'!AW72*'10. Финансиране на ИП'!AW78</f>
        <v>0</v>
      </c>
      <c r="N148" s="3440">
        <f>'10. Финансиране на ИП'!AX72*'10. Финансиране на ИП'!AX78</f>
        <v>0</v>
      </c>
      <c r="S148" s="4294">
        <f>'12.2.Нови дейности или обекти'!C33</f>
        <v>0</v>
      </c>
      <c r="T148" s="3579">
        <f>'12.2.Нови дейности или обекти'!C44</f>
        <v>0</v>
      </c>
      <c r="U148" s="3579">
        <f>'12.2.Нови дейности или обекти'!D44</f>
        <v>0</v>
      </c>
      <c r="V148" s="3579">
        <f>'12.2.Нови дейности или обекти'!E44</f>
        <v>0</v>
      </c>
      <c r="W148" s="3579">
        <f>'12.2.Нови дейности или обекти'!F44</f>
        <v>0</v>
      </c>
      <c r="X148" s="3579">
        <f>'12.2.Нови дейности или обекти'!G44</f>
        <v>0</v>
      </c>
      <c r="AA148" s="11"/>
      <c r="AC148" s="3347"/>
      <c r="AD148" s="11"/>
      <c r="AK148" s="4281"/>
      <c r="AP148" s="11"/>
    </row>
    <row r="149" spans="9:42" ht="15.75" customHeight="1">
      <c r="I149" s="3445" t="s">
        <v>1651</v>
      </c>
      <c r="J149" s="3449">
        <f>'10. Финансиране на ИП'!AT73*'10. Финансиране на ИП'!AT78</f>
        <v>0</v>
      </c>
      <c r="K149" s="3449">
        <f>'10. Финансиране на ИП'!AU73*'10. Финансиране на ИП'!AU78</f>
        <v>0</v>
      </c>
      <c r="L149" s="3449">
        <f>'10. Финансиране на ИП'!AV73*'10. Финансиране на ИП'!AV78</f>
        <v>0</v>
      </c>
      <c r="M149" s="3449">
        <f>'10. Финансиране на ИП'!AW73*'10. Финансиране на ИП'!AW78</f>
        <v>0</v>
      </c>
      <c r="N149" s="3449">
        <f>'10. Финансиране на ИП'!AX73*'10. Финансиране на ИП'!AX78</f>
        <v>0</v>
      </c>
      <c r="S149" s="4294">
        <f>'12.2.Нови дейности или обекти'!H33</f>
        <v>0</v>
      </c>
      <c r="T149" s="3579">
        <f>'12.2.Нови дейности или обекти'!H44</f>
        <v>0</v>
      </c>
      <c r="U149" s="3579">
        <f>'12.2.Нови дейности или обекти'!I44</f>
        <v>0</v>
      </c>
      <c r="V149" s="3579">
        <f>'12.2.Нови дейности или обекти'!J44</f>
        <v>0</v>
      </c>
      <c r="W149" s="3579">
        <f>'12.2.Нови дейности или обекти'!K44</f>
        <v>0</v>
      </c>
      <c r="X149" s="3579">
        <f>'12.2.Нови дейности или обекти'!L44</f>
        <v>0</v>
      </c>
      <c r="AA149" s="11"/>
      <c r="AC149" s="3347"/>
      <c r="AD149" s="11"/>
      <c r="AK149" s="4281"/>
      <c r="AP149" s="11"/>
    </row>
    <row r="150" spans="9:42" ht="15.75" customHeight="1">
      <c r="I150" s="3447" t="s">
        <v>199</v>
      </c>
      <c r="J150" s="3441">
        <f>'10. Финансиране на ИП'!AT74</f>
        <v>0</v>
      </c>
      <c r="K150" s="3441">
        <f>'10. Финансиране на ИП'!AU74</f>
        <v>0</v>
      </c>
      <c r="L150" s="3441">
        <f>'10. Финансиране на ИП'!AV74</f>
        <v>0</v>
      </c>
      <c r="M150" s="3441">
        <f>'10. Финансиране на ИП'!AW74</f>
        <v>0</v>
      </c>
      <c r="N150" s="3441">
        <f>'10. Финансиране на ИП'!AX74</f>
        <v>0</v>
      </c>
      <c r="S150" s="4294">
        <f>'12.2.Нови дейности или обекти'!M33</f>
        <v>0</v>
      </c>
      <c r="T150" s="3579">
        <f>'12.2.Нови дейности или обекти'!M44</f>
        <v>0</v>
      </c>
      <c r="U150" s="3579">
        <f>'12.2.Нови дейности или обекти'!N44</f>
        <v>0</v>
      </c>
      <c r="V150" s="3579">
        <f>'12.2.Нови дейности или обекти'!O44</f>
        <v>0</v>
      </c>
      <c r="W150" s="3579">
        <f>'12.2.Нови дейности или обекти'!P44</f>
        <v>0</v>
      </c>
      <c r="X150" s="3579">
        <f>'12.2.Нови дейности или обекти'!Q44</f>
        <v>0</v>
      </c>
      <c r="AA150" s="11"/>
      <c r="AC150" s="3347"/>
      <c r="AD150" s="11"/>
      <c r="AK150" s="4281"/>
      <c r="AP150" s="11"/>
    </row>
    <row r="151" spans="9:42" ht="15.75" customHeight="1">
      <c r="I151" s="3445" t="s">
        <v>1652</v>
      </c>
      <c r="J151" s="3439">
        <f>'10. Финансиране на ИП'!AT75*'10. Финансиране на ИП'!AT78</f>
        <v>0</v>
      </c>
      <c r="K151" s="3439">
        <f>'10. Финансиране на ИП'!AU75*'10. Финансиране на ИП'!AU78</f>
        <v>0</v>
      </c>
      <c r="L151" s="3439">
        <f>'10. Финансиране на ИП'!AV75*'10. Финансиране на ИП'!AV78</f>
        <v>0</v>
      </c>
      <c r="M151" s="3439">
        <f>'10. Финансиране на ИП'!AW75*'10. Финансиране на ИП'!AW78</f>
        <v>0</v>
      </c>
      <c r="N151" s="3439">
        <f>'10. Финансиране на ИП'!AX75*'10. Финансиране на ИП'!AX78</f>
        <v>0</v>
      </c>
      <c r="S151" s="4294">
        <f>'12.2.Нови дейности или обекти'!R33</f>
        <v>0</v>
      </c>
      <c r="T151" s="3579">
        <f>'12.2.Нови дейности или обекти'!R44</f>
        <v>0</v>
      </c>
      <c r="U151" s="3579">
        <f>'12.2.Нови дейности или обекти'!S44</f>
        <v>0</v>
      </c>
      <c r="V151" s="3579">
        <f>'12.2.Нови дейности или обекти'!T44</f>
        <v>0</v>
      </c>
      <c r="W151" s="3579">
        <f>'12.2.Нови дейности или обекти'!U44</f>
        <v>0</v>
      </c>
      <c r="X151" s="3579">
        <f>'12.2.Нови дейности или обекти'!V44</f>
        <v>0</v>
      </c>
      <c r="AA151" s="11"/>
      <c r="AC151" s="3347"/>
      <c r="AD151" s="11"/>
      <c r="AK151" s="4281"/>
      <c r="AP151" s="11"/>
    </row>
    <row r="152" spans="9:42" ht="15.75" customHeight="1">
      <c r="I152" s="3445" t="s">
        <v>1653</v>
      </c>
      <c r="J152" s="3439">
        <f>'10. Финансиране на ИП'!AT76*'10. Финансиране на ИП'!AT78</f>
        <v>0</v>
      </c>
      <c r="K152" s="3439">
        <f>'10. Финансиране на ИП'!AU76*'10. Финансиране на ИП'!AU78</f>
        <v>0</v>
      </c>
      <c r="L152" s="3439">
        <f>'10. Финансиране на ИП'!AV76*'10. Финансиране на ИП'!AV78</f>
        <v>0</v>
      </c>
      <c r="M152" s="3451">
        <f>'10. Финансиране на ИП'!AW76*'10. Финансиране на ИП'!AW78</f>
        <v>0</v>
      </c>
      <c r="N152" s="3451">
        <f>'10. Финансиране на ИП'!AX76*'10. Финансиране на ИП'!AX78</f>
        <v>0</v>
      </c>
      <c r="S152" s="4294">
        <f>'12.2.Нови дейности или обекти'!W33</f>
        <v>0</v>
      </c>
      <c r="T152" s="3579">
        <f>'12.2.Нови дейности или обекти'!W44</f>
        <v>0</v>
      </c>
      <c r="U152" s="3579">
        <f>'12.2.Нови дейности или обекти'!X44</f>
        <v>0</v>
      </c>
      <c r="V152" s="3579">
        <f>'12.2.Нови дейности или обекти'!Y44</f>
        <v>0</v>
      </c>
      <c r="W152" s="3579">
        <f>'12.2.Нови дейности или обекти'!Z44</f>
        <v>0</v>
      </c>
      <c r="X152" s="3579">
        <f>'12.2.Нови дейности или обекти'!AA44</f>
        <v>0</v>
      </c>
      <c r="AA152" s="11"/>
      <c r="AC152" s="3347"/>
      <c r="AD152" s="11"/>
      <c r="AK152" s="4281"/>
      <c r="AP152" s="11"/>
    </row>
    <row r="153" spans="9:42" ht="15.75" customHeight="1">
      <c r="S153" s="4302" t="s">
        <v>1677</v>
      </c>
      <c r="T153" s="4303">
        <f t="shared" ref="T153:X153" si="168">SUM(T143:T152)</f>
        <v>0</v>
      </c>
      <c r="U153" s="4303">
        <f t="shared" si="168"/>
        <v>0</v>
      </c>
      <c r="V153" s="4303">
        <f t="shared" si="168"/>
        <v>0</v>
      </c>
      <c r="W153" s="4303">
        <f t="shared" si="168"/>
        <v>0</v>
      </c>
      <c r="X153" s="4303">
        <f t="shared" si="168"/>
        <v>0</v>
      </c>
      <c r="AA153" s="11"/>
      <c r="AC153" s="3347"/>
      <c r="AD153" s="11"/>
      <c r="AK153" s="4281"/>
      <c r="AP153" s="11"/>
    </row>
    <row r="154" spans="9:42" ht="15.75" customHeight="1">
      <c r="S154" s="5637" t="s">
        <v>1674</v>
      </c>
      <c r="T154" s="5639" t="s">
        <v>174</v>
      </c>
      <c r="U154" s="5640"/>
      <c r="V154" s="5640"/>
      <c r="W154" s="5640"/>
      <c r="X154" s="5641"/>
      <c r="AA154" s="11"/>
      <c r="AC154" s="3347"/>
      <c r="AD154" s="11"/>
      <c r="AK154" s="4281"/>
      <c r="AP154" s="11"/>
    </row>
    <row r="155" spans="9:42" ht="15.75" customHeight="1">
      <c r="S155" s="5638"/>
      <c r="T155" s="4279" t="str">
        <f t="shared" ref="T155:X155" si="169">+T142</f>
        <v>2027 г.</v>
      </c>
      <c r="U155" s="4279" t="str">
        <f t="shared" si="169"/>
        <v>2028 г.</v>
      </c>
      <c r="V155" s="4279" t="str">
        <f t="shared" si="169"/>
        <v>2029 г.</v>
      </c>
      <c r="W155" s="4279" t="str">
        <f t="shared" si="169"/>
        <v>2030 г.</v>
      </c>
      <c r="X155" s="4279" t="str">
        <f t="shared" si="169"/>
        <v>2031 г.</v>
      </c>
      <c r="AA155" s="11"/>
      <c r="AC155" s="3347"/>
      <c r="AD155" s="11"/>
      <c r="AK155" s="4281"/>
      <c r="AP155" s="11"/>
    </row>
    <row r="156" spans="9:42" ht="15.75" customHeight="1">
      <c r="S156" s="4294">
        <f>'12.2.Нови дейности или обекти'!C57</f>
        <v>0</v>
      </c>
      <c r="T156" s="3579">
        <f>'12.2.Нови дейности или обекти'!C68</f>
        <v>0</v>
      </c>
      <c r="U156" s="3579">
        <f>'12.2.Нови дейности или обекти'!D68</f>
        <v>0</v>
      </c>
      <c r="V156" s="3579">
        <f>'12.2.Нови дейности или обекти'!E68</f>
        <v>0</v>
      </c>
      <c r="W156" s="3579">
        <f>'12.2.Нови дейности или обекти'!F68</f>
        <v>0</v>
      </c>
      <c r="X156" s="3579">
        <f>'12.2.Нови дейности или обекти'!G68</f>
        <v>0</v>
      </c>
      <c r="AA156" s="11"/>
      <c r="AC156" s="3347"/>
      <c r="AD156" s="11"/>
      <c r="AK156" s="4281"/>
      <c r="AP156" s="11"/>
    </row>
    <row r="157" spans="9:42" ht="15.75" customHeight="1">
      <c r="S157" s="4294">
        <f>'12.2.Нови дейности или обекти'!H57</f>
        <v>0</v>
      </c>
      <c r="T157" s="3579">
        <f>'12.2.Нови дейности или обекти'!H68</f>
        <v>0</v>
      </c>
      <c r="U157" s="3579">
        <f>'12.2.Нови дейности или обекти'!I68</f>
        <v>0</v>
      </c>
      <c r="V157" s="3579">
        <f>'12.2.Нови дейности или обекти'!J68</f>
        <v>0</v>
      </c>
      <c r="W157" s="3579">
        <f>'12.2.Нови дейности или обекти'!K68</f>
        <v>0</v>
      </c>
      <c r="X157" s="3579">
        <f>'12.2.Нови дейности или обекти'!L68</f>
        <v>0</v>
      </c>
      <c r="AA157" s="11"/>
      <c r="AC157" s="3347"/>
      <c r="AD157" s="11"/>
      <c r="AK157" s="4281"/>
      <c r="AP157" s="11"/>
    </row>
    <row r="158" spans="9:42" ht="15.75" customHeight="1">
      <c r="S158" s="4294">
        <f>'12.2.Нови дейности или обекти'!M57</f>
        <v>0</v>
      </c>
      <c r="T158" s="3579">
        <f>'12.2.Нови дейности или обекти'!M68</f>
        <v>0</v>
      </c>
      <c r="U158" s="3579">
        <f>'12.2.Нови дейности или обекти'!N68</f>
        <v>0</v>
      </c>
      <c r="V158" s="3579">
        <f>'12.2.Нови дейности или обекти'!O68</f>
        <v>0</v>
      </c>
      <c r="W158" s="3579">
        <f>'12.2.Нови дейности или обекти'!P68</f>
        <v>0</v>
      </c>
      <c r="X158" s="3579">
        <f>'12.2.Нови дейности или обекти'!Q68</f>
        <v>0</v>
      </c>
      <c r="AA158" s="11"/>
      <c r="AC158" s="3347"/>
      <c r="AD158" s="11"/>
      <c r="AK158" s="4281"/>
      <c r="AP158" s="11"/>
    </row>
    <row r="159" spans="9:42" ht="15.75" customHeight="1">
      <c r="S159" s="4294">
        <f>'12.2.Нови дейности или обекти'!R57</f>
        <v>0</v>
      </c>
      <c r="T159" s="3579">
        <f>'12.2.Нови дейности или обекти'!R68</f>
        <v>0</v>
      </c>
      <c r="U159" s="3579">
        <f>'12.2.Нови дейности или обекти'!S68</f>
        <v>0</v>
      </c>
      <c r="V159" s="3579">
        <f>'12.2.Нови дейности или обекти'!T68</f>
        <v>0</v>
      </c>
      <c r="W159" s="3579">
        <f>'12.2.Нови дейности или обекти'!U68</f>
        <v>0</v>
      </c>
      <c r="X159" s="3579">
        <f>'12.2.Нови дейности или обекти'!V68</f>
        <v>0</v>
      </c>
      <c r="AA159" s="11"/>
      <c r="AC159" s="3347"/>
      <c r="AD159" s="11"/>
      <c r="AK159" s="4281"/>
      <c r="AP159" s="11"/>
    </row>
    <row r="160" spans="9:42" ht="15.75" customHeight="1">
      <c r="S160" s="4294">
        <f>'12.2.Нови дейности или обекти'!W57</f>
        <v>0</v>
      </c>
      <c r="T160" s="3579">
        <f>'12.2.Нови дейности или обекти'!W68</f>
        <v>0</v>
      </c>
      <c r="U160" s="3579">
        <f>'12.2.Нови дейности или обекти'!X68</f>
        <v>0</v>
      </c>
      <c r="V160" s="3579">
        <f>'12.2.Нови дейности или обекти'!Y68</f>
        <v>0</v>
      </c>
      <c r="W160" s="3579">
        <f>'12.2.Нови дейности или обекти'!Z68</f>
        <v>0</v>
      </c>
      <c r="X160" s="3579">
        <f>'12.2.Нови дейности или обекти'!AA68</f>
        <v>0</v>
      </c>
      <c r="AA160" s="11"/>
      <c r="AC160" s="3347"/>
      <c r="AD160" s="11"/>
      <c r="AK160" s="4281"/>
      <c r="AP160" s="11"/>
    </row>
    <row r="161" spans="19:42" ht="15.75" customHeight="1">
      <c r="S161" s="4294">
        <f>'12.2.Нови дейности или обекти'!C80</f>
        <v>0</v>
      </c>
      <c r="T161" s="3579">
        <f>'12.2.Нови дейности или обекти'!C91</f>
        <v>0</v>
      </c>
      <c r="U161" s="3579">
        <f>'12.2.Нови дейности или обекти'!D91</f>
        <v>0</v>
      </c>
      <c r="V161" s="3579">
        <f>'12.2.Нови дейности или обекти'!E91</f>
        <v>0</v>
      </c>
      <c r="W161" s="3579">
        <f>'12.2.Нови дейности или обекти'!F91</f>
        <v>0</v>
      </c>
      <c r="X161" s="3579">
        <f>'12.2.Нови дейности или обекти'!G91</f>
        <v>0</v>
      </c>
      <c r="AA161" s="11"/>
      <c r="AC161" s="3347"/>
      <c r="AD161" s="11"/>
      <c r="AK161" s="4281"/>
      <c r="AP161" s="11"/>
    </row>
    <row r="162" spans="19:42" ht="15.75" customHeight="1">
      <c r="S162" s="4294">
        <f>'12.2.Нови дейности или обекти'!H80</f>
        <v>0</v>
      </c>
      <c r="T162" s="3579">
        <f>'12.2.Нови дейности или обекти'!H91</f>
        <v>0</v>
      </c>
      <c r="U162" s="3579">
        <f>'12.2.Нови дейности или обекти'!I91</f>
        <v>0</v>
      </c>
      <c r="V162" s="3579">
        <f>'12.2.Нови дейности или обекти'!J91</f>
        <v>0</v>
      </c>
      <c r="W162" s="3579">
        <f>'12.2.Нови дейности или обекти'!K91</f>
        <v>0</v>
      </c>
      <c r="X162" s="3579">
        <f>'12.2.Нови дейности или обекти'!L91</f>
        <v>0</v>
      </c>
      <c r="AA162" s="11"/>
      <c r="AC162" s="3347"/>
      <c r="AD162" s="11"/>
      <c r="AK162" s="4281"/>
      <c r="AP162" s="11"/>
    </row>
    <row r="163" spans="19:42" ht="15.75" customHeight="1">
      <c r="S163" s="4294">
        <f>'12.2.Нови дейности или обекти'!M80</f>
        <v>0</v>
      </c>
      <c r="T163" s="3579">
        <f>'12.2.Нови дейности или обекти'!M91</f>
        <v>0</v>
      </c>
      <c r="U163" s="3579">
        <f>'12.2.Нови дейности или обекти'!N91</f>
        <v>0</v>
      </c>
      <c r="V163" s="3579">
        <f>'12.2.Нови дейности или обекти'!O91</f>
        <v>0</v>
      </c>
      <c r="W163" s="3579">
        <f>'12.2.Нови дейности или обекти'!P91</f>
        <v>0</v>
      </c>
      <c r="X163" s="3579">
        <f>'12.2.Нови дейности или обекти'!Q91</f>
        <v>0</v>
      </c>
      <c r="AA163" s="11"/>
      <c r="AC163" s="3347"/>
      <c r="AD163" s="11"/>
      <c r="AK163" s="4281"/>
      <c r="AP163" s="11"/>
    </row>
    <row r="164" spans="19:42" ht="15.75" customHeight="1">
      <c r="S164" s="4294">
        <f>'12.2.Нови дейности или обекти'!R80</f>
        <v>0</v>
      </c>
      <c r="T164" s="3579">
        <f>'12.2.Нови дейности или обекти'!R91</f>
        <v>0</v>
      </c>
      <c r="U164" s="3579">
        <f>'12.2.Нови дейности или обекти'!S91</f>
        <v>0</v>
      </c>
      <c r="V164" s="3579">
        <f>'12.2.Нови дейности или обекти'!T91</f>
        <v>0</v>
      </c>
      <c r="W164" s="3579">
        <f>'12.2.Нови дейности или обекти'!U91</f>
        <v>0</v>
      </c>
      <c r="X164" s="3579">
        <f>'12.2.Нови дейности или обекти'!V91</f>
        <v>0</v>
      </c>
      <c r="AA164" s="11"/>
      <c r="AC164" s="3347"/>
      <c r="AD164" s="11"/>
      <c r="AK164" s="4281"/>
      <c r="AP164" s="11"/>
    </row>
    <row r="165" spans="19:42" ht="15.75" customHeight="1">
      <c r="S165" s="4294">
        <f>'12.2.Нови дейности или обекти'!W80</f>
        <v>0</v>
      </c>
      <c r="T165" s="3579">
        <f>'12.2.Нови дейности или обекти'!W91</f>
        <v>0</v>
      </c>
      <c r="U165" s="3579">
        <f>'12.2.Нови дейности или обекти'!X91</f>
        <v>0</v>
      </c>
      <c r="V165" s="3579">
        <f>'12.2.Нови дейности или обекти'!Y91</f>
        <v>0</v>
      </c>
      <c r="W165" s="3579">
        <f>'12.2.Нови дейности или обекти'!Z91</f>
        <v>0</v>
      </c>
      <c r="X165" s="3579">
        <f>'12.2.Нови дейности или обекти'!AA91</f>
        <v>0</v>
      </c>
      <c r="AA165" s="11"/>
      <c r="AC165" s="3347"/>
      <c r="AD165" s="11"/>
      <c r="AK165" s="4281"/>
      <c r="AP165" s="11"/>
    </row>
    <row r="166" spans="19:42" ht="15.75" customHeight="1">
      <c r="S166" s="4302" t="s">
        <v>1676</v>
      </c>
      <c r="T166" s="4303">
        <f t="shared" ref="T166:X166" si="170">SUM(T156:T165)</f>
        <v>0</v>
      </c>
      <c r="U166" s="4303">
        <f t="shared" si="170"/>
        <v>0</v>
      </c>
      <c r="V166" s="4303">
        <f t="shared" si="170"/>
        <v>0</v>
      </c>
      <c r="W166" s="4303">
        <f t="shared" si="170"/>
        <v>0</v>
      </c>
      <c r="X166" s="4303">
        <f t="shared" si="170"/>
        <v>0</v>
      </c>
      <c r="AA166" s="11"/>
      <c r="AC166" s="3347"/>
      <c r="AD166" s="11"/>
      <c r="AK166" s="4281"/>
      <c r="AP166" s="11"/>
    </row>
    <row r="167" spans="19:42" ht="15.75" customHeight="1">
      <c r="S167" s="5636" t="s">
        <v>1673</v>
      </c>
      <c r="T167" s="5639" t="s">
        <v>184</v>
      </c>
      <c r="U167" s="5640"/>
      <c r="V167" s="5640"/>
      <c r="W167" s="5640"/>
      <c r="X167" s="5641"/>
      <c r="AA167" s="11"/>
      <c r="AC167" s="3347"/>
      <c r="AD167" s="11"/>
      <c r="AK167" s="4281"/>
      <c r="AP167" s="11"/>
    </row>
    <row r="168" spans="19:42" ht="15.75" customHeight="1">
      <c r="S168" s="5636"/>
      <c r="T168" s="4279" t="str">
        <f t="shared" ref="T168:X168" si="171">+T155</f>
        <v>2027 г.</v>
      </c>
      <c r="U168" s="4279" t="str">
        <f t="shared" si="171"/>
        <v>2028 г.</v>
      </c>
      <c r="V168" s="4279" t="str">
        <f t="shared" si="171"/>
        <v>2029 г.</v>
      </c>
      <c r="W168" s="4279" t="str">
        <f t="shared" si="171"/>
        <v>2030 г.</v>
      </c>
      <c r="X168" s="4279" t="str">
        <f t="shared" si="171"/>
        <v>2031 г.</v>
      </c>
      <c r="AA168" s="11"/>
      <c r="AC168" s="3347"/>
      <c r="AD168" s="11"/>
      <c r="AK168" s="4281"/>
      <c r="AP168" s="11"/>
    </row>
    <row r="169" spans="19:42" ht="15.75" customHeight="1">
      <c r="S169" s="4294" t="str">
        <f>'12.2.Нови дейности или обекти'!C104</f>
        <v>ПСОВ гр. Угърчин</v>
      </c>
      <c r="T169" s="3579">
        <f>'12.2.Нови дейности или обекти'!C115</f>
        <v>275.73861431770689</v>
      </c>
      <c r="U169" s="3579">
        <f>'12.2.Нови дейности или обекти'!D115</f>
        <v>305.64362680635708</v>
      </c>
      <c r="V169" s="3579">
        <f>'12.2.Нови дейности или обекти'!E115</f>
        <v>338.80529321931391</v>
      </c>
      <c r="W169" s="3579">
        <f>'12.2.Нови дейности или обекти'!F115</f>
        <v>375.9104387540562</v>
      </c>
      <c r="X169" s="3579">
        <f>'12.2.Нови дейности или обекти'!G115</f>
        <v>417.5915640762629</v>
      </c>
      <c r="AA169" s="11"/>
      <c r="AC169" s="3347"/>
      <c r="AD169" s="11"/>
      <c r="AK169" s="4281"/>
      <c r="AP169" s="11"/>
    </row>
    <row r="170" spans="19:42" ht="15.75" customHeight="1">
      <c r="S170" s="4294">
        <f>'12.2.Нови дейности или обекти'!H104</f>
        <v>0</v>
      </c>
      <c r="T170" s="3579">
        <f>'12.2.Нови дейности или обекти'!H115</f>
        <v>0</v>
      </c>
      <c r="U170" s="3579">
        <f>'12.2.Нови дейности или обекти'!I115</f>
        <v>0</v>
      </c>
      <c r="V170" s="3579">
        <f>'12.2.Нови дейности или обекти'!J115</f>
        <v>0</v>
      </c>
      <c r="W170" s="3579">
        <f>'12.2.Нови дейности или обекти'!K115</f>
        <v>0</v>
      </c>
      <c r="X170" s="3579">
        <f>'12.2.Нови дейности или обекти'!L115</f>
        <v>0</v>
      </c>
      <c r="AA170" s="11"/>
      <c r="AC170" s="3347"/>
      <c r="AD170" s="11"/>
      <c r="AK170" s="4281"/>
      <c r="AP170" s="11"/>
    </row>
    <row r="171" spans="19:42" ht="15.75" customHeight="1">
      <c r="S171" s="4294">
        <f>'12.2.Нови дейности или обекти'!M104</f>
        <v>0</v>
      </c>
      <c r="T171" s="3579">
        <f>'12.2.Нови дейности или обекти'!M115</f>
        <v>0</v>
      </c>
      <c r="U171" s="3579">
        <f>'12.2.Нови дейности или обекти'!N115</f>
        <v>0</v>
      </c>
      <c r="V171" s="3579">
        <f>'12.2.Нови дейности или обекти'!O115</f>
        <v>0</v>
      </c>
      <c r="W171" s="3579">
        <f>'12.2.Нови дейности или обекти'!P115</f>
        <v>0</v>
      </c>
      <c r="X171" s="3579">
        <f>'12.2.Нови дейности или обекти'!Q115</f>
        <v>0</v>
      </c>
      <c r="AA171" s="11"/>
      <c r="AC171" s="3347"/>
      <c r="AD171" s="11"/>
      <c r="AK171" s="4281"/>
      <c r="AP171" s="11"/>
    </row>
    <row r="172" spans="19:42" ht="15.75" customHeight="1">
      <c r="S172" s="4294">
        <f>'12.2.Нови дейности или обекти'!R104</f>
        <v>0</v>
      </c>
      <c r="T172" s="3579">
        <f>'12.2.Нови дейности или обекти'!R115</f>
        <v>0</v>
      </c>
      <c r="U172" s="3579">
        <f>'12.2.Нови дейности или обекти'!S115</f>
        <v>0</v>
      </c>
      <c r="V172" s="3579">
        <f>'12.2.Нови дейности или обекти'!T115</f>
        <v>0</v>
      </c>
      <c r="W172" s="3579">
        <f>'12.2.Нови дейности или обекти'!U115</f>
        <v>0</v>
      </c>
      <c r="X172" s="3579">
        <f>'12.2.Нови дейности или обекти'!V115</f>
        <v>0</v>
      </c>
      <c r="AA172" s="11"/>
      <c r="AC172" s="3347"/>
      <c r="AD172" s="11"/>
      <c r="AK172" s="4281"/>
      <c r="AP172" s="11"/>
    </row>
    <row r="173" spans="19:42" ht="15.75" customHeight="1">
      <c r="S173" s="4294">
        <f>'12.2.Нови дейности или обекти'!W104</f>
        <v>0</v>
      </c>
      <c r="T173" s="3579">
        <f>'12.2.Нови дейности или обекти'!W115</f>
        <v>0</v>
      </c>
      <c r="U173" s="3579">
        <f>'12.2.Нови дейности или обекти'!X115</f>
        <v>0</v>
      </c>
      <c r="V173" s="3579">
        <f>'12.2.Нови дейности или обекти'!Y115</f>
        <v>0</v>
      </c>
      <c r="W173" s="3579">
        <f>'12.2.Нови дейности или обекти'!Z115</f>
        <v>0</v>
      </c>
      <c r="X173" s="3579">
        <f>'12.2.Нови дейности или обекти'!AA115</f>
        <v>0</v>
      </c>
      <c r="AA173" s="11"/>
      <c r="AC173" s="3347"/>
      <c r="AD173" s="11"/>
      <c r="AK173" s="4281"/>
      <c r="AP173" s="11"/>
    </row>
    <row r="174" spans="19:42" ht="15.75" customHeight="1">
      <c r="S174" s="4294">
        <f>'12.2.Нови дейности или обекти'!C127</f>
        <v>0</v>
      </c>
      <c r="T174" s="3579">
        <f>'12.2.Нови дейности или обекти'!C138</f>
        <v>0</v>
      </c>
      <c r="U174" s="3579">
        <f>'12.2.Нови дейности или обекти'!D138</f>
        <v>0</v>
      </c>
      <c r="V174" s="3579">
        <f>'12.2.Нови дейности или обекти'!E138</f>
        <v>0</v>
      </c>
      <c r="W174" s="3579">
        <f>'12.2.Нови дейности или обекти'!F138</f>
        <v>0</v>
      </c>
      <c r="X174" s="3579">
        <f>'12.2.Нови дейности или обекти'!G138</f>
        <v>0</v>
      </c>
      <c r="AA174" s="11"/>
    </row>
    <row r="175" spans="19:42" ht="15.75" customHeight="1">
      <c r="S175" s="4294">
        <f>'12.2.Нови дейности или обекти'!H127</f>
        <v>0</v>
      </c>
      <c r="T175" s="3579">
        <f>'12.2.Нови дейности или обекти'!H138</f>
        <v>0</v>
      </c>
      <c r="U175" s="3579">
        <f>'12.2.Нови дейности или обекти'!I138</f>
        <v>0</v>
      </c>
      <c r="V175" s="3579">
        <f>'12.2.Нови дейности или обекти'!J138</f>
        <v>0</v>
      </c>
      <c r="W175" s="3579">
        <f>'12.2.Нови дейности или обекти'!K138</f>
        <v>0</v>
      </c>
      <c r="X175" s="3579">
        <f>'12.2.Нови дейности или обекти'!L138</f>
        <v>0</v>
      </c>
      <c r="AA175" s="11"/>
    </row>
    <row r="176" spans="19:42" ht="15.75" customHeight="1">
      <c r="S176" s="4294">
        <f>'12.2.Нови дейности или обекти'!M127</f>
        <v>0</v>
      </c>
      <c r="T176" s="3579">
        <f>'12.2.Нови дейности или обекти'!M138</f>
        <v>0</v>
      </c>
      <c r="U176" s="3579">
        <f>'12.2.Нови дейности или обекти'!N138</f>
        <v>0</v>
      </c>
      <c r="V176" s="3579">
        <f>'12.2.Нови дейности или обекти'!O138</f>
        <v>0</v>
      </c>
      <c r="W176" s="3579">
        <f>'12.2.Нови дейности или обекти'!P138</f>
        <v>0</v>
      </c>
      <c r="X176" s="3579">
        <f>'12.2.Нови дейности или обекти'!Q138</f>
        <v>0</v>
      </c>
      <c r="AA176" s="11"/>
    </row>
    <row r="177" spans="19:27" ht="15.75" customHeight="1">
      <c r="S177" s="4294">
        <f>'12.2.Нови дейности или обекти'!R127</f>
        <v>0</v>
      </c>
      <c r="T177" s="3579">
        <f>'12.2.Нови дейности или обекти'!R138</f>
        <v>0</v>
      </c>
      <c r="U177" s="3579">
        <f>'12.2.Нови дейности или обекти'!S138</f>
        <v>0</v>
      </c>
      <c r="V177" s="3579">
        <f>'12.2.Нови дейности или обекти'!T138</f>
        <v>0</v>
      </c>
      <c r="W177" s="3579">
        <f>'12.2.Нови дейности или обекти'!U138</f>
        <v>0</v>
      </c>
      <c r="X177" s="3579">
        <f>'12.2.Нови дейности или обекти'!V138</f>
        <v>0</v>
      </c>
      <c r="AA177" s="11"/>
    </row>
    <row r="178" spans="19:27" ht="15.75" customHeight="1">
      <c r="S178" s="4294">
        <f>'12.2.Нови дейности или обекти'!W127</f>
        <v>0</v>
      </c>
      <c r="T178" s="3579">
        <f>'12.2.Нови дейности или обекти'!W138</f>
        <v>0</v>
      </c>
      <c r="U178" s="3579">
        <f>'12.2.Нови дейности или обекти'!X138</f>
        <v>0</v>
      </c>
      <c r="V178" s="3579">
        <f>'12.2.Нови дейности или обекти'!Y138</f>
        <v>0</v>
      </c>
      <c r="W178" s="3579">
        <f>'12.2.Нови дейности или обекти'!Z138</f>
        <v>0</v>
      </c>
      <c r="X178" s="3579">
        <f>'12.2.Нови дейности или обекти'!AA138</f>
        <v>0</v>
      </c>
      <c r="AA178" s="11"/>
    </row>
    <row r="179" spans="19:27" ht="15.75" customHeight="1">
      <c r="S179" s="4302" t="s">
        <v>1675</v>
      </c>
      <c r="T179" s="4303">
        <f>SUM(T169:T178)</f>
        <v>275.73861431770689</v>
      </c>
      <c r="U179" s="4303">
        <f t="shared" ref="U179:X179" si="172">SUM(U169:U178)</f>
        <v>305.64362680635708</v>
      </c>
      <c r="V179" s="4303">
        <f t="shared" si="172"/>
        <v>338.80529321931391</v>
      </c>
      <c r="W179" s="4303">
        <f t="shared" si="172"/>
        <v>375.9104387540562</v>
      </c>
      <c r="X179" s="4303">
        <f t="shared" si="172"/>
        <v>417.5915640762629</v>
      </c>
      <c r="AA179" s="11"/>
    </row>
  </sheetData>
  <mergeCells count="82">
    <mergeCell ref="AK27:AK28"/>
    <mergeCell ref="AL27:AP27"/>
    <mergeCell ref="AK35:AK36"/>
    <mergeCell ref="AL35:AP35"/>
    <mergeCell ref="AK3:AK4"/>
    <mergeCell ref="AL3:AP3"/>
    <mergeCell ref="AK11:AK12"/>
    <mergeCell ref="AL11:AP11"/>
    <mergeCell ref="AK19:AK20"/>
    <mergeCell ref="AL19:AP19"/>
    <mergeCell ref="AR27:AR28"/>
    <mergeCell ref="AS3:AW3"/>
    <mergeCell ref="AS9:AW9"/>
    <mergeCell ref="AS15:AW15"/>
    <mergeCell ref="AS21:AW21"/>
    <mergeCell ref="AS27:AW27"/>
    <mergeCell ref="AR9:AR10"/>
    <mergeCell ref="AR3:AR4"/>
    <mergeCell ref="AR15:AR16"/>
    <mergeCell ref="AR21:AR22"/>
    <mergeCell ref="T100:Y100"/>
    <mergeCell ref="Z100:Z101"/>
    <mergeCell ref="AA100:AA101"/>
    <mergeCell ref="S167:S168"/>
    <mergeCell ref="T120:Y120"/>
    <mergeCell ref="Z120:Z121"/>
    <mergeCell ref="AA120:AA121"/>
    <mergeCell ref="S141:S142"/>
    <mergeCell ref="S154:S155"/>
    <mergeCell ref="S120:S121"/>
    <mergeCell ref="S100:S101"/>
    <mergeCell ref="T141:X141"/>
    <mergeCell ref="T154:X154"/>
    <mergeCell ref="T167:X167"/>
    <mergeCell ref="T45:Y45"/>
    <mergeCell ref="Z45:Z46"/>
    <mergeCell ref="AA45:AA46"/>
    <mergeCell ref="S76:S77"/>
    <mergeCell ref="T76:Y76"/>
    <mergeCell ref="Z76:Z77"/>
    <mergeCell ref="AA76:AA77"/>
    <mergeCell ref="S45:S46"/>
    <mergeCell ref="T3:Y3"/>
    <mergeCell ref="Z3:Z4"/>
    <mergeCell ref="AA3:AA4"/>
    <mergeCell ref="S24:S25"/>
    <mergeCell ref="T24:Y24"/>
    <mergeCell ref="Z24:Z25"/>
    <mergeCell ref="AA24:AA25"/>
    <mergeCell ref="S3:S4"/>
    <mergeCell ref="A106:G106"/>
    <mergeCell ref="A111:G111"/>
    <mergeCell ref="B117:G117"/>
    <mergeCell ref="A81:A82"/>
    <mergeCell ref="B81:G81"/>
    <mergeCell ref="A83:G83"/>
    <mergeCell ref="A88:G88"/>
    <mergeCell ref="A93:G93"/>
    <mergeCell ref="A117:A118"/>
    <mergeCell ref="A101:G101"/>
    <mergeCell ref="B3:G3"/>
    <mergeCell ref="A5:G5"/>
    <mergeCell ref="A10:G10"/>
    <mergeCell ref="A15:G15"/>
    <mergeCell ref="B21:G21"/>
    <mergeCell ref="A3:A4"/>
    <mergeCell ref="A21:A22"/>
    <mergeCell ref="A23:G23"/>
    <mergeCell ref="A28:G28"/>
    <mergeCell ref="A99:A100"/>
    <mergeCell ref="A46:G46"/>
    <mergeCell ref="A51:G51"/>
    <mergeCell ref="B99:G99"/>
    <mergeCell ref="A39:A40"/>
    <mergeCell ref="A33:G33"/>
    <mergeCell ref="B39:G39"/>
    <mergeCell ref="A41:G41"/>
    <mergeCell ref="A57:A58"/>
    <mergeCell ref="B57:G57"/>
    <mergeCell ref="A59:G59"/>
    <mergeCell ref="A64:G64"/>
    <mergeCell ref="A69:G69"/>
  </mergeCells>
  <conditionalFormatting sqref="J16:O17">
    <cfRule type="cellIs" dxfId="34" priority="1" operator="lessThan">
      <formula>0</formula>
    </cfRule>
  </conditionalFormatting>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9" tint="0.39997558519241921"/>
  </sheetPr>
  <dimension ref="A1:AW179"/>
  <sheetViews>
    <sheetView topLeftCell="A109" zoomScaleNormal="100" workbookViewId="0">
      <selection activeCell="I112" sqref="I112"/>
    </sheetView>
  </sheetViews>
  <sheetFormatPr defaultColWidth="9.109375" defaultRowHeight="15.75" customHeight="1"/>
  <cols>
    <col min="1" max="1" width="37.5546875" style="11" customWidth="1"/>
    <col min="2" max="7" width="9.109375" style="4281"/>
    <col min="8" max="8" width="3.6640625" style="11" customWidth="1"/>
    <col min="9" max="9" width="37.5546875" style="11" customWidth="1"/>
    <col min="10" max="17" width="9.109375" style="11"/>
    <col min="18" max="18" width="4.5546875" style="11" customWidth="1"/>
    <col min="19" max="19" width="37.5546875" style="719" customWidth="1"/>
    <col min="20" max="27" width="9.109375" style="4281"/>
    <col min="28" max="28" width="3.5546875" style="11" customWidth="1"/>
    <col min="29" max="29" width="37.5546875" style="11" customWidth="1"/>
    <col min="30" max="30" width="9" style="3347" customWidth="1"/>
    <col min="31" max="35" width="9.109375" style="11"/>
    <col min="36" max="36" width="4.109375" style="11" customWidth="1"/>
    <col min="37" max="37" width="37.5546875" style="11" customWidth="1"/>
    <col min="38" max="42" width="9.109375" style="4281"/>
    <col min="43" max="43" width="9.109375" style="11"/>
    <col min="44" max="44" width="37.5546875" style="11" customWidth="1"/>
    <col min="45" max="16384" width="9.109375" style="11"/>
  </cols>
  <sheetData>
    <row r="1" spans="1:49" ht="15.75" customHeight="1">
      <c r="A1" s="3483" t="s">
        <v>1655</v>
      </c>
      <c r="I1" s="3483" t="s">
        <v>1009</v>
      </c>
      <c r="S1" s="3538" t="s">
        <v>1671</v>
      </c>
      <c r="AC1" s="3538" t="s">
        <v>1688</v>
      </c>
      <c r="AD1" s="3563"/>
      <c r="AK1" s="3538" t="s">
        <v>1692</v>
      </c>
    </row>
    <row r="2" spans="1:49" ht="15.75" customHeight="1">
      <c r="A2" s="2" t="s">
        <v>207</v>
      </c>
      <c r="G2" s="3446" t="s">
        <v>1909</v>
      </c>
      <c r="I2" s="1332" t="s">
        <v>1632</v>
      </c>
      <c r="O2" s="3446" t="s">
        <v>1909</v>
      </c>
      <c r="S2" s="2" t="s">
        <v>1679</v>
      </c>
      <c r="AA2" s="3446"/>
      <c r="AK2" s="2" t="s">
        <v>305</v>
      </c>
      <c r="AR2" s="2" t="s">
        <v>1697</v>
      </c>
      <c r="AS2" s="4281"/>
      <c r="AT2" s="4281"/>
      <c r="AU2" s="4281"/>
      <c r="AV2" s="4281"/>
      <c r="AW2" s="4281"/>
    </row>
    <row r="3" spans="1:49" ht="12.75" customHeight="1">
      <c r="A3" s="5632" t="s">
        <v>87</v>
      </c>
      <c r="B3" s="5636" t="s">
        <v>210</v>
      </c>
      <c r="C3" s="5636"/>
      <c r="D3" s="5636"/>
      <c r="E3" s="5636"/>
      <c r="F3" s="5636"/>
      <c r="G3" s="5636"/>
      <c r="I3" s="4282" t="s">
        <v>1494</v>
      </c>
      <c r="J3" s="4283" t="str">
        <f>+'15. ОПП'!$C$7</f>
        <v>2027 г.</v>
      </c>
      <c r="K3" s="4283" t="str">
        <f>+'15. ОПП'!$D$7</f>
        <v>2028 г.</v>
      </c>
      <c r="L3" s="4283" t="str">
        <f>+'15. ОПП'!$E$7</f>
        <v>2029 г.</v>
      </c>
      <c r="M3" s="4283" t="str">
        <f>+'15. ОПП'!$F$7</f>
        <v>2030 г.</v>
      </c>
      <c r="N3" s="4283" t="str">
        <f>+'15. ОПП'!$G$7</f>
        <v>2031 г.</v>
      </c>
      <c r="O3" s="4284" t="s">
        <v>1593</v>
      </c>
      <c r="S3" s="5636" t="s">
        <v>1919</v>
      </c>
      <c r="T3" s="5636" t="s">
        <v>207</v>
      </c>
      <c r="U3" s="5636"/>
      <c r="V3" s="5636"/>
      <c r="W3" s="5636"/>
      <c r="X3" s="5636"/>
      <c r="Y3" s="5636"/>
      <c r="Z3" s="5603" t="str">
        <f>+"Изменение "&amp;U4&amp;" спр. "&amp;T4</f>
        <v>Изменение 2027 г. спр. 2024 г.</v>
      </c>
      <c r="AA3" s="5603" t="str">
        <f>+"Изменение "&amp;Y4&amp;" спр. "&amp;U4</f>
        <v>Изменение 2031 г. спр. 2027 г.</v>
      </c>
      <c r="AC3" s="3564" t="s">
        <v>1921</v>
      </c>
      <c r="AD3" s="4285" t="str">
        <f>T4</f>
        <v>2024 г.</v>
      </c>
      <c r="AE3" s="4285" t="str">
        <f t="shared" ref="AE3:AI3" si="0">U4</f>
        <v>2027 г.</v>
      </c>
      <c r="AF3" s="4285" t="str">
        <f t="shared" si="0"/>
        <v>2028 г.</v>
      </c>
      <c r="AG3" s="4285" t="str">
        <f t="shared" si="0"/>
        <v>2029 г.</v>
      </c>
      <c r="AH3" s="4285" t="str">
        <f t="shared" si="0"/>
        <v>2030 г.</v>
      </c>
      <c r="AI3" s="4285" t="str">
        <f t="shared" si="0"/>
        <v>2031 г.</v>
      </c>
      <c r="AK3" s="5650" t="s">
        <v>1923</v>
      </c>
      <c r="AL3" s="5651" t="str">
        <f>T3</f>
        <v>Доставяне на вода на потребителите</v>
      </c>
      <c r="AM3" s="5652"/>
      <c r="AN3" s="5652"/>
      <c r="AO3" s="5652"/>
      <c r="AP3" s="5652"/>
      <c r="AR3" s="5650" t="s">
        <v>1923</v>
      </c>
      <c r="AS3" s="5644" t="s">
        <v>210</v>
      </c>
      <c r="AT3" s="5645"/>
      <c r="AU3" s="5645"/>
      <c r="AV3" s="5645"/>
      <c r="AW3" s="5646"/>
    </row>
    <row r="4" spans="1:49" ht="15.75" customHeight="1">
      <c r="A4" s="5632"/>
      <c r="B4" s="4283" t="str">
        <f>+'15. ОПП'!$B$7</f>
        <v>2024 г.</v>
      </c>
      <c r="C4" s="4283" t="str">
        <f>+'15. ОПП'!$C$7</f>
        <v>2027 г.</v>
      </c>
      <c r="D4" s="4283" t="str">
        <f>+'15. ОПП'!$D$7</f>
        <v>2028 г.</v>
      </c>
      <c r="E4" s="4283" t="str">
        <f>+'15. ОПП'!$E$7</f>
        <v>2029 г.</v>
      </c>
      <c r="F4" s="4283" t="str">
        <f>+'15. ОПП'!$F$7</f>
        <v>2030 г.</v>
      </c>
      <c r="G4" s="4283" t="str">
        <f>+'15. ОПП'!$G$7</f>
        <v>2031 г.</v>
      </c>
      <c r="I4" s="4287" t="str">
        <f>I27</f>
        <v>Доставяне на вода на потребителите</v>
      </c>
      <c r="J4" s="4288"/>
      <c r="K4" s="4288"/>
      <c r="L4" s="4288"/>
      <c r="M4" s="4288"/>
      <c r="N4" s="4288"/>
      <c r="O4" s="3703">
        <f>SUM(J4:N4)</f>
        <v>0</v>
      </c>
      <c r="S4" s="5636"/>
      <c r="T4" s="4283" t="str">
        <f>+'15. ОПП'!$B$7</f>
        <v>2024 г.</v>
      </c>
      <c r="U4" s="4283" t="str">
        <f>+'15. ОПП'!$C$7</f>
        <v>2027 г.</v>
      </c>
      <c r="V4" s="4283" t="str">
        <f>+'15. ОПП'!$D$7</f>
        <v>2028 г.</v>
      </c>
      <c r="W4" s="4283" t="str">
        <f>+'15. ОПП'!$E$7</f>
        <v>2029 г.</v>
      </c>
      <c r="X4" s="4283" t="str">
        <f>+'15. ОПП'!$F$7</f>
        <v>2030 г.</v>
      </c>
      <c r="Y4" s="4283" t="str">
        <f>+'15. ОПП'!$G$7</f>
        <v>2031 г.</v>
      </c>
      <c r="Z4" s="5603"/>
      <c r="AA4" s="5603"/>
      <c r="AC4" s="3565" t="s">
        <v>1684</v>
      </c>
      <c r="AD4" s="3566">
        <f>'14. ОПР'!I9</f>
        <v>9498.6335673345839</v>
      </c>
      <c r="AE4" s="3566">
        <f>'14. ОПР'!J9</f>
        <v>11782.09411632083</v>
      </c>
      <c r="AF4" s="3566">
        <f>'14. ОПР'!K9</f>
        <v>12465.78396022328</v>
      </c>
      <c r="AG4" s="3566">
        <f>'14. ОПР'!L9</f>
        <v>13390.793498741858</v>
      </c>
      <c r="AH4" s="3566">
        <f>'14. ОПР'!M9</f>
        <v>14464.909934017049</v>
      </c>
      <c r="AI4" s="3566">
        <f>'14. ОПР'!N9</f>
        <v>15602.43554406048</v>
      </c>
      <c r="AK4" s="5650"/>
      <c r="AL4" s="4289" t="s">
        <v>1775</v>
      </c>
      <c r="AM4" s="4289" t="s">
        <v>1776</v>
      </c>
      <c r="AN4" s="4289" t="s">
        <v>1777</v>
      </c>
      <c r="AO4" s="4289" t="s">
        <v>1778</v>
      </c>
      <c r="AP4" s="4289" t="s">
        <v>1779</v>
      </c>
      <c r="AR4" s="5650"/>
      <c r="AS4" s="4289" t="s">
        <v>1775</v>
      </c>
      <c r="AT4" s="4289" t="s">
        <v>1776</v>
      </c>
      <c r="AU4" s="4289" t="s">
        <v>1777</v>
      </c>
      <c r="AV4" s="4289" t="s">
        <v>1778</v>
      </c>
      <c r="AW4" s="4289" t="s">
        <v>1779</v>
      </c>
    </row>
    <row r="5" spans="1:49" ht="15.75" customHeight="1">
      <c r="A5" s="5631" t="s">
        <v>1656</v>
      </c>
      <c r="B5" s="5631"/>
      <c r="C5" s="5631"/>
      <c r="D5" s="5631"/>
      <c r="E5" s="5631"/>
      <c r="F5" s="5631"/>
      <c r="G5" s="5631"/>
      <c r="I5" s="4287" t="str">
        <f>I30</f>
        <v>Отвеждане на отпадъчните води</v>
      </c>
      <c r="J5" s="4288"/>
      <c r="K5" s="4288"/>
      <c r="L5" s="4288"/>
      <c r="M5" s="4288"/>
      <c r="N5" s="4288"/>
      <c r="O5" s="3703">
        <f>SUM(J5:N5)</f>
        <v>0</v>
      </c>
      <c r="S5" s="4290" t="s">
        <v>226</v>
      </c>
      <c r="T5" s="4291">
        <f>'12. Разходи'!BJ11</f>
        <v>1285.4582172706234</v>
      </c>
      <c r="U5" s="4291">
        <f>'12. Разходи'!BK11</f>
        <v>1508.1714080469721</v>
      </c>
      <c r="V5" s="4291">
        <f>'12. Разходи'!BL11</f>
        <v>1485.3041835455911</v>
      </c>
      <c r="W5" s="4291">
        <f>'12. Разходи'!BM11</f>
        <v>1459.9301162601537</v>
      </c>
      <c r="X5" s="4291">
        <f>'12. Разходи'!BN11</f>
        <v>1424.4275130779472</v>
      </c>
      <c r="Y5" s="4291">
        <f>'12. Разходи'!BO11</f>
        <v>1375.9256971593722</v>
      </c>
      <c r="Z5" s="4292">
        <f>IFERROR((U5-T5)/T5,0)</f>
        <v>0.17325587699709855</v>
      </c>
      <c r="AA5" s="4292">
        <f>IFERROR((Y5-U5)/U5,0)</f>
        <v>-8.7686127837984504E-2</v>
      </c>
      <c r="AC5" s="3455" t="s">
        <v>494</v>
      </c>
      <c r="AD5" s="3459">
        <f>'14. ОПР'!I16</f>
        <v>0</v>
      </c>
      <c r="AE5" s="3459">
        <f>'14. ОПР'!J16</f>
        <v>0</v>
      </c>
      <c r="AF5" s="3459">
        <f>'14. ОПР'!K16</f>
        <v>0</v>
      </c>
      <c r="AG5" s="3459">
        <f>'14. ОПР'!L16</f>
        <v>0</v>
      </c>
      <c r="AH5" s="3459">
        <f>'14. ОПР'!M16</f>
        <v>0</v>
      </c>
      <c r="AI5" s="3459">
        <f>'14. ОПР'!N16</f>
        <v>0</v>
      </c>
      <c r="AK5" s="3460" t="s">
        <v>547</v>
      </c>
      <c r="AL5" s="3567">
        <f>'17. РБА'!I10</f>
        <v>6364.4418094595849</v>
      </c>
      <c r="AM5" s="3567">
        <f>'17. РБА'!J10</f>
        <v>6704.6213410821356</v>
      </c>
      <c r="AN5" s="3567">
        <f>'17. РБА'!K10</f>
        <v>7046.3347483482748</v>
      </c>
      <c r="AO5" s="3567">
        <f>'17. РБА'!L10</f>
        <v>7407.1363858457398</v>
      </c>
      <c r="AP5" s="3567">
        <f>'17. РБА'!M10</f>
        <v>7772.5396502739695</v>
      </c>
      <c r="AR5" s="3568" t="s">
        <v>294</v>
      </c>
      <c r="AS5" s="3305">
        <f>'16. Необходими приходи'!K9</f>
        <v>420.53993781296884</v>
      </c>
      <c r="AT5" s="3305">
        <f>'16. Необходими приходи'!L9</f>
        <v>433.21608693354159</v>
      </c>
      <c r="AU5" s="3305">
        <f>'16. Необходими приходи'!M9</f>
        <v>449.20417864320285</v>
      </c>
      <c r="AV5" s="3305">
        <f>'16. Необходими приходи'!N9</f>
        <v>467.96470865136581</v>
      </c>
      <c r="AW5" s="3305">
        <f>'16. Необходими приходи'!O9</f>
        <v>485.96358683865446</v>
      </c>
    </row>
    <row r="6" spans="1:49" ht="15.75" customHeight="1">
      <c r="A6" s="4293" t="s">
        <v>334</v>
      </c>
      <c r="B6" s="3703">
        <f>'11. Амортиз. план'!AQ10</f>
        <v>3566.6224058125949</v>
      </c>
      <c r="C6" s="3703">
        <f>'11. Амортиз. план'!AS10</f>
        <v>3589.8009710934903</v>
      </c>
      <c r="D6" s="3703">
        <f>'11. Амортиз. план'!AT10</f>
        <v>3594.4025980242559</v>
      </c>
      <c r="E6" s="3703">
        <f>'11. Амортиз. план'!AU10</f>
        <v>3602.242406869264</v>
      </c>
      <c r="F6" s="3703">
        <f>'11. Амортиз. план'!AV10</f>
        <v>3609.05963195188</v>
      </c>
      <c r="G6" s="3703">
        <f>'11. Амортиз. план'!AW10</f>
        <v>3613.6612588826474</v>
      </c>
      <c r="I6" s="4287" t="str">
        <f>I33</f>
        <v>Пречистване на отпадъчните води</v>
      </c>
      <c r="J6" s="4288"/>
      <c r="K6" s="4288"/>
      <c r="L6" s="4288"/>
      <c r="M6" s="4288"/>
      <c r="N6" s="4288"/>
      <c r="O6" s="3703">
        <f>SUM(J6:N6)</f>
        <v>0</v>
      </c>
      <c r="S6" s="4294" t="s">
        <v>239</v>
      </c>
      <c r="T6" s="3579">
        <f>'12. Разходи'!BJ29</f>
        <v>395.61521138558442</v>
      </c>
      <c r="U6" s="3579">
        <f>'12. Разходи'!BK29</f>
        <v>443.1214619748153</v>
      </c>
      <c r="V6" s="3579">
        <f>'12. Разходи'!BL29</f>
        <v>443.87728829733095</v>
      </c>
      <c r="W6" s="3579">
        <f>'12. Разходи'!BM29</f>
        <v>440.64764806089835</v>
      </c>
      <c r="X6" s="3579">
        <f>'12. Разходи'!BN29</f>
        <v>442.30095491375721</v>
      </c>
      <c r="Y6" s="3579">
        <f>'12. Разходи'!BO29</f>
        <v>438.79003678867292</v>
      </c>
      <c r="Z6" s="4292">
        <f t="shared" ref="Z6:Z21" si="1">IFERROR((U6-T6)/T6,0)</f>
        <v>0.12008196151722071</v>
      </c>
      <c r="AA6" s="4292">
        <f t="shared" ref="AA6:AA15" si="2">IFERROR((Y6-U6)/U6,0)</f>
        <v>-9.7748034293779207E-3</v>
      </c>
      <c r="AC6" s="3569" t="s">
        <v>489</v>
      </c>
      <c r="AD6" s="3570">
        <f t="shared" ref="AD6:AI6" si="3">AD4+AD5</f>
        <v>9498.6335673345839</v>
      </c>
      <c r="AE6" s="3570">
        <f t="shared" si="3"/>
        <v>11782.09411632083</v>
      </c>
      <c r="AF6" s="3570">
        <f t="shared" si="3"/>
        <v>12465.78396022328</v>
      </c>
      <c r="AG6" s="3570">
        <f t="shared" si="3"/>
        <v>13390.793498741858</v>
      </c>
      <c r="AH6" s="3570">
        <f t="shared" si="3"/>
        <v>14464.909934017049</v>
      </c>
      <c r="AI6" s="3570">
        <f t="shared" si="3"/>
        <v>15602.43554406048</v>
      </c>
      <c r="AK6" s="3460" t="s">
        <v>548</v>
      </c>
      <c r="AL6" s="3571">
        <f>'17. РБА'!I13</f>
        <v>2735.073377298791</v>
      </c>
      <c r="AM6" s="3571">
        <f>'17. РБА'!J13</f>
        <v>2937.0543549109784</v>
      </c>
      <c r="AN6" s="3571">
        <f>'17. РБА'!K13</f>
        <v>3156.5737340976916</v>
      </c>
      <c r="AO6" s="3571">
        <f>'17. РБА'!L13</f>
        <v>3394.7123347965785</v>
      </c>
      <c r="AP6" s="3571">
        <f>'17. РБА'!M13</f>
        <v>3652.879823758758</v>
      </c>
      <c r="AR6" s="3568" t="s">
        <v>296</v>
      </c>
      <c r="AS6" s="3305">
        <f>'16. Необходими приходи'!K10</f>
        <v>6726.8660382117114</v>
      </c>
      <c r="AT6" s="3305">
        <f>'16. Необходими приходи'!L10</f>
        <v>7268.6684841267861</v>
      </c>
      <c r="AU6" s="3305">
        <f>'16. Необходими приходи'!M10</f>
        <v>7851.7621738101107</v>
      </c>
      <c r="AV6" s="3305">
        <f>'16. Необходими приходи'!N10</f>
        <v>8519.9863338874602</v>
      </c>
      <c r="AW6" s="3305">
        <f>'16. Необходими приходи'!O10</f>
        <v>9249.4974059188808</v>
      </c>
    </row>
    <row r="7" spans="1:49" ht="15.75" customHeight="1">
      <c r="A7" s="4295" t="s">
        <v>218</v>
      </c>
      <c r="B7" s="4296">
        <f>'11. Амортиз. план'!AQ35</f>
        <v>48.474416340741115</v>
      </c>
      <c r="C7" s="4296">
        <f>'11. Амортиз. план'!AS35</f>
        <v>77.996523408790566</v>
      </c>
      <c r="D7" s="4296">
        <f>'11. Амортиз. план'!AT35</f>
        <v>79.929542016470791</v>
      </c>
      <c r="E7" s="4296">
        <f>'11. Амортиз. план'!AU35</f>
        <v>82.497261193589551</v>
      </c>
      <c r="F7" s="4296">
        <f>'11. Амортиз. план'!AV35</f>
        <v>85.694917598786574</v>
      </c>
      <c r="G7" s="4296">
        <f>'11. Амортиз. план'!AW35</f>
        <v>87.969067628679753</v>
      </c>
      <c r="I7" s="4297" t="s">
        <v>1028</v>
      </c>
      <c r="J7" s="4298">
        <f t="shared" ref="J7:O7" si="4">SUM(J4:J6)</f>
        <v>0</v>
      </c>
      <c r="K7" s="4298">
        <f t="shared" si="4"/>
        <v>0</v>
      </c>
      <c r="L7" s="4298">
        <f t="shared" si="4"/>
        <v>0</v>
      </c>
      <c r="M7" s="4298">
        <f t="shared" si="4"/>
        <v>0</v>
      </c>
      <c r="N7" s="4298">
        <f t="shared" si="4"/>
        <v>0</v>
      </c>
      <c r="O7" s="4298">
        <f t="shared" si="4"/>
        <v>0</v>
      </c>
      <c r="S7" s="4294" t="s">
        <v>446</v>
      </c>
      <c r="T7" s="3579">
        <f>'12. Разходи'!BJ55</f>
        <v>463.68681439343948</v>
      </c>
      <c r="U7" s="3579">
        <f>'12. Разходи'!BK55</f>
        <v>467.41299178422582</v>
      </c>
      <c r="V7" s="3579">
        <f>'12. Разходи'!BL55</f>
        <v>471.90246979788719</v>
      </c>
      <c r="W7" s="3579">
        <f>'12. Разходи'!BM55</f>
        <v>449.17456325888969</v>
      </c>
      <c r="X7" s="3579">
        <f>'12. Разходи'!BN55</f>
        <v>444.28095694440111</v>
      </c>
      <c r="Y7" s="3579">
        <f>'12. Разходи'!BO55</f>
        <v>440.41960439993971</v>
      </c>
      <c r="Z7" s="4292">
        <f t="shared" si="1"/>
        <v>8.0359787579050625E-3</v>
      </c>
      <c r="AA7" s="4292">
        <f t="shared" si="2"/>
        <v>-5.7750614250677908E-2</v>
      </c>
      <c r="AC7" s="3565" t="s">
        <v>1685</v>
      </c>
      <c r="AD7" s="3566">
        <f>'14. ОПР'!I22</f>
        <v>9115.7301614183234</v>
      </c>
      <c r="AE7" s="3566">
        <f>'14. ОПР'!J22</f>
        <v>11602.835313166119</v>
      </c>
      <c r="AF7" s="3566">
        <f>'14. ОПР'!K22</f>
        <v>12263.870356411118</v>
      </c>
      <c r="AG7" s="3566">
        <f>'14. ОПР'!L22</f>
        <v>13162.696200981745</v>
      </c>
      <c r="AH7" s="3566">
        <f>'14. ОПР'!M22</f>
        <v>14206.817011812183</v>
      </c>
      <c r="AI7" s="3566">
        <f>'14. ОПР'!N22</f>
        <v>15315.579437138758</v>
      </c>
      <c r="AK7" s="3460" t="s">
        <v>549</v>
      </c>
      <c r="AL7" s="3567">
        <f>'17. РБА'!I16</f>
        <v>128.64720693267495</v>
      </c>
      <c r="AM7" s="3567">
        <f>'17. РБА'!J16</f>
        <v>55.134660099179257</v>
      </c>
      <c r="AN7" s="3567">
        <f>'17. РБА'!K16</f>
        <v>9.1891933412157059</v>
      </c>
      <c r="AO7" s="3567">
        <f>'17. РБА'!L16</f>
        <v>0</v>
      </c>
      <c r="AP7" s="3567">
        <f>'17. РБА'!M16</f>
        <v>0</v>
      </c>
      <c r="AR7" s="3568" t="s">
        <v>1785</v>
      </c>
      <c r="AS7" s="3305">
        <f>'12. Разходи'!BK17</f>
        <v>1088.75499550059</v>
      </c>
      <c r="AT7" s="3305">
        <f>'12. Разходи'!BL17</f>
        <v>1071.7930442354091</v>
      </c>
      <c r="AU7" s="3305">
        <f>'12. Разходи'!BM17</f>
        <v>1049.2831985742587</v>
      </c>
      <c r="AV7" s="3305">
        <f>'12. Разходи'!BN17</f>
        <v>1016.3887641006963</v>
      </c>
      <c r="AW7" s="3305">
        <f>'12. Разходи'!BO17</f>
        <v>972.11396651003338</v>
      </c>
    </row>
    <row r="8" spans="1:49" ht="15.75" customHeight="1">
      <c r="A8" s="4299" t="s">
        <v>220</v>
      </c>
      <c r="B8" s="3579">
        <f>'11. Амортиз. план'!AQ60</f>
        <v>2286.4901470018326</v>
      </c>
      <c r="C8" s="3579">
        <f>'11. Амортиз. план'!AS60</f>
        <v>2438.7836227606895</v>
      </c>
      <c r="D8" s="3579">
        <f>'11. Амортиз. план'!AT60</f>
        <v>2518.7131647771594</v>
      </c>
      <c r="E8" s="3579">
        <f>'11. Амортиз. план'!AU60</f>
        <v>2601.2104259707498</v>
      </c>
      <c r="F8" s="3579">
        <f>'11. Амортиз. план'!AV60</f>
        <v>2686.9053435695359</v>
      </c>
      <c r="G8" s="3579">
        <f>'11. Амортиз. план'!AW60</f>
        <v>2774.874411198216</v>
      </c>
      <c r="I8" s="1331" t="s">
        <v>1732</v>
      </c>
      <c r="J8" s="1331"/>
      <c r="K8" s="1331"/>
      <c r="L8" s="1331"/>
      <c r="M8" s="1331"/>
      <c r="N8" s="1331"/>
      <c r="O8" s="3446" t="s">
        <v>1909</v>
      </c>
      <c r="S8" s="4300" t="s">
        <v>447</v>
      </c>
      <c r="T8" s="4296">
        <f>'12. Разходи'!BJ56</f>
        <v>34.559627129379315</v>
      </c>
      <c r="U8" s="4296">
        <f>'12. Разходи'!BK56</f>
        <v>77.996523408790566</v>
      </c>
      <c r="V8" s="4296">
        <f>'12. Разходи'!BL56</f>
        <v>79.929542016470791</v>
      </c>
      <c r="W8" s="4296">
        <f>'12. Разходи'!BM56</f>
        <v>82.497261193589551</v>
      </c>
      <c r="X8" s="4296">
        <f>'12. Разходи'!BN56</f>
        <v>85.694917598786574</v>
      </c>
      <c r="Y8" s="4296">
        <f>'12. Разходи'!BO56</f>
        <v>87.969067628679753</v>
      </c>
      <c r="Z8" s="4292">
        <f t="shared" si="1"/>
        <v>1.256868198166563</v>
      </c>
      <c r="AA8" s="4292">
        <f t="shared" si="2"/>
        <v>0.1278588299073499</v>
      </c>
      <c r="AC8" s="3456" t="s">
        <v>508</v>
      </c>
      <c r="AD8" s="3459">
        <f>'14. ОПР'!I34</f>
        <v>11.096646934120551</v>
      </c>
      <c r="AE8" s="3459">
        <f>'14. ОПР'!J34</f>
        <v>5.2434701025236503</v>
      </c>
      <c r="AF8" s="3459">
        <f>'14. ОПР'!K34</f>
        <v>2.3169063722802057</v>
      </c>
      <c r="AG8" s="3459">
        <f>'14. ОПР'!L34</f>
        <v>0.121954628483747</v>
      </c>
      <c r="AH8" s="3459">
        <f>'14. ОПР'!M34</f>
        <v>0</v>
      </c>
      <c r="AI8" s="3459">
        <f>'14. ОПР'!N34</f>
        <v>0</v>
      </c>
      <c r="AK8" s="3460" t="s">
        <v>329</v>
      </c>
      <c r="AL8" s="3567">
        <f>'17. РБА'!I19</f>
        <v>340.17953162255071</v>
      </c>
      <c r="AM8" s="3567">
        <f>'17. РБА'!J19</f>
        <v>341.71340726613937</v>
      </c>
      <c r="AN8" s="3567">
        <f>'17. РБА'!K19</f>
        <v>360.80163749746481</v>
      </c>
      <c r="AO8" s="3567">
        <f>'17. РБА'!L19</f>
        <v>365.40326442823078</v>
      </c>
      <c r="AP8" s="3567">
        <f>'17. РБА'!M19</f>
        <v>357.05216370202595</v>
      </c>
      <c r="AR8" s="3541" t="s">
        <v>297</v>
      </c>
      <c r="AS8" s="3542">
        <f>AS5+AS6</f>
        <v>7147.4059760246801</v>
      </c>
      <c r="AT8" s="3542">
        <f>AT5+AT6</f>
        <v>7701.8845710603273</v>
      </c>
      <c r="AU8" s="3542">
        <f>AU5+AU6</f>
        <v>8300.9663524533134</v>
      </c>
      <c r="AV8" s="3542">
        <f>AV5+AV6</f>
        <v>8987.9510425388253</v>
      </c>
      <c r="AW8" s="3542">
        <f>AW5+AW6</f>
        <v>9735.4609927575348</v>
      </c>
    </row>
    <row r="9" spans="1:49" ht="15.75" customHeight="1">
      <c r="A9" s="4299" t="s">
        <v>222</v>
      </c>
      <c r="B9" s="3579">
        <f>'11. Амортиз. план'!AQ85</f>
        <v>1280.132258810761</v>
      </c>
      <c r="C9" s="3579">
        <f>'11. Амортиз. план'!AS85</f>
        <v>1151.017348332801</v>
      </c>
      <c r="D9" s="3579">
        <f>'11. Амортиз. план'!AT85</f>
        <v>1075.6894332470961</v>
      </c>
      <c r="E9" s="3579">
        <f>'11. Амортиз. план'!AU85</f>
        <v>1001.0319808985151</v>
      </c>
      <c r="F9" s="3579">
        <f>'11. Амортиз. план'!AV85</f>
        <v>922.15428838234493</v>
      </c>
      <c r="G9" s="3579">
        <f>'11. Амортиз. план'!AW85</f>
        <v>838.78684768443111</v>
      </c>
      <c r="I9" s="4282" t="s">
        <v>1494</v>
      </c>
      <c r="J9" s="4283" t="str">
        <f>+'15. ОПП'!$C$7</f>
        <v>2027 г.</v>
      </c>
      <c r="K9" s="4283" t="str">
        <f>+'15. ОПП'!$D$7</f>
        <v>2028 г.</v>
      </c>
      <c r="L9" s="4283" t="str">
        <f>+'15. ОПП'!$E$7</f>
        <v>2029 г.</v>
      </c>
      <c r="M9" s="4283" t="str">
        <f>+'15. ОПП'!$F$7</f>
        <v>2030 г.</v>
      </c>
      <c r="N9" s="4283" t="str">
        <f>+'15. ОПП'!$G$7</f>
        <v>2031 г.</v>
      </c>
      <c r="O9" s="4284" t="s">
        <v>1593</v>
      </c>
      <c r="S9" s="4300" t="s">
        <v>736</v>
      </c>
      <c r="T9" s="4296">
        <f>'12. Разходи'!BJ57</f>
        <v>56.017052249961118</v>
      </c>
      <c r="U9" s="4296">
        <f>'12. Разходи'!BK57</f>
        <v>123.98445420339695</v>
      </c>
      <c r="V9" s="4296">
        <f>'12. Разходи'!BL57</f>
        <v>139.5898371702429</v>
      </c>
      <c r="W9" s="4296">
        <f>'12. Разходи'!BM57</f>
        <v>155.64133950529649</v>
      </c>
      <c r="X9" s="4296">
        <f>'12. Разходи'!BN57</f>
        <v>172.47257136339351</v>
      </c>
      <c r="Y9" s="4296">
        <f>'12. Разходи'!BO57</f>
        <v>189.17351243450878</v>
      </c>
      <c r="Z9" s="4292">
        <f t="shared" si="1"/>
        <v>1.2133341406496985</v>
      </c>
      <c r="AA9" s="4292">
        <f t="shared" si="2"/>
        <v>0.52578412874382574</v>
      </c>
      <c r="AC9" s="3569" t="s">
        <v>499</v>
      </c>
      <c r="AD9" s="3570">
        <f t="shared" ref="AD9:AI9" si="5">AD7+AD8</f>
        <v>9126.8268083524435</v>
      </c>
      <c r="AE9" s="3570">
        <f t="shared" si="5"/>
        <v>11608.078783268642</v>
      </c>
      <c r="AF9" s="3570">
        <f t="shared" si="5"/>
        <v>12266.187262783398</v>
      </c>
      <c r="AG9" s="3570">
        <f t="shared" si="5"/>
        <v>13162.818155610228</v>
      </c>
      <c r="AH9" s="3570">
        <f t="shared" si="5"/>
        <v>14206.817011812183</v>
      </c>
      <c r="AI9" s="3570">
        <f t="shared" si="5"/>
        <v>15315.579437138758</v>
      </c>
      <c r="AK9" s="3460" t="s">
        <v>306</v>
      </c>
      <c r="AL9" s="3567">
        <f>'17. РБА'!I20</f>
        <v>1028.9511857141072</v>
      </c>
      <c r="AM9" s="3567">
        <f>'17. РБА'!J20</f>
        <v>1117.2766050951616</v>
      </c>
      <c r="AN9" s="3567">
        <f>'17. РБА'!K20</f>
        <v>1216.8637168029406</v>
      </c>
      <c r="AO9" s="3567">
        <f>'17. РБА'!L20</f>
        <v>1327.5132126481742</v>
      </c>
      <c r="AP9" s="3567">
        <f>'17. РБА'!M20</f>
        <v>1448.067583811333</v>
      </c>
      <c r="AR9" s="5650" t="s">
        <v>1923</v>
      </c>
      <c r="AS9" s="5644" t="s">
        <v>174</v>
      </c>
      <c r="AT9" s="5645"/>
      <c r="AU9" s="5645"/>
      <c r="AV9" s="5645"/>
      <c r="AW9" s="5646"/>
    </row>
    <row r="10" spans="1:49" ht="15.75" customHeight="1">
      <c r="A10" s="5631" t="s">
        <v>1657</v>
      </c>
      <c r="B10" s="5631"/>
      <c r="C10" s="5631"/>
      <c r="D10" s="5631"/>
      <c r="E10" s="5631"/>
      <c r="F10" s="5631"/>
      <c r="G10" s="5631"/>
      <c r="I10" s="4287" t="s">
        <v>207</v>
      </c>
      <c r="J10" s="4288">
        <f>J28</f>
        <v>334.55532092939234</v>
      </c>
      <c r="K10" s="4288">
        <f t="shared" ref="K10:N10" si="6">K28</f>
        <v>337.1117803353734</v>
      </c>
      <c r="L10" s="4288">
        <f t="shared" si="6"/>
        <v>352.96182865245612</v>
      </c>
      <c r="M10" s="4288">
        <f t="shared" si="6"/>
        <v>358.58603934561455</v>
      </c>
      <c r="N10" s="4288">
        <f t="shared" si="6"/>
        <v>352.45053677125998</v>
      </c>
      <c r="O10" s="3703">
        <f>SUM(J10:N10)</f>
        <v>1735.6655060340963</v>
      </c>
      <c r="S10" s="4300" t="s">
        <v>737</v>
      </c>
      <c r="T10" s="4296">
        <f>'12. Разходи'!BJ58</f>
        <v>373.11013501409906</v>
      </c>
      <c r="U10" s="4296">
        <f>'12. Разходи'!BK58</f>
        <v>265.43201417203829</v>
      </c>
      <c r="V10" s="4296">
        <f>'12. Разходи'!BL58</f>
        <v>252.38309061117349</v>
      </c>
      <c r="W10" s="4296">
        <f>'12. Разходи'!BM58</f>
        <v>211.03596256000367</v>
      </c>
      <c r="X10" s="4296">
        <f>'12. Разходи'!BN58</f>
        <v>186.11346798222101</v>
      </c>
      <c r="Y10" s="4296">
        <f>'12. Разходи'!BO58</f>
        <v>163.2770243367512</v>
      </c>
      <c r="Z10" s="4292">
        <f t="shared" si="1"/>
        <v>-0.28859607589590625</v>
      </c>
      <c r="AA10" s="4292">
        <f t="shared" si="2"/>
        <v>-0.38486310761698816</v>
      </c>
      <c r="AC10" s="3455" t="s">
        <v>513</v>
      </c>
      <c r="AD10" s="3566">
        <f t="shared" ref="AD10:AI10" si="7">AD4-AD7</f>
        <v>382.90340591626045</v>
      </c>
      <c r="AE10" s="3566">
        <f t="shared" si="7"/>
        <v>179.25880315471113</v>
      </c>
      <c r="AF10" s="3566">
        <f t="shared" si="7"/>
        <v>201.91360381216145</v>
      </c>
      <c r="AG10" s="3566">
        <f t="shared" si="7"/>
        <v>228.09729776011227</v>
      </c>
      <c r="AH10" s="3566">
        <f t="shared" si="7"/>
        <v>258.09292220486532</v>
      </c>
      <c r="AI10" s="3566">
        <f t="shared" si="7"/>
        <v>286.85610692172122</v>
      </c>
      <c r="AK10" s="3461" t="s">
        <v>305</v>
      </c>
      <c r="AL10" s="3462">
        <f t="shared" ref="AL10:AP10" si="8">AL5-AL6+AL7+AL8+AL9</f>
        <v>5127.1463564301266</v>
      </c>
      <c r="AM10" s="3462">
        <f t="shared" si="8"/>
        <v>5281.6916586316374</v>
      </c>
      <c r="AN10" s="3462">
        <f t="shared" si="8"/>
        <v>5476.6155618922048</v>
      </c>
      <c r="AO10" s="3462">
        <f t="shared" si="8"/>
        <v>5705.3405281255664</v>
      </c>
      <c r="AP10" s="3462">
        <f t="shared" si="8"/>
        <v>5924.7795740285701</v>
      </c>
      <c r="AR10" s="5650"/>
      <c r="AS10" s="4289" t="s">
        <v>1775</v>
      </c>
      <c r="AT10" s="4289" t="s">
        <v>1776</v>
      </c>
      <c r="AU10" s="4289" t="s">
        <v>1777</v>
      </c>
      <c r="AV10" s="4289" t="s">
        <v>1778</v>
      </c>
      <c r="AW10" s="4289" t="s">
        <v>1779</v>
      </c>
    </row>
    <row r="11" spans="1:49" ht="15.75" customHeight="1">
      <c r="A11" s="4293" t="s">
        <v>334</v>
      </c>
      <c r="B11" s="3703">
        <f>'11. Амортиз. план'!AQ111</f>
        <v>2361.2187447621859</v>
      </c>
      <c r="C11" s="3703">
        <f>'11. Амортиз. план'!AS111</f>
        <v>3114.8203699886453</v>
      </c>
      <c r="D11" s="3703">
        <f>'11. Амортиз. план'!AT111</f>
        <v>3451.9321503240189</v>
      </c>
      <c r="E11" s="3703">
        <f>'11. Амортиз. план'!AU111</f>
        <v>3804.8939789764754</v>
      </c>
      <c r="F11" s="3703">
        <f>'11. Амортиз. план'!AV111</f>
        <v>4163.4800183220896</v>
      </c>
      <c r="G11" s="3703">
        <f>'11. Амортиз. план'!AW111</f>
        <v>4515.9305550933504</v>
      </c>
      <c r="I11" s="4287" t="s">
        <v>208</v>
      </c>
      <c r="J11" s="4288">
        <f>J31</f>
        <v>24.712440924483893</v>
      </c>
      <c r="K11" s="4288">
        <f t="shared" ref="K11:N11" si="9">K31</f>
        <v>24.712440924483893</v>
      </c>
      <c r="L11" s="4288">
        <f t="shared" si="9"/>
        <v>24.712440924483893</v>
      </c>
      <c r="M11" s="4288">
        <f t="shared" si="9"/>
        <v>24.712440924483893</v>
      </c>
      <c r="N11" s="4288">
        <f t="shared" si="9"/>
        <v>24.712440924483893</v>
      </c>
      <c r="O11" s="3703">
        <f>SUM(J11:N11)</f>
        <v>123.56220462241947</v>
      </c>
      <c r="S11" s="4294" t="s">
        <v>448</v>
      </c>
      <c r="T11" s="3579">
        <f>'12. Разходи'!BJ59</f>
        <v>2273.787966029035</v>
      </c>
      <c r="U11" s="3579">
        <f>'12. Разходи'!BK59</f>
        <v>3256.9760585824879</v>
      </c>
      <c r="V11" s="3579">
        <f>'12. Разходи'!BL59</f>
        <v>3684.2919882735046</v>
      </c>
      <c r="W11" s="3579">
        <f>'12. Разходи'!BM59</f>
        <v>4187.3155690155218</v>
      </c>
      <c r="X11" s="3579">
        <f>'12. Разходи'!BN59</f>
        <v>4762.1764481128257</v>
      </c>
      <c r="Y11" s="3579">
        <f>'12. Разходи'!BO59</f>
        <v>5416.5031697854029</v>
      </c>
      <c r="Z11" s="4292">
        <f t="shared" si="1"/>
        <v>0.43240095701205683</v>
      </c>
      <c r="AA11" s="4292">
        <f t="shared" si="2"/>
        <v>0.66304666425542946</v>
      </c>
      <c r="AC11" s="3455" t="s">
        <v>514</v>
      </c>
      <c r="AD11" s="3566">
        <f t="shared" ref="AD11:AI11" si="10">AD6-AD9</f>
        <v>371.80675898214031</v>
      </c>
      <c r="AE11" s="3566">
        <f t="shared" si="10"/>
        <v>174.015333052188</v>
      </c>
      <c r="AF11" s="3566">
        <f t="shared" si="10"/>
        <v>199.59669743988161</v>
      </c>
      <c r="AG11" s="3566">
        <f t="shared" si="10"/>
        <v>227.97534313162942</v>
      </c>
      <c r="AH11" s="3566">
        <f t="shared" si="10"/>
        <v>258.09292220486532</v>
      </c>
      <c r="AI11" s="3566">
        <f t="shared" si="10"/>
        <v>286.85610692172122</v>
      </c>
      <c r="AK11" s="5650" t="s">
        <v>1923</v>
      </c>
      <c r="AL11" s="5651" t="str">
        <f>T24</f>
        <v>Отвеждане на отпадъчните води</v>
      </c>
      <c r="AM11" s="5652"/>
      <c r="AN11" s="5652"/>
      <c r="AO11" s="5652"/>
      <c r="AP11" s="5652"/>
      <c r="AR11" s="3568" t="s">
        <v>294</v>
      </c>
      <c r="AS11" s="3305">
        <f>'16. Необходими приходи'!K15</f>
        <v>25.425611345426596</v>
      </c>
      <c r="AT11" s="3305">
        <f>'16. Необходими приходи'!L15</f>
        <v>27.312121800007795</v>
      </c>
      <c r="AU11" s="3305">
        <f>'16. Необходими приходи'!M15</f>
        <v>29.502490573372619</v>
      </c>
      <c r="AV11" s="3305">
        <f>'16. Необходими приходи'!N15</f>
        <v>31.698680840275458</v>
      </c>
      <c r="AW11" s="3305">
        <f>'16. Необходими приходи'!O15</f>
        <v>33.723958308584713</v>
      </c>
    </row>
    <row r="12" spans="1:49" ht="15.75" customHeight="1">
      <c r="A12" s="4295" t="s">
        <v>218</v>
      </c>
      <c r="B12" s="4296">
        <f>'11. Амортиз. план'!AQ131</f>
        <v>75.463374393877132</v>
      </c>
      <c r="C12" s="4296">
        <f>'11. Амортиз. план'!AS131</f>
        <v>123.98445420339695</v>
      </c>
      <c r="D12" s="4296">
        <f>'11. Амортиз. план'!AT131</f>
        <v>139.5898371702429</v>
      </c>
      <c r="E12" s="4296">
        <f>'11. Амортиз. план'!AU131</f>
        <v>155.64133950529649</v>
      </c>
      <c r="F12" s="4296">
        <f>'11. Амортиз. план'!AV131</f>
        <v>172.47257136339351</v>
      </c>
      <c r="G12" s="4296">
        <f>'11. Амортиз. план'!AW131</f>
        <v>189.17351243450878</v>
      </c>
      <c r="I12" s="4287" t="s">
        <v>209</v>
      </c>
      <c r="J12" s="4288">
        <f>J34</f>
        <v>37.494737954389358</v>
      </c>
      <c r="K12" s="4288">
        <f t="shared" ref="K12:N12" si="11">K34</f>
        <v>37.494737954389358</v>
      </c>
      <c r="L12" s="4288">
        <f t="shared" si="11"/>
        <v>37.494737954389358</v>
      </c>
      <c r="M12" s="4288">
        <f t="shared" si="11"/>
        <v>37.494737954389358</v>
      </c>
      <c r="N12" s="4288">
        <f t="shared" si="11"/>
        <v>37.494737954389358</v>
      </c>
      <c r="O12" s="3703">
        <f>SUM(J12:N12)</f>
        <v>187.47368977194679</v>
      </c>
      <c r="S12" s="4294" t="s">
        <v>449</v>
      </c>
      <c r="T12" s="3579">
        <f>'12. Разходи'!BJ63</f>
        <v>599.55249604776498</v>
      </c>
      <c r="U12" s="3579">
        <f>'12. Разходи'!BK63</f>
        <v>893.29133979708809</v>
      </c>
      <c r="V12" s="3579">
        <f>'12. Разходи'!BL63</f>
        <v>1026.5271578874244</v>
      </c>
      <c r="W12" s="3579">
        <f>'12. Разходи'!BM63</f>
        <v>1159.3593758187967</v>
      </c>
      <c r="X12" s="3579">
        <f>'12. Разходи'!BN63</f>
        <v>1293.4177975127834</v>
      </c>
      <c r="Y12" s="3579">
        <f>'12. Разходи'!BO63</f>
        <v>1427.2977241843307</v>
      </c>
      <c r="Z12" s="4292">
        <f t="shared" si="1"/>
        <v>0.48993014904556681</v>
      </c>
      <c r="AA12" s="4292">
        <f t="shared" si="2"/>
        <v>0.59779644176170188</v>
      </c>
      <c r="AC12" s="3457"/>
      <c r="AD12" s="3458"/>
      <c r="AE12" s="3573"/>
      <c r="AF12" s="3573"/>
      <c r="AG12" s="3573"/>
      <c r="AH12" s="3573"/>
      <c r="AI12" s="3573"/>
      <c r="AK12" s="5650"/>
      <c r="AL12" s="4289" t="s">
        <v>1775</v>
      </c>
      <c r="AM12" s="4289" t="s">
        <v>1776</v>
      </c>
      <c r="AN12" s="4289" t="s">
        <v>1777</v>
      </c>
      <c r="AO12" s="4289" t="s">
        <v>1778</v>
      </c>
      <c r="AP12" s="4289" t="s">
        <v>1779</v>
      </c>
      <c r="AR12" s="3568" t="s">
        <v>296</v>
      </c>
      <c r="AS12" s="3305">
        <f>'16. Необходими приходи'!K16</f>
        <v>269.43559135399306</v>
      </c>
      <c r="AT12" s="3305">
        <f>'16. Необходими приходи'!L16</f>
        <v>297.00998340634459</v>
      </c>
      <c r="AU12" s="3305">
        <f>'16. Необходими приходи'!M16</f>
        <v>326.90988956234247</v>
      </c>
      <c r="AV12" s="3305">
        <f>'16. Необходими приходи'!N16</f>
        <v>362.23777920438465</v>
      </c>
      <c r="AW12" s="3305">
        <f>'16. Необходими приходи'!O16</f>
        <v>399.72878892653631</v>
      </c>
    </row>
    <row r="13" spans="1:49" ht="15.75" customHeight="1">
      <c r="A13" s="4299" t="s">
        <v>220</v>
      </c>
      <c r="B13" s="3579">
        <f>'11. Амортиз. план'!AQ151</f>
        <v>273.15764728062533</v>
      </c>
      <c r="C13" s="3579">
        <f>'11. Амортиз. план'!AS151</f>
        <v>498.27073215028929</v>
      </c>
      <c r="D13" s="3579">
        <f>'11. Амортиз. план'!AT151</f>
        <v>637.86056932053214</v>
      </c>
      <c r="E13" s="3579">
        <f>'11. Амортиз. план'!AU151</f>
        <v>793.50190882582876</v>
      </c>
      <c r="F13" s="3579">
        <f>'11. Амортиз. план'!AV151</f>
        <v>965.97448018922228</v>
      </c>
      <c r="G13" s="3579">
        <f>'11. Амортиз. план'!AW151</f>
        <v>1155.1479926237312</v>
      </c>
      <c r="I13" s="4287" t="s">
        <v>1029</v>
      </c>
      <c r="J13" s="4288">
        <f>J37</f>
        <v>0</v>
      </c>
      <c r="K13" s="4288">
        <f t="shared" ref="K13:N13" si="12">K37</f>
        <v>0</v>
      </c>
      <c r="L13" s="4288">
        <f t="shared" si="12"/>
        <v>0</v>
      </c>
      <c r="M13" s="4288">
        <f t="shared" si="12"/>
        <v>0</v>
      </c>
      <c r="N13" s="4288">
        <f t="shared" si="12"/>
        <v>0</v>
      </c>
      <c r="O13" s="3703">
        <f t="shared" ref="O13:O14" si="13">SUM(J13:N13)</f>
        <v>0</v>
      </c>
      <c r="S13" s="4294" t="s">
        <v>450</v>
      </c>
      <c r="T13" s="3579">
        <f>'12. Разходи'!BJ70</f>
        <v>123.54239203134951</v>
      </c>
      <c r="U13" s="3579">
        <f>'12. Разходи'!BK70</f>
        <v>127.15309116172993</v>
      </c>
      <c r="V13" s="3579">
        <f>'12. Разходи'!BL70</f>
        <v>126.02570946065615</v>
      </c>
      <c r="W13" s="3579">
        <f>'12. Разходи'!BM70</f>
        <v>124.59521453145805</v>
      </c>
      <c r="X13" s="3579">
        <f>'12. Разходи'!BN70</f>
        <v>122.64297646135353</v>
      </c>
      <c r="Y13" s="3579">
        <f>'12. Разходи'!BO70</f>
        <v>119.82148673677254</v>
      </c>
      <c r="Z13" s="4292">
        <f t="shared" si="1"/>
        <v>2.9226398089039686E-2</v>
      </c>
      <c r="AA13" s="4292">
        <f t="shared" si="2"/>
        <v>-5.7659663308004816E-2</v>
      </c>
      <c r="AC13" s="3564" t="s">
        <v>1922</v>
      </c>
      <c r="AD13" s="4285" t="str">
        <f>T4</f>
        <v>2024 г.</v>
      </c>
      <c r="AE13" s="4285" t="str">
        <f t="shared" ref="AE13:AI13" si="14">U4</f>
        <v>2027 г.</v>
      </c>
      <c r="AF13" s="4285" t="str">
        <f t="shared" si="14"/>
        <v>2028 г.</v>
      </c>
      <c r="AG13" s="4285" t="str">
        <f t="shared" si="14"/>
        <v>2029 г.</v>
      </c>
      <c r="AH13" s="4285" t="str">
        <f t="shared" si="14"/>
        <v>2030 г.</v>
      </c>
      <c r="AI13" s="4285" t="str">
        <f t="shared" si="14"/>
        <v>2031 г.</v>
      </c>
      <c r="AK13" s="3460" t="s">
        <v>547</v>
      </c>
      <c r="AL13" s="3567">
        <f>'17. РБА'!I24</f>
        <v>710.93142006164999</v>
      </c>
      <c r="AM13" s="3567">
        <f>'17. РБА'!J24</f>
        <v>741.77936356048849</v>
      </c>
      <c r="AN13" s="3567">
        <f>'17. РБА'!K24</f>
        <v>771.60472329693425</v>
      </c>
      <c r="AO13" s="3567">
        <f>'17. РБА'!L24</f>
        <v>804.66826494762347</v>
      </c>
      <c r="AP13" s="3567">
        <f>'17. РБА'!M24</f>
        <v>836.7092228359196</v>
      </c>
      <c r="AR13" s="3568" t="s">
        <v>1785</v>
      </c>
      <c r="AS13" s="3305">
        <f>'12. Разходи'!BR17</f>
        <v>8.2220316816031605E-2</v>
      </c>
      <c r="AT13" s="3305">
        <f>'12. Разходи'!BS17</f>
        <v>8.2220316816031605E-2</v>
      </c>
      <c r="AU13" s="3305">
        <f>'12. Разходи'!BT17</f>
        <v>8.2220316816031605E-2</v>
      </c>
      <c r="AV13" s="3305">
        <f>'12. Разходи'!BU17</f>
        <v>8.2220316816031605E-2</v>
      </c>
      <c r="AW13" s="3305">
        <f>'12. Разходи'!BV17</f>
        <v>8.2220316816031605E-2</v>
      </c>
    </row>
    <row r="14" spans="1:49" ht="15.75" customHeight="1">
      <c r="A14" s="4299" t="s">
        <v>222</v>
      </c>
      <c r="B14" s="3579">
        <f>'11. Амортиз. план'!AQ171</f>
        <v>2088.06109748156</v>
      </c>
      <c r="C14" s="3579">
        <f>'11. Амортиз. план'!AS171</f>
        <v>2616.5496378383559</v>
      </c>
      <c r="D14" s="3579">
        <f>'11. Амортиз. план'!AT171</f>
        <v>2814.0715810034872</v>
      </c>
      <c r="E14" s="3579">
        <f>'11. Амортиз. план'!AU171</f>
        <v>3011.3920701506468</v>
      </c>
      <c r="F14" s="3579">
        <f>'11. Амортиз. план'!AV171</f>
        <v>3197.5055381328675</v>
      </c>
      <c r="G14" s="3579">
        <f>'11. Амортиз. план'!AW171</f>
        <v>3360.7825624696184</v>
      </c>
      <c r="I14" s="4287" t="s">
        <v>1092</v>
      </c>
      <c r="J14" s="4288">
        <f>J40</f>
        <v>148.27464554690337</v>
      </c>
      <c r="K14" s="4288">
        <f t="shared" ref="K14:N14" si="15">K40</f>
        <v>69.024403961489497</v>
      </c>
      <c r="L14" s="4288">
        <f t="shared" si="15"/>
        <v>66.46794455550841</v>
      </c>
      <c r="M14" s="4288">
        <f t="shared" si="15"/>
        <v>79.25024158541386</v>
      </c>
      <c r="N14" s="4288">
        <f t="shared" si="15"/>
        <v>79.25024158541386</v>
      </c>
      <c r="O14" s="3703">
        <f t="shared" si="13"/>
        <v>442.26747723472897</v>
      </c>
      <c r="S14" s="4294" t="s">
        <v>267</v>
      </c>
      <c r="T14" s="3579">
        <f>'12. Разходи'!BJ76</f>
        <v>28.408344280343314</v>
      </c>
      <c r="U14" s="3579">
        <f>'12. Разходи'!BK76</f>
        <v>30.73968686439148</v>
      </c>
      <c r="V14" s="3579">
        <f>'12. Разходи'!BL76</f>
        <v>30.73968686439148</v>
      </c>
      <c r="W14" s="3579">
        <f>'12. Разходи'!BM76</f>
        <v>30.73968686439148</v>
      </c>
      <c r="X14" s="3579">
        <f>'12. Разходи'!BN76</f>
        <v>30.73968686439148</v>
      </c>
      <c r="Y14" s="3579">
        <f>'12. Разходи'!BO76</f>
        <v>30.73968686439148</v>
      </c>
      <c r="Z14" s="4292">
        <f t="shared" si="1"/>
        <v>8.2065415746925441E-2</v>
      </c>
      <c r="AA14" s="4292">
        <f t="shared" si="2"/>
        <v>0</v>
      </c>
      <c r="AC14" s="4301" t="s">
        <v>1687</v>
      </c>
      <c r="AD14" s="3576">
        <f>IFERROR(AD10/AD7,0)</f>
        <v>4.2004688503930465E-2</v>
      </c>
      <c r="AE14" s="3576">
        <f t="shared" ref="AE14:AI14" si="16">IFERROR(AE10/AE7,0)</f>
        <v>1.5449568861095553E-2</v>
      </c>
      <c r="AF14" s="3576">
        <f t="shared" si="16"/>
        <v>1.6464101294629892E-2</v>
      </c>
      <c r="AG14" s="3576">
        <f t="shared" si="16"/>
        <v>1.7329071056361504E-2</v>
      </c>
      <c r="AH14" s="3576">
        <f t="shared" si="16"/>
        <v>1.8166836525752062E-2</v>
      </c>
      <c r="AI14" s="3576">
        <f t="shared" si="16"/>
        <v>1.8729693388297386E-2</v>
      </c>
      <c r="AK14" s="3460" t="s">
        <v>548</v>
      </c>
      <c r="AL14" s="3571">
        <f>'17. РБА'!I27</f>
        <v>472.46059784359727</v>
      </c>
      <c r="AM14" s="3571">
        <f>'17. РБА'!J27</f>
        <v>482.67542814507885</v>
      </c>
      <c r="AN14" s="3571">
        <f>'17. РБА'!K27</f>
        <v>493.22176741632364</v>
      </c>
      <c r="AO14" s="3571">
        <f>'17. РБА'!L27</f>
        <v>504.12134876296068</v>
      </c>
      <c r="AP14" s="3571">
        <f>'17. РБА'!M27</f>
        <v>515.38565687154937</v>
      </c>
      <c r="AR14" s="3541" t="s">
        <v>297</v>
      </c>
      <c r="AS14" s="3542">
        <f>AS11+AS12</f>
        <v>294.86120269941966</v>
      </c>
      <c r="AT14" s="3542">
        <f>AT11+AT12</f>
        <v>324.32210520635238</v>
      </c>
      <c r="AU14" s="3542">
        <f>AU11+AU12</f>
        <v>356.41238013571507</v>
      </c>
      <c r="AV14" s="3542">
        <f>AV11+AV12</f>
        <v>393.93646004466012</v>
      </c>
      <c r="AW14" s="3542">
        <f>AW11+AW12</f>
        <v>433.45274723512102</v>
      </c>
    </row>
    <row r="15" spans="1:49" ht="15.75" customHeight="1">
      <c r="A15" s="5631" t="s">
        <v>1658</v>
      </c>
      <c r="B15" s="5631"/>
      <c r="C15" s="5631"/>
      <c r="D15" s="5631"/>
      <c r="E15" s="5631"/>
      <c r="F15" s="5631"/>
      <c r="G15" s="5631"/>
      <c r="I15" s="4297" t="s">
        <v>1028</v>
      </c>
      <c r="J15" s="4298">
        <f>SUM(J10:J14)</f>
        <v>545.03714535516895</v>
      </c>
      <c r="K15" s="4298">
        <f t="shared" ref="K15:O15" si="17">SUM(K10:K14)</f>
        <v>468.3433631757361</v>
      </c>
      <c r="L15" s="4298">
        <f t="shared" si="17"/>
        <v>481.63695208683771</v>
      </c>
      <c r="M15" s="4298">
        <f t="shared" si="17"/>
        <v>500.04345980990161</v>
      </c>
      <c r="N15" s="4298">
        <f t="shared" si="17"/>
        <v>493.90795723554703</v>
      </c>
      <c r="O15" s="4298">
        <f t="shared" si="17"/>
        <v>2488.9688776631915</v>
      </c>
      <c r="S15" s="4302" t="s">
        <v>277</v>
      </c>
      <c r="T15" s="4303">
        <f>SUM(T5:T7,T11:T14)</f>
        <v>5170.0514414381405</v>
      </c>
      <c r="U15" s="4303">
        <f t="shared" ref="U15:Y15" si="18">SUM(U5:U7,U11:U14)</f>
        <v>6726.8660382117105</v>
      </c>
      <c r="V15" s="4303">
        <f t="shared" si="18"/>
        <v>7268.6684841267861</v>
      </c>
      <c r="W15" s="4303">
        <f t="shared" si="18"/>
        <v>7851.7621738101088</v>
      </c>
      <c r="X15" s="4303">
        <f t="shared" si="18"/>
        <v>8519.9863338874602</v>
      </c>
      <c r="Y15" s="4303">
        <f t="shared" si="18"/>
        <v>9249.4974059188844</v>
      </c>
      <c r="Z15" s="4304">
        <f t="shared" si="1"/>
        <v>0.30112168406984258</v>
      </c>
      <c r="AA15" s="4292">
        <f t="shared" si="2"/>
        <v>0.37500841452430611</v>
      </c>
      <c r="AC15" s="2" t="s">
        <v>1689</v>
      </c>
      <c r="AD15" s="4305"/>
      <c r="AE15" s="4306"/>
      <c r="AF15" s="4306"/>
      <c r="AG15" s="4306"/>
      <c r="AH15" s="4306"/>
      <c r="AI15" s="4306"/>
      <c r="AK15" s="3460" t="s">
        <v>549</v>
      </c>
      <c r="AL15" s="3567">
        <f>'17. РБА'!I30</f>
        <v>1.9455192906615935</v>
      </c>
      <c r="AM15" s="3567">
        <f>'17. РБА'!J30</f>
        <v>0.83379904320859421</v>
      </c>
      <c r="AN15" s="3567">
        <f>'17. РБА'!K30</f>
        <v>0.13896945974104685</v>
      </c>
      <c r="AO15" s="3567">
        <f>'17. РБА'!L30</f>
        <v>-7.9470722633113262E-16</v>
      </c>
      <c r="AP15" s="3567">
        <f>'17. РБА'!M30</f>
        <v>-7.9470722633113262E-16</v>
      </c>
      <c r="AR15" s="5650" t="s">
        <v>1923</v>
      </c>
      <c r="AS15" s="5644" t="s">
        <v>184</v>
      </c>
      <c r="AT15" s="5645"/>
      <c r="AU15" s="5645"/>
      <c r="AV15" s="5645"/>
      <c r="AW15" s="5646"/>
    </row>
    <row r="16" spans="1:49" ht="15.75" customHeight="1">
      <c r="A16" s="4293" t="s">
        <v>334</v>
      </c>
      <c r="B16" s="3703">
        <f>'11. Амортиз. план'!AQ192</f>
        <v>29114.116209102573</v>
      </c>
      <c r="C16" s="3703">
        <f>'11. Амортиз. план'!AS192</f>
        <v>43451.411539167057</v>
      </c>
      <c r="D16" s="3703">
        <f>'11. Амортиз. план'!AT192</f>
        <v>46687.982713553378</v>
      </c>
      <c r="E16" s="3703">
        <f>'11. Амортиз. план'!AU192</f>
        <v>52753.521073226766</v>
      </c>
      <c r="F16" s="3703">
        <f>'11. Амортиз. план'!AV192</f>
        <v>53075.468788519</v>
      </c>
      <c r="G16" s="3703">
        <f>'11. Амортиз. план'!AW192</f>
        <v>65132.027241963311</v>
      </c>
      <c r="I16" s="4307" t="s">
        <v>1433</v>
      </c>
      <c r="J16" s="4308">
        <f>J7-J15</f>
        <v>-545.03714535516895</v>
      </c>
      <c r="K16" s="4308">
        <f t="shared" ref="K16:O16" si="19">K7-K15</f>
        <v>-468.3433631757361</v>
      </c>
      <c r="L16" s="4308">
        <f t="shared" si="19"/>
        <v>-481.63695208683771</v>
      </c>
      <c r="M16" s="4308">
        <f t="shared" si="19"/>
        <v>-500.04345980990161</v>
      </c>
      <c r="N16" s="4308">
        <f t="shared" si="19"/>
        <v>-493.90795723554703</v>
      </c>
      <c r="O16" s="4308">
        <f t="shared" si="19"/>
        <v>-2488.9688776631915</v>
      </c>
      <c r="P16" s="4309"/>
      <c r="Q16" s="4309"/>
      <c r="S16" s="4310" t="str">
        <f>CONCATENATE("Спестявания и увеличения спрямо ",T4," - нето:")</f>
        <v>Спестявания и увеличения спрямо 2024 г. - нето:</v>
      </c>
      <c r="T16" s="4311"/>
      <c r="U16" s="4310">
        <f>U15-$T15</f>
        <v>1556.81459677357</v>
      </c>
      <c r="V16" s="4310">
        <f t="shared" ref="V16:Y16" si="20">V15-$T15</f>
        <v>2098.6170426886456</v>
      </c>
      <c r="W16" s="4310">
        <f t="shared" si="20"/>
        <v>2681.7107323719683</v>
      </c>
      <c r="X16" s="4310">
        <f t="shared" si="20"/>
        <v>3349.9348924493197</v>
      </c>
      <c r="Y16" s="4310">
        <f t="shared" si="20"/>
        <v>4079.4459644807439</v>
      </c>
      <c r="Z16" s="4311"/>
      <c r="AA16" s="4311"/>
      <c r="AC16" s="3564" t="s">
        <v>1922</v>
      </c>
      <c r="AD16" s="4285" t="str">
        <f>T4</f>
        <v>2024 г.</v>
      </c>
      <c r="AE16" s="4285" t="str">
        <f t="shared" ref="AE16:AI16" si="21">U4</f>
        <v>2027 г.</v>
      </c>
      <c r="AF16" s="4285" t="str">
        <f t="shared" si="21"/>
        <v>2028 г.</v>
      </c>
      <c r="AG16" s="4285" t="str">
        <f t="shared" si="21"/>
        <v>2029 г.</v>
      </c>
      <c r="AH16" s="4285" t="str">
        <f t="shared" si="21"/>
        <v>2030 г.</v>
      </c>
      <c r="AI16" s="4285" t="str">
        <f t="shared" si="21"/>
        <v>2031 г.</v>
      </c>
      <c r="AK16" s="3460" t="s">
        <v>329</v>
      </c>
      <c r="AL16" s="3567">
        <f>'17. РБА'!I33</f>
        <v>30.847943498838514</v>
      </c>
      <c r="AM16" s="3567">
        <f>'17. РБА'!J33</f>
        <v>29.825359736446078</v>
      </c>
      <c r="AN16" s="3567">
        <f>'17. РБА'!K33</f>
        <v>33.063541650688791</v>
      </c>
      <c r="AO16" s="3567">
        <f>'17. РБА'!L33</f>
        <v>32.040957888296354</v>
      </c>
      <c r="AP16" s="3567">
        <f>'17. РБА'!M33</f>
        <v>29.825359736446078</v>
      </c>
      <c r="AR16" s="5650"/>
      <c r="AS16" s="4289" t="s">
        <v>1775</v>
      </c>
      <c r="AT16" s="4289" t="s">
        <v>1776</v>
      </c>
      <c r="AU16" s="4289" t="s">
        <v>1777</v>
      </c>
      <c r="AV16" s="4289" t="s">
        <v>1778</v>
      </c>
      <c r="AW16" s="4289" t="s">
        <v>1779</v>
      </c>
    </row>
    <row r="17" spans="1:49" ht="15.75" customHeight="1">
      <c r="A17" s="4295" t="s">
        <v>218</v>
      </c>
      <c r="B17" s="4296">
        <f>'11. Амортиз. план'!AQ214</f>
        <v>483.37738091550472</v>
      </c>
      <c r="C17" s="4296">
        <f>'11. Амортиз. план'!AS214</f>
        <v>770.12328751679422</v>
      </c>
      <c r="D17" s="4296">
        <f>'11. Амортиз. план'!AT214</f>
        <v>834.85471100452071</v>
      </c>
      <c r="E17" s="4296">
        <f>'11. Амортиз. план'!AU214</f>
        <v>956.16547819798836</v>
      </c>
      <c r="F17" s="4296">
        <f>'11. Амортиз. план'!AV214</f>
        <v>962.60443250383287</v>
      </c>
      <c r="G17" s="4296">
        <f>'11. Амортиз. план'!AW214</f>
        <v>1203.7356015727191</v>
      </c>
      <c r="I17" s="1331" t="s">
        <v>1733</v>
      </c>
      <c r="J17" s="4308"/>
      <c r="K17" s="4308"/>
      <c r="L17" s="4308"/>
      <c r="M17" s="4308"/>
      <c r="N17" s="4308"/>
      <c r="O17" s="4308"/>
      <c r="P17" s="4309"/>
      <c r="Q17" s="3446" t="s">
        <v>1909</v>
      </c>
      <c r="S17" s="4294" t="s">
        <v>1668</v>
      </c>
      <c r="T17" s="3579">
        <f>'12. Разходи'!BJ92</f>
        <v>3213.2523275082112</v>
      </c>
      <c r="U17" s="3579">
        <f>'12. Разходи'!BK92</f>
        <v>4299.6533405525925</v>
      </c>
      <c r="V17" s="3579">
        <f>'12. Разходи'!BL92</f>
        <v>4617.957728263189</v>
      </c>
      <c r="W17" s="3579">
        <f>'12. Разходи'!BM92</f>
        <v>4963.0376158381114</v>
      </c>
      <c r="X17" s="3579">
        <f>'12. Разходи'!BN92</f>
        <v>5344.3202481587641</v>
      </c>
      <c r="Y17" s="3579">
        <f>'12. Разходи'!BO92</f>
        <v>5753.7863039922886</v>
      </c>
      <c r="Z17" s="4292">
        <f t="shared" si="1"/>
        <v>0.33810012483111007</v>
      </c>
      <c r="AA17" s="4292">
        <f t="shared" ref="AA17:AA21" si="22">IFERROR((Y17-U17)/U17,0)</f>
        <v>0.3381977215988326</v>
      </c>
      <c r="AC17" s="4312" t="s">
        <v>545</v>
      </c>
      <c r="AD17" s="3540">
        <f>'15. ОПП'!I45</f>
        <v>141.49463399170762</v>
      </c>
      <c r="AE17" s="3540">
        <f>'15. ОПП'!J45</f>
        <v>44.11122537103023</v>
      </c>
      <c r="AF17" s="3540">
        <f>'15. ОПП'!K45</f>
        <v>340.26045386174235</v>
      </c>
      <c r="AG17" s="3540">
        <f>'15. ОПП'!L45</f>
        <v>676.04848220629492</v>
      </c>
      <c r="AH17" s="3540">
        <f>'15. ОПП'!M45</f>
        <v>1063.0283352918161</v>
      </c>
      <c r="AI17" s="3540">
        <f>'15. ОПП'!N45</f>
        <v>1543.8240753497475</v>
      </c>
      <c r="AK17" s="3460" t="s">
        <v>306</v>
      </c>
      <c r="AL17" s="3567">
        <f>'17. РБА'!I34</f>
        <v>38.720139415150243</v>
      </c>
      <c r="AM17" s="3567">
        <f>'17. РБА'!J34</f>
        <v>43.221322223345609</v>
      </c>
      <c r="AN17" s="3567">
        <f>'17. РБА'!K34</f>
        <v>48.103526723879042</v>
      </c>
      <c r="AO17" s="3567">
        <f>'17. РБА'!L34</f>
        <v>53.876671527798273</v>
      </c>
      <c r="AP17" s="3567">
        <f>'17. РБА'!M34</f>
        <v>60.007434062476101</v>
      </c>
      <c r="AR17" s="3568" t="s">
        <v>294</v>
      </c>
      <c r="AS17" s="3305">
        <f>'16. Необходими приходи'!K23</f>
        <v>50.901886066765073</v>
      </c>
      <c r="AT17" s="3305">
        <f>'16. Необходими приходи'!L23</f>
        <v>53.43744293173679</v>
      </c>
      <c r="AU17" s="3305">
        <f>'16. Необходими приходи'!M23</f>
        <v>56.564320013149178</v>
      </c>
      <c r="AV17" s="3305">
        <f>'16. Необходими приходи'!N23</f>
        <v>60.039518663676716</v>
      </c>
      <c r="AW17" s="3305">
        <f>'16. Необходими приходи'!O23</f>
        <v>63.598404965114526</v>
      </c>
    </row>
    <row r="18" spans="1:49" ht="15.75" customHeight="1">
      <c r="A18" s="4299" t="s">
        <v>220</v>
      </c>
      <c r="B18" s="3579">
        <f>'11. Амортиз. план'!AQ236</f>
        <v>8690.1887734777265</v>
      </c>
      <c r="C18" s="3579">
        <f>'11. Амортиз. план'!AS236</f>
        <v>10040.211520469002</v>
      </c>
      <c r="D18" s="3579">
        <f>'11. Амортиз. план'!AT236</f>
        <v>10875.06623147352</v>
      </c>
      <c r="E18" s="3579">
        <f>'11. Амортиз. план'!AU236</f>
        <v>11831.231709671509</v>
      </c>
      <c r="F18" s="3579">
        <f>'11. Амортиз. план'!AV236</f>
        <v>12793.836142175342</v>
      </c>
      <c r="G18" s="3579">
        <f>'11. Амортиз. план'!AW236</f>
        <v>13997.57174374806</v>
      </c>
      <c r="I18" s="4282" t="s">
        <v>1494</v>
      </c>
      <c r="J18" s="4283" t="str">
        <f>+'15. ОПП'!$C$7</f>
        <v>2027 г.</v>
      </c>
      <c r="K18" s="4283" t="str">
        <f>+'15. ОПП'!$D$7</f>
        <v>2028 г.</v>
      </c>
      <c r="L18" s="4283" t="str">
        <f>+'15. ОПП'!$E$7</f>
        <v>2029 г.</v>
      </c>
      <c r="M18" s="4283" t="str">
        <f>+'15. ОПП'!$F$7</f>
        <v>2030 г.</v>
      </c>
      <c r="N18" s="4283" t="str">
        <f>+'15. ОПП'!$G$7</f>
        <v>2031 г.</v>
      </c>
      <c r="O18" s="4284" t="s">
        <v>1593</v>
      </c>
      <c r="P18" s="3486" t="s">
        <v>1730</v>
      </c>
      <c r="Q18" s="3486" t="s">
        <v>1731</v>
      </c>
      <c r="S18" s="4294" t="s">
        <v>1670</v>
      </c>
      <c r="T18" s="3579">
        <f>'12. Разходи'!BJ93</f>
        <v>1493.1122995364894</v>
      </c>
      <c r="U18" s="3579">
        <f>'12. Разходи'!BK93</f>
        <v>1959.7997058748922</v>
      </c>
      <c r="V18" s="3579">
        <f>'12. Разходи'!BL93</f>
        <v>2178.8082860657105</v>
      </c>
      <c r="W18" s="3579">
        <f>'12. Разходи'!BM93</f>
        <v>2439.5499947131098</v>
      </c>
      <c r="X18" s="3579">
        <f>'12. Разходи'!BN93</f>
        <v>2731.3851287842954</v>
      </c>
      <c r="Y18" s="3579">
        <f>'12. Разходи'!BO93</f>
        <v>3055.2914975266535</v>
      </c>
      <c r="Z18" s="4292">
        <f t="shared" si="1"/>
        <v>0.31256015135852655</v>
      </c>
      <c r="AA18" s="4292">
        <f t="shared" si="22"/>
        <v>0.55898150630791776</v>
      </c>
      <c r="AC18" s="4312" t="s">
        <v>546</v>
      </c>
      <c r="AD18" s="3540">
        <f>'15. ОПП'!I46</f>
        <v>44.11122537103023</v>
      </c>
      <c r="AE18" s="3540">
        <f>'15. ОПП'!J46</f>
        <v>340.26045386174235</v>
      </c>
      <c r="AF18" s="3540">
        <f>'15. ОПП'!K46</f>
        <v>676.04848220629492</v>
      </c>
      <c r="AG18" s="3540">
        <f>'15. ОПП'!L46</f>
        <v>1063.0283352918161</v>
      </c>
      <c r="AH18" s="3540">
        <f>'15. ОПП'!M46</f>
        <v>1543.8240753497475</v>
      </c>
      <c r="AI18" s="3540">
        <f>'15. ОПП'!N46</f>
        <v>2133.9389028555292</v>
      </c>
      <c r="AK18" s="3461" t="s">
        <v>305</v>
      </c>
      <c r="AL18" s="3462">
        <f t="shared" ref="AL18:AP18" si="23">AL13-AL14+AL15+AL16+AL17</f>
        <v>309.98442442270306</v>
      </c>
      <c r="AM18" s="3462">
        <f t="shared" si="23"/>
        <v>332.98441641840998</v>
      </c>
      <c r="AN18" s="3462">
        <f t="shared" si="23"/>
        <v>359.68899371491949</v>
      </c>
      <c r="AO18" s="3462">
        <f t="shared" si="23"/>
        <v>386.46454560075745</v>
      </c>
      <c r="AP18" s="3462">
        <f t="shared" si="23"/>
        <v>411.15635976329241</v>
      </c>
      <c r="AR18" s="3568" t="s">
        <v>296</v>
      </c>
      <c r="AS18" s="3305">
        <f>'16. Необходими приходи'!K24</f>
        <v>1502.0037928448205</v>
      </c>
      <c r="AT18" s="3305">
        <f>'16. Необходими приходи'!L24</f>
        <v>1642.3114371093689</v>
      </c>
      <c r="AU18" s="3305">
        <f>'16. Необходими приходи'!M24</f>
        <v>1796.5100933493327</v>
      </c>
      <c r="AV18" s="3305">
        <f>'16. Необходими приходи'!N24</f>
        <v>1970.9841398368158</v>
      </c>
      <c r="AW18" s="3305">
        <f>'16. Необходими приходи'!O24</f>
        <v>2168.2328990033493</v>
      </c>
    </row>
    <row r="19" spans="1:49" ht="15.75" customHeight="1">
      <c r="A19" s="4299" t="s">
        <v>222</v>
      </c>
      <c r="B19" s="3579">
        <f>'11. Амортиз. план'!AQ258</f>
        <v>20423.92743562485</v>
      </c>
      <c r="C19" s="3579">
        <f>'11. Амортиз. план'!AS258</f>
        <v>33411.200018698051</v>
      </c>
      <c r="D19" s="3579">
        <f>'11. Амортиз. план'!AT258</f>
        <v>35812.916482079854</v>
      </c>
      <c r="E19" s="3579">
        <f>'11. Амортиз. план'!AU258</f>
        <v>40922.289363555254</v>
      </c>
      <c r="F19" s="3579">
        <f>'11. Амортиз. план'!AV258</f>
        <v>40281.632646343656</v>
      </c>
      <c r="G19" s="3579">
        <f>'11. Амортиз. план'!AW258</f>
        <v>51134.455498215248</v>
      </c>
      <c r="I19" s="4287" t="s">
        <v>207</v>
      </c>
      <c r="J19" s="4288">
        <f>J27</f>
        <v>340.17953162255071</v>
      </c>
      <c r="K19" s="4288">
        <f t="shared" ref="K19:N19" si="24">K27</f>
        <v>341.71340726613937</v>
      </c>
      <c r="L19" s="4288">
        <f t="shared" si="24"/>
        <v>360.80163749746481</v>
      </c>
      <c r="M19" s="4288">
        <f t="shared" si="24"/>
        <v>365.40326442823078</v>
      </c>
      <c r="N19" s="4288">
        <f t="shared" si="24"/>
        <v>357.05216370202595</v>
      </c>
      <c r="O19" s="3703">
        <f>SUM(J19:N19)</f>
        <v>1765.1500045164116</v>
      </c>
      <c r="P19" s="3579">
        <f>O28</f>
        <v>1735.6655060340963</v>
      </c>
      <c r="Q19" s="3579">
        <f>O29</f>
        <v>29.484498482315267</v>
      </c>
      <c r="S19" s="4313" t="s">
        <v>1669</v>
      </c>
      <c r="T19" s="4296">
        <f>'12. Разходи'!BJ94</f>
        <v>350.97959063984268</v>
      </c>
      <c r="U19" s="4296">
        <f>'12. Разходи'!BK94</f>
        <v>451.62177299736635</v>
      </c>
      <c r="V19" s="4296">
        <f>'12. Разходи'!BL94</f>
        <v>509.94736524817625</v>
      </c>
      <c r="W19" s="4296">
        <f>'12. Разходи'!BM94</f>
        <v>576.40863008910719</v>
      </c>
      <c r="X19" s="4296">
        <f>'12. Разходи'!BN94</f>
        <v>651.76018521541425</v>
      </c>
      <c r="Y19" s="4296">
        <f>'12. Разходи'!BO94</f>
        <v>737.20473631638572</v>
      </c>
      <c r="Z19" s="4292">
        <f t="shared" si="1"/>
        <v>0.28674653752387991</v>
      </c>
      <c r="AA19" s="4292">
        <f t="shared" si="22"/>
        <v>0.63234985643768937</v>
      </c>
      <c r="AK19" s="5650" t="s">
        <v>1923</v>
      </c>
      <c r="AL19" s="5651" t="str">
        <f>T45</f>
        <v>Пречистване на отпадъчните води</v>
      </c>
      <c r="AM19" s="5652"/>
      <c r="AN19" s="5652"/>
      <c r="AO19" s="5652"/>
      <c r="AP19" s="5652"/>
      <c r="AR19" s="3568" t="s">
        <v>1785</v>
      </c>
      <c r="AS19" s="3305">
        <f>'12. Разходи'!BY17</f>
        <v>230.99867445447998</v>
      </c>
      <c r="AT19" s="3305">
        <f>'12. Разходи'!BZ17</f>
        <v>228.79522737077653</v>
      </c>
      <c r="AU19" s="3305">
        <f>'12. Разходи'!CA17</f>
        <v>226.61051138929355</v>
      </c>
      <c r="AV19" s="3305">
        <f>'12. Разходи'!CB17</f>
        <v>224.44414171992406</v>
      </c>
      <c r="AW19" s="3305">
        <f>'12. Разходи'!CC17</f>
        <v>223.0341926565041</v>
      </c>
    </row>
    <row r="20" spans="1:49" ht="15.75" customHeight="1">
      <c r="A20" s="2" t="s">
        <v>174</v>
      </c>
      <c r="B20" s="11"/>
      <c r="C20" s="11"/>
      <c r="D20" s="11"/>
      <c r="E20" s="11"/>
      <c r="F20" s="11"/>
      <c r="G20" s="3446" t="s">
        <v>1909</v>
      </c>
      <c r="I20" s="4287" t="s">
        <v>208</v>
      </c>
      <c r="J20" s="4288">
        <f>J30</f>
        <v>30.847943498838514</v>
      </c>
      <c r="K20" s="4288">
        <f t="shared" ref="K20:N20" si="25">K30</f>
        <v>29.825359736446078</v>
      </c>
      <c r="L20" s="4288">
        <f t="shared" si="25"/>
        <v>33.063541650688791</v>
      </c>
      <c r="M20" s="4288">
        <f t="shared" si="25"/>
        <v>32.040957888296354</v>
      </c>
      <c r="N20" s="4288">
        <f t="shared" si="25"/>
        <v>29.825359736446078</v>
      </c>
      <c r="O20" s="3703">
        <f>SUM(J20:N20)</f>
        <v>155.6031625107158</v>
      </c>
      <c r="P20" s="3579">
        <f>O31</f>
        <v>123.56220462241947</v>
      </c>
      <c r="Q20" s="3579">
        <f>O32</f>
        <v>32.040957888296361</v>
      </c>
      <c r="S20" s="4294" t="s">
        <v>1672</v>
      </c>
      <c r="T20" s="3579">
        <f>'12. Разходи'!BJ90</f>
        <v>860.88554445383227</v>
      </c>
      <c r="U20" s="3579">
        <f>'12. Разходи'!BK90</f>
        <v>953.15000470525024</v>
      </c>
      <c r="V20" s="3579">
        <f>'12. Разходи'!BL90</f>
        <v>1013.4999691488044</v>
      </c>
      <c r="W20" s="3579">
        <f>'12. Разходи'!BM90</f>
        <v>1089.2925400588556</v>
      </c>
      <c r="X20" s="3579">
        <f>'12. Разходи'!BN90</f>
        <v>1175.5632876976704</v>
      </c>
      <c r="Y20" s="3579">
        <f>'12. Разходи'!BO90</f>
        <v>1265.6174541153662</v>
      </c>
      <c r="Z20" s="4292">
        <f t="shared" si="1"/>
        <v>0.10717389883686908</v>
      </c>
      <c r="AA20" s="4292">
        <f t="shared" si="22"/>
        <v>0.32782610068468981</v>
      </c>
      <c r="AK20" s="5650"/>
      <c r="AL20" s="4289" t="s">
        <v>1775</v>
      </c>
      <c r="AM20" s="4289" t="s">
        <v>1776</v>
      </c>
      <c r="AN20" s="4289" t="s">
        <v>1777</v>
      </c>
      <c r="AO20" s="4289" t="s">
        <v>1778</v>
      </c>
      <c r="AP20" s="4289" t="s">
        <v>1779</v>
      </c>
      <c r="AR20" s="3541" t="s">
        <v>297</v>
      </c>
      <c r="AS20" s="3542">
        <f>AS17+AS18</f>
        <v>1552.9056789115855</v>
      </c>
      <c r="AT20" s="3542">
        <f>AT17+AT18</f>
        <v>1695.7488800411056</v>
      </c>
      <c r="AU20" s="3542">
        <f>AU17+AU18</f>
        <v>1853.0744133624819</v>
      </c>
      <c r="AV20" s="3542">
        <f>AV17+AV18</f>
        <v>2031.0236585004925</v>
      </c>
      <c r="AW20" s="3542">
        <f>AW17+AW18</f>
        <v>2231.831303968464</v>
      </c>
    </row>
    <row r="21" spans="1:49" ht="15.75" customHeight="1">
      <c r="A21" s="5632" t="s">
        <v>87</v>
      </c>
      <c r="B21" s="5636" t="s">
        <v>174</v>
      </c>
      <c r="C21" s="5636"/>
      <c r="D21" s="5636"/>
      <c r="E21" s="5636"/>
      <c r="F21" s="5636"/>
      <c r="G21" s="5636"/>
      <c r="I21" s="4287" t="s">
        <v>209</v>
      </c>
      <c r="J21" s="4288">
        <f>J33</f>
        <v>43.118948647547761</v>
      </c>
      <c r="K21" s="4288">
        <f t="shared" ref="K21:N21" si="26">K33</f>
        <v>42.096364885155324</v>
      </c>
      <c r="L21" s="4288">
        <f t="shared" si="26"/>
        <v>45.334546799398041</v>
      </c>
      <c r="M21" s="4288">
        <f t="shared" si="26"/>
        <v>44.311963037005604</v>
      </c>
      <c r="N21" s="4288">
        <f t="shared" si="26"/>
        <v>42.096364885155324</v>
      </c>
      <c r="O21" s="3703">
        <f>SUM(J21:N21)</f>
        <v>216.95818825426204</v>
      </c>
      <c r="P21" s="3579">
        <f>O34</f>
        <v>187.47368977194679</v>
      </c>
      <c r="Q21" s="3579">
        <f>O35</f>
        <v>29.484498482315267</v>
      </c>
      <c r="S21" s="4294" t="s">
        <v>1231</v>
      </c>
      <c r="T21" s="3579">
        <f>'12. Разходи'!BJ89</f>
        <v>1016.2649587755658</v>
      </c>
      <c r="U21" s="3579">
        <f>'12. Разходи'!BK89</f>
        <v>1259.4094912798482</v>
      </c>
      <c r="V21" s="3579">
        <f>'12. Разходи'!BL89</f>
        <v>1241.0848292533492</v>
      </c>
      <c r="W21" s="3579">
        <f>'12. Разходи'!BM89</f>
        <v>1216.8849142756617</v>
      </c>
      <c r="X21" s="3579">
        <f>'12. Разходи'!BN89</f>
        <v>1181.7039653289148</v>
      </c>
      <c r="Y21" s="3579">
        <f>'12. Разходи'!BO89</f>
        <v>1134.1589021055452</v>
      </c>
      <c r="Z21" s="4292">
        <f t="shared" si="1"/>
        <v>0.23925309084476562</v>
      </c>
      <c r="AA21" s="4292">
        <f t="shared" si="22"/>
        <v>-9.9451838374681301E-2</v>
      </c>
      <c r="AK21" s="3460" t="s">
        <v>547</v>
      </c>
      <c r="AL21" s="3567">
        <f>'17. РБА'!I38</f>
        <v>807.30669521187497</v>
      </c>
      <c r="AM21" s="3567">
        <f>'17. РБА'!J38</f>
        <v>850.42564385942273</v>
      </c>
      <c r="AN21" s="3567">
        <f>'17. РБА'!K38</f>
        <v>892.52200874457799</v>
      </c>
      <c r="AO21" s="3567">
        <f>'17. РБА'!L38</f>
        <v>937.85655554397613</v>
      </c>
      <c r="AP21" s="3567">
        <f>'17. РБА'!M38</f>
        <v>982.16851858098187</v>
      </c>
      <c r="AR21" s="5650" t="s">
        <v>1923</v>
      </c>
      <c r="AS21" s="5647" t="str">
        <f>AL27</f>
        <v>Доставяне на вода с непитейни качества</v>
      </c>
      <c r="AT21" s="5648"/>
      <c r="AU21" s="5648"/>
      <c r="AV21" s="5648"/>
      <c r="AW21" s="5649"/>
    </row>
    <row r="22" spans="1:49" ht="15.75" customHeight="1">
      <c r="A22" s="5632"/>
      <c r="B22" s="4283" t="str">
        <f>+'15. ОПП'!$B$7</f>
        <v>2024 г.</v>
      </c>
      <c r="C22" s="4283" t="str">
        <f>+'15. ОПП'!$C$7</f>
        <v>2027 г.</v>
      </c>
      <c r="D22" s="4283" t="str">
        <f>+'15. ОПП'!$D$7</f>
        <v>2028 г.</v>
      </c>
      <c r="E22" s="4283" t="str">
        <f>+'15. ОПП'!$E$7</f>
        <v>2029 г.</v>
      </c>
      <c r="F22" s="4283" t="str">
        <f>+'15. ОПП'!$F$7</f>
        <v>2030 г.</v>
      </c>
      <c r="G22" s="4283" t="str">
        <f>+'15. ОПП'!$G$7</f>
        <v>2031 г.</v>
      </c>
      <c r="I22" s="4287" t="s">
        <v>1029</v>
      </c>
      <c r="J22" s="4288">
        <f>J36</f>
        <v>0</v>
      </c>
      <c r="K22" s="4288">
        <f t="shared" ref="K22:N22" si="27">K36</f>
        <v>0</v>
      </c>
      <c r="L22" s="4288">
        <f t="shared" si="27"/>
        <v>0</v>
      </c>
      <c r="M22" s="4288">
        <f t="shared" si="27"/>
        <v>0</v>
      </c>
      <c r="N22" s="4288">
        <f t="shared" si="27"/>
        <v>0</v>
      </c>
      <c r="O22" s="3703">
        <f t="shared" ref="O22:O23" si="28">SUM(J22:N22)</f>
        <v>0</v>
      </c>
      <c r="P22" s="3579">
        <f>O37</f>
        <v>0</v>
      </c>
      <c r="Q22" s="3579">
        <f>O38</f>
        <v>0</v>
      </c>
      <c r="T22" s="11"/>
      <c r="U22" s="11"/>
      <c r="V22" s="11"/>
      <c r="W22" s="11"/>
      <c r="X22" s="11"/>
      <c r="Y22" s="11"/>
      <c r="Z22" s="11"/>
      <c r="AA22" s="11"/>
      <c r="AK22" s="3460" t="s">
        <v>548</v>
      </c>
      <c r="AL22" s="3567">
        <f>'17. РБА'!I41</f>
        <v>480.33812653014257</v>
      </c>
      <c r="AM22" s="3567">
        <f>'17. РБА'!J41</f>
        <v>507.87698933685556</v>
      </c>
      <c r="AN22" s="3567">
        <f>'17. РБА'!K41</f>
        <v>536.51998331047025</v>
      </c>
      <c r="AO22" s="3567">
        <f>'17. РБА'!L41</f>
        <v>566.36097840971206</v>
      </c>
      <c r="AP22" s="3567">
        <f>'17. РБА'!M41</f>
        <v>597.45134381474338</v>
      </c>
      <c r="AR22" s="5650"/>
      <c r="AS22" s="4289" t="s">
        <v>1775</v>
      </c>
      <c r="AT22" s="4289" t="s">
        <v>1776</v>
      </c>
      <c r="AU22" s="4289" t="s">
        <v>1777</v>
      </c>
      <c r="AV22" s="4289" t="s">
        <v>1778</v>
      </c>
      <c r="AW22" s="4289" t="s">
        <v>1779</v>
      </c>
    </row>
    <row r="23" spans="1:49" ht="15.75" customHeight="1">
      <c r="A23" s="5631" t="s">
        <v>1656</v>
      </c>
      <c r="B23" s="5631"/>
      <c r="C23" s="5631"/>
      <c r="D23" s="5631"/>
      <c r="E23" s="5631"/>
      <c r="F23" s="5631"/>
      <c r="G23" s="5631"/>
      <c r="I23" s="4287" t="s">
        <v>1092</v>
      </c>
      <c r="J23" s="4288">
        <f>J39</f>
        <v>151.34239683408069</v>
      </c>
      <c r="K23" s="4288">
        <f t="shared" ref="K23:N23" si="29">K39</f>
        <v>72.092155248666813</v>
      </c>
      <c r="L23" s="4288">
        <f t="shared" si="29"/>
        <v>69.535695842685726</v>
      </c>
      <c r="M23" s="4288">
        <f t="shared" si="29"/>
        <v>82.317992872591176</v>
      </c>
      <c r="N23" s="4288">
        <f t="shared" si="29"/>
        <v>82.317992872591176</v>
      </c>
      <c r="O23" s="3703">
        <f t="shared" si="28"/>
        <v>457.60623367061555</v>
      </c>
      <c r="P23" s="3579">
        <f>O40</f>
        <v>442.26747723472897</v>
      </c>
      <c r="Q23" s="3579">
        <f>O41</f>
        <v>15.338756435886555</v>
      </c>
      <c r="S23" s="2" t="s">
        <v>1680</v>
      </c>
      <c r="T23" s="11"/>
      <c r="U23" s="11"/>
      <c r="V23" s="11"/>
      <c r="W23" s="11"/>
      <c r="X23" s="11"/>
      <c r="Y23" s="11"/>
      <c r="Z23" s="11"/>
      <c r="AA23" s="11"/>
      <c r="AK23" s="3460" t="s">
        <v>549</v>
      </c>
      <c r="AL23" s="3567">
        <f>'17. РБА'!I44</f>
        <v>11.672135448786308</v>
      </c>
      <c r="AM23" s="3567">
        <f>'17. РБА'!J44</f>
        <v>5.0023619619576998</v>
      </c>
      <c r="AN23" s="3567">
        <f>'17. РБА'!K44</f>
        <v>0.83373760927169638</v>
      </c>
      <c r="AO23" s="3567">
        <f>'17. РБА'!L44</f>
        <v>-2.9517696978013499E-15</v>
      </c>
      <c r="AP23" s="3567">
        <f>'17. РБА'!M44</f>
        <v>-2.9517696978013499E-15</v>
      </c>
      <c r="AR23" s="3568" t="s">
        <v>294</v>
      </c>
      <c r="AS23" s="3305">
        <f>'16. Необходими приходи'!K34</f>
        <v>0</v>
      </c>
      <c r="AT23" s="3305">
        <f>'16. Необходими приходи'!L34</f>
        <v>0</v>
      </c>
      <c r="AU23" s="3305">
        <f>'16. Необходими приходи'!M34</f>
        <v>0</v>
      </c>
      <c r="AV23" s="3305">
        <f>'16. Необходими приходи'!N34</f>
        <v>0</v>
      </c>
      <c r="AW23" s="3305">
        <f>'16. Необходими приходи'!O34</f>
        <v>0</v>
      </c>
    </row>
    <row r="24" spans="1:49" ht="15.75" customHeight="1">
      <c r="A24" s="4293" t="s">
        <v>334</v>
      </c>
      <c r="B24" s="3703">
        <f>'11. Амортиз. план'!AX10</f>
        <v>638.73414490651544</v>
      </c>
      <c r="C24" s="3703">
        <f>'11. Амортиз. план'!AZ10</f>
        <v>661.40141830621451</v>
      </c>
      <c r="D24" s="3703">
        <f>'11. Амортиз. план'!BA10</f>
        <v>666.5143371181764</v>
      </c>
      <c r="E24" s="3703">
        <f>'11. Амортиз. план'!BB10</f>
        <v>674.86543784438163</v>
      </c>
      <c r="F24" s="3703">
        <f>'11. Амортиз. план'!BC10</f>
        <v>682.19395480819389</v>
      </c>
      <c r="G24" s="3703">
        <f>'11. Амортиз. план'!BD10</f>
        <v>687.30687362015613</v>
      </c>
      <c r="I24" s="4297" t="s">
        <v>1028</v>
      </c>
      <c r="J24" s="4298">
        <f>SUM(J19:J23)</f>
        <v>565.48882060301764</v>
      </c>
      <c r="K24" s="4298">
        <f t="shared" ref="K24:O24" si="30">SUM(K19:K23)</f>
        <v>485.7272871364076</v>
      </c>
      <c r="L24" s="4298">
        <f t="shared" si="30"/>
        <v>508.73542179023741</v>
      </c>
      <c r="M24" s="4298">
        <f t="shared" si="30"/>
        <v>524.07417822612399</v>
      </c>
      <c r="N24" s="4298">
        <f t="shared" si="30"/>
        <v>511.29188119621853</v>
      </c>
      <c r="O24" s="4298">
        <f t="shared" si="30"/>
        <v>2595.3175889520048</v>
      </c>
      <c r="P24" s="3703">
        <f>O43</f>
        <v>2488.9688776631915</v>
      </c>
      <c r="Q24" s="3703">
        <f>O44</f>
        <v>106.34871128881345</v>
      </c>
      <c r="S24" s="5636" t="s">
        <v>1919</v>
      </c>
      <c r="T24" s="5636" t="s">
        <v>208</v>
      </c>
      <c r="U24" s="5636"/>
      <c r="V24" s="5636"/>
      <c r="W24" s="5636"/>
      <c r="X24" s="5636"/>
      <c r="Y24" s="5636"/>
      <c r="Z24" s="5603" t="str">
        <f>+Z3</f>
        <v>Изменение 2027 г. спр. 2024 г.</v>
      </c>
      <c r="AA24" s="5603" t="str">
        <f>+AA3</f>
        <v>Изменение 2031 г. спр. 2027 г.</v>
      </c>
      <c r="AK24" s="3460" t="s">
        <v>329</v>
      </c>
      <c r="AL24" s="3574">
        <f>'17. РБА'!I47</f>
        <v>43.118948647547761</v>
      </c>
      <c r="AM24" s="3574">
        <f>'17. РБА'!J47</f>
        <v>42.096364885155317</v>
      </c>
      <c r="AN24" s="3574">
        <f>'17. РБА'!K47</f>
        <v>45.334546799398034</v>
      </c>
      <c r="AO24" s="3574">
        <f>'17. РБА'!L47</f>
        <v>44.311963037005597</v>
      </c>
      <c r="AP24" s="3574">
        <f>'17. РБА'!M47</f>
        <v>42.096364885155317</v>
      </c>
      <c r="AR24" s="3568" t="s">
        <v>296</v>
      </c>
      <c r="AS24" s="3305">
        <f>'16. Необходими приходи'!K35</f>
        <v>0</v>
      </c>
      <c r="AT24" s="3305">
        <f>'16. Необходими приходи'!L35</f>
        <v>0</v>
      </c>
      <c r="AU24" s="3305">
        <f>'16. Необходими приходи'!M35</f>
        <v>0</v>
      </c>
      <c r="AV24" s="3305">
        <f>'16. Необходими приходи'!N35</f>
        <v>0</v>
      </c>
      <c r="AW24" s="3305">
        <f>'16. Необходими приходи'!O35</f>
        <v>0</v>
      </c>
    </row>
    <row r="25" spans="1:49" ht="15.75" customHeight="1">
      <c r="A25" s="4295" t="s">
        <v>218</v>
      </c>
      <c r="B25" s="4296">
        <f>'11. Амортиз. план'!AX35</f>
        <v>8.0341808505170498</v>
      </c>
      <c r="C25" s="4296">
        <f>'11. Амортиз. план'!AZ35</f>
        <v>9.1756356540118329</v>
      </c>
      <c r="D25" s="4296">
        <f>'11. Амортиз. план'!BA35</f>
        <v>9.3678322898415356</v>
      </c>
      <c r="E25" s="4296">
        <f>'11. Амортиз. план'!BB35</f>
        <v>9.5676610675944147</v>
      </c>
      <c r="F25" s="4296">
        <f>'11. Амортиз. план'!BC35</f>
        <v>9.7755864857946015</v>
      </c>
      <c r="G25" s="4296">
        <f>'11. Амортиз. план'!BD35</f>
        <v>9.9711241219895257</v>
      </c>
      <c r="I25" s="1332" t="s">
        <v>1633</v>
      </c>
      <c r="J25" s="4314"/>
      <c r="K25" s="4314"/>
      <c r="L25" s="4314"/>
      <c r="M25" s="4314"/>
      <c r="N25" s="4314"/>
      <c r="O25" s="4314"/>
      <c r="P25" s="3446" t="s">
        <v>1909</v>
      </c>
      <c r="Q25" s="3446"/>
      <c r="S25" s="5636"/>
      <c r="T25" s="4279" t="str">
        <f t="shared" ref="T25:Y25" si="31">T4</f>
        <v>2024 г.</v>
      </c>
      <c r="U25" s="4279" t="str">
        <f t="shared" si="31"/>
        <v>2027 г.</v>
      </c>
      <c r="V25" s="4279" t="str">
        <f t="shared" si="31"/>
        <v>2028 г.</v>
      </c>
      <c r="W25" s="4279" t="str">
        <f t="shared" si="31"/>
        <v>2029 г.</v>
      </c>
      <c r="X25" s="4279" t="str">
        <f t="shared" si="31"/>
        <v>2030 г.</v>
      </c>
      <c r="Y25" s="4279" t="str">
        <f t="shared" si="31"/>
        <v>2031 г.</v>
      </c>
      <c r="Z25" s="5603"/>
      <c r="AA25" s="5603"/>
      <c r="AK25" s="3460" t="s">
        <v>306</v>
      </c>
      <c r="AL25" s="3567">
        <f>'17. РБА'!I48</f>
        <v>238.82687472245593</v>
      </c>
      <c r="AM25" s="3567">
        <f>'17. РБА'!J48</f>
        <v>261.85219379373234</v>
      </c>
      <c r="AN25" s="3567">
        <f>'17. РБА'!K48</f>
        <v>287.45158140396137</v>
      </c>
      <c r="AO25" s="3567">
        <f>'17. РБА'!L48</f>
        <v>316.18334031246161</v>
      </c>
      <c r="AP25" s="3567">
        <f>'17. РБА'!M48</f>
        <v>348.56663467267936</v>
      </c>
      <c r="AR25" s="3568" t="s">
        <v>1785</v>
      </c>
      <c r="AS25" s="3305">
        <f>'12. Разходи'!CF17</f>
        <v>0</v>
      </c>
      <c r="AT25" s="3305">
        <f>'12. Разходи'!CG17</f>
        <v>0</v>
      </c>
      <c r="AU25" s="3305">
        <f>'12. Разходи'!CH17</f>
        <v>0</v>
      </c>
      <c r="AV25" s="3305">
        <f>'12. Разходи'!CI17</f>
        <v>0</v>
      </c>
      <c r="AW25" s="3305">
        <f>'12. Разходи'!CJ17</f>
        <v>0</v>
      </c>
    </row>
    <row r="26" spans="1:49" ht="15.75" customHeight="1">
      <c r="A26" s="4299" t="s">
        <v>220</v>
      </c>
      <c r="B26" s="3579">
        <f>'11. Амортиз. план'!AX60</f>
        <v>460.348772984297</v>
      </c>
      <c r="C26" s="3579">
        <f>'11. Амортиз. план'!AZ60</f>
        <v>478.58505990182317</v>
      </c>
      <c r="D26" s="3579">
        <f>'11. Амортиз. план'!BA60</f>
        <v>487.95289219166432</v>
      </c>
      <c r="E26" s="3579">
        <f>'11. Амортиз. план'!BB60</f>
        <v>497.5205532592592</v>
      </c>
      <c r="F26" s="3579">
        <f>'11. Амортиз. план'!BC60</f>
        <v>507.29613974505361</v>
      </c>
      <c r="G26" s="3579">
        <f>'11. Амортиз. план'!BD60</f>
        <v>517.2672638670432</v>
      </c>
      <c r="I26" s="4315" t="s">
        <v>1494</v>
      </c>
      <c r="J26" s="4283" t="str">
        <f>+'15. ОПП'!$C$7</f>
        <v>2027 г.</v>
      </c>
      <c r="K26" s="4283" t="str">
        <f>+'15. ОПП'!$D$7</f>
        <v>2028 г.</v>
      </c>
      <c r="L26" s="4283" t="str">
        <f>+'15. ОПП'!$E$7</f>
        <v>2029 г.</v>
      </c>
      <c r="M26" s="4283" t="str">
        <f>+'15. ОПП'!$F$7</f>
        <v>2030 г.</v>
      </c>
      <c r="N26" s="4283" t="str">
        <f>+'15. ОПП'!$G$7</f>
        <v>2031 г.</v>
      </c>
      <c r="O26" s="4283" t="s">
        <v>1593</v>
      </c>
      <c r="P26" s="4283" t="s">
        <v>1594</v>
      </c>
      <c r="Q26" s="4309"/>
      <c r="S26" s="4294" t="s">
        <v>226</v>
      </c>
      <c r="T26" s="3579">
        <f>'12. Разходи'!BQ11</f>
        <v>14.773847707784549</v>
      </c>
      <c r="U26" s="3579">
        <f>'12. Разходи'!BR11</f>
        <v>16.677643539547251</v>
      </c>
      <c r="V26" s="3579">
        <f>'12. Разходи'!BS11</f>
        <v>16.433600103224254</v>
      </c>
      <c r="W26" s="3579">
        <f>'12. Разходи'!BT11</f>
        <v>15.995663497435523</v>
      </c>
      <c r="X26" s="3579">
        <f>'12. Разходи'!BU11</f>
        <v>16.486248152567754</v>
      </c>
      <c r="Y26" s="3579">
        <f>'12. Разходи'!BV11</f>
        <v>15.80959742052271</v>
      </c>
      <c r="Z26" s="4292">
        <f>IFERROR((U26-T26)/T26,0)</f>
        <v>0.12886255966748358</v>
      </c>
      <c r="AA26" s="4292">
        <f t="shared" ref="AA26:AA36" si="32">IFERROR((Y26-U26)/U26,0)</f>
        <v>-5.2048487363707374E-2</v>
      </c>
      <c r="AK26" s="3461" t="s">
        <v>305</v>
      </c>
      <c r="AL26" s="3462">
        <f t="shared" ref="AL26:AP26" si="33">AL21-AL22+AL23+AL24+AL25</f>
        <v>620.58652750052238</v>
      </c>
      <c r="AM26" s="3462">
        <f t="shared" si="33"/>
        <v>651.4995751634126</v>
      </c>
      <c r="AN26" s="3462">
        <f t="shared" si="33"/>
        <v>689.62189124673887</v>
      </c>
      <c r="AO26" s="3462">
        <f t="shared" si="33"/>
        <v>731.9908804837313</v>
      </c>
      <c r="AP26" s="3462">
        <f t="shared" si="33"/>
        <v>775.3801743240731</v>
      </c>
      <c r="AR26" s="3541" t="s">
        <v>297</v>
      </c>
      <c r="AS26" s="3542">
        <f>AS23+AS24</f>
        <v>0</v>
      </c>
      <c r="AT26" s="3542">
        <f>AT23+AT24</f>
        <v>0</v>
      </c>
      <c r="AU26" s="3542">
        <f>AU23+AU24</f>
        <v>0</v>
      </c>
      <c r="AV26" s="3542">
        <f>AV23+AV24</f>
        <v>0</v>
      </c>
      <c r="AW26" s="3542">
        <f>AW23+AW24</f>
        <v>0</v>
      </c>
    </row>
    <row r="27" spans="1:49" ht="15.75" customHeight="1">
      <c r="A27" s="4299" t="s">
        <v>222</v>
      </c>
      <c r="B27" s="3579">
        <f>'11. Амортиз. план'!AX85</f>
        <v>178.38537192221867</v>
      </c>
      <c r="C27" s="3579">
        <f>'11. Амортиз. план'!AZ85</f>
        <v>182.81635840439156</v>
      </c>
      <c r="D27" s="3579">
        <f>'11. Амортиз. план'!BA85</f>
        <v>178.56144492651219</v>
      </c>
      <c r="E27" s="3579">
        <f>'11. Амортиз. план'!BB85</f>
        <v>177.34488458512266</v>
      </c>
      <c r="F27" s="3579">
        <f>'11. Амортиз. план'!BC85</f>
        <v>174.89781506314057</v>
      </c>
      <c r="G27" s="3579">
        <f>'11. Амортиз. план'!BD85</f>
        <v>170.03960975311324</v>
      </c>
      <c r="I27" s="3572" t="str">
        <f>'9.Инвестиционна програма'!E140</f>
        <v>Доставяне на вода на потребителите</v>
      </c>
      <c r="J27" s="3703">
        <f>SUM(J28:J29)</f>
        <v>340.17953162255071</v>
      </c>
      <c r="K27" s="3703">
        <f t="shared" ref="K27:N27" si="34">SUM(K28:K29)</f>
        <v>341.71340726613937</v>
      </c>
      <c r="L27" s="3703">
        <f t="shared" si="34"/>
        <v>360.80163749746481</v>
      </c>
      <c r="M27" s="3703">
        <f t="shared" si="34"/>
        <v>365.40326442823078</v>
      </c>
      <c r="N27" s="3703">
        <f t="shared" si="34"/>
        <v>357.05216370202595</v>
      </c>
      <c r="O27" s="3703">
        <f>SUM(J27:N27)</f>
        <v>1765.1500045164116</v>
      </c>
      <c r="P27" s="3558">
        <f t="shared" ref="P27:P44" si="35">IFERROR(O27/$O$42,0)</f>
        <v>0.68012871027055433</v>
      </c>
      <c r="Q27" s="4316"/>
      <c r="S27" s="4294" t="s">
        <v>239</v>
      </c>
      <c r="T27" s="3579">
        <f>'12. Разходи'!BQ29</f>
        <v>16.260897962630363</v>
      </c>
      <c r="U27" s="3579">
        <f>'12. Разходи'!BR29</f>
        <v>16.223976135786696</v>
      </c>
      <c r="V27" s="3579">
        <f>'12. Разходи'!BS29</f>
        <v>16.132862069030708</v>
      </c>
      <c r="W27" s="3579">
        <f>'12. Разходи'!BT29</f>
        <v>15.756120671638319</v>
      </c>
      <c r="X27" s="3579">
        <f>'12. Разходи'!BU29</f>
        <v>16.197998993330408</v>
      </c>
      <c r="Y27" s="3579">
        <f>'12. Разходи'!BV29</f>
        <v>15.829268414159529</v>
      </c>
      <c r="Z27" s="4292">
        <f t="shared" ref="Z27:Z42" si="36">IFERROR((U27-T27)/T27,0)</f>
        <v>-2.2705896641451143E-3</v>
      </c>
      <c r="AA27" s="4292">
        <f t="shared" si="32"/>
        <v>-2.4328667542633069E-2</v>
      </c>
      <c r="AK27" s="5650" t="s">
        <v>1923</v>
      </c>
      <c r="AL27" s="5651" t="str">
        <f>T76</f>
        <v>Доставяне на вода с непитейни качества</v>
      </c>
      <c r="AM27" s="5652"/>
      <c r="AN27" s="5652"/>
      <c r="AO27" s="5652"/>
      <c r="AP27" s="5652"/>
      <c r="AR27" s="5650" t="s">
        <v>1923</v>
      </c>
      <c r="AS27" s="5647" t="str">
        <f>AL35</f>
        <v>Доставяне на вода на друг ВиК оператор</v>
      </c>
      <c r="AT27" s="5648"/>
      <c r="AU27" s="5648"/>
      <c r="AV27" s="5648"/>
      <c r="AW27" s="5649"/>
    </row>
    <row r="28" spans="1:49" ht="15.75" customHeight="1">
      <c r="A28" s="5631" t="s">
        <v>1657</v>
      </c>
      <c r="B28" s="5631"/>
      <c r="C28" s="5631"/>
      <c r="D28" s="5631"/>
      <c r="E28" s="5631"/>
      <c r="F28" s="5631"/>
      <c r="G28" s="5631"/>
      <c r="I28" s="4317" t="s">
        <v>1615</v>
      </c>
      <c r="J28" s="4313">
        <f>'9.Инвестиционна програма'!BC153</f>
        <v>334.55532092939234</v>
      </c>
      <c r="K28" s="4313">
        <f>'9.Инвестиционна програма'!BD153</f>
        <v>337.1117803353734</v>
      </c>
      <c r="L28" s="4313">
        <f>'9.Инвестиционна програма'!BE153</f>
        <v>352.96182865245612</v>
      </c>
      <c r="M28" s="4313">
        <f>'9.Инвестиционна програма'!BF153</f>
        <v>358.58603934561455</v>
      </c>
      <c r="N28" s="4313">
        <f>'9.Инвестиционна програма'!BG153</f>
        <v>352.45053677125998</v>
      </c>
      <c r="O28" s="4313">
        <f t="shared" ref="O28:O41" si="37">SUM(J28:N28)</f>
        <v>1735.6655060340963</v>
      </c>
      <c r="P28" s="4318">
        <f t="shared" si="35"/>
        <v>0.66876805883898083</v>
      </c>
      <c r="Q28" s="4319"/>
      <c r="S28" s="4294" t="s">
        <v>446</v>
      </c>
      <c r="T28" s="3579">
        <f>'12. Разходи'!BQ55</f>
        <v>28.58471749617911</v>
      </c>
      <c r="U28" s="3579">
        <f>'12. Разходи'!BR55</f>
        <v>33.888076578495728</v>
      </c>
      <c r="V28" s="3579">
        <f>'12. Разходи'!BS55</f>
        <v>34.08027321432543</v>
      </c>
      <c r="W28" s="3579">
        <f>'12. Разходи'!BT55</f>
        <v>34.280101992078308</v>
      </c>
      <c r="X28" s="3579">
        <f>'12. Разходи'!BU55</f>
        <v>34.488027410278491</v>
      </c>
      <c r="Y28" s="3579">
        <f>'12. Разходи'!BV55</f>
        <v>34.683565046473419</v>
      </c>
      <c r="Z28" s="4292">
        <f t="shared" si="36"/>
        <v>0.18553127499075381</v>
      </c>
      <c r="AA28" s="4292">
        <f t="shared" si="32"/>
        <v>2.347399286988398E-2</v>
      </c>
      <c r="AK28" s="5650"/>
      <c r="AL28" s="4289" t="s">
        <v>1775</v>
      </c>
      <c r="AM28" s="4289" t="s">
        <v>1776</v>
      </c>
      <c r="AN28" s="4289" t="s">
        <v>1777</v>
      </c>
      <c r="AO28" s="4289" t="s">
        <v>1778</v>
      </c>
      <c r="AP28" s="4289" t="s">
        <v>1779</v>
      </c>
      <c r="AR28" s="5650"/>
      <c r="AS28" s="4289" t="s">
        <v>1775</v>
      </c>
      <c r="AT28" s="4289" t="s">
        <v>1776</v>
      </c>
      <c r="AU28" s="4289" t="s">
        <v>1777</v>
      </c>
      <c r="AV28" s="4289" t="s">
        <v>1778</v>
      </c>
      <c r="AW28" s="4289" t="s">
        <v>1779</v>
      </c>
    </row>
    <row r="29" spans="1:49" ht="15.75" customHeight="1">
      <c r="A29" s="4293" t="s">
        <v>334</v>
      </c>
      <c r="B29" s="3703">
        <f>'11. Амортиз. план'!AX111</f>
        <v>40.667609148034337</v>
      </c>
      <c r="C29" s="3703">
        <f>'11. Амортиз. план'!AZ111</f>
        <v>80.377945254273968</v>
      </c>
      <c r="D29" s="3703">
        <f>'11. Амортиз. план'!BA111</f>
        <v>105.09038617875787</v>
      </c>
      <c r="E29" s="3703">
        <f>'11. Амортиз. план'!BB111</f>
        <v>129.80282710324175</v>
      </c>
      <c r="F29" s="3703">
        <f>'11. Амортиз. план'!BC111</f>
        <v>154.51526802772563</v>
      </c>
      <c r="G29" s="3703">
        <f>'11. Амортиз. план'!BD111</f>
        <v>179.22770895220953</v>
      </c>
      <c r="I29" s="4317" t="s">
        <v>1616</v>
      </c>
      <c r="J29" s="4313">
        <f>'9.Инвестиционна програма'!BC147</f>
        <v>5.6242106931584033</v>
      </c>
      <c r="K29" s="4313">
        <f>'9.Инвестиционна програма'!BD147</f>
        <v>4.6016269307659661</v>
      </c>
      <c r="L29" s="4313">
        <f>'9.Инвестиционна програма'!BE147</f>
        <v>7.8398088450086831</v>
      </c>
      <c r="M29" s="4313">
        <f>'9.Инвестиционна програма'!BF147</f>
        <v>6.8172250826162459</v>
      </c>
      <c r="N29" s="4313">
        <f>'9.Инвестиционна програма'!BG147</f>
        <v>4.6016269307659661</v>
      </c>
      <c r="O29" s="4313">
        <f t="shared" si="37"/>
        <v>29.484498482315267</v>
      </c>
      <c r="P29" s="4318">
        <f t="shared" si="35"/>
        <v>1.1360651431573419E-2</v>
      </c>
      <c r="Q29" s="4319"/>
      <c r="S29" s="4300" t="s">
        <v>447</v>
      </c>
      <c r="T29" s="4296">
        <f>'12. Разходи'!BQ56</f>
        <v>7.9488766170297644</v>
      </c>
      <c r="U29" s="4296">
        <f>'12. Разходи'!BR56</f>
        <v>9.1756356540118329</v>
      </c>
      <c r="V29" s="4296">
        <f>'12. Разходи'!BS56</f>
        <v>9.3678322898415356</v>
      </c>
      <c r="W29" s="4296">
        <f>'12. Разходи'!BT56</f>
        <v>9.5676610675944147</v>
      </c>
      <c r="X29" s="4296">
        <f>'12. Разходи'!BU56</f>
        <v>9.7755864857946015</v>
      </c>
      <c r="Y29" s="4296">
        <f>'12. Разходи'!BV56</f>
        <v>9.9711241219895257</v>
      </c>
      <c r="Z29" s="4292">
        <f t="shared" si="36"/>
        <v>0.15433112074652736</v>
      </c>
      <c r="AA29" s="4292">
        <f t="shared" si="32"/>
        <v>8.6695734003985211E-2</v>
      </c>
      <c r="AK29" s="3460" t="s">
        <v>547</v>
      </c>
      <c r="AL29" s="3567">
        <f>'17. РБА'!I52</f>
        <v>0</v>
      </c>
      <c r="AM29" s="3567">
        <f>'17. РБА'!J52</f>
        <v>0</v>
      </c>
      <c r="AN29" s="3567">
        <f>'17. РБА'!K52</f>
        <v>0</v>
      </c>
      <c r="AO29" s="3567">
        <f>'17. РБА'!L52</f>
        <v>0</v>
      </c>
      <c r="AP29" s="3567">
        <f>'17. РБА'!M52</f>
        <v>0</v>
      </c>
      <c r="AR29" s="3568" t="s">
        <v>294</v>
      </c>
      <c r="AS29" s="3305">
        <f>'16. Необходими приходи'!K40</f>
        <v>45.634373616969974</v>
      </c>
      <c r="AT29" s="3305">
        <f>'16. Необходими приходи'!L40</f>
        <v>50.838204536026254</v>
      </c>
      <c r="AU29" s="3305">
        <f>'16. Необходими приходи'!M40</f>
        <v>55.611898313452095</v>
      </c>
      <c r="AV29" s="3305">
        <f>'16. Необходими приходи'!N40</f>
        <v>61.348675066363853</v>
      </c>
      <c r="AW29" s="3305">
        <f>'16. Необходими приходи'!O40</f>
        <v>67.014592529322726</v>
      </c>
    </row>
    <row r="30" spans="1:49" ht="15.75" customHeight="1">
      <c r="A30" s="4295" t="s">
        <v>218</v>
      </c>
      <c r="B30" s="4296">
        <f>'11. Амортиз. план'!AX131</f>
        <v>0.71960241943318182</v>
      </c>
      <c r="C30" s="4296">
        <f>'11. Амортиз. план'!AZ131</f>
        <v>1.0391946474696903</v>
      </c>
      <c r="D30" s="4296">
        <f>'11. Амортиз. план'!BA131</f>
        <v>1.178506981403606</v>
      </c>
      <c r="E30" s="4296">
        <f>'11. Амортиз. план'!BB131</f>
        <v>1.3319202790421478</v>
      </c>
      <c r="F30" s="4296">
        <f>'11. Амортиз. план'!BC131</f>
        <v>1.4887216227943569</v>
      </c>
      <c r="G30" s="4296">
        <f>'11. Амортиз. план'!BD131</f>
        <v>1.6493582046409505</v>
      </c>
      <c r="I30" s="3572" t="str">
        <f>'9.Инвестиционна програма'!E141</f>
        <v>Отвеждане на отпадъчните води</v>
      </c>
      <c r="J30" s="3703">
        <f>SUM(J31:J32)</f>
        <v>30.847943498838514</v>
      </c>
      <c r="K30" s="3703">
        <f t="shared" ref="K30:N30" si="38">SUM(K31:K32)</f>
        <v>29.825359736446078</v>
      </c>
      <c r="L30" s="3703">
        <f t="shared" si="38"/>
        <v>33.063541650688791</v>
      </c>
      <c r="M30" s="3703">
        <f t="shared" si="38"/>
        <v>32.040957888296354</v>
      </c>
      <c r="N30" s="3703">
        <f t="shared" si="38"/>
        <v>29.825359736446078</v>
      </c>
      <c r="O30" s="3703">
        <f t="shared" ref="O30:O39" si="39">SUM(J30:N30)</f>
        <v>155.6031625107158</v>
      </c>
      <c r="P30" s="3558">
        <f t="shared" si="35"/>
        <v>5.9955345416338318E-2</v>
      </c>
      <c r="Q30" s="4316"/>
      <c r="S30" s="4300" t="s">
        <v>736</v>
      </c>
      <c r="T30" s="4296">
        <f>'12. Разходи'!BQ57</f>
        <v>0.51692120480818882</v>
      </c>
      <c r="U30" s="4296">
        <f>'12. Разходи'!BR57</f>
        <v>1.0391946474696903</v>
      </c>
      <c r="V30" s="4296">
        <f>'12. Разходи'!BS57</f>
        <v>1.178506981403606</v>
      </c>
      <c r="W30" s="4296">
        <f>'12. Разходи'!BT57</f>
        <v>1.3319202790421478</v>
      </c>
      <c r="X30" s="4296">
        <f>'12. Разходи'!BU57</f>
        <v>1.4887216227943569</v>
      </c>
      <c r="Y30" s="4296">
        <f>'12. Разходи'!BV57</f>
        <v>1.6493582046409505</v>
      </c>
      <c r="Z30" s="4292">
        <f t="shared" si="36"/>
        <v>1.0103540690602906</v>
      </c>
      <c r="AA30" s="4292">
        <f t="shared" si="32"/>
        <v>0.58715040407197305</v>
      </c>
      <c r="AK30" s="3460" t="s">
        <v>548</v>
      </c>
      <c r="AL30" s="3567">
        <f>'17. РБА'!I55</f>
        <v>0</v>
      </c>
      <c r="AM30" s="3567">
        <f>'17. РБА'!J55</f>
        <v>0</v>
      </c>
      <c r="AN30" s="3567">
        <f>'17. РБА'!K55</f>
        <v>0</v>
      </c>
      <c r="AO30" s="3567">
        <f>'17. РБА'!L55</f>
        <v>0</v>
      </c>
      <c r="AP30" s="3567">
        <f>'17. РБА'!M55</f>
        <v>0</v>
      </c>
      <c r="AR30" s="3568" t="s">
        <v>296</v>
      </c>
      <c r="AS30" s="3305">
        <f>'16. Необходими приходи'!K41</f>
        <v>1477.1291719745007</v>
      </c>
      <c r="AT30" s="3305">
        <f>'16. Необходими приходи'!L41</f>
        <v>1502.9698090592458</v>
      </c>
      <c r="AU30" s="3305">
        <f>'16. Необходими приходи'!M41</f>
        <v>1618.8580158395898</v>
      </c>
      <c r="AV30" s="3305">
        <f>'16. Необходими приходи'!N41</f>
        <v>1763.8166921003588</v>
      </c>
      <c r="AW30" s="3305">
        <f>'16. Необходими приходи'!O41</f>
        <v>1911.4215449720605</v>
      </c>
    </row>
    <row r="31" spans="1:49" ht="18.75" customHeight="1">
      <c r="A31" s="4299" t="s">
        <v>220</v>
      </c>
      <c r="B31" s="3579">
        <f>'11. Амортиз. план'!AX151</f>
        <v>2.1773467019117203</v>
      </c>
      <c r="C31" s="3579">
        <f>'11. Амортиз. план'!AZ151</f>
        <v>4.0903682432557016</v>
      </c>
      <c r="D31" s="3579">
        <f>'11. Амортиз. план'!BA151</f>
        <v>5.2688752246593076</v>
      </c>
      <c r="E31" s="3579">
        <f>'11. Амортиз. план'!BB151</f>
        <v>6.6007955037014554</v>
      </c>
      <c r="F31" s="3579">
        <f>'11. Амортиз. план'!BC151</f>
        <v>8.0895171264958119</v>
      </c>
      <c r="G31" s="3579">
        <f>'11. Амортиз. план'!BD151</f>
        <v>9.7388753311367626</v>
      </c>
      <c r="I31" s="4317" t="s">
        <v>1615</v>
      </c>
      <c r="J31" s="4313">
        <f>'9.Инвестиционна програма'!BC154</f>
        <v>24.712440924483893</v>
      </c>
      <c r="K31" s="4313">
        <f>'9.Инвестиционна програма'!BD154</f>
        <v>24.712440924483893</v>
      </c>
      <c r="L31" s="4313">
        <f>'9.Инвестиционна програма'!BE154</f>
        <v>24.712440924483893</v>
      </c>
      <c r="M31" s="4313">
        <f>'9.Инвестиционна програма'!BF154</f>
        <v>24.712440924483893</v>
      </c>
      <c r="N31" s="4313">
        <f>'9.Инвестиционна програма'!BG154</f>
        <v>24.712440924483893</v>
      </c>
      <c r="O31" s="4313">
        <f t="shared" si="37"/>
        <v>123.56220462241947</v>
      </c>
      <c r="P31" s="4318">
        <f t="shared" si="35"/>
        <v>4.7609666403992654E-2</v>
      </c>
      <c r="Q31" s="4319"/>
      <c r="S31" s="4300" t="s">
        <v>737</v>
      </c>
      <c r="T31" s="4296">
        <f>'12. Разходи'!BQ58</f>
        <v>20.118919674341161</v>
      </c>
      <c r="U31" s="4296">
        <f>'12. Разходи'!BR58</f>
        <v>23.673246277014201</v>
      </c>
      <c r="V31" s="4296">
        <f>'12. Разходи'!BS58</f>
        <v>23.533933943080285</v>
      </c>
      <c r="W31" s="4296">
        <f>'12. Разходи'!BT58</f>
        <v>23.380520645441745</v>
      </c>
      <c r="X31" s="4296">
        <f>'12. Разходи'!BU58</f>
        <v>23.223719301689531</v>
      </c>
      <c r="Y31" s="4296">
        <f>'12. Разходи'!BV58</f>
        <v>23.063082719842942</v>
      </c>
      <c r="Z31" s="4292">
        <f t="shared" si="36"/>
        <v>0.17666587770147923</v>
      </c>
      <c r="AA31" s="4292">
        <f t="shared" si="32"/>
        <v>-2.5774393170728913E-2</v>
      </c>
      <c r="AK31" s="3460" t="s">
        <v>549</v>
      </c>
      <c r="AL31" s="3567">
        <f>'17. РБА'!I58</f>
        <v>0</v>
      </c>
      <c r="AM31" s="3567">
        <f>'17. РБА'!J58</f>
        <v>0</v>
      </c>
      <c r="AN31" s="3567">
        <f>'17. РБА'!K58</f>
        <v>0</v>
      </c>
      <c r="AO31" s="3567">
        <f>'17. РБА'!L58</f>
        <v>0</v>
      </c>
      <c r="AP31" s="3567">
        <f>'17. РБА'!M58</f>
        <v>0</v>
      </c>
      <c r="AR31" s="3568" t="s">
        <v>1785</v>
      </c>
      <c r="AS31" s="3305">
        <f>'12. Разходи'!CM17</f>
        <v>197.96978104250471</v>
      </c>
      <c r="AT31" s="3305">
        <f>'12. Разходи'!CN17</f>
        <v>198.21017291104872</v>
      </c>
      <c r="AU31" s="3305">
        <f>'12. Разходи'!CO17</f>
        <v>198.45091293562024</v>
      </c>
      <c r="AV31" s="3305">
        <f>'12. Разходи'!CP17</f>
        <v>198.69203256067024</v>
      </c>
      <c r="AW31" s="3305">
        <f>'12. Разходи'!CQ17</f>
        <v>198.93391138667687</v>
      </c>
    </row>
    <row r="32" spans="1:49" ht="15.75" customHeight="1">
      <c r="A32" s="4299" t="s">
        <v>222</v>
      </c>
      <c r="B32" s="3579">
        <f>'11. Амортиз. план'!AX171</f>
        <v>38.490262446122614</v>
      </c>
      <c r="C32" s="3579">
        <f>'11. Амортиз. план'!AZ171</f>
        <v>76.287577011018271</v>
      </c>
      <c r="D32" s="3579">
        <f>'11. Амортиз. план'!BA171</f>
        <v>99.821510954098557</v>
      </c>
      <c r="E32" s="3579">
        <f>'11. Амортиз. план'!BB171</f>
        <v>123.20203159954029</v>
      </c>
      <c r="F32" s="3579">
        <f>'11. Амортиз. план'!BC171</f>
        <v>146.4257509012298</v>
      </c>
      <c r="G32" s="3579">
        <f>'11. Амортиз. план'!BD171</f>
        <v>169.48883362107276</v>
      </c>
      <c r="I32" s="4317" t="s">
        <v>1616</v>
      </c>
      <c r="J32" s="4313">
        <f>'9.Инвестиционна програма'!BC148</f>
        <v>6.1355025743546223</v>
      </c>
      <c r="K32" s="4313">
        <f>'9.Инвестиционна програма'!BD148</f>
        <v>5.1129188119621851</v>
      </c>
      <c r="L32" s="4313">
        <f>'9.Инвестиционна програма'!BE148</f>
        <v>8.3511007262049013</v>
      </c>
      <c r="M32" s="4313">
        <f>'9.Инвестиционна програма'!BF148</f>
        <v>7.3285169638124641</v>
      </c>
      <c r="N32" s="4313">
        <f>'9.Инвестиционна програма'!BG148</f>
        <v>5.1129188119621851</v>
      </c>
      <c r="O32" s="4313">
        <f t="shared" si="37"/>
        <v>32.040957888296361</v>
      </c>
      <c r="P32" s="4318">
        <f t="shared" si="35"/>
        <v>1.2345679012345682E-2</v>
      </c>
      <c r="Q32" s="4319"/>
      <c r="S32" s="4294" t="s">
        <v>448</v>
      </c>
      <c r="T32" s="3579">
        <f>'12. Разходи'!BQ59</f>
        <v>68.997611910224663</v>
      </c>
      <c r="U32" s="3579">
        <f>'12. Разходи'!BR59</f>
        <v>155.1402403564131</v>
      </c>
      <c r="V32" s="3579">
        <f>'12. Разходи'!BS59</f>
        <v>175.81890821735931</v>
      </c>
      <c r="W32" s="3579">
        <f>'12. Разходи'!BT59</f>
        <v>199.48074306077541</v>
      </c>
      <c r="X32" s="3579">
        <f>'12. Разходи'!BU59</f>
        <v>226.55533519134752</v>
      </c>
      <c r="Y32" s="3579">
        <f>'12. Разходи'!BV59</f>
        <v>257.53399161751236</v>
      </c>
      <c r="Z32" s="4292">
        <f t="shared" si="36"/>
        <v>1.2484871006589588</v>
      </c>
      <c r="AA32" s="4292">
        <f t="shared" si="32"/>
        <v>0.66000768740504634</v>
      </c>
      <c r="AK32" s="3460" t="s">
        <v>329</v>
      </c>
      <c r="AL32" s="3574">
        <f>'17. РБА'!I61</f>
        <v>0</v>
      </c>
      <c r="AM32" s="3574">
        <f>'17. РБА'!J61</f>
        <v>0</v>
      </c>
      <c r="AN32" s="3574">
        <f>'17. РБА'!K61</f>
        <v>0</v>
      </c>
      <c r="AO32" s="3574">
        <f>'17. РБА'!L61</f>
        <v>0</v>
      </c>
      <c r="AP32" s="3574">
        <f>'17. РБА'!M61</f>
        <v>0</v>
      </c>
      <c r="AR32" s="3541" t="s">
        <v>297</v>
      </c>
      <c r="AS32" s="3542">
        <f>AS29+AS30</f>
        <v>1522.7635455914706</v>
      </c>
      <c r="AT32" s="3542">
        <f>AT29+AT30</f>
        <v>1553.8080135952721</v>
      </c>
      <c r="AU32" s="3542">
        <f>AU29+AU30</f>
        <v>1674.4699141530418</v>
      </c>
      <c r="AV32" s="3542">
        <f>AV29+AV30</f>
        <v>1825.1653671667227</v>
      </c>
      <c r="AW32" s="3542">
        <f>AW29+AW30</f>
        <v>1978.4361375013832</v>
      </c>
    </row>
    <row r="33" spans="1:44" ht="15.75" customHeight="1">
      <c r="A33" s="5631" t="s">
        <v>1658</v>
      </c>
      <c r="B33" s="5631"/>
      <c r="C33" s="5631"/>
      <c r="D33" s="5631"/>
      <c r="E33" s="5631"/>
      <c r="F33" s="5631"/>
      <c r="G33" s="5631"/>
      <c r="I33" s="3572" t="str">
        <f>'9.Инвестиционна програма'!E142</f>
        <v>Пречистване на отпадъчните води</v>
      </c>
      <c r="J33" s="3703">
        <f>SUM(J34:J35)</f>
        <v>43.118948647547761</v>
      </c>
      <c r="K33" s="3703">
        <f t="shared" ref="K33:N33" si="40">SUM(K34:K35)</f>
        <v>42.096364885155324</v>
      </c>
      <c r="L33" s="3703">
        <f t="shared" si="40"/>
        <v>45.334546799398041</v>
      </c>
      <c r="M33" s="3703">
        <f t="shared" si="40"/>
        <v>44.311963037005604</v>
      </c>
      <c r="N33" s="3703">
        <f t="shared" si="40"/>
        <v>42.096364885155324</v>
      </c>
      <c r="O33" s="3703">
        <f t="shared" si="39"/>
        <v>216.95818825426204</v>
      </c>
      <c r="P33" s="3558">
        <f t="shared" si="35"/>
        <v>8.3596007354872603E-2</v>
      </c>
      <c r="Q33" s="4316"/>
      <c r="S33" s="4294" t="s">
        <v>449</v>
      </c>
      <c r="T33" s="3579">
        <f>'12. Разходи'!BQ63</f>
        <v>20.426322964207333</v>
      </c>
      <c r="U33" s="3579">
        <f>'12. Разходи'!BR63</f>
        <v>45.24324151877191</v>
      </c>
      <c r="V33" s="3579">
        <f>'12. Разходи'!BS63</f>
        <v>52.288327372518808</v>
      </c>
      <c r="W33" s="3579">
        <f>'12. Разходи'!BT63</f>
        <v>59.137013628457197</v>
      </c>
      <c r="X33" s="3579">
        <f>'12. Разходи'!BU63</f>
        <v>66.242484440028605</v>
      </c>
      <c r="Y33" s="3579">
        <f>'12. Разходи'!BV63</f>
        <v>73.59568723936826</v>
      </c>
      <c r="Z33" s="4292">
        <f t="shared" si="36"/>
        <v>1.2149479178435982</v>
      </c>
      <c r="AA33" s="4292">
        <f t="shared" si="32"/>
        <v>0.62666698425736389</v>
      </c>
      <c r="AK33" s="3460" t="s">
        <v>306</v>
      </c>
      <c r="AL33" s="3567">
        <f>'17. РБА'!I62</f>
        <v>0</v>
      </c>
      <c r="AM33" s="3567">
        <f>'17. РБА'!J62</f>
        <v>0</v>
      </c>
      <c r="AN33" s="3567">
        <f>'17. РБА'!K62</f>
        <v>0</v>
      </c>
      <c r="AO33" s="3567">
        <f>'17. РБА'!L62</f>
        <v>0</v>
      </c>
      <c r="AP33" s="3567">
        <f>'17. РБА'!M62</f>
        <v>0</v>
      </c>
      <c r="AR33" s="4281"/>
    </row>
    <row r="34" spans="1:44" ht="12.75" customHeight="1">
      <c r="A34" s="4293" t="s">
        <v>334</v>
      </c>
      <c r="B34" s="3703">
        <f>'11. Амортиз. план'!AX192</f>
        <v>21504.787936579367</v>
      </c>
      <c r="C34" s="3703">
        <f>'11. Амортиз. план'!AZ192</f>
        <v>21747.111645695193</v>
      </c>
      <c r="D34" s="3703">
        <f>'11. Амортиз. план'!BA192</f>
        <v>21747.111645695193</v>
      </c>
      <c r="E34" s="3703">
        <f>'11. Амортиз. план'!BB192</f>
        <v>21747.111645695193</v>
      </c>
      <c r="F34" s="3703">
        <f>'11. Амортиз. план'!BC192</f>
        <v>21747.111645695193</v>
      </c>
      <c r="G34" s="3703">
        <f>'11. Амортиз. план'!BD192</f>
        <v>21747.111645695193</v>
      </c>
      <c r="I34" s="4317" t="s">
        <v>1615</v>
      </c>
      <c r="J34" s="4313">
        <f>'9.Инвестиционна програма'!BC155</f>
        <v>37.494737954389358</v>
      </c>
      <c r="K34" s="4313">
        <f>'9.Инвестиционна програма'!BD155</f>
        <v>37.494737954389358</v>
      </c>
      <c r="L34" s="4313">
        <f>'9.Инвестиционна програма'!BE155</f>
        <v>37.494737954389358</v>
      </c>
      <c r="M34" s="4313">
        <f>'9.Инвестиционна програма'!BF155</f>
        <v>37.494737954389358</v>
      </c>
      <c r="N34" s="4313">
        <f>'9.Инвестиционна програма'!BG155</f>
        <v>37.494737954389358</v>
      </c>
      <c r="O34" s="4313">
        <f t="shared" si="37"/>
        <v>187.47368977194679</v>
      </c>
      <c r="P34" s="4318">
        <f t="shared" si="35"/>
        <v>7.2235355923299202E-2</v>
      </c>
      <c r="Q34" s="4319"/>
      <c r="S34" s="4294" t="s">
        <v>450</v>
      </c>
      <c r="T34" s="3579">
        <f>'12. Разходи'!BQ70</f>
        <v>1.7890159144989548</v>
      </c>
      <c r="U34" s="3579">
        <f>'12. Разходи'!BR70</f>
        <v>1.5543247515957954</v>
      </c>
      <c r="V34" s="3579">
        <f>'12. Разходи'!BS70</f>
        <v>1.5479239565035134</v>
      </c>
      <c r="W34" s="3579">
        <f>'12. Разходи'!BT70</f>
        <v>1.5521582385751025</v>
      </c>
      <c r="X34" s="3579">
        <f>'12. Разходи'!BU70</f>
        <v>1.5595965434492582</v>
      </c>
      <c r="Y34" s="3579">
        <f>'12. Разходи'!BV70</f>
        <v>1.5685907151173977</v>
      </c>
      <c r="Z34" s="4292">
        <f t="shared" si="36"/>
        <v>-0.13118450260901607</v>
      </c>
      <c r="AA34" s="4292">
        <f t="shared" si="32"/>
        <v>9.1782386576265106E-3</v>
      </c>
      <c r="AK34" s="3461" t="s">
        <v>305</v>
      </c>
      <c r="AL34" s="3462">
        <f t="shared" ref="AL34:AP34" si="41">AL29-AL30+AL31+AL32+AL33</f>
        <v>0</v>
      </c>
      <c r="AM34" s="3462">
        <f t="shared" si="41"/>
        <v>0</v>
      </c>
      <c r="AN34" s="3462">
        <f t="shared" si="41"/>
        <v>0</v>
      </c>
      <c r="AO34" s="3462">
        <f t="shared" si="41"/>
        <v>0</v>
      </c>
      <c r="AP34" s="3462">
        <f t="shared" si="41"/>
        <v>0</v>
      </c>
      <c r="AR34" s="4281"/>
    </row>
    <row r="35" spans="1:44" ht="15.75" customHeight="1">
      <c r="A35" s="4295" t="s">
        <v>218</v>
      </c>
      <c r="B35" s="4296">
        <f>'11. Амортиз. план'!AX214</f>
        <v>430.99010650209885</v>
      </c>
      <c r="C35" s="4296">
        <f>'11. Амортиз. план'!AZ214</f>
        <v>435.83658068441531</v>
      </c>
      <c r="D35" s="4296">
        <f>'11. Амортиз. план'!BA214</f>
        <v>435.83658068441531</v>
      </c>
      <c r="E35" s="4296">
        <f>'11. Амортиз. план'!BB214</f>
        <v>435.83658068441531</v>
      </c>
      <c r="F35" s="4296">
        <f>'11. Амортиз. план'!BC214</f>
        <v>435.83658068441531</v>
      </c>
      <c r="G35" s="4296">
        <f>'11. Амортиз. план'!BD214</f>
        <v>435.83658068441531</v>
      </c>
      <c r="I35" s="4317" t="s">
        <v>1616</v>
      </c>
      <c r="J35" s="4313">
        <f>'9.Инвестиционна програма'!BC149</f>
        <v>5.6242106931584033</v>
      </c>
      <c r="K35" s="4313">
        <f>'9.Инвестиционна програма'!BD149</f>
        <v>4.6016269307659661</v>
      </c>
      <c r="L35" s="4313">
        <f>'9.Инвестиционна програма'!BE149</f>
        <v>7.8398088450086831</v>
      </c>
      <c r="M35" s="4313">
        <f>'9.Инвестиционна програма'!BF149</f>
        <v>6.8172250826162459</v>
      </c>
      <c r="N35" s="4313">
        <f>'9.Инвестиционна програма'!BG149</f>
        <v>4.6016269307659661</v>
      </c>
      <c r="O35" s="4313">
        <f t="shared" si="37"/>
        <v>29.484498482315267</v>
      </c>
      <c r="P35" s="4318">
        <f t="shared" si="35"/>
        <v>1.1360651431573419E-2</v>
      </c>
      <c r="Q35" s="4319"/>
      <c r="S35" s="4294" t="s">
        <v>267</v>
      </c>
      <c r="T35" s="3579">
        <f>'12. Разходи'!BQ76</f>
        <v>0.65451813948357163</v>
      </c>
      <c r="U35" s="3579">
        <f>'12. Разходи'!BR76</f>
        <v>0.70808847338257996</v>
      </c>
      <c r="V35" s="3579">
        <f>'12. Разходи'!BS76</f>
        <v>0.70808847338257996</v>
      </c>
      <c r="W35" s="3579">
        <f>'12. Разходи'!BT76</f>
        <v>0.70808847338257996</v>
      </c>
      <c r="X35" s="3579">
        <f>'12. Разходи'!BU76</f>
        <v>0.70808847338257996</v>
      </c>
      <c r="Y35" s="3579">
        <f>'12. Разходи'!BV76</f>
        <v>0.70808847338257996</v>
      </c>
      <c r="Z35" s="4292">
        <f t="shared" si="36"/>
        <v>8.1846981263615462E-2</v>
      </c>
      <c r="AA35" s="4292">
        <f t="shared" si="32"/>
        <v>0</v>
      </c>
      <c r="AK35" s="5650" t="s">
        <v>1923</v>
      </c>
      <c r="AL35" s="5651" t="str">
        <f>T100</f>
        <v>Доставяне на вода на друг ВиК оператор</v>
      </c>
      <c r="AM35" s="5652"/>
      <c r="AN35" s="5652"/>
      <c r="AO35" s="5652"/>
      <c r="AP35" s="5652"/>
      <c r="AR35" s="4281"/>
    </row>
    <row r="36" spans="1:44" ht="15.75" customHeight="1">
      <c r="A36" s="4299" t="s">
        <v>220</v>
      </c>
      <c r="B36" s="3579">
        <f>'11. Амортиз. план'!AX236</f>
        <v>5679.667246130798</v>
      </c>
      <c r="C36" s="3579">
        <f>'11. Амортиз. план'!AZ236</f>
        <v>6551.3404074996288</v>
      </c>
      <c r="D36" s="3579">
        <f>'11. Амортиз. план'!BA236</f>
        <v>6987.1769881840446</v>
      </c>
      <c r="E36" s="3579">
        <f>'11. Амортиз. план'!BB236</f>
        <v>7423.0135688684595</v>
      </c>
      <c r="F36" s="3579">
        <f>'11. Амортиз. план'!BC236</f>
        <v>7858.8501495528762</v>
      </c>
      <c r="G36" s="3579">
        <f>'11. Амортиз. план'!BD236</f>
        <v>8294.6867302372921</v>
      </c>
      <c r="I36" s="3572" t="str">
        <f>'9.Инвестиционна програма'!E143</f>
        <v>Доставяне на вода с непитейни качества</v>
      </c>
      <c r="J36" s="3703">
        <f>SUM(J37:J38)</f>
        <v>0</v>
      </c>
      <c r="K36" s="3703">
        <f t="shared" ref="K36:N36" si="42">SUM(K37:K38)</f>
        <v>0</v>
      </c>
      <c r="L36" s="3703">
        <f t="shared" si="42"/>
        <v>0</v>
      </c>
      <c r="M36" s="3703">
        <f t="shared" si="42"/>
        <v>0</v>
      </c>
      <c r="N36" s="3703">
        <f t="shared" si="42"/>
        <v>0</v>
      </c>
      <c r="O36" s="3703">
        <f t="shared" si="39"/>
        <v>0</v>
      </c>
      <c r="P36" s="3558">
        <f t="shared" si="35"/>
        <v>0</v>
      </c>
      <c r="Q36" s="4316"/>
      <c r="S36" s="4302" t="s">
        <v>277</v>
      </c>
      <c r="T36" s="4303">
        <f>SUM(T26:T28,T32:T35)</f>
        <v>151.48693209500854</v>
      </c>
      <c r="U36" s="4303">
        <f t="shared" ref="U36:Y36" si="43">SUM(U26:U28,U32:U35)</f>
        <v>269.43559135399306</v>
      </c>
      <c r="V36" s="4303">
        <f t="shared" si="43"/>
        <v>297.00998340634459</v>
      </c>
      <c r="W36" s="4303">
        <f t="shared" si="43"/>
        <v>326.90988956234247</v>
      </c>
      <c r="X36" s="4303">
        <f t="shared" si="43"/>
        <v>362.23777920438459</v>
      </c>
      <c r="Y36" s="4303">
        <f t="shared" si="43"/>
        <v>399.72878892653625</v>
      </c>
      <c r="Z36" s="4304">
        <f t="shared" si="36"/>
        <v>0.77860616508498759</v>
      </c>
      <c r="AA36" s="4304">
        <f t="shared" si="32"/>
        <v>0.48357827159278238</v>
      </c>
      <c r="AK36" s="5650"/>
      <c r="AL36" s="4289" t="s">
        <v>1775</v>
      </c>
      <c r="AM36" s="4289" t="s">
        <v>1776</v>
      </c>
      <c r="AN36" s="4289" t="s">
        <v>1777</v>
      </c>
      <c r="AO36" s="4289" t="s">
        <v>1778</v>
      </c>
      <c r="AP36" s="4289" t="s">
        <v>1779</v>
      </c>
      <c r="AR36" s="4281"/>
    </row>
    <row r="37" spans="1:44" ht="15.75" customHeight="1">
      <c r="A37" s="4299" t="s">
        <v>222</v>
      </c>
      <c r="B37" s="3579">
        <f>'11. Амортиз. план'!AX258</f>
        <v>15825.120690448572</v>
      </c>
      <c r="C37" s="3579">
        <f>'11. Амортиз. план'!AZ258</f>
        <v>15195.771238195566</v>
      </c>
      <c r="D37" s="3579">
        <f>'11. Амортиз. план'!BA258</f>
        <v>14759.93465751115</v>
      </c>
      <c r="E37" s="3579">
        <f>'11. Амортиз. план'!BB258</f>
        <v>14324.098076826736</v>
      </c>
      <c r="F37" s="3579">
        <f>'11. Амортиз. план'!BC258</f>
        <v>13888.261496142321</v>
      </c>
      <c r="G37" s="3579">
        <f>'11. Амортиз. план'!BD258</f>
        <v>13452.424915457903</v>
      </c>
      <c r="I37" s="4317" t="s">
        <v>1615</v>
      </c>
      <c r="J37" s="4313">
        <f>'9.Инвестиционна програма'!BC156</f>
        <v>0</v>
      </c>
      <c r="K37" s="4313">
        <f>'9.Инвестиционна програма'!BD156</f>
        <v>0</v>
      </c>
      <c r="L37" s="4313">
        <f>'9.Инвестиционна програма'!BE156</f>
        <v>0</v>
      </c>
      <c r="M37" s="4313">
        <f>'9.Инвестиционна програма'!BF156</f>
        <v>0</v>
      </c>
      <c r="N37" s="4313">
        <f>'9.Инвестиционна програма'!BG156</f>
        <v>0</v>
      </c>
      <c r="O37" s="4313">
        <f t="shared" si="37"/>
        <v>0</v>
      </c>
      <c r="P37" s="4318">
        <f t="shared" si="35"/>
        <v>0</v>
      </c>
      <c r="Q37" s="4319"/>
      <c r="S37" s="4310" t="str">
        <f>CONCATENATE("Спестявания и увеличения спрямо ",T25," - нето:")</f>
        <v>Спестявания и увеличения спрямо 2024 г. - нето:</v>
      </c>
      <c r="T37" s="4311"/>
      <c r="U37" s="4310">
        <f>U36-$T36</f>
        <v>117.94865925898452</v>
      </c>
      <c r="V37" s="4310">
        <f t="shared" ref="V37:Y37" si="44">V36-$T36</f>
        <v>145.52305131133605</v>
      </c>
      <c r="W37" s="4310">
        <f t="shared" si="44"/>
        <v>175.42295746733393</v>
      </c>
      <c r="X37" s="4310">
        <f t="shared" si="44"/>
        <v>210.75084710937605</v>
      </c>
      <c r="Y37" s="4310">
        <f t="shared" si="44"/>
        <v>248.24185683152771</v>
      </c>
      <c r="Z37" s="4311"/>
      <c r="AA37" s="4311"/>
      <c r="AK37" s="3460" t="s">
        <v>547</v>
      </c>
      <c r="AL37" s="3567">
        <f>'17. РБА'!I66</f>
        <v>487.91771414820909</v>
      </c>
      <c r="AM37" s="3567">
        <f>'17. РБА'!J66</f>
        <v>639.2601109822898</v>
      </c>
      <c r="AN37" s="3567">
        <f>'17. РБА'!K66</f>
        <v>711.35226623095662</v>
      </c>
      <c r="AO37" s="3567">
        <f>'17. РБА'!L66</f>
        <v>780.88796207364237</v>
      </c>
      <c r="AP37" s="3567">
        <f>'17. РБА'!M66</f>
        <v>863.20595494623353</v>
      </c>
      <c r="AR37" s="4281"/>
    </row>
    <row r="38" spans="1:44" ht="15.75" customHeight="1">
      <c r="A38" s="2" t="s">
        <v>184</v>
      </c>
      <c r="B38" s="11"/>
      <c r="C38" s="11"/>
      <c r="D38" s="11"/>
      <c r="E38" s="11"/>
      <c r="F38" s="11"/>
      <c r="G38" s="3446" t="s">
        <v>1909</v>
      </c>
      <c r="I38" s="4317" t="s">
        <v>1616</v>
      </c>
      <c r="J38" s="4313">
        <f>'9.Инвестиционна програма'!BC150</f>
        <v>0</v>
      </c>
      <c r="K38" s="4313">
        <f>'9.Инвестиционна програма'!BD150</f>
        <v>0</v>
      </c>
      <c r="L38" s="4313">
        <f>'9.Инвестиционна програма'!BE150</f>
        <v>0</v>
      </c>
      <c r="M38" s="4313">
        <f>'9.Инвестиционна програма'!BF150</f>
        <v>0</v>
      </c>
      <c r="N38" s="4313">
        <f>'9.Инвестиционна програма'!BG150</f>
        <v>0</v>
      </c>
      <c r="O38" s="4313">
        <f t="shared" si="37"/>
        <v>0</v>
      </c>
      <c r="P38" s="4318">
        <f t="shared" si="35"/>
        <v>0</v>
      </c>
      <c r="Q38" s="4319"/>
      <c r="S38" s="4294" t="s">
        <v>1668</v>
      </c>
      <c r="T38" s="3579">
        <f>'12. Разходи'!BQ92</f>
        <v>87.624218813141184</v>
      </c>
      <c r="U38" s="3579">
        <f>'12. Разходи'!BR92</f>
        <v>155.15052828248486</v>
      </c>
      <c r="V38" s="3579">
        <f>'12. Разходи'!BS92</f>
        <v>172.01213068237632</v>
      </c>
      <c r="W38" s="3579">
        <f>'12. Разходи'!BT92</f>
        <v>190.05566034843773</v>
      </c>
      <c r="X38" s="3579">
        <f>'12. Разходи'!BU92</f>
        <v>212.05978692418822</v>
      </c>
      <c r="Y38" s="3579">
        <f>'12. Разходи'!BV92</f>
        <v>234.58279975425688</v>
      </c>
      <c r="Z38" s="4292">
        <f t="shared" si="36"/>
        <v>0.77063522373127979</v>
      </c>
      <c r="AA38" s="4292">
        <f t="shared" ref="AA38:AA42" si="45">IFERROR((Y38-U38)/U38,0)</f>
        <v>0.51196906869146153</v>
      </c>
      <c r="AK38" s="3460" t="s">
        <v>548</v>
      </c>
      <c r="AL38" s="3567">
        <f>'17. РБА'!I69</f>
        <v>299.41345783425766</v>
      </c>
      <c r="AM38" s="3567">
        <f>'17. РБА'!J69</f>
        <v>325.28623809436527</v>
      </c>
      <c r="AN38" s="3567">
        <f>'17. РБА'!K69</f>
        <v>356.04185581989702</v>
      </c>
      <c r="AO38" s="3567">
        <f>'17. РБА'!L69</f>
        <v>390.09530617914425</v>
      </c>
      <c r="AP38" s="3567">
        <f>'17. РБА'!M69</f>
        <v>427.54884754834632</v>
      </c>
      <c r="AR38" s="4281"/>
    </row>
    <row r="39" spans="1:44" ht="15.75" customHeight="1">
      <c r="A39" s="5632" t="s">
        <v>87</v>
      </c>
      <c r="B39" s="5636" t="s">
        <v>184</v>
      </c>
      <c r="C39" s="5636"/>
      <c r="D39" s="5636"/>
      <c r="E39" s="5636"/>
      <c r="F39" s="5636"/>
      <c r="G39" s="5636"/>
      <c r="I39" s="3572" t="str">
        <f>'9.Инвестиционна програма'!E144</f>
        <v>Доставяне на вода на друг ВиК оператор</v>
      </c>
      <c r="J39" s="3703">
        <f>SUM(J40:J41)</f>
        <v>151.34239683408069</v>
      </c>
      <c r="K39" s="3703">
        <f t="shared" ref="K39:N39" si="46">SUM(K40:K41)</f>
        <v>72.092155248666813</v>
      </c>
      <c r="L39" s="3703">
        <f t="shared" si="46"/>
        <v>69.535695842685726</v>
      </c>
      <c r="M39" s="3703">
        <f t="shared" si="46"/>
        <v>82.317992872591176</v>
      </c>
      <c r="N39" s="3703">
        <f t="shared" si="46"/>
        <v>82.317992872591176</v>
      </c>
      <c r="O39" s="3703">
        <f t="shared" si="39"/>
        <v>457.60623367061555</v>
      </c>
      <c r="P39" s="3558">
        <f t="shared" si="35"/>
        <v>0.17631993695823484</v>
      </c>
      <c r="Q39" s="4316"/>
      <c r="S39" s="4294" t="s">
        <v>1670</v>
      </c>
      <c r="T39" s="3579">
        <f>'12. Разходи'!BQ93</f>
        <v>35.277995785688262</v>
      </c>
      <c r="U39" s="3579">
        <f>'12. Разходи'!BR93</f>
        <v>80.396986493012463</v>
      </c>
      <c r="V39" s="3579">
        <f>'12. Разходи'!BS93</f>
        <v>90.917579509642806</v>
      </c>
      <c r="W39" s="3579">
        <f>'12. Разходи'!BT93</f>
        <v>102.57412722182643</v>
      </c>
      <c r="X39" s="3579">
        <f>'12. Разходи'!BU93</f>
        <v>115.6899648699179</v>
      </c>
      <c r="Y39" s="3579">
        <f>'12. Разходи'!BV93</f>
        <v>130.46242412580602</v>
      </c>
      <c r="Z39" s="4292">
        <f t="shared" si="36"/>
        <v>1.2789556124848873</v>
      </c>
      <c r="AA39" s="4292">
        <f t="shared" si="45"/>
        <v>0.62272778889722313</v>
      </c>
      <c r="AK39" s="3460" t="s">
        <v>549</v>
      </c>
      <c r="AL39" s="3567">
        <f>'17. РБА'!I72</f>
        <v>0</v>
      </c>
      <c r="AM39" s="3567">
        <f>'17. РБА'!J72</f>
        <v>0</v>
      </c>
      <c r="AN39" s="3567">
        <f>'17. РБА'!K72</f>
        <v>0</v>
      </c>
      <c r="AO39" s="3567">
        <f>'17. РБА'!L72</f>
        <v>0</v>
      </c>
      <c r="AP39" s="3567">
        <f>'17. РБА'!M72</f>
        <v>0</v>
      </c>
      <c r="AR39" s="4281"/>
    </row>
    <row r="40" spans="1:44" ht="13.5" customHeight="1">
      <c r="A40" s="5632"/>
      <c r="B40" s="4283" t="str">
        <f>+'15. ОПП'!$B$7</f>
        <v>2024 г.</v>
      </c>
      <c r="C40" s="4283" t="str">
        <f>+'15. ОПП'!$C$7</f>
        <v>2027 г.</v>
      </c>
      <c r="D40" s="4283" t="str">
        <f>+'15. ОПП'!$D$7</f>
        <v>2028 г.</v>
      </c>
      <c r="E40" s="4283" t="str">
        <f>+'15. ОПП'!$E$7</f>
        <v>2029 г.</v>
      </c>
      <c r="F40" s="4283" t="str">
        <f>+'15. ОПП'!$F$7</f>
        <v>2030 г.</v>
      </c>
      <c r="G40" s="4283" t="str">
        <f>+'15. ОПП'!$G$7</f>
        <v>2031 г.</v>
      </c>
      <c r="I40" s="4317" t="s">
        <v>1615</v>
      </c>
      <c r="J40" s="4313">
        <f>'9.Инвестиционна програма'!BC157</f>
        <v>148.27464554690337</v>
      </c>
      <c r="K40" s="4313">
        <f>'9.Инвестиционна програма'!BD157</f>
        <v>69.024403961489497</v>
      </c>
      <c r="L40" s="4313">
        <f>'9.Инвестиционна програма'!BE157</f>
        <v>66.46794455550841</v>
      </c>
      <c r="M40" s="4313">
        <f>'9.Инвестиционна програма'!BF157</f>
        <v>79.25024158541386</v>
      </c>
      <c r="N40" s="4313">
        <f>'9.Инвестиционна програма'!BG157</f>
        <v>79.25024158541386</v>
      </c>
      <c r="O40" s="4313">
        <f t="shared" si="37"/>
        <v>442.26747723472897</v>
      </c>
      <c r="P40" s="4318">
        <f t="shared" si="35"/>
        <v>0.17040977147360126</v>
      </c>
      <c r="Q40" s="4319"/>
      <c r="S40" s="4313" t="s">
        <v>1669</v>
      </c>
      <c r="T40" s="3579">
        <f>'12. Разходи'!BQ94</f>
        <v>9.5710854033742851</v>
      </c>
      <c r="U40" s="3579">
        <f>'12. Разходи'!BR94</f>
        <v>20.908174707420617</v>
      </c>
      <c r="V40" s="3579">
        <f>'12. Разходи'!BS94</f>
        <v>23.659472988373629</v>
      </c>
      <c r="W40" s="3579">
        <f>'12. Разходи'!BT94</f>
        <v>26.795012710044372</v>
      </c>
      <c r="X40" s="3579">
        <f>'12. Разходи'!BU94</f>
        <v>30.35434489172016</v>
      </c>
      <c r="Y40" s="3579">
        <f>'12. Разходи'!BV94</f>
        <v>34.395467912194036</v>
      </c>
      <c r="Z40" s="4292">
        <f t="shared" si="36"/>
        <v>1.1845144856872181</v>
      </c>
      <c r="AA40" s="4292">
        <f t="shared" si="45"/>
        <v>0.64507272363601309</v>
      </c>
      <c r="AK40" s="3460" t="s">
        <v>329</v>
      </c>
      <c r="AL40" s="3574">
        <f>'17. РБА'!I75</f>
        <v>151.34239683408069</v>
      </c>
      <c r="AM40" s="3574">
        <f>'17. РБА'!J75</f>
        <v>72.092155248666813</v>
      </c>
      <c r="AN40" s="3574">
        <f>'17. РБА'!K75</f>
        <v>69.535695842685712</v>
      </c>
      <c r="AO40" s="3574">
        <f>'17. РБА'!L75</f>
        <v>82.317992872591176</v>
      </c>
      <c r="AP40" s="3574">
        <f>'17. РБА'!M75</f>
        <v>82.317992872591176</v>
      </c>
      <c r="AR40" s="4281"/>
    </row>
    <row r="41" spans="1:44" ht="15.75" customHeight="1">
      <c r="A41" s="5633" t="s">
        <v>1656</v>
      </c>
      <c r="B41" s="5634"/>
      <c r="C41" s="5634"/>
      <c r="D41" s="5634"/>
      <c r="E41" s="5634"/>
      <c r="F41" s="5634"/>
      <c r="G41" s="5635"/>
      <c r="I41" s="4317" t="s">
        <v>1616</v>
      </c>
      <c r="J41" s="4313">
        <f>'9.Инвестиционна програма'!BC151</f>
        <v>3.0677512871773112</v>
      </c>
      <c r="K41" s="4313">
        <f>'9.Инвестиционна програма'!BD151</f>
        <v>3.0677512871773112</v>
      </c>
      <c r="L41" s="4313">
        <f>'9.Инвестиционна програма'!BE151</f>
        <v>3.0677512871773112</v>
      </c>
      <c r="M41" s="4313">
        <f>'9.Инвестиционна програма'!BF151</f>
        <v>3.0677512871773112</v>
      </c>
      <c r="N41" s="4313">
        <f>'9.Инвестиционна програма'!BG151</f>
        <v>3.0677512871773112</v>
      </c>
      <c r="O41" s="4313">
        <f t="shared" si="37"/>
        <v>15.338756435886555</v>
      </c>
      <c r="P41" s="4318">
        <f t="shared" si="35"/>
        <v>5.9101654846335705E-3</v>
      </c>
      <c r="Q41" s="4319"/>
      <c r="S41" s="4294" t="s">
        <v>1672</v>
      </c>
      <c r="T41" s="3579">
        <f>'12. Разходи'!BQ90</f>
        <v>22.720973135286219</v>
      </c>
      <c r="U41" s="3579">
        <f>'12. Разходи'!BR90</f>
        <v>30.931380715222726</v>
      </c>
      <c r="V41" s="3579">
        <f>'12. Разходи'!BS90</f>
        <v>32.373661019584979</v>
      </c>
      <c r="W41" s="3579">
        <f>'12. Разходи'!BT90</f>
        <v>32.07601546098708</v>
      </c>
      <c r="X41" s="3579">
        <f>'12. Разходи'!BU90</f>
        <v>37.689909335101184</v>
      </c>
      <c r="Y41" s="3579">
        <f>'12. Разходи'!BV90</f>
        <v>37.992712563192853</v>
      </c>
      <c r="Z41" s="4292">
        <f t="shared" si="36"/>
        <v>0.36135809549396225</v>
      </c>
      <c r="AA41" s="4292">
        <f t="shared" si="45"/>
        <v>0.22829022451283357</v>
      </c>
      <c r="AK41" s="3460" t="s">
        <v>306</v>
      </c>
      <c r="AL41" s="3567">
        <f>'17. РБА'!I76</f>
        <v>216.51932159150974</v>
      </c>
      <c r="AM41" s="3567">
        <f>'17. РБА'!J76</f>
        <v>233.74410573530827</v>
      </c>
      <c r="AN41" s="3567">
        <f>'17. РБА'!K76</f>
        <v>253.16403303244923</v>
      </c>
      <c r="AO41" s="3567">
        <f>'17. РБА'!L76</f>
        <v>274.84122822732246</v>
      </c>
      <c r="AP41" s="3567">
        <f>'17. РБА'!M76</f>
        <v>299.05461087000481</v>
      </c>
      <c r="AR41" s="4281"/>
    </row>
    <row r="42" spans="1:44" ht="15.75" customHeight="1">
      <c r="A42" s="4293" t="s">
        <v>334</v>
      </c>
      <c r="B42" s="3703">
        <f>'11. Амортиз. план'!BE10</f>
        <v>558.20229111404103</v>
      </c>
      <c r="C42" s="3703">
        <f>'11. Амортиз. план'!BG10</f>
        <v>580.35827263254373</v>
      </c>
      <c r="D42" s="3703">
        <f>'11. Амортиз. план'!BH10</f>
        <v>584.9598995633097</v>
      </c>
      <c r="E42" s="3703">
        <f>'11. Амортиз. план'!BI10</f>
        <v>592.79970840831845</v>
      </c>
      <c r="F42" s="3703">
        <f>'11. Амортиз. план'!BJ10</f>
        <v>599.6169334909348</v>
      </c>
      <c r="G42" s="3703">
        <f>'11. Амортиз. план'!BK10</f>
        <v>604.21856042170054</v>
      </c>
      <c r="I42" s="4297" t="s">
        <v>1028</v>
      </c>
      <c r="J42" s="4298">
        <f>SUM(J27,J30,J33,J36,J39)</f>
        <v>565.48882060301764</v>
      </c>
      <c r="K42" s="4298">
        <f t="shared" ref="K42:O44" si="47">SUM(K27,K30,K33,K36,K39)</f>
        <v>485.7272871364076</v>
      </c>
      <c r="L42" s="4298">
        <f t="shared" si="47"/>
        <v>508.73542179023741</v>
      </c>
      <c r="M42" s="4298">
        <f t="shared" si="47"/>
        <v>524.07417822612399</v>
      </c>
      <c r="N42" s="4298">
        <f t="shared" si="47"/>
        <v>511.29188119621853</v>
      </c>
      <c r="O42" s="4298">
        <f>SUM(O27,O30,O33,O36,O39)</f>
        <v>2595.3175889520048</v>
      </c>
      <c r="P42" s="3558">
        <f t="shared" si="35"/>
        <v>1</v>
      </c>
      <c r="Q42" s="4316"/>
      <c r="S42" s="4294" t="s">
        <v>1231</v>
      </c>
      <c r="T42" s="3579">
        <f>'12. Разходи'!BQ89</f>
        <v>1.0741145605761708</v>
      </c>
      <c r="U42" s="3579">
        <f>'12. Разходи'!BR89</f>
        <v>0.86975660480742434</v>
      </c>
      <c r="V42" s="3579">
        <f>'12. Разходи'!BS89</f>
        <v>0.86335580971514225</v>
      </c>
      <c r="W42" s="3579">
        <f>'12. Разходи'!BT89</f>
        <v>0.86759009178673152</v>
      </c>
      <c r="X42" s="3579">
        <f>'12. Разходи'!BU89</f>
        <v>0.87502839666088683</v>
      </c>
      <c r="Y42" s="3579">
        <f>'12. Разходи'!BV89</f>
        <v>0.88402256832902648</v>
      </c>
      <c r="Z42" s="4292">
        <f t="shared" si="36"/>
        <v>-0.19025713203173214</v>
      </c>
      <c r="AA42" s="4292">
        <f t="shared" si="45"/>
        <v>1.6402247988402247E-2</v>
      </c>
      <c r="AK42" s="3461" t="s">
        <v>305</v>
      </c>
      <c r="AL42" s="3462">
        <f t="shared" ref="AL42:AP42" si="48">AL37-AL38+AL39+AL40+AL41</f>
        <v>556.36597473954191</v>
      </c>
      <c r="AM42" s="3462">
        <f t="shared" si="48"/>
        <v>619.81013387189955</v>
      </c>
      <c r="AN42" s="3462">
        <f t="shared" si="48"/>
        <v>678.01013928619454</v>
      </c>
      <c r="AO42" s="3462">
        <f t="shared" si="48"/>
        <v>747.9518769944118</v>
      </c>
      <c r="AP42" s="3462">
        <f t="shared" si="48"/>
        <v>817.02971114048319</v>
      </c>
      <c r="AR42" s="4281"/>
    </row>
    <row r="43" spans="1:44" ht="13.5" customHeight="1">
      <c r="A43" s="4295" t="s">
        <v>218</v>
      </c>
      <c r="B43" s="4296">
        <f>'11. Амортиз. план'!BE35</f>
        <v>7.9331242182742878</v>
      </c>
      <c r="C43" s="4296">
        <f>'11. Амортиз. план'!BG35</f>
        <v>9.2585495266854796</v>
      </c>
      <c r="D43" s="4296">
        <f>'11. Амортиз. план'!BH35</f>
        <v>9.4955027743020732</v>
      </c>
      <c r="E43" s="4296">
        <f>'11. Амортиз. план'!BI35</f>
        <v>9.7548027561120385</v>
      </c>
      <c r="F43" s="4296">
        <f>'11. Амортиз. план'!BJ35</f>
        <v>10.040748314951534</v>
      </c>
      <c r="G43" s="4296">
        <f>'11. Амортиз. план'!BK35</f>
        <v>10.29113345682733</v>
      </c>
      <c r="I43" s="4317" t="s">
        <v>1615</v>
      </c>
      <c r="J43" s="4320">
        <f>SUM(J28,J31,J34,J37,J40)</f>
        <v>545.03714535516895</v>
      </c>
      <c r="K43" s="4320">
        <f t="shared" si="47"/>
        <v>468.3433631757361</v>
      </c>
      <c r="L43" s="4320">
        <f t="shared" si="47"/>
        <v>481.63695208683771</v>
      </c>
      <c r="M43" s="4320">
        <f t="shared" si="47"/>
        <v>500.04345980990161</v>
      </c>
      <c r="N43" s="4320">
        <f t="shared" si="47"/>
        <v>493.90795723554703</v>
      </c>
      <c r="O43" s="4320">
        <f t="shared" si="47"/>
        <v>2488.9688776631915</v>
      </c>
      <c r="P43" s="4321">
        <f t="shared" si="35"/>
        <v>0.95902285263987397</v>
      </c>
      <c r="Q43" s="4322"/>
      <c r="T43" s="11"/>
      <c r="U43" s="11"/>
      <c r="V43" s="11"/>
      <c r="W43" s="11"/>
      <c r="X43" s="11"/>
      <c r="Y43" s="11"/>
      <c r="Z43" s="11"/>
      <c r="AA43" s="11"/>
      <c r="AK43" s="3347"/>
      <c r="AL43" s="3347"/>
      <c r="AM43" s="3347"/>
      <c r="AN43" s="3347"/>
      <c r="AO43" s="3347"/>
      <c r="AP43" s="3347"/>
      <c r="AQ43" s="3347"/>
      <c r="AR43" s="4281"/>
    </row>
    <row r="44" spans="1:44" ht="15.75" customHeight="1">
      <c r="A44" s="4299" t="s">
        <v>220</v>
      </c>
      <c r="B44" s="3579">
        <f>'11. Амортиз. план'!BE60</f>
        <v>392.5638298941127</v>
      </c>
      <c r="C44" s="3579">
        <f>'11. Амортиз. план'!BG60</f>
        <v>410.94064169565399</v>
      </c>
      <c r="D44" s="3579">
        <f>'11. Амортиз. план'!BH60</f>
        <v>420.43614446995599</v>
      </c>
      <c r="E44" s="3579">
        <f>'11. Амортиз. план'!BI60</f>
        <v>430.19094722606809</v>
      </c>
      <c r="F44" s="3579">
        <f>'11. Амортиз. план'!BJ60</f>
        <v>440.23169554101963</v>
      </c>
      <c r="G44" s="3579">
        <f>'11. Амортиз. план'!BK60</f>
        <v>450.52282899784689</v>
      </c>
      <c r="I44" s="4317" t="s">
        <v>1616</v>
      </c>
      <c r="J44" s="4320">
        <f>SUM(J29,J32,J35,J38,J41)</f>
        <v>20.45167524784874</v>
      </c>
      <c r="K44" s="4320">
        <f t="shared" si="47"/>
        <v>17.383923960671432</v>
      </c>
      <c r="L44" s="4320">
        <f t="shared" si="47"/>
        <v>27.09846970339958</v>
      </c>
      <c r="M44" s="4320">
        <f t="shared" si="47"/>
        <v>24.030718416222268</v>
      </c>
      <c r="N44" s="4320">
        <f t="shared" si="47"/>
        <v>17.383923960671432</v>
      </c>
      <c r="O44" s="4320">
        <f t="shared" si="47"/>
        <v>106.34871128881345</v>
      </c>
      <c r="P44" s="4321">
        <f t="shared" si="35"/>
        <v>4.0977147360126087E-2</v>
      </c>
      <c r="Q44" s="4322"/>
      <c r="S44" s="2" t="s">
        <v>1681</v>
      </c>
      <c r="T44" s="11"/>
      <c r="U44" s="11"/>
      <c r="V44" s="11"/>
      <c r="W44" s="11"/>
      <c r="X44" s="11"/>
      <c r="Y44" s="11"/>
      <c r="Z44" s="11"/>
      <c r="AA44" s="11"/>
      <c r="AK44" s="3347"/>
      <c r="AL44" s="3347"/>
      <c r="AM44" s="3347"/>
      <c r="AN44" s="3347"/>
      <c r="AO44" s="3347"/>
      <c r="AP44" s="3347"/>
      <c r="AQ44" s="3347"/>
      <c r="AR44" s="4281"/>
    </row>
    <row r="45" spans="1:44" ht="15.75" customHeight="1">
      <c r="A45" s="4299" t="s">
        <v>222</v>
      </c>
      <c r="B45" s="3579">
        <f>'11. Амортиз. план'!BE85</f>
        <v>165.63846121992825</v>
      </c>
      <c r="C45" s="3579">
        <f>'11. Амортиз. план'!BG85</f>
        <v>169.41763093688974</v>
      </c>
      <c r="D45" s="3579">
        <f>'11. Амортиз. план'!BH85</f>
        <v>164.52375509335366</v>
      </c>
      <c r="E45" s="3579">
        <f>'11. Амортиз. план'!BI85</f>
        <v>162.60876118225028</v>
      </c>
      <c r="F45" s="3579">
        <f>'11. Амортиз. план'!BJ85</f>
        <v>159.38523794991502</v>
      </c>
      <c r="G45" s="3579">
        <f>'11. Амортиз. план'!BK85</f>
        <v>153.69573142385366</v>
      </c>
      <c r="S45" s="5636" t="s">
        <v>1919</v>
      </c>
      <c r="T45" s="5636" t="s">
        <v>209</v>
      </c>
      <c r="U45" s="5636"/>
      <c r="V45" s="5636"/>
      <c r="W45" s="5636"/>
      <c r="X45" s="5636"/>
      <c r="Y45" s="5636"/>
      <c r="Z45" s="5603" t="str">
        <f>+Z24</f>
        <v>Изменение 2027 г. спр. 2024 г.</v>
      </c>
      <c r="AA45" s="5603" t="str">
        <f>+AA24</f>
        <v>Изменение 2031 г. спр. 2027 г.</v>
      </c>
      <c r="AK45" s="2" t="s">
        <v>1013</v>
      </c>
      <c r="AR45" s="4281"/>
    </row>
    <row r="46" spans="1:44" ht="15.75" customHeight="1">
      <c r="A46" s="5633" t="s">
        <v>1657</v>
      </c>
      <c r="B46" s="5634"/>
      <c r="C46" s="5634"/>
      <c r="D46" s="5634"/>
      <c r="E46" s="5634"/>
      <c r="F46" s="5634"/>
      <c r="G46" s="5635"/>
      <c r="I46" s="1332" t="s">
        <v>1635</v>
      </c>
      <c r="J46" s="4323"/>
      <c r="K46" s="1331"/>
      <c r="L46" s="1331"/>
      <c r="M46" s="1331"/>
      <c r="N46" s="1331"/>
      <c r="O46" s="1331"/>
      <c r="P46" s="3446" t="s">
        <v>1909</v>
      </c>
      <c r="Q46" s="3446"/>
      <c r="S46" s="5636"/>
      <c r="T46" s="4279" t="str">
        <f t="shared" ref="T46:Y46" si="49">T25</f>
        <v>2024 г.</v>
      </c>
      <c r="U46" s="4279" t="str">
        <f t="shared" si="49"/>
        <v>2027 г.</v>
      </c>
      <c r="V46" s="4279" t="str">
        <f t="shared" si="49"/>
        <v>2028 г.</v>
      </c>
      <c r="W46" s="4279" t="str">
        <f t="shared" si="49"/>
        <v>2029 г.</v>
      </c>
      <c r="X46" s="4279" t="str">
        <f t="shared" si="49"/>
        <v>2030 г.</v>
      </c>
      <c r="Y46" s="4279" t="str">
        <f t="shared" si="49"/>
        <v>2031 г.</v>
      </c>
      <c r="Z46" s="5603"/>
      <c r="AA46" s="5603"/>
      <c r="AK46" s="3486" t="s">
        <v>87</v>
      </c>
      <c r="AL46" s="3484" t="s">
        <v>166</v>
      </c>
      <c r="AM46" s="4289" t="s">
        <v>1775</v>
      </c>
      <c r="AN46" s="4289" t="s">
        <v>1776</v>
      </c>
      <c r="AO46" s="4289" t="s">
        <v>1777</v>
      </c>
      <c r="AP46" s="4289" t="s">
        <v>1778</v>
      </c>
      <c r="AQ46" s="4289" t="s">
        <v>1779</v>
      </c>
      <c r="AR46" s="4281"/>
    </row>
    <row r="47" spans="1:44" ht="15.75" customHeight="1">
      <c r="A47" s="4293" t="s">
        <v>334</v>
      </c>
      <c r="B47" s="3703">
        <f>'11. Амортиз. план'!BE111</f>
        <v>221.66507314030363</v>
      </c>
      <c r="C47" s="3703">
        <f>'11. Амортиз. план'!BG111</f>
        <v>270.06737122687895</v>
      </c>
      <c r="D47" s="3703">
        <f>'11. Амортиз. план'!BH111</f>
        <v>307.56210918126828</v>
      </c>
      <c r="E47" s="3703">
        <f>'11. Амортиз. план'!BI111</f>
        <v>345.05684713565773</v>
      </c>
      <c r="F47" s="3703">
        <f>'11. Амортиз. план'!BJ111</f>
        <v>382.55158509004701</v>
      </c>
      <c r="G47" s="3703">
        <f>'11. Амортиз. план'!BK111</f>
        <v>420.04632304443646</v>
      </c>
      <c r="I47" s="4283" t="s">
        <v>1494</v>
      </c>
      <c r="J47" s="4283" t="str">
        <f>+'15. ОПП'!$C$7</f>
        <v>2027 г.</v>
      </c>
      <c r="K47" s="4283" t="str">
        <f>+'15. ОПП'!$D$7</f>
        <v>2028 г.</v>
      </c>
      <c r="L47" s="4283" t="str">
        <f>+'15. ОПП'!$E$7</f>
        <v>2029 г.</v>
      </c>
      <c r="M47" s="4283" t="str">
        <f>+'15. ОПП'!$F$7</f>
        <v>2030 г.</v>
      </c>
      <c r="N47" s="4283" t="str">
        <f>+'15. ОПП'!$G$7</f>
        <v>2031 г.</v>
      </c>
      <c r="O47" s="4284" t="s">
        <v>1593</v>
      </c>
      <c r="P47" s="4283" t="s">
        <v>1594</v>
      </c>
      <c r="Q47" s="4309"/>
      <c r="S47" s="4294" t="s">
        <v>226</v>
      </c>
      <c r="T47" s="3579">
        <f>'12. Разходи'!BX11</f>
        <v>249.51836560926122</v>
      </c>
      <c r="U47" s="3579">
        <f>'12. Разходи'!BY11</f>
        <v>307.95198131905113</v>
      </c>
      <c r="V47" s="3579">
        <f>'12. Разходи'!BZ11</f>
        <v>305.29654501845948</v>
      </c>
      <c r="W47" s="3579">
        <f>'12. Разходи'!CA11</f>
        <v>303.5509645884448</v>
      </c>
      <c r="X47" s="3579">
        <f>'12. Разходи'!CB11</f>
        <v>301.91752719444224</v>
      </c>
      <c r="Y47" s="3579">
        <f>'12. Разходи'!CC11</f>
        <v>300.97969517393852</v>
      </c>
      <c r="Z47" s="4292">
        <f>IFERROR((U47-T47)/T47,0)</f>
        <v>0.23418563025254546</v>
      </c>
      <c r="AA47" s="4292">
        <f t="shared" ref="AA47:AA57" si="50">IFERROR((Y47-U47)/U47,0)</f>
        <v>-2.2640822492026851E-2</v>
      </c>
      <c r="AK47" s="3447" t="s">
        <v>324</v>
      </c>
      <c r="AL47" s="3511" t="s">
        <v>170</v>
      </c>
      <c r="AM47" s="3521">
        <f>'19. HB'!D11</f>
        <v>0.1</v>
      </c>
      <c r="AN47" s="3521">
        <f>'19. HB'!E11</f>
        <v>0.1</v>
      </c>
      <c r="AO47" s="3521">
        <f>'19. HB'!F11</f>
        <v>0.1</v>
      </c>
      <c r="AP47" s="3521">
        <f>'19. HB'!G11</f>
        <v>0.1</v>
      </c>
      <c r="AQ47" s="3521">
        <f>'19. HB'!H11</f>
        <v>0.1</v>
      </c>
      <c r="AR47" s="4281"/>
    </row>
    <row r="48" spans="1:44" ht="15.75" customHeight="1">
      <c r="A48" s="4295" t="s">
        <v>218</v>
      </c>
      <c r="B48" s="4296">
        <f>'11. Амортиз. план'!BE131</f>
        <v>16.494930540997938</v>
      </c>
      <c r="C48" s="4296">
        <f>'11. Амортиз. план'!BG131</f>
        <v>18.280313280027368</v>
      </c>
      <c r="D48" s="4296">
        <f>'11. Амортиз. план'!BH131</f>
        <v>19.147491199312629</v>
      </c>
      <c r="E48" s="4296">
        <f>'11. Амортиз. план'!BI131</f>
        <v>20.086192343129746</v>
      </c>
      <c r="F48" s="4296">
        <f>'11. Амортиз. план'!BJ131</f>
        <v>21.049617090079739</v>
      </c>
      <c r="G48" s="4296">
        <f>'11. Амортиз. план'!BK131</f>
        <v>22.032126090865891</v>
      </c>
      <c r="I48" s="4299" t="s">
        <v>1636</v>
      </c>
      <c r="J48" s="3579">
        <f>SUM('9.Инвестиционна програма'!BC12:BC15)</f>
        <v>6.6467944555508405</v>
      </c>
      <c r="K48" s="3579">
        <f>SUM('9.Инвестиционна програма'!BD12:BD15)</f>
        <v>6.6467944555508405</v>
      </c>
      <c r="L48" s="3579">
        <f>SUM('9.Инвестиционна програма'!BE12:BE15)</f>
        <v>6.6467944555508405</v>
      </c>
      <c r="M48" s="3579">
        <f>SUM('9.Инвестиционна програма'!BF12:BF15)</f>
        <v>6.6467944555508405</v>
      </c>
      <c r="N48" s="3579">
        <f>SUM('9.Инвестиционна програма'!BG12:BG15)</f>
        <v>6.6467944555508405</v>
      </c>
      <c r="O48" s="3703">
        <f>SUM(J48:N48)</f>
        <v>33.233972277754205</v>
      </c>
      <c r="P48" s="4324">
        <f t="shared" ref="P48:P88" si="51">IFERROR(O48/$O$88,0)</f>
        <v>1.2805358550039401E-2</v>
      </c>
      <c r="Q48" s="4325"/>
      <c r="S48" s="4294" t="s">
        <v>239</v>
      </c>
      <c r="T48" s="3579">
        <f>'12. Разходи'!BX29</f>
        <v>125.06161329327847</v>
      </c>
      <c r="U48" s="3579">
        <f>'12. Разходи'!BY29</f>
        <v>133.69880033805444</v>
      </c>
      <c r="V48" s="3579">
        <f>'12. Разходи'!BZ29</f>
        <v>134.03294577646957</v>
      </c>
      <c r="W48" s="3579">
        <f>'12. Разходи'!CA29</f>
        <v>134.42697962475663</v>
      </c>
      <c r="X48" s="3579">
        <f>'12. Разходи'!CB29</f>
        <v>135.09284739610391</v>
      </c>
      <c r="Y48" s="3579">
        <f>'12. Разходи'!CC29</f>
        <v>135.96584365465725</v>
      </c>
      <c r="Z48" s="4292">
        <f t="shared" ref="Z48:Z63" si="52">IFERROR((U48-T48)/T48,0)</f>
        <v>6.9063454543171018E-2</v>
      </c>
      <c r="AA48" s="4292">
        <f t="shared" si="50"/>
        <v>1.6956347483078685E-2</v>
      </c>
      <c r="AK48" s="3447" t="s">
        <v>923</v>
      </c>
      <c r="AL48" s="3511" t="s">
        <v>170</v>
      </c>
      <c r="AM48" s="3492">
        <f>'19. HB'!D12</f>
        <v>0.10929999999999999</v>
      </c>
      <c r="AN48" s="3492">
        <f>'19. HB'!E12</f>
        <v>0.10929999999999999</v>
      </c>
      <c r="AO48" s="3492">
        <f>'19. HB'!F12</f>
        <v>0.10929999999999999</v>
      </c>
      <c r="AP48" s="3492">
        <f>'19. HB'!G12</f>
        <v>0.10929999999999999</v>
      </c>
      <c r="AQ48" s="3492">
        <f>'19. HB'!H12</f>
        <v>0.10929999999999999</v>
      </c>
      <c r="AR48" s="4281"/>
    </row>
    <row r="49" spans="1:44" ht="15.75" customHeight="1">
      <c r="A49" s="4299" t="s">
        <v>220</v>
      </c>
      <c r="B49" s="3579">
        <f>'11. Амортиз. план'!BE151</f>
        <v>60.882903933368439</v>
      </c>
      <c r="C49" s="3579">
        <f>'11. Амортиз. план'!BG151</f>
        <v>96.936347641201564</v>
      </c>
      <c r="D49" s="3579">
        <f>'11. Амортиз. план'!BH151</f>
        <v>116.08383884051422</v>
      </c>
      <c r="E49" s="3579">
        <f>'11. Амортиз. план'!BI151</f>
        <v>136.17003118364397</v>
      </c>
      <c r="F49" s="3579">
        <f>'11. Амортиз. план'!BJ151</f>
        <v>157.21964827372372</v>
      </c>
      <c r="G49" s="3579">
        <f>'11. Амортиз. план'!BK151</f>
        <v>179.25177436458961</v>
      </c>
      <c r="I49" s="4299" t="s">
        <v>357</v>
      </c>
      <c r="J49" s="3579">
        <f>'9.Инвестиционна програма'!BC16</f>
        <v>85.385744159768493</v>
      </c>
      <c r="K49" s="3579">
        <f>'9.Инвестиционна програма'!BD16</f>
        <v>87.94220356574958</v>
      </c>
      <c r="L49" s="3579">
        <f>'9.Инвестиционна програма'!BE16</f>
        <v>90.498662971730667</v>
      </c>
      <c r="M49" s="3579">
        <f>'9.Инвестиционна програма'!BF16</f>
        <v>93.055122377711768</v>
      </c>
      <c r="N49" s="3579">
        <f>'9.Инвестиционна програма'!BG16</f>
        <v>95.611581783692856</v>
      </c>
      <c r="O49" s="3703">
        <f t="shared" ref="O49:O72" si="53">SUM(J49:N49)</f>
        <v>452.49331485865332</v>
      </c>
      <c r="P49" s="4324">
        <f t="shared" si="51"/>
        <v>0.17434988179669028</v>
      </c>
      <c r="Q49" s="4325"/>
      <c r="S49" s="4294" t="s">
        <v>446</v>
      </c>
      <c r="T49" s="3579">
        <f>'12. Разходи'!BX55</f>
        <v>65.764085608154261</v>
      </c>
      <c r="U49" s="3579">
        <f>'12. Разходи'!BY55</f>
        <v>49.140304949880324</v>
      </c>
      <c r="V49" s="3579">
        <f>'12. Разходи'!BZ55</f>
        <v>49.377258197496928</v>
      </c>
      <c r="W49" s="3579">
        <f>'12. Разходи'!CA55</f>
        <v>47.846306475234421</v>
      </c>
      <c r="X49" s="3579">
        <f>'12. Разходи'!CB55</f>
        <v>47.535486269340886</v>
      </c>
      <c r="Y49" s="3579">
        <f>'12. Разходи'!CC55</f>
        <v>47.785871411216682</v>
      </c>
      <c r="Z49" s="4292">
        <f t="shared" si="52"/>
        <v>-0.2527790131124808</v>
      </c>
      <c r="AA49" s="4292">
        <f t="shared" si="50"/>
        <v>-2.7562579028458805E-2</v>
      </c>
      <c r="AK49" s="3447" t="s">
        <v>1700</v>
      </c>
      <c r="AL49" s="3511" t="s">
        <v>170</v>
      </c>
      <c r="AM49" s="3492">
        <f>'19. HB'!D13</f>
        <v>4.2599999999999999E-2</v>
      </c>
      <c r="AN49" s="3492">
        <f>'19. HB'!E13</f>
        <v>4.2599999999999999E-2</v>
      </c>
      <c r="AO49" s="3492">
        <f>'19. HB'!F13</f>
        <v>4.2599999999999999E-2</v>
      </c>
      <c r="AP49" s="3492">
        <f>'19. HB'!G13</f>
        <v>4.2599999999999999E-2</v>
      </c>
      <c r="AQ49" s="3492">
        <f>'19. HB'!H13</f>
        <v>4.2599999999999999E-2</v>
      </c>
      <c r="AR49" s="4281"/>
    </row>
    <row r="50" spans="1:44" ht="15.75" customHeight="1">
      <c r="A50" s="4299" t="s">
        <v>222</v>
      </c>
      <c r="B50" s="3579">
        <f>'11. Амортиз. план'!BE171</f>
        <v>160.78216920693524</v>
      </c>
      <c r="C50" s="3579">
        <f>'11. Амортиз. план'!BG171</f>
        <v>173.13102358567741</v>
      </c>
      <c r="D50" s="3579">
        <f>'11. Амортиз. план'!BH171</f>
        <v>191.47827034075414</v>
      </c>
      <c r="E50" s="3579">
        <f>'11. Амортиз. план'!BI171</f>
        <v>208.88681595201376</v>
      </c>
      <c r="F50" s="3579">
        <f>'11. Амортиз. план'!BJ171</f>
        <v>225.33193681632338</v>
      </c>
      <c r="G50" s="3579">
        <f>'11. Амортиз. план'!BK171</f>
        <v>240.7945486798468</v>
      </c>
      <c r="I50" s="4299" t="s">
        <v>1595</v>
      </c>
      <c r="J50" s="3579">
        <f>'9.Инвестиционна програма'!BC17</f>
        <v>0</v>
      </c>
      <c r="K50" s="3579">
        <f>'9.Инвестиционна програма'!BD17</f>
        <v>0</v>
      </c>
      <c r="L50" s="3579">
        <f>'9.Инвестиционна програма'!BE17</f>
        <v>0</v>
      </c>
      <c r="M50" s="3579">
        <f>'9.Инвестиционна програма'!BF17</f>
        <v>0</v>
      </c>
      <c r="N50" s="3579">
        <f>'9.Инвестиционна програма'!BG17</f>
        <v>0</v>
      </c>
      <c r="O50" s="3703">
        <f t="shared" si="53"/>
        <v>0</v>
      </c>
      <c r="P50" s="4324">
        <f t="shared" si="51"/>
        <v>0</v>
      </c>
      <c r="Q50" s="4325"/>
      <c r="S50" s="4300" t="s">
        <v>447</v>
      </c>
      <c r="T50" s="4296">
        <f>'12. Разходи'!BX56</f>
        <v>12.346643056057864</v>
      </c>
      <c r="U50" s="4296">
        <f>'12. Разходи'!BY56</f>
        <v>9.2585495266854796</v>
      </c>
      <c r="V50" s="4296">
        <f>'12. Разходи'!BZ56</f>
        <v>9.4955027743020732</v>
      </c>
      <c r="W50" s="4296">
        <f>'12. Разходи'!CA56</f>
        <v>9.7548027561120385</v>
      </c>
      <c r="X50" s="4296">
        <f>'12. Разходи'!CB56</f>
        <v>10.040748314951534</v>
      </c>
      <c r="Y50" s="4296">
        <f>'12. Разходи'!CC56</f>
        <v>10.29113345682733</v>
      </c>
      <c r="Z50" s="4292">
        <f t="shared" si="52"/>
        <v>-0.25011604493232803</v>
      </c>
      <c r="AA50" s="4292">
        <f t="shared" si="50"/>
        <v>0.11152761317155377</v>
      </c>
      <c r="AK50" s="3447" t="s">
        <v>325</v>
      </c>
      <c r="AL50" s="3511" t="s">
        <v>170</v>
      </c>
      <c r="AM50" s="3576">
        <f>'19. HB'!D14</f>
        <v>0.5</v>
      </c>
      <c r="AN50" s="3576">
        <f>'19. HB'!E14</f>
        <v>0.5</v>
      </c>
      <c r="AO50" s="3576">
        <f>'19. HB'!F14</f>
        <v>0.5</v>
      </c>
      <c r="AP50" s="3576">
        <f>'19. HB'!G14</f>
        <v>0.5</v>
      </c>
      <c r="AQ50" s="3576">
        <f>'19. HB'!H14</f>
        <v>0.5</v>
      </c>
      <c r="AR50" s="4281"/>
    </row>
    <row r="51" spans="1:44" ht="15.75" customHeight="1">
      <c r="A51" s="5633" t="s">
        <v>1658</v>
      </c>
      <c r="B51" s="5634"/>
      <c r="C51" s="5634"/>
      <c r="D51" s="5634"/>
      <c r="E51" s="5634"/>
      <c r="F51" s="5634"/>
      <c r="G51" s="5634"/>
      <c r="I51" s="4299" t="s">
        <v>1596</v>
      </c>
      <c r="J51" s="3579">
        <f>SUM('9.Инвестиционна програма'!BC18:BC21)</f>
        <v>23.519426535026049</v>
      </c>
      <c r="K51" s="3579">
        <f>SUM('9.Инвестиционна програма'!BD18:BD21)</f>
        <v>23.519426535026049</v>
      </c>
      <c r="L51" s="3579">
        <f>SUM('9.Инвестиционна програма'!BE18:BE21)</f>
        <v>23.519426535026049</v>
      </c>
      <c r="M51" s="3579">
        <f>SUM('9.Инвестиционна програма'!BF18:BF21)</f>
        <v>23.519426535026049</v>
      </c>
      <c r="N51" s="3579">
        <f>SUM('9.Инвестиционна програма'!BG18:BG21)</f>
        <v>23.519426535026049</v>
      </c>
      <c r="O51" s="3703">
        <f t="shared" si="53"/>
        <v>117.59713267513024</v>
      </c>
      <c r="P51" s="4324">
        <f t="shared" si="51"/>
        <v>4.5311268715524024E-2</v>
      </c>
      <c r="Q51" s="4325"/>
      <c r="S51" s="4300" t="s">
        <v>736</v>
      </c>
      <c r="T51" s="4296">
        <f>'12. Разходи'!BX57</f>
        <v>13.302275760163203</v>
      </c>
      <c r="U51" s="4296">
        <f>'12. Разходи'!BY57</f>
        <v>18.280313280027368</v>
      </c>
      <c r="V51" s="4296">
        <f>'12. Разходи'!BZ57</f>
        <v>19.147491199312629</v>
      </c>
      <c r="W51" s="4296">
        <f>'12. Разходи'!CA57</f>
        <v>20.086192343129746</v>
      </c>
      <c r="X51" s="4296">
        <f>'12. Разходи'!CB57</f>
        <v>21.049617090079739</v>
      </c>
      <c r="Y51" s="4296">
        <f>'12. Разходи'!CC57</f>
        <v>22.032126090865891</v>
      </c>
      <c r="Z51" s="4292">
        <f t="shared" si="52"/>
        <v>0.37422450185343997</v>
      </c>
      <c r="AA51" s="4292">
        <f t="shared" si="50"/>
        <v>0.20523788369303625</v>
      </c>
      <c r="AK51" s="3447" t="s">
        <v>326</v>
      </c>
      <c r="AL51" s="3511" t="s">
        <v>170</v>
      </c>
      <c r="AM51" s="3576">
        <f>'19. HB'!D15</f>
        <v>0.5</v>
      </c>
      <c r="AN51" s="3576">
        <f>'19. HB'!E15</f>
        <v>0.5</v>
      </c>
      <c r="AO51" s="3576">
        <f>'19. HB'!F15</f>
        <v>0.5</v>
      </c>
      <c r="AP51" s="3576">
        <f>'19. HB'!G15</f>
        <v>0.5</v>
      </c>
      <c r="AQ51" s="3576">
        <f>'19. HB'!H15</f>
        <v>0.5</v>
      </c>
      <c r="AR51" s="4281"/>
    </row>
    <row r="52" spans="1:44" ht="13.5" customHeight="1">
      <c r="A52" s="4293" t="s">
        <v>334</v>
      </c>
      <c r="B52" s="3703">
        <f>'11. Амортиз. план'!BE192</f>
        <v>17717.936451532085</v>
      </c>
      <c r="C52" s="3703">
        <f>'11. Амортиз. план'!BG192</f>
        <v>20478.912609991665</v>
      </c>
      <c r="D52" s="3703">
        <f>'11. Амортиз. план'!BH192</f>
        <v>20478.912609991665</v>
      </c>
      <c r="E52" s="3703">
        <f>'11. Амортиз. план'!BI192</f>
        <v>20478.912609991665</v>
      </c>
      <c r="F52" s="3703">
        <f>'11. Амортиз. план'!BJ192</f>
        <v>20478.912609991665</v>
      </c>
      <c r="G52" s="3703">
        <f>'11. Амортиз. план'!BK192</f>
        <v>20478.912609991665</v>
      </c>
      <c r="I52" s="4299" t="s">
        <v>1597</v>
      </c>
      <c r="J52" s="3579">
        <f>'9.Инвестиционна програма'!BC22</f>
        <v>156.45531564604286</v>
      </c>
      <c r="K52" s="3579">
        <f>'9.Инвестиционна програма'!BD22</f>
        <v>156.45531564604286</v>
      </c>
      <c r="L52" s="3579">
        <f>'9.Инвестиционна програма'!BE22</f>
        <v>159.01177505202395</v>
      </c>
      <c r="M52" s="3579">
        <f>'9.Инвестиционна програма'!BF22</f>
        <v>156.45531564604286</v>
      </c>
      <c r="N52" s="3579">
        <f>'9.Инвестиционна програма'!BG22</f>
        <v>153.38756435886555</v>
      </c>
      <c r="O52" s="3703">
        <f t="shared" si="53"/>
        <v>781.76528634901808</v>
      </c>
      <c r="P52" s="4324">
        <f t="shared" si="51"/>
        <v>0.30122143420015757</v>
      </c>
      <c r="Q52" s="4325"/>
      <c r="S52" s="4300" t="s">
        <v>737</v>
      </c>
      <c r="T52" s="4296">
        <f>'12. Разходи'!BX58</f>
        <v>40.115166791933191</v>
      </c>
      <c r="U52" s="4296">
        <f>'12. Разходи'!BY58</f>
        <v>21.601442143167478</v>
      </c>
      <c r="V52" s="4296">
        <f>'12. Разходи'!BZ58</f>
        <v>20.734264223882221</v>
      </c>
      <c r="W52" s="4296">
        <f>'12. Разходи'!CA58</f>
        <v>18.005311375992637</v>
      </c>
      <c r="X52" s="4296">
        <f>'12. Разходи'!CB58</f>
        <v>16.445120864309615</v>
      </c>
      <c r="Y52" s="4296">
        <f>'12. Разходи'!CC58</f>
        <v>15.462611863523462</v>
      </c>
      <c r="Z52" s="4292">
        <f t="shared" si="52"/>
        <v>-0.46151433807545977</v>
      </c>
      <c r="AA52" s="4292">
        <f t="shared" si="50"/>
        <v>-0.28418613159981659</v>
      </c>
      <c r="AK52" s="3453" t="s">
        <v>694</v>
      </c>
      <c r="AL52" s="3577" t="s">
        <v>170</v>
      </c>
      <c r="AM52" s="3578">
        <f>'19. HB'!D16</f>
        <v>8.2022222222222219E-2</v>
      </c>
      <c r="AN52" s="3578">
        <f>'19. HB'!E16</f>
        <v>8.2022222222222219E-2</v>
      </c>
      <c r="AO52" s="3578">
        <f>'19. HB'!F16</f>
        <v>8.2022222222222219E-2</v>
      </c>
      <c r="AP52" s="3578">
        <f>'19. HB'!G16</f>
        <v>8.2022222222222219E-2</v>
      </c>
      <c r="AQ52" s="3578">
        <f>'19. HB'!H16</f>
        <v>8.2022222222222219E-2</v>
      </c>
      <c r="AR52" s="4281"/>
    </row>
    <row r="53" spans="1:44" ht="15.75" customHeight="1">
      <c r="A53" s="4295" t="s">
        <v>218</v>
      </c>
      <c r="B53" s="4296">
        <f>'11. Амортиз. план'!BE214</f>
        <v>510.88662613826341</v>
      </c>
      <c r="C53" s="4296">
        <f>'11. Амортиз. план'!BG214</f>
        <v>621.32567247664667</v>
      </c>
      <c r="D53" s="4296">
        <f>'11. Амортиз. план'!BH214</f>
        <v>621.32567247664667</v>
      </c>
      <c r="E53" s="4296">
        <f>'11. Амортиз. план'!BI214</f>
        <v>621.32567247664667</v>
      </c>
      <c r="F53" s="4296">
        <f>'11. Амортиз. план'!BJ214</f>
        <v>621.32567247664667</v>
      </c>
      <c r="G53" s="4296">
        <f>'11. Амортиз. план'!BK214</f>
        <v>621.32567247664667</v>
      </c>
      <c r="I53" s="4299" t="s">
        <v>1598</v>
      </c>
      <c r="J53" s="3579">
        <f>SUM('9.Инвестиционна програма'!BC23:BC24)</f>
        <v>23.519426535026049</v>
      </c>
      <c r="K53" s="3579">
        <f>SUM('9.Инвестиционна програма'!BD23:BD24)</f>
        <v>25.053302178614704</v>
      </c>
      <c r="L53" s="3579">
        <f>SUM('9.Инвестиционна програма'!BE23:BE24)</f>
        <v>25.564594059810922</v>
      </c>
      <c r="M53" s="3579">
        <f>SUM('9.Инвестиционна програма'!BF23:BF24)</f>
        <v>26.587177822203362</v>
      </c>
      <c r="N53" s="3579">
        <f>SUM('9.Инвестиционна програма'!BG23:BG24)</f>
        <v>28.121053465792016</v>
      </c>
      <c r="O53" s="3703">
        <f t="shared" si="53"/>
        <v>128.84555406144705</v>
      </c>
      <c r="P53" s="4324">
        <f t="shared" si="51"/>
        <v>4.9645390070921974E-2</v>
      </c>
      <c r="Q53" s="4325"/>
      <c r="S53" s="4294" t="s">
        <v>448</v>
      </c>
      <c r="T53" s="3579">
        <f>'12. Разходи'!BX59</f>
        <v>457.82394635009297</v>
      </c>
      <c r="U53" s="3579">
        <f>'12. Разходи'!BY59</f>
        <v>769.29925462031053</v>
      </c>
      <c r="V53" s="3579">
        <f>'12. Разходи'!BZ59</f>
        <v>878.03787761624744</v>
      </c>
      <c r="W53" s="3579">
        <f>'12. Разходи'!CA59</f>
        <v>1002.427425922253</v>
      </c>
      <c r="X53" s="3579">
        <f>'12. Разходи'!CB59</f>
        <v>1144.8612655958425</v>
      </c>
      <c r="Y53" s="3579">
        <f>'12. Разходи'!CC59</f>
        <v>1308.1125644093847</v>
      </c>
      <c r="Z53" s="4292">
        <f t="shared" si="52"/>
        <v>0.68033861215296898</v>
      </c>
      <c r="AA53" s="4292">
        <f t="shared" si="50"/>
        <v>0.70039494585888662</v>
      </c>
      <c r="AK53" s="3445" t="s">
        <v>1701</v>
      </c>
      <c r="AL53" s="3439" t="s">
        <v>1924</v>
      </c>
      <c r="AM53" s="3579">
        <f>'19. HB'!K17</f>
        <v>420.53993781296884</v>
      </c>
      <c r="AN53" s="3579">
        <f>'19. HB'!L17</f>
        <v>433.21608693354159</v>
      </c>
      <c r="AO53" s="3579">
        <f>'19. HB'!M17</f>
        <v>449.20417864320285</v>
      </c>
      <c r="AP53" s="3579">
        <f>'19. HB'!N17</f>
        <v>467.96470865136581</v>
      </c>
      <c r="AQ53" s="3579">
        <f>'19. HB'!O17</f>
        <v>485.96358683865446</v>
      </c>
      <c r="AR53" s="4281"/>
    </row>
    <row r="54" spans="1:44" ht="15.75" customHeight="1">
      <c r="A54" s="4299" t="s">
        <v>220</v>
      </c>
      <c r="B54" s="3579">
        <f>'11. Амортиз. план'!BE236</f>
        <v>11566.285290643867</v>
      </c>
      <c r="C54" s="3579">
        <f>'11. Амортиз. план'!BG236</f>
        <v>12808.93663559716</v>
      </c>
      <c r="D54" s="3579">
        <f>'11. Амортиз. план'!BH236</f>
        <v>13430.262308073809</v>
      </c>
      <c r="E54" s="3579">
        <f>'11. Амортиз. план'!BI236</f>
        <v>14051.587980550456</v>
      </c>
      <c r="F54" s="3579">
        <f>'11. Амортиз. план'!BJ236</f>
        <v>14672.913653027101</v>
      </c>
      <c r="G54" s="3579">
        <f>'11. Амортиз. план'!BK236</f>
        <v>15294.239325503746</v>
      </c>
      <c r="I54" s="4299" t="s">
        <v>1599</v>
      </c>
      <c r="J54" s="3579">
        <f>SUM('9.Инвестиционна програма'!BC25:BC26)</f>
        <v>8.691961980335714</v>
      </c>
      <c r="K54" s="3579">
        <f>SUM('9.Инвестиционна програма'!BD25:BD26)</f>
        <v>7.1580863367470595</v>
      </c>
      <c r="L54" s="3579">
        <f>SUM('9.Инвестиционна програма'!BE25:BE26)</f>
        <v>13.804880792297899</v>
      </c>
      <c r="M54" s="3579">
        <f>SUM('9.Инвестиционна програма'!BF25:BF26)</f>
        <v>16.87263207947521</v>
      </c>
      <c r="N54" s="3579">
        <f>SUM('9.Инвестиционна програма'!BG25:BG26)</f>
        <v>16.361340198278992</v>
      </c>
      <c r="O54" s="3703">
        <f t="shared" si="53"/>
        <v>62.888901387134879</v>
      </c>
      <c r="P54" s="4324">
        <f t="shared" si="51"/>
        <v>2.4231678486997636E-2</v>
      </c>
      <c r="Q54" s="4325"/>
      <c r="S54" s="4294" t="s">
        <v>449</v>
      </c>
      <c r="T54" s="3579">
        <f>'12. Разходи'!BX63</f>
        <v>120.574246409932</v>
      </c>
      <c r="U54" s="3579">
        <f>'12. Разходи'!BY63</f>
        <v>209.62200270382948</v>
      </c>
      <c r="V54" s="3579">
        <f>'12. Разходи'!BZ63</f>
        <v>243.22876935737133</v>
      </c>
      <c r="W54" s="3579">
        <f>'12. Разходи'!CA63</f>
        <v>275.88612689592014</v>
      </c>
      <c r="X54" s="3579">
        <f>'12. Разходи'!CB63</f>
        <v>309.16054163894268</v>
      </c>
      <c r="Y54" s="3579">
        <f>'12. Разходи'!CC63</f>
        <v>342.92556946213421</v>
      </c>
      <c r="Z54" s="4292">
        <f t="shared" si="52"/>
        <v>0.73853048180081671</v>
      </c>
      <c r="AA54" s="4292">
        <f t="shared" si="50"/>
        <v>0.6359235435158328</v>
      </c>
      <c r="AK54" s="3445" t="s">
        <v>1398</v>
      </c>
      <c r="AL54" s="3439" t="s">
        <v>1924</v>
      </c>
      <c r="AM54" s="3579">
        <f>'19. HB'!K18</f>
        <v>25.425611345426596</v>
      </c>
      <c r="AN54" s="3579">
        <f>'19. HB'!L18</f>
        <v>27.312121800007795</v>
      </c>
      <c r="AO54" s="3579">
        <f>'19. HB'!M18</f>
        <v>29.502490573372619</v>
      </c>
      <c r="AP54" s="3579">
        <f>'19. HB'!N18</f>
        <v>31.698680840275458</v>
      </c>
      <c r="AQ54" s="3579">
        <f>'19. HB'!O18</f>
        <v>33.723958308584713</v>
      </c>
      <c r="AR54" s="4281"/>
    </row>
    <row r="55" spans="1:44" ht="15.75" customHeight="1">
      <c r="A55" s="4299" t="s">
        <v>222</v>
      </c>
      <c r="B55" s="3579">
        <f>'11. Амортиз. план'!BE258</f>
        <v>6151.6511608882156</v>
      </c>
      <c r="C55" s="3579">
        <f>'11. Амортиз. план'!BG258</f>
        <v>7669.9759743945042</v>
      </c>
      <c r="D55" s="3579">
        <f>'11. Амортиз. план'!BH258</f>
        <v>7048.6503019178563</v>
      </c>
      <c r="E55" s="3579">
        <f>'11. Амортиз. план'!BI258</f>
        <v>6427.3246294412111</v>
      </c>
      <c r="F55" s="3579">
        <f>'11. Амортиз. план'!BJ258</f>
        <v>5805.9989569645631</v>
      </c>
      <c r="G55" s="3579">
        <f>'11. Амортиз. план'!BK258</f>
        <v>5184.673284487918</v>
      </c>
      <c r="I55" s="4299" t="s">
        <v>1600</v>
      </c>
      <c r="J55" s="3579">
        <f>SUM('9.Инвестиционна програма'!BC27:BC28)</f>
        <v>5.1129188119621851</v>
      </c>
      <c r="K55" s="3579">
        <f>SUM('9.Инвестиционна програма'!BD27:BD28)</f>
        <v>5.1129188119621851</v>
      </c>
      <c r="L55" s="3579">
        <f>SUM('9.Инвестиционна програма'!BE27:BE28)</f>
        <v>8.691961980335714</v>
      </c>
      <c r="M55" s="3579">
        <f>SUM('9.Инвестиционна програма'!BF27:BF28)</f>
        <v>10.22583762392437</v>
      </c>
      <c r="N55" s="3579">
        <f>SUM('9.Инвестиционна програма'!BG27:BG28)</f>
        <v>3.5790431683735293</v>
      </c>
      <c r="O55" s="3703">
        <f t="shared" si="53"/>
        <v>32.722680396557983</v>
      </c>
      <c r="P55" s="4324">
        <f t="shared" si="51"/>
        <v>1.2608353033884948E-2</v>
      </c>
      <c r="Q55" s="4325"/>
      <c r="S55" s="4294" t="s">
        <v>450</v>
      </c>
      <c r="T55" s="3579">
        <f>'12. Разходи'!BX70</f>
        <v>13.361017903398416</v>
      </c>
      <c r="U55" s="3579">
        <f>'12. Разходи'!BY70</f>
        <v>15.16247001705182</v>
      </c>
      <c r="V55" s="3579">
        <f>'12. Разходи'!BZ70</f>
        <v>15.209062246681439</v>
      </c>
      <c r="W55" s="3579">
        <f>'12. Разходи'!CA70</f>
        <v>15.243310946080992</v>
      </c>
      <c r="X55" s="3579">
        <f>'12. Разходи'!CB70</f>
        <v>15.28749284550063</v>
      </c>
      <c r="Y55" s="3579">
        <f>'12. Разходи'!CC70</f>
        <v>15.334375995375702</v>
      </c>
      <c r="Z55" s="4292">
        <f t="shared" si="52"/>
        <v>0.13482895739516967</v>
      </c>
      <c r="AA55" s="4292">
        <f t="shared" si="50"/>
        <v>1.1337597247055034E-2</v>
      </c>
      <c r="AK55" s="3445" t="s">
        <v>1399</v>
      </c>
      <c r="AL55" s="3439" t="s">
        <v>1924</v>
      </c>
      <c r="AM55" s="3579">
        <f>'19. HB'!K19</f>
        <v>50.901886066765073</v>
      </c>
      <c r="AN55" s="3579">
        <f>'19. HB'!L19</f>
        <v>53.43744293173679</v>
      </c>
      <c r="AO55" s="3579">
        <f>'19. HB'!M19</f>
        <v>56.564320013149178</v>
      </c>
      <c r="AP55" s="3579">
        <f>'19. HB'!N19</f>
        <v>60.039518663676716</v>
      </c>
      <c r="AQ55" s="3579">
        <f>'19. HB'!O19</f>
        <v>63.598404965114526</v>
      </c>
      <c r="AR55" s="4281"/>
    </row>
    <row r="56" spans="1:44" ht="15.75" customHeight="1">
      <c r="A56" s="2" t="s">
        <v>1665</v>
      </c>
      <c r="B56" s="11"/>
      <c r="C56" s="11"/>
      <c r="D56" s="11"/>
      <c r="E56" s="11"/>
      <c r="F56" s="11"/>
      <c r="G56" s="3446" t="s">
        <v>1909</v>
      </c>
      <c r="I56" s="4299" t="s">
        <v>1601</v>
      </c>
      <c r="J56" s="3579">
        <f>'9.Инвестиционна програма'!BC29</f>
        <v>3.0677512871773112</v>
      </c>
      <c r="K56" s="3579">
        <f>'9.Инвестиционна програма'!BD29</f>
        <v>3.0677512871773112</v>
      </c>
      <c r="L56" s="3579">
        <f>'9.Инвестиционна програма'!BE29</f>
        <v>3.0677512871773112</v>
      </c>
      <c r="M56" s="3579">
        <f>'9.Инвестиционна програма'!BF29</f>
        <v>3.0677512871773112</v>
      </c>
      <c r="N56" s="3579">
        <f>'9.Инвестиционна програма'!BG29</f>
        <v>3.0677512871773112</v>
      </c>
      <c r="O56" s="3703">
        <f t="shared" si="53"/>
        <v>15.338756435886555</v>
      </c>
      <c r="P56" s="4324">
        <f t="shared" si="51"/>
        <v>5.9101654846335696E-3</v>
      </c>
      <c r="Q56" s="4325"/>
      <c r="S56" s="4294" t="s">
        <v>267</v>
      </c>
      <c r="T56" s="3579">
        <f>'12. Разходи'!BX76</f>
        <v>15.083811371857824</v>
      </c>
      <c r="U56" s="3579">
        <f>'12. Разходи'!BY76</f>
        <v>17.1289788966427</v>
      </c>
      <c r="V56" s="3579">
        <f>'12. Разходи'!BZ76</f>
        <v>17.1289788966427</v>
      </c>
      <c r="W56" s="3579">
        <f>'12. Разходи'!CA76</f>
        <v>17.1289788966427</v>
      </c>
      <c r="X56" s="3579">
        <f>'12. Разходи'!CB76</f>
        <v>17.1289788966427</v>
      </c>
      <c r="Y56" s="3579">
        <f>'12. Разходи'!CC76</f>
        <v>17.1289788966427</v>
      </c>
      <c r="Z56" s="4292">
        <f t="shared" si="52"/>
        <v>0.13558691993461197</v>
      </c>
      <c r="AA56" s="4292">
        <f t="shared" si="50"/>
        <v>0</v>
      </c>
      <c r="AK56" s="3445" t="s">
        <v>1237</v>
      </c>
      <c r="AL56" s="3439" t="s">
        <v>1924</v>
      </c>
      <c r="AM56" s="3579">
        <f>'19. HB'!K20</f>
        <v>0</v>
      </c>
      <c r="AN56" s="3579">
        <f>'19. HB'!L20</f>
        <v>0</v>
      </c>
      <c r="AO56" s="3579">
        <f>'19. HB'!M20</f>
        <v>0</v>
      </c>
      <c r="AP56" s="3579">
        <f>'19. HB'!N20</f>
        <v>0</v>
      </c>
      <c r="AQ56" s="3579">
        <f>'19. HB'!O20</f>
        <v>0</v>
      </c>
      <c r="AR56" s="4281"/>
    </row>
    <row r="57" spans="1:44" ht="12.75" customHeight="1">
      <c r="A57" s="5632" t="s">
        <v>87</v>
      </c>
      <c r="B57" s="5636" t="s">
        <v>1029</v>
      </c>
      <c r="C57" s="5636"/>
      <c r="D57" s="5636"/>
      <c r="E57" s="5636"/>
      <c r="F57" s="5636"/>
      <c r="G57" s="5636"/>
      <c r="I57" s="4295" t="s">
        <v>1602</v>
      </c>
      <c r="J57" s="4296">
        <f>SUM(J48:J56)</f>
        <v>312.39933941088952</v>
      </c>
      <c r="K57" s="4296">
        <f>SUM(K48:K56)</f>
        <v>314.95579881687058</v>
      </c>
      <c r="L57" s="4296">
        <f>SUM(L48:L56)</f>
        <v>330.80584713395336</v>
      </c>
      <c r="M57" s="4296">
        <f>SUM(M48:M56)</f>
        <v>336.4300578271118</v>
      </c>
      <c r="N57" s="4296">
        <f>SUM(N48:N56)</f>
        <v>330.29455525275711</v>
      </c>
      <c r="O57" s="3703">
        <f t="shared" si="53"/>
        <v>1624.8855984415825</v>
      </c>
      <c r="P57" s="4326">
        <f t="shared" si="51"/>
        <v>0.62608353033884945</v>
      </c>
      <c r="Q57" s="4327"/>
      <c r="S57" s="4302" t="s">
        <v>277</v>
      </c>
      <c r="T57" s="4303">
        <f>SUM(T47:T49,T53:T56)</f>
        <v>1047.187086545975</v>
      </c>
      <c r="U57" s="4303">
        <f t="shared" ref="U57:Y57" si="54">SUM(U47:U49,U53:U56)</f>
        <v>1502.0037928448203</v>
      </c>
      <c r="V57" s="4303">
        <f t="shared" si="54"/>
        <v>1642.3114371093689</v>
      </c>
      <c r="W57" s="4303">
        <f t="shared" si="54"/>
        <v>1796.5100933493325</v>
      </c>
      <c r="X57" s="4303">
        <f t="shared" si="54"/>
        <v>1970.9841398368153</v>
      </c>
      <c r="Y57" s="4303">
        <f t="shared" si="54"/>
        <v>2168.2328990033502</v>
      </c>
      <c r="Z57" s="4304">
        <f t="shared" si="52"/>
        <v>0.43432230223446061</v>
      </c>
      <c r="AA57" s="4304">
        <f t="shared" si="50"/>
        <v>0.44356020226598819</v>
      </c>
      <c r="AK57" s="3445" t="s">
        <v>1702</v>
      </c>
      <c r="AL57" s="3439" t="s">
        <v>1924</v>
      </c>
      <c r="AM57" s="3579">
        <f>'19. HB'!K21</f>
        <v>45.634373616969974</v>
      </c>
      <c r="AN57" s="3579">
        <f>'19. HB'!L21</f>
        <v>50.838204536026254</v>
      </c>
      <c r="AO57" s="3579">
        <f>'19. HB'!M21</f>
        <v>55.611898313452095</v>
      </c>
      <c r="AP57" s="3579">
        <f>'19. HB'!N21</f>
        <v>61.348675066363853</v>
      </c>
      <c r="AQ57" s="3579">
        <f>'19. HB'!O21</f>
        <v>67.014592529322726</v>
      </c>
      <c r="AR57" s="4281"/>
    </row>
    <row r="58" spans="1:44" ht="12.75" customHeight="1">
      <c r="A58" s="5632"/>
      <c r="B58" s="4283" t="str">
        <f>+'15. ОПП'!$B$7</f>
        <v>2024 г.</v>
      </c>
      <c r="C58" s="4283" t="str">
        <f>+'15. ОПП'!$C$7</f>
        <v>2027 г.</v>
      </c>
      <c r="D58" s="4283" t="str">
        <f>+'15. ОПП'!$D$7</f>
        <v>2028 г.</v>
      </c>
      <c r="E58" s="4283" t="str">
        <f>+'15. ОПП'!$E$7</f>
        <v>2029 г.</v>
      </c>
      <c r="F58" s="4283" t="str">
        <f>+'15. ОПП'!$F$7</f>
        <v>2030 г.</v>
      </c>
      <c r="G58" s="4283" t="str">
        <f>+'15. ОПП'!$G$7</f>
        <v>2031 г.</v>
      </c>
      <c r="I58" s="4295" t="s">
        <v>1603</v>
      </c>
      <c r="J58" s="4296">
        <f>SUM('9.Инвестиционна програма'!BC30:BC35)</f>
        <v>1.022583762392437</v>
      </c>
      <c r="K58" s="4296">
        <f>SUM('9.Инвестиционна програма'!BD30:BD35)</f>
        <v>1.022583762392437</v>
      </c>
      <c r="L58" s="4296">
        <f>SUM('9.Инвестиционна програма'!BE30:BE35)</f>
        <v>1.022583762392437</v>
      </c>
      <c r="M58" s="4296">
        <f>SUM('9.Инвестиционна програма'!BF30:BF35)</f>
        <v>1.022583762392437</v>
      </c>
      <c r="N58" s="4296">
        <f>SUM('9.Инвестиционна програма'!BG30:BG35)</f>
        <v>1.022583762392437</v>
      </c>
      <c r="O58" s="3703">
        <f t="shared" si="53"/>
        <v>5.1129188119621851</v>
      </c>
      <c r="P58" s="4326">
        <f t="shared" si="51"/>
        <v>1.9700551615445231E-3</v>
      </c>
      <c r="Q58" s="4327"/>
      <c r="S58" s="4310" t="str">
        <f>CONCATENATE("Спестявания и увеличения спрямо ",T46," - нето:")</f>
        <v>Спестявания и увеличения спрямо 2024 г. - нето:</v>
      </c>
      <c r="T58" s="4311"/>
      <c r="U58" s="4310">
        <f>U57-$T57</f>
        <v>454.81670629884525</v>
      </c>
      <c r="V58" s="4310">
        <f t="shared" ref="V58:Y58" si="55">V57-$T57</f>
        <v>595.12435056339382</v>
      </c>
      <c r="W58" s="4310">
        <f t="shared" si="55"/>
        <v>749.32300680335743</v>
      </c>
      <c r="X58" s="4310">
        <f t="shared" si="55"/>
        <v>923.79705329084027</v>
      </c>
      <c r="Y58" s="4310">
        <f t="shared" si="55"/>
        <v>1121.0458124573752</v>
      </c>
      <c r="Z58" s="4311"/>
      <c r="AA58" s="4311"/>
      <c r="AK58" s="3447" t="s">
        <v>327</v>
      </c>
      <c r="AL58" s="3511" t="s">
        <v>1924</v>
      </c>
      <c r="AM58" s="3703">
        <f>SUM(AM53:AM57)</f>
        <v>542.50180884213046</v>
      </c>
      <c r="AN58" s="3703">
        <f t="shared" ref="AN58:AQ58" si="56">SUM(AN53:AN57)</f>
        <v>564.80385620131244</v>
      </c>
      <c r="AO58" s="3703">
        <f t="shared" si="56"/>
        <v>590.88288754317671</v>
      </c>
      <c r="AP58" s="3703">
        <f t="shared" si="56"/>
        <v>621.05158322168188</v>
      </c>
      <c r="AQ58" s="3703">
        <f t="shared" si="56"/>
        <v>650.30054264167643</v>
      </c>
      <c r="AR58" s="4281"/>
    </row>
    <row r="59" spans="1:44" ht="15.75" customHeight="1">
      <c r="A59" s="5631" t="s">
        <v>1656</v>
      </c>
      <c r="B59" s="5631"/>
      <c r="C59" s="5631"/>
      <c r="D59" s="5631"/>
      <c r="E59" s="5631"/>
      <c r="F59" s="5631"/>
      <c r="G59" s="5631"/>
      <c r="I59" s="3575" t="s">
        <v>207</v>
      </c>
      <c r="J59" s="4303">
        <f>J57+J58</f>
        <v>313.42192317328198</v>
      </c>
      <c r="K59" s="4303">
        <f>K57+K58</f>
        <v>315.97838257926304</v>
      </c>
      <c r="L59" s="4303">
        <f>L57+L58</f>
        <v>331.82843089634582</v>
      </c>
      <c r="M59" s="4303">
        <f>M57+M58</f>
        <v>337.45264158950425</v>
      </c>
      <c r="N59" s="4303">
        <f>N57+N58</f>
        <v>331.31713901514956</v>
      </c>
      <c r="O59" s="4303">
        <f>SUM(J59:N59)</f>
        <v>1629.9985172535448</v>
      </c>
      <c r="P59" s="4304">
        <f t="shared" si="51"/>
        <v>0.62805358550039403</v>
      </c>
      <c r="Q59" s="4309"/>
      <c r="S59" s="4294" t="s">
        <v>1668</v>
      </c>
      <c r="T59" s="3703">
        <f>'12. Разходи'!BX92</f>
        <v>755.26693393450876</v>
      </c>
      <c r="U59" s="3703">
        <f>'12. Разходи'!BY92</f>
        <v>1096.6092775014229</v>
      </c>
      <c r="V59" s="3703">
        <f>'12. Разходи'!BZ92</f>
        <v>1191.1967266959721</v>
      </c>
      <c r="W59" s="3703">
        <f>'12. Разходи'!CA92</f>
        <v>1296.4436139192869</v>
      </c>
      <c r="X59" s="3703">
        <f>'12. Разходи'!CB92</f>
        <v>1414.3895731864031</v>
      </c>
      <c r="Y59" s="3703">
        <f>'12. Разходи'!CC92</f>
        <v>1547.1201509427483</v>
      </c>
      <c r="Z59" s="4292">
        <f t="shared" si="52"/>
        <v>0.45194927545512381</v>
      </c>
      <c r="AA59" s="4292">
        <f t="shared" ref="AA59:AA63" si="57">IFERROR((Y59-U59)/U59,0)</f>
        <v>0.41082168707143818</v>
      </c>
      <c r="AR59" s="4281"/>
    </row>
    <row r="60" spans="1:44" ht="15.75" customHeight="1">
      <c r="A60" s="4293" t="s">
        <v>334</v>
      </c>
      <c r="B60" s="3703">
        <f>'11. Амортиз. план'!BL10</f>
        <v>0</v>
      </c>
      <c r="C60" s="3703">
        <f>'11. Амортиз. план'!BN10</f>
        <v>0</v>
      </c>
      <c r="D60" s="3703">
        <f>'11. Амортиз. план'!BO10</f>
        <v>0</v>
      </c>
      <c r="E60" s="3703">
        <f>'11. Амортиз. план'!BP10</f>
        <v>0</v>
      </c>
      <c r="F60" s="3703">
        <f>'11. Амортиз. план'!BQ10</f>
        <v>0</v>
      </c>
      <c r="G60" s="3703">
        <f>'11. Амортиз. план'!BR10</f>
        <v>0</v>
      </c>
      <c r="I60" s="4299" t="s">
        <v>1604</v>
      </c>
      <c r="J60" s="3579">
        <f>'9.Инвестиционна програма'!BC37</f>
        <v>0</v>
      </c>
      <c r="K60" s="3579">
        <f>'9.Инвестиционна програма'!BD37</f>
        <v>0</v>
      </c>
      <c r="L60" s="3579">
        <f>'9.Инвестиционна програма'!BE37</f>
        <v>0</v>
      </c>
      <c r="M60" s="3579">
        <f>'9.Инвестиционна програма'!BF37</f>
        <v>0</v>
      </c>
      <c r="N60" s="3579">
        <f>'9.Инвестиционна програма'!BG37</f>
        <v>0</v>
      </c>
      <c r="O60" s="3703">
        <f t="shared" si="53"/>
        <v>0</v>
      </c>
      <c r="P60" s="4324">
        <f t="shared" si="51"/>
        <v>0</v>
      </c>
      <c r="Q60" s="4325"/>
      <c r="S60" s="4294" t="s">
        <v>1670</v>
      </c>
      <c r="T60" s="3703">
        <f>'12. Разходи'!BX93</f>
        <v>226.15606700331202</v>
      </c>
      <c r="U60" s="3703">
        <f>'12. Разходи'!BY93</f>
        <v>356.25421039351738</v>
      </c>
      <c r="V60" s="3703">
        <f>'12. Разходи'!BZ93</f>
        <v>401.73745221589985</v>
      </c>
      <c r="W60" s="3703">
        <f>'12. Разходи'!CA93</f>
        <v>452.22017295481135</v>
      </c>
      <c r="X60" s="3703">
        <f>'12. Разходи'!CB93</f>
        <v>509.05908038107185</v>
      </c>
      <c r="Y60" s="3703">
        <f>'12. Разходи'!CC93</f>
        <v>573.32687664938453</v>
      </c>
      <c r="Z60" s="4292">
        <f t="shared" si="52"/>
        <v>0.57525825026087007</v>
      </c>
      <c r="AA60" s="4292">
        <f t="shared" si="57"/>
        <v>0.60931958113867424</v>
      </c>
      <c r="AR60" s="4281"/>
    </row>
    <row r="61" spans="1:44" ht="15.75" customHeight="1">
      <c r="A61" s="4295" t="s">
        <v>218</v>
      </c>
      <c r="B61" s="4296">
        <f>'11. Амортиз. план'!BL35</f>
        <v>0</v>
      </c>
      <c r="C61" s="4296">
        <f>'11. Амортиз. план'!BN35</f>
        <v>0</v>
      </c>
      <c r="D61" s="4296">
        <f>'11. Амортиз. план'!BO35</f>
        <v>0</v>
      </c>
      <c r="E61" s="4296">
        <f>'11. Амортиз. план'!BP35</f>
        <v>0</v>
      </c>
      <c r="F61" s="4296">
        <f>'11. Амортиз. план'!BQ35</f>
        <v>0</v>
      </c>
      <c r="G61" s="4296">
        <f>'11. Амортиз. план'!BR35</f>
        <v>0</v>
      </c>
      <c r="I61" s="4299" t="s">
        <v>1605</v>
      </c>
      <c r="J61" s="3579">
        <f>'9.Инвестиционна програма'!BC38</f>
        <v>0</v>
      </c>
      <c r="K61" s="3579">
        <f>'9.Инвестиционна програма'!BD38</f>
        <v>0</v>
      </c>
      <c r="L61" s="3579">
        <f>'9.Инвестиционна програма'!BE38</f>
        <v>0</v>
      </c>
      <c r="M61" s="3579">
        <f>'9.Инвестиционна програма'!BF38</f>
        <v>0</v>
      </c>
      <c r="N61" s="3579">
        <f>'9.Инвестиционна програма'!BG38</f>
        <v>0</v>
      </c>
      <c r="O61" s="3703">
        <f t="shared" si="53"/>
        <v>0</v>
      </c>
      <c r="P61" s="4324">
        <f t="shared" si="51"/>
        <v>0</v>
      </c>
      <c r="Q61" s="4325"/>
      <c r="S61" s="4313" t="s">
        <v>1669</v>
      </c>
      <c r="T61" s="3579">
        <f>'12. Разходи'!BX94</f>
        <v>82.49687614844359</v>
      </c>
      <c r="U61" s="3579">
        <f>'12. Разходи'!BY94</f>
        <v>117.24106065430939</v>
      </c>
      <c r="V61" s="3579">
        <f>'12. Разходи'!BZ94</f>
        <v>132.78861135480119</v>
      </c>
      <c r="W61" s="3579">
        <f>'12. Разходи'!CA94</f>
        <v>150.50710898793301</v>
      </c>
      <c r="X61" s="3579">
        <f>'12. Разходи'!CB94</f>
        <v>170.62329041968098</v>
      </c>
      <c r="Y61" s="3579">
        <f>'12. Разходи'!CC94</f>
        <v>193.46597531752732</v>
      </c>
      <c r="Z61" s="4292">
        <f t="shared" si="52"/>
        <v>0.42115757744993471</v>
      </c>
      <c r="AA61" s="4292">
        <f t="shared" si="57"/>
        <v>0.65015545098121008</v>
      </c>
      <c r="AR61" s="4281"/>
    </row>
    <row r="62" spans="1:44" ht="15.75" customHeight="1">
      <c r="A62" s="4299" t="s">
        <v>220</v>
      </c>
      <c r="B62" s="3579">
        <f>'11. Амортиз. план'!BL60</f>
        <v>0</v>
      </c>
      <c r="C62" s="3579">
        <f>'11. Амортиз. план'!BN60</f>
        <v>0</v>
      </c>
      <c r="D62" s="3579">
        <f>'11. Амортиз. план'!BO60</f>
        <v>0</v>
      </c>
      <c r="E62" s="3579">
        <f>'11. Амортиз. план'!BP60</f>
        <v>0</v>
      </c>
      <c r="F62" s="3579">
        <f>'11. Амортиз. план'!BQ60</f>
        <v>0</v>
      </c>
      <c r="G62" s="3579">
        <f>'11. Амортиз. план'!BR60</f>
        <v>0</v>
      </c>
      <c r="I62" s="4299" t="s">
        <v>1606</v>
      </c>
      <c r="J62" s="3579">
        <f>'9.Инвестиционна програма'!BC39</f>
        <v>0</v>
      </c>
      <c r="K62" s="3579">
        <f>'9.Инвестиционна програма'!BD39</f>
        <v>0</v>
      </c>
      <c r="L62" s="3579">
        <f>'9.Инвестиционна програма'!BE39</f>
        <v>0</v>
      </c>
      <c r="M62" s="3579">
        <f>'9.Инвестиционна програма'!BF39</f>
        <v>0</v>
      </c>
      <c r="N62" s="3579">
        <f>'9.Инвестиционна програма'!BG39</f>
        <v>0</v>
      </c>
      <c r="O62" s="3703">
        <f t="shared" si="53"/>
        <v>0</v>
      </c>
      <c r="P62" s="4324">
        <f t="shared" si="51"/>
        <v>0</v>
      </c>
      <c r="Q62" s="4309"/>
      <c r="S62" s="4294" t="s">
        <v>1672</v>
      </c>
      <c r="T62" s="3579">
        <f>'12. Разходи'!BX90</f>
        <v>19.525727675320301</v>
      </c>
      <c r="U62" s="3579">
        <f>'12. Разходи'!BY90</f>
        <v>24.807265215672658</v>
      </c>
      <c r="V62" s="3579">
        <f>'12. Разходи'!BZ90</f>
        <v>24.413896669805126</v>
      </c>
      <c r="W62" s="3579">
        <f>'12. Разходи'!CA90</f>
        <v>26.056312802389769</v>
      </c>
      <c r="X62" s="3579">
        <f>'12. Разходи'!CB90</f>
        <v>28.099461182052028</v>
      </c>
      <c r="Y62" s="3579">
        <f>'12. Разходи'!CC90</f>
        <v>30.201777618207835</v>
      </c>
      <c r="Z62" s="4292">
        <f t="shared" si="52"/>
        <v>0.27049120156622886</v>
      </c>
      <c r="AA62" s="4292">
        <f t="shared" si="57"/>
        <v>0.21745695688886532</v>
      </c>
      <c r="AR62" s="4281"/>
    </row>
    <row r="63" spans="1:44" ht="14.25" customHeight="1">
      <c r="A63" s="4299" t="s">
        <v>222</v>
      </c>
      <c r="B63" s="3579">
        <f>'11. Амортиз. план'!BL85</f>
        <v>0</v>
      </c>
      <c r="C63" s="3579">
        <f>'11. Амортиз. план'!BN85</f>
        <v>0</v>
      </c>
      <c r="D63" s="3579">
        <f>'11. Амортиз. план'!BO85</f>
        <v>0</v>
      </c>
      <c r="E63" s="3579">
        <f>'11. Амортиз. план'!BP85</f>
        <v>0</v>
      </c>
      <c r="F63" s="3579">
        <f>'11. Амортиз. план'!BQ85</f>
        <v>0</v>
      </c>
      <c r="G63" s="3579">
        <f>'11. Амортиз. план'!BR85</f>
        <v>0</v>
      </c>
      <c r="I63" s="4299" t="s">
        <v>1573</v>
      </c>
      <c r="J63" s="3579">
        <f>'9.Инвестиционна програма'!BC40</f>
        <v>2.5564594059810926</v>
      </c>
      <c r="K63" s="3579">
        <f>'9.Инвестиционна програма'!BD40</f>
        <v>2.5564594059810926</v>
      </c>
      <c r="L63" s="3579">
        <f>'9.Инвестиционна програма'!BE40</f>
        <v>2.5564594059810926</v>
      </c>
      <c r="M63" s="3579">
        <f>'9.Инвестиционна програма'!BF40</f>
        <v>2.5564594059810926</v>
      </c>
      <c r="N63" s="3579">
        <f>'9.Инвестиционна програма'!BG40</f>
        <v>2.5564594059810926</v>
      </c>
      <c r="O63" s="3703">
        <f t="shared" si="53"/>
        <v>12.782297029905463</v>
      </c>
      <c r="P63" s="4324">
        <f t="shared" si="51"/>
        <v>4.9251379038613083E-3</v>
      </c>
      <c r="Q63" s="4309"/>
      <c r="S63" s="4294" t="s">
        <v>1231</v>
      </c>
      <c r="T63" s="3579">
        <f>'12. Разходи'!BX89</f>
        <v>282.56673338756701</v>
      </c>
      <c r="U63" s="3579">
        <f>'12. Разходи'!BY89</f>
        <v>335.1385332021822</v>
      </c>
      <c r="V63" s="3579">
        <f>'12. Разходи'!BZ89</f>
        <v>333.8439338032469</v>
      </c>
      <c r="W63" s="3579">
        <f>'12. Разходи'!CA89</f>
        <v>331.73393505046164</v>
      </c>
      <c r="X63" s="3579">
        <f>'12. Разходи'!CB89</f>
        <v>329.65361481257793</v>
      </c>
      <c r="Y63" s="3579">
        <f>'12. Разходи'!CC89</f>
        <v>328.66616403399161</v>
      </c>
      <c r="Z63" s="4292">
        <f t="shared" si="52"/>
        <v>0.18605091683778641</v>
      </c>
      <c r="AA63" s="4292">
        <f t="shared" si="57"/>
        <v>-1.9312518636243923E-2</v>
      </c>
      <c r="AR63" s="4281"/>
    </row>
    <row r="64" spans="1:44" ht="20.25" customHeight="1">
      <c r="A64" s="5631" t="s">
        <v>1657</v>
      </c>
      <c r="B64" s="5631"/>
      <c r="C64" s="5631"/>
      <c r="D64" s="5631"/>
      <c r="E64" s="5631"/>
      <c r="F64" s="5631"/>
      <c r="G64" s="5631"/>
      <c r="I64" s="4299" t="s">
        <v>1607</v>
      </c>
      <c r="J64" s="3579">
        <f>'9.Инвестиционна програма'!BC42</f>
        <v>0</v>
      </c>
      <c r="K64" s="3579">
        <f>'9.Инвестиционна програма'!BD42</f>
        <v>0</v>
      </c>
      <c r="L64" s="3579">
        <f>'9.Инвестиционна програма'!BE42</f>
        <v>0</v>
      </c>
      <c r="M64" s="3579">
        <f>'9.Инвестиционна програма'!BF42</f>
        <v>0</v>
      </c>
      <c r="N64" s="3579">
        <f>'9.Инвестиционна програма'!BG42</f>
        <v>0</v>
      </c>
      <c r="O64" s="3703">
        <f t="shared" si="53"/>
        <v>0</v>
      </c>
      <c r="P64" s="4324">
        <f t="shared" si="51"/>
        <v>0</v>
      </c>
      <c r="Q64" s="4309"/>
      <c r="T64" s="11"/>
      <c r="U64" s="11"/>
      <c r="V64" s="11"/>
      <c r="W64" s="11"/>
      <c r="X64" s="11"/>
      <c r="Y64" s="11"/>
      <c r="Z64" s="11"/>
      <c r="AA64" s="11"/>
      <c r="AR64" s="4281"/>
    </row>
    <row r="65" spans="1:44" ht="15.75" customHeight="1">
      <c r="A65" s="4293" t="s">
        <v>334</v>
      </c>
      <c r="B65" s="3703">
        <f>'11. Амортиз. план'!BL111</f>
        <v>0</v>
      </c>
      <c r="C65" s="3703">
        <f>'11. Амортиз. план'!BN111</f>
        <v>0</v>
      </c>
      <c r="D65" s="3703">
        <f>'11. Амортиз. план'!BO111</f>
        <v>0</v>
      </c>
      <c r="E65" s="3703">
        <f>'11. Амортиз. план'!BP111</f>
        <v>0</v>
      </c>
      <c r="F65" s="3703">
        <f>'11. Амортиз. план'!BQ111</f>
        <v>0</v>
      </c>
      <c r="G65" s="3703">
        <f>'11. Амортиз. план'!BR111</f>
        <v>0</v>
      </c>
      <c r="I65" s="4299" t="s">
        <v>1601</v>
      </c>
      <c r="J65" s="3579">
        <f>'9.Инвестиционна програма'!BC41</f>
        <v>0</v>
      </c>
      <c r="K65" s="3579">
        <f>'9.Инвестиционна програма'!BD41</f>
        <v>0</v>
      </c>
      <c r="L65" s="3579">
        <f>'9.Инвестиционна програма'!BE41</f>
        <v>0</v>
      </c>
      <c r="M65" s="3579">
        <f>'9.Инвестиционна програма'!BF41</f>
        <v>0</v>
      </c>
      <c r="N65" s="3579">
        <f>'9.Инвестиционна програма'!BG41</f>
        <v>0</v>
      </c>
      <c r="O65" s="3703">
        <f t="shared" si="53"/>
        <v>0</v>
      </c>
      <c r="P65" s="4324">
        <f t="shared" si="51"/>
        <v>0</v>
      </c>
      <c r="Q65" s="4309"/>
      <c r="T65" s="11"/>
      <c r="U65" s="11"/>
      <c r="V65" s="11"/>
      <c r="W65" s="11"/>
      <c r="X65" s="11"/>
      <c r="Y65" s="11"/>
      <c r="Z65" s="11"/>
      <c r="AA65" s="11"/>
      <c r="AR65" s="4281"/>
    </row>
    <row r="66" spans="1:44" ht="15" customHeight="1">
      <c r="A66" s="4295" t="s">
        <v>218</v>
      </c>
      <c r="B66" s="4296">
        <f>'11. Амортиз. план'!BL131</f>
        <v>0</v>
      </c>
      <c r="C66" s="4296">
        <f>'11. Амортиз. план'!BN131</f>
        <v>0</v>
      </c>
      <c r="D66" s="4296">
        <f>'11. Амортиз. план'!BO131</f>
        <v>0</v>
      </c>
      <c r="E66" s="4296">
        <f>'11. Амортиз. план'!BP131</f>
        <v>0</v>
      </c>
      <c r="F66" s="4296">
        <f>'11. Амортиз. план'!BQ131</f>
        <v>0</v>
      </c>
      <c r="G66" s="4296">
        <f>'11. Амортиз. план'!BR131</f>
        <v>0</v>
      </c>
      <c r="I66" s="4295" t="s">
        <v>1608</v>
      </c>
      <c r="J66" s="4296">
        <f>SUM(J60:J65)</f>
        <v>2.5564594059810926</v>
      </c>
      <c r="K66" s="4296">
        <f t="shared" ref="K66:N66" si="58">SUM(K60:K65)</f>
        <v>2.5564594059810926</v>
      </c>
      <c r="L66" s="4296">
        <f t="shared" si="58"/>
        <v>2.5564594059810926</v>
      </c>
      <c r="M66" s="4296">
        <f t="shared" si="58"/>
        <v>2.5564594059810926</v>
      </c>
      <c r="N66" s="4296">
        <f t="shared" si="58"/>
        <v>2.5564594059810926</v>
      </c>
      <c r="O66" s="4328">
        <f t="shared" si="53"/>
        <v>12.782297029905463</v>
      </c>
      <c r="P66" s="4326">
        <f t="shared" si="51"/>
        <v>4.9251379038613083E-3</v>
      </c>
      <c r="Q66" s="4309"/>
      <c r="T66" s="11"/>
      <c r="U66" s="11"/>
      <c r="V66" s="11"/>
      <c r="W66" s="11"/>
      <c r="X66" s="11"/>
      <c r="Y66" s="11"/>
      <c r="Z66" s="11"/>
      <c r="AA66" s="11"/>
      <c r="AR66" s="4281"/>
    </row>
    <row r="67" spans="1:44" ht="20.25" customHeight="1">
      <c r="A67" s="4299" t="s">
        <v>220</v>
      </c>
      <c r="B67" s="3579">
        <f>'11. Амортиз. план'!BL151</f>
        <v>0</v>
      </c>
      <c r="C67" s="3579">
        <f>'11. Амортиз. план'!BN151</f>
        <v>0</v>
      </c>
      <c r="D67" s="3579">
        <f>'11. Амортиз. план'!BO151</f>
        <v>0</v>
      </c>
      <c r="E67" s="3579">
        <f>'11. Амортиз. план'!BP151</f>
        <v>0</v>
      </c>
      <c r="F67" s="3579">
        <f>'11. Амортиз. план'!BQ151</f>
        <v>0</v>
      </c>
      <c r="G67" s="3579">
        <f>'11. Амортиз. план'!BR151</f>
        <v>0</v>
      </c>
      <c r="I67" s="4295" t="s">
        <v>1603</v>
      </c>
      <c r="J67" s="4296">
        <f>SUM('9.Инвестиционна програма'!BC43:BC47)</f>
        <v>1.5338756435886556</v>
      </c>
      <c r="K67" s="4296">
        <f>SUM('9.Инвестиционна програма'!BD43:BD47)</f>
        <v>1.5338756435886556</v>
      </c>
      <c r="L67" s="4296">
        <f>SUM('9.Инвестиционна програма'!BE43:BE47)</f>
        <v>1.5338756435886556</v>
      </c>
      <c r="M67" s="4296">
        <f>SUM('9.Инвестиционна програма'!BF43:BF47)</f>
        <v>1.5338756435886556</v>
      </c>
      <c r="N67" s="4296">
        <f>SUM('9.Инвестиционна програма'!BG43:BG47)</f>
        <v>1.5338756435886556</v>
      </c>
      <c r="O67" s="4328">
        <f t="shared" si="53"/>
        <v>7.6693782179432777</v>
      </c>
      <c r="P67" s="4326">
        <f t="shared" si="51"/>
        <v>2.9550827423167848E-3</v>
      </c>
      <c r="Q67" s="4309"/>
      <c r="T67" s="11"/>
      <c r="U67" s="11"/>
      <c r="V67" s="11"/>
      <c r="W67" s="11"/>
      <c r="X67" s="11"/>
      <c r="Y67" s="11"/>
      <c r="Z67" s="11"/>
      <c r="AA67" s="11"/>
      <c r="AR67" s="4281"/>
    </row>
    <row r="68" spans="1:44" ht="20.25" customHeight="1">
      <c r="A68" s="4299" t="s">
        <v>222</v>
      </c>
      <c r="B68" s="3579">
        <f>'11. Амортиз. план'!BL171</f>
        <v>0</v>
      </c>
      <c r="C68" s="3579">
        <f>'11. Амортиз. план'!BN171</f>
        <v>0</v>
      </c>
      <c r="D68" s="3579">
        <f>'11. Амортиз. план'!BO171</f>
        <v>0</v>
      </c>
      <c r="E68" s="3579">
        <f>'11. Амортиз. план'!BP171</f>
        <v>0</v>
      </c>
      <c r="F68" s="3579">
        <f>'11. Амортиз. план'!BQ171</f>
        <v>0</v>
      </c>
      <c r="G68" s="3579">
        <f>'11. Амортиз. план'!BR171</f>
        <v>0</v>
      </c>
      <c r="I68" s="3575" t="s">
        <v>208</v>
      </c>
      <c r="J68" s="4303">
        <f>J66+J67</f>
        <v>4.0903350495697479</v>
      </c>
      <c r="K68" s="4303">
        <f t="shared" ref="K68:N68" si="59">K66+K67</f>
        <v>4.0903350495697479</v>
      </c>
      <c r="L68" s="4303">
        <f t="shared" si="59"/>
        <v>4.0903350495697479</v>
      </c>
      <c r="M68" s="4303">
        <f t="shared" si="59"/>
        <v>4.0903350495697479</v>
      </c>
      <c r="N68" s="4303">
        <f t="shared" si="59"/>
        <v>4.0903350495697479</v>
      </c>
      <c r="O68" s="4303">
        <f t="shared" ref="O68" si="60">SUM(J68:N68)</f>
        <v>20.45167524784874</v>
      </c>
      <c r="P68" s="4304">
        <f t="shared" si="51"/>
        <v>7.8802206461780922E-3</v>
      </c>
      <c r="Q68" s="4309"/>
      <c r="T68" s="11"/>
      <c r="U68" s="11"/>
      <c r="V68" s="11"/>
      <c r="W68" s="11"/>
      <c r="X68" s="11"/>
      <c r="Y68" s="11"/>
      <c r="Z68" s="11"/>
      <c r="AA68" s="11"/>
      <c r="AR68" s="4281"/>
    </row>
    <row r="69" spans="1:44" ht="14.25" customHeight="1">
      <c r="A69" s="5631" t="s">
        <v>1658</v>
      </c>
      <c r="B69" s="5631"/>
      <c r="C69" s="5631"/>
      <c r="D69" s="5631"/>
      <c r="E69" s="5631"/>
      <c r="F69" s="5631"/>
      <c r="G69" s="5631"/>
      <c r="I69" s="4299" t="s">
        <v>1609</v>
      </c>
      <c r="J69" s="3579">
        <f>'9.Инвестиционна програма'!BC49</f>
        <v>15.338756435886555</v>
      </c>
      <c r="K69" s="3579">
        <f>'9.Инвестиционна програма'!BD49</f>
        <v>15.338756435886555</v>
      </c>
      <c r="L69" s="3579">
        <f>'9.Инвестиционна програма'!BE49</f>
        <v>15.338756435886555</v>
      </c>
      <c r="M69" s="3579">
        <f>'9.Инвестиционна програма'!BF49</f>
        <v>15.338756435886555</v>
      </c>
      <c r="N69" s="3579">
        <f>'9.Инвестиционна програма'!BG49</f>
        <v>15.338756435886555</v>
      </c>
      <c r="O69" s="4329">
        <f t="shared" si="53"/>
        <v>76.693782179432773</v>
      </c>
      <c r="P69" s="4324">
        <f t="shared" si="51"/>
        <v>2.9550827423167846E-2</v>
      </c>
      <c r="Q69" s="4309"/>
      <c r="T69" s="11"/>
      <c r="U69" s="11"/>
      <c r="V69" s="11"/>
      <c r="W69" s="11"/>
      <c r="X69" s="11"/>
      <c r="Y69" s="11"/>
      <c r="Z69" s="11"/>
      <c r="AA69" s="11"/>
      <c r="AR69" s="4281"/>
    </row>
    <row r="70" spans="1:44" ht="14.25" customHeight="1">
      <c r="A70" s="4293" t="s">
        <v>334</v>
      </c>
      <c r="B70" s="3703">
        <f>'11. Амортиз. план'!BL192</f>
        <v>0</v>
      </c>
      <c r="C70" s="3703">
        <f>'11. Амортиз. план'!BN192</f>
        <v>0</v>
      </c>
      <c r="D70" s="3703">
        <f>'11. Амортиз. план'!BO192</f>
        <v>0</v>
      </c>
      <c r="E70" s="3703">
        <f>'11. Амортиз. план'!BP192</f>
        <v>0</v>
      </c>
      <c r="F70" s="3703">
        <f>'11. Амортиз. план'!BQ192</f>
        <v>0</v>
      </c>
      <c r="G70" s="3703">
        <f>'11. Амортиз. план'!BR192</f>
        <v>0</v>
      </c>
      <c r="I70" s="4299" t="s">
        <v>1601</v>
      </c>
      <c r="J70" s="3579">
        <f>'9.Инвестиционна програма'!BC51</f>
        <v>0</v>
      </c>
      <c r="K70" s="3579">
        <f>'9.Инвестиционна програма'!BD51</f>
        <v>0</v>
      </c>
      <c r="L70" s="3579">
        <f>'9.Инвестиционна програма'!BE51</f>
        <v>0</v>
      </c>
      <c r="M70" s="3579">
        <f>'9.Инвестиционна програма'!BF51</f>
        <v>0</v>
      </c>
      <c r="N70" s="3579">
        <f>'9.Инвестиционна програма'!BG51</f>
        <v>0</v>
      </c>
      <c r="O70" s="4329">
        <f t="shared" si="53"/>
        <v>0</v>
      </c>
      <c r="P70" s="4324">
        <f t="shared" si="51"/>
        <v>0</v>
      </c>
      <c r="Q70" s="4309"/>
      <c r="T70" s="11"/>
      <c r="U70" s="11"/>
      <c r="V70" s="11"/>
      <c r="W70" s="11"/>
      <c r="X70" s="11"/>
      <c r="Y70" s="11"/>
      <c r="Z70" s="11"/>
      <c r="AA70" s="11"/>
      <c r="AR70" s="4281"/>
    </row>
    <row r="71" spans="1:44" ht="12.75" customHeight="1">
      <c r="A71" s="4295" t="s">
        <v>218</v>
      </c>
      <c r="B71" s="4296">
        <f>'11. Амортиз. план'!BL214</f>
        <v>0</v>
      </c>
      <c r="C71" s="4296">
        <f>'11. Амортиз. план'!BN214</f>
        <v>0</v>
      </c>
      <c r="D71" s="4296">
        <f>'11. Амортиз. план'!BO214</f>
        <v>0</v>
      </c>
      <c r="E71" s="4296">
        <f>'11. Амортиз. план'!BP214</f>
        <v>0</v>
      </c>
      <c r="F71" s="4296">
        <f>'11. Амортиз. план'!BQ214</f>
        <v>0</v>
      </c>
      <c r="G71" s="4296">
        <f>'11. Амортиз. план'!BR214</f>
        <v>0</v>
      </c>
      <c r="I71" s="4295" t="s">
        <v>1610</v>
      </c>
      <c r="J71" s="4296">
        <f>SUM(J69:J70)</f>
        <v>15.338756435886555</v>
      </c>
      <c r="K71" s="4296">
        <f>SUM(K69:K70)</f>
        <v>15.338756435886555</v>
      </c>
      <c r="L71" s="4296">
        <f>SUM(L69:L70)</f>
        <v>15.338756435886555</v>
      </c>
      <c r="M71" s="4296">
        <f>SUM(M69:M70)</f>
        <v>15.338756435886555</v>
      </c>
      <c r="N71" s="4296">
        <f>SUM(N69:N70)</f>
        <v>15.338756435886555</v>
      </c>
      <c r="O71" s="4329">
        <f t="shared" si="53"/>
        <v>76.693782179432773</v>
      </c>
      <c r="P71" s="4326">
        <f t="shared" si="51"/>
        <v>2.9550827423167846E-2</v>
      </c>
      <c r="Q71" s="4309"/>
      <c r="T71" s="11"/>
      <c r="U71" s="11"/>
      <c r="V71" s="11"/>
      <c r="W71" s="11"/>
      <c r="X71" s="11"/>
      <c r="Y71" s="11"/>
      <c r="Z71" s="11"/>
      <c r="AA71" s="11"/>
    </row>
    <row r="72" spans="1:44" ht="15.75" customHeight="1">
      <c r="A72" s="4299" t="s">
        <v>220</v>
      </c>
      <c r="B72" s="3579">
        <f>'11. Амортиз. план'!BL236</f>
        <v>0</v>
      </c>
      <c r="C72" s="3579">
        <f>'11. Амортиз. план'!BN236</f>
        <v>0</v>
      </c>
      <c r="D72" s="3579">
        <f>'11. Амортиз. план'!BO236</f>
        <v>0</v>
      </c>
      <c r="E72" s="3579">
        <f>'11. Амортиз. план'!BP236</f>
        <v>0</v>
      </c>
      <c r="F72" s="3579">
        <f>'11. Амортиз. план'!BQ236</f>
        <v>0</v>
      </c>
      <c r="G72" s="3579">
        <f>'11. Амортиз. план'!BR236</f>
        <v>0</v>
      </c>
      <c r="I72" s="4295" t="s">
        <v>1603</v>
      </c>
      <c r="J72" s="4296">
        <f>SUM('9.Инвестиционна програма'!BC52:BC56,'9.Инвестиционна програма'!BC50)</f>
        <v>1.022583762392437</v>
      </c>
      <c r="K72" s="4296">
        <f>SUM('9.Инвестиционна програма'!BD52:BD56,'9.Инвестиционна програма'!BD50)</f>
        <v>1.022583762392437</v>
      </c>
      <c r="L72" s="4296">
        <f>SUM('9.Инвестиционна програма'!BE52:BE56,'9.Инвестиционна програма'!BE50)</f>
        <v>1.022583762392437</v>
      </c>
      <c r="M72" s="4296">
        <f>SUM('9.Инвестиционна програма'!BF52:BF56,'9.Инвестиционна програма'!BF50)</f>
        <v>1.022583762392437</v>
      </c>
      <c r="N72" s="4296">
        <f>SUM('9.Инвестиционна програма'!BG52:BG56,'9.Инвестиционна програма'!BG50)</f>
        <v>1.022583762392437</v>
      </c>
      <c r="O72" s="3703">
        <f t="shared" si="53"/>
        <v>5.1129188119621851</v>
      </c>
      <c r="P72" s="4326">
        <f t="shared" si="51"/>
        <v>1.9700551615445231E-3</v>
      </c>
      <c r="Q72" s="4309"/>
      <c r="T72" s="11"/>
      <c r="U72" s="11"/>
      <c r="V72" s="11"/>
      <c r="W72" s="11"/>
      <c r="X72" s="11"/>
      <c r="Y72" s="11"/>
      <c r="Z72" s="11"/>
      <c r="AA72" s="11"/>
    </row>
    <row r="73" spans="1:44" ht="15.75" customHeight="1">
      <c r="A73" s="4299" t="s">
        <v>222</v>
      </c>
      <c r="B73" s="3579">
        <f>'11. Амортиз. план'!BL258</f>
        <v>0</v>
      </c>
      <c r="C73" s="3579">
        <f>'11. Амортиз. план'!BN258</f>
        <v>0</v>
      </c>
      <c r="D73" s="3579">
        <f>'11. Амортиз. план'!BO258</f>
        <v>0</v>
      </c>
      <c r="E73" s="3579">
        <f>'11. Амортиз. план'!BP258</f>
        <v>0</v>
      </c>
      <c r="F73" s="3579">
        <f>'11. Амортиз. план'!BQ258</f>
        <v>0</v>
      </c>
      <c r="G73" s="3579">
        <f>'11. Амортиз. план'!BR258</f>
        <v>0</v>
      </c>
      <c r="I73" s="3575" t="s">
        <v>209</v>
      </c>
      <c r="J73" s="4303">
        <f>J71+J72</f>
        <v>16.361340198278992</v>
      </c>
      <c r="K73" s="4303">
        <f t="shared" ref="K73:N73" si="61">K71+K72</f>
        <v>16.361340198278992</v>
      </c>
      <c r="L73" s="4303">
        <f t="shared" si="61"/>
        <v>16.361340198278992</v>
      </c>
      <c r="M73" s="4303">
        <f t="shared" si="61"/>
        <v>16.361340198278992</v>
      </c>
      <c r="N73" s="4303">
        <f t="shared" si="61"/>
        <v>16.361340198278992</v>
      </c>
      <c r="O73" s="4303">
        <f t="shared" ref="O73:O88" si="62">SUM(J73:N73)</f>
        <v>81.806700991394962</v>
      </c>
      <c r="P73" s="4304">
        <f t="shared" si="51"/>
        <v>3.1520882584712369E-2</v>
      </c>
      <c r="Q73" s="4309"/>
      <c r="T73" s="11"/>
      <c r="U73" s="11"/>
      <c r="V73" s="11"/>
      <c r="W73" s="11"/>
      <c r="X73" s="11"/>
      <c r="Y73" s="11"/>
      <c r="Z73" s="11"/>
      <c r="AA73" s="11"/>
    </row>
    <row r="74" spans="1:44" ht="20.25" customHeight="1">
      <c r="B74" s="11"/>
      <c r="C74" s="11"/>
      <c r="D74" s="11"/>
      <c r="E74" s="11"/>
      <c r="F74" s="11"/>
      <c r="G74" s="11"/>
      <c r="I74" s="4330" t="s">
        <v>1611</v>
      </c>
      <c r="J74" s="4303">
        <f>'9.Инвестиционна програма'!BC57</f>
        <v>66.46794455550841</v>
      </c>
      <c r="K74" s="4303">
        <f>'9.Инвестиционна програма'!BD57</f>
        <v>66.46794455550841</v>
      </c>
      <c r="L74" s="4303">
        <f>'9.Инвестиционна програма'!BE57</f>
        <v>66.46794455550841</v>
      </c>
      <c r="M74" s="4303">
        <f>'9.Инвестиционна програма'!BF57</f>
        <v>66.46794455550841</v>
      </c>
      <c r="N74" s="4303">
        <f>'9.Инвестиционна програма'!BG57</f>
        <v>66.46794455550841</v>
      </c>
      <c r="O74" s="4303">
        <f t="shared" si="62"/>
        <v>332.33972277754208</v>
      </c>
      <c r="P74" s="4304">
        <f t="shared" si="51"/>
        <v>0.12805358550039403</v>
      </c>
      <c r="Q74" s="4309"/>
      <c r="T74" s="11"/>
      <c r="U74" s="11"/>
      <c r="V74" s="11"/>
      <c r="W74" s="11"/>
      <c r="X74" s="11"/>
      <c r="Y74" s="11"/>
      <c r="Z74" s="11"/>
      <c r="AA74" s="11"/>
    </row>
    <row r="75" spans="1:44" ht="17.25" customHeight="1">
      <c r="B75" s="11"/>
      <c r="C75" s="11"/>
      <c r="D75" s="11"/>
      <c r="E75" s="11"/>
      <c r="F75" s="11"/>
      <c r="G75" s="11"/>
      <c r="I75" s="4299" t="s">
        <v>659</v>
      </c>
      <c r="J75" s="3579">
        <f>'9.Инвестиционна програма'!BC70</f>
        <v>0</v>
      </c>
      <c r="K75" s="3579">
        <f>'9.Инвестиционна програма'!BD70</f>
        <v>0</v>
      </c>
      <c r="L75" s="3579">
        <f>'9.Инвестиционна програма'!BE70</f>
        <v>0</v>
      </c>
      <c r="M75" s="3579">
        <f>'9.Инвестиционна програма'!BF70</f>
        <v>0</v>
      </c>
      <c r="N75" s="3579">
        <f>'9.Инвестиционна програма'!BG70</f>
        <v>0</v>
      </c>
      <c r="O75" s="3703">
        <f t="shared" ref="O75:O81" si="63">SUM(J75:N75)</f>
        <v>0</v>
      </c>
      <c r="P75" s="4324">
        <f t="shared" si="51"/>
        <v>0</v>
      </c>
      <c r="Q75" s="4309"/>
      <c r="S75" s="2" t="s">
        <v>1665</v>
      </c>
      <c r="T75" s="11"/>
      <c r="U75" s="11"/>
      <c r="V75" s="11"/>
      <c r="W75" s="11"/>
      <c r="X75" s="11"/>
      <c r="Y75" s="11"/>
      <c r="Z75" s="11"/>
      <c r="AA75" s="11"/>
    </row>
    <row r="76" spans="1:44" ht="27.75" customHeight="1">
      <c r="B76" s="11"/>
      <c r="C76" s="11"/>
      <c r="D76" s="11"/>
      <c r="E76" s="11"/>
      <c r="F76" s="11"/>
      <c r="G76" s="11"/>
      <c r="I76" s="4299" t="s">
        <v>985</v>
      </c>
      <c r="J76" s="3579">
        <f>'9.Инвестиционна програма'!BC69</f>
        <v>0</v>
      </c>
      <c r="K76" s="3579">
        <f>'9.Инвестиционна програма'!BD69</f>
        <v>0</v>
      </c>
      <c r="L76" s="3579">
        <f>'9.Инвестиционна програма'!BE69</f>
        <v>0</v>
      </c>
      <c r="M76" s="3579">
        <f>'9.Инвестиционна програма'!BF69</f>
        <v>0</v>
      </c>
      <c r="N76" s="3579">
        <f>'9.Инвестиционна програма'!BG69</f>
        <v>0</v>
      </c>
      <c r="O76" s="3703">
        <f t="shared" si="63"/>
        <v>0</v>
      </c>
      <c r="P76" s="4324">
        <f t="shared" si="51"/>
        <v>0</v>
      </c>
      <c r="Q76" s="4309"/>
      <c r="S76" s="5636" t="s">
        <v>1919</v>
      </c>
      <c r="T76" s="5636" t="s">
        <v>1029</v>
      </c>
      <c r="U76" s="5636"/>
      <c r="V76" s="5636"/>
      <c r="W76" s="5636"/>
      <c r="X76" s="5636"/>
      <c r="Y76" s="5636"/>
      <c r="Z76" s="5603" t="str">
        <f>+"Изменение "&amp;U77&amp;" спр. "&amp;T77</f>
        <v>Изменение 2027 г. спр. 2024 г.</v>
      </c>
      <c r="AA76" s="5603" t="str">
        <f>+"Изменение "&amp;Y77&amp;" спр. "&amp;T77</f>
        <v>Изменение 2031 г. спр. 2024 г.</v>
      </c>
    </row>
    <row r="77" spans="1:44" ht="15.75" customHeight="1">
      <c r="B77" s="11"/>
      <c r="C77" s="11"/>
      <c r="D77" s="11"/>
      <c r="E77" s="11"/>
      <c r="F77" s="11"/>
      <c r="G77" s="11"/>
      <c r="I77" s="4299" t="s">
        <v>1612</v>
      </c>
      <c r="J77" s="3579">
        <f>SUM('9.Инвестиционна програма'!BC68,'9.Инвестиционна програма'!BC71)</f>
        <v>10.737129505120588</v>
      </c>
      <c r="K77" s="3579">
        <f>SUM('9.Инвестиционна програма'!BD68,'9.Инвестиционна програма'!BD71)</f>
        <v>7.6693782179432777</v>
      </c>
      <c r="L77" s="3579">
        <f>SUM('9.Инвестиционна програма'!BE68,'9.Инвестиционна програма'!BE71)</f>
        <v>17.383923960671428</v>
      </c>
      <c r="M77" s="3579">
        <f>SUM('9.Инвестиционна програма'!BF68,'9.Инвестиционна програма'!BF71)</f>
        <v>14.316172673494117</v>
      </c>
      <c r="N77" s="3579">
        <f>SUM('9.Инвестиционна програма'!BG68,'9.Инвестиционна програма'!BG71)</f>
        <v>7.6693782179432777</v>
      </c>
      <c r="O77" s="3703">
        <f t="shared" si="63"/>
        <v>57.775982575172684</v>
      </c>
      <c r="P77" s="4324">
        <f t="shared" si="51"/>
        <v>2.226162332545311E-2</v>
      </c>
      <c r="Q77" s="4309"/>
      <c r="S77" s="5636"/>
      <c r="T77" s="4279" t="str">
        <f t="shared" ref="T77:Y77" si="64">T46</f>
        <v>2024 г.</v>
      </c>
      <c r="U77" s="4279" t="str">
        <f t="shared" si="64"/>
        <v>2027 г.</v>
      </c>
      <c r="V77" s="4279" t="str">
        <f t="shared" si="64"/>
        <v>2028 г.</v>
      </c>
      <c r="W77" s="4279" t="str">
        <f t="shared" si="64"/>
        <v>2029 г.</v>
      </c>
      <c r="X77" s="4279" t="str">
        <f t="shared" si="64"/>
        <v>2030 г.</v>
      </c>
      <c r="Y77" s="4279" t="str">
        <f t="shared" si="64"/>
        <v>2031 г.</v>
      </c>
      <c r="Z77" s="5603"/>
      <c r="AA77" s="5603"/>
    </row>
    <row r="78" spans="1:44" ht="15.75" customHeight="1">
      <c r="B78" s="11"/>
      <c r="C78" s="11"/>
      <c r="D78" s="11"/>
      <c r="E78" s="11"/>
      <c r="F78" s="11"/>
      <c r="G78" s="11"/>
      <c r="I78" s="4299" t="s">
        <v>1613</v>
      </c>
      <c r="J78" s="3579">
        <f>SUM('9.Инвестиционна програма'!BC61:BC67)</f>
        <v>3.0677512871773107</v>
      </c>
      <c r="K78" s="3579">
        <f>SUM('9.Инвестиционна програма'!BD61:BD67)</f>
        <v>3.0677512871773107</v>
      </c>
      <c r="L78" s="3579">
        <f>SUM('9.Инвестиционна програма'!BE61:BE67)</f>
        <v>3.0677512871773107</v>
      </c>
      <c r="M78" s="3579">
        <f>SUM('9.Инвестиционна програма'!BF61:BF67)</f>
        <v>3.0677512871773107</v>
      </c>
      <c r="N78" s="3579">
        <f>SUM('9.Инвестиционна програма'!BG61:BG67)</f>
        <v>3.0677512871773107</v>
      </c>
      <c r="O78" s="3703">
        <f t="shared" si="63"/>
        <v>15.338756435886554</v>
      </c>
      <c r="P78" s="4324">
        <f t="shared" si="51"/>
        <v>5.9101654846335687E-3</v>
      </c>
      <c r="Q78" s="4309"/>
      <c r="S78" s="4294" t="s">
        <v>226</v>
      </c>
      <c r="T78" s="3579">
        <f>'12. Разходи'!CE11</f>
        <v>0</v>
      </c>
      <c r="U78" s="3579">
        <f>'12. Разходи'!CF11</f>
        <v>0</v>
      </c>
      <c r="V78" s="3579">
        <f>'12. Разходи'!CG11</f>
        <v>0</v>
      </c>
      <c r="W78" s="3579">
        <f>'12. Разходи'!CH11</f>
        <v>0</v>
      </c>
      <c r="X78" s="3579">
        <f>'12. Разходи'!CI11</f>
        <v>0</v>
      </c>
      <c r="Y78" s="3579">
        <f>'12. Разходи'!CJ11</f>
        <v>0</v>
      </c>
      <c r="Z78" s="4292">
        <f>IFERROR((U78-T78)/T78,0)</f>
        <v>0</v>
      </c>
      <c r="AA78" s="4292">
        <f>IFERROR((Y78-T78)/T78,0)</f>
        <v>0</v>
      </c>
    </row>
    <row r="79" spans="1:44" ht="15.75" customHeight="1">
      <c r="B79" s="11"/>
      <c r="C79" s="11"/>
      <c r="D79" s="11"/>
      <c r="E79" s="11"/>
      <c r="F79" s="11"/>
      <c r="G79" s="11"/>
      <c r="I79" s="4330" t="s">
        <v>1614</v>
      </c>
      <c r="J79" s="4303">
        <f>J75+J76+J77+J78</f>
        <v>13.804880792297899</v>
      </c>
      <c r="K79" s="4303">
        <f t="shared" ref="K79:N79" si="65">K75+K76+K77+K78</f>
        <v>10.737129505120588</v>
      </c>
      <c r="L79" s="4303">
        <f t="shared" si="65"/>
        <v>20.45167524784874</v>
      </c>
      <c r="M79" s="4303">
        <f t="shared" si="65"/>
        <v>17.383923960671428</v>
      </c>
      <c r="N79" s="4303">
        <f t="shared" si="65"/>
        <v>10.737129505120588</v>
      </c>
      <c r="O79" s="4303">
        <f t="shared" si="63"/>
        <v>73.114739011059243</v>
      </c>
      <c r="P79" s="4304">
        <f t="shared" si="51"/>
        <v>2.8171788810086678E-2</v>
      </c>
      <c r="Q79" s="4309"/>
      <c r="S79" s="4294" t="s">
        <v>239</v>
      </c>
      <c r="T79" s="3579">
        <f>'12. Разходи'!CE29</f>
        <v>0</v>
      </c>
      <c r="U79" s="3579">
        <f>'12. Разходи'!CF29</f>
        <v>0</v>
      </c>
      <c r="V79" s="3579">
        <f>'12. Разходи'!CG29</f>
        <v>0</v>
      </c>
      <c r="W79" s="3579">
        <f>'12. Разходи'!CH29</f>
        <v>0</v>
      </c>
      <c r="X79" s="3579">
        <f>'12. Разходи'!CI29</f>
        <v>0</v>
      </c>
      <c r="Y79" s="3579">
        <f>'12. Разходи'!CJ29</f>
        <v>0</v>
      </c>
      <c r="Z79" s="4292">
        <f t="shared" ref="Z79:Z94" si="66">IFERROR((U79-T79)/T79,0)</f>
        <v>0</v>
      </c>
      <c r="AA79" s="4292">
        <f t="shared" ref="AA79:AA94" si="67">IFERROR((Y79-T79)/T79,0)</f>
        <v>0</v>
      </c>
    </row>
    <row r="80" spans="1:44" ht="15.75" customHeight="1">
      <c r="A80" s="2" t="s">
        <v>1664</v>
      </c>
      <c r="B80" s="11"/>
      <c r="C80" s="11"/>
      <c r="D80" s="11"/>
      <c r="E80" s="11"/>
      <c r="F80" s="11"/>
      <c r="G80" s="3446" t="s">
        <v>1909</v>
      </c>
      <c r="I80" s="4331" t="s">
        <v>1639</v>
      </c>
      <c r="J80" s="3540">
        <f>SUM('9.Инвестиционна програма'!BC74:BC91)</f>
        <v>0</v>
      </c>
      <c r="K80" s="3540">
        <f>SUM('9.Инвестиционна програма'!BD74:BD91)</f>
        <v>0</v>
      </c>
      <c r="L80" s="3540">
        <f>SUM('9.Инвестиционна програма'!BE74:BE91)</f>
        <v>0</v>
      </c>
      <c r="M80" s="3540">
        <f>SUM('9.Инвестиционна програма'!BF74:BF91)</f>
        <v>0</v>
      </c>
      <c r="N80" s="3540">
        <f>SUM('9.Инвестиционна програма'!BG74:BG91)</f>
        <v>0</v>
      </c>
      <c r="O80" s="3544">
        <f t="shared" si="63"/>
        <v>0</v>
      </c>
      <c r="P80" s="4332">
        <f t="shared" si="51"/>
        <v>0</v>
      </c>
      <c r="Q80" s="4309"/>
      <c r="S80" s="4294" t="s">
        <v>446</v>
      </c>
      <c r="T80" s="3579">
        <f>'12. Разходи'!CE55</f>
        <v>0</v>
      </c>
      <c r="U80" s="3579">
        <f>'12. Разходи'!CF55</f>
        <v>0</v>
      </c>
      <c r="V80" s="3579">
        <f>'12. Разходи'!CG55</f>
        <v>0</v>
      </c>
      <c r="W80" s="3579">
        <f>'12. Разходи'!CH55</f>
        <v>0</v>
      </c>
      <c r="X80" s="3579">
        <f>'12. Разходи'!CI55</f>
        <v>0</v>
      </c>
      <c r="Y80" s="3579">
        <f>'12. Разходи'!CJ55</f>
        <v>0</v>
      </c>
      <c r="Z80" s="4292">
        <f t="shared" si="66"/>
        <v>0</v>
      </c>
      <c r="AA80" s="4292">
        <f t="shared" si="67"/>
        <v>0</v>
      </c>
    </row>
    <row r="81" spans="1:27" ht="17.25" customHeight="1">
      <c r="A81" s="5632" t="s">
        <v>87</v>
      </c>
      <c r="B81" s="5636" t="s">
        <v>1092</v>
      </c>
      <c r="C81" s="5636"/>
      <c r="D81" s="5636"/>
      <c r="E81" s="5636"/>
      <c r="F81" s="5636"/>
      <c r="G81" s="5636"/>
      <c r="I81" s="4331" t="s">
        <v>1638</v>
      </c>
      <c r="J81" s="3540">
        <f>SUM('9.Инвестиционна програма'!BC92:BC97)</f>
        <v>0</v>
      </c>
      <c r="K81" s="3540">
        <f>SUM('9.Инвестиционна програма'!BD92:BD97)</f>
        <v>0</v>
      </c>
      <c r="L81" s="3540">
        <f>SUM('9.Инвестиционна програма'!BE92:BE97)</f>
        <v>0</v>
      </c>
      <c r="M81" s="3540">
        <f>SUM('9.Инвестиционна програма'!BF92:BF97)</f>
        <v>0</v>
      </c>
      <c r="N81" s="3540">
        <f>SUM('9.Инвестиционна програма'!BG92:BG97)</f>
        <v>0</v>
      </c>
      <c r="O81" s="3544">
        <f t="shared" si="63"/>
        <v>0</v>
      </c>
      <c r="P81" s="4332">
        <f t="shared" si="51"/>
        <v>0</v>
      </c>
      <c r="Q81" s="4309"/>
      <c r="S81" s="4300" t="s">
        <v>447</v>
      </c>
      <c r="T81" s="4296">
        <f>'12. Разходи'!CE56</f>
        <v>0</v>
      </c>
      <c r="U81" s="4296">
        <f>'12. Разходи'!CF56</f>
        <v>0</v>
      </c>
      <c r="V81" s="4296">
        <f>'12. Разходи'!CG56</f>
        <v>0</v>
      </c>
      <c r="W81" s="4296">
        <f>'12. Разходи'!CH56</f>
        <v>0</v>
      </c>
      <c r="X81" s="4296">
        <f>'12. Разходи'!CI56</f>
        <v>0</v>
      </c>
      <c r="Y81" s="4296">
        <f>'12. Разходи'!CJ56</f>
        <v>0</v>
      </c>
      <c r="Z81" s="4292">
        <f t="shared" si="66"/>
        <v>0</v>
      </c>
      <c r="AA81" s="4292">
        <f t="shared" si="67"/>
        <v>0</v>
      </c>
    </row>
    <row r="82" spans="1:27" ht="15.75" customHeight="1">
      <c r="A82" s="5632"/>
      <c r="B82" s="4333" t="str">
        <f>B22</f>
        <v>2024 г.</v>
      </c>
      <c r="C82" s="4333" t="str">
        <f>C58</f>
        <v>2027 г.</v>
      </c>
      <c r="D82" s="4333" t="str">
        <f>D22</f>
        <v>2028 г.</v>
      </c>
      <c r="E82" s="4333" t="str">
        <f>E22</f>
        <v>2029 г.</v>
      </c>
      <c r="F82" s="4333" t="str">
        <f>F22</f>
        <v>2030 г.</v>
      </c>
      <c r="G82" s="4333" t="str">
        <f>G22</f>
        <v>2031 г.</v>
      </c>
      <c r="I82" s="3575" t="s">
        <v>1029</v>
      </c>
      <c r="J82" s="4334">
        <f>J80+J81</f>
        <v>0</v>
      </c>
      <c r="K82" s="4334">
        <f>K80+K81</f>
        <v>0</v>
      </c>
      <c r="L82" s="4334">
        <f>L80+L81</f>
        <v>0</v>
      </c>
      <c r="M82" s="4334">
        <f>M80+M81</f>
        <v>0</v>
      </c>
      <c r="N82" s="4334">
        <f>N80+N81</f>
        <v>0</v>
      </c>
      <c r="O82" s="4303">
        <f t="shared" si="62"/>
        <v>0</v>
      </c>
      <c r="P82" s="4304">
        <f t="shared" si="51"/>
        <v>0</v>
      </c>
      <c r="Q82" s="4309"/>
      <c r="S82" s="4300" t="s">
        <v>736</v>
      </c>
      <c r="T82" s="4296">
        <f>'12. Разходи'!CE57</f>
        <v>0</v>
      </c>
      <c r="U82" s="4296">
        <f>'12. Разходи'!CF57</f>
        <v>0</v>
      </c>
      <c r="V82" s="4296">
        <f>'12. Разходи'!CG57</f>
        <v>0</v>
      </c>
      <c r="W82" s="4296">
        <f>'12. Разходи'!CH57</f>
        <v>0</v>
      </c>
      <c r="X82" s="4296">
        <f>'12. Разходи'!CI57</f>
        <v>0</v>
      </c>
      <c r="Y82" s="4296">
        <f>'12. Разходи'!CJ57</f>
        <v>0</v>
      </c>
      <c r="Z82" s="4292">
        <f t="shared" si="66"/>
        <v>0</v>
      </c>
      <c r="AA82" s="4292">
        <f t="shared" si="67"/>
        <v>0</v>
      </c>
    </row>
    <row r="83" spans="1:27" ht="15.75" customHeight="1">
      <c r="A83" s="5631" t="s">
        <v>1656</v>
      </c>
      <c r="B83" s="5631"/>
      <c r="C83" s="5631"/>
      <c r="D83" s="5631"/>
      <c r="E83" s="5631"/>
      <c r="F83" s="5631"/>
      <c r="G83" s="5631"/>
      <c r="I83" s="4331" t="s">
        <v>1640</v>
      </c>
      <c r="J83" s="3540">
        <f>SUM('9.Инвестиционна програма'!BC100:BC117)</f>
        <v>148.27464554690337</v>
      </c>
      <c r="K83" s="3540">
        <f>SUM('9.Инвестиционна програма'!BD100:BD117)</f>
        <v>69.024403961489497</v>
      </c>
      <c r="L83" s="3540">
        <f>SUM('9.Инвестиционна програма'!BE100:BE117)</f>
        <v>66.46794455550841</v>
      </c>
      <c r="M83" s="3540">
        <f>SUM('9.Инвестиционна програма'!BF100:BF117)</f>
        <v>79.250241585413875</v>
      </c>
      <c r="N83" s="3540">
        <f>SUM('9.Инвестиционна програма'!BG100:BG117)</f>
        <v>79.250241585413875</v>
      </c>
      <c r="O83" s="3544">
        <f t="shared" ref="O83:O85" si="68">SUM(J83:N83)</f>
        <v>442.26747723472897</v>
      </c>
      <c r="P83" s="4332">
        <f t="shared" si="51"/>
        <v>0.17040977147360123</v>
      </c>
      <c r="Q83" s="4309"/>
      <c r="S83" s="4300" t="s">
        <v>737</v>
      </c>
      <c r="T83" s="4296">
        <f>'12. Разходи'!CE58</f>
        <v>0</v>
      </c>
      <c r="U83" s="4296">
        <f>'12. Разходи'!CF58</f>
        <v>0</v>
      </c>
      <c r="V83" s="4296">
        <f>'12. Разходи'!CG58</f>
        <v>0</v>
      </c>
      <c r="W83" s="4296">
        <f>'12. Разходи'!CH58</f>
        <v>0</v>
      </c>
      <c r="X83" s="4296">
        <f>'12. Разходи'!CI58</f>
        <v>0</v>
      </c>
      <c r="Y83" s="4296">
        <f>'12. Разходи'!CJ58</f>
        <v>0</v>
      </c>
      <c r="Z83" s="4292">
        <f t="shared" si="66"/>
        <v>0</v>
      </c>
      <c r="AA83" s="4292">
        <f t="shared" si="67"/>
        <v>0</v>
      </c>
    </row>
    <row r="84" spans="1:27" ht="15.75" customHeight="1">
      <c r="A84" s="4293" t="s">
        <v>334</v>
      </c>
      <c r="B84" s="3703">
        <f>'11. Амортиз. план'!BS10</f>
        <v>335.88370688184483</v>
      </c>
      <c r="C84" s="3703">
        <f>'11. Амортиз. план'!BU10</f>
        <v>344.06437698098432</v>
      </c>
      <c r="D84" s="3703">
        <f>'11. Амортиз. план'!BV10</f>
        <v>347.13212826816164</v>
      </c>
      <c r="E84" s="3703">
        <f>'11. Амортиз. план'!BW10</f>
        <v>350.19987955533895</v>
      </c>
      <c r="F84" s="3703">
        <f>'11. Амортиз. план'!BX10</f>
        <v>353.26763084251627</v>
      </c>
      <c r="G84" s="3703">
        <f>'11. Амортиз. план'!BY10</f>
        <v>356.33538212969358</v>
      </c>
      <c r="I84" s="4331" t="s">
        <v>1641</v>
      </c>
      <c r="J84" s="3540">
        <f>SUM('9.Инвестиционна програма'!BC118:BC123)</f>
        <v>3.0677512871773107</v>
      </c>
      <c r="K84" s="3540">
        <f>SUM('9.Инвестиционна програма'!BD118:BD123)</f>
        <v>3.0677512871773107</v>
      </c>
      <c r="L84" s="3540">
        <f>SUM('9.Инвестиционна програма'!BE118:BE123)</f>
        <v>3.0677512871773107</v>
      </c>
      <c r="M84" s="3540">
        <f>SUM('9.Инвестиционна програма'!BF118:BF123)</f>
        <v>3.0677512871773107</v>
      </c>
      <c r="N84" s="3540">
        <f>SUM('9.Инвестиционна програма'!BG118:BG123)</f>
        <v>3.0677512871773107</v>
      </c>
      <c r="O84" s="3544">
        <f t="shared" si="68"/>
        <v>15.338756435886554</v>
      </c>
      <c r="P84" s="4332">
        <f t="shared" si="51"/>
        <v>5.9101654846335687E-3</v>
      </c>
      <c r="Q84" s="4309"/>
      <c r="S84" s="4294" t="s">
        <v>448</v>
      </c>
      <c r="T84" s="3579">
        <f>'12. Разходи'!CE59</f>
        <v>0</v>
      </c>
      <c r="U84" s="3579">
        <f>'12. Разходи'!CF59</f>
        <v>0</v>
      </c>
      <c r="V84" s="3579">
        <f>'12. Разходи'!CG59</f>
        <v>0</v>
      </c>
      <c r="W84" s="3579">
        <f>'12. Разходи'!CH59</f>
        <v>0</v>
      </c>
      <c r="X84" s="3579">
        <f>'12. Разходи'!CI59</f>
        <v>0</v>
      </c>
      <c r="Y84" s="3579">
        <f>'12. Разходи'!CJ59</f>
        <v>0</v>
      </c>
      <c r="Z84" s="4292">
        <f t="shared" si="66"/>
        <v>0</v>
      </c>
      <c r="AA84" s="4292">
        <f t="shared" si="67"/>
        <v>0</v>
      </c>
    </row>
    <row r="85" spans="1:27" ht="15.75" customHeight="1">
      <c r="A85" s="4295" t="s">
        <v>218</v>
      </c>
      <c r="B85" s="4296">
        <f>'11. Амортиз. план'!BS35</f>
        <v>6.3040895655802949</v>
      </c>
      <c r="C85" s="4296">
        <f>'11. Амортиз. план'!BU35</f>
        <v>11.695320079246601</v>
      </c>
      <c r="D85" s="4296">
        <f>'11. Амортиз. план'!BV35</f>
        <v>12.002095207964331</v>
      </c>
      <c r="E85" s="4296">
        <f>'11. Амортиз. план'!BW35</f>
        <v>12.308870336682064</v>
      </c>
      <c r="F85" s="4296">
        <f>'11. Амортиз. план'!BX35</f>
        <v>12.61564546539979</v>
      </c>
      <c r="G85" s="4296">
        <f>'11. Амортиз. план'!BY35</f>
        <v>12.922420594117529</v>
      </c>
      <c r="I85" s="3575" t="s">
        <v>1092</v>
      </c>
      <c r="J85" s="4303">
        <f>J83+J84</f>
        <v>151.34239683408069</v>
      </c>
      <c r="K85" s="4303">
        <f>K83+K84</f>
        <v>72.092155248666813</v>
      </c>
      <c r="L85" s="4303">
        <f>L83+L84</f>
        <v>69.535695842685726</v>
      </c>
      <c r="M85" s="4303">
        <f>M83+M84</f>
        <v>82.317992872591191</v>
      </c>
      <c r="N85" s="4303">
        <f>N83+N84</f>
        <v>82.317992872591191</v>
      </c>
      <c r="O85" s="4303">
        <f t="shared" si="68"/>
        <v>457.60623367061555</v>
      </c>
      <c r="P85" s="4304">
        <f t="shared" si="51"/>
        <v>0.17631993695823481</v>
      </c>
      <c r="Q85" s="4309"/>
      <c r="S85" s="4294" t="s">
        <v>449</v>
      </c>
      <c r="T85" s="3579">
        <f>'12. Разходи'!CE63</f>
        <v>0</v>
      </c>
      <c r="U85" s="3579">
        <f>'12. Разходи'!CF63</f>
        <v>0</v>
      </c>
      <c r="V85" s="3579">
        <f>'12. Разходи'!CG63</f>
        <v>0</v>
      </c>
      <c r="W85" s="3579">
        <f>'12. Разходи'!CH63</f>
        <v>0</v>
      </c>
      <c r="X85" s="3579">
        <f>'12. Разходи'!CI63</f>
        <v>0</v>
      </c>
      <c r="Y85" s="3579">
        <f>'12. Разходи'!CJ63</f>
        <v>0</v>
      </c>
      <c r="Z85" s="4292">
        <f t="shared" si="66"/>
        <v>0</v>
      </c>
      <c r="AA85" s="4292">
        <f t="shared" si="67"/>
        <v>0</v>
      </c>
    </row>
    <row r="86" spans="1:27" ht="15.75" customHeight="1">
      <c r="A86" s="4299" t="s">
        <v>220</v>
      </c>
      <c r="B86" s="3579">
        <f>'11. Амортиз. план'!BS60</f>
        <v>235.9915916519918</v>
      </c>
      <c r="C86" s="3579">
        <f>'11. Амортиз. план'!BU60</f>
        <v>258.98342414315192</v>
      </c>
      <c r="D86" s="3579">
        <f>'11. Амортиз. план'!BV60</f>
        <v>270.9855193511163</v>
      </c>
      <c r="E86" s="3579">
        <f>'11. Амортиз. план'!BW60</f>
        <v>283.29438968779846</v>
      </c>
      <c r="F86" s="3579">
        <f>'11. Амортиз. план'!BX60</f>
        <v>295.91003515319824</v>
      </c>
      <c r="G86" s="3579">
        <f>'11. Амортиз. план'!BY60</f>
        <v>308.83245574731586</v>
      </c>
      <c r="I86" s="4293" t="s">
        <v>1615</v>
      </c>
      <c r="J86" s="3703">
        <f>J57+J66+J71+J74+J75+J76+J80+J83</f>
        <v>545.03714535516895</v>
      </c>
      <c r="K86" s="3703">
        <f t="shared" ref="K86:O86" si="69">K57+K66+K71+K74+K75+K76+K80+K83</f>
        <v>468.34336317573616</v>
      </c>
      <c r="L86" s="3703">
        <f t="shared" si="69"/>
        <v>481.63695208683794</v>
      </c>
      <c r="M86" s="3703">
        <f t="shared" si="69"/>
        <v>500.04345980990172</v>
      </c>
      <c r="N86" s="3703">
        <f t="shared" si="69"/>
        <v>493.90795723554709</v>
      </c>
      <c r="O86" s="3703">
        <f t="shared" si="69"/>
        <v>2488.968877663192</v>
      </c>
      <c r="P86" s="4292">
        <f t="shared" si="51"/>
        <v>0.95902285263987397</v>
      </c>
      <c r="Q86" s="4309"/>
      <c r="S86" s="4294" t="s">
        <v>450</v>
      </c>
      <c r="T86" s="3579">
        <f>'12. Разходи'!CE70</f>
        <v>0</v>
      </c>
      <c r="U86" s="3579">
        <f>'12. Разходи'!CF70</f>
        <v>0</v>
      </c>
      <c r="V86" s="3579">
        <f>'12. Разходи'!CG70</f>
        <v>0</v>
      </c>
      <c r="W86" s="3579">
        <f>'12. Разходи'!CH70</f>
        <v>0</v>
      </c>
      <c r="X86" s="3579">
        <f>'12. Разходи'!CI70</f>
        <v>0</v>
      </c>
      <c r="Y86" s="3579">
        <f>'12. Разходи'!CJ70</f>
        <v>0</v>
      </c>
      <c r="Z86" s="4292">
        <f t="shared" si="66"/>
        <v>0</v>
      </c>
      <c r="AA86" s="4292">
        <f t="shared" si="67"/>
        <v>0</v>
      </c>
    </row>
    <row r="87" spans="1:27" ht="15.75" customHeight="1">
      <c r="A87" s="4299" t="s">
        <v>222</v>
      </c>
      <c r="B87" s="3579">
        <f>'11. Амортиз. план'!BS85</f>
        <v>99.892115229852863</v>
      </c>
      <c r="C87" s="3579">
        <f>'11. Амортиз. план'!BU85</f>
        <v>85.080952837832186</v>
      </c>
      <c r="D87" s="3579">
        <f>'11. Амортиз. план'!BV85</f>
        <v>76.146608917045143</v>
      </c>
      <c r="E87" s="3579">
        <f>'11. Амортиз. план'!BW85</f>
        <v>66.90548986754041</v>
      </c>
      <c r="F87" s="3579">
        <f>'11. Амортиз. план'!BX85</f>
        <v>57.357595689317932</v>
      </c>
      <c r="G87" s="3579">
        <f>'11. Амортиз. план'!BY85</f>
        <v>47.50292638237773</v>
      </c>
      <c r="I87" s="4293" t="s">
        <v>1616</v>
      </c>
      <c r="J87" s="3703">
        <f>J58+J67+J72+J77+J78+J81+J84</f>
        <v>20.45167524784874</v>
      </c>
      <c r="K87" s="3703">
        <f t="shared" ref="K87:O87" si="70">K58+K67+K72+K77+K78+K81+K84</f>
        <v>17.383923960671428</v>
      </c>
      <c r="L87" s="3703">
        <f t="shared" si="70"/>
        <v>27.09846970339958</v>
      </c>
      <c r="M87" s="3703">
        <f t="shared" si="70"/>
        <v>24.030718416222264</v>
      </c>
      <c r="N87" s="3703">
        <f t="shared" si="70"/>
        <v>17.383923960671428</v>
      </c>
      <c r="O87" s="3703">
        <f t="shared" si="70"/>
        <v>106.34871128881343</v>
      </c>
      <c r="P87" s="4292">
        <f t="shared" si="51"/>
        <v>4.0977147360126073E-2</v>
      </c>
      <c r="Q87" s="4309"/>
      <c r="S87" s="4294" t="s">
        <v>267</v>
      </c>
      <c r="T87" s="3579">
        <f>'12. Разходи'!CE76</f>
        <v>0</v>
      </c>
      <c r="U87" s="3579">
        <f>'12. Разходи'!CF76</f>
        <v>0</v>
      </c>
      <c r="V87" s="3579">
        <f>'12. Разходи'!CG76</f>
        <v>0</v>
      </c>
      <c r="W87" s="3579">
        <f>'12. Разходи'!CH76</f>
        <v>0</v>
      </c>
      <c r="X87" s="3579">
        <f>'12. Разходи'!CI76</f>
        <v>0</v>
      </c>
      <c r="Y87" s="3579">
        <f>'12. Разходи'!CJ76</f>
        <v>0</v>
      </c>
      <c r="Z87" s="4292">
        <f t="shared" si="66"/>
        <v>0</v>
      </c>
      <c r="AA87" s="4292">
        <f t="shared" si="67"/>
        <v>0</v>
      </c>
    </row>
    <row r="88" spans="1:27" ht="18" customHeight="1">
      <c r="A88" s="5631" t="s">
        <v>1657</v>
      </c>
      <c r="B88" s="5631"/>
      <c r="C88" s="5631"/>
      <c r="D88" s="5631"/>
      <c r="E88" s="5631"/>
      <c r="F88" s="5631"/>
      <c r="G88" s="5631"/>
      <c r="I88" s="4335" t="s">
        <v>1617</v>
      </c>
      <c r="J88" s="4336">
        <f>J86+J87</f>
        <v>565.48882060301764</v>
      </c>
      <c r="K88" s="4336">
        <f>K86+K87</f>
        <v>485.7272871364076</v>
      </c>
      <c r="L88" s="4336">
        <f>L86+L87</f>
        <v>508.73542179023752</v>
      </c>
      <c r="M88" s="4336">
        <f>M86+M87</f>
        <v>524.07417822612399</v>
      </c>
      <c r="N88" s="4336">
        <f>N86+N87</f>
        <v>511.29188119621853</v>
      </c>
      <c r="O88" s="4336">
        <f t="shared" si="62"/>
        <v>2595.3175889520053</v>
      </c>
      <c r="P88" s="4337">
        <f t="shared" si="51"/>
        <v>1</v>
      </c>
      <c r="Q88" s="4309"/>
      <c r="S88" s="4302" t="s">
        <v>277</v>
      </c>
      <c r="T88" s="4303">
        <f>SUM(T78:T80,T84:T87)</f>
        <v>0</v>
      </c>
      <c r="U88" s="4303">
        <f t="shared" ref="U88:Y88" si="71">SUM(U78:U80,U84:U87)</f>
        <v>0</v>
      </c>
      <c r="V88" s="4303">
        <f t="shared" si="71"/>
        <v>0</v>
      </c>
      <c r="W88" s="4303">
        <f t="shared" si="71"/>
        <v>0</v>
      </c>
      <c r="X88" s="4303">
        <f t="shared" si="71"/>
        <v>0</v>
      </c>
      <c r="Y88" s="4303">
        <f t="shared" si="71"/>
        <v>0</v>
      </c>
      <c r="Z88" s="4304">
        <f t="shared" si="66"/>
        <v>0</v>
      </c>
      <c r="AA88" s="4304">
        <f t="shared" si="67"/>
        <v>0</v>
      </c>
    </row>
    <row r="89" spans="1:27" ht="15.75" customHeight="1">
      <c r="A89" s="4293" t="s">
        <v>334</v>
      </c>
      <c r="B89" s="3703">
        <f>'11. Амортиз. план'!BS111</f>
        <v>136.6952508304777</v>
      </c>
      <c r="C89" s="3703">
        <f>'11. Амортиз. план'!BU111</f>
        <v>295.19573400130548</v>
      </c>
      <c r="D89" s="3703">
        <f>'11. Амортиз. план'!BV111</f>
        <v>364.22013796279498</v>
      </c>
      <c r="E89" s="3703">
        <f>'11. Амортиз. план'!BW111</f>
        <v>430.68808251830336</v>
      </c>
      <c r="F89" s="3703">
        <f>'11. Амортиз. план'!BX111</f>
        <v>509.93832410371726</v>
      </c>
      <c r="G89" s="3703">
        <f>'11. Амортиз. план'!BY111</f>
        <v>589.18856568913111</v>
      </c>
      <c r="I89" s="1331"/>
      <c r="J89" s="1331"/>
      <c r="K89" s="1331"/>
      <c r="L89" s="1331"/>
      <c r="M89" s="1331"/>
      <c r="N89" s="1331"/>
      <c r="O89" s="1331"/>
      <c r="P89" s="1331"/>
      <c r="Q89" s="4309"/>
      <c r="S89" s="4310" t="str">
        <f>CONCATENATE("Спестявания и увеличения спрямо ",T77," - нето:")</f>
        <v>Спестявания и увеличения спрямо 2024 г. - нето:</v>
      </c>
      <c r="T89" s="4311"/>
      <c r="U89" s="4310">
        <f>U88-$T88</f>
        <v>0</v>
      </c>
      <c r="V89" s="4310">
        <f t="shared" ref="V89:Y89" si="72">V88-$T88</f>
        <v>0</v>
      </c>
      <c r="W89" s="4310">
        <f t="shared" si="72"/>
        <v>0</v>
      </c>
      <c r="X89" s="4310">
        <f t="shared" si="72"/>
        <v>0</v>
      </c>
      <c r="Y89" s="4310">
        <f t="shared" si="72"/>
        <v>0</v>
      </c>
      <c r="Z89" s="4311"/>
      <c r="AA89" s="4311"/>
    </row>
    <row r="90" spans="1:27" ht="15.75" customHeight="1">
      <c r="A90" s="4295" t="s">
        <v>218</v>
      </c>
      <c r="B90" s="4296">
        <f>'11. Амортиз. план'!BS131</f>
        <v>9.5100537670571352</v>
      </c>
      <c r="C90" s="4296">
        <f>'11. Амортиз. план'!BU131</f>
        <v>14.177460180861127</v>
      </c>
      <c r="D90" s="4296">
        <f>'11. Амортиз. план'!BV131</f>
        <v>18.753522517567284</v>
      </c>
      <c r="E90" s="4296">
        <f>'11. Амортиз. план'!BW131</f>
        <v>21.744580022565163</v>
      </c>
      <c r="F90" s="4296">
        <f>'11. Амортиз. план'!BX131</f>
        <v>24.837895903802284</v>
      </c>
      <c r="G90" s="4296">
        <f>'11. Амортиз. план'!BY131</f>
        <v>28.059034755338462</v>
      </c>
      <c r="I90" s="4282" t="s">
        <v>82</v>
      </c>
      <c r="J90" s="4283" t="str">
        <f>+'15. ОПП'!$C$7</f>
        <v>2027 г.</v>
      </c>
      <c r="K90" s="4283" t="str">
        <f>+'15. ОПП'!$D$7</f>
        <v>2028 г.</v>
      </c>
      <c r="L90" s="4283" t="str">
        <f>+'15. ОПП'!$E$7</f>
        <v>2029 г.</v>
      </c>
      <c r="M90" s="4283" t="str">
        <f>+'15. ОПП'!$F$7</f>
        <v>2030 г.</v>
      </c>
      <c r="N90" s="4283" t="str">
        <f>+'15. ОПП'!$G$7</f>
        <v>2031 г.</v>
      </c>
      <c r="O90" s="4283" t="s">
        <v>1618</v>
      </c>
      <c r="Q90" s="4309"/>
      <c r="S90" s="4294" t="s">
        <v>1668</v>
      </c>
      <c r="T90" s="3579">
        <f>+'12. Разходи'!CE92</f>
        <v>0</v>
      </c>
      <c r="U90" s="3579">
        <f>+'12. Разходи'!CF92</f>
        <v>0</v>
      </c>
      <c r="V90" s="3579">
        <f>+'12. Разходи'!CG92</f>
        <v>0</v>
      </c>
      <c r="W90" s="3579">
        <f>+'12. Разходи'!CH92</f>
        <v>0</v>
      </c>
      <c r="X90" s="3579">
        <f>+'12. Разходи'!CI92</f>
        <v>0</v>
      </c>
      <c r="Y90" s="3579">
        <f>+'12. Разходи'!CJ92</f>
        <v>0</v>
      </c>
      <c r="Z90" s="4292">
        <f t="shared" ref="Z90:Z92" si="73">IFERROR((U90-T90)/T90,0)</f>
        <v>0</v>
      </c>
      <c r="AA90" s="4292">
        <f t="shared" ref="AA90:AA92" si="74">IFERROR((Y90-T90)/T90,0)</f>
        <v>0</v>
      </c>
    </row>
    <row r="91" spans="1:27" ht="15.75" customHeight="1">
      <c r="A91" s="4299" t="s">
        <v>220</v>
      </c>
      <c r="B91" s="3579">
        <f>'11. Амортиз. план'!BS151</f>
        <v>41.48092048855699</v>
      </c>
      <c r="C91" s="3579">
        <f>'11. Амортиз. план'!BU151</f>
        <v>66.302813951213395</v>
      </c>
      <c r="D91" s="3579">
        <f>'11. Амортиз. план'!BV151</f>
        <v>85.056336468780671</v>
      </c>
      <c r="E91" s="3579">
        <f>'11. Амортиз. план'!BW151</f>
        <v>106.80091649134583</v>
      </c>
      <c r="F91" s="3579">
        <f>'11. Амортиз. план'!BX151</f>
        <v>131.63881239514811</v>
      </c>
      <c r="G91" s="3579">
        <f>'11. Амортиз. план'!BY151</f>
        <v>159.69784715048658</v>
      </c>
      <c r="I91" s="3445" t="s">
        <v>1643</v>
      </c>
      <c r="J91" s="3579">
        <f>'2. Променливи'!F10</f>
        <v>78970</v>
      </c>
      <c r="K91" s="3579">
        <f>'2. Променливи'!G10</f>
        <v>77644</v>
      </c>
      <c r="L91" s="3579">
        <f>'2. Променливи'!H10</f>
        <v>76320</v>
      </c>
      <c r="M91" s="3579">
        <f>'2. Променливи'!I10</f>
        <v>75019</v>
      </c>
      <c r="N91" s="3579">
        <f>'2. Променливи'!J10</f>
        <v>73987</v>
      </c>
      <c r="O91" s="3703">
        <f>AVERAGE(J91:N91)</f>
        <v>76388</v>
      </c>
      <c r="Q91" s="4309"/>
      <c r="S91" s="4294" t="s">
        <v>1670</v>
      </c>
      <c r="T91" s="3579">
        <f>+'12. Разходи'!CE93</f>
        <v>0</v>
      </c>
      <c r="U91" s="3579">
        <f>+'12. Разходи'!CF93</f>
        <v>0</v>
      </c>
      <c r="V91" s="3579">
        <f>+'12. Разходи'!CG93</f>
        <v>0</v>
      </c>
      <c r="W91" s="3579">
        <f>+'12. Разходи'!CH93</f>
        <v>0</v>
      </c>
      <c r="X91" s="3579">
        <f>+'12. Разходи'!CI93</f>
        <v>0</v>
      </c>
      <c r="Y91" s="3579">
        <f>+'12. Разходи'!CJ93</f>
        <v>0</v>
      </c>
      <c r="Z91" s="4292">
        <f t="shared" si="73"/>
        <v>0</v>
      </c>
      <c r="AA91" s="4292">
        <f t="shared" si="74"/>
        <v>0</v>
      </c>
    </row>
    <row r="92" spans="1:27" ht="15.75" customHeight="1">
      <c r="A92" s="4299" t="s">
        <v>222</v>
      </c>
      <c r="B92" s="3579">
        <f>'11. Амортиз. план'!BS171</f>
        <v>95.2143303419207</v>
      </c>
      <c r="C92" s="3579">
        <f>'11. Амортиз. план'!BU171</f>
        <v>228.89292005009204</v>
      </c>
      <c r="D92" s="3579">
        <f>'11. Амортиз. план'!BV171</f>
        <v>279.16380149401419</v>
      </c>
      <c r="E92" s="3579">
        <f>'11. Амортиз. план'!BW171</f>
        <v>323.88716602695752</v>
      </c>
      <c r="F92" s="3579">
        <f>'11. Амортиз. план'!BX171</f>
        <v>378.29951170856907</v>
      </c>
      <c r="G92" s="3579">
        <f>'11. Амортиз. план'!BY171</f>
        <v>429.4907185386445</v>
      </c>
      <c r="I92" s="3445" t="s">
        <v>1910</v>
      </c>
      <c r="J92" s="3579">
        <f>J59+J68+J73+J74+J79</f>
        <v>414.1464237689371</v>
      </c>
      <c r="K92" s="3579">
        <f>K59+K68+K73+K74+K79</f>
        <v>413.63513188774084</v>
      </c>
      <c r="L92" s="3579">
        <f>L59+L68+L73+L74+L79</f>
        <v>439.19972594755171</v>
      </c>
      <c r="M92" s="3579">
        <f>M59+M68+M73+M74+M79</f>
        <v>441.75618535353289</v>
      </c>
      <c r="N92" s="3579">
        <f>N59+N68+N73+N74+N79</f>
        <v>428.97388832362731</v>
      </c>
      <c r="O92" s="3703">
        <f>AVERAGE(J92:N92)</f>
        <v>427.54227105627797</v>
      </c>
      <c r="Q92" s="4309"/>
      <c r="S92" s="4313" t="s">
        <v>1669</v>
      </c>
      <c r="T92" s="3579">
        <f>+'12. Разходи'!CE94</f>
        <v>0</v>
      </c>
      <c r="U92" s="3579">
        <f>+'12. Разходи'!CF94</f>
        <v>0</v>
      </c>
      <c r="V92" s="3579">
        <f>+'12. Разходи'!CG94</f>
        <v>0</v>
      </c>
      <c r="W92" s="3579">
        <f>+'12. Разходи'!CH94</f>
        <v>0</v>
      </c>
      <c r="X92" s="3579">
        <f>+'12. Разходи'!CI94</f>
        <v>0</v>
      </c>
      <c r="Y92" s="3579">
        <f>+'12. Разходи'!CJ94</f>
        <v>0</v>
      </c>
      <c r="Z92" s="4292">
        <f t="shared" si="73"/>
        <v>0</v>
      </c>
      <c r="AA92" s="4292">
        <f t="shared" si="74"/>
        <v>0</v>
      </c>
    </row>
    <row r="93" spans="1:27" ht="18" customHeight="1">
      <c r="A93" s="5631" t="s">
        <v>1658</v>
      </c>
      <c r="B93" s="5631"/>
      <c r="C93" s="5631"/>
      <c r="D93" s="5631"/>
      <c r="E93" s="5631"/>
      <c r="F93" s="5631"/>
      <c r="G93" s="5631"/>
      <c r="I93" s="4299" t="s">
        <v>1911</v>
      </c>
      <c r="J93" s="4338">
        <f>IFERROR((J92*1000)/J91,0)</f>
        <v>5.2443513203613668</v>
      </c>
      <c r="K93" s="4338">
        <f t="shared" ref="K93:O93" si="75">IFERROR((K92*1000)/K91,0)</f>
        <v>5.3273289872719189</v>
      </c>
      <c r="L93" s="4338">
        <f t="shared" si="75"/>
        <v>5.7547133902981091</v>
      </c>
      <c r="M93" s="4338">
        <f t="shared" si="75"/>
        <v>5.888590695071021</v>
      </c>
      <c r="N93" s="4338">
        <f t="shared" si="75"/>
        <v>5.7979629978729683</v>
      </c>
      <c r="O93" s="4338">
        <f t="shared" si="75"/>
        <v>5.5969821314378958</v>
      </c>
      <c r="Q93" s="4309"/>
      <c r="S93" s="4294" t="s">
        <v>1672</v>
      </c>
      <c r="T93" s="3579">
        <f>'12. Разходи'!CE90</f>
        <v>0</v>
      </c>
      <c r="U93" s="3579">
        <f>'12. Разходи'!CF90</f>
        <v>0</v>
      </c>
      <c r="V93" s="3579">
        <f>'12. Разходи'!CG90</f>
        <v>0</v>
      </c>
      <c r="W93" s="3579">
        <f>'12. Разходи'!CH90</f>
        <v>0</v>
      </c>
      <c r="X93" s="3579">
        <f>'12. Разходи'!CI90</f>
        <v>0</v>
      </c>
      <c r="Y93" s="3579">
        <f>'12. Разходи'!CJ90</f>
        <v>0</v>
      </c>
      <c r="Z93" s="4292">
        <f t="shared" si="66"/>
        <v>0</v>
      </c>
      <c r="AA93" s="4292">
        <f t="shared" si="67"/>
        <v>0</v>
      </c>
    </row>
    <row r="94" spans="1:27" ht="15.75" customHeight="1">
      <c r="A94" s="4293" t="s">
        <v>334</v>
      </c>
      <c r="B94" s="3703">
        <f>'11. Амортиз. план'!BS192</f>
        <v>926.16829415178506</v>
      </c>
      <c r="C94" s="3703">
        <f>'11. Амортиз. план'!BU192</f>
        <v>926.16829415178506</v>
      </c>
      <c r="D94" s="3703">
        <f>'11. Амортиз. план'!BV192</f>
        <v>926.16829415178506</v>
      </c>
      <c r="E94" s="3703">
        <f>'11. Амортиз. план'!BW192</f>
        <v>926.16829415178506</v>
      </c>
      <c r="F94" s="3703">
        <f>'11. Амортиз. план'!BX192</f>
        <v>926.16829415178506</v>
      </c>
      <c r="G94" s="3703">
        <f>'11. Амортиз. план'!BY192</f>
        <v>926.16829415178506</v>
      </c>
      <c r="I94" s="1332"/>
      <c r="J94" s="1331"/>
      <c r="K94" s="1331"/>
      <c r="L94" s="1331"/>
      <c r="M94" s="1331"/>
      <c r="N94" s="1331"/>
      <c r="O94" s="1331"/>
      <c r="Q94" s="4309"/>
      <c r="S94" s="4294" t="s">
        <v>1231</v>
      </c>
      <c r="T94" s="3579">
        <f>'12. Разходи'!CE89</f>
        <v>0</v>
      </c>
      <c r="U94" s="3579">
        <f>'12. Разходи'!CF89</f>
        <v>0</v>
      </c>
      <c r="V94" s="3579">
        <f>'12. Разходи'!CG89</f>
        <v>0</v>
      </c>
      <c r="W94" s="3579">
        <f>'12. Разходи'!CH89</f>
        <v>0</v>
      </c>
      <c r="X94" s="3579">
        <f>'12. Разходи'!CI89</f>
        <v>0</v>
      </c>
      <c r="Y94" s="3579">
        <f>'12. Разходи'!CJ89</f>
        <v>0</v>
      </c>
      <c r="Z94" s="4292">
        <f t="shared" si="66"/>
        <v>0</v>
      </c>
      <c r="AA94" s="4292">
        <f t="shared" si="67"/>
        <v>0</v>
      </c>
    </row>
    <row r="95" spans="1:27" ht="15.75" customHeight="1">
      <c r="A95" s="4295" t="s">
        <v>218</v>
      </c>
      <c r="B95" s="4296">
        <f>'11. Амортиз. план'!BS214</f>
        <v>9.2604608192058642</v>
      </c>
      <c r="C95" s="4296">
        <f>'11. Амортиз. план'!BU214</f>
        <v>9.2604608192058642</v>
      </c>
      <c r="D95" s="4296">
        <f>'11. Амортиз. план'!BV214</f>
        <v>9.2604608192058642</v>
      </c>
      <c r="E95" s="4296">
        <f>'11. Амортиз. план'!BW214</f>
        <v>9.2604608192058642</v>
      </c>
      <c r="F95" s="4296">
        <f>'11. Амортиз. план'!BX214</f>
        <v>9.2604608192058642</v>
      </c>
      <c r="G95" s="4296">
        <f>'11. Амортиз. план'!BY214</f>
        <v>9.2604608192058642</v>
      </c>
      <c r="I95" s="1332" t="s">
        <v>1644</v>
      </c>
      <c r="J95" s="1331"/>
      <c r="K95" s="1331"/>
      <c r="L95" s="1331"/>
      <c r="M95" s="1331"/>
      <c r="N95" s="1331"/>
      <c r="O95" s="1331"/>
      <c r="Q95" s="4309"/>
      <c r="S95" s="4339"/>
      <c r="T95" s="4340"/>
      <c r="U95" s="4340"/>
      <c r="V95" s="4340"/>
      <c r="W95" s="4340"/>
      <c r="X95" s="4340"/>
      <c r="Y95" s="4340"/>
      <c r="Z95" s="4341"/>
      <c r="AA95" s="4341"/>
    </row>
    <row r="96" spans="1:27" ht="16.5" customHeight="1">
      <c r="A96" s="4299" t="s">
        <v>220</v>
      </c>
      <c r="B96" s="3579">
        <f>'11. Амортиз. план'!BS236</f>
        <v>749.10777581336208</v>
      </c>
      <c r="C96" s="3579">
        <f>'11. Амортиз. план'!BU236</f>
        <v>767.62869745177363</v>
      </c>
      <c r="D96" s="3579">
        <f>'11. Амортиз. план'!BV236</f>
        <v>776.88915827097958</v>
      </c>
      <c r="E96" s="3579">
        <f>'11. Амортиз. план'!BW236</f>
        <v>786.14961909018541</v>
      </c>
      <c r="F96" s="3579">
        <f>'11. Амортиз. план'!BX236</f>
        <v>795.41007990939124</v>
      </c>
      <c r="G96" s="3579">
        <f>'11. Амортиз. план'!BY236</f>
        <v>804.67054072859708</v>
      </c>
      <c r="I96" s="1332" t="s">
        <v>948</v>
      </c>
      <c r="J96" s="1331"/>
      <c r="K96" s="1331"/>
      <c r="L96" s="1331"/>
      <c r="M96" s="1331"/>
      <c r="N96" s="1331"/>
      <c r="O96" s="1331"/>
      <c r="Q96" s="4309"/>
      <c r="S96" s="4339"/>
      <c r="T96" s="4340"/>
      <c r="U96" s="4340"/>
      <c r="V96" s="4340"/>
      <c r="W96" s="4340"/>
      <c r="X96" s="4340"/>
      <c r="Y96" s="4340"/>
      <c r="Z96" s="4341"/>
      <c r="AA96" s="4341"/>
    </row>
    <row r="97" spans="1:27" ht="15.75" customHeight="1">
      <c r="A97" s="4299" t="s">
        <v>222</v>
      </c>
      <c r="B97" s="3579">
        <f>'11. Амортиз. план'!BS258</f>
        <v>177.06051833842309</v>
      </c>
      <c r="C97" s="3579">
        <f>'11. Амортиз. план'!BU258</f>
        <v>158.53959670001143</v>
      </c>
      <c r="D97" s="3579">
        <f>'11. Амортиз. план'!BV258</f>
        <v>149.2791358808056</v>
      </c>
      <c r="E97" s="3579">
        <f>'11. Амортиз. план'!BW258</f>
        <v>140.01867506159971</v>
      </c>
      <c r="F97" s="3579">
        <f>'11. Амортиз. план'!BX258</f>
        <v>130.75821424239388</v>
      </c>
      <c r="G97" s="3579">
        <f>'11. Амортиз. план'!BY258</f>
        <v>121.49775342318803</v>
      </c>
      <c r="I97" s="4282" t="s">
        <v>1918</v>
      </c>
      <c r="J97" s="4283" t="str">
        <f>+'15. ОПП'!$C$7</f>
        <v>2027 г.</v>
      </c>
      <c r="K97" s="4283" t="str">
        <f>+'15. ОПП'!$D$7</f>
        <v>2028 г.</v>
      </c>
      <c r="L97" s="4283" t="str">
        <f>+'15. ОПП'!$E$7</f>
        <v>2029 г.</v>
      </c>
      <c r="M97" s="4283" t="str">
        <f>+'15. ОПП'!$F$7</f>
        <v>2030 г.</v>
      </c>
      <c r="N97" s="4283" t="str">
        <f>+'15. ОПП'!$G$7</f>
        <v>2031 г.</v>
      </c>
      <c r="O97" s="4283" t="s">
        <v>1621</v>
      </c>
      <c r="Q97" s="4309"/>
      <c r="S97" s="4339"/>
      <c r="T97" s="4340"/>
      <c r="U97" s="4340"/>
      <c r="V97" s="4340"/>
      <c r="W97" s="4340"/>
      <c r="X97" s="4340"/>
      <c r="Y97" s="4340"/>
      <c r="Z97" s="4341"/>
      <c r="AA97" s="4341"/>
    </row>
    <row r="98" spans="1:27" ht="15.75" customHeight="1">
      <c r="A98" s="2" t="s">
        <v>1663</v>
      </c>
      <c r="B98" s="11"/>
      <c r="C98" s="11"/>
      <c r="D98" s="11"/>
      <c r="E98" s="11"/>
      <c r="F98" s="11"/>
      <c r="G98" s="3446" t="s">
        <v>1909</v>
      </c>
      <c r="I98" s="4330" t="s">
        <v>1616</v>
      </c>
      <c r="J98" s="4303">
        <f>'9.Инвестиционна програма'!BC146</f>
        <v>20.45167524784874</v>
      </c>
      <c r="K98" s="4303">
        <f>'9.Инвестиционна програма'!BD146</f>
        <v>17.383923960671428</v>
      </c>
      <c r="L98" s="4303">
        <f>'9.Инвестиционна програма'!BE146</f>
        <v>27.09846970339958</v>
      </c>
      <c r="M98" s="4303">
        <f>'9.Инвестиционна програма'!BF146</f>
        <v>24.030718416222268</v>
      </c>
      <c r="N98" s="4303">
        <f>'9.Инвестиционна програма'!BG146</f>
        <v>17.383923960671428</v>
      </c>
      <c r="O98" s="4303">
        <f t="shared" ref="O98:O101" si="76">SUM(J98:N98)</f>
        <v>106.34871128881345</v>
      </c>
      <c r="Q98" s="4309"/>
      <c r="S98" s="4339"/>
      <c r="T98" s="4340"/>
      <c r="U98" s="4340"/>
      <c r="V98" s="4340"/>
      <c r="W98" s="4340"/>
      <c r="X98" s="4340"/>
      <c r="Y98" s="4340"/>
      <c r="Z98" s="4341"/>
      <c r="AA98" s="4341"/>
    </row>
    <row r="99" spans="1:27" ht="16.5" customHeight="1">
      <c r="A99" s="5632" t="s">
        <v>87</v>
      </c>
      <c r="B99" s="5636" t="s">
        <v>1659</v>
      </c>
      <c r="C99" s="5636"/>
      <c r="D99" s="5636"/>
      <c r="E99" s="5636"/>
      <c r="F99" s="5636"/>
      <c r="G99" s="5636"/>
      <c r="I99" s="4295" t="s">
        <v>1622</v>
      </c>
      <c r="J99" s="4296">
        <f>'10. Финансиране на ИП'!CQ15</f>
        <v>20.45167524784874</v>
      </c>
      <c r="K99" s="4296">
        <f>'10. Финансиране на ИП'!CR15</f>
        <v>17.383923960671428</v>
      </c>
      <c r="L99" s="4296">
        <f>'10. Финансиране на ИП'!CS15</f>
        <v>27.09846970339958</v>
      </c>
      <c r="M99" s="4296">
        <f>'10. Финансиране на ИП'!CT15</f>
        <v>24.030718416222268</v>
      </c>
      <c r="N99" s="4296">
        <f>'10. Финансиране на ИП'!CU15</f>
        <v>17.383923960671428</v>
      </c>
      <c r="O99" s="4328">
        <f t="shared" si="76"/>
        <v>106.34871128881345</v>
      </c>
      <c r="Q99" s="4309"/>
      <c r="S99" s="3454" t="s">
        <v>1092</v>
      </c>
      <c r="T99" s="11"/>
      <c r="U99" s="11"/>
      <c r="V99" s="11"/>
      <c r="W99" s="11"/>
      <c r="X99" s="11"/>
      <c r="Y99" s="11"/>
      <c r="Z99" s="11"/>
      <c r="AA99" s="11"/>
    </row>
    <row r="100" spans="1:27" ht="19.5" customHeight="1">
      <c r="A100" s="5632"/>
      <c r="B100" s="4333" t="str">
        <f>B40</f>
        <v>2024 г.</v>
      </c>
      <c r="C100" s="4333" t="str">
        <f>C82</f>
        <v>2027 г.</v>
      </c>
      <c r="D100" s="4333" t="str">
        <f>D40</f>
        <v>2028 г.</v>
      </c>
      <c r="E100" s="4333" t="str">
        <f>E40</f>
        <v>2029 г.</v>
      </c>
      <c r="F100" s="4333" t="str">
        <f>F40</f>
        <v>2030 г.</v>
      </c>
      <c r="G100" s="4333" t="str">
        <f>G40</f>
        <v>2031 г.</v>
      </c>
      <c r="I100" s="4295" t="s">
        <v>1645</v>
      </c>
      <c r="J100" s="4296">
        <f>'10. Финансиране на ИП'!CQ16</f>
        <v>0</v>
      </c>
      <c r="K100" s="4296">
        <f>'10. Финансиране на ИП'!CR16</f>
        <v>0</v>
      </c>
      <c r="L100" s="4296">
        <f>'10. Финансиране на ИП'!CS16</f>
        <v>0</v>
      </c>
      <c r="M100" s="4296">
        <f>'10. Финансиране на ИП'!CT16</f>
        <v>0</v>
      </c>
      <c r="N100" s="4296">
        <f>'10. Финансиране на ИП'!CU16</f>
        <v>0</v>
      </c>
      <c r="O100" s="4328">
        <f t="shared" si="76"/>
        <v>0</v>
      </c>
      <c r="Q100" s="4309"/>
      <c r="S100" s="5636" t="s">
        <v>1919</v>
      </c>
      <c r="T100" s="5636" t="str">
        <f>S99</f>
        <v>Доставяне на вода на друг ВиК оператор</v>
      </c>
      <c r="U100" s="5636"/>
      <c r="V100" s="5636"/>
      <c r="W100" s="5636"/>
      <c r="X100" s="5636"/>
      <c r="Y100" s="5636"/>
      <c r="Z100" s="5603" t="str">
        <f>+"Изменение "&amp;U101&amp;" спр. "&amp;T101</f>
        <v>Изменение 2027 г. спр. 2024 г.</v>
      </c>
      <c r="AA100" s="5603" t="str">
        <f>+"Изменение "&amp;Y101&amp;" спр. "&amp;T101</f>
        <v>Изменение 2031 г. спр. 2024 г.</v>
      </c>
    </row>
    <row r="101" spans="1:27" ht="21" customHeight="1">
      <c r="A101" s="5631" t="s">
        <v>1656</v>
      </c>
      <c r="B101" s="5631"/>
      <c r="C101" s="5631"/>
      <c r="D101" s="5631"/>
      <c r="E101" s="5631"/>
      <c r="F101" s="5631"/>
      <c r="G101" s="5631"/>
      <c r="I101" s="4330" t="s">
        <v>1623</v>
      </c>
      <c r="J101" s="4303">
        <f>'12. Разходи'!CZ56</f>
        <v>108.12602866873448</v>
      </c>
      <c r="K101" s="4303">
        <f>'12. Разходи'!DA56</f>
        <v>110.79497228857873</v>
      </c>
      <c r="L101" s="4303">
        <f>'12. Разходи'!DB56</f>
        <v>114.12859535397806</v>
      </c>
      <c r="M101" s="4303">
        <f>'12. Разходи'!DC56</f>
        <v>118.1268978649325</v>
      </c>
      <c r="N101" s="4303">
        <f>'12. Разходи'!DD56</f>
        <v>121.15374580161412</v>
      </c>
      <c r="O101" s="4303">
        <f t="shared" si="76"/>
        <v>572.33023997783789</v>
      </c>
      <c r="Q101" s="4309"/>
      <c r="S101" s="5636"/>
      <c r="T101" s="4279" t="str">
        <f t="shared" ref="T101:Y101" si="77">T77</f>
        <v>2024 г.</v>
      </c>
      <c r="U101" s="4279" t="str">
        <f t="shared" si="77"/>
        <v>2027 г.</v>
      </c>
      <c r="V101" s="4279" t="str">
        <f t="shared" si="77"/>
        <v>2028 г.</v>
      </c>
      <c r="W101" s="4279" t="str">
        <f t="shared" si="77"/>
        <v>2029 г.</v>
      </c>
      <c r="X101" s="4279" t="str">
        <f t="shared" si="77"/>
        <v>2030 г.</v>
      </c>
      <c r="Y101" s="4279" t="str">
        <f t="shared" si="77"/>
        <v>2031 г.</v>
      </c>
      <c r="Z101" s="5603"/>
      <c r="AA101" s="5603"/>
    </row>
    <row r="102" spans="1:27" ht="16.5" customHeight="1">
      <c r="A102" s="4293" t="s">
        <v>334</v>
      </c>
      <c r="B102" s="3703">
        <f t="shared" ref="B102:G105" si="78">B6+B24+B42+B60+B84</f>
        <v>5099.4425487149965</v>
      </c>
      <c r="C102" s="3703">
        <f t="shared" si="78"/>
        <v>5175.6250390132327</v>
      </c>
      <c r="D102" s="3703">
        <f t="shared" si="78"/>
        <v>5193.0089629739041</v>
      </c>
      <c r="E102" s="3703">
        <f t="shared" si="78"/>
        <v>5220.1074326773032</v>
      </c>
      <c r="F102" s="3703">
        <f t="shared" si="78"/>
        <v>5244.1381510935244</v>
      </c>
      <c r="G102" s="3703">
        <f t="shared" si="78"/>
        <v>5261.5220750541966</v>
      </c>
      <c r="I102" s="4342" t="s">
        <v>1624</v>
      </c>
      <c r="J102" s="4343">
        <f>J101-J99</f>
        <v>87.674353420885737</v>
      </c>
      <c r="K102" s="4343">
        <f t="shared" ref="K102:O102" si="79">K101-K99</f>
        <v>93.411048327907309</v>
      </c>
      <c r="L102" s="4343">
        <f t="shared" si="79"/>
        <v>87.030125650578469</v>
      </c>
      <c r="M102" s="4343">
        <f t="shared" si="79"/>
        <v>94.096179448710231</v>
      </c>
      <c r="N102" s="4343">
        <f t="shared" si="79"/>
        <v>103.7698218409427</v>
      </c>
      <c r="O102" s="4343">
        <f t="shared" si="79"/>
        <v>465.98152868902446</v>
      </c>
      <c r="Q102" s="4309"/>
      <c r="S102" s="4294" t="s">
        <v>226</v>
      </c>
      <c r="T102" s="3579">
        <f>'12. Разходи'!CL11</f>
        <v>199.73864344340765</v>
      </c>
      <c r="U102" s="3579">
        <f>'12. Разходи'!CM11</f>
        <v>272.50552123320119</v>
      </c>
      <c r="V102" s="3579">
        <f>'12. Разходи'!CN11</f>
        <v>273.74448440214172</v>
      </c>
      <c r="W102" s="3579">
        <f>'12. Разходи'!CO11</f>
        <v>275.2781757738266</v>
      </c>
      <c r="X102" s="3579">
        <f>'12. Разходи'!CP11</f>
        <v>276.54555300088799</v>
      </c>
      <c r="Y102" s="3579">
        <f>'12. Разходи'!CQ11</f>
        <v>278.16242695187947</v>
      </c>
      <c r="Z102" s="4292">
        <f>IFERROR((U102-T102)/T102,0)</f>
        <v>0.3643104635904405</v>
      </c>
      <c r="AA102" s="4292">
        <f>IFERROR((Y102-T102)/T102,0)</f>
        <v>0.39263200228298228</v>
      </c>
    </row>
    <row r="103" spans="1:27" ht="15.75" customHeight="1">
      <c r="A103" s="4295" t="s">
        <v>218</v>
      </c>
      <c r="B103" s="3579">
        <f t="shared" si="78"/>
        <v>70.745810975112747</v>
      </c>
      <c r="C103" s="3579">
        <f t="shared" si="78"/>
        <v>108.12602866873448</v>
      </c>
      <c r="D103" s="3579">
        <f t="shared" si="78"/>
        <v>110.79497228857872</v>
      </c>
      <c r="E103" s="3579">
        <f t="shared" si="78"/>
        <v>114.12859535397807</v>
      </c>
      <c r="F103" s="3579">
        <f t="shared" si="78"/>
        <v>118.1268978649325</v>
      </c>
      <c r="G103" s="3579">
        <f t="shared" si="78"/>
        <v>121.15374580161412</v>
      </c>
      <c r="I103" s="4344"/>
      <c r="J103" s="4345"/>
      <c r="K103" s="4345"/>
      <c r="L103" s="4345"/>
      <c r="M103" s="4345"/>
      <c r="N103" s="4345"/>
      <c r="O103" s="4345"/>
      <c r="Q103" s="4309"/>
      <c r="S103" s="4294" t="s">
        <v>239</v>
      </c>
      <c r="T103" s="3579">
        <f>'12. Разходи'!CL29</f>
        <v>49.211557266721137</v>
      </c>
      <c r="U103" s="3579">
        <f>'12. Разходи'!CM29</f>
        <v>66.810128763660629</v>
      </c>
      <c r="V103" s="3579">
        <f>'12. Разходи'!CN29</f>
        <v>67.242796358591278</v>
      </c>
      <c r="W103" s="3579">
        <f>'12. Разходи'!CO29</f>
        <v>67.615863645853523</v>
      </c>
      <c r="X103" s="3579">
        <f>'12. Разходи'!CP29</f>
        <v>68.157807226840248</v>
      </c>
      <c r="Y103" s="3579">
        <f>'12. Разходи'!CQ29</f>
        <v>68.542040356096862</v>
      </c>
      <c r="Z103" s="4292">
        <f t="shared" ref="Z103:Z118" si="80">IFERROR((U103-T103)/T103,0)</f>
        <v>0.3576105385480326</v>
      </c>
      <c r="AA103" s="4292">
        <f t="shared" ref="AA103:AA118" si="81">IFERROR((Y103-T103)/T103,0)</f>
        <v>0.39280372666539831</v>
      </c>
    </row>
    <row r="104" spans="1:27" ht="21" customHeight="1">
      <c r="A104" s="4299" t="s">
        <v>220</v>
      </c>
      <c r="B104" s="3579">
        <f t="shared" si="78"/>
        <v>3375.3943415322337</v>
      </c>
      <c r="C104" s="3579">
        <f t="shared" si="78"/>
        <v>3587.2927485013183</v>
      </c>
      <c r="D104" s="3579">
        <f t="shared" si="78"/>
        <v>3698.0877207898961</v>
      </c>
      <c r="E104" s="3579">
        <f t="shared" si="78"/>
        <v>3812.2163161438757</v>
      </c>
      <c r="F104" s="3579">
        <f t="shared" si="78"/>
        <v>3930.3432140088075</v>
      </c>
      <c r="G104" s="3579">
        <f t="shared" si="78"/>
        <v>4051.4969598104217</v>
      </c>
      <c r="I104" s="3452" t="s">
        <v>1726</v>
      </c>
      <c r="J104" s="4283" t="str">
        <f>+'15. ОПП'!$C$7</f>
        <v>2027 г.</v>
      </c>
      <c r="K104" s="4283" t="str">
        <f>+'15. ОПП'!$D$7</f>
        <v>2028 г.</v>
      </c>
      <c r="L104" s="4283" t="str">
        <f>+'15. ОПП'!$E$7</f>
        <v>2029 г.</v>
      </c>
      <c r="M104" s="4283" t="str">
        <f>+'15. ОПП'!$F$7</f>
        <v>2030 г.</v>
      </c>
      <c r="N104" s="4283" t="str">
        <f>+'15. ОПП'!$G$7</f>
        <v>2031 г.</v>
      </c>
      <c r="Q104" s="4309"/>
      <c r="S104" s="4294" t="s">
        <v>446</v>
      </c>
      <c r="T104" s="3579">
        <f>'12. Разходи'!CL55</f>
        <v>14.039155255576825</v>
      </c>
      <c r="U104" s="3579">
        <f>'12. Разходи'!CM55</f>
        <v>159.96996562614996</v>
      </c>
      <c r="V104" s="3579">
        <f>'12. Разходи'!CN55</f>
        <v>81.026499169453828</v>
      </c>
      <c r="W104" s="3579">
        <f>'12. Разходи'!CO55</f>
        <v>78.776814892190473</v>
      </c>
      <c r="X104" s="3579">
        <f>'12. Разходи'!CP55</f>
        <v>91.865887050813669</v>
      </c>
      <c r="Y104" s="3579">
        <f>'12. Разходи'!CQ55</f>
        <v>92.1726621795314</v>
      </c>
      <c r="Z104" s="4292">
        <f t="shared" si="80"/>
        <v>10.394557771743747</v>
      </c>
      <c r="AA104" s="4292">
        <f t="shared" si="81"/>
        <v>5.565399449010104</v>
      </c>
    </row>
    <row r="105" spans="1:27" ht="15.75" customHeight="1">
      <c r="A105" s="4299" t="s">
        <v>222</v>
      </c>
      <c r="B105" s="3579">
        <f t="shared" si="78"/>
        <v>1724.0482071827607</v>
      </c>
      <c r="C105" s="3579">
        <f t="shared" si="78"/>
        <v>1588.3322905119146</v>
      </c>
      <c r="D105" s="3579">
        <f t="shared" si="78"/>
        <v>1494.921242184007</v>
      </c>
      <c r="E105" s="3579">
        <f t="shared" si="78"/>
        <v>1407.8911165334284</v>
      </c>
      <c r="F105" s="3579">
        <f t="shared" si="78"/>
        <v>1313.7949370847186</v>
      </c>
      <c r="G105" s="3579">
        <f t="shared" si="78"/>
        <v>1210.0251152437759</v>
      </c>
      <c r="I105" s="3445" t="s">
        <v>1912</v>
      </c>
      <c r="J105" s="3450">
        <f>'10. Финансиране на ИП'!CQ59*'10. Финансиране на ИП'!AT66</f>
        <v>0</v>
      </c>
      <c r="K105" s="3450">
        <f>'10. Финансиране на ИП'!CR59*'10. Финансиране на ИП'!AU66</f>
        <v>0</v>
      </c>
      <c r="L105" s="3450">
        <f>'10. Финансиране на ИП'!CS59*'10. Финансиране на ИП'!AV66</f>
        <v>0</v>
      </c>
      <c r="M105" s="3450">
        <f>'10. Финансиране на ИП'!CT59*'10. Финансиране на ИП'!AW66</f>
        <v>0</v>
      </c>
      <c r="N105" s="3450">
        <f>'10. Финансиране на ИП'!CCU59*'10. Финансиране на ИП'!AX66</f>
        <v>0</v>
      </c>
      <c r="Q105" s="4309"/>
      <c r="S105" s="4300" t="s">
        <v>447</v>
      </c>
      <c r="T105" s="3579">
        <f>'12. Разходи'!CL56</f>
        <v>1.5949295304371125</v>
      </c>
      <c r="U105" s="3579">
        <f>'12. Разходи'!CM56</f>
        <v>11.695320079246601</v>
      </c>
      <c r="V105" s="3579">
        <f>'12. Разходи'!CN56</f>
        <v>12.002095207964331</v>
      </c>
      <c r="W105" s="3579">
        <f>'12. Разходи'!CO56</f>
        <v>12.308870336682064</v>
      </c>
      <c r="X105" s="3579">
        <f>'12. Разходи'!CP56</f>
        <v>12.61564546539979</v>
      </c>
      <c r="Y105" s="3579">
        <f>'12. Разходи'!CQ56</f>
        <v>12.922420594117529</v>
      </c>
      <c r="Z105" s="4292">
        <f t="shared" si="80"/>
        <v>6.3328130529010505</v>
      </c>
      <c r="AA105" s="4292">
        <f t="shared" si="81"/>
        <v>7.1021890607141493</v>
      </c>
    </row>
    <row r="106" spans="1:27" ht="15.75" customHeight="1">
      <c r="A106" s="5631" t="s">
        <v>1657</v>
      </c>
      <c r="B106" s="5631"/>
      <c r="C106" s="5631"/>
      <c r="D106" s="5631"/>
      <c r="E106" s="5631"/>
      <c r="F106" s="5631"/>
      <c r="G106" s="5631"/>
      <c r="I106" s="3447" t="s">
        <v>1913</v>
      </c>
      <c r="J106" s="3448">
        <f>'10. Финансиране на ИП'!CQ60*'10. Финансиране на ИП'!AT66</f>
        <v>0</v>
      </c>
      <c r="K106" s="3448">
        <f>'10. Финансиране на ИП'!CR60*'10. Финансиране на ИП'!AU66</f>
        <v>0</v>
      </c>
      <c r="L106" s="3448">
        <f>'10. Финансиране на ИП'!CS60*'10. Финансиране на ИП'!AV66</f>
        <v>0</v>
      </c>
      <c r="M106" s="3448">
        <f>'10. Финансиране на ИП'!CT60*'10. Финансиране на ИП'!AW66</f>
        <v>0</v>
      </c>
      <c r="N106" s="3448">
        <f>'10. Финансиране на ИП'!CU60*'10. Финансиране на ИП'!AX66</f>
        <v>0</v>
      </c>
      <c r="Q106" s="4309"/>
      <c r="S106" s="4300" t="s">
        <v>736</v>
      </c>
      <c r="T106" s="3579">
        <f>'12. Разходи'!CL57</f>
        <v>8.3422069903614275</v>
      </c>
      <c r="U106" s="3579">
        <f>'12. Разходи'!CM57</f>
        <v>14.177460180861127</v>
      </c>
      <c r="V106" s="3579">
        <f>'12. Разходи'!CN57</f>
        <v>18.753522517567284</v>
      </c>
      <c r="W106" s="3579">
        <f>'12. Разходи'!CO57</f>
        <v>21.744580022565163</v>
      </c>
      <c r="X106" s="3579">
        <f>'12. Разходи'!CP57</f>
        <v>24.837895903802284</v>
      </c>
      <c r="Y106" s="3579">
        <f>'12. Разходи'!CQ57</f>
        <v>28.059034755338462</v>
      </c>
      <c r="Z106" s="4292">
        <f t="shared" si="80"/>
        <v>0.69948554348288661</v>
      </c>
      <c r="AA106" s="4292">
        <f t="shared" si="81"/>
        <v>2.3635025824410523</v>
      </c>
    </row>
    <row r="107" spans="1:27" ht="15.75" customHeight="1">
      <c r="A107" s="4293" t="s">
        <v>334</v>
      </c>
      <c r="B107" s="3703">
        <f t="shared" ref="B107:G110" si="82">B11+B29+B47+B65+B89</f>
        <v>2760.2466778810017</v>
      </c>
      <c r="C107" s="3703">
        <f t="shared" si="82"/>
        <v>3760.4614204711038</v>
      </c>
      <c r="D107" s="3703">
        <f t="shared" si="82"/>
        <v>4228.8047836468395</v>
      </c>
      <c r="E107" s="3703">
        <f t="shared" si="82"/>
        <v>4710.4417357336779</v>
      </c>
      <c r="F107" s="3703">
        <f t="shared" si="82"/>
        <v>5210.4851955435806</v>
      </c>
      <c r="G107" s="3703">
        <f t="shared" si="82"/>
        <v>5704.3931527791274</v>
      </c>
      <c r="I107" s="3447" t="s">
        <v>1914</v>
      </c>
      <c r="J107" s="3448">
        <f>'10. Финансиране на ИП'!CQ61*'10. Финансиране на ИП'!AT66</f>
        <v>0</v>
      </c>
      <c r="K107" s="3448">
        <f>'10. Финансиране на ИП'!CR61*'10. Финансиране на ИП'!AU66</f>
        <v>0</v>
      </c>
      <c r="L107" s="3448">
        <f>'10. Финансиране на ИП'!CS61*'10. Финансиране на ИП'!AV66</f>
        <v>0</v>
      </c>
      <c r="M107" s="3448">
        <f>'10. Финансиране на ИП'!CT61*'10. Финансиране на ИП'!AW66</f>
        <v>0</v>
      </c>
      <c r="N107" s="3448">
        <f>'10. Финансиране на ИП'!CU61*'10. Финансиране на ИП'!AX66</f>
        <v>0</v>
      </c>
      <c r="Q107" s="4309"/>
      <c r="S107" s="4300" t="s">
        <v>737</v>
      </c>
      <c r="T107" s="3579">
        <f>'12. Разходи'!CL58</f>
        <v>4.1020187347782855</v>
      </c>
      <c r="U107" s="3579">
        <f>'12. Разходи'!CM58</f>
        <v>134.09718536604225</v>
      </c>
      <c r="V107" s="3579">
        <f>'12. Разходи'!CN58</f>
        <v>50.270881443922214</v>
      </c>
      <c r="W107" s="3579">
        <f>'12. Разходи'!CO58</f>
        <v>44.723364532943243</v>
      </c>
      <c r="X107" s="3579">
        <f>'12. Разходи'!CP58</f>
        <v>54.412345681611583</v>
      </c>
      <c r="Y107" s="3579">
        <f>'12. Разходи'!CQ58</f>
        <v>51.191206830075409</v>
      </c>
      <c r="Z107" s="4292">
        <f t="shared" si="80"/>
        <v>31.690534596812419</v>
      </c>
      <c r="AA107" s="4292">
        <f t="shared" si="81"/>
        <v>11.479515609243627</v>
      </c>
    </row>
    <row r="108" spans="1:27" ht="15.75" customHeight="1">
      <c r="A108" s="4295" t="s">
        <v>218</v>
      </c>
      <c r="B108" s="3579">
        <f t="shared" si="82"/>
        <v>102.18796112136539</v>
      </c>
      <c r="C108" s="3579">
        <f t="shared" si="82"/>
        <v>157.48142231175513</v>
      </c>
      <c r="D108" s="3579">
        <f t="shared" si="82"/>
        <v>178.66935786852645</v>
      </c>
      <c r="E108" s="3579">
        <f t="shared" si="82"/>
        <v>198.80403215003355</v>
      </c>
      <c r="F108" s="3579">
        <f t="shared" si="82"/>
        <v>219.8488059800699</v>
      </c>
      <c r="G108" s="3579">
        <f t="shared" si="82"/>
        <v>240.91403148535409</v>
      </c>
      <c r="I108" s="3445" t="s">
        <v>1915</v>
      </c>
      <c r="J108" s="3450">
        <f>'10. Финансиране на ИП'!CQ62*'10. Финансиране на ИП'!AT66</f>
        <v>0</v>
      </c>
      <c r="K108" s="3450">
        <f>'10. Финансиране на ИП'!CR62*'10. Финансиране на ИП'!AU66</f>
        <v>0</v>
      </c>
      <c r="L108" s="3450">
        <f>'10. Финансиране на ИП'!CS62*'10. Финансиране на ИП'!AV66</f>
        <v>0</v>
      </c>
      <c r="M108" s="3450">
        <f>'10. Финансиране на ИП'!CT62*'10. Финансиране на ИП'!AW66</f>
        <v>0</v>
      </c>
      <c r="N108" s="3450">
        <f>'10. Финансиране на ИП'!CU62*'10. Финансиране на ИП'!AX66</f>
        <v>0</v>
      </c>
      <c r="Q108" s="4309"/>
      <c r="S108" s="4294" t="s">
        <v>448</v>
      </c>
      <c r="T108" s="3579">
        <f>'12. Разходи'!CL59</f>
        <v>408.69083435327155</v>
      </c>
      <c r="U108" s="3579">
        <f>'12. Разходи'!CM59</f>
        <v>606.01065926864374</v>
      </c>
      <c r="V108" s="3579">
        <f>'12. Разходи'!CN59</f>
        <v>684.64259849115092</v>
      </c>
      <c r="W108" s="3579">
        <f>'12. Разходи'!CO59</f>
        <v>776.309590099768</v>
      </c>
      <c r="X108" s="3579">
        <f>'12. Разходи'!CP59</f>
        <v>881.32676421481619</v>
      </c>
      <c r="Y108" s="3579">
        <f>'12. Разходи'!CQ59</f>
        <v>1001.635602439493</v>
      </c>
      <c r="Z108" s="4292">
        <f t="shared" si="80"/>
        <v>0.48280951841657727</v>
      </c>
      <c r="AA108" s="4292">
        <f t="shared" si="81"/>
        <v>1.4508394077995916</v>
      </c>
    </row>
    <row r="109" spans="1:27" ht="15.75" customHeight="1">
      <c r="A109" s="4299" t="s">
        <v>220</v>
      </c>
      <c r="B109" s="3579">
        <f t="shared" si="82"/>
        <v>377.69881840446249</v>
      </c>
      <c r="C109" s="3579">
        <f t="shared" si="82"/>
        <v>665.60026198595995</v>
      </c>
      <c r="D109" s="3579">
        <f t="shared" si="82"/>
        <v>844.26961985448634</v>
      </c>
      <c r="E109" s="3579">
        <f t="shared" si="82"/>
        <v>1043.07365200452</v>
      </c>
      <c r="F109" s="3579">
        <f t="shared" si="82"/>
        <v>1262.92245798459</v>
      </c>
      <c r="G109" s="3579">
        <f t="shared" si="82"/>
        <v>1503.8364894699441</v>
      </c>
      <c r="I109" s="3447" t="s">
        <v>199</v>
      </c>
      <c r="J109" s="3441">
        <f>'10. Финансиране на ИП'!AT63</f>
        <v>0</v>
      </c>
      <c r="K109" s="3441">
        <f>'10. Финансиране на ИП'!AU63</f>
        <v>0</v>
      </c>
      <c r="L109" s="3441">
        <f>'10. Финансиране на ИП'!AV63</f>
        <v>0</v>
      </c>
      <c r="M109" s="3441">
        <f>'10. Финансиране на ИП'!AW63</f>
        <v>0</v>
      </c>
      <c r="N109" s="3441">
        <f>'10. Финансиране на ИП'!AX63</f>
        <v>0</v>
      </c>
      <c r="Q109" s="4309"/>
      <c r="S109" s="4294" t="s">
        <v>449</v>
      </c>
      <c r="T109" s="3579">
        <f>'12. Разходи'!CL63</f>
        <v>107.09357178958318</v>
      </c>
      <c r="U109" s="3579">
        <f>'12. Разходи'!CM63</f>
        <v>161.94466308612394</v>
      </c>
      <c r="V109" s="3579">
        <f>'12. Разходи'!CN63</f>
        <v>186.36055912156604</v>
      </c>
      <c r="W109" s="3579">
        <f>'12. Разходи'!CO63</f>
        <v>210.85958177761998</v>
      </c>
      <c r="X109" s="3579">
        <f>'12. Разходи'!CP63</f>
        <v>235.83766485521855</v>
      </c>
      <c r="Y109" s="3579">
        <f>'12. Разходи'!CQ63</f>
        <v>260.76052577172459</v>
      </c>
      <c r="Z109" s="4292">
        <f t="shared" si="80"/>
        <v>0.51217911943689631</v>
      </c>
      <c r="AA109" s="4292">
        <f t="shared" si="81"/>
        <v>1.4348849460737507</v>
      </c>
    </row>
    <row r="110" spans="1:27" ht="15.75" customHeight="1">
      <c r="A110" s="4299" t="s">
        <v>222</v>
      </c>
      <c r="B110" s="3579">
        <f t="shared" si="82"/>
        <v>2382.5478594765382</v>
      </c>
      <c r="C110" s="3579">
        <f t="shared" si="82"/>
        <v>3094.8611584851433</v>
      </c>
      <c r="D110" s="3579">
        <f t="shared" si="82"/>
        <v>3384.5351637923536</v>
      </c>
      <c r="E110" s="3579">
        <f t="shared" si="82"/>
        <v>3667.3680837291581</v>
      </c>
      <c r="F110" s="3579">
        <f t="shared" si="82"/>
        <v>3947.5627375589902</v>
      </c>
      <c r="G110" s="3579">
        <f t="shared" si="82"/>
        <v>4200.5566633091821</v>
      </c>
      <c r="I110" s="3445" t="s">
        <v>1916</v>
      </c>
      <c r="J110" s="3451">
        <f>'10. Финансиране на ИП'!CQ64*'10. Финансиране на ИП'!AT66</f>
        <v>0</v>
      </c>
      <c r="K110" s="3451">
        <f>'10. Финансиране на ИП'!CR64*'10. Финансиране на ИП'!AU66</f>
        <v>0</v>
      </c>
      <c r="L110" s="3451">
        <f>'10. Финансиране на ИП'!CS64*'10. Финансиране на ИП'!AV66</f>
        <v>0</v>
      </c>
      <c r="M110" s="3451">
        <f>'10. Финансиране на ИП'!CT64*'10. Финансиране на ИП'!AW66</f>
        <v>0</v>
      </c>
      <c r="N110" s="3451">
        <f>'10. Финансиране на ИП'!CU64*'10. Финансиране на ИП'!AX66</f>
        <v>0</v>
      </c>
      <c r="Q110" s="4309"/>
      <c r="S110" s="4294" t="s">
        <v>450</v>
      </c>
      <c r="T110" s="3579">
        <f>'12. Разходи'!CL70</f>
        <v>187.97541267998554</v>
      </c>
      <c r="U110" s="3579">
        <f>'12. Разходи'!CM70</f>
        <v>203.20612291553772</v>
      </c>
      <c r="V110" s="3579">
        <f>'12. Разходи'!CN70</f>
        <v>203.27076043515854</v>
      </c>
      <c r="W110" s="3579">
        <f>'12. Разходи'!CO70</f>
        <v>203.33587856914772</v>
      </c>
      <c r="X110" s="3579">
        <f>'12. Разходи'!CP70</f>
        <v>203.40090467059824</v>
      </c>
      <c r="Y110" s="3579">
        <f>'12. Разходи'!CQ70</f>
        <v>203.46617619215175</v>
      </c>
      <c r="Z110" s="4292">
        <f t="shared" si="80"/>
        <v>8.1025012890815443E-2</v>
      </c>
      <c r="AA110" s="4292">
        <f t="shared" si="81"/>
        <v>8.240845593214953E-2</v>
      </c>
    </row>
    <row r="111" spans="1:27" ht="15.75" customHeight="1">
      <c r="A111" s="5631" t="s">
        <v>1658</v>
      </c>
      <c r="B111" s="5631"/>
      <c r="C111" s="5631"/>
      <c r="D111" s="5631"/>
      <c r="E111" s="5631"/>
      <c r="F111" s="5631"/>
      <c r="G111" s="5631"/>
      <c r="I111" s="3445" t="s">
        <v>1917</v>
      </c>
      <c r="J111" s="3451">
        <f>'10. Финансиране на ИП'!CQ65*'10. Финансиране на ИП'!AT66</f>
        <v>0</v>
      </c>
      <c r="K111" s="3451">
        <f>'10. Финансиране на ИП'!CR65*'10. Финансиране на ИП'!AU66</f>
        <v>0</v>
      </c>
      <c r="L111" s="3451">
        <f>'10. Финансиране на ИП'!CS65*'10. Финансиране на ИП'!AV66</f>
        <v>0</v>
      </c>
      <c r="M111" s="3451">
        <f>'10. Финансиране на ИП'!CT65*'10. Финансиране на ИП'!AW66</f>
        <v>0</v>
      </c>
      <c r="N111" s="3451">
        <f>'10. Финансиране на ИП'!CU65*'10. Финансиране на ИП'!AX66</f>
        <v>0</v>
      </c>
      <c r="Q111" s="4309"/>
      <c r="S111" s="4294" t="s">
        <v>267</v>
      </c>
      <c r="T111" s="3579">
        <f>'12. Разходи'!CL76</f>
        <v>6.1786725988865543</v>
      </c>
      <c r="U111" s="3579">
        <f>'12. Разходи'!CM76</f>
        <v>6.6821110811836748</v>
      </c>
      <c r="V111" s="3579">
        <f>'12. Разходи'!CN76</f>
        <v>6.6821110811836748</v>
      </c>
      <c r="W111" s="3579">
        <f>'12. Разходи'!CO76</f>
        <v>6.6821110811836748</v>
      </c>
      <c r="X111" s="3579">
        <f>'12. Разходи'!CP76</f>
        <v>6.6821110811836748</v>
      </c>
      <c r="Y111" s="3579">
        <f>'12. Разходи'!CQ76</f>
        <v>6.6821110811836748</v>
      </c>
      <c r="Z111" s="4292">
        <f t="shared" si="80"/>
        <v>8.1480038671711483E-2</v>
      </c>
      <c r="AA111" s="4292">
        <f t="shared" si="81"/>
        <v>8.1480038671711483E-2</v>
      </c>
    </row>
    <row r="112" spans="1:27" ht="20.25" customHeight="1">
      <c r="A112" s="4293" t="s">
        <v>334</v>
      </c>
      <c r="B112" s="3703">
        <f t="shared" ref="B112:G115" si="83">B16+B34+B52+B70+B94</f>
        <v>69263.008891365811</v>
      </c>
      <c r="C112" s="3703">
        <f t="shared" si="83"/>
        <v>86603.60408900569</v>
      </c>
      <c r="D112" s="3703">
        <f t="shared" si="83"/>
        <v>89840.175263392011</v>
      </c>
      <c r="E112" s="3703">
        <f t="shared" si="83"/>
        <v>95905.7136230654</v>
      </c>
      <c r="F112" s="3703">
        <f t="shared" si="83"/>
        <v>96227.661338357633</v>
      </c>
      <c r="G112" s="3703">
        <f t="shared" si="83"/>
        <v>108284.21979180195</v>
      </c>
      <c r="I112" s="3452" t="s">
        <v>1936</v>
      </c>
      <c r="J112" s="4283" t="str">
        <f>+'15. ОПП'!$C$7</f>
        <v>2027 г.</v>
      </c>
      <c r="K112" s="4283" t="str">
        <f>+'15. ОПП'!$D$7</f>
        <v>2028 г.</v>
      </c>
      <c r="L112" s="4283" t="str">
        <f>+'15. ОПП'!$E$7</f>
        <v>2029 г.</v>
      </c>
      <c r="M112" s="4283" t="str">
        <f>+'15. ОПП'!$F$7</f>
        <v>2030 г.</v>
      </c>
      <c r="N112" s="4283" t="str">
        <f>+'15. ОПП'!$G$7</f>
        <v>2031 г.</v>
      </c>
      <c r="Q112" s="4309"/>
      <c r="S112" s="4302" t="s">
        <v>277</v>
      </c>
      <c r="T112" s="4303">
        <f>SUM(T102:T104,T108:T111)</f>
        <v>972.92784738743239</v>
      </c>
      <c r="U112" s="4303">
        <f t="shared" ref="U112:Y112" si="84">SUM(U102:U104,U108:U111)</f>
        <v>1477.1291719745007</v>
      </c>
      <c r="V112" s="4303">
        <f t="shared" si="84"/>
        <v>1502.9698090592458</v>
      </c>
      <c r="W112" s="4303">
        <f t="shared" si="84"/>
        <v>1618.8580158395898</v>
      </c>
      <c r="X112" s="4303">
        <f t="shared" si="84"/>
        <v>1763.8166921003585</v>
      </c>
      <c r="Y112" s="4303">
        <f t="shared" si="84"/>
        <v>1911.4215449720607</v>
      </c>
      <c r="Z112" s="4304">
        <f t="shared" si="80"/>
        <v>0.51823095200839575</v>
      </c>
      <c r="AA112" s="4304">
        <f t="shared" si="81"/>
        <v>0.96460770457411737</v>
      </c>
    </row>
    <row r="113" spans="1:27" ht="15.75" customHeight="1">
      <c r="A113" s="4295" t="s">
        <v>218</v>
      </c>
      <c r="B113" s="3579">
        <f t="shared" si="83"/>
        <v>1434.5145743750729</v>
      </c>
      <c r="C113" s="3579">
        <f t="shared" si="83"/>
        <v>1836.5460014970622</v>
      </c>
      <c r="D113" s="3579">
        <f t="shared" si="83"/>
        <v>1901.2774249847885</v>
      </c>
      <c r="E113" s="3579">
        <f t="shared" si="83"/>
        <v>2022.5881921782561</v>
      </c>
      <c r="F113" s="3579">
        <f t="shared" si="83"/>
        <v>2029.0271464841007</v>
      </c>
      <c r="G113" s="3579">
        <f t="shared" si="83"/>
        <v>2270.158315552987</v>
      </c>
      <c r="I113" s="3445" t="s">
        <v>1912</v>
      </c>
      <c r="J113" s="3450">
        <f>'10. Финансиране на ИП'!CQ70*'10. Финансиране на ИП'!AT77</f>
        <v>0</v>
      </c>
      <c r="K113" s="3450">
        <f>'10. Финансиране на ИП'!CR70*'10. Финансиране на ИП'!AU77</f>
        <v>0</v>
      </c>
      <c r="L113" s="3450">
        <f>'10. Финансиране на ИП'!CS70*'10. Финансиране на ИП'!AV77</f>
        <v>0</v>
      </c>
      <c r="M113" s="3450">
        <f>'10. Финансиране на ИП'!CT70*'10. Финансиране на ИП'!AW77</f>
        <v>0</v>
      </c>
      <c r="N113" s="3450">
        <f>'10. Финансиране на ИП'!CU70*'10. Финансиране на ИП'!AX77</f>
        <v>0</v>
      </c>
      <c r="Q113" s="4309"/>
      <c r="S113" s="4310" t="str">
        <f>CONCATENATE("Спестявания и увеличения спрямо ",T101," - нето:")</f>
        <v>Спестявания и увеличения спрямо 2024 г. - нето:</v>
      </c>
      <c r="T113" s="4311"/>
      <c r="U113" s="4310">
        <f>U112-$T112</f>
        <v>504.20132458706826</v>
      </c>
      <c r="V113" s="4310">
        <f t="shared" ref="V113:Y113" si="85">V112-$T112</f>
        <v>530.0419616718134</v>
      </c>
      <c r="W113" s="4310">
        <f t="shared" si="85"/>
        <v>645.93016845215743</v>
      </c>
      <c r="X113" s="4310">
        <f t="shared" si="85"/>
        <v>790.88884471292613</v>
      </c>
      <c r="Y113" s="4310">
        <f t="shared" si="85"/>
        <v>938.49369758462831</v>
      </c>
      <c r="Z113" s="4311"/>
      <c r="AA113" s="4311"/>
    </row>
    <row r="114" spans="1:27" ht="15.75" customHeight="1">
      <c r="A114" s="4299" t="s">
        <v>220</v>
      </c>
      <c r="B114" s="3579">
        <f t="shared" si="83"/>
        <v>26685.249086065753</v>
      </c>
      <c r="C114" s="3579">
        <f t="shared" si="83"/>
        <v>30168.117261017567</v>
      </c>
      <c r="D114" s="3579">
        <f t="shared" si="83"/>
        <v>32069.394686002353</v>
      </c>
      <c r="E114" s="3579">
        <f t="shared" si="83"/>
        <v>34091.982878180614</v>
      </c>
      <c r="F114" s="3579">
        <f t="shared" si="83"/>
        <v>36121.010024664713</v>
      </c>
      <c r="G114" s="3579">
        <f t="shared" si="83"/>
        <v>38391.168340217693</v>
      </c>
      <c r="I114" s="3447" t="s">
        <v>1913</v>
      </c>
      <c r="J114" s="3448">
        <f>'10. Финансиране на ИП'!CQ71*'10. Финансиране на ИП'!AT77</f>
        <v>0</v>
      </c>
      <c r="K114" s="3448">
        <f>'10. Финансиране на ИП'!CR71*'10. Финансиране на ИП'!AU77</f>
        <v>0</v>
      </c>
      <c r="L114" s="3448">
        <f>'10. Финансиране на ИП'!CS71*'10. Финансиране на ИП'!AV77</f>
        <v>0</v>
      </c>
      <c r="M114" s="3448">
        <f>'10. Финансиране на ИП'!CT71*'10. Финансиране на ИП'!AW77</f>
        <v>0</v>
      </c>
      <c r="N114" s="3448">
        <f>'10. Финансиране на ИП'!CU71*'10. Финансиране на ИП'!AX77</f>
        <v>0</v>
      </c>
      <c r="Q114" s="4309"/>
      <c r="S114" s="4294" t="s">
        <v>1668</v>
      </c>
      <c r="T114" s="3579">
        <f>+'12. Разходи'!CL92</f>
        <v>807.03569709419696</v>
      </c>
      <c r="U114" s="3579">
        <f>+'12. Разходи'!CM92</f>
        <v>1130.9762494509475</v>
      </c>
      <c r="V114" s="3579">
        <f>+'12. Разходи'!CN92</f>
        <v>1215.5161909070112</v>
      </c>
      <c r="W114" s="3579">
        <f>+'12. Разходи'!CO92</f>
        <v>1308.7823956503842</v>
      </c>
      <c r="X114" s="3579">
        <f>+'12. Разходи'!CP92</f>
        <v>1412.547631225465</v>
      </c>
      <c r="Y114" s="3579">
        <f>+'12. Разходи'!CQ92</f>
        <v>1528.1304248880685</v>
      </c>
      <c r="Z114" s="4292">
        <f t="shared" ref="Z114:Z116" si="86">IFERROR((U114-T114)/T114,0)</f>
        <v>0.40139556840314133</v>
      </c>
      <c r="AA114" s="4292">
        <f t="shared" ref="AA114:AA116" si="87">IFERROR((Y114-T114)/T114,0)</f>
        <v>0.89351032474800884</v>
      </c>
    </row>
    <row r="115" spans="1:27" ht="15.75" customHeight="1">
      <c r="A115" s="4299" t="s">
        <v>222</v>
      </c>
      <c r="B115" s="3579">
        <f t="shared" si="83"/>
        <v>42577.759805300062</v>
      </c>
      <c r="C115" s="3579">
        <f t="shared" si="83"/>
        <v>56435.486827988134</v>
      </c>
      <c r="D115" s="3579">
        <f t="shared" si="83"/>
        <v>57770.780577389662</v>
      </c>
      <c r="E115" s="3579">
        <f t="shared" si="83"/>
        <v>61813.730744884801</v>
      </c>
      <c r="F115" s="3579">
        <f t="shared" si="83"/>
        <v>60106.651313692935</v>
      </c>
      <c r="G115" s="3579">
        <f t="shared" si="83"/>
        <v>69893.051451584251</v>
      </c>
      <c r="I115" s="3447" t="s">
        <v>1914</v>
      </c>
      <c r="J115" s="3448">
        <f>'10. Финансиране на ИП'!CQ72*'10. Финансиране на ИП'!AT77</f>
        <v>0</v>
      </c>
      <c r="K115" s="3448">
        <f>'10. Финансиране на ИП'!CR72*'10. Финансиране на ИП'!AU77</f>
        <v>0</v>
      </c>
      <c r="L115" s="3448">
        <f>'10. Финансиране на ИП'!CS72*'10. Финансиране на ИП'!AV77</f>
        <v>0</v>
      </c>
      <c r="M115" s="3448">
        <f>'10. Финансиране на ИП'!CT72*'10. Финансиране на ИП'!AW77</f>
        <v>0</v>
      </c>
      <c r="N115" s="3448">
        <f>'10. Финансиране на ИП'!CU72*'10. Финансиране на ИП'!AX77</f>
        <v>0</v>
      </c>
      <c r="Q115" s="4309"/>
      <c r="S115" s="4294" t="s">
        <v>1670</v>
      </c>
      <c r="T115" s="3579">
        <f>+'12. Разходи'!CL93</f>
        <v>151.85299503765856</v>
      </c>
      <c r="U115" s="3579">
        <f>+'12. Разходи'!CM93</f>
        <v>186.1829568974031</v>
      </c>
      <c r="V115" s="3579">
        <f>+'12. Разходи'!CN93</f>
        <v>206.42711898278088</v>
      </c>
      <c r="W115" s="3579">
        <f>+'12. Разходи'!CO93</f>
        <v>231.29880529701526</v>
      </c>
      <c r="X115" s="3579">
        <f>+'12. Разходи'!CP93</f>
        <v>259.40317382407994</v>
      </c>
      <c r="Y115" s="3579">
        <f>+'12. Разходи'!CQ93</f>
        <v>291.11845790446046</v>
      </c>
      <c r="Z115" s="4292">
        <f t="shared" si="86"/>
        <v>0.22607365663898124</v>
      </c>
      <c r="AA115" s="4292">
        <f t="shared" si="87"/>
        <v>0.91710711950241719</v>
      </c>
    </row>
    <row r="116" spans="1:27" ht="15.75" customHeight="1">
      <c r="A116" s="4346"/>
      <c r="B116" s="4340"/>
      <c r="C116" s="4340"/>
      <c r="D116" s="4340"/>
      <c r="E116" s="4340"/>
      <c r="F116" s="4340"/>
      <c r="G116" s="3446" t="s">
        <v>1909</v>
      </c>
      <c r="I116" s="3445" t="s">
        <v>1915</v>
      </c>
      <c r="J116" s="3450">
        <f>'10. Финансиране на ИП'!CQ73*'10. Финансиране на ИП'!AT77</f>
        <v>0</v>
      </c>
      <c r="K116" s="3450">
        <f>'10. Финансиране на ИП'!CR73*'10. Финансиране на ИП'!AU77</f>
        <v>0</v>
      </c>
      <c r="L116" s="3450">
        <f>'10. Финансиране на ИП'!CS73*'10. Финансиране на ИП'!AV77</f>
        <v>0</v>
      </c>
      <c r="M116" s="3450">
        <f>'10. Финансиране на ИП'!CT73*'10. Финансиране на ИП'!AW77</f>
        <v>0</v>
      </c>
      <c r="N116" s="3450">
        <f>'10. Финансиране на ИП'!CU73*'10. Финансиране на ИП'!AX77</f>
        <v>0</v>
      </c>
      <c r="Q116" s="4309"/>
      <c r="S116" s="4313" t="s">
        <v>1669</v>
      </c>
      <c r="T116" s="3579">
        <f>+'12. Разходи'!CL94</f>
        <v>88.151514331125156</v>
      </c>
      <c r="U116" s="3579">
        <f>+'12. Разходи'!CM94</f>
        <v>109.23976103246568</v>
      </c>
      <c r="V116" s="3579">
        <f>+'12. Разходи'!CN94</f>
        <v>122.56244460795394</v>
      </c>
      <c r="W116" s="3579">
        <f>+'12. Разходи'!CO94</f>
        <v>137.89089636555022</v>
      </c>
      <c r="X116" s="3579">
        <f>+'12. Разходи'!CP94</f>
        <v>155.29676562071825</v>
      </c>
      <c r="Y116" s="3579">
        <f>+'12. Разходи'!CQ94</f>
        <v>175.03524691579145</v>
      </c>
      <c r="Z116" s="4292">
        <f t="shared" si="86"/>
        <v>0.23922727659704579</v>
      </c>
      <c r="AA116" s="4292">
        <f t="shared" si="87"/>
        <v>0.98561815124699192</v>
      </c>
    </row>
    <row r="117" spans="1:27" ht="15.75" customHeight="1">
      <c r="A117" s="5632" t="s">
        <v>1660</v>
      </c>
      <c r="B117" s="5636" t="s">
        <v>1659</v>
      </c>
      <c r="C117" s="5636"/>
      <c r="D117" s="5636"/>
      <c r="E117" s="5636"/>
      <c r="F117" s="5636"/>
      <c r="G117" s="5636"/>
      <c r="I117" s="3447" t="s">
        <v>199</v>
      </c>
      <c r="J117" s="3441">
        <f>'10. Финансиране на ИП'!AT74</f>
        <v>0</v>
      </c>
      <c r="K117" s="3441">
        <f>'10. Финансиране на ИП'!AU74</f>
        <v>0</v>
      </c>
      <c r="L117" s="3441">
        <f>'10. Финансиране на ИП'!AV74</f>
        <v>0</v>
      </c>
      <c r="M117" s="3441">
        <f>'10. Финансиране на ИП'!AW74</f>
        <v>0</v>
      </c>
      <c r="N117" s="3441">
        <f>'10. Финансиране на ИП'!CU74</f>
        <v>0</v>
      </c>
      <c r="Q117" s="4309"/>
      <c r="S117" s="4294" t="s">
        <v>637</v>
      </c>
      <c r="T117" s="3579">
        <f>'12. Разходи'!CL90</f>
        <v>64.531124861763814</v>
      </c>
      <c r="U117" s="3579">
        <f>'12. Разходи'!CM90</f>
        <v>116.01092260887278</v>
      </c>
      <c r="V117" s="3579">
        <f>'12. Разходи'!CN90</f>
        <v>131.01178162470063</v>
      </c>
      <c r="W117" s="3579">
        <f>'12. Разходи'!CO90</f>
        <v>148.60555154749522</v>
      </c>
      <c r="X117" s="3579">
        <f>'12. Разходи'!CP90</f>
        <v>167.83078371330456</v>
      </c>
      <c r="Y117" s="3579">
        <f>'12. Разходи'!CQ90</f>
        <v>191.62390407454251</v>
      </c>
      <c r="Z117" s="4292">
        <f t="shared" si="80"/>
        <v>0.79775143943929505</v>
      </c>
      <c r="AA117" s="4292">
        <f t="shared" si="81"/>
        <v>1.9694803009405484</v>
      </c>
    </row>
    <row r="118" spans="1:27" ht="15.75" customHeight="1">
      <c r="A118" s="5632"/>
      <c r="B118" s="4333" t="str">
        <f>+B100</f>
        <v>2024 г.</v>
      </c>
      <c r="C118" s="4333" t="str">
        <f t="shared" ref="C118:G118" si="88">+C100</f>
        <v>2027 г.</v>
      </c>
      <c r="D118" s="4333" t="str">
        <f t="shared" si="88"/>
        <v>2028 г.</v>
      </c>
      <c r="E118" s="4333" t="str">
        <f t="shared" si="88"/>
        <v>2029 г.</v>
      </c>
      <c r="F118" s="4333" t="str">
        <f t="shared" si="88"/>
        <v>2030 г.</v>
      </c>
      <c r="G118" s="4333" t="str">
        <f t="shared" si="88"/>
        <v>2031 г.</v>
      </c>
      <c r="I118" s="3445" t="s">
        <v>1916</v>
      </c>
      <c r="J118" s="3451">
        <f>'10. Финансиране на ИП'!CQ75*'10. Финансиране на ИП'!AT77</f>
        <v>0</v>
      </c>
      <c r="K118" s="3451">
        <f>'10. Финансиране на ИП'!CR75*'10. Финансиране на ИП'!AU77</f>
        <v>0</v>
      </c>
      <c r="L118" s="3451">
        <f>'10. Финансиране на ИП'!CS75*'10. Финансиране на ИП'!AV77</f>
        <v>0</v>
      </c>
      <c r="M118" s="3451">
        <f>'10. Финансиране на ИП'!CT75*'10. Финансиране на ИП'!AW77</f>
        <v>0</v>
      </c>
      <c r="N118" s="3451">
        <f>'10. Финансиране на ИП'!CU75*'10. Финансиране на ИП'!AX77</f>
        <v>0</v>
      </c>
      <c r="Q118" s="4309"/>
      <c r="S118" s="4294" t="s">
        <v>1667</v>
      </c>
      <c r="T118" s="3579">
        <f>'12. Разходи'!CL89</f>
        <v>339.79122085695275</v>
      </c>
      <c r="U118" s="3579">
        <f>'12. Разходи'!CM89</f>
        <v>415.61532197466829</v>
      </c>
      <c r="V118" s="3579">
        <f>'12. Разходи'!CN89</f>
        <v>415.92193601367734</v>
      </c>
      <c r="W118" s="3579">
        <f>'12. Разходи'!CO89</f>
        <v>416.22106169524415</v>
      </c>
      <c r="X118" s="3579">
        <f>'12. Разходи'!CP89</f>
        <v>416.52595522140467</v>
      </c>
      <c r="Y118" s="3579">
        <f>'12. Разходи'!CQ89</f>
        <v>416.83030299575631</v>
      </c>
      <c r="Z118" s="4292">
        <f t="shared" si="80"/>
        <v>0.22314908821507312</v>
      </c>
      <c r="AA118" s="4292">
        <f t="shared" si="81"/>
        <v>0.22672475746875143</v>
      </c>
    </row>
    <row r="119" spans="1:27" ht="15.75" customHeight="1">
      <c r="A119" s="4299" t="s">
        <v>1661</v>
      </c>
      <c r="B119" s="3579">
        <f t="shared" ref="B119:G119" si="89">B16</f>
        <v>29114.116209102573</v>
      </c>
      <c r="C119" s="3579">
        <f t="shared" si="89"/>
        <v>43451.411539167057</v>
      </c>
      <c r="D119" s="3579">
        <f t="shared" si="89"/>
        <v>46687.982713553378</v>
      </c>
      <c r="E119" s="3579">
        <f t="shared" si="89"/>
        <v>52753.521073226766</v>
      </c>
      <c r="F119" s="3579">
        <f t="shared" si="89"/>
        <v>53075.468788519</v>
      </c>
      <c r="G119" s="3579">
        <f t="shared" si="89"/>
        <v>65132.027241963311</v>
      </c>
      <c r="I119" s="3445" t="s">
        <v>1917</v>
      </c>
      <c r="J119" s="3451">
        <f>'10. Финансиране на ИП'!CQ76*'10. Финансиране на ИП'!AT77</f>
        <v>0</v>
      </c>
      <c r="K119" s="3451">
        <f>'10. Финансиране на ИП'!CR76*'10. Финансиране на ИП'!AU77</f>
        <v>0</v>
      </c>
      <c r="L119" s="3451">
        <f>'10. Финансиране на ИП'!CS76*'10. Финансиране на ИП'!AV77</f>
        <v>0</v>
      </c>
      <c r="M119" s="3451">
        <f>'10. Финансиране на ИП'!CT76*'10. Финансиране на ИП'!AW77</f>
        <v>0</v>
      </c>
      <c r="N119" s="3451">
        <f>'10. Финансиране на ИП'!CU76*'10. Финансиране на ИП'!AX77</f>
        <v>0</v>
      </c>
      <c r="Q119" s="4309"/>
      <c r="S119" s="1365" t="s">
        <v>1682</v>
      </c>
      <c r="T119" s="4340"/>
      <c r="U119" s="4340"/>
      <c r="V119" s="4340"/>
      <c r="W119" s="4340"/>
      <c r="X119" s="4340"/>
      <c r="Y119" s="4340"/>
      <c r="Z119" s="4340"/>
      <c r="AA119" s="4340"/>
    </row>
    <row r="120" spans="1:27" ht="15.75" customHeight="1">
      <c r="A120" s="4317" t="s">
        <v>1662</v>
      </c>
      <c r="B120" s="4311"/>
      <c r="C120" s="4296">
        <f>'11.2. ДА за периода'!AX110</f>
        <v>9511.1914021157263</v>
      </c>
      <c r="D120" s="4296">
        <f>'11.2. ДА за периода'!AY110</f>
        <v>3236.5711743863221</v>
      </c>
      <c r="E120" s="4296">
        <f>'11.2. ДА за периода'!AZ110</f>
        <v>6065.5383596733864</v>
      </c>
      <c r="F120" s="4296">
        <f>'11.2. ДА за периода'!BA110</f>
        <v>321.94771529222885</v>
      </c>
      <c r="G120" s="4296">
        <f>'11.2. ДА за периода'!BB110</f>
        <v>12056.558453444317</v>
      </c>
      <c r="I120" s="1332" t="s">
        <v>951</v>
      </c>
      <c r="J120" s="1331"/>
      <c r="K120" s="1331"/>
      <c r="L120" s="1331"/>
      <c r="M120" s="1331"/>
      <c r="N120" s="1331"/>
      <c r="O120" s="1331"/>
      <c r="Q120" s="4309"/>
      <c r="S120" s="5637" t="s">
        <v>1919</v>
      </c>
      <c r="T120" s="5636" t="s">
        <v>1659</v>
      </c>
      <c r="U120" s="5636"/>
      <c r="V120" s="5636"/>
      <c r="W120" s="5636"/>
      <c r="X120" s="5636"/>
      <c r="Y120" s="5636"/>
      <c r="Z120" s="5603" t="str">
        <f>+"Изменение "&amp;U121&amp;" спр. "&amp;T121</f>
        <v>Изменение 2027 г. спр. 2024 г.</v>
      </c>
      <c r="AA120" s="5603" t="str">
        <f>+"Изменение "&amp;Y121&amp;" спр. "&amp;T121</f>
        <v>Изменение 2031 г. спр. 2024 г.</v>
      </c>
    </row>
    <row r="121" spans="1:27" ht="15.75" customHeight="1">
      <c r="A121" s="4299" t="s">
        <v>174</v>
      </c>
      <c r="B121" s="3579">
        <f t="shared" ref="B121:G121" si="90">B34</f>
        <v>21504.787936579367</v>
      </c>
      <c r="C121" s="3579">
        <f t="shared" si="90"/>
        <v>21747.111645695193</v>
      </c>
      <c r="D121" s="3579">
        <f t="shared" si="90"/>
        <v>21747.111645695193</v>
      </c>
      <c r="E121" s="3579">
        <f t="shared" si="90"/>
        <v>21747.111645695193</v>
      </c>
      <c r="F121" s="3579">
        <f t="shared" si="90"/>
        <v>21747.111645695193</v>
      </c>
      <c r="G121" s="3579">
        <f t="shared" si="90"/>
        <v>21747.111645695193</v>
      </c>
      <c r="I121" s="4282" t="s">
        <v>1918</v>
      </c>
      <c r="J121" s="4283" t="str">
        <f>+'15. ОПП'!$C$7</f>
        <v>2027 г.</v>
      </c>
      <c r="K121" s="4283" t="str">
        <f>+'15. ОПП'!$D$7</f>
        <v>2028 г.</v>
      </c>
      <c r="L121" s="4283" t="str">
        <f>+'15. ОПП'!$E$7</f>
        <v>2029 г.</v>
      </c>
      <c r="M121" s="4283" t="str">
        <f>+'15. ОПП'!$F$7</f>
        <v>2030 г.</v>
      </c>
      <c r="N121" s="4283" t="str">
        <f>+'15. ОПП'!$G$7</f>
        <v>2031 г.</v>
      </c>
      <c r="O121" s="4283" t="s">
        <v>1621</v>
      </c>
      <c r="Q121" s="4309"/>
      <c r="S121" s="5638"/>
      <c r="T121" s="4279" t="str">
        <f t="shared" ref="T121:Y121" si="91">T46</f>
        <v>2024 г.</v>
      </c>
      <c r="U121" s="4279" t="str">
        <f t="shared" si="91"/>
        <v>2027 г.</v>
      </c>
      <c r="V121" s="4279" t="str">
        <f t="shared" si="91"/>
        <v>2028 г.</v>
      </c>
      <c r="W121" s="4279" t="str">
        <f t="shared" si="91"/>
        <v>2029 г.</v>
      </c>
      <c r="X121" s="4279" t="str">
        <f t="shared" si="91"/>
        <v>2030 г.</v>
      </c>
      <c r="Y121" s="4279" t="str">
        <f t="shared" si="91"/>
        <v>2031 г.</v>
      </c>
      <c r="Z121" s="5603"/>
      <c r="AA121" s="5603"/>
    </row>
    <row r="122" spans="1:27" ht="15.75" customHeight="1">
      <c r="A122" s="4317" t="s">
        <v>1662</v>
      </c>
      <c r="B122" s="4311"/>
      <c r="C122" s="4296">
        <f>'11.2. ДА за периода'!BE110</f>
        <v>0</v>
      </c>
      <c r="D122" s="4296">
        <f>'11.2. ДА за периода'!BF110</f>
        <v>0</v>
      </c>
      <c r="E122" s="4296">
        <f>'11.2. ДА за периода'!BG110</f>
        <v>0</v>
      </c>
      <c r="F122" s="4296">
        <f>'11.2. ДА за периода'!BH110</f>
        <v>0</v>
      </c>
      <c r="G122" s="4296">
        <f>'11.2. ДА за периода'!BI110</f>
        <v>0</v>
      </c>
      <c r="I122" s="4330" t="s">
        <v>1615</v>
      </c>
      <c r="J122" s="4303">
        <f>'9.Инвестиционна програма'!BC152</f>
        <v>545.03714535516895</v>
      </c>
      <c r="K122" s="4303">
        <f>'9.Инвестиционна програма'!BD152</f>
        <v>468.34336317573621</v>
      </c>
      <c r="L122" s="4303">
        <f>'9.Инвестиционна програма'!BE152</f>
        <v>481.63695208683782</v>
      </c>
      <c r="M122" s="4303">
        <f>'9.Инвестиционна програма'!BF152</f>
        <v>500.04345980990166</v>
      </c>
      <c r="N122" s="4303">
        <f>'9.Инвестиционна програма'!BG152</f>
        <v>493.90795723554714</v>
      </c>
      <c r="O122" s="4303">
        <f t="shared" ref="O122:O124" si="92">SUM(J122:N122)</f>
        <v>2488.9688776631915</v>
      </c>
      <c r="Q122" s="4309"/>
      <c r="S122" s="4294" t="s">
        <v>226</v>
      </c>
      <c r="T122" s="3579">
        <f t="shared" ref="T122:Y131" si="93">T5+T26+T47+T78+T102</f>
        <v>1749.4890740310771</v>
      </c>
      <c r="U122" s="3579">
        <f t="shared" si="93"/>
        <v>2105.3065541387718</v>
      </c>
      <c r="V122" s="3579">
        <f t="shared" si="93"/>
        <v>2080.7788130694166</v>
      </c>
      <c r="W122" s="3579">
        <f t="shared" si="93"/>
        <v>2054.7549201198608</v>
      </c>
      <c r="X122" s="3579">
        <f t="shared" si="93"/>
        <v>2019.3768414258452</v>
      </c>
      <c r="Y122" s="3579">
        <f t="shared" si="93"/>
        <v>1970.8774167057131</v>
      </c>
      <c r="Z122" s="4292">
        <f>IFERROR((U122-T122)/T122,0)</f>
        <v>0.20338365377032028</v>
      </c>
      <c r="AA122" s="4292">
        <f>IFERROR((Y122-T122)/T122,0)</f>
        <v>0.12654457004668521</v>
      </c>
    </row>
    <row r="123" spans="1:27" ht="15.75" customHeight="1">
      <c r="A123" s="4299" t="s">
        <v>184</v>
      </c>
      <c r="B123" s="3579">
        <f t="shared" ref="B123:G123" si="94">B52</f>
        <v>17717.936451532085</v>
      </c>
      <c r="C123" s="3579">
        <f t="shared" si="94"/>
        <v>20478.912609991665</v>
      </c>
      <c r="D123" s="3579">
        <f t="shared" si="94"/>
        <v>20478.912609991665</v>
      </c>
      <c r="E123" s="3579">
        <f t="shared" si="94"/>
        <v>20478.912609991665</v>
      </c>
      <c r="F123" s="3579">
        <f t="shared" si="94"/>
        <v>20478.912609991665</v>
      </c>
      <c r="G123" s="3579">
        <f t="shared" si="94"/>
        <v>20478.912609991665</v>
      </c>
      <c r="I123" s="4295" t="s">
        <v>1622</v>
      </c>
      <c r="J123" s="4296">
        <f>'10. Финансиране на ИП'!CQ18</f>
        <v>545.03714535516895</v>
      </c>
      <c r="K123" s="4296">
        <f>'10. Финансиране на ИП'!CR18</f>
        <v>468.34336317573621</v>
      </c>
      <c r="L123" s="4296">
        <f>'10. Финансиране на ИП'!CS18</f>
        <v>481.63695208683782</v>
      </c>
      <c r="M123" s="4296">
        <f>'10. Финансиране на ИП'!CT18</f>
        <v>500.04345980990166</v>
      </c>
      <c r="N123" s="4296">
        <f>'10. Финансиране на ИП'!CU18</f>
        <v>493.90795723554714</v>
      </c>
      <c r="O123" s="4328">
        <f t="shared" si="92"/>
        <v>2488.9688776631915</v>
      </c>
      <c r="Q123" s="4309"/>
      <c r="S123" s="4294" t="s">
        <v>239</v>
      </c>
      <c r="T123" s="3579">
        <f t="shared" si="93"/>
        <v>586.14927990821434</v>
      </c>
      <c r="U123" s="3579">
        <f t="shared" si="93"/>
        <v>659.85436721231702</v>
      </c>
      <c r="V123" s="3579">
        <f t="shared" si="93"/>
        <v>661.2858925014225</v>
      </c>
      <c r="W123" s="3579">
        <f t="shared" si="93"/>
        <v>658.44661200314681</v>
      </c>
      <c r="X123" s="3579">
        <f t="shared" si="93"/>
        <v>661.74960853003176</v>
      </c>
      <c r="Y123" s="3579">
        <f t="shared" si="93"/>
        <v>659.12718921358658</v>
      </c>
      <c r="Z123" s="4292">
        <f t="shared" ref="Z123:Z138" si="95">IFERROR((U123-T123)/T123,0)</f>
        <v>0.12574456683738353</v>
      </c>
      <c r="AA123" s="4292">
        <f t="shared" ref="AA123:AA138" si="96">IFERROR((Y123-T123)/T123,0)</f>
        <v>0.12450396478658118</v>
      </c>
    </row>
    <row r="124" spans="1:27" ht="15.75" customHeight="1">
      <c r="A124" s="4317" t="s">
        <v>1662</v>
      </c>
      <c r="B124" s="4311"/>
      <c r="C124" s="4296">
        <f>'11.2. ДА за периода'!BL110</f>
        <v>0</v>
      </c>
      <c r="D124" s="4296">
        <f>'11.2. ДА за периода'!BM110</f>
        <v>0</v>
      </c>
      <c r="E124" s="4296">
        <f>'11.2. ДА за периода'!BN110</f>
        <v>0</v>
      </c>
      <c r="F124" s="4296">
        <f>'11.2. ДА за периода'!BO110</f>
        <v>0</v>
      </c>
      <c r="G124" s="4296">
        <f>'11.2. ДА за периода'!BP110</f>
        <v>0</v>
      </c>
      <c r="I124" s="4295" t="s">
        <v>1625</v>
      </c>
      <c r="J124" s="4296">
        <f>'10. Финансиране на ИП'!CQ19</f>
        <v>0</v>
      </c>
      <c r="K124" s="4296">
        <f>'10. Финансиране на ИП'!CR19</f>
        <v>0</v>
      </c>
      <c r="L124" s="4296">
        <f>'10. Финансиране на ИП'!CS19</f>
        <v>0</v>
      </c>
      <c r="M124" s="4296">
        <f>'10. Финансиране на ИП'!CT19</f>
        <v>0</v>
      </c>
      <c r="N124" s="4296">
        <f>'10. Финансиране на ИП'!CU19</f>
        <v>0</v>
      </c>
      <c r="O124" s="4328">
        <f t="shared" si="92"/>
        <v>0</v>
      </c>
      <c r="Q124" s="4309"/>
      <c r="S124" s="4294" t="s">
        <v>446</v>
      </c>
      <c r="T124" s="3579">
        <f t="shared" si="93"/>
        <v>572.07477275334963</v>
      </c>
      <c r="U124" s="3579">
        <f t="shared" si="93"/>
        <v>710.41133893875178</v>
      </c>
      <c r="V124" s="3579">
        <f t="shared" si="93"/>
        <v>636.38650037916329</v>
      </c>
      <c r="W124" s="3579">
        <f t="shared" si="93"/>
        <v>610.07778661839291</v>
      </c>
      <c r="X124" s="3579">
        <f t="shared" si="93"/>
        <v>618.17035767483412</v>
      </c>
      <c r="Y124" s="3579">
        <f t="shared" si="93"/>
        <v>615.06170303716112</v>
      </c>
      <c r="Z124" s="4292">
        <f t="shared" si="95"/>
        <v>0.24181553316815466</v>
      </c>
      <c r="AA124" s="4292">
        <f t="shared" si="96"/>
        <v>7.5142153318383309E-2</v>
      </c>
    </row>
    <row r="125" spans="1:27" ht="15.75" customHeight="1">
      <c r="A125" s="4299" t="s">
        <v>1029</v>
      </c>
      <c r="B125" s="3579">
        <f t="shared" ref="B125:G125" si="97">B70</f>
        <v>0</v>
      </c>
      <c r="C125" s="3579">
        <f t="shared" si="97"/>
        <v>0</v>
      </c>
      <c r="D125" s="3579">
        <f t="shared" si="97"/>
        <v>0</v>
      </c>
      <c r="E125" s="3579">
        <f t="shared" si="97"/>
        <v>0</v>
      </c>
      <c r="F125" s="3579">
        <f t="shared" si="97"/>
        <v>0</v>
      </c>
      <c r="G125" s="3579">
        <f t="shared" si="97"/>
        <v>0</v>
      </c>
      <c r="I125" s="1332"/>
      <c r="J125" s="4347"/>
      <c r="K125" s="4347"/>
      <c r="L125" s="4347"/>
      <c r="M125" s="4347"/>
      <c r="N125" s="4347"/>
      <c r="O125" s="4348"/>
      <c r="Q125" s="4309"/>
      <c r="S125" s="4313" t="s">
        <v>447</v>
      </c>
      <c r="T125" s="3579">
        <f t="shared" si="93"/>
        <v>56.450076332904054</v>
      </c>
      <c r="U125" s="3579">
        <f t="shared" si="93"/>
        <v>108.12602866873448</v>
      </c>
      <c r="V125" s="3579">
        <f t="shared" si="93"/>
        <v>110.79497228857872</v>
      </c>
      <c r="W125" s="3579">
        <f t="shared" si="93"/>
        <v>114.12859535397807</v>
      </c>
      <c r="X125" s="3579">
        <f t="shared" si="93"/>
        <v>118.1268978649325</v>
      </c>
      <c r="Y125" s="3579">
        <f t="shared" si="93"/>
        <v>121.15374580161412</v>
      </c>
      <c r="Z125" s="4292">
        <f t="shared" si="95"/>
        <v>0.91542750148079333</v>
      </c>
      <c r="AA125" s="4292">
        <f t="shared" si="96"/>
        <v>1.146210486716297</v>
      </c>
    </row>
    <row r="126" spans="1:27" ht="15.75" customHeight="1">
      <c r="A126" s="4317" t="s">
        <v>1662</v>
      </c>
      <c r="B126" s="4311"/>
      <c r="C126" s="4296">
        <f>'11.2. ДА за периода'!BS110</f>
        <v>0</v>
      </c>
      <c r="D126" s="4296">
        <f>'11.2. ДА за периода'!BT110</f>
        <v>0</v>
      </c>
      <c r="E126" s="4296">
        <f>'11.2. ДА за периода'!BU110</f>
        <v>0</v>
      </c>
      <c r="F126" s="4296">
        <f>'11.2. ДА за периода'!BV110</f>
        <v>0</v>
      </c>
      <c r="G126" s="4296">
        <f>'11.2. ДА за периода'!BW110</f>
        <v>0</v>
      </c>
      <c r="I126" s="4282" t="s">
        <v>1918</v>
      </c>
      <c r="J126" s="4283" t="str">
        <f>+'15. ОПП'!$C$7</f>
        <v>2027 г.</v>
      </c>
      <c r="K126" s="4283" t="str">
        <f>+'15. ОПП'!$D$7</f>
        <v>2028 г.</v>
      </c>
      <c r="L126" s="4283" t="str">
        <f>+'15. ОПП'!$E$7</f>
        <v>2029 г.</v>
      </c>
      <c r="M126" s="4283" t="str">
        <f>+'15. ОПП'!$F$7</f>
        <v>2030 г.</v>
      </c>
      <c r="N126" s="4283" t="str">
        <f>+'15. ОПП'!$G$7</f>
        <v>2031 г.</v>
      </c>
      <c r="O126" s="4283" t="s">
        <v>1621</v>
      </c>
      <c r="Q126" s="4309"/>
      <c r="S126" s="4300" t="s">
        <v>736</v>
      </c>
      <c r="T126" s="3579">
        <f t="shared" si="93"/>
        <v>78.178456205293941</v>
      </c>
      <c r="U126" s="3579">
        <f t="shared" si="93"/>
        <v>157.48142231175513</v>
      </c>
      <c r="V126" s="3579">
        <f t="shared" si="93"/>
        <v>178.66935786852645</v>
      </c>
      <c r="W126" s="3579">
        <f t="shared" si="93"/>
        <v>198.80403215003355</v>
      </c>
      <c r="X126" s="3579">
        <f t="shared" si="93"/>
        <v>219.8488059800699</v>
      </c>
      <c r="Y126" s="3579">
        <f t="shared" si="93"/>
        <v>240.91403148535409</v>
      </c>
      <c r="Z126" s="4292">
        <f t="shared" si="95"/>
        <v>1.0143838847138951</v>
      </c>
      <c r="AA126" s="4292">
        <f t="shared" si="96"/>
        <v>2.0815910569111535</v>
      </c>
    </row>
    <row r="127" spans="1:27" ht="15.75" customHeight="1">
      <c r="A127" s="4299" t="s">
        <v>1092</v>
      </c>
      <c r="B127" s="3579">
        <f t="shared" ref="B127:G127" si="98">B94</f>
        <v>926.16829415178506</v>
      </c>
      <c r="C127" s="3579">
        <f t="shared" si="98"/>
        <v>926.16829415178506</v>
      </c>
      <c r="D127" s="3579">
        <f t="shared" si="98"/>
        <v>926.16829415178506</v>
      </c>
      <c r="E127" s="3579">
        <f t="shared" si="98"/>
        <v>926.16829415178506</v>
      </c>
      <c r="F127" s="3579">
        <f t="shared" si="98"/>
        <v>926.16829415178506</v>
      </c>
      <c r="G127" s="3579">
        <f t="shared" si="98"/>
        <v>926.16829415178506</v>
      </c>
      <c r="I127" s="3445" t="s">
        <v>1622</v>
      </c>
      <c r="J127" s="3579">
        <f>J123</f>
        <v>545.03714535516895</v>
      </c>
      <c r="K127" s="3579">
        <f t="shared" ref="K127:N127" si="99">K123</f>
        <v>468.34336317573621</v>
      </c>
      <c r="L127" s="3579">
        <f t="shared" si="99"/>
        <v>481.63695208683782</v>
      </c>
      <c r="M127" s="3579">
        <f t="shared" si="99"/>
        <v>500.04345980990166</v>
      </c>
      <c r="N127" s="3579">
        <f t="shared" si="99"/>
        <v>493.90795723554714</v>
      </c>
      <c r="O127" s="3703">
        <f t="shared" ref="O127:O128" si="100">SUM(J127:N127)</f>
        <v>2488.9688776631915</v>
      </c>
      <c r="Q127" s="4309"/>
      <c r="S127" s="4300" t="s">
        <v>737</v>
      </c>
      <c r="T127" s="3579">
        <f t="shared" si="93"/>
        <v>437.4462402151517</v>
      </c>
      <c r="U127" s="3579">
        <f t="shared" si="93"/>
        <v>444.80388795826224</v>
      </c>
      <c r="V127" s="3579">
        <f t="shared" si="93"/>
        <v>346.92217022205824</v>
      </c>
      <c r="W127" s="3579">
        <f t="shared" si="93"/>
        <v>297.14515911438133</v>
      </c>
      <c r="X127" s="3579">
        <f t="shared" si="93"/>
        <v>280.19465382983174</v>
      </c>
      <c r="Y127" s="3579">
        <f t="shared" si="93"/>
        <v>252.993925750193</v>
      </c>
      <c r="Z127" s="4292">
        <f t="shared" si="95"/>
        <v>1.6819547333386108E-2</v>
      </c>
      <c r="AA127" s="4292">
        <f t="shared" si="96"/>
        <v>-0.4216571032231034</v>
      </c>
    </row>
    <row r="128" spans="1:27" ht="15.75" customHeight="1">
      <c r="A128" s="4317" t="s">
        <v>1662</v>
      </c>
      <c r="B128" s="4311"/>
      <c r="C128" s="4296">
        <f>'11.2. ДА за периода'!BZ110</f>
        <v>0</v>
      </c>
      <c r="D128" s="4296">
        <f>'11.2. ДА за периода'!CA110</f>
        <v>0</v>
      </c>
      <c r="E128" s="4296">
        <f>'11.2. ДА за периода'!CB110</f>
        <v>0</v>
      </c>
      <c r="F128" s="4296">
        <f>'11.2. ДА за периода'!CC110</f>
        <v>0</v>
      </c>
      <c r="G128" s="4296">
        <f>'11.2. ДА за периода'!CD110</f>
        <v>0</v>
      </c>
      <c r="I128" s="4331" t="s">
        <v>1626</v>
      </c>
      <c r="J128" s="3579">
        <f>'10. Финансиране на ИП'!CQ24</f>
        <v>57.248164914848473</v>
      </c>
      <c r="K128" s="3579">
        <f>'10. Финансиране на ИП'!CR24</f>
        <v>57.248164914848473</v>
      </c>
      <c r="L128" s="3579">
        <f>'10. Финансиране на ИП'!CS24</f>
        <v>14.312239177577057</v>
      </c>
      <c r="M128" s="3579">
        <f>'10. Финансиране на ИП'!CT24</f>
        <v>0</v>
      </c>
      <c r="N128" s="3579">
        <f>'10. Финансиране на ИП'!CU24</f>
        <v>0</v>
      </c>
      <c r="O128" s="3703">
        <f t="shared" si="100"/>
        <v>128.808569007274</v>
      </c>
      <c r="Q128" s="4309"/>
      <c r="S128" s="4349" t="s">
        <v>448</v>
      </c>
      <c r="T128" s="3579">
        <f t="shared" si="93"/>
        <v>3209.3003586426244</v>
      </c>
      <c r="U128" s="3579">
        <f t="shared" si="93"/>
        <v>4787.4262128278551</v>
      </c>
      <c r="V128" s="3579">
        <f t="shared" si="93"/>
        <v>5422.7913725982626</v>
      </c>
      <c r="W128" s="3579">
        <f t="shared" si="93"/>
        <v>6165.5333280983177</v>
      </c>
      <c r="X128" s="3579">
        <f t="shared" si="93"/>
        <v>7014.9198131148314</v>
      </c>
      <c r="Y128" s="3579">
        <f t="shared" si="93"/>
        <v>7983.7853282517926</v>
      </c>
      <c r="Z128" s="4292">
        <f t="shared" si="95"/>
        <v>0.49173516898639558</v>
      </c>
      <c r="AA128" s="4292">
        <f t="shared" si="96"/>
        <v>1.4877027501497364</v>
      </c>
    </row>
    <row r="129" spans="1:42" ht="15.75" customHeight="1">
      <c r="A129" s="4293" t="s">
        <v>1659</v>
      </c>
      <c r="B129" s="3703">
        <f>SUM(B119,B121,B123,B125,B127)</f>
        <v>69263.008891365811</v>
      </c>
      <c r="C129" s="3703">
        <f t="shared" ref="C129:G129" si="101">SUM(C119,C121,C123,C125,C127)</f>
        <v>86603.60408900569</v>
      </c>
      <c r="D129" s="3703">
        <f t="shared" si="101"/>
        <v>89840.175263392011</v>
      </c>
      <c r="E129" s="3703">
        <f t="shared" si="101"/>
        <v>95905.7136230654</v>
      </c>
      <c r="F129" s="3703">
        <f t="shared" si="101"/>
        <v>96227.661338357633</v>
      </c>
      <c r="G129" s="3703">
        <f t="shared" si="101"/>
        <v>108284.21979180195</v>
      </c>
      <c r="I129" s="3453" t="s">
        <v>1647</v>
      </c>
      <c r="J129" s="4303">
        <f>SUM(J127:J128)</f>
        <v>602.28531027001736</v>
      </c>
      <c r="K129" s="4303">
        <f t="shared" ref="K129:N129" si="102">SUM(K127:K128)</f>
        <v>525.59152809058469</v>
      </c>
      <c r="L129" s="4303">
        <f t="shared" si="102"/>
        <v>495.94919126441488</v>
      </c>
      <c r="M129" s="4303">
        <f t="shared" si="102"/>
        <v>500.04345980990166</v>
      </c>
      <c r="N129" s="4303">
        <f t="shared" si="102"/>
        <v>493.90795723554714</v>
      </c>
      <c r="O129" s="4303">
        <f>SUM(J129:N129)</f>
        <v>2617.7774466704659</v>
      </c>
      <c r="Q129" s="4309"/>
      <c r="S129" s="4294" t="s">
        <v>449</v>
      </c>
      <c r="T129" s="3579">
        <f t="shared" si="93"/>
        <v>847.64663721148747</v>
      </c>
      <c r="U129" s="3579">
        <f t="shared" si="93"/>
        <v>1310.1012471058134</v>
      </c>
      <c r="V129" s="3579">
        <f t="shared" si="93"/>
        <v>1508.4048137388804</v>
      </c>
      <c r="W129" s="3579">
        <f t="shared" si="93"/>
        <v>1705.242098120794</v>
      </c>
      <c r="X129" s="3579">
        <f t="shared" si="93"/>
        <v>1904.6584884469733</v>
      </c>
      <c r="Y129" s="3579">
        <f t="shared" si="93"/>
        <v>2104.5795066575579</v>
      </c>
      <c r="Z129" s="4292">
        <f t="shared" si="95"/>
        <v>0.54557475909497855</v>
      </c>
      <c r="AA129" s="4292">
        <f t="shared" si="96"/>
        <v>1.4828500630652137</v>
      </c>
    </row>
    <row r="130" spans="1:42" ht="15.75" customHeight="1">
      <c r="I130" s="3453" t="s">
        <v>1627</v>
      </c>
      <c r="J130" s="4303">
        <f>'12. Разходи'!CZ57</f>
        <v>157.48142231175513</v>
      </c>
      <c r="K130" s="4303">
        <f>'12. Разходи'!DA57</f>
        <v>178.66935786852639</v>
      </c>
      <c r="L130" s="4303">
        <f>'12. Разходи'!DB57</f>
        <v>198.80403215003355</v>
      </c>
      <c r="M130" s="4303">
        <f>'12. Разходи'!DC57</f>
        <v>219.8488059800699</v>
      </c>
      <c r="N130" s="4303">
        <f>'12. Разходи'!DD57</f>
        <v>240.91403148535412</v>
      </c>
      <c r="O130" s="4303">
        <f t="shared" ref="O130:O135" si="103">SUM(J130:N130)</f>
        <v>995.71764979573902</v>
      </c>
      <c r="Q130" s="4309"/>
      <c r="S130" s="4294" t="s">
        <v>450</v>
      </c>
      <c r="T130" s="3579">
        <f t="shared" si="93"/>
        <v>326.66783852923243</v>
      </c>
      <c r="U130" s="3579">
        <f t="shared" si="93"/>
        <v>347.07600884591523</v>
      </c>
      <c r="V130" s="3579">
        <f t="shared" si="93"/>
        <v>346.05345609899962</v>
      </c>
      <c r="W130" s="3579">
        <f t="shared" si="93"/>
        <v>344.72656228526188</v>
      </c>
      <c r="X130" s="3579">
        <f t="shared" si="93"/>
        <v>342.89097052090165</v>
      </c>
      <c r="Y130" s="3579">
        <f t="shared" si="93"/>
        <v>340.19062963941735</v>
      </c>
      <c r="Z130" s="4292">
        <f t="shared" si="95"/>
        <v>6.2473766651064244E-2</v>
      </c>
      <c r="AA130" s="4292">
        <f t="shared" si="96"/>
        <v>4.1396150815057403E-2</v>
      </c>
    </row>
    <row r="131" spans="1:42" ht="15.75" customHeight="1">
      <c r="I131" s="4350" t="s">
        <v>1628</v>
      </c>
      <c r="J131" s="4296">
        <f>J130-J129</f>
        <v>-444.80388795826224</v>
      </c>
      <c r="K131" s="4296">
        <f>K130-K129</f>
        <v>-346.9221702220583</v>
      </c>
      <c r="L131" s="4296">
        <f>L130-L129</f>
        <v>-297.14515911438133</v>
      </c>
      <c r="M131" s="4296">
        <f>M130-M129</f>
        <v>-280.19465382983174</v>
      </c>
      <c r="N131" s="4296">
        <f>N130-N129</f>
        <v>-252.99392575019303</v>
      </c>
      <c r="O131" s="4328">
        <f t="shared" si="103"/>
        <v>-1622.0597968747268</v>
      </c>
      <c r="Q131" s="4309"/>
      <c r="S131" s="4294" t="s">
        <v>267</v>
      </c>
      <c r="T131" s="3579">
        <f t="shared" si="93"/>
        <v>50.325346390571262</v>
      </c>
      <c r="U131" s="3579">
        <f t="shared" si="93"/>
        <v>55.258865315600438</v>
      </c>
      <c r="V131" s="3579">
        <f t="shared" si="93"/>
        <v>55.258865315600438</v>
      </c>
      <c r="W131" s="3579">
        <f t="shared" si="93"/>
        <v>55.258865315600438</v>
      </c>
      <c r="X131" s="3579">
        <f t="shared" si="93"/>
        <v>55.258865315600438</v>
      </c>
      <c r="Y131" s="3579">
        <f t="shared" si="93"/>
        <v>55.258865315600438</v>
      </c>
      <c r="Z131" s="4292">
        <f t="shared" si="95"/>
        <v>9.8032488176842417E-2</v>
      </c>
      <c r="AA131" s="4292">
        <f t="shared" si="96"/>
        <v>9.8032488176842417E-2</v>
      </c>
    </row>
    <row r="132" spans="1:42" ht="15.75" customHeight="1">
      <c r="I132" s="3453" t="s">
        <v>1629</v>
      </c>
      <c r="J132" s="4303">
        <f>'11. Амортиз. план'!AS214+'11. Амортиз. план'!AZ214+'11. Амортиз. план'!BG214+'11. Амортиз. план'!BN214+'11. Амортиз. план'!BU214</f>
        <v>1836.5460014970622</v>
      </c>
      <c r="K132" s="4303">
        <f>'11. Амортиз. план'!AT214+'11. Амортиз. план'!BA214+'11. Амортиз. план'!BH214+'11. Амортиз. план'!BO214+'11. Амортиз. план'!BV214</f>
        <v>1901.2774249847885</v>
      </c>
      <c r="L132" s="4303">
        <f>'11. Амортиз. план'!AU214+'11. Амортиз. план'!BB214+'11. Амортиз. план'!BI214+'11. Амортиз. план'!BP214+'11. Амортиз. план'!BW214</f>
        <v>2022.5881921782561</v>
      </c>
      <c r="M132" s="4303">
        <f>'11. Амортиз. план'!AV214+'11. Амортиз. план'!BC214+'11. Амортиз. план'!BY214+'11. Амортиз. план'!BQ214+'11. Амортиз. план'!BX214</f>
        <v>1416.9619348266601</v>
      </c>
      <c r="N132" s="4303">
        <f>'11. Амортиз. план'!AW214+'11. Амортиз. план'!BD214+'11. Амортиз. план'!BK214+'11. Амортиз. план'!BR214+'11. Амортиз. план'!BY214</f>
        <v>2270.158315552987</v>
      </c>
      <c r="O132" s="4303">
        <f t="shared" si="103"/>
        <v>9447.5318690397544</v>
      </c>
      <c r="Q132" s="4309"/>
      <c r="S132" s="4302" t="s">
        <v>277</v>
      </c>
      <c r="T132" s="4303">
        <f>SUM(T122:T124,T128:T131)</f>
        <v>7341.6533074665558</v>
      </c>
      <c r="U132" s="4303">
        <f t="shared" ref="U132:Y132" si="104">SUM(U122:U124,U128:U131)</f>
        <v>9975.434594385024</v>
      </c>
      <c r="V132" s="4303">
        <f t="shared" si="104"/>
        <v>10710.959713701744</v>
      </c>
      <c r="W132" s="4303">
        <f t="shared" si="104"/>
        <v>11594.040172561374</v>
      </c>
      <c r="X132" s="4303">
        <f t="shared" si="104"/>
        <v>12617.024945029019</v>
      </c>
      <c r="Y132" s="4303">
        <f t="shared" si="104"/>
        <v>13728.880638820827</v>
      </c>
      <c r="Z132" s="4304">
        <f t="shared" si="95"/>
        <v>0.35874498244692088</v>
      </c>
      <c r="AA132" s="4304">
        <f t="shared" si="96"/>
        <v>0.86999849541497398</v>
      </c>
    </row>
    <row r="133" spans="1:42" ht="15.75" customHeight="1">
      <c r="I133" s="3453" t="s">
        <v>1630</v>
      </c>
      <c r="J133" s="4303">
        <f>'10. Финансиране на ИП'!CQ31</f>
        <v>444.80388795826229</v>
      </c>
      <c r="K133" s="4303">
        <f>'10. Финансиране на ИП'!CR31</f>
        <v>346.92217022205824</v>
      </c>
      <c r="L133" s="4303">
        <f>'10. Финансиране на ИП'!CS31</f>
        <v>297.14515911438133</v>
      </c>
      <c r="M133" s="4303">
        <f>'10. Финансиране на ИП'!CT31</f>
        <v>280.19465382983168</v>
      </c>
      <c r="N133" s="4303">
        <f>'10. Финансиране на ИП'!CU31</f>
        <v>252.993925750193</v>
      </c>
      <c r="O133" s="4303">
        <f t="shared" si="103"/>
        <v>1622.0597968747265</v>
      </c>
      <c r="Q133" s="4309"/>
      <c r="S133" s="4310" t="str">
        <f>CONCATENATE("Спестявания и увеличения спрямо ",T121," - нето:")</f>
        <v>Спестявания и увеличения спрямо 2024 г. - нето:</v>
      </c>
      <c r="T133" s="4311"/>
      <c r="U133" s="4310">
        <f>U132-$T132</f>
        <v>2633.7812869184681</v>
      </c>
      <c r="V133" s="4310">
        <f t="shared" ref="V133:Y133" si="105">V132-$T132</f>
        <v>3369.3064062351887</v>
      </c>
      <c r="W133" s="4310">
        <f t="shared" si="105"/>
        <v>4252.3868650948179</v>
      </c>
      <c r="X133" s="4310">
        <f t="shared" si="105"/>
        <v>5275.3716375624635</v>
      </c>
      <c r="Y133" s="4310">
        <f t="shared" si="105"/>
        <v>6387.227331354271</v>
      </c>
      <c r="Z133" s="4311"/>
      <c r="AA133" s="4311"/>
    </row>
    <row r="134" spans="1:42" ht="15.75" customHeight="1">
      <c r="I134" s="3453" t="s">
        <v>1631</v>
      </c>
      <c r="J134" s="4304">
        <f t="shared" ref="J134:O134" si="106">IFERROR(J133/J132,0)</f>
        <v>0.24219588705955636</v>
      </c>
      <c r="K134" s="4304">
        <f t="shared" si="106"/>
        <v>0.18246793743150549</v>
      </c>
      <c r="L134" s="4304">
        <f t="shared" si="106"/>
        <v>0.14691332633281443</v>
      </c>
      <c r="M134" s="4304">
        <f t="shared" si="106"/>
        <v>0.19774324697304482</v>
      </c>
      <c r="N134" s="4304">
        <f t="shared" si="106"/>
        <v>0.11144329627450071</v>
      </c>
      <c r="O134" s="4304">
        <f t="shared" si="106"/>
        <v>0.17169138134271172</v>
      </c>
      <c r="Q134" s="4309"/>
      <c r="S134" s="4294" t="s">
        <v>1668</v>
      </c>
      <c r="T134" s="3579">
        <f>T17+T38+T59+T90+T114</f>
        <v>4863.1791773500581</v>
      </c>
      <c r="U134" s="3579">
        <f t="shared" ref="U134:Y134" si="107">U17+U38+U59+U90+U114</f>
        <v>6682.3893957874479</v>
      </c>
      <c r="V134" s="3579">
        <f t="shared" si="107"/>
        <v>7196.6827765485486</v>
      </c>
      <c r="W134" s="3579">
        <f t="shared" si="107"/>
        <v>7758.3192857562199</v>
      </c>
      <c r="X134" s="3579">
        <f t="shared" si="107"/>
        <v>8383.3172394948197</v>
      </c>
      <c r="Y134" s="3579">
        <f t="shared" si="107"/>
        <v>9063.6196795773612</v>
      </c>
      <c r="Z134" s="4292">
        <f t="shared" ref="Z134:Z135" si="108">IFERROR((U134-T134)/T134,0)</f>
        <v>0.37407838619441447</v>
      </c>
      <c r="AA134" s="4292">
        <f t="shared" ref="AA134:AA135" si="109">IFERROR((Y134-T134)/T134,0)</f>
        <v>0.86372316319139186</v>
      </c>
    </row>
    <row r="135" spans="1:42" ht="15.75" customHeight="1">
      <c r="I135" s="4350" t="s">
        <v>1646</v>
      </c>
      <c r="J135" s="4296">
        <f>J133+J131</f>
        <v>0</v>
      </c>
      <c r="K135" s="4296">
        <f>K133+K131</f>
        <v>0</v>
      </c>
      <c r="L135" s="4296">
        <f>L133+L131</f>
        <v>0</v>
      </c>
      <c r="M135" s="4296">
        <f>M133+M131</f>
        <v>0</v>
      </c>
      <c r="N135" s="4296">
        <f>N133+N131</f>
        <v>0</v>
      </c>
      <c r="O135" s="4328">
        <f t="shared" si="103"/>
        <v>0</v>
      </c>
      <c r="Q135" s="4309"/>
      <c r="S135" s="4294" t="s">
        <v>1670</v>
      </c>
      <c r="T135" s="3579">
        <f t="shared" ref="T135:Y138" si="110">T18+T39+T60+T91+T115</f>
        <v>1906.3993573631483</v>
      </c>
      <c r="U135" s="3579">
        <f t="shared" si="110"/>
        <v>2582.6338596588253</v>
      </c>
      <c r="V135" s="3579">
        <f t="shared" si="110"/>
        <v>2877.8904367740342</v>
      </c>
      <c r="W135" s="3579">
        <f t="shared" si="110"/>
        <v>3225.6431001867631</v>
      </c>
      <c r="X135" s="3579">
        <f t="shared" si="110"/>
        <v>3615.5373478593651</v>
      </c>
      <c r="Y135" s="3579">
        <f t="shared" si="110"/>
        <v>4050.1992562063042</v>
      </c>
      <c r="Z135" s="4292">
        <f t="shared" si="108"/>
        <v>0.35471817575044517</v>
      </c>
      <c r="AA135" s="4292">
        <f t="shared" si="109"/>
        <v>1.1245282320113505</v>
      </c>
      <c r="AC135" s="3347"/>
      <c r="AD135" s="11"/>
      <c r="AK135" s="4281"/>
      <c r="AP135" s="11"/>
    </row>
    <row r="136" spans="1:42" ht="15.75" customHeight="1">
      <c r="Q136" s="4309"/>
      <c r="S136" s="4313" t="s">
        <v>1669</v>
      </c>
      <c r="T136" s="3579">
        <f t="shared" si="110"/>
        <v>531.19906652278564</v>
      </c>
      <c r="U136" s="3579">
        <f t="shared" si="110"/>
        <v>699.01076939156212</v>
      </c>
      <c r="V136" s="3579">
        <f t="shared" si="110"/>
        <v>788.95789419930497</v>
      </c>
      <c r="W136" s="3579">
        <f t="shared" si="110"/>
        <v>891.60164815263477</v>
      </c>
      <c r="X136" s="3579">
        <f t="shared" si="110"/>
        <v>1008.0345861475337</v>
      </c>
      <c r="Y136" s="3579">
        <f t="shared" si="110"/>
        <v>1140.1014264618984</v>
      </c>
      <c r="Z136" s="4292">
        <f t="shared" si="95"/>
        <v>0.31591114037015772</v>
      </c>
      <c r="AA136" s="4292">
        <f t="shared" si="96"/>
        <v>1.1462790473729005</v>
      </c>
      <c r="AC136" s="3347"/>
      <c r="AD136" s="11"/>
      <c r="AK136" s="4281"/>
      <c r="AP136" s="11"/>
    </row>
    <row r="137" spans="1:42" ht="15.75" customHeight="1">
      <c r="I137" s="3452" t="s">
        <v>1648</v>
      </c>
      <c r="J137" s="4283" t="str">
        <f>+'15. ОПП'!$C$7</f>
        <v>2027 г.</v>
      </c>
      <c r="K137" s="4283" t="str">
        <f>+'15. ОПП'!$D$7</f>
        <v>2028 г.</v>
      </c>
      <c r="L137" s="4283" t="str">
        <f>+'15. ОПП'!$E$7</f>
        <v>2029 г.</v>
      </c>
      <c r="M137" s="4283" t="str">
        <f>+'15. ОПП'!$F$7</f>
        <v>2030 г.</v>
      </c>
      <c r="N137" s="4283" t="str">
        <f>+'15. ОПП'!$G$7</f>
        <v>2031 г.</v>
      </c>
      <c r="Q137" s="4309"/>
      <c r="S137" s="4294" t="s">
        <v>637</v>
      </c>
      <c r="T137" s="3579">
        <f t="shared" si="110"/>
        <v>967.66337012620272</v>
      </c>
      <c r="U137" s="3579">
        <f t="shared" si="110"/>
        <v>1124.8995732450185</v>
      </c>
      <c r="V137" s="3579">
        <f t="shared" si="110"/>
        <v>1201.2993084628952</v>
      </c>
      <c r="W137" s="3579">
        <f t="shared" si="110"/>
        <v>1296.0304198697277</v>
      </c>
      <c r="X137" s="3579">
        <f t="shared" si="110"/>
        <v>1409.1834419281281</v>
      </c>
      <c r="Y137" s="3579">
        <f t="shared" si="110"/>
        <v>1525.4358483713092</v>
      </c>
      <c r="Z137" s="4292">
        <f t="shared" si="95"/>
        <v>0.16249060155941317</v>
      </c>
      <c r="AA137" s="4292">
        <f t="shared" si="96"/>
        <v>0.57641168971019519</v>
      </c>
      <c r="AC137" s="3347"/>
      <c r="AD137" s="11"/>
      <c r="AK137" s="4281"/>
      <c r="AP137" s="11"/>
    </row>
    <row r="138" spans="1:42" ht="15.75" customHeight="1">
      <c r="I138" s="3445" t="s">
        <v>1912</v>
      </c>
      <c r="J138" s="3450">
        <f>'10. Финансиране на ИП'!CQ59*'10. Финансиране на ИП'!AT67</f>
        <v>0</v>
      </c>
      <c r="K138" s="3450">
        <f>'10. Финансиране на ИП'!CR59*'10. Финансиране на ИП'!AU67</f>
        <v>0</v>
      </c>
      <c r="L138" s="3450">
        <f>'10. Финансиране на ИП'!CS59*'10. Финансиране на ИП'!AV67</f>
        <v>0</v>
      </c>
      <c r="M138" s="3450">
        <f>'10. Финансиране на ИП'!CT59*'10. Финансиране на ИП'!AW67</f>
        <v>0</v>
      </c>
      <c r="N138" s="3450">
        <f>'10. Финансиране на ИП'!CU59*'10. Финансиране на ИП'!AX67</f>
        <v>0</v>
      </c>
      <c r="Q138" s="4309"/>
      <c r="S138" s="4294" t="s">
        <v>1667</v>
      </c>
      <c r="T138" s="3579">
        <f t="shared" si="110"/>
        <v>1639.6970275806618</v>
      </c>
      <c r="U138" s="3579">
        <f t="shared" si="110"/>
        <v>2011.0331030615062</v>
      </c>
      <c r="V138" s="3579">
        <f t="shared" si="110"/>
        <v>1991.7140548799887</v>
      </c>
      <c r="W138" s="3579">
        <f t="shared" si="110"/>
        <v>1965.7075011131542</v>
      </c>
      <c r="X138" s="3579">
        <f t="shared" si="110"/>
        <v>1928.7585637595582</v>
      </c>
      <c r="Y138" s="3579">
        <f t="shared" si="110"/>
        <v>1880.5393917036222</v>
      </c>
      <c r="Z138" s="4292">
        <f t="shared" si="95"/>
        <v>0.22646627348513451</v>
      </c>
      <c r="AA138" s="4292">
        <f t="shared" si="96"/>
        <v>0.14688223499332567</v>
      </c>
      <c r="AC138" s="3347"/>
      <c r="AD138" s="11"/>
      <c r="AK138" s="4281"/>
      <c r="AP138" s="11"/>
    </row>
    <row r="139" spans="1:42" ht="15.75" customHeight="1">
      <c r="I139" s="3447" t="s">
        <v>1913</v>
      </c>
      <c r="J139" s="3448">
        <f>'10. Финансиране на ИП'!CQ60*'10. Финансиране на ИП'!AT67</f>
        <v>0</v>
      </c>
      <c r="K139" s="3440">
        <f>'10. Финансиране на ИП'!CR60*'10. Финансиране на ИП'!AU67</f>
        <v>0</v>
      </c>
      <c r="L139" s="3440">
        <f>'10. Финансиране на ИП'!CS60*'10. Финансиране на ИП'!AV67</f>
        <v>0</v>
      </c>
      <c r="M139" s="3448">
        <f>'10. Финансиране на ИП'!CT60*'10. Финансиране на ИП'!AW67</f>
        <v>0</v>
      </c>
      <c r="N139" s="3448">
        <f>'10. Финансиране на ИП'!CU60*'10. Финансиране на ИП'!AX67</f>
        <v>0</v>
      </c>
      <c r="Q139" s="4309"/>
      <c r="S139" s="4340"/>
      <c r="T139" s="4340"/>
      <c r="U139" s="4340"/>
      <c r="V139" s="4340"/>
      <c r="W139" s="4340"/>
      <c r="X139" s="4340"/>
      <c r="Y139" s="4340"/>
      <c r="Z139" s="4340"/>
      <c r="AA139" s="4340"/>
      <c r="AC139" s="3347"/>
      <c r="AD139" s="11"/>
      <c r="AK139" s="4281"/>
      <c r="AP139" s="11"/>
    </row>
    <row r="140" spans="1:42" ht="15.75" customHeight="1">
      <c r="I140" s="3447" t="s">
        <v>1914</v>
      </c>
      <c r="J140" s="3448">
        <f>'10. Финансиране на ИП'!CQ61*'10. Финансиране на ИП'!AT67</f>
        <v>0</v>
      </c>
      <c r="K140" s="3440">
        <f>'10. Финансиране на ИП'!CR61*'10. Финансиране на ИП'!AU67</f>
        <v>0</v>
      </c>
      <c r="L140" s="3440">
        <f>'10. Финансиране на ИП'!CS61*'10. Финансиране на ИП'!AV67</f>
        <v>0</v>
      </c>
      <c r="M140" s="3440">
        <f>'10. Финансиране на ИП'!CT61*'10. Финансиране на ИП'!AW67</f>
        <v>0</v>
      </c>
      <c r="N140" s="3440">
        <f>'10. Финансиране на ИП'!CU61*'10. Финансиране на ИП'!AX67</f>
        <v>0</v>
      </c>
      <c r="Q140" s="4309"/>
      <c r="S140" s="1365" t="s">
        <v>1678</v>
      </c>
      <c r="T140" s="4340"/>
      <c r="U140" s="4340"/>
      <c r="V140" s="4340"/>
      <c r="W140" s="4340"/>
      <c r="X140" s="4340"/>
      <c r="Y140" s="4340"/>
      <c r="Z140" s="4340"/>
      <c r="AA140" s="4340"/>
      <c r="AC140" s="3347"/>
      <c r="AD140" s="11"/>
      <c r="AK140" s="4281"/>
      <c r="AP140" s="11"/>
    </row>
    <row r="141" spans="1:42" ht="15.75" customHeight="1">
      <c r="I141" s="3445" t="s">
        <v>1915</v>
      </c>
      <c r="J141" s="3449">
        <f>'10. Финансиране на ИП'!CQ62*'10. Финансиране на ИП'!AT67</f>
        <v>0</v>
      </c>
      <c r="K141" s="3449">
        <f>'10. Финансиране на ИП'!CR62*'10. Финансиране на ИП'!AU67</f>
        <v>0</v>
      </c>
      <c r="L141" s="3449">
        <f>'10. Финансиране на ИП'!CS62*'10. Финансиране на ИП'!AV67</f>
        <v>0</v>
      </c>
      <c r="M141" s="3449">
        <f>'10. Финансиране на ИП'!CT62*'10. Финансиране на ИП'!AW67</f>
        <v>0</v>
      </c>
      <c r="N141" s="3449">
        <f>'10. Финансиране на ИП'!CU62*'10. Финансиране на ИП'!AX67</f>
        <v>0</v>
      </c>
      <c r="Q141" s="4309"/>
      <c r="S141" s="5636" t="s">
        <v>1920</v>
      </c>
      <c r="T141" s="5639" t="s">
        <v>207</v>
      </c>
      <c r="U141" s="5640"/>
      <c r="V141" s="5640"/>
      <c r="W141" s="5640"/>
      <c r="X141" s="5641"/>
      <c r="Y141" s="4340"/>
      <c r="Z141" s="4340"/>
      <c r="AA141" s="11"/>
      <c r="AC141" s="3347"/>
      <c r="AD141" s="11"/>
      <c r="AK141" s="4281"/>
      <c r="AP141" s="11"/>
    </row>
    <row r="142" spans="1:42" ht="15.75" customHeight="1">
      <c r="I142" s="3447" t="s">
        <v>199</v>
      </c>
      <c r="J142" s="3441">
        <f>'10. Финансиране на ИП'!AT63</f>
        <v>0</v>
      </c>
      <c r="K142" s="3441">
        <f>'10. Финансиране на ИП'!AU63</f>
        <v>0</v>
      </c>
      <c r="L142" s="3441">
        <f>'10. Финансиране на ИП'!AV63</f>
        <v>0</v>
      </c>
      <c r="M142" s="3441">
        <f>'10. Финансиране на ИП'!CT63</f>
        <v>0</v>
      </c>
      <c r="N142" s="3441">
        <f>'10. Финансиране на ИП'!AX63</f>
        <v>0</v>
      </c>
      <c r="Q142" s="4309"/>
      <c r="S142" s="5636"/>
      <c r="T142" s="4279" t="str">
        <f>+U121</f>
        <v>2027 г.</v>
      </c>
      <c r="U142" s="4279" t="str">
        <f>+V121</f>
        <v>2028 г.</v>
      </c>
      <c r="V142" s="4279" t="str">
        <f>+W121</f>
        <v>2029 г.</v>
      </c>
      <c r="W142" s="4279" t="str">
        <f>+X121</f>
        <v>2030 г.</v>
      </c>
      <c r="X142" s="4279" t="str">
        <f>+Y121</f>
        <v>2031 г.</v>
      </c>
      <c r="Y142" s="4340"/>
      <c r="Z142" s="4340"/>
      <c r="AA142" s="11"/>
      <c r="AC142" s="3347"/>
      <c r="AD142" s="11"/>
      <c r="AK142" s="4281"/>
      <c r="AP142" s="11"/>
    </row>
    <row r="143" spans="1:42" ht="15.75" customHeight="1">
      <c r="I143" s="3445" t="s">
        <v>1916</v>
      </c>
      <c r="J143" s="3439">
        <f>'10. Финансиране на ИП'!CQ64*'10. Финансиране на ИП'!AT67</f>
        <v>0</v>
      </c>
      <c r="K143" s="3439">
        <f>'10. Финансиране на ИП'!CR64*'10. Финансиране на ИП'!AU67</f>
        <v>0</v>
      </c>
      <c r="L143" s="3439">
        <f>'10. Финансиране на ИП'!CS64*'10. Финансиране на ИП'!AV67</f>
        <v>0</v>
      </c>
      <c r="M143" s="3439">
        <f>'10. Финансиране на ИП'!CT64*'10. Финансиране на ИП'!AW67</f>
        <v>0</v>
      </c>
      <c r="N143" s="3439">
        <f>'10. Финансиране на ИП'!CU64*'10. Финансиране на ИП'!AX67</f>
        <v>0</v>
      </c>
      <c r="Q143" s="4309"/>
      <c r="S143" s="4294">
        <f>'12.2.Нови дейности или обекти'!C10</f>
        <v>0</v>
      </c>
      <c r="T143" s="3579">
        <f>'12.2.Нови дейности или обекти'!AC21</f>
        <v>0</v>
      </c>
      <c r="U143" s="3579">
        <f>'12.2.Нови дейности или обекти'!AD21</f>
        <v>0</v>
      </c>
      <c r="V143" s="3579">
        <f>'12.2.Нови дейности или обекти'!AE21</f>
        <v>0</v>
      </c>
      <c r="W143" s="3579">
        <f>'12.2.Нови дейности или обекти'!AF21</f>
        <v>0</v>
      </c>
      <c r="X143" s="3579">
        <f>'12.2.Нови дейности или обекти'!AG21</f>
        <v>0</v>
      </c>
      <c r="Y143" s="4340"/>
      <c r="Z143" s="4340"/>
      <c r="AA143" s="11"/>
      <c r="AC143" s="3347"/>
      <c r="AD143" s="11"/>
      <c r="AK143" s="4281"/>
      <c r="AP143" s="11"/>
    </row>
    <row r="144" spans="1:42" ht="15.75" customHeight="1">
      <c r="I144" s="3445" t="s">
        <v>1917</v>
      </c>
      <c r="J144" s="3439">
        <f>'10. Финансиране на ИП'!CQ65*'10. Финансиране на ИП'!AT67</f>
        <v>0</v>
      </c>
      <c r="K144" s="3439">
        <f>'10. Финансиране на ИП'!CR65*'10. Финансиране на ИП'!AU67</f>
        <v>0</v>
      </c>
      <c r="L144" s="3439">
        <f>'10. Финансиране на ИП'!CS65*'10. Финансиране на ИП'!AV67</f>
        <v>0</v>
      </c>
      <c r="M144" s="3451">
        <f>'10. Финансиране на ИП'!CT65*'10. Финансиране на ИП'!AW67</f>
        <v>0</v>
      </c>
      <c r="N144" s="3451">
        <f>'10. Финансиране на ИП'!CU65*'10. Финансиране на ИП'!AX67</f>
        <v>0</v>
      </c>
      <c r="Q144" s="4309"/>
      <c r="S144" s="4294">
        <f>'12.2.Нови дейности или обекти'!H10</f>
        <v>0</v>
      </c>
      <c r="T144" s="3579">
        <f>'12.2.Нови дейности или обекти'!AH21</f>
        <v>0</v>
      </c>
      <c r="U144" s="3579">
        <f>'12.2.Нови дейности или обекти'!AI21</f>
        <v>0</v>
      </c>
      <c r="V144" s="3579">
        <f>'12.2.Нови дейности или обекти'!AJ21</f>
        <v>0</v>
      </c>
      <c r="W144" s="3579">
        <f>'12.2.Нови дейности или обекти'!AK21</f>
        <v>0</v>
      </c>
      <c r="X144" s="3579">
        <f>'12.2.Нови дейности или обекти'!AL21</f>
        <v>0</v>
      </c>
      <c r="Y144" s="4340"/>
      <c r="Z144" s="4340"/>
      <c r="AA144" s="11"/>
      <c r="AC144" s="3347"/>
      <c r="AD144" s="11"/>
      <c r="AK144" s="4281"/>
      <c r="AP144" s="11"/>
    </row>
    <row r="145" spans="9:42" ht="15.75" customHeight="1">
      <c r="I145" s="3452" t="s">
        <v>1937</v>
      </c>
      <c r="J145" s="4283" t="s">
        <v>1062</v>
      </c>
      <c r="K145" s="4283" t="s">
        <v>1063</v>
      </c>
      <c r="L145" s="4283" t="s">
        <v>1064</v>
      </c>
      <c r="M145" s="4283" t="s">
        <v>1065</v>
      </c>
      <c r="N145" s="4283" t="s">
        <v>1066</v>
      </c>
      <c r="Q145" s="4309"/>
      <c r="S145" s="4294">
        <f>'12.2.Нови дейности или обекти'!M10</f>
        <v>0</v>
      </c>
      <c r="T145" s="3579">
        <f>'12.2.Нови дейности или обекти'!AM21</f>
        <v>0</v>
      </c>
      <c r="U145" s="3579">
        <f>'12.2.Нови дейности или обекти'!AN21</f>
        <v>0</v>
      </c>
      <c r="V145" s="3579">
        <f>'12.2.Нови дейности или обекти'!AO21</f>
        <v>0</v>
      </c>
      <c r="W145" s="3579">
        <f>'12.2.Нови дейности или обекти'!AP21</f>
        <v>0</v>
      </c>
      <c r="X145" s="3579">
        <f>'12.2.Нови дейности или обекти'!AQ21</f>
        <v>0</v>
      </c>
      <c r="Y145" s="4340"/>
      <c r="Z145" s="4340"/>
      <c r="AA145" s="11"/>
      <c r="AC145" s="3347"/>
      <c r="AD145" s="11"/>
      <c r="AK145" s="4281"/>
      <c r="AP145" s="11"/>
    </row>
    <row r="146" spans="9:42" ht="15.75" customHeight="1">
      <c r="I146" s="3445" t="s">
        <v>1912</v>
      </c>
      <c r="J146" s="3450">
        <f>'10. Финансиране на ИП'!CQ70*'10. Финансиране на ИП'!AT78</f>
        <v>0</v>
      </c>
      <c r="K146" s="3450">
        <f>'10. Финансиране на ИП'!CR70*'10. Финансиране на ИП'!AU78</f>
        <v>0</v>
      </c>
      <c r="L146" s="3450">
        <f>'10. Финансиране на ИП'!CS70*'10. Финансиране на ИП'!AV78</f>
        <v>0</v>
      </c>
      <c r="M146" s="3450">
        <f>'10. Финансиране на ИП'!CT70*'10. Финансиране на ИП'!AW78</f>
        <v>0</v>
      </c>
      <c r="N146" s="3450">
        <f>'10. Финансиране на ИП'!CU70*'10. Финансиране на ИП'!AX78</f>
        <v>0</v>
      </c>
      <c r="S146" s="4294">
        <f>'12.2.Нови дейности или обекти'!R10</f>
        <v>0</v>
      </c>
      <c r="T146" s="3579">
        <f>'12.2.Нови дейности или обекти'!AR21</f>
        <v>0</v>
      </c>
      <c r="U146" s="3579">
        <f>'12.2.Нови дейности или обекти'!AS21</f>
        <v>0</v>
      </c>
      <c r="V146" s="3579">
        <f>'12.2.Нови дейности или обекти'!AT21</f>
        <v>0</v>
      </c>
      <c r="W146" s="3579">
        <f>'12.2.Нови дейности или обекти'!AU21</f>
        <v>0</v>
      </c>
      <c r="X146" s="3579">
        <f>'12.2.Нови дейности или обекти'!AV21</f>
        <v>0</v>
      </c>
      <c r="Y146" s="4340"/>
      <c r="Z146" s="4340"/>
      <c r="AA146" s="11"/>
      <c r="AC146" s="3347"/>
      <c r="AD146" s="11"/>
      <c r="AK146" s="4281"/>
      <c r="AP146" s="11"/>
    </row>
    <row r="147" spans="9:42" ht="15.75" customHeight="1">
      <c r="I147" s="3447" t="s">
        <v>1913</v>
      </c>
      <c r="J147" s="3448">
        <f>'10. Финансиране на ИП'!CQ71*'10. Финансиране на ИП'!AT78</f>
        <v>0</v>
      </c>
      <c r="K147" s="3440">
        <f>'10. Финансиране на ИП'!CR71*'10. Финансиране на ИП'!AU78</f>
        <v>0</v>
      </c>
      <c r="L147" s="3440">
        <f>'10. Финансиране на ИП'!CS71*'10. Финансиране на ИП'!AV78</f>
        <v>0</v>
      </c>
      <c r="M147" s="3448">
        <f>'10. Финансиране на ИП'!CT71*'10. Финансиране на ИП'!AW78</f>
        <v>0</v>
      </c>
      <c r="N147" s="3448">
        <f>'10. Финансиране на ИП'!CU71*'10. Финансиране на ИП'!AX78</f>
        <v>0</v>
      </c>
      <c r="S147" s="4294">
        <f>'12.2.Нови дейности или обекти'!W10</f>
        <v>0</v>
      </c>
      <c r="T147" s="3579">
        <f>'12.2.Нови дейности или обекти'!AW21</f>
        <v>0</v>
      </c>
      <c r="U147" s="3579">
        <f>'12.2.Нови дейности или обекти'!AX21</f>
        <v>0</v>
      </c>
      <c r="V147" s="3579">
        <f>'12.2.Нови дейности или обекти'!AY21</f>
        <v>0</v>
      </c>
      <c r="W147" s="3579">
        <f>'12.2.Нови дейности или обекти'!AZ21</f>
        <v>0</v>
      </c>
      <c r="X147" s="3579">
        <f>'12.2.Нови дейности или обекти'!BA21</f>
        <v>0</v>
      </c>
      <c r="Y147" s="4340"/>
      <c r="Z147" s="4340"/>
      <c r="AA147" s="11"/>
      <c r="AC147" s="3347"/>
      <c r="AD147" s="11"/>
      <c r="AK147" s="4281"/>
      <c r="AP147" s="11"/>
    </row>
    <row r="148" spans="9:42" ht="15.75" customHeight="1">
      <c r="I148" s="3447" t="s">
        <v>1914</v>
      </c>
      <c r="J148" s="3448">
        <f>'10. Финансиране на ИП'!CQ72*'10. Финансиране на ИП'!AT78</f>
        <v>0</v>
      </c>
      <c r="K148" s="3440">
        <f>'10. Финансиране на ИП'!CR72*'10. Финансиране на ИП'!AU78</f>
        <v>0</v>
      </c>
      <c r="L148" s="3440">
        <f>'10. Финансиране на ИП'!CS72*'10. Финансиране на ИП'!AV78</f>
        <v>0</v>
      </c>
      <c r="M148" s="3440">
        <f>'10. Финансиране на ИП'!CT72*'10. Финансиране на ИП'!AW78</f>
        <v>0</v>
      </c>
      <c r="N148" s="3440">
        <f>'10. Финансиране на ИП'!CU72*'10. Финансиране на ИП'!AX78</f>
        <v>0</v>
      </c>
      <c r="S148" s="4294">
        <f>'12.2.Нови дейности или обекти'!C33</f>
        <v>0</v>
      </c>
      <c r="T148" s="3579">
        <f>'12.2.Нови дейности или обекти'!AC44</f>
        <v>0</v>
      </c>
      <c r="U148" s="3579">
        <f>'12.2.Нови дейности или обекти'!AD44</f>
        <v>0</v>
      </c>
      <c r="V148" s="3579">
        <f>'12.2.Нови дейности или обекти'!AE44</f>
        <v>0</v>
      </c>
      <c r="W148" s="3579">
        <f>'12.2.Нови дейности или обекти'!AF44</f>
        <v>0</v>
      </c>
      <c r="X148" s="3579">
        <f>'12.2.Нови дейности или обекти'!AG44</f>
        <v>0</v>
      </c>
      <c r="AA148" s="11"/>
      <c r="AC148" s="3347"/>
      <c r="AD148" s="11"/>
      <c r="AK148" s="4281"/>
      <c r="AP148" s="11"/>
    </row>
    <row r="149" spans="9:42" ht="15.75" customHeight="1">
      <c r="I149" s="3445" t="s">
        <v>1915</v>
      </c>
      <c r="J149" s="3449">
        <f>'10. Финансиране на ИП'!CQ73*'10. Финансиране на ИП'!AT78</f>
        <v>0</v>
      </c>
      <c r="K149" s="3449">
        <f>'10. Финансиране на ИП'!CR73*'10. Финансиране на ИП'!AU78</f>
        <v>0</v>
      </c>
      <c r="L149" s="3449">
        <f>'10. Финансиране на ИП'!CS73*'10. Финансиране на ИП'!AV78</f>
        <v>0</v>
      </c>
      <c r="M149" s="3449">
        <f>'10. Финансиране на ИП'!CT73*'10. Финансиране на ИП'!AW78</f>
        <v>0</v>
      </c>
      <c r="N149" s="3449">
        <f>'10. Финансиране на ИП'!CU73*'10. Финансиране на ИП'!AX78</f>
        <v>0</v>
      </c>
      <c r="S149" s="4294">
        <f>'12.2.Нови дейности или обекти'!H33</f>
        <v>0</v>
      </c>
      <c r="T149" s="3579">
        <f>'12.2.Нови дейности или обекти'!AH44</f>
        <v>0</v>
      </c>
      <c r="U149" s="3579">
        <f>'12.2.Нови дейности или обекти'!AI44</f>
        <v>0</v>
      </c>
      <c r="V149" s="3579">
        <f>'12.2.Нови дейности или обекти'!AJ44</f>
        <v>0</v>
      </c>
      <c r="W149" s="3579">
        <f>'12.2.Нови дейности или обекти'!AK44</f>
        <v>0</v>
      </c>
      <c r="X149" s="3579">
        <f>'12.2.Нови дейности или обекти'!AL44</f>
        <v>0</v>
      </c>
      <c r="AA149" s="11"/>
      <c r="AC149" s="3347"/>
      <c r="AD149" s="11"/>
      <c r="AK149" s="4281"/>
      <c r="AP149" s="11"/>
    </row>
    <row r="150" spans="9:42" ht="15.75" customHeight="1">
      <c r="I150" s="3447" t="s">
        <v>199</v>
      </c>
      <c r="J150" s="3441">
        <f>'10. Финансиране на ИП'!AT74</f>
        <v>0</v>
      </c>
      <c r="K150" s="3441">
        <f>'10. Финансиране на ИП'!AU74</f>
        <v>0</v>
      </c>
      <c r="L150" s="3441">
        <f>'10. Финансиране на ИП'!AV74</f>
        <v>0</v>
      </c>
      <c r="M150" s="3441">
        <f>'10. Финансиране на ИП'!AW74</f>
        <v>0</v>
      </c>
      <c r="N150" s="3441">
        <f>'10. Финансиране на ИП'!AX74</f>
        <v>0</v>
      </c>
      <c r="S150" s="4294">
        <f>'12.2.Нови дейности или обекти'!M33</f>
        <v>0</v>
      </c>
      <c r="T150" s="3579">
        <f>'12.2.Нови дейности или обекти'!AM44</f>
        <v>0</v>
      </c>
      <c r="U150" s="3579">
        <f>'12.2.Нови дейности или обекти'!AN44</f>
        <v>0</v>
      </c>
      <c r="V150" s="3579">
        <f>'12.2.Нови дейности или обекти'!AO44</f>
        <v>0</v>
      </c>
      <c r="W150" s="3579">
        <f>'12.2.Нови дейности или обекти'!AP44</f>
        <v>0</v>
      </c>
      <c r="X150" s="3579">
        <f>'12.2.Нови дейности или обекти'!AQ44</f>
        <v>0</v>
      </c>
      <c r="AA150" s="11"/>
      <c r="AC150" s="3347"/>
      <c r="AD150" s="11"/>
      <c r="AK150" s="4281"/>
      <c r="AP150" s="11"/>
    </row>
    <row r="151" spans="9:42" ht="15.75" customHeight="1">
      <c r="I151" s="3445" t="s">
        <v>1916</v>
      </c>
      <c r="J151" s="3439">
        <f>'10. Финансиране на ИП'!CQ75*'10. Финансиране на ИП'!AT78</f>
        <v>0</v>
      </c>
      <c r="K151" s="3439">
        <f>'10. Финансиране на ИП'!CR75*'10. Финансиране на ИП'!AU78</f>
        <v>0</v>
      </c>
      <c r="L151" s="3439">
        <f>'10. Финансиране на ИП'!CS75*'10. Финансиране на ИП'!AV78</f>
        <v>0</v>
      </c>
      <c r="M151" s="3439">
        <f>'10. Финансиране на ИП'!CT75*'10. Финансиране на ИП'!AW78</f>
        <v>0</v>
      </c>
      <c r="N151" s="3439">
        <f>'10. Финансиране на ИП'!CU75*'10. Финансиране на ИП'!AX78</f>
        <v>0</v>
      </c>
      <c r="S151" s="4294">
        <f>'12.2.Нови дейности или обекти'!R33</f>
        <v>0</v>
      </c>
      <c r="T151" s="3579">
        <f>'12.2.Нови дейности или обекти'!AR44</f>
        <v>0</v>
      </c>
      <c r="U151" s="3579">
        <f>'12.2.Нови дейности или обекти'!AS44</f>
        <v>0</v>
      </c>
      <c r="V151" s="3579">
        <f>'12.2.Нови дейности или обекти'!AT44</f>
        <v>0</v>
      </c>
      <c r="W151" s="3579">
        <f>'12.2.Нови дейности или обекти'!AU44</f>
        <v>0</v>
      </c>
      <c r="X151" s="3579">
        <f>'12.2.Нови дейности или обекти'!AV44</f>
        <v>0</v>
      </c>
      <c r="AA151" s="11"/>
      <c r="AC151" s="3347"/>
      <c r="AD151" s="11"/>
      <c r="AK151" s="4281"/>
      <c r="AP151" s="11"/>
    </row>
    <row r="152" spans="9:42" ht="15.75" customHeight="1">
      <c r="I152" s="3445" t="s">
        <v>1917</v>
      </c>
      <c r="J152" s="3439">
        <f>'10. Финансиране на ИП'!CQ76*'10. Финансиране на ИП'!AT78</f>
        <v>0</v>
      </c>
      <c r="K152" s="3439">
        <f>'10. Финансиране на ИП'!CR76*'10. Финансиране на ИП'!AU78</f>
        <v>0</v>
      </c>
      <c r="L152" s="3439">
        <f>'10. Финансиране на ИП'!CS76*'10. Финансиране на ИП'!AV78</f>
        <v>0</v>
      </c>
      <c r="M152" s="3451">
        <f>'10. Финансиране на ИП'!CT76*'10. Финансиране на ИП'!AW78</f>
        <v>0</v>
      </c>
      <c r="N152" s="3451">
        <f>'10. Финансиране на ИП'!CU76*'10. Финансиране на ИП'!AX78</f>
        <v>0</v>
      </c>
      <c r="S152" s="4294">
        <f>'12.2.Нови дейности или обекти'!W33</f>
        <v>0</v>
      </c>
      <c r="T152" s="3579">
        <f>'12.2.Нови дейности или обекти'!AW44</f>
        <v>0</v>
      </c>
      <c r="U152" s="3579">
        <f>'12.2.Нови дейности или обекти'!AX44</f>
        <v>0</v>
      </c>
      <c r="V152" s="3579">
        <f>'12.2.Нови дейности или обекти'!AY44</f>
        <v>0</v>
      </c>
      <c r="W152" s="3579">
        <f>'12.2.Нови дейности или обекти'!AZ44</f>
        <v>0</v>
      </c>
      <c r="X152" s="3579">
        <f>'12.2.Нови дейности или обекти'!BA44</f>
        <v>0</v>
      </c>
      <c r="AA152" s="11"/>
      <c r="AC152" s="3347"/>
      <c r="AD152" s="11"/>
      <c r="AK152" s="4281"/>
      <c r="AP152" s="11"/>
    </row>
    <row r="153" spans="9:42" ht="15.75" customHeight="1">
      <c r="S153" s="4302" t="s">
        <v>1677</v>
      </c>
      <c r="T153" s="4303">
        <f t="shared" ref="T153:X153" si="111">SUM(T143:T152)</f>
        <v>0</v>
      </c>
      <c r="U153" s="4303">
        <f t="shared" si="111"/>
        <v>0</v>
      </c>
      <c r="V153" s="4303">
        <f t="shared" si="111"/>
        <v>0</v>
      </c>
      <c r="W153" s="4303">
        <f t="shared" si="111"/>
        <v>0</v>
      </c>
      <c r="X153" s="4303">
        <f t="shared" si="111"/>
        <v>0</v>
      </c>
      <c r="AA153" s="11"/>
      <c r="AC153" s="3347"/>
      <c r="AD153" s="11"/>
      <c r="AK153" s="4281"/>
      <c r="AP153" s="11"/>
    </row>
    <row r="154" spans="9:42" ht="15.75" customHeight="1">
      <c r="S154" s="5637" t="s">
        <v>1920</v>
      </c>
      <c r="T154" s="5639" t="s">
        <v>174</v>
      </c>
      <c r="U154" s="5640"/>
      <c r="V154" s="5640"/>
      <c r="W154" s="5640"/>
      <c r="X154" s="5641"/>
      <c r="AA154" s="11"/>
      <c r="AC154" s="3347"/>
      <c r="AD154" s="11"/>
      <c r="AK154" s="4281"/>
      <c r="AP154" s="11"/>
    </row>
    <row r="155" spans="9:42" ht="15.75" customHeight="1">
      <c r="S155" s="5638"/>
      <c r="T155" s="4279" t="str">
        <f t="shared" ref="T155:X155" si="112">+T142</f>
        <v>2027 г.</v>
      </c>
      <c r="U155" s="4279" t="str">
        <f t="shared" si="112"/>
        <v>2028 г.</v>
      </c>
      <c r="V155" s="4279" t="str">
        <f t="shared" si="112"/>
        <v>2029 г.</v>
      </c>
      <c r="W155" s="4279" t="str">
        <f t="shared" si="112"/>
        <v>2030 г.</v>
      </c>
      <c r="X155" s="4279" t="str">
        <f t="shared" si="112"/>
        <v>2031 г.</v>
      </c>
      <c r="AA155" s="11"/>
      <c r="AC155" s="3347"/>
      <c r="AD155" s="11"/>
      <c r="AK155" s="4281"/>
      <c r="AP155" s="11"/>
    </row>
    <row r="156" spans="9:42" ht="15.75" customHeight="1">
      <c r="S156" s="4294">
        <f>'12.2.Нови дейности или обекти'!C57</f>
        <v>0</v>
      </c>
      <c r="T156" s="3579">
        <f>'12.2.Нови дейности или обекти'!AC68</f>
        <v>0</v>
      </c>
      <c r="U156" s="3579">
        <f>'12.2.Нови дейности или обекти'!AD68</f>
        <v>0</v>
      </c>
      <c r="V156" s="3579">
        <f>'12.2.Нови дейности или обекти'!AE68</f>
        <v>0</v>
      </c>
      <c r="W156" s="3579">
        <f>'12.2.Нови дейности или обекти'!AF68</f>
        <v>0</v>
      </c>
      <c r="X156" s="3579">
        <f>'12.2.Нови дейности или обекти'!AG68</f>
        <v>0</v>
      </c>
      <c r="AA156" s="11"/>
      <c r="AC156" s="3347"/>
      <c r="AD156" s="11"/>
      <c r="AK156" s="4281"/>
      <c r="AP156" s="11"/>
    </row>
    <row r="157" spans="9:42" ht="15.75" customHeight="1">
      <c r="S157" s="4294">
        <f>'12.2.Нови дейности или обекти'!H57</f>
        <v>0</v>
      </c>
      <c r="T157" s="3579">
        <f>'12.2.Нови дейности или обекти'!AH68</f>
        <v>0</v>
      </c>
      <c r="U157" s="3579">
        <f>'12.2.Нови дейности или обекти'!AI68</f>
        <v>0</v>
      </c>
      <c r="V157" s="3579">
        <f>'12.2.Нови дейности или обекти'!AJ68</f>
        <v>0</v>
      </c>
      <c r="W157" s="3579">
        <f>'12.2.Нови дейности или обекти'!AK68</f>
        <v>0</v>
      </c>
      <c r="X157" s="3579">
        <f>'12.2.Нови дейности или обекти'!AL68</f>
        <v>0</v>
      </c>
      <c r="AA157" s="11"/>
      <c r="AC157" s="3347"/>
      <c r="AD157" s="11"/>
      <c r="AK157" s="4281"/>
      <c r="AP157" s="11"/>
    </row>
    <row r="158" spans="9:42" ht="15.75" customHeight="1">
      <c r="S158" s="4294">
        <f>'12.2.Нови дейности или обекти'!M57</f>
        <v>0</v>
      </c>
      <c r="T158" s="3579">
        <f>'12.2.Нови дейности или обекти'!AM68</f>
        <v>0</v>
      </c>
      <c r="U158" s="3579">
        <f>'12.2.Нови дейности или обекти'!AN68</f>
        <v>0</v>
      </c>
      <c r="V158" s="3579">
        <f>'12.2.Нови дейности или обекти'!AO68</f>
        <v>0</v>
      </c>
      <c r="W158" s="3579">
        <f>'12.2.Нови дейности или обекти'!AP68</f>
        <v>0</v>
      </c>
      <c r="X158" s="3579">
        <f>'12.2.Нови дейности или обекти'!AQ68</f>
        <v>0</v>
      </c>
      <c r="AA158" s="11"/>
      <c r="AC158" s="3347"/>
      <c r="AD158" s="11"/>
      <c r="AK158" s="4281"/>
      <c r="AP158" s="11"/>
    </row>
    <row r="159" spans="9:42" ht="15.75" customHeight="1">
      <c r="S159" s="4294">
        <f>'12.2.Нови дейности или обекти'!R57</f>
        <v>0</v>
      </c>
      <c r="T159" s="3579">
        <f>'12.2.Нови дейности или обекти'!AR68</f>
        <v>0</v>
      </c>
      <c r="U159" s="3579">
        <f>'12.2.Нови дейности или обекти'!AS68</f>
        <v>0</v>
      </c>
      <c r="V159" s="3579">
        <f>'12.2.Нови дейности или обекти'!AT68</f>
        <v>0</v>
      </c>
      <c r="W159" s="3579">
        <f>'12.2.Нови дейности или обекти'!AU68</f>
        <v>0</v>
      </c>
      <c r="X159" s="3579">
        <f>'12.2.Нови дейности или обекти'!AV68</f>
        <v>0</v>
      </c>
      <c r="AA159" s="11"/>
      <c r="AC159" s="3347"/>
      <c r="AD159" s="11"/>
      <c r="AK159" s="4281"/>
      <c r="AP159" s="11"/>
    </row>
    <row r="160" spans="9:42" ht="15.75" customHeight="1">
      <c r="S160" s="4294">
        <f>'12.2.Нови дейности или обекти'!W57</f>
        <v>0</v>
      </c>
      <c r="T160" s="3579">
        <f>'12.2.Нови дейности или обекти'!AW68</f>
        <v>0</v>
      </c>
      <c r="U160" s="3579">
        <f>'12.2.Нови дейности или обекти'!AX68</f>
        <v>0</v>
      </c>
      <c r="V160" s="3579">
        <f>'12.2.Нови дейности или обекти'!AY68</f>
        <v>0</v>
      </c>
      <c r="W160" s="3579">
        <f>'12.2.Нови дейности или обекти'!AZ68</f>
        <v>0</v>
      </c>
      <c r="X160" s="3579">
        <f>'12.2.Нови дейности или обекти'!BA68</f>
        <v>0</v>
      </c>
      <c r="AA160" s="11"/>
      <c r="AC160" s="3347"/>
      <c r="AD160" s="11"/>
      <c r="AK160" s="4281"/>
      <c r="AP160" s="11"/>
    </row>
    <row r="161" spans="19:42" ht="15.75" customHeight="1">
      <c r="S161" s="4294">
        <f>'12.2.Нови дейности или обекти'!C80</f>
        <v>0</v>
      </c>
      <c r="T161" s="3579">
        <f>'12.2.Нови дейности или обекти'!AC91</f>
        <v>0</v>
      </c>
      <c r="U161" s="3579">
        <f>'12.2.Нови дейности или обекти'!AD91</f>
        <v>0</v>
      </c>
      <c r="V161" s="3579">
        <f>'12.2.Нови дейности или обекти'!AE91</f>
        <v>0</v>
      </c>
      <c r="W161" s="3579">
        <f>'12.2.Нови дейности или обекти'!AF91</f>
        <v>0</v>
      </c>
      <c r="X161" s="3579">
        <f>'12.2.Нови дейности или обекти'!AG91</f>
        <v>0</v>
      </c>
      <c r="AA161" s="11"/>
      <c r="AC161" s="3347"/>
      <c r="AD161" s="11"/>
      <c r="AK161" s="4281"/>
      <c r="AP161" s="11"/>
    </row>
    <row r="162" spans="19:42" ht="15.75" customHeight="1">
      <c r="S162" s="4294">
        <f>'12.2.Нови дейности или обекти'!H80</f>
        <v>0</v>
      </c>
      <c r="T162" s="3579">
        <f>'12.2.Нови дейности или обекти'!AH91</f>
        <v>0</v>
      </c>
      <c r="U162" s="3579">
        <f>'12.2.Нови дейности или обекти'!AI91</f>
        <v>0</v>
      </c>
      <c r="V162" s="3579">
        <f>'12.2.Нови дейности или обекти'!AJ91</f>
        <v>0</v>
      </c>
      <c r="W162" s="3579">
        <f>'12.2.Нови дейности или обекти'!AK91</f>
        <v>0</v>
      </c>
      <c r="X162" s="3579">
        <f>'12.2.Нови дейности или обекти'!AL91</f>
        <v>0</v>
      </c>
      <c r="AA162" s="11"/>
      <c r="AC162" s="3347"/>
      <c r="AD162" s="11"/>
      <c r="AK162" s="4281"/>
      <c r="AP162" s="11"/>
    </row>
    <row r="163" spans="19:42" ht="15.75" customHeight="1">
      <c r="S163" s="4294">
        <f>'12.2.Нови дейности или обекти'!M80</f>
        <v>0</v>
      </c>
      <c r="T163" s="3579">
        <f>'12.2.Нови дейности или обекти'!AM91</f>
        <v>0</v>
      </c>
      <c r="U163" s="3579">
        <f>'12.2.Нови дейности или обекти'!AN91</f>
        <v>0</v>
      </c>
      <c r="V163" s="3579">
        <f>'12.2.Нови дейности или обекти'!AO91</f>
        <v>0</v>
      </c>
      <c r="W163" s="3579">
        <f>'12.2.Нови дейности или обекти'!AP91</f>
        <v>0</v>
      </c>
      <c r="X163" s="3579">
        <f>'12.2.Нови дейности или обекти'!AQ91</f>
        <v>0</v>
      </c>
      <c r="AA163" s="11"/>
      <c r="AC163" s="3347"/>
      <c r="AD163" s="11"/>
      <c r="AK163" s="4281"/>
      <c r="AP163" s="11"/>
    </row>
    <row r="164" spans="19:42" ht="15.75" customHeight="1">
      <c r="S164" s="4294">
        <f>'12.2.Нови дейности или обекти'!R80</f>
        <v>0</v>
      </c>
      <c r="T164" s="3579">
        <f>'12.2.Нови дейности или обекти'!AR91</f>
        <v>0</v>
      </c>
      <c r="U164" s="3579">
        <f>'12.2.Нови дейности или обекти'!AS91</f>
        <v>0</v>
      </c>
      <c r="V164" s="3579">
        <f>'12.2.Нови дейности или обекти'!AT91</f>
        <v>0</v>
      </c>
      <c r="W164" s="3579">
        <f>'12.2.Нови дейности или обекти'!AU91</f>
        <v>0</v>
      </c>
      <c r="X164" s="3579">
        <f>'12.2.Нови дейности или обекти'!AV91</f>
        <v>0</v>
      </c>
      <c r="AA164" s="11"/>
      <c r="AC164" s="3347"/>
      <c r="AD164" s="11"/>
      <c r="AK164" s="4281"/>
      <c r="AP164" s="11"/>
    </row>
    <row r="165" spans="19:42" ht="15.75" customHeight="1">
      <c r="S165" s="4294">
        <f>'12.2.Нови дейности или обекти'!W80</f>
        <v>0</v>
      </c>
      <c r="T165" s="3579">
        <f>'12.2.Нови дейности или обекти'!AW91</f>
        <v>0</v>
      </c>
      <c r="U165" s="3579">
        <f>'12.2.Нови дейности или обекти'!AX91</f>
        <v>0</v>
      </c>
      <c r="V165" s="3579">
        <f>'12.2.Нови дейности или обекти'!AY91</f>
        <v>0</v>
      </c>
      <c r="W165" s="3579">
        <f>'12.2.Нови дейности или обекти'!AZ91</f>
        <v>0</v>
      </c>
      <c r="X165" s="3579">
        <f>'12.2.Нови дейности или обекти'!BA91</f>
        <v>0</v>
      </c>
      <c r="AA165" s="11"/>
      <c r="AC165" s="3347"/>
      <c r="AD165" s="11"/>
      <c r="AK165" s="4281"/>
      <c r="AP165" s="11"/>
    </row>
    <row r="166" spans="19:42" ht="15.75" customHeight="1">
      <c r="S166" s="4302" t="s">
        <v>1676</v>
      </c>
      <c r="T166" s="4303">
        <f t="shared" ref="T166:X166" si="113">SUM(T156:T165)</f>
        <v>0</v>
      </c>
      <c r="U166" s="4303">
        <f t="shared" si="113"/>
        <v>0</v>
      </c>
      <c r="V166" s="4303">
        <f t="shared" si="113"/>
        <v>0</v>
      </c>
      <c r="W166" s="4303">
        <f t="shared" si="113"/>
        <v>0</v>
      </c>
      <c r="X166" s="4303">
        <f t="shared" si="113"/>
        <v>0</v>
      </c>
      <c r="AA166" s="11"/>
      <c r="AC166" s="3347"/>
      <c r="AD166" s="11"/>
      <c r="AK166" s="4281"/>
      <c r="AP166" s="11"/>
    </row>
    <row r="167" spans="19:42" ht="15.75" customHeight="1">
      <c r="S167" s="5636" t="s">
        <v>1920</v>
      </c>
      <c r="T167" s="5639" t="s">
        <v>184</v>
      </c>
      <c r="U167" s="5640"/>
      <c r="V167" s="5640"/>
      <c r="W167" s="5640"/>
      <c r="X167" s="5641"/>
      <c r="AA167" s="11"/>
      <c r="AC167" s="3347"/>
      <c r="AD167" s="11"/>
      <c r="AK167" s="4281"/>
      <c r="AP167" s="11"/>
    </row>
    <row r="168" spans="19:42" ht="15.75" customHeight="1">
      <c r="S168" s="5636"/>
      <c r="T168" s="4279" t="str">
        <f t="shared" ref="T168:X168" si="114">+T155</f>
        <v>2027 г.</v>
      </c>
      <c r="U168" s="4279" t="str">
        <f t="shared" si="114"/>
        <v>2028 г.</v>
      </c>
      <c r="V168" s="4279" t="str">
        <f t="shared" si="114"/>
        <v>2029 г.</v>
      </c>
      <c r="W168" s="4279" t="str">
        <f t="shared" si="114"/>
        <v>2030 г.</v>
      </c>
      <c r="X168" s="4279" t="str">
        <f t="shared" si="114"/>
        <v>2031 г.</v>
      </c>
      <c r="AA168" s="11"/>
      <c r="AC168" s="3347"/>
      <c r="AD168" s="11"/>
      <c r="AK168" s="4281"/>
      <c r="AP168" s="11"/>
    </row>
    <row r="169" spans="19:42" ht="15.75" customHeight="1">
      <c r="S169" s="4294" t="str">
        <f>'12.2.Нови дейности или обекти'!C104</f>
        <v>ПСОВ гр. Угърчин</v>
      </c>
      <c r="T169" s="3579">
        <f>'12.2.Нови дейности или обекти'!AC115</f>
        <v>140.98291483293892</v>
      </c>
      <c r="U169" s="3579">
        <f>'12.2.Нови дейности или обекти'!AD115</f>
        <v>156.27310492545726</v>
      </c>
      <c r="V169" s="3579">
        <f>'12.2.Нови дейности или обекти'!AE115</f>
        <v>173.22839572933941</v>
      </c>
      <c r="W169" s="3579">
        <f>'12.2.Нови дейности или обекти'!AF115</f>
        <v>192.19995539185726</v>
      </c>
      <c r="X169" s="3579">
        <f>'12.2.Нови дейности или обекти'!AG115</f>
        <v>213.51117636822369</v>
      </c>
      <c r="AA169" s="11"/>
      <c r="AC169" s="3347"/>
      <c r="AD169" s="11"/>
      <c r="AK169" s="4281"/>
      <c r="AP169" s="11"/>
    </row>
    <row r="170" spans="19:42" ht="15.75" customHeight="1">
      <c r="S170" s="4294">
        <f>'12.2.Нови дейности или обекти'!H104</f>
        <v>0</v>
      </c>
      <c r="T170" s="3579">
        <f>'12.2.Нови дейности или обекти'!AH115</f>
        <v>0</v>
      </c>
      <c r="U170" s="3579">
        <f>'12.2.Нови дейности или обекти'!AI115</f>
        <v>0</v>
      </c>
      <c r="V170" s="3579">
        <f>'12.2.Нови дейности или обекти'!AJ115</f>
        <v>0</v>
      </c>
      <c r="W170" s="3579">
        <f>'12.2.Нови дейности или обекти'!AK115</f>
        <v>0</v>
      </c>
      <c r="X170" s="3579">
        <f>'12.2.Нови дейности или обекти'!AL115</f>
        <v>0</v>
      </c>
      <c r="AA170" s="11"/>
      <c r="AC170" s="3347"/>
      <c r="AD170" s="11"/>
      <c r="AK170" s="4281"/>
      <c r="AP170" s="11"/>
    </row>
    <row r="171" spans="19:42" ht="15.75" customHeight="1">
      <c r="S171" s="4294">
        <f>'12.2.Нови дейности или обекти'!M104</f>
        <v>0</v>
      </c>
      <c r="T171" s="3579">
        <f>'12.2.Нови дейности или обекти'!AM115</f>
        <v>0</v>
      </c>
      <c r="U171" s="3579">
        <f>'12.2.Нови дейности или обекти'!AN115</f>
        <v>0</v>
      </c>
      <c r="V171" s="3579">
        <f>'12.2.Нови дейности или обекти'!AO115</f>
        <v>0</v>
      </c>
      <c r="W171" s="3579">
        <f>'12.2.Нови дейности или обекти'!AP115</f>
        <v>0</v>
      </c>
      <c r="X171" s="3579">
        <f>'12.2.Нови дейности или обекти'!AQ115</f>
        <v>0</v>
      </c>
      <c r="AA171" s="11"/>
      <c r="AC171" s="3347"/>
      <c r="AD171" s="11"/>
      <c r="AK171" s="4281"/>
      <c r="AP171" s="11"/>
    </row>
    <row r="172" spans="19:42" ht="15.75" customHeight="1">
      <c r="S172" s="4294">
        <f>'12.2.Нови дейности или обекти'!R104</f>
        <v>0</v>
      </c>
      <c r="T172" s="3579">
        <f>'12.2.Нови дейности или обекти'!AR115</f>
        <v>0</v>
      </c>
      <c r="U172" s="3579">
        <f>'12.2.Нови дейности или обекти'!AS115</f>
        <v>0</v>
      </c>
      <c r="V172" s="3579">
        <f>'12.2.Нови дейности или обекти'!AT115</f>
        <v>0</v>
      </c>
      <c r="W172" s="3579">
        <f>'12.2.Нови дейности или обекти'!AU115</f>
        <v>0</v>
      </c>
      <c r="X172" s="3579">
        <f>'12.2.Нови дейности или обекти'!AV115</f>
        <v>0</v>
      </c>
      <c r="AA172" s="11"/>
      <c r="AC172" s="3347"/>
      <c r="AD172" s="11"/>
      <c r="AK172" s="4281"/>
      <c r="AP172" s="11"/>
    </row>
    <row r="173" spans="19:42" ht="15.75" customHeight="1">
      <c r="S173" s="4294">
        <f>'12.2.Нови дейности или обекти'!W104</f>
        <v>0</v>
      </c>
      <c r="T173" s="3579">
        <f>'12.2.Нови дейности или обекти'!AW115</f>
        <v>0</v>
      </c>
      <c r="U173" s="3579">
        <f>'12.2.Нови дейности или обекти'!AX115</f>
        <v>0</v>
      </c>
      <c r="V173" s="3579">
        <f>'12.2.Нови дейности или обекти'!AY115</f>
        <v>0</v>
      </c>
      <c r="W173" s="3579">
        <f>'12.2.Нови дейности или обекти'!AZ115</f>
        <v>0</v>
      </c>
      <c r="X173" s="3579">
        <f>'12.2.Нови дейности или обекти'!BA115</f>
        <v>0</v>
      </c>
      <c r="AA173" s="11"/>
      <c r="AC173" s="3347"/>
      <c r="AD173" s="11"/>
      <c r="AK173" s="4281"/>
      <c r="AP173" s="11"/>
    </row>
    <row r="174" spans="19:42" ht="15.75" customHeight="1">
      <c r="S174" s="4294">
        <f>'12.2.Нови дейности или обекти'!C127</f>
        <v>0</v>
      </c>
      <c r="T174" s="3579">
        <f>'12.2.Нови дейности или обекти'!AC138</f>
        <v>0</v>
      </c>
      <c r="U174" s="3579">
        <f>'12.2.Нови дейности или обекти'!AD138</f>
        <v>0</v>
      </c>
      <c r="V174" s="3579">
        <f>'12.2.Нови дейности или обекти'!AE138</f>
        <v>0</v>
      </c>
      <c r="W174" s="3579">
        <f>'12.2.Нови дейности или обекти'!AF138</f>
        <v>0</v>
      </c>
      <c r="X174" s="3579">
        <f>'12.2.Нови дейности или обекти'!AG138</f>
        <v>0</v>
      </c>
      <c r="AA174" s="11"/>
    </row>
    <row r="175" spans="19:42" ht="15.75" customHeight="1">
      <c r="S175" s="4294">
        <f>'12.2.Нови дейности или обекти'!H127</f>
        <v>0</v>
      </c>
      <c r="T175" s="3579">
        <f>'12.2.Нови дейности или обекти'!AH138</f>
        <v>0</v>
      </c>
      <c r="U175" s="3579">
        <f>'12.2.Нови дейности или обекти'!AI138</f>
        <v>0</v>
      </c>
      <c r="V175" s="3579">
        <f>'12.2.Нови дейности или обекти'!AJ138</f>
        <v>0</v>
      </c>
      <c r="W175" s="3579">
        <f>'12.2.Нови дейности или обекти'!AK138</f>
        <v>0</v>
      </c>
      <c r="X175" s="3579">
        <f>'12.2.Нови дейности или обекти'!AL138</f>
        <v>0</v>
      </c>
      <c r="AA175" s="11"/>
    </row>
    <row r="176" spans="19:42" ht="15.75" customHeight="1">
      <c r="S176" s="4294">
        <f>'12.2.Нови дейности или обекти'!M127</f>
        <v>0</v>
      </c>
      <c r="T176" s="3579">
        <f>'12.2.Нови дейности или обекти'!AM138</f>
        <v>0</v>
      </c>
      <c r="U176" s="3579">
        <f>'12.2.Нови дейности или обекти'!AN138</f>
        <v>0</v>
      </c>
      <c r="V176" s="3579">
        <f>'12.2.Нови дейности или обекти'!AO138</f>
        <v>0</v>
      </c>
      <c r="W176" s="3579">
        <f>'12.2.Нови дейности или обекти'!AP138</f>
        <v>0</v>
      </c>
      <c r="X176" s="3579">
        <f>'12.2.Нови дейности или обекти'!AQ138</f>
        <v>0</v>
      </c>
      <c r="AA176" s="11"/>
    </row>
    <row r="177" spans="19:27" ht="15.75" customHeight="1">
      <c r="S177" s="4294">
        <f>'12.2.Нови дейности или обекти'!R127</f>
        <v>0</v>
      </c>
      <c r="T177" s="3579">
        <f>'12.2.Нови дейности или обекти'!AR138</f>
        <v>0</v>
      </c>
      <c r="U177" s="3579">
        <f>'12.2.Нови дейности или обекти'!AS138</f>
        <v>0</v>
      </c>
      <c r="V177" s="3579">
        <f>'12.2.Нови дейности или обекти'!AT138</f>
        <v>0</v>
      </c>
      <c r="W177" s="3579">
        <f>'12.2.Нови дейности или обекти'!AU138</f>
        <v>0</v>
      </c>
      <c r="X177" s="3579">
        <f>'12.2.Нови дейности или обекти'!AV138</f>
        <v>0</v>
      </c>
      <c r="AA177" s="11"/>
    </row>
    <row r="178" spans="19:27" ht="15.75" customHeight="1">
      <c r="S178" s="4294">
        <f>'12.2.Нови дейности или обекти'!W127</f>
        <v>0</v>
      </c>
      <c r="T178" s="3579">
        <f>'12.2.Нови дейности или обекти'!AW138</f>
        <v>0</v>
      </c>
      <c r="U178" s="3579">
        <f>'12.2.Нови дейности или обекти'!AX138</f>
        <v>0</v>
      </c>
      <c r="V178" s="3579">
        <f>'12.2.Нови дейности или обекти'!AY138</f>
        <v>0</v>
      </c>
      <c r="W178" s="3579">
        <f>'12.2.Нови дейности или обекти'!AZ138</f>
        <v>0</v>
      </c>
      <c r="X178" s="3579">
        <f>'12.2.Нови дейности или обекти'!BA138</f>
        <v>0</v>
      </c>
      <c r="AA178" s="11"/>
    </row>
    <row r="179" spans="19:27" ht="15.75" customHeight="1">
      <c r="S179" s="4302" t="s">
        <v>1675</v>
      </c>
      <c r="T179" s="4303">
        <f>SUM(T169:T178)</f>
        <v>140.98291483293892</v>
      </c>
      <c r="U179" s="4303">
        <f t="shared" ref="U179:X179" si="115">SUM(U169:U178)</f>
        <v>156.27310492545726</v>
      </c>
      <c r="V179" s="4303">
        <f t="shared" si="115"/>
        <v>173.22839572933941</v>
      </c>
      <c r="W179" s="4303">
        <f t="shared" si="115"/>
        <v>192.19995539185726</v>
      </c>
      <c r="X179" s="4303">
        <f t="shared" si="115"/>
        <v>213.51117636822369</v>
      </c>
      <c r="AA179" s="11"/>
    </row>
  </sheetData>
  <mergeCells count="82">
    <mergeCell ref="AS3:AW3"/>
    <mergeCell ref="A5:G5"/>
    <mergeCell ref="AR9:AR10"/>
    <mergeCell ref="AS9:AW9"/>
    <mergeCell ref="A10:G10"/>
    <mergeCell ref="A3:A4"/>
    <mergeCell ref="B3:G3"/>
    <mergeCell ref="S3:S4"/>
    <mergeCell ref="T3:Y3"/>
    <mergeCell ref="Z3:Z4"/>
    <mergeCell ref="AA3:AA4"/>
    <mergeCell ref="AK19:AK20"/>
    <mergeCell ref="AL19:AP19"/>
    <mergeCell ref="AK3:AK4"/>
    <mergeCell ref="AL3:AP3"/>
    <mergeCell ref="AR3:AR4"/>
    <mergeCell ref="AK11:AK12"/>
    <mergeCell ref="AL11:AP11"/>
    <mergeCell ref="A15:G15"/>
    <mergeCell ref="AR15:AR16"/>
    <mergeCell ref="AS15:AW15"/>
    <mergeCell ref="A33:G33"/>
    <mergeCell ref="A21:A22"/>
    <mergeCell ref="B21:G21"/>
    <mergeCell ref="AR21:AR22"/>
    <mergeCell ref="AS21:AW21"/>
    <mergeCell ref="A23:G23"/>
    <mergeCell ref="S24:S25"/>
    <mergeCell ref="T24:Y24"/>
    <mergeCell ref="Z24:Z25"/>
    <mergeCell ref="AA24:AA25"/>
    <mergeCell ref="AK27:AK28"/>
    <mergeCell ref="AL27:AP27"/>
    <mergeCell ref="AR27:AR28"/>
    <mergeCell ref="AS27:AW27"/>
    <mergeCell ref="A28:G28"/>
    <mergeCell ref="A69:G69"/>
    <mergeCell ref="AK35:AK36"/>
    <mergeCell ref="AL35:AP35"/>
    <mergeCell ref="A39:A40"/>
    <mergeCell ref="B39:G39"/>
    <mergeCell ref="A41:G41"/>
    <mergeCell ref="S45:S46"/>
    <mergeCell ref="T45:Y45"/>
    <mergeCell ref="Z45:Z46"/>
    <mergeCell ref="AA45:AA46"/>
    <mergeCell ref="A46:G46"/>
    <mergeCell ref="A51:G51"/>
    <mergeCell ref="A57:A58"/>
    <mergeCell ref="B57:G57"/>
    <mergeCell ref="A59:G59"/>
    <mergeCell ref="A64:G64"/>
    <mergeCell ref="S76:S77"/>
    <mergeCell ref="T76:Y76"/>
    <mergeCell ref="Z76:Z77"/>
    <mergeCell ref="AA76:AA77"/>
    <mergeCell ref="A81:A82"/>
    <mergeCell ref="B81:G81"/>
    <mergeCell ref="A83:G83"/>
    <mergeCell ref="A88:G88"/>
    <mergeCell ref="A93:G93"/>
    <mergeCell ref="A99:A100"/>
    <mergeCell ref="B99:G99"/>
    <mergeCell ref="AA120:AA121"/>
    <mergeCell ref="T100:Y100"/>
    <mergeCell ref="Z100:Z101"/>
    <mergeCell ref="AA100:AA101"/>
    <mergeCell ref="A101:G101"/>
    <mergeCell ref="A106:G106"/>
    <mergeCell ref="A111:G111"/>
    <mergeCell ref="S100:S101"/>
    <mergeCell ref="A117:A118"/>
    <mergeCell ref="B117:G117"/>
    <mergeCell ref="S120:S121"/>
    <mergeCell ref="T120:Y120"/>
    <mergeCell ref="Z120:Z121"/>
    <mergeCell ref="S141:S142"/>
    <mergeCell ref="T141:X141"/>
    <mergeCell ref="S154:S155"/>
    <mergeCell ref="T154:X154"/>
    <mergeCell ref="S167:S168"/>
    <mergeCell ref="T167:X167"/>
  </mergeCells>
  <conditionalFormatting sqref="J16:O17">
    <cfRule type="cellIs" dxfId="33" priority="1" operator="lessThan">
      <formula>0</formula>
    </cfRule>
  </conditionalFormatting>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BX148"/>
  <sheetViews>
    <sheetView zoomScale="89" zoomScaleNormal="89" workbookViewId="0">
      <selection sqref="A1:XFD1048576"/>
    </sheetView>
  </sheetViews>
  <sheetFormatPr defaultColWidth="9.109375" defaultRowHeight="13.2"/>
  <cols>
    <col min="1" max="1" width="6.5546875" style="3202" customWidth="1"/>
    <col min="2" max="2" width="33.33203125" style="1326" customWidth="1"/>
    <col min="3" max="8" width="7.6640625" style="3202" customWidth="1"/>
    <col min="9" max="46" width="7.6640625" style="1326" customWidth="1"/>
    <col min="47" max="47" width="10.6640625" style="4877" customWidth="1"/>
    <col min="48" max="48" width="10.33203125" style="4877" customWidth="1"/>
    <col min="49" max="49" width="12.33203125" style="4881" customWidth="1"/>
    <col min="50" max="50" width="2.109375" style="4881" customWidth="1"/>
    <col min="51" max="58" width="9.109375" style="1326"/>
    <col min="59" max="59" width="2.109375" style="4881" customWidth="1"/>
    <col min="60" max="62" width="9.109375" style="1326"/>
    <col min="63" max="63" width="9" style="1326" customWidth="1"/>
    <col min="64" max="16384" width="9.109375" style="1326"/>
  </cols>
  <sheetData>
    <row r="1" spans="1:75" ht="16.2">
      <c r="A1" s="4547"/>
      <c r="B1" s="4547"/>
      <c r="C1" s="4761"/>
      <c r="D1" s="4761"/>
      <c r="E1" s="4808"/>
      <c r="F1" s="4808"/>
      <c r="G1" s="4808"/>
      <c r="H1" s="4808"/>
      <c r="I1" s="4808"/>
      <c r="J1" s="4808"/>
      <c r="K1" s="4808"/>
      <c r="L1" s="4808"/>
      <c r="M1" s="4808"/>
      <c r="N1" s="4808"/>
      <c r="O1" s="4808"/>
      <c r="P1" s="4808"/>
      <c r="Q1" s="4808"/>
      <c r="R1" s="4808"/>
      <c r="S1" s="4808"/>
      <c r="T1" s="4808"/>
      <c r="U1" s="4809"/>
      <c r="V1" s="4809"/>
      <c r="W1" s="4809"/>
      <c r="X1" s="4809"/>
      <c r="Y1" s="4809"/>
      <c r="Z1" s="4810"/>
      <c r="AA1" s="4809"/>
      <c r="AB1" s="4809"/>
      <c r="AC1" s="4809"/>
      <c r="AD1" s="4809"/>
      <c r="AE1" s="4809"/>
      <c r="AG1" s="4809"/>
      <c r="AH1" s="4809"/>
      <c r="AI1" s="4809"/>
      <c r="AJ1" s="4809"/>
      <c r="AK1" s="4809"/>
      <c r="AL1" s="4809"/>
      <c r="AM1" s="4808"/>
      <c r="AN1" s="4809"/>
      <c r="AO1" s="4809"/>
      <c r="AP1" s="4808"/>
      <c r="AQ1" s="4808"/>
      <c r="AR1" s="4808"/>
      <c r="AT1" s="4808"/>
      <c r="AU1" s="4809"/>
      <c r="AV1" s="4809"/>
      <c r="AW1" s="4811"/>
      <c r="AX1" s="4811"/>
      <c r="BG1" s="4811"/>
    </row>
    <row r="2" spans="1:75" ht="18">
      <c r="A2" s="4763"/>
      <c r="B2" s="4763"/>
      <c r="C2" s="4763"/>
      <c r="D2" s="4763"/>
      <c r="E2" s="4763"/>
      <c r="F2" s="4763"/>
      <c r="G2" s="4763"/>
      <c r="H2" s="4763"/>
      <c r="I2" s="4763"/>
      <c r="J2" s="4763"/>
      <c r="K2" s="4763"/>
      <c r="L2" s="4763"/>
      <c r="M2" s="4763"/>
      <c r="N2" s="4763"/>
      <c r="O2" s="4763"/>
      <c r="P2" s="4763"/>
      <c r="Q2" s="4763"/>
      <c r="R2" s="4763"/>
      <c r="S2" s="4763"/>
      <c r="T2" s="4763"/>
      <c r="U2" s="4763"/>
      <c r="V2" s="4763"/>
      <c r="W2" s="4763"/>
      <c r="X2" s="4763"/>
      <c r="Y2" s="4763"/>
      <c r="Z2" s="4763"/>
      <c r="AA2" s="4763"/>
      <c r="AB2" s="4763"/>
      <c r="AC2" s="4763"/>
      <c r="AD2" s="4763"/>
      <c r="AE2" s="4763"/>
      <c r="AF2" s="4763"/>
      <c r="AG2" s="4763"/>
      <c r="AH2" s="4763"/>
      <c r="AI2" s="4763"/>
      <c r="AJ2" s="4763"/>
      <c r="AK2" s="4763"/>
      <c r="AL2" s="4763"/>
      <c r="AM2" s="4623"/>
      <c r="AN2" s="4763"/>
      <c r="AO2" s="4763"/>
      <c r="AP2" s="4623"/>
      <c r="AQ2" s="4623"/>
      <c r="AR2" s="4623"/>
      <c r="AS2" s="4623"/>
      <c r="AT2" s="4623"/>
      <c r="AU2" s="4812"/>
      <c r="AV2" s="4812"/>
      <c r="AW2" s="4763"/>
      <c r="AX2" s="4763"/>
      <c r="BG2" s="4763"/>
    </row>
    <row r="3" spans="1:75" ht="18">
      <c r="A3" s="4763"/>
      <c r="B3" s="4763"/>
      <c r="C3" s="4763"/>
      <c r="D3" s="4763"/>
      <c r="E3" s="4763"/>
      <c r="F3" s="4763"/>
      <c r="G3" s="4763"/>
      <c r="H3" s="4763"/>
      <c r="I3" s="4763"/>
      <c r="J3" s="4763"/>
      <c r="K3" s="4763"/>
      <c r="L3" s="4763"/>
      <c r="M3" s="4763"/>
      <c r="N3" s="4763"/>
      <c r="O3" s="4763"/>
      <c r="P3" s="4763"/>
      <c r="Q3" s="4763"/>
      <c r="R3" s="4763"/>
      <c r="S3" s="4763"/>
      <c r="T3" s="4763"/>
      <c r="U3" s="4763"/>
      <c r="V3" s="4763"/>
      <c r="W3" s="4763"/>
      <c r="X3" s="4763"/>
      <c r="Y3" s="4763"/>
      <c r="Z3" s="4763"/>
      <c r="AA3" s="4763"/>
      <c r="AB3" s="4763"/>
      <c r="AC3" s="4763"/>
      <c r="AD3" s="4763"/>
      <c r="AE3" s="4763"/>
      <c r="AF3" s="4763"/>
      <c r="AG3" s="4763"/>
      <c r="AH3" s="4763"/>
      <c r="AI3" s="4763"/>
      <c r="AJ3" s="4763"/>
      <c r="AK3" s="4763"/>
      <c r="AL3" s="4763"/>
      <c r="AM3" s="4623"/>
      <c r="AN3" s="4763"/>
      <c r="AO3" s="4763"/>
      <c r="AP3" s="4623"/>
      <c r="AQ3" s="4623"/>
      <c r="AR3" s="4623"/>
      <c r="AS3" s="4623"/>
      <c r="AT3" s="4623"/>
      <c r="AU3" s="4812"/>
      <c r="AV3" s="4812"/>
      <c r="AW3" s="4763"/>
      <c r="AX3" s="4763"/>
      <c r="BG3" s="4763"/>
    </row>
    <row r="4" spans="1:75" ht="15.6">
      <c r="A4" s="4813"/>
      <c r="B4" s="4813"/>
      <c r="C4" s="4813"/>
      <c r="D4" s="4813"/>
      <c r="E4" s="4813"/>
      <c r="F4" s="4813"/>
      <c r="G4" s="4813"/>
      <c r="H4" s="4813"/>
      <c r="I4" s="4813"/>
      <c r="J4" s="4813"/>
      <c r="K4" s="4813"/>
      <c r="L4" s="4813"/>
      <c r="M4" s="4813"/>
      <c r="N4" s="4813"/>
      <c r="O4" s="4813"/>
      <c r="P4" s="4813"/>
      <c r="Q4" s="4813"/>
      <c r="R4" s="4813"/>
      <c r="S4" s="4813"/>
      <c r="T4" s="4813"/>
      <c r="U4" s="4813"/>
      <c r="V4" s="4813"/>
      <c r="W4" s="4813"/>
      <c r="X4" s="4813"/>
      <c r="Y4" s="4813"/>
      <c r="Z4" s="4813"/>
      <c r="AA4" s="4813"/>
      <c r="AB4" s="4813"/>
      <c r="AC4" s="4813"/>
      <c r="AD4" s="4813"/>
      <c r="AE4" s="4813"/>
      <c r="AF4" s="4813"/>
      <c r="AG4" s="4813"/>
      <c r="AH4" s="4813"/>
      <c r="AI4" s="4813"/>
      <c r="AJ4" s="4813"/>
      <c r="AK4" s="4813"/>
      <c r="AL4" s="4813"/>
      <c r="AM4" s="4814"/>
      <c r="AN4" s="4813"/>
      <c r="AO4" s="4813"/>
      <c r="AP4" s="4814"/>
      <c r="AQ4" s="4814"/>
      <c r="AR4" s="4814"/>
      <c r="AS4" s="4814"/>
      <c r="AT4" s="4814"/>
      <c r="AU4" s="4815"/>
      <c r="AV4" s="4815"/>
      <c r="AW4" s="4813"/>
      <c r="AX4" s="4813"/>
      <c r="BG4" s="4813"/>
    </row>
    <row r="5" spans="1:75" ht="15.6">
      <c r="A5" s="4813"/>
      <c r="B5" s="4813"/>
      <c r="C5" s="4813"/>
      <c r="D5" s="4813"/>
      <c r="E5" s="4813"/>
      <c r="F5" s="4813"/>
      <c r="G5" s="4813"/>
      <c r="H5" s="4813"/>
      <c r="I5" s="4813"/>
      <c r="J5" s="4813"/>
      <c r="K5" s="4813"/>
      <c r="L5" s="4813"/>
      <c r="M5" s="4813"/>
      <c r="N5" s="4813"/>
      <c r="O5" s="4813"/>
      <c r="P5" s="4813"/>
      <c r="Q5" s="4813"/>
      <c r="R5" s="4813"/>
      <c r="S5" s="4813"/>
      <c r="T5" s="4813"/>
      <c r="U5" s="4813"/>
      <c r="V5" s="4813"/>
      <c r="W5" s="4813"/>
      <c r="X5" s="4813"/>
      <c r="Y5" s="4813"/>
      <c r="Z5" s="4813"/>
      <c r="AA5" s="4813"/>
      <c r="AB5" s="4813"/>
      <c r="AC5" s="4813"/>
      <c r="AD5" s="4813"/>
      <c r="AE5" s="4813"/>
      <c r="AF5" s="4813"/>
      <c r="AG5" s="4813"/>
      <c r="AH5" s="4813"/>
      <c r="AI5" s="4813"/>
      <c r="AJ5" s="4813"/>
      <c r="AK5" s="4813"/>
      <c r="AL5" s="4813"/>
      <c r="AM5" s="4814"/>
      <c r="AN5" s="4813"/>
      <c r="AO5" s="4813"/>
      <c r="AP5" s="4814"/>
      <c r="AQ5" s="4814"/>
      <c r="AR5" s="4814"/>
      <c r="AS5" s="4814"/>
      <c r="AT5" s="4814"/>
      <c r="AU5" s="4815"/>
      <c r="AV5" s="4815"/>
      <c r="AW5" s="4813"/>
      <c r="AX5" s="4813"/>
      <c r="AY5" s="719"/>
      <c r="AZ5" s="719"/>
      <c r="BA5" s="719"/>
      <c r="BB5" s="719"/>
      <c r="BC5" s="719"/>
      <c r="BD5" s="719"/>
      <c r="BE5" s="719"/>
      <c r="BF5" s="719"/>
      <c r="BG5" s="4813"/>
      <c r="BH5" s="719"/>
      <c r="BI5" s="719"/>
      <c r="BJ5" s="719"/>
      <c r="BK5" s="719"/>
      <c r="BL5" s="719"/>
      <c r="BM5" s="719"/>
      <c r="BN5" s="719"/>
      <c r="BO5" s="719"/>
      <c r="BP5" s="719"/>
      <c r="BQ5" s="719"/>
      <c r="BR5" s="719"/>
      <c r="BS5" s="719"/>
      <c r="BT5" s="719"/>
      <c r="BU5" s="719"/>
      <c r="BV5" s="719"/>
      <c r="BW5" s="719"/>
    </row>
    <row r="6" spans="1:75" ht="13.8">
      <c r="A6" s="4816"/>
      <c r="B6" s="4816"/>
      <c r="C6" s="4816"/>
      <c r="D6" s="4816"/>
      <c r="E6" s="4816"/>
      <c r="F6" s="4816"/>
      <c r="G6" s="4816"/>
      <c r="H6" s="4816"/>
      <c r="I6" s="4816"/>
      <c r="J6" s="4816"/>
      <c r="K6" s="4816"/>
      <c r="L6" s="4816"/>
      <c r="M6" s="4816"/>
      <c r="N6" s="4816"/>
      <c r="O6" s="4816"/>
      <c r="P6" s="4816"/>
      <c r="Q6" s="4816"/>
      <c r="R6" s="4816"/>
      <c r="S6" s="4816"/>
      <c r="T6" s="4816"/>
      <c r="U6" s="4809"/>
      <c r="V6" s="4809"/>
      <c r="W6" s="4809"/>
      <c r="X6" s="4809"/>
      <c r="Y6" s="4809"/>
      <c r="Z6" s="4809"/>
      <c r="AA6" s="4809"/>
      <c r="AB6" s="4809"/>
      <c r="AC6" s="4809"/>
      <c r="AD6" s="4809"/>
      <c r="AE6" s="4809"/>
      <c r="AF6" s="4809"/>
      <c r="AG6" s="4809"/>
      <c r="AH6" s="4809"/>
      <c r="AI6" s="4809"/>
      <c r="AJ6" s="4809"/>
      <c r="AK6" s="4809"/>
      <c r="AL6" s="4809"/>
      <c r="AM6" s="4816"/>
      <c r="AN6" s="4809"/>
      <c r="AO6" s="4809"/>
      <c r="AP6" s="4816"/>
      <c r="AQ6" s="4816"/>
      <c r="AR6" s="4816"/>
      <c r="AS6" s="4816"/>
      <c r="AT6" s="4816"/>
      <c r="AU6" s="4809"/>
      <c r="AV6" s="4809"/>
      <c r="AW6" s="4811"/>
      <c r="AX6" s="4809"/>
      <c r="AY6" s="719"/>
      <c r="AZ6" s="719"/>
      <c r="BA6" s="719"/>
      <c r="BB6" s="719"/>
      <c r="BC6" s="719"/>
      <c r="BD6" s="719"/>
      <c r="BE6" s="719"/>
      <c r="BF6" s="719"/>
      <c r="BG6" s="4809"/>
      <c r="BH6" s="719"/>
      <c r="BI6" s="719"/>
      <c r="BJ6" s="719"/>
      <c r="BK6" s="719"/>
      <c r="BL6" s="719"/>
      <c r="BM6" s="719"/>
      <c r="BN6" s="719"/>
      <c r="BO6" s="719"/>
      <c r="BP6" s="719"/>
      <c r="BQ6" s="719"/>
      <c r="BR6" s="719"/>
      <c r="BS6" s="719"/>
      <c r="BT6" s="719"/>
      <c r="BU6" s="719"/>
      <c r="BV6" s="719"/>
      <c r="BW6" s="719"/>
    </row>
    <row r="7" spans="1:75" s="4818" customFormat="1" ht="22.5" customHeight="1">
      <c r="A7" s="4765"/>
      <c r="B7" s="4765"/>
      <c r="C7" s="4765"/>
      <c r="D7" s="4765"/>
      <c r="E7" s="4765"/>
      <c r="F7" s="4765"/>
      <c r="G7" s="4765"/>
      <c r="H7" s="4765"/>
      <c r="I7" s="4765"/>
      <c r="J7" s="4765"/>
      <c r="K7" s="4765"/>
      <c r="L7" s="4765"/>
      <c r="M7" s="4765"/>
      <c r="N7" s="4765"/>
      <c r="O7" s="4765"/>
      <c r="P7" s="4765"/>
      <c r="Q7" s="4765"/>
      <c r="R7" s="4765"/>
      <c r="S7" s="4765"/>
      <c r="T7" s="4765"/>
      <c r="U7" s="4765"/>
      <c r="V7" s="4765"/>
      <c r="W7" s="4765"/>
      <c r="X7" s="4765"/>
      <c r="Y7" s="4765"/>
      <c r="Z7" s="4765"/>
      <c r="AA7" s="4765"/>
      <c r="AB7" s="4765"/>
      <c r="AC7" s="4765"/>
      <c r="AD7" s="4765"/>
      <c r="AE7" s="4765"/>
      <c r="AF7" s="4765"/>
      <c r="AG7" s="4765"/>
      <c r="AH7" s="4765"/>
      <c r="AI7" s="4765"/>
      <c r="AJ7" s="4765"/>
      <c r="AK7" s="4765"/>
      <c r="AL7" s="4765"/>
      <c r="AM7" s="4765"/>
      <c r="AN7" s="4765"/>
      <c r="AO7" s="4765"/>
      <c r="AP7" s="4765"/>
      <c r="AQ7" s="4765"/>
      <c r="AR7" s="4765"/>
      <c r="AS7" s="4765"/>
      <c r="AT7" s="4765"/>
      <c r="AU7" s="4765"/>
      <c r="AV7" s="4817"/>
      <c r="AW7" s="4817"/>
      <c r="AX7" s="1"/>
      <c r="AY7" s="4765"/>
      <c r="AZ7" s="4765"/>
      <c r="BA7" s="4765"/>
      <c r="BB7" s="4765"/>
      <c r="BC7" s="4765"/>
      <c r="BD7" s="4765"/>
      <c r="BE7" s="4765"/>
      <c r="BF7" s="4765"/>
      <c r="BG7" s="1"/>
      <c r="BH7" s="4765"/>
      <c r="BI7" s="4765"/>
      <c r="BJ7" s="4765"/>
      <c r="BK7" s="4765"/>
      <c r="BL7" s="4765"/>
      <c r="BM7" s="4765"/>
      <c r="BN7" s="4765"/>
      <c r="BO7" s="4765"/>
      <c r="BP7" s="719"/>
      <c r="BQ7" s="719"/>
      <c r="BR7" s="719"/>
      <c r="BS7" s="719"/>
      <c r="BT7" s="719"/>
      <c r="BU7" s="719"/>
      <c r="BV7" s="719"/>
      <c r="BW7" s="719"/>
    </row>
    <row r="8" spans="1:75" s="4818" customFormat="1" ht="38.25" customHeight="1">
      <c r="A8" s="2047"/>
      <c r="B8" s="2047"/>
      <c r="C8" s="4819"/>
      <c r="D8" s="4819"/>
      <c r="E8" s="4819"/>
      <c r="F8" s="4819"/>
      <c r="G8" s="4819"/>
      <c r="H8" s="4819"/>
      <c r="I8" s="4819"/>
      <c r="J8" s="4819"/>
      <c r="K8" s="4819"/>
      <c r="L8" s="4819"/>
      <c r="M8" s="4819"/>
      <c r="N8" s="4819"/>
      <c r="O8" s="4819"/>
      <c r="P8" s="4819"/>
      <c r="Q8" s="4819"/>
      <c r="R8" s="4819"/>
      <c r="S8" s="4819"/>
      <c r="T8" s="4819"/>
      <c r="U8" s="4765"/>
      <c r="V8" s="4765"/>
      <c r="W8" s="4765"/>
      <c r="X8" s="4765"/>
      <c r="Y8" s="4765"/>
      <c r="Z8" s="4765"/>
      <c r="AA8" s="4765"/>
      <c r="AB8" s="4765"/>
      <c r="AC8" s="4765"/>
      <c r="AD8" s="4765"/>
      <c r="AE8" s="4765"/>
      <c r="AF8" s="4765"/>
      <c r="AG8" s="4765"/>
      <c r="AH8" s="4765"/>
      <c r="AI8" s="4765"/>
      <c r="AJ8" s="4765"/>
      <c r="AK8" s="4765"/>
      <c r="AL8" s="4765"/>
      <c r="AM8" s="4765"/>
      <c r="AN8" s="4765"/>
      <c r="AO8" s="4765"/>
      <c r="AP8" s="4765"/>
      <c r="AQ8" s="4765"/>
      <c r="AR8" s="4765"/>
      <c r="AS8" s="4765"/>
      <c r="AT8" s="4765"/>
      <c r="AU8" s="4765"/>
      <c r="AV8" s="4817"/>
      <c r="AW8" s="4817"/>
      <c r="AX8" s="1"/>
      <c r="AY8" s="4765"/>
      <c r="AZ8" s="4765"/>
      <c r="BA8" s="4765"/>
      <c r="BB8" s="4765"/>
      <c r="BC8" s="4765"/>
      <c r="BD8" s="4765"/>
      <c r="BE8" s="4765"/>
      <c r="BF8" s="4765"/>
      <c r="BG8" s="1"/>
      <c r="BH8" s="4765"/>
      <c r="BI8" s="4765"/>
      <c r="BJ8" s="4765"/>
      <c r="BK8" s="4765"/>
      <c r="BL8" s="4765"/>
      <c r="BM8" s="4765"/>
      <c r="BN8" s="4765"/>
      <c r="BO8" s="4765"/>
      <c r="BP8" s="719"/>
      <c r="BQ8" s="719"/>
      <c r="BR8" s="719"/>
      <c r="BS8" s="719"/>
      <c r="BT8" s="719"/>
      <c r="BU8" s="719"/>
      <c r="BV8" s="719"/>
      <c r="BW8" s="719"/>
    </row>
    <row r="9" spans="1:75" s="4818" customFormat="1">
      <c r="A9" s="2047"/>
      <c r="B9" s="2047"/>
      <c r="C9" s="4820"/>
      <c r="D9" s="4820"/>
      <c r="E9" s="4820"/>
      <c r="F9" s="4820"/>
      <c r="G9" s="4820"/>
      <c r="H9" s="4820"/>
      <c r="I9" s="4821"/>
      <c r="J9" s="4821"/>
      <c r="K9" s="4821"/>
      <c r="L9" s="4821"/>
      <c r="M9" s="4821"/>
      <c r="N9" s="4821"/>
      <c r="O9" s="4821"/>
      <c r="P9" s="4821"/>
      <c r="Q9" s="4821"/>
      <c r="R9" s="4821"/>
      <c r="S9" s="4821"/>
      <c r="T9" s="4821"/>
      <c r="U9" s="4821"/>
      <c r="V9" s="4821"/>
      <c r="W9" s="4821"/>
      <c r="X9" s="4821"/>
      <c r="Y9" s="4821"/>
      <c r="Z9" s="4821"/>
      <c r="AA9" s="4821"/>
      <c r="AB9" s="4821"/>
      <c r="AC9" s="4821"/>
      <c r="AD9" s="4821"/>
      <c r="AE9" s="4821"/>
      <c r="AF9" s="4821"/>
      <c r="AG9" s="4821"/>
      <c r="AH9" s="4821"/>
      <c r="AI9" s="4821"/>
      <c r="AJ9" s="4821"/>
      <c r="AK9" s="4821"/>
      <c r="AL9" s="4821"/>
      <c r="AM9" s="4821"/>
      <c r="AN9" s="4821"/>
      <c r="AO9" s="4821"/>
      <c r="AP9" s="4821"/>
      <c r="AQ9" s="4821"/>
      <c r="AR9" s="4821"/>
      <c r="AS9" s="4821"/>
      <c r="AT9" s="4821"/>
      <c r="AU9" s="4821"/>
      <c r="AV9" s="4821"/>
      <c r="AW9" s="4821"/>
      <c r="AX9" s="1"/>
      <c r="AY9" s="4821"/>
      <c r="AZ9" s="4821"/>
      <c r="BA9" s="4821"/>
      <c r="BB9" s="4821"/>
      <c r="BC9" s="4821"/>
      <c r="BD9" s="4821"/>
      <c r="BE9" s="4821"/>
      <c r="BF9" s="4821"/>
      <c r="BG9" s="1"/>
      <c r="BH9" s="4821"/>
      <c r="BI9" s="4821"/>
      <c r="BJ9" s="4821"/>
      <c r="BK9" s="4821"/>
      <c r="BL9" s="4821"/>
      <c r="BM9" s="4821"/>
      <c r="BN9" s="4821"/>
      <c r="BO9" s="4821"/>
      <c r="BP9" s="719"/>
      <c r="BQ9" s="719"/>
      <c r="BR9" s="719"/>
      <c r="BS9" s="719"/>
      <c r="BT9" s="719"/>
      <c r="BU9" s="719"/>
      <c r="BV9" s="719"/>
      <c r="BW9" s="719"/>
    </row>
    <row r="10" spans="1:75">
      <c r="A10" s="2052"/>
      <c r="B10" s="139"/>
      <c r="C10" s="4820"/>
      <c r="D10" s="4820"/>
      <c r="E10" s="4820"/>
      <c r="F10" s="4820"/>
      <c r="G10" s="4820"/>
      <c r="H10" s="4820"/>
      <c r="I10" s="4821"/>
      <c r="J10" s="4821"/>
      <c r="K10" s="4821"/>
      <c r="L10" s="4821"/>
      <c r="M10" s="4821"/>
      <c r="N10" s="4821"/>
      <c r="O10" s="4821"/>
      <c r="P10" s="4821"/>
      <c r="Q10" s="4821"/>
      <c r="R10" s="4821"/>
      <c r="S10" s="4821"/>
      <c r="T10" s="4821"/>
      <c r="U10" s="4821"/>
      <c r="V10" s="4821"/>
      <c r="W10" s="4821"/>
      <c r="X10" s="4821"/>
      <c r="Y10" s="4821"/>
      <c r="Z10" s="4821"/>
      <c r="AA10" s="4821"/>
      <c r="AB10" s="4821"/>
      <c r="AC10" s="4821"/>
      <c r="AD10" s="4821"/>
      <c r="AE10" s="4821"/>
      <c r="AF10" s="4821"/>
      <c r="AG10" s="4821"/>
      <c r="AH10" s="4821"/>
      <c r="AI10" s="4821"/>
      <c r="AJ10" s="4821"/>
      <c r="AK10" s="4821"/>
      <c r="AL10" s="4821"/>
      <c r="AM10" s="4821"/>
      <c r="AN10" s="4821"/>
      <c r="AO10" s="4821"/>
      <c r="AP10" s="4821"/>
      <c r="AQ10" s="4821"/>
      <c r="AR10" s="4821"/>
      <c r="AS10" s="4821"/>
      <c r="AT10" s="4821"/>
      <c r="AU10" s="4822"/>
      <c r="AV10" s="4822"/>
      <c r="AW10" s="4821"/>
      <c r="AX10" s="1"/>
      <c r="AY10" s="719"/>
      <c r="AZ10" s="719"/>
      <c r="BA10" s="719"/>
      <c r="BB10" s="719"/>
      <c r="BC10" s="719"/>
      <c r="BD10" s="719"/>
      <c r="BE10" s="719"/>
      <c r="BF10" s="719"/>
      <c r="BG10" s="1"/>
      <c r="BH10" s="719"/>
      <c r="BI10" s="719"/>
      <c r="BJ10" s="719"/>
      <c r="BK10" s="719"/>
      <c r="BL10" s="719"/>
      <c r="BM10" s="719"/>
      <c r="BN10" s="719"/>
      <c r="BO10" s="719"/>
      <c r="BP10" s="719"/>
      <c r="BQ10" s="719"/>
      <c r="BR10" s="719"/>
      <c r="BS10" s="719"/>
      <c r="BT10" s="719"/>
      <c r="BU10" s="719"/>
      <c r="BV10" s="719"/>
      <c r="BW10" s="719"/>
    </row>
    <row r="11" spans="1:75" s="4818" customFormat="1">
      <c r="A11" s="4823"/>
      <c r="B11" s="4824"/>
      <c r="C11" s="4825"/>
      <c r="D11" s="4825"/>
      <c r="E11" s="4825"/>
      <c r="F11" s="4825"/>
      <c r="G11" s="4825"/>
      <c r="H11" s="4825"/>
      <c r="I11" s="4825"/>
      <c r="J11" s="4825"/>
      <c r="K11" s="4825"/>
      <c r="L11" s="4825"/>
      <c r="M11" s="4825"/>
      <c r="N11" s="4825"/>
      <c r="O11" s="4825"/>
      <c r="P11" s="4825"/>
      <c r="Q11" s="4825"/>
      <c r="R11" s="4825"/>
      <c r="S11" s="4825"/>
      <c r="T11" s="4825"/>
      <c r="U11" s="4825"/>
      <c r="V11" s="4825"/>
      <c r="W11" s="4825"/>
      <c r="X11" s="4825"/>
      <c r="Y11" s="4825"/>
      <c r="Z11" s="4825"/>
      <c r="AA11" s="4825"/>
      <c r="AB11" s="4825"/>
      <c r="AC11" s="4825"/>
      <c r="AD11" s="4825"/>
      <c r="AE11" s="4825"/>
      <c r="AF11" s="4825"/>
      <c r="AG11" s="4825"/>
      <c r="AH11" s="4825"/>
      <c r="AI11" s="4825"/>
      <c r="AJ11" s="4825"/>
      <c r="AK11" s="4825"/>
      <c r="AL11" s="4825"/>
      <c r="AM11" s="4825"/>
      <c r="AN11" s="4825"/>
      <c r="AO11" s="4825"/>
      <c r="AP11" s="4825"/>
      <c r="AQ11" s="4825"/>
      <c r="AR11" s="4825"/>
      <c r="AS11" s="4825"/>
      <c r="AT11" s="4825"/>
      <c r="AU11" s="4787"/>
      <c r="AV11" s="4787"/>
      <c r="AW11" s="4787"/>
      <c r="AX11" s="1"/>
      <c r="AY11" s="4825"/>
      <c r="AZ11" s="4825"/>
      <c r="BA11" s="4825"/>
      <c r="BB11" s="4825"/>
      <c r="BC11" s="4825"/>
      <c r="BD11" s="4825"/>
      <c r="BE11" s="4825"/>
      <c r="BF11" s="4825"/>
      <c r="BG11" s="1"/>
      <c r="BH11" s="4826"/>
      <c r="BI11" s="4826"/>
      <c r="BJ11" s="4826"/>
      <c r="BK11" s="4826"/>
      <c r="BL11" s="4826"/>
      <c r="BM11" s="4826"/>
      <c r="BN11" s="4826"/>
      <c r="BO11" s="4826"/>
      <c r="BP11" s="719"/>
      <c r="BQ11" s="719"/>
      <c r="BR11" s="719"/>
      <c r="BS11" s="719"/>
      <c r="BT11" s="719"/>
      <c r="BU11" s="719"/>
      <c r="BV11" s="719"/>
      <c r="BW11" s="719"/>
    </row>
    <row r="12" spans="1:75" s="719" customFormat="1">
      <c r="A12" s="4827"/>
      <c r="B12" s="4795"/>
      <c r="C12" s="4828"/>
      <c r="D12" s="4828"/>
      <c r="E12" s="4828"/>
      <c r="F12" s="4828"/>
      <c r="G12" s="4828"/>
      <c r="H12" s="4828"/>
      <c r="I12" s="4828"/>
      <c r="J12" s="4828"/>
      <c r="K12" s="4828"/>
      <c r="L12" s="4828"/>
      <c r="M12" s="4828"/>
      <c r="N12" s="4828"/>
      <c r="O12" s="4828"/>
      <c r="P12" s="4828"/>
      <c r="Q12" s="4828"/>
      <c r="R12" s="4828"/>
      <c r="S12" s="4828"/>
      <c r="T12" s="4828"/>
      <c r="U12" s="4828"/>
      <c r="V12" s="4828"/>
      <c r="W12" s="4828"/>
      <c r="X12" s="4828"/>
      <c r="Y12" s="4828"/>
      <c r="Z12" s="4828"/>
      <c r="AA12" s="4828"/>
      <c r="AB12" s="4828"/>
      <c r="AC12" s="4828"/>
      <c r="AD12" s="4828"/>
      <c r="AE12" s="4828"/>
      <c r="AF12" s="4828"/>
      <c r="AG12" s="4828"/>
      <c r="AH12" s="4828"/>
      <c r="AI12" s="4828"/>
      <c r="AJ12" s="4828"/>
      <c r="AK12" s="4828"/>
      <c r="AL12" s="4828"/>
      <c r="AM12" s="4559"/>
      <c r="AN12" s="4828"/>
      <c r="AO12" s="4828"/>
      <c r="AP12" s="4559"/>
      <c r="AQ12" s="4559"/>
      <c r="AR12" s="4559"/>
      <c r="AS12" s="4559"/>
      <c r="AT12" s="4559"/>
      <c r="AU12" s="4786"/>
      <c r="AV12" s="4786"/>
      <c r="AW12" s="4787"/>
      <c r="AX12" s="1"/>
      <c r="AY12" s="4559"/>
      <c r="AZ12" s="4828"/>
      <c r="BA12" s="4828"/>
      <c r="BB12" s="4559"/>
      <c r="BC12" s="4559"/>
      <c r="BD12" s="4559"/>
      <c r="BE12" s="4559"/>
      <c r="BF12" s="4559"/>
      <c r="BG12" s="1"/>
      <c r="BH12" s="4826"/>
      <c r="BI12" s="4826"/>
      <c r="BJ12" s="4826"/>
      <c r="BK12" s="4826"/>
      <c r="BL12" s="4826"/>
      <c r="BM12" s="4826"/>
      <c r="BN12" s="4826"/>
      <c r="BO12" s="4826"/>
    </row>
    <row r="13" spans="1:75" s="719" customFormat="1">
      <c r="A13" s="4827"/>
      <c r="B13" s="4795"/>
      <c r="C13" s="4828"/>
      <c r="D13" s="4828"/>
      <c r="E13" s="4828"/>
      <c r="F13" s="4828"/>
      <c r="G13" s="4828"/>
      <c r="H13" s="4828"/>
      <c r="I13" s="4828"/>
      <c r="J13" s="4828"/>
      <c r="K13" s="4828"/>
      <c r="L13" s="4828"/>
      <c r="M13" s="4828"/>
      <c r="N13" s="4828"/>
      <c r="O13" s="4828"/>
      <c r="P13" s="4828"/>
      <c r="Q13" s="4828"/>
      <c r="R13" s="4828"/>
      <c r="S13" s="4828"/>
      <c r="T13" s="4828"/>
      <c r="U13" s="4828"/>
      <c r="V13" s="4828"/>
      <c r="W13" s="4828"/>
      <c r="X13" s="4828"/>
      <c r="Y13" s="4828"/>
      <c r="Z13" s="4828"/>
      <c r="AA13" s="4828"/>
      <c r="AB13" s="4828"/>
      <c r="AC13" s="4828"/>
      <c r="AD13" s="4828"/>
      <c r="AE13" s="4828"/>
      <c r="AF13" s="4828"/>
      <c r="AG13" s="4828"/>
      <c r="AH13" s="4828"/>
      <c r="AI13" s="4828"/>
      <c r="AJ13" s="4828"/>
      <c r="AK13" s="4828"/>
      <c r="AL13" s="4828"/>
      <c r="AM13" s="4559"/>
      <c r="AN13" s="4828"/>
      <c r="AO13" s="4828"/>
      <c r="AP13" s="4559"/>
      <c r="AQ13" s="4559"/>
      <c r="AR13" s="4559"/>
      <c r="AS13" s="4559"/>
      <c r="AT13" s="4559"/>
      <c r="AU13" s="4786"/>
      <c r="AV13" s="4786"/>
      <c r="AW13" s="4787"/>
      <c r="AX13" s="1"/>
      <c r="AY13" s="4559"/>
      <c r="AZ13" s="4828"/>
      <c r="BA13" s="4828"/>
      <c r="BB13" s="4559"/>
      <c r="BC13" s="4559"/>
      <c r="BD13" s="4559"/>
      <c r="BE13" s="4559"/>
      <c r="BF13" s="4559"/>
      <c r="BG13" s="1"/>
      <c r="BH13" s="4826"/>
      <c r="BI13" s="4826"/>
      <c r="BJ13" s="4826"/>
      <c r="BK13" s="4826"/>
      <c r="BL13" s="4826"/>
      <c r="BM13" s="4826"/>
      <c r="BN13" s="4826"/>
      <c r="BO13" s="4826"/>
    </row>
    <row r="14" spans="1:75" s="4818" customFormat="1">
      <c r="A14" s="4829"/>
      <c r="B14" s="4830"/>
      <c r="C14" s="4825"/>
      <c r="D14" s="4825"/>
      <c r="E14" s="4825"/>
      <c r="F14" s="4825"/>
      <c r="G14" s="4825"/>
      <c r="H14" s="4825"/>
      <c r="I14" s="4825"/>
      <c r="J14" s="4825"/>
      <c r="K14" s="4825"/>
      <c r="L14" s="4825"/>
      <c r="M14" s="4825"/>
      <c r="N14" s="4825"/>
      <c r="O14" s="4825"/>
      <c r="P14" s="4825"/>
      <c r="Q14" s="4825"/>
      <c r="R14" s="4825"/>
      <c r="S14" s="4825"/>
      <c r="T14" s="4825"/>
      <c r="U14" s="4825"/>
      <c r="V14" s="4825"/>
      <c r="W14" s="4825"/>
      <c r="X14" s="4825"/>
      <c r="Y14" s="4825"/>
      <c r="Z14" s="4825"/>
      <c r="AA14" s="4825"/>
      <c r="AB14" s="4825"/>
      <c r="AC14" s="4825"/>
      <c r="AD14" s="4825"/>
      <c r="AE14" s="4825"/>
      <c r="AF14" s="4825"/>
      <c r="AG14" s="4825"/>
      <c r="AH14" s="4825"/>
      <c r="AI14" s="4825"/>
      <c r="AJ14" s="4825"/>
      <c r="AK14" s="4825"/>
      <c r="AL14" s="4825"/>
      <c r="AM14" s="4825"/>
      <c r="AN14" s="4825"/>
      <c r="AO14" s="4825"/>
      <c r="AP14" s="4825"/>
      <c r="AQ14" s="4825"/>
      <c r="AR14" s="4825"/>
      <c r="AS14" s="4825"/>
      <c r="AT14" s="4825"/>
      <c r="AU14" s="4787"/>
      <c r="AV14" s="4787"/>
      <c r="AW14" s="4787"/>
      <c r="AX14" s="1"/>
      <c r="AY14" s="4825"/>
      <c r="AZ14" s="4825"/>
      <c r="BA14" s="4825"/>
      <c r="BB14" s="4825"/>
      <c r="BC14" s="4825"/>
      <c r="BD14" s="4825"/>
      <c r="BE14" s="4825"/>
      <c r="BF14" s="4825"/>
      <c r="BG14" s="1"/>
      <c r="BH14" s="4826"/>
      <c r="BI14" s="4826"/>
      <c r="BJ14" s="4826"/>
      <c r="BK14" s="4826"/>
      <c r="BL14" s="4826"/>
      <c r="BM14" s="4826"/>
      <c r="BN14" s="4826"/>
      <c r="BO14" s="4826"/>
      <c r="BP14" s="719"/>
      <c r="BQ14" s="719"/>
      <c r="BR14" s="719"/>
      <c r="BS14" s="719"/>
      <c r="BT14" s="719"/>
      <c r="BU14" s="719"/>
      <c r="BV14" s="719"/>
      <c r="BW14" s="719"/>
    </row>
    <row r="15" spans="1:75" s="719" customFormat="1">
      <c r="A15" s="4831"/>
      <c r="B15" s="4832"/>
      <c r="C15" s="4828"/>
      <c r="D15" s="4828"/>
      <c r="E15" s="4828"/>
      <c r="F15" s="4828"/>
      <c r="G15" s="4828"/>
      <c r="H15" s="4828"/>
      <c r="I15" s="4828"/>
      <c r="J15" s="4828"/>
      <c r="K15" s="4828"/>
      <c r="L15" s="4828"/>
      <c r="M15" s="4828"/>
      <c r="N15" s="4828"/>
      <c r="O15" s="4828"/>
      <c r="P15" s="4828"/>
      <c r="Q15" s="4828"/>
      <c r="R15" s="4828"/>
      <c r="S15" s="4828"/>
      <c r="T15" s="4828"/>
      <c r="U15" s="4828"/>
      <c r="V15" s="4828"/>
      <c r="W15" s="4828"/>
      <c r="X15" s="4828"/>
      <c r="Y15" s="4828"/>
      <c r="Z15" s="4828"/>
      <c r="AA15" s="4828"/>
      <c r="AB15" s="4828"/>
      <c r="AC15" s="4828"/>
      <c r="AD15" s="4828"/>
      <c r="AE15" s="4828"/>
      <c r="AF15" s="4828"/>
      <c r="AG15" s="4828"/>
      <c r="AH15" s="4828"/>
      <c r="AI15" s="4828"/>
      <c r="AJ15" s="4828"/>
      <c r="AK15" s="4828"/>
      <c r="AL15" s="4828"/>
      <c r="AM15" s="4559"/>
      <c r="AN15" s="4828"/>
      <c r="AO15" s="4828"/>
      <c r="AP15" s="4559"/>
      <c r="AQ15" s="4559"/>
      <c r="AR15" s="4559"/>
      <c r="AS15" s="4559"/>
      <c r="AT15" s="4559"/>
      <c r="AU15" s="4786"/>
      <c r="AV15" s="4786"/>
      <c r="AW15" s="4787"/>
      <c r="AX15" s="1"/>
      <c r="AY15" s="4559"/>
      <c r="AZ15" s="4828"/>
      <c r="BA15" s="4828"/>
      <c r="BB15" s="4559"/>
      <c r="BC15" s="4559"/>
      <c r="BD15" s="4559"/>
      <c r="BE15" s="4559"/>
      <c r="BF15" s="4559"/>
      <c r="BG15" s="1"/>
      <c r="BH15" s="4826"/>
      <c r="BI15" s="4826"/>
      <c r="BJ15" s="4826"/>
      <c r="BK15" s="4826"/>
      <c r="BL15" s="4826"/>
      <c r="BM15" s="4826"/>
      <c r="BN15" s="4826"/>
      <c r="BO15" s="4826"/>
    </row>
    <row r="16" spans="1:75" s="719" customFormat="1">
      <c r="A16" s="4831"/>
      <c r="B16" s="4832"/>
      <c r="C16" s="4828"/>
      <c r="D16" s="4828"/>
      <c r="E16" s="4828"/>
      <c r="F16" s="4828"/>
      <c r="G16" s="4828"/>
      <c r="H16" s="4828"/>
      <c r="I16" s="4828"/>
      <c r="J16" s="4828"/>
      <c r="K16" s="4828"/>
      <c r="L16" s="4828"/>
      <c r="M16" s="4828"/>
      <c r="N16" s="4828"/>
      <c r="O16" s="4828"/>
      <c r="P16" s="4828"/>
      <c r="Q16" s="4828"/>
      <c r="R16" s="4828"/>
      <c r="S16" s="4828"/>
      <c r="T16" s="4828"/>
      <c r="U16" s="4828"/>
      <c r="V16" s="4828"/>
      <c r="W16" s="4828"/>
      <c r="X16" s="4828"/>
      <c r="Y16" s="4828"/>
      <c r="Z16" s="4828"/>
      <c r="AA16" s="4828"/>
      <c r="AB16" s="4828"/>
      <c r="AC16" s="4828"/>
      <c r="AD16" s="4828"/>
      <c r="AE16" s="4828"/>
      <c r="AF16" s="4828"/>
      <c r="AG16" s="4828"/>
      <c r="AH16" s="4828"/>
      <c r="AI16" s="4828"/>
      <c r="AJ16" s="4828"/>
      <c r="AK16" s="4828"/>
      <c r="AL16" s="4828"/>
      <c r="AM16" s="4559"/>
      <c r="AN16" s="4828"/>
      <c r="AO16" s="4828"/>
      <c r="AP16" s="4559"/>
      <c r="AQ16" s="4559"/>
      <c r="AR16" s="4559"/>
      <c r="AS16" s="4559"/>
      <c r="AT16" s="4559"/>
      <c r="AU16" s="4786"/>
      <c r="AV16" s="4786"/>
      <c r="AW16" s="4787"/>
      <c r="AX16" s="1"/>
      <c r="AY16" s="4559"/>
      <c r="AZ16" s="4828"/>
      <c r="BA16" s="4828"/>
      <c r="BB16" s="4559"/>
      <c r="BC16" s="4559"/>
      <c r="BD16" s="4559"/>
      <c r="BE16" s="4559"/>
      <c r="BF16" s="4559"/>
      <c r="BG16" s="1"/>
      <c r="BH16" s="4826"/>
      <c r="BI16" s="4826"/>
      <c r="BJ16" s="4826"/>
      <c r="BK16" s="4826"/>
      <c r="BL16" s="4826"/>
      <c r="BM16" s="4826"/>
      <c r="BN16" s="4826"/>
      <c r="BO16" s="4826"/>
    </row>
    <row r="17" spans="1:75" s="719" customFormat="1">
      <c r="A17" s="4831"/>
      <c r="B17" s="4832"/>
      <c r="C17" s="4828"/>
      <c r="D17" s="4828"/>
      <c r="E17" s="4828"/>
      <c r="F17" s="4828"/>
      <c r="G17" s="4828"/>
      <c r="H17" s="4828"/>
      <c r="I17" s="4828"/>
      <c r="J17" s="4828"/>
      <c r="K17" s="4828"/>
      <c r="L17" s="4828"/>
      <c r="M17" s="4828"/>
      <c r="N17" s="4828"/>
      <c r="O17" s="4828"/>
      <c r="P17" s="4828"/>
      <c r="Q17" s="4828"/>
      <c r="R17" s="4828"/>
      <c r="S17" s="4828"/>
      <c r="T17" s="4828"/>
      <c r="U17" s="4828"/>
      <c r="V17" s="4828"/>
      <c r="W17" s="4828"/>
      <c r="X17" s="4828"/>
      <c r="Y17" s="4828"/>
      <c r="Z17" s="4828"/>
      <c r="AA17" s="4828"/>
      <c r="AB17" s="4828"/>
      <c r="AC17" s="4828"/>
      <c r="AD17" s="4828"/>
      <c r="AE17" s="4828"/>
      <c r="AF17" s="4828"/>
      <c r="AG17" s="4828"/>
      <c r="AH17" s="4828"/>
      <c r="AI17" s="4828"/>
      <c r="AJ17" s="4828"/>
      <c r="AK17" s="4828"/>
      <c r="AL17" s="4828"/>
      <c r="AM17" s="4559"/>
      <c r="AN17" s="4828"/>
      <c r="AO17" s="4828"/>
      <c r="AP17" s="4559"/>
      <c r="AQ17" s="4559"/>
      <c r="AR17" s="4559"/>
      <c r="AS17" s="4559"/>
      <c r="AT17" s="4559"/>
      <c r="AU17" s="4786"/>
      <c r="AV17" s="4786"/>
      <c r="AW17" s="4787"/>
      <c r="AX17" s="1"/>
      <c r="AY17" s="4559"/>
      <c r="AZ17" s="4828"/>
      <c r="BA17" s="4828"/>
      <c r="BB17" s="4559"/>
      <c r="BC17" s="4559"/>
      <c r="BD17" s="4559"/>
      <c r="BE17" s="4559"/>
      <c r="BF17" s="4559"/>
      <c r="BG17" s="1"/>
      <c r="BH17" s="4826"/>
      <c r="BI17" s="4826"/>
      <c r="BJ17" s="4826"/>
      <c r="BK17" s="4826"/>
      <c r="BL17" s="4826"/>
      <c r="BM17" s="4826"/>
      <c r="BN17" s="4826"/>
      <c r="BO17" s="4826"/>
    </row>
    <row r="18" spans="1:75" s="719" customFormat="1">
      <c r="A18" s="4831"/>
      <c r="B18" s="4832"/>
      <c r="C18" s="4828"/>
      <c r="D18" s="4828"/>
      <c r="E18" s="4828"/>
      <c r="F18" s="4828"/>
      <c r="G18" s="4828"/>
      <c r="H18" s="4828"/>
      <c r="I18" s="4828"/>
      <c r="J18" s="4828"/>
      <c r="K18" s="4828"/>
      <c r="L18" s="4828"/>
      <c r="M18" s="4828"/>
      <c r="N18" s="4828"/>
      <c r="O18" s="4828"/>
      <c r="P18" s="4828"/>
      <c r="Q18" s="4828"/>
      <c r="R18" s="4828"/>
      <c r="S18" s="4828"/>
      <c r="T18" s="4828"/>
      <c r="U18" s="4828"/>
      <c r="V18" s="4828"/>
      <c r="W18" s="4828"/>
      <c r="X18" s="4828"/>
      <c r="Y18" s="4828"/>
      <c r="Z18" s="4828"/>
      <c r="AA18" s="4828"/>
      <c r="AB18" s="4828"/>
      <c r="AC18" s="4828"/>
      <c r="AD18" s="4828"/>
      <c r="AE18" s="4828"/>
      <c r="AF18" s="4828"/>
      <c r="AG18" s="4828"/>
      <c r="AH18" s="4828"/>
      <c r="AI18" s="4828"/>
      <c r="AJ18" s="4828"/>
      <c r="AK18" s="4828"/>
      <c r="AL18" s="4828"/>
      <c r="AM18" s="4559"/>
      <c r="AN18" s="4828"/>
      <c r="AO18" s="4828"/>
      <c r="AP18" s="4559"/>
      <c r="AQ18" s="4559"/>
      <c r="AR18" s="4559"/>
      <c r="AS18" s="4559"/>
      <c r="AT18" s="4559"/>
      <c r="AU18" s="4786"/>
      <c r="AV18" s="4786"/>
      <c r="AW18" s="4787"/>
      <c r="AX18" s="1"/>
      <c r="AY18" s="4559"/>
      <c r="AZ18" s="4828"/>
      <c r="BA18" s="4828"/>
      <c r="BB18" s="4559"/>
      <c r="BC18" s="4559"/>
      <c r="BD18" s="4559"/>
      <c r="BE18" s="4559"/>
      <c r="BF18" s="4559"/>
      <c r="BG18" s="1"/>
      <c r="BH18" s="4826"/>
      <c r="BI18" s="4826"/>
      <c r="BJ18" s="4826"/>
      <c r="BK18" s="4826"/>
      <c r="BL18" s="4826"/>
      <c r="BM18" s="4826"/>
      <c r="BN18" s="4826"/>
      <c r="BO18" s="4826"/>
    </row>
    <row r="19" spans="1:75" s="719" customFormat="1">
      <c r="A19" s="4831"/>
      <c r="B19" s="4832"/>
      <c r="C19" s="4828"/>
      <c r="D19" s="4828"/>
      <c r="E19" s="4828"/>
      <c r="F19" s="4828"/>
      <c r="G19" s="4828"/>
      <c r="H19" s="4828"/>
      <c r="I19" s="4828"/>
      <c r="J19" s="4828"/>
      <c r="K19" s="4828"/>
      <c r="L19" s="4828"/>
      <c r="M19" s="4828"/>
      <c r="N19" s="4828"/>
      <c r="O19" s="4828"/>
      <c r="P19" s="4828"/>
      <c r="Q19" s="4828"/>
      <c r="R19" s="4828"/>
      <c r="S19" s="4828"/>
      <c r="T19" s="4828"/>
      <c r="U19" s="4828"/>
      <c r="V19" s="4828"/>
      <c r="W19" s="4828"/>
      <c r="X19" s="4828"/>
      <c r="Y19" s="4828"/>
      <c r="Z19" s="4828"/>
      <c r="AA19" s="4828"/>
      <c r="AB19" s="4828"/>
      <c r="AC19" s="4828"/>
      <c r="AD19" s="4828"/>
      <c r="AE19" s="4828"/>
      <c r="AF19" s="4828"/>
      <c r="AG19" s="4828"/>
      <c r="AH19" s="4828"/>
      <c r="AI19" s="4828"/>
      <c r="AJ19" s="4828"/>
      <c r="AK19" s="4828"/>
      <c r="AL19" s="4828"/>
      <c r="AM19" s="4559"/>
      <c r="AN19" s="4828"/>
      <c r="AO19" s="4828"/>
      <c r="AP19" s="4559"/>
      <c r="AQ19" s="4559"/>
      <c r="AR19" s="4559"/>
      <c r="AS19" s="4559"/>
      <c r="AT19" s="4559"/>
      <c r="AU19" s="4786"/>
      <c r="AV19" s="4786"/>
      <c r="AW19" s="4787"/>
      <c r="AX19" s="1"/>
      <c r="AY19" s="4559"/>
      <c r="AZ19" s="4828"/>
      <c r="BA19" s="4828"/>
      <c r="BB19" s="4559"/>
      <c r="BC19" s="4559"/>
      <c r="BD19" s="4559"/>
      <c r="BE19" s="4559"/>
      <c r="BF19" s="4559"/>
      <c r="BG19" s="1"/>
      <c r="BH19" s="4826"/>
      <c r="BI19" s="4826"/>
      <c r="BJ19" s="4826"/>
      <c r="BK19" s="4826"/>
      <c r="BL19" s="4826"/>
      <c r="BM19" s="4826"/>
      <c r="BN19" s="4826"/>
      <c r="BO19" s="4826"/>
    </row>
    <row r="20" spans="1:75" s="719" customFormat="1">
      <c r="A20" s="4831"/>
      <c r="B20" s="4832"/>
      <c r="C20" s="4828"/>
      <c r="D20" s="4828"/>
      <c r="E20" s="4828"/>
      <c r="F20" s="4828"/>
      <c r="G20" s="4828"/>
      <c r="H20" s="4828"/>
      <c r="I20" s="4828"/>
      <c r="J20" s="4828"/>
      <c r="K20" s="4828"/>
      <c r="L20" s="4828"/>
      <c r="M20" s="4828"/>
      <c r="N20" s="4828"/>
      <c r="O20" s="4828"/>
      <c r="P20" s="4828"/>
      <c r="Q20" s="4828"/>
      <c r="R20" s="4828"/>
      <c r="S20" s="4828"/>
      <c r="T20" s="4828"/>
      <c r="U20" s="4828"/>
      <c r="V20" s="4828"/>
      <c r="W20" s="4828"/>
      <c r="X20" s="4828"/>
      <c r="Y20" s="4828"/>
      <c r="Z20" s="4828"/>
      <c r="AA20" s="4828"/>
      <c r="AB20" s="4828"/>
      <c r="AC20" s="4828"/>
      <c r="AD20" s="4828"/>
      <c r="AE20" s="4828"/>
      <c r="AF20" s="4828"/>
      <c r="AG20" s="4828"/>
      <c r="AH20" s="4828"/>
      <c r="AI20" s="4828"/>
      <c r="AJ20" s="4828"/>
      <c r="AK20" s="4828"/>
      <c r="AL20" s="4828"/>
      <c r="AM20" s="4559"/>
      <c r="AN20" s="4828"/>
      <c r="AO20" s="4828"/>
      <c r="AP20" s="4559"/>
      <c r="AQ20" s="4559"/>
      <c r="AR20" s="4559"/>
      <c r="AS20" s="4559"/>
      <c r="AT20" s="4559"/>
      <c r="AU20" s="4786"/>
      <c r="AV20" s="4786"/>
      <c r="AW20" s="4787"/>
      <c r="AX20" s="1"/>
      <c r="AY20" s="4559"/>
      <c r="AZ20" s="4828"/>
      <c r="BA20" s="4828"/>
      <c r="BB20" s="4559"/>
      <c r="BC20" s="4559"/>
      <c r="BD20" s="4559"/>
      <c r="BE20" s="4559"/>
      <c r="BF20" s="4559"/>
      <c r="BG20" s="1"/>
      <c r="BH20" s="4826"/>
      <c r="BI20" s="4826"/>
      <c r="BJ20" s="4826"/>
      <c r="BK20" s="4826"/>
      <c r="BL20" s="4826"/>
      <c r="BM20" s="4826"/>
      <c r="BN20" s="4826"/>
      <c r="BO20" s="4826"/>
    </row>
    <row r="21" spans="1:75" s="719" customFormat="1">
      <c r="A21" s="4831"/>
      <c r="B21" s="4832"/>
      <c r="C21" s="4828"/>
      <c r="D21" s="4828"/>
      <c r="E21" s="4828"/>
      <c r="F21" s="4828"/>
      <c r="G21" s="4828"/>
      <c r="H21" s="4828"/>
      <c r="I21" s="4828"/>
      <c r="J21" s="4828"/>
      <c r="K21" s="4828"/>
      <c r="L21" s="4828"/>
      <c r="M21" s="4828"/>
      <c r="N21" s="4828"/>
      <c r="O21" s="4828"/>
      <c r="P21" s="4828"/>
      <c r="Q21" s="4828"/>
      <c r="R21" s="4828"/>
      <c r="S21" s="4828"/>
      <c r="T21" s="4828"/>
      <c r="U21" s="4828"/>
      <c r="V21" s="4828"/>
      <c r="W21" s="4828"/>
      <c r="X21" s="4828"/>
      <c r="Y21" s="4828"/>
      <c r="Z21" s="4828"/>
      <c r="AA21" s="4828"/>
      <c r="AB21" s="4828"/>
      <c r="AC21" s="4828"/>
      <c r="AD21" s="4828"/>
      <c r="AE21" s="4828"/>
      <c r="AF21" s="4828"/>
      <c r="AG21" s="4828"/>
      <c r="AH21" s="4828"/>
      <c r="AI21" s="4828"/>
      <c r="AJ21" s="4828"/>
      <c r="AK21" s="4828"/>
      <c r="AL21" s="4828"/>
      <c r="AM21" s="4559"/>
      <c r="AN21" s="4828"/>
      <c r="AO21" s="4828"/>
      <c r="AP21" s="4559"/>
      <c r="AQ21" s="4559"/>
      <c r="AR21" s="4559"/>
      <c r="AS21" s="4559"/>
      <c r="AT21" s="4559"/>
      <c r="AU21" s="4786"/>
      <c r="AV21" s="4786"/>
      <c r="AW21" s="4787"/>
      <c r="AX21" s="1"/>
      <c r="AY21" s="4559"/>
      <c r="AZ21" s="4828"/>
      <c r="BA21" s="4828"/>
      <c r="BB21" s="4559"/>
      <c r="BC21" s="4559"/>
      <c r="BD21" s="4559"/>
      <c r="BE21" s="4559"/>
      <c r="BF21" s="4559"/>
      <c r="BG21" s="1"/>
      <c r="BH21" s="4826"/>
      <c r="BI21" s="4826"/>
      <c r="BJ21" s="4826"/>
      <c r="BK21" s="4826"/>
      <c r="BL21" s="4826"/>
      <c r="BM21" s="4826"/>
      <c r="BN21" s="4826"/>
      <c r="BO21" s="4826"/>
    </row>
    <row r="22" spans="1:75" s="719" customFormat="1">
      <c r="A22" s="4831"/>
      <c r="B22" s="4832"/>
      <c r="C22" s="4828"/>
      <c r="D22" s="4828"/>
      <c r="E22" s="4828"/>
      <c r="F22" s="4828"/>
      <c r="G22" s="4828"/>
      <c r="H22" s="4828"/>
      <c r="I22" s="4828"/>
      <c r="J22" s="4828"/>
      <c r="K22" s="4828"/>
      <c r="L22" s="4828"/>
      <c r="M22" s="4828"/>
      <c r="N22" s="4828"/>
      <c r="O22" s="4828"/>
      <c r="P22" s="4828"/>
      <c r="Q22" s="4828"/>
      <c r="R22" s="4828"/>
      <c r="S22" s="4828"/>
      <c r="T22" s="4828"/>
      <c r="U22" s="4828"/>
      <c r="V22" s="4828"/>
      <c r="W22" s="4828"/>
      <c r="X22" s="4828"/>
      <c r="Y22" s="4828"/>
      <c r="Z22" s="4828"/>
      <c r="AA22" s="4828"/>
      <c r="AB22" s="4828"/>
      <c r="AC22" s="4828"/>
      <c r="AD22" s="4828"/>
      <c r="AE22" s="4828"/>
      <c r="AF22" s="4828"/>
      <c r="AG22" s="4828"/>
      <c r="AH22" s="4828"/>
      <c r="AI22" s="4828"/>
      <c r="AJ22" s="4828"/>
      <c r="AK22" s="4828"/>
      <c r="AL22" s="4828"/>
      <c r="AM22" s="4559"/>
      <c r="AN22" s="4828"/>
      <c r="AO22" s="4828"/>
      <c r="AP22" s="4559"/>
      <c r="AQ22" s="4559"/>
      <c r="AR22" s="4559"/>
      <c r="AS22" s="4559"/>
      <c r="AT22" s="4559"/>
      <c r="AU22" s="4786"/>
      <c r="AV22" s="4786"/>
      <c r="AW22" s="4787"/>
      <c r="AX22" s="1"/>
      <c r="AY22" s="4559"/>
      <c r="AZ22" s="4828"/>
      <c r="BA22" s="4828"/>
      <c r="BB22" s="4559"/>
      <c r="BC22" s="4559"/>
      <c r="BD22" s="4559"/>
      <c r="BE22" s="4559"/>
      <c r="BF22" s="4559"/>
      <c r="BG22" s="1"/>
      <c r="BH22" s="4826"/>
      <c r="BI22" s="4826"/>
      <c r="BJ22" s="4826"/>
      <c r="BK22" s="4826"/>
      <c r="BL22" s="4826"/>
      <c r="BM22" s="4826"/>
      <c r="BN22" s="4826"/>
      <c r="BO22" s="4826"/>
    </row>
    <row r="23" spans="1:75" s="719" customFormat="1">
      <c r="A23" s="4831"/>
      <c r="B23" s="4833"/>
      <c r="C23" s="4828"/>
      <c r="D23" s="4828"/>
      <c r="E23" s="4828"/>
      <c r="F23" s="4828"/>
      <c r="G23" s="4828"/>
      <c r="H23" s="4828"/>
      <c r="I23" s="4828"/>
      <c r="J23" s="4828"/>
      <c r="K23" s="4828"/>
      <c r="L23" s="4828"/>
      <c r="M23" s="4828"/>
      <c r="N23" s="4828"/>
      <c r="O23" s="4828"/>
      <c r="P23" s="4828"/>
      <c r="Q23" s="4828"/>
      <c r="R23" s="4828"/>
      <c r="S23" s="4828"/>
      <c r="T23" s="4828"/>
      <c r="U23" s="4828"/>
      <c r="V23" s="4828"/>
      <c r="W23" s="4828"/>
      <c r="X23" s="4828"/>
      <c r="Y23" s="4828"/>
      <c r="Z23" s="4828"/>
      <c r="AA23" s="4828"/>
      <c r="AB23" s="4828"/>
      <c r="AC23" s="4828"/>
      <c r="AD23" s="4828"/>
      <c r="AE23" s="4828"/>
      <c r="AF23" s="4828"/>
      <c r="AG23" s="4828"/>
      <c r="AH23" s="4828"/>
      <c r="AI23" s="4828"/>
      <c r="AJ23" s="4828"/>
      <c r="AK23" s="4828"/>
      <c r="AL23" s="4828"/>
      <c r="AM23" s="4559"/>
      <c r="AN23" s="4828"/>
      <c r="AO23" s="4828"/>
      <c r="AP23" s="4559"/>
      <c r="AQ23" s="4559"/>
      <c r="AR23" s="4559"/>
      <c r="AS23" s="4559"/>
      <c r="AT23" s="4559"/>
      <c r="AU23" s="4786"/>
      <c r="AV23" s="4786"/>
      <c r="AW23" s="4787"/>
      <c r="AX23" s="1"/>
      <c r="AY23" s="4559"/>
      <c r="AZ23" s="4828"/>
      <c r="BA23" s="4828"/>
      <c r="BB23" s="4559"/>
      <c r="BC23" s="4559"/>
      <c r="BD23" s="4559"/>
      <c r="BE23" s="4559"/>
      <c r="BF23" s="4559"/>
      <c r="BG23" s="1"/>
      <c r="BH23" s="4826"/>
      <c r="BI23" s="4826"/>
      <c r="BJ23" s="4826"/>
      <c r="BK23" s="4826"/>
      <c r="BL23" s="4826"/>
      <c r="BM23" s="4826"/>
      <c r="BN23" s="4826"/>
      <c r="BO23" s="4826"/>
    </row>
    <row r="24" spans="1:75" s="4281" customFormat="1">
      <c r="A24" s="4831"/>
      <c r="B24" s="4834"/>
      <c r="C24" s="4828"/>
      <c r="D24" s="4828"/>
      <c r="E24" s="4828"/>
      <c r="F24" s="4828"/>
      <c r="G24" s="4828"/>
      <c r="H24" s="4828"/>
      <c r="I24" s="4828"/>
      <c r="J24" s="4828"/>
      <c r="K24" s="4828"/>
      <c r="L24" s="4828"/>
      <c r="M24" s="4828"/>
      <c r="N24" s="4828"/>
      <c r="O24" s="4828"/>
      <c r="P24" s="4828"/>
      <c r="Q24" s="4828"/>
      <c r="R24" s="4828"/>
      <c r="S24" s="4828"/>
      <c r="T24" s="4828"/>
      <c r="U24" s="4559"/>
      <c r="V24" s="4559"/>
      <c r="W24" s="4559"/>
      <c r="X24" s="4559"/>
      <c r="Y24" s="4559"/>
      <c r="Z24" s="4559"/>
      <c r="AA24" s="4559"/>
      <c r="AB24" s="4559"/>
      <c r="AC24" s="4559"/>
      <c r="AD24" s="4559"/>
      <c r="AE24" s="4559"/>
      <c r="AF24" s="4559"/>
      <c r="AG24" s="4828"/>
      <c r="AH24" s="4828"/>
      <c r="AI24" s="4828"/>
      <c r="AJ24" s="4828"/>
      <c r="AK24" s="4828"/>
      <c r="AL24" s="4828"/>
      <c r="AM24" s="4559"/>
      <c r="AN24" s="4828"/>
      <c r="AO24" s="4828"/>
      <c r="AP24" s="4559"/>
      <c r="AQ24" s="4559"/>
      <c r="AR24" s="4559"/>
      <c r="AS24" s="4559"/>
      <c r="AT24" s="4559"/>
      <c r="AU24" s="4786"/>
      <c r="AV24" s="4786"/>
      <c r="AW24" s="4787"/>
      <c r="AX24" s="1"/>
      <c r="AY24" s="4559"/>
      <c r="AZ24" s="4828"/>
      <c r="BA24" s="4828"/>
      <c r="BB24" s="4559"/>
      <c r="BC24" s="4559"/>
      <c r="BD24" s="4559"/>
      <c r="BE24" s="4559"/>
      <c r="BF24" s="4559"/>
      <c r="BG24" s="1"/>
      <c r="BH24" s="4826"/>
      <c r="BI24" s="4826"/>
      <c r="BJ24" s="4826"/>
      <c r="BK24" s="4826"/>
      <c r="BL24" s="4826"/>
      <c r="BM24" s="4826"/>
      <c r="BN24" s="4826"/>
      <c r="BO24" s="4826"/>
      <c r="BP24" s="719"/>
      <c r="BQ24" s="719"/>
      <c r="BR24" s="719"/>
      <c r="BS24" s="719"/>
      <c r="BT24" s="719"/>
      <c r="BU24" s="719"/>
      <c r="BV24" s="719"/>
      <c r="BW24" s="719"/>
    </row>
    <row r="25" spans="1:75" s="4281" customFormat="1">
      <c r="A25" s="4831"/>
      <c r="B25" s="4834"/>
      <c r="C25" s="4559"/>
      <c r="D25" s="4559"/>
      <c r="E25" s="4559"/>
      <c r="F25" s="4559"/>
      <c r="G25" s="4559"/>
      <c r="H25" s="4559"/>
      <c r="I25" s="4559"/>
      <c r="J25" s="4559"/>
      <c r="K25" s="4559"/>
      <c r="L25" s="4559"/>
      <c r="M25" s="4559"/>
      <c r="N25" s="4559"/>
      <c r="O25" s="4559"/>
      <c r="P25" s="4559"/>
      <c r="Q25" s="4559"/>
      <c r="R25" s="4559"/>
      <c r="S25" s="4559"/>
      <c r="T25" s="4559"/>
      <c r="U25" s="4835"/>
      <c r="V25" s="4835"/>
      <c r="W25" s="4835"/>
      <c r="X25" s="4835"/>
      <c r="Y25" s="4835"/>
      <c r="Z25" s="4835"/>
      <c r="AA25" s="4835"/>
      <c r="AB25" s="4835"/>
      <c r="AC25" s="4835"/>
      <c r="AD25" s="4835"/>
      <c r="AE25" s="4835"/>
      <c r="AF25" s="4835"/>
      <c r="AG25" s="4559"/>
      <c r="AH25" s="4559"/>
      <c r="AI25" s="4559"/>
      <c r="AJ25" s="4559"/>
      <c r="AK25" s="4559"/>
      <c r="AL25" s="4559"/>
      <c r="AM25" s="4559"/>
      <c r="AN25" s="4559"/>
      <c r="AO25" s="4559"/>
      <c r="AP25" s="4559"/>
      <c r="AQ25" s="4559"/>
      <c r="AR25" s="4559"/>
      <c r="AS25" s="4559"/>
      <c r="AT25" s="4559"/>
      <c r="AU25" s="4786"/>
      <c r="AV25" s="4786"/>
      <c r="AW25" s="4787"/>
      <c r="AX25" s="1"/>
      <c r="AY25" s="4559"/>
      <c r="AZ25" s="4559"/>
      <c r="BA25" s="4559"/>
      <c r="BB25" s="4559"/>
      <c r="BC25" s="4559"/>
      <c r="BD25" s="4559"/>
      <c r="BE25" s="4559"/>
      <c r="BF25" s="4559"/>
      <c r="BG25" s="1"/>
      <c r="BH25" s="4826"/>
      <c r="BI25" s="4826"/>
      <c r="BJ25" s="4826"/>
      <c r="BK25" s="4826"/>
      <c r="BL25" s="4826"/>
      <c r="BM25" s="4826"/>
      <c r="BN25" s="4826"/>
      <c r="BO25" s="4826"/>
      <c r="BP25" s="719"/>
      <c r="BQ25" s="719"/>
      <c r="BR25" s="719"/>
      <c r="BS25" s="719"/>
      <c r="BT25" s="719"/>
      <c r="BU25" s="719"/>
      <c r="BV25" s="719"/>
      <c r="BW25" s="719"/>
    </row>
    <row r="26" spans="1:75" s="4281" customFormat="1">
      <c r="A26" s="4827"/>
      <c r="B26" s="4834"/>
      <c r="C26" s="4828"/>
      <c r="D26" s="4828"/>
      <c r="E26" s="4828"/>
      <c r="F26" s="4828"/>
      <c r="G26" s="4828"/>
      <c r="H26" s="4828"/>
      <c r="I26" s="4836"/>
      <c r="J26" s="4836"/>
      <c r="K26" s="4836"/>
      <c r="L26" s="4836"/>
      <c r="M26" s="4836"/>
      <c r="N26" s="4836"/>
      <c r="O26" s="4837"/>
      <c r="P26" s="4837"/>
      <c r="Q26" s="4837"/>
      <c r="R26" s="4837"/>
      <c r="S26" s="4837"/>
      <c r="T26" s="4837"/>
      <c r="U26" s="4835"/>
      <c r="V26" s="4835"/>
      <c r="W26" s="4835"/>
      <c r="X26" s="4835"/>
      <c r="Y26" s="4835"/>
      <c r="Z26" s="4835"/>
      <c r="AA26" s="4835"/>
      <c r="AB26" s="4835"/>
      <c r="AC26" s="4835"/>
      <c r="AD26" s="4835"/>
      <c r="AE26" s="4835"/>
      <c r="AF26" s="4835"/>
      <c r="AG26" s="4837"/>
      <c r="AH26" s="4837"/>
      <c r="AI26" s="4837"/>
      <c r="AJ26" s="4837"/>
      <c r="AK26" s="4837"/>
      <c r="AL26" s="4837"/>
      <c r="AM26" s="4559"/>
      <c r="AN26" s="4837"/>
      <c r="AO26" s="4837"/>
      <c r="AP26" s="4559"/>
      <c r="AQ26" s="4559"/>
      <c r="AR26" s="4559"/>
      <c r="AS26" s="4559"/>
      <c r="AT26" s="4559"/>
      <c r="AU26" s="4786"/>
      <c r="AV26" s="4786"/>
      <c r="AW26" s="4787"/>
      <c r="AX26" s="1"/>
      <c r="AY26" s="4559"/>
      <c r="AZ26" s="4837"/>
      <c r="BA26" s="4837"/>
      <c r="BB26" s="4559"/>
      <c r="BC26" s="4559"/>
      <c r="BD26" s="4559"/>
      <c r="BE26" s="4559"/>
      <c r="BF26" s="4559"/>
      <c r="BG26" s="1"/>
      <c r="BH26" s="4826"/>
      <c r="BI26" s="4826"/>
      <c r="BJ26" s="4826"/>
      <c r="BK26" s="4826"/>
      <c r="BL26" s="4826"/>
      <c r="BM26" s="4826"/>
      <c r="BN26" s="4826"/>
      <c r="BO26" s="4826"/>
      <c r="BP26" s="719"/>
      <c r="BQ26" s="719"/>
      <c r="BR26" s="719"/>
      <c r="BS26" s="719"/>
      <c r="BT26" s="719"/>
      <c r="BU26" s="719"/>
      <c r="BV26" s="719"/>
      <c r="BW26" s="719"/>
    </row>
    <row r="27" spans="1:75" s="719" customFormat="1">
      <c r="A27" s="4831"/>
      <c r="B27" s="4838"/>
      <c r="C27" s="4839"/>
      <c r="D27" s="4839"/>
      <c r="E27" s="4839"/>
      <c r="F27" s="4839"/>
      <c r="G27" s="4839"/>
      <c r="H27" s="4839"/>
      <c r="I27" s="4839"/>
      <c r="J27" s="4839"/>
      <c r="K27" s="4839"/>
      <c r="L27" s="4839"/>
      <c r="M27" s="4839"/>
      <c r="N27" s="4839"/>
      <c r="O27" s="4839"/>
      <c r="P27" s="4839"/>
      <c r="Q27" s="4839"/>
      <c r="R27" s="4839"/>
      <c r="S27" s="4839"/>
      <c r="T27" s="4839"/>
      <c r="U27" s="4835"/>
      <c r="V27" s="4835"/>
      <c r="W27" s="4835"/>
      <c r="X27" s="4835"/>
      <c r="Y27" s="4835"/>
      <c r="Z27" s="4835"/>
      <c r="AA27" s="4835"/>
      <c r="AB27" s="4835"/>
      <c r="AC27" s="4835"/>
      <c r="AD27" s="4835"/>
      <c r="AE27" s="4835"/>
      <c r="AF27" s="4835"/>
      <c r="AG27" s="4839"/>
      <c r="AH27" s="4839"/>
      <c r="AI27" s="4839"/>
      <c r="AJ27" s="4839"/>
      <c r="AK27" s="4839"/>
      <c r="AL27" s="4839"/>
      <c r="AM27" s="4559"/>
      <c r="AN27" s="4835"/>
      <c r="AO27" s="4835"/>
      <c r="AP27" s="4559"/>
      <c r="AQ27" s="4559"/>
      <c r="AR27" s="4559"/>
      <c r="AS27" s="4559"/>
      <c r="AT27" s="4559"/>
      <c r="AU27" s="4786"/>
      <c r="AV27" s="4786"/>
      <c r="AW27" s="4787"/>
      <c r="AX27" s="1"/>
      <c r="AY27" s="4559"/>
      <c r="AZ27" s="4835"/>
      <c r="BA27" s="4835"/>
      <c r="BB27" s="4559"/>
      <c r="BC27" s="4559"/>
      <c r="BD27" s="4559"/>
      <c r="BE27" s="4559"/>
      <c r="BF27" s="4559"/>
      <c r="BG27" s="1"/>
      <c r="BH27" s="4826"/>
      <c r="BI27" s="4826"/>
      <c r="BJ27" s="4826"/>
      <c r="BK27" s="4826"/>
      <c r="BL27" s="4826"/>
      <c r="BM27" s="4826"/>
      <c r="BN27" s="4826"/>
      <c r="BO27" s="4826"/>
    </row>
    <row r="28" spans="1:75" s="719" customFormat="1">
      <c r="A28" s="2052"/>
      <c r="B28" s="139"/>
      <c r="C28" s="4559"/>
      <c r="D28" s="4559"/>
      <c r="E28" s="4559"/>
      <c r="F28" s="4559"/>
      <c r="G28" s="4559"/>
      <c r="H28" s="4559"/>
      <c r="I28" s="4559"/>
      <c r="J28" s="4559"/>
      <c r="K28" s="4559"/>
      <c r="L28" s="4559"/>
      <c r="M28" s="4559"/>
      <c r="N28" s="4559"/>
      <c r="O28" s="4559"/>
      <c r="P28" s="4559"/>
      <c r="Q28" s="4559"/>
      <c r="R28" s="4559"/>
      <c r="S28" s="4559"/>
      <c r="T28" s="4559"/>
      <c r="U28" s="4559"/>
      <c r="V28" s="4559"/>
      <c r="W28" s="4559"/>
      <c r="X28" s="4559"/>
      <c r="Y28" s="4559"/>
      <c r="Z28" s="4559"/>
      <c r="AA28" s="4559"/>
      <c r="AB28" s="4559"/>
      <c r="AC28" s="4559"/>
      <c r="AD28" s="4559"/>
      <c r="AE28" s="4559"/>
      <c r="AF28" s="4559"/>
      <c r="AG28" s="4559"/>
      <c r="AH28" s="4559"/>
      <c r="AI28" s="4559"/>
      <c r="AJ28" s="4559"/>
      <c r="AK28" s="4559"/>
      <c r="AL28" s="4559"/>
      <c r="AM28" s="4559"/>
      <c r="AN28" s="4559"/>
      <c r="AO28" s="4559"/>
      <c r="AP28" s="4559"/>
      <c r="AQ28" s="4559"/>
      <c r="AR28" s="4559"/>
      <c r="AS28" s="4559"/>
      <c r="AT28" s="4559"/>
      <c r="AU28" s="4786"/>
      <c r="AV28" s="4786"/>
      <c r="AW28" s="4787"/>
      <c r="AX28" s="1"/>
      <c r="AY28" s="4559"/>
      <c r="AZ28" s="4559"/>
      <c r="BA28" s="4559"/>
      <c r="BB28" s="4559"/>
      <c r="BC28" s="4559"/>
      <c r="BD28" s="4559"/>
      <c r="BE28" s="4559"/>
      <c r="BF28" s="4559"/>
      <c r="BG28" s="1"/>
    </row>
    <row r="29" spans="1:75" s="4818" customFormat="1">
      <c r="A29" s="2052"/>
      <c r="B29" s="4765"/>
      <c r="C29" s="4825"/>
      <c r="D29" s="4825"/>
      <c r="E29" s="4825"/>
      <c r="F29" s="4825"/>
      <c r="G29" s="4825"/>
      <c r="H29" s="4825"/>
      <c r="I29" s="4825"/>
      <c r="J29" s="4825"/>
      <c r="K29" s="4825"/>
      <c r="L29" s="4825"/>
      <c r="M29" s="4825"/>
      <c r="N29" s="4825"/>
      <c r="O29" s="4825"/>
      <c r="P29" s="4825"/>
      <c r="Q29" s="4825"/>
      <c r="R29" s="4825"/>
      <c r="S29" s="4825"/>
      <c r="T29" s="4825"/>
      <c r="U29" s="4825"/>
      <c r="V29" s="4825"/>
      <c r="W29" s="4825"/>
      <c r="X29" s="4825"/>
      <c r="Y29" s="4825"/>
      <c r="Z29" s="4825"/>
      <c r="AA29" s="4825"/>
      <c r="AB29" s="4825"/>
      <c r="AC29" s="4825"/>
      <c r="AD29" s="4825"/>
      <c r="AE29" s="4825"/>
      <c r="AF29" s="4825"/>
      <c r="AG29" s="4825"/>
      <c r="AH29" s="4825"/>
      <c r="AI29" s="4825"/>
      <c r="AJ29" s="4825"/>
      <c r="AK29" s="4825"/>
      <c r="AL29" s="4825"/>
      <c r="AM29" s="4825"/>
      <c r="AN29" s="4825"/>
      <c r="AO29" s="4825"/>
      <c r="AP29" s="4825"/>
      <c r="AQ29" s="4825"/>
      <c r="AR29" s="4825"/>
      <c r="AS29" s="4825"/>
      <c r="AT29" s="4825"/>
      <c r="AU29" s="4787"/>
      <c r="AV29" s="4787"/>
      <c r="AW29" s="4787"/>
      <c r="AX29" s="1"/>
      <c r="AY29" s="4825"/>
      <c r="AZ29" s="4825"/>
      <c r="BA29" s="4825"/>
      <c r="BB29" s="4825"/>
      <c r="BC29" s="4825"/>
      <c r="BD29" s="4825"/>
      <c r="BE29" s="4825"/>
      <c r="BF29" s="4825"/>
      <c r="BG29" s="1"/>
      <c r="BH29" s="4826"/>
      <c r="BI29" s="4826"/>
      <c r="BJ29" s="4826"/>
      <c r="BK29" s="4826"/>
      <c r="BL29" s="4826"/>
      <c r="BM29" s="4826"/>
      <c r="BN29" s="4826"/>
      <c r="BO29" s="4826"/>
      <c r="BP29" s="719"/>
      <c r="BQ29" s="719"/>
      <c r="BR29" s="719"/>
      <c r="BS29" s="719"/>
      <c r="BT29" s="719"/>
      <c r="BU29" s="719"/>
      <c r="BV29" s="719"/>
      <c r="BW29" s="719"/>
    </row>
    <row r="30" spans="1:75" s="719" customFormat="1">
      <c r="A30" s="4840"/>
      <c r="B30" s="4832"/>
      <c r="C30" s="4828"/>
      <c r="D30" s="4828"/>
      <c r="E30" s="4828"/>
      <c r="F30" s="4828"/>
      <c r="G30" s="4828"/>
      <c r="H30" s="4828"/>
      <c r="I30" s="4828"/>
      <c r="J30" s="4828"/>
      <c r="K30" s="4828"/>
      <c r="L30" s="4828"/>
      <c r="M30" s="4828"/>
      <c r="N30" s="4828"/>
      <c r="O30" s="4828"/>
      <c r="P30" s="4828"/>
      <c r="Q30" s="4828"/>
      <c r="R30" s="4828"/>
      <c r="S30" s="4828"/>
      <c r="T30" s="4828"/>
      <c r="U30" s="4828"/>
      <c r="V30" s="4828"/>
      <c r="W30" s="4828"/>
      <c r="X30" s="4828"/>
      <c r="Y30" s="4828"/>
      <c r="Z30" s="4828"/>
      <c r="AA30" s="4828"/>
      <c r="AB30" s="4828"/>
      <c r="AC30" s="4828"/>
      <c r="AD30" s="4828"/>
      <c r="AE30" s="4828"/>
      <c r="AF30" s="4828"/>
      <c r="AG30" s="4828"/>
      <c r="AH30" s="4828"/>
      <c r="AI30" s="4828"/>
      <c r="AJ30" s="4828"/>
      <c r="AK30" s="4828"/>
      <c r="AL30" s="4828"/>
      <c r="AM30" s="4559"/>
      <c r="AN30" s="4828"/>
      <c r="AO30" s="4828"/>
      <c r="AP30" s="4559"/>
      <c r="AQ30" s="4559"/>
      <c r="AR30" s="4559"/>
      <c r="AS30" s="4559"/>
      <c r="AT30" s="4559"/>
      <c r="AU30" s="4841"/>
      <c r="AV30" s="4841"/>
      <c r="AW30" s="4842"/>
      <c r="AX30" s="1"/>
      <c r="AY30" s="4559"/>
      <c r="AZ30" s="4828"/>
      <c r="BA30" s="4828"/>
      <c r="BB30" s="4559"/>
      <c r="BC30" s="4559"/>
      <c r="BD30" s="4559"/>
      <c r="BE30" s="4559"/>
      <c r="BF30" s="4559"/>
      <c r="BG30" s="1"/>
      <c r="BH30" s="4826"/>
      <c r="BI30" s="4826"/>
      <c r="BJ30" s="4826"/>
      <c r="BK30" s="4826"/>
      <c r="BL30" s="4826"/>
      <c r="BM30" s="4826"/>
      <c r="BN30" s="4826"/>
      <c r="BO30" s="4826"/>
    </row>
    <row r="31" spans="1:75" s="719" customFormat="1">
      <c r="A31" s="4840"/>
      <c r="B31" s="4832"/>
      <c r="C31" s="4828"/>
      <c r="D31" s="4828"/>
      <c r="E31" s="4828"/>
      <c r="F31" s="4828"/>
      <c r="G31" s="4828"/>
      <c r="H31" s="4828"/>
      <c r="I31" s="4828"/>
      <c r="J31" s="4828"/>
      <c r="K31" s="4828"/>
      <c r="L31" s="4828"/>
      <c r="M31" s="4828"/>
      <c r="N31" s="4828"/>
      <c r="O31" s="4828"/>
      <c r="P31" s="4828"/>
      <c r="Q31" s="4828"/>
      <c r="R31" s="4828"/>
      <c r="S31" s="4828"/>
      <c r="T31" s="4828"/>
      <c r="U31" s="4828"/>
      <c r="V31" s="4828"/>
      <c r="W31" s="4828"/>
      <c r="X31" s="4828"/>
      <c r="Y31" s="4828"/>
      <c r="Z31" s="4828"/>
      <c r="AA31" s="4828"/>
      <c r="AB31" s="4828"/>
      <c r="AC31" s="4828"/>
      <c r="AD31" s="4828"/>
      <c r="AE31" s="4828"/>
      <c r="AF31" s="4828"/>
      <c r="AG31" s="4828"/>
      <c r="AH31" s="4828"/>
      <c r="AI31" s="4828"/>
      <c r="AJ31" s="4828"/>
      <c r="AK31" s="4828"/>
      <c r="AL31" s="4828"/>
      <c r="AM31" s="4559"/>
      <c r="AN31" s="4828"/>
      <c r="AO31" s="4828"/>
      <c r="AP31" s="4559"/>
      <c r="AQ31" s="4559"/>
      <c r="AR31" s="4559"/>
      <c r="AS31" s="4559"/>
      <c r="AT31" s="4559"/>
      <c r="AU31" s="4841"/>
      <c r="AV31" s="4841"/>
      <c r="AW31" s="4842"/>
      <c r="AX31" s="1"/>
      <c r="AY31" s="4559"/>
      <c r="AZ31" s="4828"/>
      <c r="BA31" s="4828"/>
      <c r="BB31" s="4559"/>
      <c r="BC31" s="4559"/>
      <c r="BD31" s="4559"/>
      <c r="BE31" s="4559"/>
      <c r="BF31" s="4559"/>
      <c r="BG31" s="1"/>
      <c r="BH31" s="4826"/>
      <c r="BI31" s="4826"/>
      <c r="BJ31" s="4826"/>
      <c r="BK31" s="4826"/>
      <c r="BL31" s="4826"/>
      <c r="BM31" s="4826"/>
      <c r="BN31" s="4826"/>
      <c r="BO31" s="4826"/>
    </row>
    <row r="32" spans="1:75" s="719" customFormat="1">
      <c r="A32" s="4840"/>
      <c r="B32" s="4832"/>
      <c r="C32" s="4828"/>
      <c r="D32" s="4828"/>
      <c r="E32" s="4828"/>
      <c r="F32" s="4828"/>
      <c r="G32" s="4828"/>
      <c r="H32" s="4828"/>
      <c r="I32" s="4828"/>
      <c r="J32" s="4828"/>
      <c r="K32" s="4828"/>
      <c r="L32" s="4828"/>
      <c r="M32" s="4828"/>
      <c r="N32" s="4828"/>
      <c r="O32" s="4828"/>
      <c r="P32" s="4828"/>
      <c r="Q32" s="4828"/>
      <c r="R32" s="4828"/>
      <c r="S32" s="4828"/>
      <c r="T32" s="4828"/>
      <c r="U32" s="4828"/>
      <c r="V32" s="4828"/>
      <c r="W32" s="4828"/>
      <c r="X32" s="4828"/>
      <c r="Y32" s="4828"/>
      <c r="Z32" s="4828"/>
      <c r="AA32" s="4828"/>
      <c r="AB32" s="4828"/>
      <c r="AC32" s="4828"/>
      <c r="AD32" s="4828"/>
      <c r="AE32" s="4828"/>
      <c r="AF32" s="4828"/>
      <c r="AG32" s="4828"/>
      <c r="AH32" s="4828"/>
      <c r="AI32" s="4828"/>
      <c r="AJ32" s="4828"/>
      <c r="AK32" s="4828"/>
      <c r="AL32" s="4828"/>
      <c r="AM32" s="4559"/>
      <c r="AN32" s="4828"/>
      <c r="AO32" s="4828"/>
      <c r="AP32" s="4559"/>
      <c r="AQ32" s="4559"/>
      <c r="AR32" s="4559"/>
      <c r="AS32" s="4559"/>
      <c r="AT32" s="4559"/>
      <c r="AU32" s="4841"/>
      <c r="AV32" s="4841"/>
      <c r="AW32" s="4842"/>
      <c r="AX32" s="1"/>
      <c r="AY32" s="4559"/>
      <c r="AZ32" s="4828"/>
      <c r="BA32" s="4828"/>
      <c r="BB32" s="4559"/>
      <c r="BC32" s="4559"/>
      <c r="BD32" s="4559"/>
      <c r="BE32" s="4559"/>
      <c r="BF32" s="4559"/>
      <c r="BG32" s="1"/>
      <c r="BH32" s="4826"/>
      <c r="BI32" s="4826"/>
      <c r="BJ32" s="4826"/>
      <c r="BK32" s="4826"/>
      <c r="BL32" s="4826"/>
      <c r="BM32" s="4826"/>
      <c r="BN32" s="4826"/>
      <c r="BO32" s="4826"/>
    </row>
    <row r="33" spans="1:76" s="719" customFormat="1">
      <c r="A33" s="4840"/>
      <c r="B33" s="4832"/>
      <c r="C33" s="4828"/>
      <c r="D33" s="4828"/>
      <c r="E33" s="4828"/>
      <c r="F33" s="4828"/>
      <c r="G33" s="4828"/>
      <c r="H33" s="4828"/>
      <c r="I33" s="4828"/>
      <c r="J33" s="4828"/>
      <c r="K33" s="4828"/>
      <c r="L33" s="4828"/>
      <c r="M33" s="4828"/>
      <c r="N33" s="4828"/>
      <c r="O33" s="4828"/>
      <c r="P33" s="4828"/>
      <c r="Q33" s="4828"/>
      <c r="R33" s="4828"/>
      <c r="S33" s="4828"/>
      <c r="T33" s="4828"/>
      <c r="U33" s="4828"/>
      <c r="V33" s="4828"/>
      <c r="W33" s="4828"/>
      <c r="X33" s="4828"/>
      <c r="Y33" s="4828"/>
      <c r="Z33" s="4828"/>
      <c r="AA33" s="4828"/>
      <c r="AB33" s="4828"/>
      <c r="AC33" s="4828"/>
      <c r="AD33" s="4828"/>
      <c r="AE33" s="4828"/>
      <c r="AF33" s="4828"/>
      <c r="AG33" s="4828"/>
      <c r="AH33" s="4828"/>
      <c r="AI33" s="4828"/>
      <c r="AJ33" s="4828"/>
      <c r="AK33" s="4828"/>
      <c r="AL33" s="4828"/>
      <c r="AM33" s="4559"/>
      <c r="AN33" s="4828"/>
      <c r="AO33" s="4828"/>
      <c r="AP33" s="4559"/>
      <c r="AQ33" s="4559"/>
      <c r="AR33" s="4559"/>
      <c r="AS33" s="4559"/>
      <c r="AT33" s="4559"/>
      <c r="AU33" s="4841"/>
      <c r="AV33" s="4841"/>
      <c r="AW33" s="4842"/>
      <c r="AX33" s="1"/>
      <c r="AY33" s="4559"/>
      <c r="AZ33" s="4828"/>
      <c r="BA33" s="4828"/>
      <c r="BB33" s="4559"/>
      <c r="BC33" s="4559"/>
      <c r="BD33" s="4559"/>
      <c r="BE33" s="4559"/>
      <c r="BF33" s="4559"/>
      <c r="BG33" s="1"/>
      <c r="BH33" s="4826"/>
      <c r="BI33" s="4826"/>
      <c r="BJ33" s="4826"/>
      <c r="BK33" s="4826"/>
      <c r="BL33" s="4826"/>
      <c r="BM33" s="4826"/>
      <c r="BN33" s="4826"/>
      <c r="BO33" s="4826"/>
    </row>
    <row r="34" spans="1:76" s="719" customFormat="1">
      <c r="A34" s="4840"/>
      <c r="B34" s="4832"/>
      <c r="C34" s="4828"/>
      <c r="D34" s="4828"/>
      <c r="E34" s="4828"/>
      <c r="F34" s="4828"/>
      <c r="G34" s="4828"/>
      <c r="H34" s="4828"/>
      <c r="I34" s="4828"/>
      <c r="J34" s="4828"/>
      <c r="K34" s="4828"/>
      <c r="L34" s="4828"/>
      <c r="M34" s="4828"/>
      <c r="N34" s="4828"/>
      <c r="O34" s="4828"/>
      <c r="P34" s="4828"/>
      <c r="Q34" s="4828"/>
      <c r="R34" s="4828"/>
      <c r="S34" s="4828"/>
      <c r="T34" s="4828"/>
      <c r="U34" s="4828"/>
      <c r="V34" s="4828"/>
      <c r="W34" s="4828"/>
      <c r="X34" s="4828"/>
      <c r="Y34" s="4828"/>
      <c r="Z34" s="4828"/>
      <c r="AA34" s="4828"/>
      <c r="AB34" s="4828"/>
      <c r="AC34" s="4828"/>
      <c r="AD34" s="4828"/>
      <c r="AE34" s="4828"/>
      <c r="AF34" s="4828"/>
      <c r="AG34" s="4828"/>
      <c r="AH34" s="4828"/>
      <c r="AI34" s="4828"/>
      <c r="AJ34" s="4828"/>
      <c r="AK34" s="4828"/>
      <c r="AL34" s="4828"/>
      <c r="AM34" s="4559"/>
      <c r="AN34" s="4828"/>
      <c r="AO34" s="4828"/>
      <c r="AP34" s="4559"/>
      <c r="AQ34" s="4559"/>
      <c r="AR34" s="4559"/>
      <c r="AS34" s="4559"/>
      <c r="AT34" s="4559"/>
      <c r="AU34" s="4841"/>
      <c r="AV34" s="4841"/>
      <c r="AW34" s="4842"/>
      <c r="AX34" s="1"/>
      <c r="AY34" s="4559"/>
      <c r="AZ34" s="4828"/>
      <c r="BA34" s="4828"/>
      <c r="BB34" s="4559"/>
      <c r="BC34" s="4559"/>
      <c r="BD34" s="4559"/>
      <c r="BE34" s="4559"/>
      <c r="BF34" s="4559"/>
      <c r="BG34" s="1"/>
      <c r="BH34" s="4826"/>
      <c r="BI34" s="4826"/>
      <c r="BJ34" s="4826"/>
      <c r="BK34" s="4826"/>
      <c r="BL34" s="4826"/>
      <c r="BM34" s="4826"/>
      <c r="BN34" s="4826"/>
      <c r="BO34" s="4826"/>
    </row>
    <row r="35" spans="1:76" s="719" customFormat="1">
      <c r="A35" s="4840"/>
      <c r="B35" s="4832"/>
      <c r="C35" s="4828"/>
      <c r="D35" s="4828"/>
      <c r="E35" s="4828"/>
      <c r="F35" s="4828"/>
      <c r="G35" s="4828"/>
      <c r="H35" s="4828"/>
      <c r="I35" s="4828"/>
      <c r="J35" s="4828"/>
      <c r="K35" s="4828"/>
      <c r="L35" s="4828"/>
      <c r="M35" s="4828"/>
      <c r="N35" s="4828"/>
      <c r="O35" s="4828"/>
      <c r="P35" s="4828"/>
      <c r="Q35" s="4828"/>
      <c r="R35" s="4828"/>
      <c r="S35" s="4828"/>
      <c r="T35" s="4828"/>
      <c r="U35" s="4828"/>
      <c r="V35" s="4828"/>
      <c r="W35" s="4828"/>
      <c r="X35" s="4828"/>
      <c r="Y35" s="4828"/>
      <c r="Z35" s="4828"/>
      <c r="AA35" s="4828"/>
      <c r="AB35" s="4828"/>
      <c r="AC35" s="4828"/>
      <c r="AD35" s="4828"/>
      <c r="AE35" s="4828"/>
      <c r="AF35" s="4828"/>
      <c r="AG35" s="4828"/>
      <c r="AH35" s="4828"/>
      <c r="AI35" s="4828"/>
      <c r="AJ35" s="4828"/>
      <c r="AK35" s="4828"/>
      <c r="AL35" s="4828"/>
      <c r="AM35" s="4559"/>
      <c r="AN35" s="4828"/>
      <c r="AO35" s="4828"/>
      <c r="AP35" s="4559"/>
      <c r="AQ35" s="4559"/>
      <c r="AR35" s="4559"/>
      <c r="AS35" s="4559"/>
      <c r="AT35" s="4559"/>
      <c r="AU35" s="4841"/>
      <c r="AV35" s="4841"/>
      <c r="AW35" s="4842"/>
      <c r="AX35" s="1"/>
      <c r="AY35" s="4559"/>
      <c r="AZ35" s="4828"/>
      <c r="BA35" s="4828"/>
      <c r="BB35" s="4559"/>
      <c r="BC35" s="4559"/>
      <c r="BD35" s="4559"/>
      <c r="BE35" s="4559"/>
      <c r="BF35" s="4559"/>
      <c r="BG35" s="1"/>
      <c r="BH35" s="4826"/>
      <c r="BI35" s="4826"/>
      <c r="BJ35" s="4826"/>
      <c r="BK35" s="4826"/>
      <c r="BL35" s="4826"/>
      <c r="BM35" s="4826"/>
      <c r="BN35" s="4826"/>
      <c r="BO35" s="4826"/>
    </row>
    <row r="36" spans="1:76" s="719" customFormat="1">
      <c r="A36" s="4840"/>
      <c r="B36" s="4832"/>
      <c r="C36" s="4828"/>
      <c r="D36" s="4828"/>
      <c r="E36" s="4828"/>
      <c r="F36" s="4828"/>
      <c r="G36" s="4828"/>
      <c r="H36" s="4828"/>
      <c r="I36" s="4828"/>
      <c r="J36" s="4828"/>
      <c r="K36" s="4828"/>
      <c r="L36" s="4828"/>
      <c r="M36" s="4828"/>
      <c r="N36" s="4828"/>
      <c r="O36" s="4828"/>
      <c r="P36" s="4828"/>
      <c r="Q36" s="4828"/>
      <c r="R36" s="4828"/>
      <c r="S36" s="4828"/>
      <c r="T36" s="4828"/>
      <c r="U36" s="4828"/>
      <c r="V36" s="4828"/>
      <c r="W36" s="4828"/>
      <c r="X36" s="4828"/>
      <c r="Y36" s="4828"/>
      <c r="Z36" s="4828"/>
      <c r="AA36" s="4828"/>
      <c r="AB36" s="4828"/>
      <c r="AC36" s="4828"/>
      <c r="AD36" s="4828"/>
      <c r="AE36" s="4828"/>
      <c r="AF36" s="4828"/>
      <c r="AG36" s="4828"/>
      <c r="AH36" s="4828"/>
      <c r="AI36" s="4828"/>
      <c r="AJ36" s="4828"/>
      <c r="AK36" s="4828"/>
      <c r="AL36" s="4828"/>
      <c r="AM36" s="4559"/>
      <c r="AN36" s="4828"/>
      <c r="AO36" s="4828"/>
      <c r="AP36" s="4559"/>
      <c r="AQ36" s="4559"/>
      <c r="AR36" s="4559"/>
      <c r="AS36" s="4559"/>
      <c r="AT36" s="4559"/>
      <c r="AU36" s="4841"/>
      <c r="AV36" s="4841"/>
      <c r="AW36" s="4842"/>
      <c r="AX36" s="1"/>
      <c r="AY36" s="4559"/>
      <c r="AZ36" s="4828"/>
      <c r="BA36" s="4828"/>
      <c r="BB36" s="4559"/>
      <c r="BC36" s="4559"/>
      <c r="BD36" s="4559"/>
      <c r="BE36" s="4559"/>
      <c r="BF36" s="4559"/>
      <c r="BG36" s="1"/>
      <c r="BH36" s="4826"/>
      <c r="BI36" s="4826"/>
      <c r="BJ36" s="4826"/>
      <c r="BK36" s="4826"/>
      <c r="BL36" s="4826"/>
      <c r="BM36" s="4826"/>
      <c r="BN36" s="4826"/>
      <c r="BO36" s="4826"/>
    </row>
    <row r="37" spans="1:76" s="719" customFormat="1">
      <c r="A37" s="4840"/>
      <c r="B37" s="4832"/>
      <c r="C37" s="4828"/>
      <c r="D37" s="4828"/>
      <c r="E37" s="4828"/>
      <c r="F37" s="4828"/>
      <c r="G37" s="4828"/>
      <c r="H37" s="4828"/>
      <c r="I37" s="4828"/>
      <c r="J37" s="4828"/>
      <c r="K37" s="4828"/>
      <c r="L37" s="4828"/>
      <c r="M37" s="4828"/>
      <c r="N37" s="4828"/>
      <c r="O37" s="4828"/>
      <c r="P37" s="4828"/>
      <c r="Q37" s="4828"/>
      <c r="R37" s="4828"/>
      <c r="S37" s="4828"/>
      <c r="T37" s="4828"/>
      <c r="U37" s="4828"/>
      <c r="V37" s="4828"/>
      <c r="W37" s="4828"/>
      <c r="X37" s="4828"/>
      <c r="Y37" s="4828"/>
      <c r="Z37" s="4828"/>
      <c r="AA37" s="4828"/>
      <c r="AB37" s="4828"/>
      <c r="AC37" s="4828"/>
      <c r="AD37" s="4828"/>
      <c r="AE37" s="4828"/>
      <c r="AF37" s="4828"/>
      <c r="AG37" s="4828"/>
      <c r="AH37" s="4828"/>
      <c r="AI37" s="4828"/>
      <c r="AJ37" s="4828"/>
      <c r="AK37" s="4828"/>
      <c r="AL37" s="4828"/>
      <c r="AM37" s="4559"/>
      <c r="AN37" s="4828"/>
      <c r="AO37" s="4828"/>
      <c r="AP37" s="4559"/>
      <c r="AQ37" s="4559"/>
      <c r="AR37" s="4559"/>
      <c r="AS37" s="4559"/>
      <c r="AT37" s="4559"/>
      <c r="AU37" s="4841"/>
      <c r="AV37" s="4841"/>
      <c r="AW37" s="4842"/>
      <c r="AX37" s="1"/>
      <c r="AY37" s="4559"/>
      <c r="AZ37" s="4828"/>
      <c r="BA37" s="4828"/>
      <c r="BB37" s="4559"/>
      <c r="BC37" s="4559"/>
      <c r="BD37" s="4559"/>
      <c r="BE37" s="4559"/>
      <c r="BF37" s="4559"/>
      <c r="BG37" s="1"/>
      <c r="BH37" s="4826"/>
      <c r="BI37" s="4826"/>
      <c r="BJ37" s="4826"/>
      <c r="BK37" s="4826"/>
      <c r="BL37" s="4826"/>
      <c r="BM37" s="4826"/>
      <c r="BN37" s="4826"/>
      <c r="BO37" s="4826"/>
    </row>
    <row r="38" spans="1:76" s="719" customFormat="1">
      <c r="A38" s="4840"/>
      <c r="B38" s="4833"/>
      <c r="C38" s="4828"/>
      <c r="D38" s="4828"/>
      <c r="E38" s="4828"/>
      <c r="F38" s="4828"/>
      <c r="G38" s="4828"/>
      <c r="H38" s="4828"/>
      <c r="I38" s="4828"/>
      <c r="J38" s="4828"/>
      <c r="K38" s="4828"/>
      <c r="L38" s="4828"/>
      <c r="M38" s="4828"/>
      <c r="N38" s="4828"/>
      <c r="O38" s="4828"/>
      <c r="P38" s="4828"/>
      <c r="Q38" s="4828"/>
      <c r="R38" s="4828"/>
      <c r="S38" s="4828"/>
      <c r="T38" s="4828"/>
      <c r="U38" s="4828"/>
      <c r="V38" s="4828"/>
      <c r="W38" s="4828"/>
      <c r="X38" s="4828"/>
      <c r="Y38" s="4828"/>
      <c r="Z38" s="4828"/>
      <c r="AA38" s="4828"/>
      <c r="AB38" s="4828"/>
      <c r="AC38" s="4828"/>
      <c r="AD38" s="4828"/>
      <c r="AE38" s="4828"/>
      <c r="AF38" s="4828"/>
      <c r="AG38" s="4828"/>
      <c r="AH38" s="4828"/>
      <c r="AI38" s="4828"/>
      <c r="AJ38" s="4828"/>
      <c r="AK38" s="4828"/>
      <c r="AL38" s="4828"/>
      <c r="AM38" s="4559"/>
      <c r="AN38" s="4828"/>
      <c r="AO38" s="4828"/>
      <c r="AP38" s="4559"/>
      <c r="AQ38" s="4559"/>
      <c r="AR38" s="4559"/>
      <c r="AS38" s="4559"/>
      <c r="AT38" s="4559"/>
      <c r="AU38" s="4841"/>
      <c r="AV38" s="4841"/>
      <c r="AW38" s="4842"/>
      <c r="AX38" s="1"/>
      <c r="AY38" s="4559"/>
      <c r="AZ38" s="4828"/>
      <c r="BA38" s="4828"/>
      <c r="BB38" s="4559"/>
      <c r="BC38" s="4559"/>
      <c r="BD38" s="4559"/>
      <c r="BE38" s="4559"/>
      <c r="BF38" s="4559"/>
      <c r="BG38" s="1"/>
      <c r="BH38" s="4826"/>
      <c r="BI38" s="4826"/>
      <c r="BJ38" s="4826"/>
      <c r="BK38" s="4826"/>
      <c r="BL38" s="4826"/>
      <c r="BM38" s="4826"/>
      <c r="BN38" s="4826"/>
      <c r="BO38" s="4826"/>
    </row>
    <row r="39" spans="1:76" s="719" customFormat="1">
      <c r="A39" s="4843"/>
      <c r="B39" s="4844"/>
      <c r="C39" s="4559"/>
      <c r="D39" s="4845"/>
      <c r="E39" s="4845"/>
      <c r="F39" s="4845"/>
      <c r="G39" s="4845"/>
      <c r="H39" s="4845"/>
      <c r="I39" s="4559"/>
      <c r="J39" s="4845"/>
      <c r="K39" s="4845"/>
      <c r="L39" s="4845"/>
      <c r="M39" s="4845"/>
      <c r="N39" s="4845"/>
      <c r="O39" s="4559"/>
      <c r="P39" s="4845"/>
      <c r="Q39" s="4845"/>
      <c r="R39" s="4845"/>
      <c r="S39" s="4845"/>
      <c r="T39" s="4845"/>
      <c r="U39" s="4559"/>
      <c r="V39" s="4559"/>
      <c r="W39" s="4559"/>
      <c r="X39" s="4559"/>
      <c r="Y39" s="4559"/>
      <c r="Z39" s="4559"/>
      <c r="AA39" s="4559"/>
      <c r="AB39" s="4845"/>
      <c r="AC39" s="4845"/>
      <c r="AD39" s="4845"/>
      <c r="AE39" s="4845"/>
      <c r="AF39" s="4845"/>
      <c r="AG39" s="4828"/>
      <c r="AH39" s="4828"/>
      <c r="AI39" s="4828"/>
      <c r="AJ39" s="4828"/>
      <c r="AK39" s="4828"/>
      <c r="AL39" s="4828"/>
      <c r="AM39" s="4559"/>
      <c r="AN39" s="4828"/>
      <c r="AO39" s="4828"/>
      <c r="AP39" s="4559"/>
      <c r="AQ39" s="4559"/>
      <c r="AR39" s="4559"/>
      <c r="AS39" s="4559"/>
      <c r="AT39" s="4559"/>
      <c r="AU39" s="4786"/>
      <c r="AV39" s="4786"/>
      <c r="AW39" s="4787"/>
      <c r="AX39" s="1"/>
      <c r="AY39" s="4559"/>
      <c r="AZ39" s="4828"/>
      <c r="BA39" s="4828"/>
      <c r="BB39" s="4559"/>
      <c r="BC39" s="4559"/>
      <c r="BD39" s="4559"/>
      <c r="BE39" s="4559"/>
      <c r="BF39" s="4559"/>
      <c r="BG39" s="1"/>
      <c r="BH39" s="4826"/>
      <c r="BI39" s="4826"/>
      <c r="BJ39" s="4826"/>
      <c r="BK39" s="4826"/>
      <c r="BL39" s="4826"/>
      <c r="BM39" s="4826"/>
      <c r="BN39" s="4826"/>
      <c r="BO39" s="4826"/>
    </row>
    <row r="40" spans="1:76" s="719" customFormat="1">
      <c r="A40" s="4843"/>
      <c r="B40" s="4844"/>
      <c r="C40" s="4828"/>
      <c r="D40" s="4846"/>
      <c r="E40" s="4846"/>
      <c r="F40" s="4846"/>
      <c r="G40" s="4846"/>
      <c r="H40" s="4846"/>
      <c r="I40" s="4828"/>
      <c r="J40" s="4828"/>
      <c r="K40" s="4828"/>
      <c r="L40" s="4828"/>
      <c r="M40" s="4828"/>
      <c r="N40" s="4828"/>
      <c r="O40" s="4828"/>
      <c r="P40" s="4846"/>
      <c r="Q40" s="4846"/>
      <c r="R40" s="4846"/>
      <c r="S40" s="4846"/>
      <c r="T40" s="4846"/>
      <c r="U40" s="4828"/>
      <c r="V40" s="4828"/>
      <c r="W40" s="4828"/>
      <c r="X40" s="4828"/>
      <c r="Y40" s="4828"/>
      <c r="Z40" s="4828"/>
      <c r="AA40" s="4828"/>
      <c r="AB40" s="4828"/>
      <c r="AC40" s="4828"/>
      <c r="AD40" s="4828"/>
      <c r="AE40" s="4828"/>
      <c r="AF40" s="4828"/>
      <c r="AG40" s="4828"/>
      <c r="AH40" s="4828"/>
      <c r="AI40" s="4828"/>
      <c r="AJ40" s="4828"/>
      <c r="AK40" s="4828"/>
      <c r="AL40" s="4828"/>
      <c r="AM40" s="4559"/>
      <c r="AN40" s="4828"/>
      <c r="AO40" s="4828"/>
      <c r="AP40" s="4559"/>
      <c r="AQ40" s="4559"/>
      <c r="AR40" s="4559"/>
      <c r="AS40" s="4559"/>
      <c r="AT40" s="4559"/>
      <c r="AU40" s="4786"/>
      <c r="AV40" s="4786"/>
      <c r="AW40" s="4787"/>
      <c r="AX40" s="1"/>
      <c r="AY40" s="4559"/>
      <c r="AZ40" s="4828"/>
      <c r="BA40" s="4828"/>
      <c r="BB40" s="4559"/>
      <c r="BC40" s="4559"/>
      <c r="BD40" s="4559"/>
      <c r="BE40" s="4559"/>
      <c r="BF40" s="4559"/>
      <c r="BG40" s="1"/>
      <c r="BH40" s="4826"/>
      <c r="BI40" s="4826"/>
      <c r="BJ40" s="4826"/>
      <c r="BK40" s="4826"/>
      <c r="BL40" s="4826"/>
      <c r="BM40" s="4826"/>
      <c r="BN40" s="4826"/>
      <c r="BO40" s="4826"/>
    </row>
    <row r="41" spans="1:76" s="719" customFormat="1">
      <c r="A41" s="2052"/>
      <c r="B41" s="139"/>
      <c r="C41" s="4559"/>
      <c r="D41" s="4559"/>
      <c r="E41" s="4559"/>
      <c r="F41" s="4559"/>
      <c r="G41" s="4559"/>
      <c r="H41" s="4559"/>
      <c r="I41" s="4559"/>
      <c r="J41" s="4559"/>
      <c r="K41" s="4559"/>
      <c r="L41" s="4559"/>
      <c r="M41" s="4559"/>
      <c r="N41" s="4559"/>
      <c r="O41" s="4559"/>
      <c r="P41" s="4559"/>
      <c r="Q41" s="4559"/>
      <c r="R41" s="4559"/>
      <c r="S41" s="4559"/>
      <c r="T41" s="4559"/>
      <c r="U41" s="4559"/>
      <c r="V41" s="4559"/>
      <c r="W41" s="4559"/>
      <c r="X41" s="4559"/>
      <c r="Y41" s="4559"/>
      <c r="Z41" s="4559"/>
      <c r="AA41" s="4559"/>
      <c r="AB41" s="4559"/>
      <c r="AC41" s="4559"/>
      <c r="AD41" s="4559"/>
      <c r="AE41" s="4559"/>
      <c r="AF41" s="4559"/>
      <c r="AG41" s="4559"/>
      <c r="AH41" s="4559"/>
      <c r="AI41" s="4559"/>
      <c r="AJ41" s="4559"/>
      <c r="AK41" s="4559"/>
      <c r="AL41" s="4559"/>
      <c r="AM41" s="4559"/>
      <c r="AN41" s="4559"/>
      <c r="AO41" s="4559"/>
      <c r="AP41" s="4559"/>
      <c r="AQ41" s="4559"/>
      <c r="AR41" s="4559"/>
      <c r="AS41" s="4559"/>
      <c r="AT41" s="4559"/>
      <c r="AU41" s="4786"/>
      <c r="AV41" s="4786"/>
      <c r="AW41" s="4787"/>
      <c r="AX41" s="1"/>
      <c r="AY41" s="4559"/>
      <c r="AZ41" s="4559"/>
      <c r="BA41" s="4559"/>
      <c r="BB41" s="4559"/>
      <c r="BC41" s="4559"/>
      <c r="BD41" s="4559"/>
      <c r="BE41" s="4559"/>
      <c r="BF41" s="4559"/>
      <c r="BG41" s="1"/>
    </row>
    <row r="42" spans="1:76" s="4818" customFormat="1">
      <c r="A42" s="2052"/>
      <c r="B42" s="139"/>
      <c r="C42" s="4847"/>
      <c r="D42" s="4847"/>
      <c r="E42" s="4847"/>
      <c r="F42" s="4847"/>
      <c r="G42" s="4847"/>
      <c r="H42" s="4847"/>
      <c r="I42" s="4847"/>
      <c r="J42" s="4847"/>
      <c r="K42" s="4847"/>
      <c r="L42" s="4847"/>
      <c r="M42" s="4847"/>
      <c r="N42" s="4847"/>
      <c r="O42" s="4847"/>
      <c r="P42" s="4847"/>
      <c r="Q42" s="4847"/>
      <c r="R42" s="4847"/>
      <c r="S42" s="4847"/>
      <c r="T42" s="4847"/>
      <c r="U42" s="4847"/>
      <c r="V42" s="4847"/>
      <c r="W42" s="4847"/>
      <c r="X42" s="4847"/>
      <c r="Y42" s="4847"/>
      <c r="Z42" s="4847"/>
      <c r="AA42" s="4847"/>
      <c r="AB42" s="4847"/>
      <c r="AC42" s="4847"/>
      <c r="AD42" s="4847"/>
      <c r="AE42" s="4847"/>
      <c r="AF42" s="4847"/>
      <c r="AG42" s="4847"/>
      <c r="AH42" s="4847"/>
      <c r="AI42" s="4847"/>
      <c r="AJ42" s="4847"/>
      <c r="AK42" s="4847"/>
      <c r="AL42" s="4847"/>
      <c r="AM42" s="4825"/>
      <c r="AN42" s="4847"/>
      <c r="AO42" s="4847"/>
      <c r="AP42" s="4825"/>
      <c r="AQ42" s="4825"/>
      <c r="AR42" s="4825"/>
      <c r="AS42" s="4825"/>
      <c r="AT42" s="4825"/>
      <c r="AU42" s="4787"/>
      <c r="AV42" s="4787"/>
      <c r="AW42" s="4787"/>
      <c r="AX42" s="1365"/>
      <c r="AY42" s="4825"/>
      <c r="AZ42" s="4847"/>
      <c r="BA42" s="4847"/>
      <c r="BB42" s="4825"/>
      <c r="BC42" s="4825"/>
      <c r="BD42" s="4825"/>
      <c r="BE42" s="4825"/>
      <c r="BF42" s="4825"/>
      <c r="BG42" s="1365"/>
      <c r="BH42" s="4826"/>
      <c r="BI42" s="4826"/>
      <c r="BJ42" s="4826"/>
      <c r="BK42" s="4826"/>
      <c r="BL42" s="4826"/>
      <c r="BM42" s="4826"/>
      <c r="BN42" s="4826"/>
      <c r="BO42" s="4826"/>
      <c r="BP42" s="4848"/>
      <c r="BQ42" s="4848"/>
      <c r="BR42" s="4848"/>
      <c r="BS42" s="4848"/>
      <c r="BT42" s="4848"/>
      <c r="BU42" s="4848"/>
      <c r="BV42" s="4848"/>
      <c r="BW42" s="4848"/>
      <c r="BX42" s="4848"/>
    </row>
    <row r="43" spans="1:76" s="719" customFormat="1">
      <c r="A43" s="4843"/>
      <c r="B43" s="4844"/>
      <c r="C43" s="4559"/>
      <c r="D43" s="4845"/>
      <c r="E43" s="4845"/>
      <c r="F43" s="4845"/>
      <c r="G43" s="4845"/>
      <c r="H43" s="4845"/>
      <c r="I43" s="4559"/>
      <c r="J43" s="4845"/>
      <c r="K43" s="4845"/>
      <c r="L43" s="4845"/>
      <c r="M43" s="4845"/>
      <c r="N43" s="4845"/>
      <c r="O43" s="4559"/>
      <c r="P43" s="4845"/>
      <c r="Q43" s="4845"/>
      <c r="R43" s="4845"/>
      <c r="S43" s="4845"/>
      <c r="T43" s="4845"/>
      <c r="U43" s="4559"/>
      <c r="V43" s="4559"/>
      <c r="W43" s="4559"/>
      <c r="X43" s="4559"/>
      <c r="Y43" s="4559"/>
      <c r="Z43" s="4559"/>
      <c r="AA43" s="4559"/>
      <c r="AB43" s="4845"/>
      <c r="AC43" s="4845"/>
      <c r="AD43" s="4845"/>
      <c r="AE43" s="4845"/>
      <c r="AF43" s="4845"/>
      <c r="AG43" s="4828"/>
      <c r="AH43" s="4828"/>
      <c r="AI43" s="4828"/>
      <c r="AJ43" s="4828"/>
      <c r="AK43" s="4828"/>
      <c r="AL43" s="4828"/>
      <c r="AM43" s="4559"/>
      <c r="AN43" s="4828"/>
      <c r="AO43" s="4828"/>
      <c r="AP43" s="4559"/>
      <c r="AQ43" s="4559"/>
      <c r="AR43" s="4559"/>
      <c r="AS43" s="4559"/>
      <c r="AT43" s="4559"/>
      <c r="AU43" s="4786"/>
      <c r="AV43" s="4786"/>
      <c r="AW43" s="4787"/>
      <c r="AX43" s="1"/>
      <c r="AY43" s="4559"/>
      <c r="AZ43" s="4828"/>
      <c r="BA43" s="4828"/>
      <c r="BB43" s="4559"/>
      <c r="BC43" s="4559"/>
      <c r="BD43" s="4559"/>
      <c r="BE43" s="4559"/>
      <c r="BF43" s="4559"/>
      <c r="BG43" s="1"/>
      <c r="BH43" s="4826"/>
      <c r="BI43" s="4826"/>
      <c r="BJ43" s="4826"/>
      <c r="BK43" s="4826"/>
      <c r="BL43" s="4826"/>
      <c r="BM43" s="4826"/>
      <c r="BN43" s="4826"/>
      <c r="BO43" s="4826"/>
      <c r="BP43" s="4849"/>
      <c r="BQ43" s="4849"/>
      <c r="BR43" s="4849"/>
      <c r="BS43" s="4849"/>
      <c r="BT43" s="4849"/>
      <c r="BU43" s="4849"/>
      <c r="BV43" s="4849"/>
      <c r="BW43" s="4849"/>
      <c r="BX43" s="4849"/>
    </row>
    <row r="44" spans="1:76" s="719" customFormat="1">
      <c r="A44" s="4843"/>
      <c r="B44" s="4844"/>
      <c r="C44" s="4828"/>
      <c r="D44" s="4850"/>
      <c r="E44" s="4850"/>
      <c r="F44" s="4850"/>
      <c r="G44" s="4850"/>
      <c r="H44" s="4850"/>
      <c r="I44" s="4828"/>
      <c r="J44" s="4850"/>
      <c r="K44" s="4850"/>
      <c r="L44" s="4850"/>
      <c r="M44" s="4850"/>
      <c r="N44" s="4850"/>
      <c r="O44" s="4828"/>
      <c r="P44" s="4850"/>
      <c r="Q44" s="4850"/>
      <c r="R44" s="4850"/>
      <c r="S44" s="4850"/>
      <c r="T44" s="4850"/>
      <c r="U44" s="4828"/>
      <c r="V44" s="4828"/>
      <c r="W44" s="4828"/>
      <c r="X44" s="4828"/>
      <c r="Y44" s="4828"/>
      <c r="Z44" s="4828"/>
      <c r="AA44" s="4828"/>
      <c r="AB44" s="4850"/>
      <c r="AC44" s="4850"/>
      <c r="AD44" s="4850"/>
      <c r="AE44" s="4850"/>
      <c r="AF44" s="4850"/>
      <c r="AG44" s="4828"/>
      <c r="AH44" s="4828"/>
      <c r="AI44" s="4828"/>
      <c r="AJ44" s="4828"/>
      <c r="AK44" s="4828"/>
      <c r="AL44" s="4828"/>
      <c r="AM44" s="4559"/>
      <c r="AN44" s="4828"/>
      <c r="AO44" s="4828"/>
      <c r="AP44" s="4559"/>
      <c r="AQ44" s="4559"/>
      <c r="AR44" s="4559"/>
      <c r="AS44" s="4559"/>
      <c r="AT44" s="4559"/>
      <c r="AU44" s="4786"/>
      <c r="AV44" s="4786"/>
      <c r="AW44" s="4787"/>
      <c r="AX44" s="1"/>
      <c r="AY44" s="4559"/>
      <c r="AZ44" s="4828"/>
      <c r="BA44" s="4828"/>
      <c r="BB44" s="4559"/>
      <c r="BC44" s="4559"/>
      <c r="BD44" s="4559"/>
      <c r="BE44" s="4559"/>
      <c r="BF44" s="4559"/>
      <c r="BG44" s="1"/>
      <c r="BH44" s="4826"/>
      <c r="BI44" s="4826"/>
      <c r="BJ44" s="4826"/>
      <c r="BK44" s="4826"/>
      <c r="BL44" s="4826"/>
      <c r="BM44" s="4826"/>
      <c r="BN44" s="4826"/>
      <c r="BO44" s="4826"/>
      <c r="BP44" s="4849"/>
      <c r="BQ44" s="4849"/>
      <c r="BR44" s="4849"/>
      <c r="BS44" s="4849"/>
      <c r="BT44" s="4849"/>
      <c r="BU44" s="4849"/>
      <c r="BV44" s="4849"/>
      <c r="BW44" s="4849"/>
      <c r="BX44" s="4849"/>
    </row>
    <row r="45" spans="1:76" s="719" customFormat="1">
      <c r="A45" s="2052"/>
      <c r="B45" s="139"/>
      <c r="C45" s="4559"/>
      <c r="D45" s="4559"/>
      <c r="E45" s="4559"/>
      <c r="F45" s="4559"/>
      <c r="G45" s="4559"/>
      <c r="H45" s="4559"/>
      <c r="I45" s="4559"/>
      <c r="J45" s="4559"/>
      <c r="K45" s="4559"/>
      <c r="L45" s="4559"/>
      <c r="M45" s="4559"/>
      <c r="N45" s="4559"/>
      <c r="O45" s="4559"/>
      <c r="P45" s="4559"/>
      <c r="Q45" s="4559"/>
      <c r="R45" s="4559"/>
      <c r="S45" s="4559"/>
      <c r="T45" s="4559"/>
      <c r="U45" s="4559"/>
      <c r="V45" s="4559"/>
      <c r="W45" s="4559"/>
      <c r="X45" s="4559"/>
      <c r="Y45" s="4559"/>
      <c r="Z45" s="4559"/>
      <c r="AA45" s="4559"/>
      <c r="AB45" s="4559"/>
      <c r="AC45" s="4559"/>
      <c r="AD45" s="4559"/>
      <c r="AE45" s="4559"/>
      <c r="AF45" s="4559"/>
      <c r="AG45" s="4559"/>
      <c r="AH45" s="4559"/>
      <c r="AI45" s="4559"/>
      <c r="AJ45" s="4559"/>
      <c r="AK45" s="4559"/>
      <c r="AL45" s="4559"/>
      <c r="AM45" s="4559"/>
      <c r="AN45" s="4559"/>
      <c r="AO45" s="4559"/>
      <c r="AP45" s="4559"/>
      <c r="AQ45" s="4559"/>
      <c r="AR45" s="4559"/>
      <c r="AS45" s="4559"/>
      <c r="AT45" s="4559"/>
      <c r="AU45" s="4786"/>
      <c r="AV45" s="4786"/>
      <c r="AW45" s="4787"/>
      <c r="AX45" s="1"/>
      <c r="AY45" s="4559"/>
      <c r="AZ45" s="4559"/>
      <c r="BA45" s="4559"/>
      <c r="BB45" s="4559"/>
      <c r="BC45" s="4559"/>
      <c r="BD45" s="4559"/>
      <c r="BE45" s="4559"/>
      <c r="BF45" s="4559"/>
      <c r="BG45" s="1"/>
    </row>
    <row r="46" spans="1:76" s="4818" customFormat="1">
      <c r="A46" s="2052"/>
      <c r="B46" s="139"/>
      <c r="C46" s="4847"/>
      <c r="D46" s="4847"/>
      <c r="E46" s="4847"/>
      <c r="F46" s="4847"/>
      <c r="G46" s="4847"/>
      <c r="H46" s="4847"/>
      <c r="I46" s="4847"/>
      <c r="J46" s="4847"/>
      <c r="K46" s="4847"/>
      <c r="L46" s="4847"/>
      <c r="M46" s="4847"/>
      <c r="N46" s="4847"/>
      <c r="O46" s="4847"/>
      <c r="P46" s="4847"/>
      <c r="Q46" s="4847"/>
      <c r="R46" s="4847"/>
      <c r="S46" s="4847"/>
      <c r="T46" s="4847"/>
      <c r="U46" s="4847"/>
      <c r="V46" s="4847"/>
      <c r="W46" s="4847"/>
      <c r="X46" s="4847"/>
      <c r="Y46" s="4847"/>
      <c r="Z46" s="4847"/>
      <c r="AA46" s="4847"/>
      <c r="AB46" s="4847"/>
      <c r="AC46" s="4847"/>
      <c r="AD46" s="4847"/>
      <c r="AE46" s="4847"/>
      <c r="AF46" s="4847"/>
      <c r="AG46" s="4847"/>
      <c r="AH46" s="4847"/>
      <c r="AI46" s="4847"/>
      <c r="AJ46" s="4847"/>
      <c r="AK46" s="4847"/>
      <c r="AL46" s="4847"/>
      <c r="AM46" s="4825"/>
      <c r="AN46" s="4847"/>
      <c r="AO46" s="4847"/>
      <c r="AP46" s="4825"/>
      <c r="AQ46" s="4825"/>
      <c r="AR46" s="4825"/>
      <c r="AS46" s="4825"/>
      <c r="AT46" s="4825"/>
      <c r="AU46" s="4787"/>
      <c r="AV46" s="4787"/>
      <c r="AW46" s="4787"/>
      <c r="AX46" s="1365"/>
      <c r="AY46" s="4825"/>
      <c r="AZ46" s="4847"/>
      <c r="BA46" s="4847"/>
      <c r="BB46" s="4825"/>
      <c r="BC46" s="4825"/>
      <c r="BD46" s="4825"/>
      <c r="BE46" s="4825"/>
      <c r="BF46" s="4825"/>
      <c r="BG46" s="1365"/>
      <c r="BH46" s="4826"/>
      <c r="BI46" s="4826"/>
      <c r="BJ46" s="4826"/>
      <c r="BK46" s="4826"/>
      <c r="BL46" s="4826"/>
      <c r="BM46" s="4826"/>
      <c r="BN46" s="4826"/>
      <c r="BO46" s="4826"/>
      <c r="BP46" s="4848"/>
      <c r="BQ46" s="4848"/>
      <c r="BR46" s="4848"/>
      <c r="BS46" s="4848"/>
      <c r="BT46" s="4848"/>
      <c r="BU46" s="4848"/>
      <c r="BV46" s="4848"/>
      <c r="BW46" s="4848"/>
      <c r="BX46" s="4848"/>
    </row>
    <row r="47" spans="1:76" s="719" customFormat="1">
      <c r="A47" s="4843"/>
      <c r="B47" s="4844"/>
      <c r="C47" s="4559"/>
      <c r="D47" s="4845"/>
      <c r="E47" s="4845"/>
      <c r="F47" s="4845"/>
      <c r="G47" s="4845"/>
      <c r="H47" s="4845"/>
      <c r="I47" s="4559"/>
      <c r="J47" s="4845"/>
      <c r="K47" s="4845"/>
      <c r="L47" s="4845"/>
      <c r="M47" s="4845"/>
      <c r="N47" s="4845"/>
      <c r="O47" s="4559"/>
      <c r="P47" s="4559"/>
      <c r="Q47" s="4559"/>
      <c r="R47" s="4559"/>
      <c r="S47" s="4559"/>
      <c r="T47" s="4559"/>
      <c r="U47" s="4559"/>
      <c r="V47" s="4559"/>
      <c r="W47" s="4559"/>
      <c r="X47" s="4559"/>
      <c r="Y47" s="4559"/>
      <c r="Z47" s="4559"/>
      <c r="AA47" s="4559"/>
      <c r="AB47" s="4845"/>
      <c r="AC47" s="4845"/>
      <c r="AD47" s="4845"/>
      <c r="AE47" s="4845"/>
      <c r="AF47" s="4845"/>
      <c r="AG47" s="4828"/>
      <c r="AH47" s="4828"/>
      <c r="AI47" s="4828"/>
      <c r="AJ47" s="4828"/>
      <c r="AK47" s="4828"/>
      <c r="AL47" s="4828"/>
      <c r="AM47" s="4559"/>
      <c r="AN47" s="4828"/>
      <c r="AO47" s="4828"/>
      <c r="AP47" s="4559"/>
      <c r="AQ47" s="4559"/>
      <c r="AR47" s="4559"/>
      <c r="AS47" s="4559"/>
      <c r="AT47" s="4559"/>
      <c r="AU47" s="4786"/>
      <c r="AV47" s="4786"/>
      <c r="AW47" s="4787"/>
      <c r="AX47" s="1"/>
      <c r="AY47" s="4559"/>
      <c r="AZ47" s="4828"/>
      <c r="BA47" s="4828"/>
      <c r="BB47" s="4559"/>
      <c r="BC47" s="4559"/>
      <c r="BD47" s="4559"/>
      <c r="BE47" s="4559"/>
      <c r="BF47" s="4559"/>
      <c r="BG47" s="1"/>
      <c r="BH47" s="4826"/>
      <c r="BI47" s="4826"/>
      <c r="BJ47" s="4826"/>
      <c r="BK47" s="4826"/>
      <c r="BL47" s="4826"/>
      <c r="BM47" s="4826"/>
      <c r="BN47" s="4826"/>
      <c r="BO47" s="4826"/>
      <c r="BP47" s="4849"/>
      <c r="BQ47" s="4849"/>
      <c r="BR47" s="4849"/>
      <c r="BS47" s="4849"/>
      <c r="BT47" s="4849"/>
      <c r="BU47" s="4849"/>
      <c r="BV47" s="4849"/>
      <c r="BW47" s="4849"/>
      <c r="BX47" s="4849"/>
    </row>
    <row r="48" spans="1:76" s="719" customFormat="1">
      <c r="A48" s="4843"/>
      <c r="B48" s="4844"/>
      <c r="C48" s="4828"/>
      <c r="D48" s="4850"/>
      <c r="E48" s="4850"/>
      <c r="F48" s="4850"/>
      <c r="G48" s="4850"/>
      <c r="H48" s="4850"/>
      <c r="I48" s="4851"/>
      <c r="J48" s="4850"/>
      <c r="K48" s="4850"/>
      <c r="L48" s="4850"/>
      <c r="M48" s="4850"/>
      <c r="N48" s="4850"/>
      <c r="O48" s="4851"/>
      <c r="P48" s="4850"/>
      <c r="Q48" s="4850"/>
      <c r="R48" s="4850"/>
      <c r="S48" s="4850"/>
      <c r="T48" s="4850"/>
      <c r="U48" s="4851"/>
      <c r="V48" s="4851"/>
      <c r="W48" s="4851"/>
      <c r="X48" s="4851"/>
      <c r="Y48" s="4851"/>
      <c r="Z48" s="4851"/>
      <c r="AA48" s="4851"/>
      <c r="AB48" s="4850"/>
      <c r="AC48" s="4850"/>
      <c r="AD48" s="4850"/>
      <c r="AE48" s="4850"/>
      <c r="AF48" s="4850"/>
      <c r="AG48" s="4851"/>
      <c r="AH48" s="4851"/>
      <c r="AI48" s="4851"/>
      <c r="AJ48" s="4851"/>
      <c r="AK48" s="4851"/>
      <c r="AL48" s="4851"/>
      <c r="AM48" s="4559"/>
      <c r="AN48" s="4828"/>
      <c r="AO48" s="4828"/>
      <c r="AP48" s="4559"/>
      <c r="AQ48" s="4559"/>
      <c r="AR48" s="4559"/>
      <c r="AS48" s="4559"/>
      <c r="AT48" s="4559"/>
      <c r="AU48" s="4786"/>
      <c r="AV48" s="4786"/>
      <c r="AW48" s="4787"/>
      <c r="AX48" s="1"/>
      <c r="AY48" s="4559"/>
      <c r="AZ48" s="4828"/>
      <c r="BA48" s="4828"/>
      <c r="BB48" s="4559"/>
      <c r="BC48" s="4559"/>
      <c r="BD48" s="4559"/>
      <c r="BE48" s="4559"/>
      <c r="BF48" s="4559"/>
      <c r="BG48" s="1"/>
      <c r="BH48" s="4826"/>
      <c r="BI48" s="4826"/>
      <c r="BJ48" s="4826"/>
      <c r="BK48" s="4826"/>
      <c r="BL48" s="4826"/>
      <c r="BM48" s="4826"/>
      <c r="BN48" s="4826"/>
      <c r="BO48" s="4826"/>
      <c r="BP48" s="4849"/>
      <c r="BQ48" s="4849"/>
      <c r="BR48" s="4849"/>
      <c r="BS48" s="4849"/>
      <c r="BT48" s="4849"/>
      <c r="BU48" s="4849"/>
      <c r="BV48" s="4849"/>
      <c r="BW48" s="4849"/>
      <c r="BX48" s="4849"/>
    </row>
    <row r="49" spans="1:75" s="719" customFormat="1">
      <c r="A49" s="2052"/>
      <c r="B49" s="139"/>
      <c r="C49" s="4559"/>
      <c r="D49" s="4559"/>
      <c r="E49" s="4559"/>
      <c r="F49" s="4559"/>
      <c r="G49" s="4559"/>
      <c r="H49" s="4559"/>
      <c r="I49" s="4835"/>
      <c r="J49" s="4835"/>
      <c r="K49" s="4835"/>
      <c r="L49" s="4835"/>
      <c r="M49" s="4835"/>
      <c r="N49" s="4835"/>
      <c r="O49" s="4835"/>
      <c r="P49" s="4835"/>
      <c r="Q49" s="4835"/>
      <c r="R49" s="4835"/>
      <c r="S49" s="4835"/>
      <c r="T49" s="4835"/>
      <c r="U49" s="4835"/>
      <c r="V49" s="4835"/>
      <c r="W49" s="4835"/>
      <c r="X49" s="4835"/>
      <c r="Y49" s="4835"/>
      <c r="Z49" s="4835"/>
      <c r="AA49" s="4835"/>
      <c r="AB49" s="4835"/>
      <c r="AC49" s="4835"/>
      <c r="AD49" s="4835"/>
      <c r="AE49" s="4835"/>
      <c r="AF49" s="4835"/>
      <c r="AG49" s="4835"/>
      <c r="AH49" s="4835"/>
      <c r="AI49" s="4835"/>
      <c r="AJ49" s="4835"/>
      <c r="AK49" s="4835"/>
      <c r="AL49" s="4835"/>
      <c r="AM49" s="4559"/>
      <c r="AN49" s="4835"/>
      <c r="AO49" s="4835"/>
      <c r="AP49" s="4559"/>
      <c r="AQ49" s="4559"/>
      <c r="AR49" s="4559"/>
      <c r="AS49" s="4559"/>
      <c r="AT49" s="4559"/>
      <c r="AU49" s="4786"/>
      <c r="AV49" s="4786"/>
      <c r="AW49" s="4787"/>
      <c r="AX49" s="1"/>
      <c r="AY49" s="4559"/>
      <c r="AZ49" s="4835"/>
      <c r="BA49" s="4835"/>
      <c r="BB49" s="4559"/>
      <c r="BC49" s="4559"/>
      <c r="BD49" s="4559"/>
      <c r="BE49" s="4559"/>
      <c r="BF49" s="4559"/>
      <c r="BG49" s="1"/>
    </row>
    <row r="50" spans="1:75" s="4818" customFormat="1">
      <c r="A50" s="60"/>
      <c r="B50" s="4852"/>
      <c r="C50" s="4853"/>
      <c r="D50" s="4853"/>
      <c r="E50" s="4853"/>
      <c r="F50" s="4853"/>
      <c r="G50" s="4853"/>
      <c r="H50" s="4853"/>
      <c r="I50" s="4853"/>
      <c r="J50" s="4853"/>
      <c r="K50" s="4853"/>
      <c r="L50" s="4853"/>
      <c r="M50" s="4853"/>
      <c r="N50" s="4853"/>
      <c r="O50" s="4853"/>
      <c r="P50" s="4853"/>
      <c r="Q50" s="4853"/>
      <c r="R50" s="4853"/>
      <c r="S50" s="4853"/>
      <c r="T50" s="4853"/>
      <c r="U50" s="4853"/>
      <c r="V50" s="4853"/>
      <c r="W50" s="4853"/>
      <c r="X50" s="4853"/>
      <c r="Y50" s="4853"/>
      <c r="Z50" s="4853"/>
      <c r="AA50" s="4853"/>
      <c r="AB50" s="4853"/>
      <c r="AC50" s="4853"/>
      <c r="AD50" s="4853"/>
      <c r="AE50" s="4853"/>
      <c r="AF50" s="4853"/>
      <c r="AG50" s="4853"/>
      <c r="AH50" s="4853"/>
      <c r="AI50" s="4853"/>
      <c r="AJ50" s="4853"/>
      <c r="AK50" s="4853"/>
      <c r="AL50" s="4853"/>
      <c r="AM50" s="4853"/>
      <c r="AN50" s="4853"/>
      <c r="AO50" s="4853"/>
      <c r="AP50" s="4853"/>
      <c r="AQ50" s="4853"/>
      <c r="AR50" s="4853"/>
      <c r="AS50" s="4853"/>
      <c r="AT50" s="4853"/>
      <c r="AU50" s="4854"/>
      <c r="AV50" s="4854"/>
      <c r="AW50" s="4855"/>
      <c r="AX50" s="1"/>
      <c r="AY50" s="4853"/>
      <c r="AZ50" s="4853"/>
      <c r="BA50" s="4853"/>
      <c r="BB50" s="4853"/>
      <c r="BC50" s="4853"/>
      <c r="BD50" s="4853"/>
      <c r="BE50" s="4853"/>
      <c r="BF50" s="4853"/>
      <c r="BG50" s="1"/>
      <c r="BH50" s="4826"/>
      <c r="BI50" s="4826"/>
      <c r="BJ50" s="4826"/>
      <c r="BK50" s="4826"/>
      <c r="BL50" s="4826"/>
      <c r="BM50" s="4826"/>
      <c r="BN50" s="4826"/>
      <c r="BO50" s="4826"/>
      <c r="BP50" s="719"/>
      <c r="BQ50" s="719"/>
      <c r="BR50" s="719"/>
      <c r="BS50" s="719"/>
      <c r="BT50" s="719"/>
      <c r="BU50" s="719"/>
      <c r="BV50" s="719"/>
      <c r="BW50" s="719"/>
    </row>
    <row r="51" spans="1:75" s="719" customFormat="1">
      <c r="A51" s="4843"/>
      <c r="B51" s="4856"/>
      <c r="C51" s="4857"/>
      <c r="D51" s="4858"/>
      <c r="E51" s="4858"/>
      <c r="F51" s="4858"/>
      <c r="G51" s="4858"/>
      <c r="H51" s="4858"/>
      <c r="I51" s="4857"/>
      <c r="J51" s="4858"/>
      <c r="K51" s="4858"/>
      <c r="L51" s="4858"/>
      <c r="M51" s="4858"/>
      <c r="N51" s="4858"/>
      <c r="O51" s="4857"/>
      <c r="P51" s="4858"/>
      <c r="Q51" s="4858"/>
      <c r="R51" s="4858"/>
      <c r="S51" s="4858"/>
      <c r="T51" s="4858"/>
      <c r="U51" s="4857"/>
      <c r="V51" s="4858"/>
      <c r="W51" s="4858"/>
      <c r="X51" s="4858"/>
      <c r="Y51" s="4858"/>
      <c r="Z51" s="4858"/>
      <c r="AA51" s="4857"/>
      <c r="AB51" s="4858"/>
      <c r="AC51" s="4858"/>
      <c r="AD51" s="4858"/>
      <c r="AE51" s="4858"/>
      <c r="AF51" s="4858"/>
      <c r="AG51" s="4857"/>
      <c r="AH51" s="4858"/>
      <c r="AI51" s="4858"/>
      <c r="AJ51" s="4858"/>
      <c r="AK51" s="4858"/>
      <c r="AL51" s="4858"/>
      <c r="AM51" s="4857"/>
      <c r="AN51" s="4858"/>
      <c r="AO51" s="4858"/>
      <c r="AP51" s="4858"/>
      <c r="AQ51" s="4858"/>
      <c r="AR51" s="4858"/>
      <c r="AS51" s="4858"/>
      <c r="AT51" s="4858"/>
      <c r="AU51" s="4787"/>
      <c r="AV51" s="4854"/>
      <c r="AW51" s="4855"/>
      <c r="AX51" s="1"/>
      <c r="AY51" s="4858"/>
      <c r="AZ51" s="4858"/>
      <c r="BA51" s="4858"/>
      <c r="BB51" s="4858"/>
      <c r="BC51" s="4858"/>
      <c r="BD51" s="4858"/>
      <c r="BE51" s="4858"/>
      <c r="BF51" s="4858"/>
      <c r="BG51" s="1"/>
      <c r="BH51" s="4826"/>
      <c r="BI51" s="4826"/>
      <c r="BJ51" s="4826"/>
      <c r="BK51" s="4826"/>
      <c r="BL51" s="4826"/>
      <c r="BM51" s="4826"/>
      <c r="BN51" s="4826"/>
      <c r="BO51" s="4826"/>
    </row>
    <row r="52" spans="1:75" s="719" customFormat="1">
      <c r="A52" s="4843"/>
      <c r="B52" s="4856"/>
      <c r="C52" s="4857"/>
      <c r="D52" s="4858"/>
      <c r="E52" s="4858"/>
      <c r="F52" s="4858"/>
      <c r="G52" s="4858"/>
      <c r="H52" s="4858"/>
      <c r="I52" s="4857"/>
      <c r="J52" s="4858"/>
      <c r="K52" s="4858"/>
      <c r="L52" s="4858"/>
      <c r="M52" s="4858"/>
      <c r="N52" s="4858"/>
      <c r="O52" s="4857"/>
      <c r="P52" s="4858"/>
      <c r="Q52" s="4858"/>
      <c r="R52" s="4858"/>
      <c r="S52" s="4858"/>
      <c r="T52" s="4858"/>
      <c r="U52" s="4857"/>
      <c r="V52" s="4858"/>
      <c r="W52" s="4858"/>
      <c r="X52" s="4858"/>
      <c r="Y52" s="4858"/>
      <c r="Z52" s="4858"/>
      <c r="AA52" s="4857"/>
      <c r="AB52" s="4858"/>
      <c r="AC52" s="4858"/>
      <c r="AD52" s="4858"/>
      <c r="AE52" s="4858"/>
      <c r="AF52" s="4858"/>
      <c r="AG52" s="4857"/>
      <c r="AH52" s="4858"/>
      <c r="AI52" s="4858"/>
      <c r="AJ52" s="4858"/>
      <c r="AK52" s="4858"/>
      <c r="AL52" s="4858"/>
      <c r="AM52" s="4857"/>
      <c r="AN52" s="4858"/>
      <c r="AO52" s="4858"/>
      <c r="AP52" s="4858"/>
      <c r="AQ52" s="4858"/>
      <c r="AR52" s="4858"/>
      <c r="AS52" s="4858"/>
      <c r="AT52" s="4858"/>
      <c r="AU52" s="4854"/>
      <c r="AV52" s="4854"/>
      <c r="AW52" s="4855"/>
      <c r="AX52" s="1"/>
      <c r="AY52" s="4858"/>
      <c r="AZ52" s="4858"/>
      <c r="BA52" s="4858"/>
      <c r="BB52" s="4858"/>
      <c r="BC52" s="4858"/>
      <c r="BD52" s="4858"/>
      <c r="BE52" s="4858"/>
      <c r="BF52" s="4858"/>
      <c r="BG52" s="1"/>
      <c r="BH52" s="4826"/>
      <c r="BI52" s="4826"/>
      <c r="BJ52" s="4826"/>
      <c r="BK52" s="4826"/>
      <c r="BL52" s="4826"/>
      <c r="BM52" s="4826"/>
      <c r="BN52" s="4826"/>
      <c r="BO52" s="4826"/>
    </row>
    <row r="53" spans="1:75" s="719" customFormat="1">
      <c r="A53" s="4840"/>
      <c r="B53" s="4832"/>
      <c r="C53" s="4853"/>
      <c r="D53" s="4853"/>
      <c r="E53" s="4853"/>
      <c r="F53" s="4853"/>
      <c r="G53" s="4853"/>
      <c r="H53" s="4853"/>
      <c r="I53" s="4853"/>
      <c r="J53" s="4853"/>
      <c r="K53" s="4853"/>
      <c r="L53" s="4853"/>
      <c r="M53" s="4853"/>
      <c r="N53" s="4853"/>
      <c r="O53" s="4853"/>
      <c r="P53" s="4853"/>
      <c r="Q53" s="4853"/>
      <c r="R53" s="4853"/>
      <c r="S53" s="4853"/>
      <c r="T53" s="4853"/>
      <c r="U53" s="4853"/>
      <c r="V53" s="4853"/>
      <c r="W53" s="4853"/>
      <c r="X53" s="4853"/>
      <c r="Y53" s="4853"/>
      <c r="Z53" s="4853"/>
      <c r="AA53" s="4853"/>
      <c r="AB53" s="4853"/>
      <c r="AC53" s="4853"/>
      <c r="AD53" s="4853"/>
      <c r="AE53" s="4853"/>
      <c r="AF53" s="4853"/>
      <c r="AG53" s="4853"/>
      <c r="AH53" s="4853"/>
      <c r="AI53" s="4853"/>
      <c r="AJ53" s="4853"/>
      <c r="AK53" s="4853"/>
      <c r="AL53" s="4853"/>
      <c r="AM53" s="4853"/>
      <c r="AN53" s="4853"/>
      <c r="AO53" s="4853"/>
      <c r="AP53" s="4853"/>
      <c r="AQ53" s="4853"/>
      <c r="AR53" s="4853"/>
      <c r="AS53" s="4853"/>
      <c r="AT53" s="4853"/>
      <c r="AU53" s="4786"/>
      <c r="AV53" s="4786"/>
      <c r="AW53" s="4787"/>
      <c r="AX53" s="1"/>
      <c r="AY53" s="4853"/>
      <c r="AZ53" s="4853"/>
      <c r="BA53" s="4853"/>
      <c r="BB53" s="4853"/>
      <c r="BC53" s="4853"/>
      <c r="BD53" s="4853"/>
      <c r="BE53" s="4853"/>
      <c r="BF53" s="4853"/>
      <c r="BG53" s="1"/>
      <c r="BH53" s="4826"/>
      <c r="BI53" s="4826"/>
      <c r="BJ53" s="4826"/>
      <c r="BK53" s="4826"/>
      <c r="BL53" s="4826"/>
      <c r="BM53" s="4826"/>
      <c r="BN53" s="4826"/>
      <c r="BO53" s="4826"/>
    </row>
    <row r="54" spans="1:75" s="719" customFormat="1">
      <c r="A54" s="4840"/>
      <c r="B54" s="4832"/>
      <c r="C54" s="4853"/>
      <c r="D54" s="4853"/>
      <c r="E54" s="4853"/>
      <c r="F54" s="4853"/>
      <c r="G54" s="4853"/>
      <c r="H54" s="4853"/>
      <c r="I54" s="4853"/>
      <c r="J54" s="4853"/>
      <c r="K54" s="4853"/>
      <c r="L54" s="4853"/>
      <c r="M54" s="4853"/>
      <c r="N54" s="4853"/>
      <c r="O54" s="4853"/>
      <c r="P54" s="4853"/>
      <c r="Q54" s="4853"/>
      <c r="R54" s="4853"/>
      <c r="S54" s="4853"/>
      <c r="T54" s="4853"/>
      <c r="U54" s="4853"/>
      <c r="V54" s="4853"/>
      <c r="W54" s="4853"/>
      <c r="X54" s="4853"/>
      <c r="Y54" s="4853"/>
      <c r="Z54" s="4853"/>
      <c r="AA54" s="4853"/>
      <c r="AB54" s="4853"/>
      <c r="AC54" s="4853"/>
      <c r="AD54" s="4853"/>
      <c r="AE54" s="4853"/>
      <c r="AF54" s="4853"/>
      <c r="AG54" s="4853"/>
      <c r="AH54" s="4853"/>
      <c r="AI54" s="4853"/>
      <c r="AJ54" s="4853"/>
      <c r="AK54" s="4853"/>
      <c r="AL54" s="4853"/>
      <c r="AM54" s="4853"/>
      <c r="AN54" s="4853"/>
      <c r="AO54" s="4853"/>
      <c r="AP54" s="4853"/>
      <c r="AQ54" s="4853"/>
      <c r="AR54" s="4853"/>
      <c r="AS54" s="4853"/>
      <c r="AT54" s="4853"/>
      <c r="AU54" s="4786"/>
      <c r="AV54" s="4786"/>
      <c r="AW54" s="4787"/>
      <c r="AX54" s="1"/>
      <c r="AY54" s="4853"/>
      <c r="AZ54" s="4853"/>
      <c r="BA54" s="4853"/>
      <c r="BB54" s="4853"/>
      <c r="BC54" s="4853"/>
      <c r="BD54" s="4853"/>
      <c r="BE54" s="4853"/>
      <c r="BF54" s="4853"/>
      <c r="BG54" s="1"/>
      <c r="BH54" s="4826"/>
      <c r="BI54" s="4826"/>
      <c r="BJ54" s="4826"/>
      <c r="BK54" s="4826"/>
      <c r="BL54" s="4826"/>
      <c r="BM54" s="4826"/>
      <c r="BN54" s="4826"/>
      <c r="BO54" s="4826"/>
    </row>
    <row r="55" spans="1:75" s="719" customFormat="1">
      <c r="A55" s="4840"/>
      <c r="B55" s="4832"/>
      <c r="C55" s="4853"/>
      <c r="D55" s="4853"/>
      <c r="E55" s="4853"/>
      <c r="F55" s="4853"/>
      <c r="G55" s="4853"/>
      <c r="H55" s="4853"/>
      <c r="I55" s="4853"/>
      <c r="J55" s="4853"/>
      <c r="K55" s="4853"/>
      <c r="L55" s="4853"/>
      <c r="M55" s="4853"/>
      <c r="N55" s="4853"/>
      <c r="O55" s="4853"/>
      <c r="P55" s="4853"/>
      <c r="Q55" s="4853"/>
      <c r="R55" s="4853"/>
      <c r="S55" s="4853"/>
      <c r="T55" s="4853"/>
      <c r="U55" s="4853"/>
      <c r="V55" s="4853"/>
      <c r="W55" s="4853"/>
      <c r="X55" s="4853"/>
      <c r="Y55" s="4853"/>
      <c r="Z55" s="4853"/>
      <c r="AA55" s="4853"/>
      <c r="AB55" s="4853"/>
      <c r="AC55" s="4853"/>
      <c r="AD55" s="4853"/>
      <c r="AE55" s="4853"/>
      <c r="AF55" s="4853"/>
      <c r="AG55" s="4853"/>
      <c r="AH55" s="4853"/>
      <c r="AI55" s="4853"/>
      <c r="AJ55" s="4853"/>
      <c r="AK55" s="4853"/>
      <c r="AL55" s="4853"/>
      <c r="AM55" s="4853"/>
      <c r="AN55" s="4853"/>
      <c r="AO55" s="4853"/>
      <c r="AP55" s="4853"/>
      <c r="AQ55" s="4853"/>
      <c r="AR55" s="4853"/>
      <c r="AS55" s="4853"/>
      <c r="AT55" s="4853"/>
      <c r="AU55" s="4786"/>
      <c r="AV55" s="4786"/>
      <c r="AW55" s="4787"/>
      <c r="AX55" s="1"/>
      <c r="AY55" s="4853"/>
      <c r="AZ55" s="4853"/>
      <c r="BA55" s="4853"/>
      <c r="BB55" s="4853"/>
      <c r="BC55" s="4853"/>
      <c r="BD55" s="4853"/>
      <c r="BE55" s="4853"/>
      <c r="BF55" s="4853"/>
      <c r="BG55" s="1"/>
      <c r="BH55" s="4826"/>
      <c r="BI55" s="4826"/>
      <c r="BJ55" s="4826"/>
      <c r="BK55" s="4826"/>
      <c r="BL55" s="4826"/>
      <c r="BM55" s="4826"/>
      <c r="BN55" s="4826"/>
      <c r="BO55" s="4826"/>
    </row>
    <row r="56" spans="1:75" s="719" customFormat="1">
      <c r="A56" s="4840"/>
      <c r="B56" s="4832"/>
      <c r="C56" s="4853"/>
      <c r="D56" s="4853"/>
      <c r="E56" s="4853"/>
      <c r="F56" s="4853"/>
      <c r="G56" s="4853"/>
      <c r="H56" s="4853"/>
      <c r="I56" s="4853"/>
      <c r="J56" s="4853"/>
      <c r="K56" s="4853"/>
      <c r="L56" s="4853"/>
      <c r="M56" s="4853"/>
      <c r="N56" s="4853"/>
      <c r="O56" s="4853"/>
      <c r="P56" s="4853"/>
      <c r="Q56" s="4853"/>
      <c r="R56" s="4853"/>
      <c r="S56" s="4853"/>
      <c r="T56" s="4853"/>
      <c r="U56" s="4853"/>
      <c r="V56" s="4853"/>
      <c r="W56" s="4853"/>
      <c r="X56" s="4853"/>
      <c r="Y56" s="4853"/>
      <c r="Z56" s="4853"/>
      <c r="AA56" s="4853"/>
      <c r="AB56" s="4853"/>
      <c r="AC56" s="4853"/>
      <c r="AD56" s="4853"/>
      <c r="AE56" s="4853"/>
      <c r="AF56" s="4853"/>
      <c r="AG56" s="4853"/>
      <c r="AH56" s="4853"/>
      <c r="AI56" s="4853"/>
      <c r="AJ56" s="4853"/>
      <c r="AK56" s="4853"/>
      <c r="AL56" s="4853"/>
      <c r="AM56" s="4853"/>
      <c r="AN56" s="4853"/>
      <c r="AO56" s="4853"/>
      <c r="AP56" s="4853"/>
      <c r="AQ56" s="4853"/>
      <c r="AR56" s="4853"/>
      <c r="AS56" s="4853"/>
      <c r="AT56" s="4853"/>
      <c r="AU56" s="4786"/>
      <c r="AV56" s="4786"/>
      <c r="AW56" s="4787"/>
      <c r="AX56" s="1"/>
      <c r="AY56" s="4853"/>
      <c r="AZ56" s="4853"/>
      <c r="BA56" s="4853"/>
      <c r="BB56" s="4853"/>
      <c r="BC56" s="4853"/>
      <c r="BD56" s="4853"/>
      <c r="BE56" s="4853"/>
      <c r="BF56" s="4853"/>
      <c r="BG56" s="1"/>
      <c r="BH56" s="4826"/>
      <c r="BI56" s="4826"/>
      <c r="BJ56" s="4826"/>
      <c r="BK56" s="4826"/>
      <c r="BL56" s="4826"/>
      <c r="BM56" s="4826"/>
      <c r="BN56" s="4826"/>
      <c r="BO56" s="4826"/>
    </row>
    <row r="57" spans="1:75" s="719" customFormat="1">
      <c r="A57" s="4840"/>
      <c r="B57" s="4832"/>
      <c r="C57" s="4853"/>
      <c r="D57" s="4853"/>
      <c r="E57" s="4853"/>
      <c r="F57" s="4853"/>
      <c r="G57" s="4853"/>
      <c r="H57" s="4853"/>
      <c r="I57" s="4853"/>
      <c r="J57" s="4853"/>
      <c r="K57" s="4853"/>
      <c r="L57" s="4853"/>
      <c r="M57" s="4853"/>
      <c r="N57" s="4853"/>
      <c r="O57" s="4853"/>
      <c r="P57" s="4853"/>
      <c r="Q57" s="4853"/>
      <c r="R57" s="4853"/>
      <c r="S57" s="4853"/>
      <c r="T57" s="4853"/>
      <c r="U57" s="4853"/>
      <c r="V57" s="4853"/>
      <c r="W57" s="4853"/>
      <c r="X57" s="4853"/>
      <c r="Y57" s="4853"/>
      <c r="Z57" s="4853"/>
      <c r="AA57" s="4853"/>
      <c r="AB57" s="4853"/>
      <c r="AC57" s="4853"/>
      <c r="AD57" s="4853"/>
      <c r="AE57" s="4853"/>
      <c r="AF57" s="4853"/>
      <c r="AG57" s="4853"/>
      <c r="AH57" s="4853"/>
      <c r="AI57" s="4853"/>
      <c r="AJ57" s="4853"/>
      <c r="AK57" s="4853"/>
      <c r="AL57" s="4853"/>
      <c r="AM57" s="4853"/>
      <c r="AN57" s="4853"/>
      <c r="AO57" s="4853"/>
      <c r="AP57" s="4853"/>
      <c r="AQ57" s="4853"/>
      <c r="AR57" s="4853"/>
      <c r="AS57" s="4853"/>
      <c r="AT57" s="4853"/>
      <c r="AU57" s="4786"/>
      <c r="AV57" s="4786"/>
      <c r="AW57" s="4787"/>
      <c r="AX57" s="1"/>
      <c r="AY57" s="4853"/>
      <c r="AZ57" s="4853"/>
      <c r="BA57" s="4853"/>
      <c r="BB57" s="4853"/>
      <c r="BC57" s="4853"/>
      <c r="BD57" s="4853"/>
      <c r="BE57" s="4853"/>
      <c r="BF57" s="4853"/>
      <c r="BG57" s="1"/>
      <c r="BH57" s="4826"/>
      <c r="BI57" s="4826"/>
      <c r="BJ57" s="4826"/>
      <c r="BK57" s="4826"/>
      <c r="BL57" s="4826"/>
      <c r="BM57" s="4826"/>
      <c r="BN57" s="4826"/>
      <c r="BO57" s="4826"/>
    </row>
    <row r="58" spans="1:75" s="719" customFormat="1">
      <c r="A58" s="4840"/>
      <c r="B58" s="4832"/>
      <c r="C58" s="4853"/>
      <c r="D58" s="4853"/>
      <c r="E58" s="4853"/>
      <c r="F58" s="4853"/>
      <c r="G58" s="4853"/>
      <c r="H58" s="4853"/>
      <c r="I58" s="4853"/>
      <c r="J58" s="4853"/>
      <c r="K58" s="4853"/>
      <c r="L58" s="4853"/>
      <c r="M58" s="4853"/>
      <c r="N58" s="4853"/>
      <c r="O58" s="4853"/>
      <c r="P58" s="4853"/>
      <c r="Q58" s="4853"/>
      <c r="R58" s="4853"/>
      <c r="S58" s="4853"/>
      <c r="T58" s="4853"/>
      <c r="U58" s="4853"/>
      <c r="V58" s="4853"/>
      <c r="W58" s="4853"/>
      <c r="X58" s="4853"/>
      <c r="Y58" s="4853"/>
      <c r="Z58" s="4853"/>
      <c r="AA58" s="4853"/>
      <c r="AB58" s="4853"/>
      <c r="AC58" s="4853"/>
      <c r="AD58" s="4853"/>
      <c r="AE58" s="4853"/>
      <c r="AF58" s="4853"/>
      <c r="AG58" s="4853"/>
      <c r="AH58" s="4853"/>
      <c r="AI58" s="4853"/>
      <c r="AJ58" s="4853"/>
      <c r="AK58" s="4853"/>
      <c r="AL58" s="4853"/>
      <c r="AM58" s="4853"/>
      <c r="AN58" s="4853"/>
      <c r="AO58" s="4853"/>
      <c r="AP58" s="4853"/>
      <c r="AQ58" s="4853"/>
      <c r="AR58" s="4853"/>
      <c r="AS58" s="4853"/>
      <c r="AT58" s="4853"/>
      <c r="AU58" s="4786"/>
      <c r="AV58" s="4786"/>
      <c r="AW58" s="4787"/>
      <c r="AX58" s="1"/>
      <c r="AY58" s="4853"/>
      <c r="AZ58" s="4853"/>
      <c r="BA58" s="4853"/>
      <c r="BB58" s="4853"/>
      <c r="BC58" s="4853"/>
      <c r="BD58" s="4853"/>
      <c r="BE58" s="4853"/>
      <c r="BF58" s="4853"/>
      <c r="BG58" s="1"/>
      <c r="BH58" s="4826"/>
      <c r="BI58" s="4826"/>
      <c r="BJ58" s="4826"/>
      <c r="BK58" s="4826"/>
      <c r="BL58" s="4826"/>
      <c r="BM58" s="4826"/>
      <c r="BN58" s="4826"/>
      <c r="BO58" s="4826"/>
    </row>
    <row r="59" spans="1:75" s="719" customFormat="1">
      <c r="A59" s="4840"/>
      <c r="B59" s="4832"/>
      <c r="C59" s="4853"/>
      <c r="D59" s="4853"/>
      <c r="E59" s="4853"/>
      <c r="F59" s="4853"/>
      <c r="G59" s="4853"/>
      <c r="H59" s="4853"/>
      <c r="I59" s="4853"/>
      <c r="J59" s="4853"/>
      <c r="K59" s="4853"/>
      <c r="L59" s="4853"/>
      <c r="M59" s="4853"/>
      <c r="N59" s="4853"/>
      <c r="O59" s="4853"/>
      <c r="P59" s="4853"/>
      <c r="Q59" s="4853"/>
      <c r="R59" s="4853"/>
      <c r="S59" s="4853"/>
      <c r="T59" s="4853"/>
      <c r="U59" s="4853"/>
      <c r="V59" s="4853"/>
      <c r="W59" s="4853"/>
      <c r="X59" s="4853"/>
      <c r="Y59" s="4853"/>
      <c r="Z59" s="4853"/>
      <c r="AA59" s="4853"/>
      <c r="AB59" s="4853"/>
      <c r="AC59" s="4853"/>
      <c r="AD59" s="4853"/>
      <c r="AE59" s="4853"/>
      <c r="AF59" s="4853"/>
      <c r="AG59" s="4853"/>
      <c r="AH59" s="4853"/>
      <c r="AI59" s="4853"/>
      <c r="AJ59" s="4853"/>
      <c r="AK59" s="4853"/>
      <c r="AL59" s="4853"/>
      <c r="AM59" s="4853"/>
      <c r="AN59" s="4853"/>
      <c r="AO59" s="4853"/>
      <c r="AP59" s="4853"/>
      <c r="AQ59" s="4853"/>
      <c r="AR59" s="4853"/>
      <c r="AS59" s="4853"/>
      <c r="AT59" s="4853"/>
      <c r="AU59" s="4786"/>
      <c r="AV59" s="4786"/>
      <c r="AW59" s="4787"/>
      <c r="AX59" s="1"/>
      <c r="AY59" s="4853"/>
      <c r="AZ59" s="4853"/>
      <c r="BA59" s="4853"/>
      <c r="BB59" s="4853"/>
      <c r="BC59" s="4853"/>
      <c r="BD59" s="4853"/>
      <c r="BE59" s="4853"/>
      <c r="BF59" s="4853"/>
      <c r="BG59" s="1"/>
      <c r="BH59" s="4826"/>
      <c r="BI59" s="4826"/>
      <c r="BJ59" s="4826"/>
      <c r="BK59" s="4826"/>
      <c r="BL59" s="4826"/>
      <c r="BM59" s="4826"/>
      <c r="BN59" s="4826"/>
      <c r="BO59" s="4826"/>
    </row>
    <row r="60" spans="1:75" s="719" customFormat="1">
      <c r="A60" s="4840"/>
      <c r="B60" s="4832"/>
      <c r="C60" s="4853"/>
      <c r="D60" s="4853"/>
      <c r="E60" s="4853"/>
      <c r="F60" s="4853"/>
      <c r="G60" s="4853"/>
      <c r="H60" s="4853"/>
      <c r="I60" s="4853"/>
      <c r="J60" s="4853"/>
      <c r="K60" s="4853"/>
      <c r="L60" s="4853"/>
      <c r="M60" s="4853"/>
      <c r="N60" s="4853"/>
      <c r="O60" s="4853"/>
      <c r="P60" s="4853"/>
      <c r="Q60" s="4853"/>
      <c r="R60" s="4853"/>
      <c r="S60" s="4853"/>
      <c r="T60" s="4853"/>
      <c r="U60" s="4853"/>
      <c r="V60" s="4853"/>
      <c r="W60" s="4853"/>
      <c r="X60" s="4853"/>
      <c r="Y60" s="4853"/>
      <c r="Z60" s="4853"/>
      <c r="AA60" s="4853"/>
      <c r="AB60" s="4853"/>
      <c r="AC60" s="4853"/>
      <c r="AD60" s="4853"/>
      <c r="AE60" s="4853"/>
      <c r="AF60" s="4853"/>
      <c r="AG60" s="4853"/>
      <c r="AH60" s="4853"/>
      <c r="AI60" s="4853"/>
      <c r="AJ60" s="4853"/>
      <c r="AK60" s="4853"/>
      <c r="AL60" s="4853"/>
      <c r="AM60" s="4853"/>
      <c r="AN60" s="4853"/>
      <c r="AO60" s="4853"/>
      <c r="AP60" s="4853"/>
      <c r="AQ60" s="4853"/>
      <c r="AR60" s="4853"/>
      <c r="AS60" s="4853"/>
      <c r="AT60" s="4853"/>
      <c r="AU60" s="4786"/>
      <c r="AV60" s="4786"/>
      <c r="AW60" s="4787"/>
      <c r="AX60" s="1"/>
      <c r="AY60" s="4853"/>
      <c r="AZ60" s="4853"/>
      <c r="BA60" s="4853"/>
      <c r="BB60" s="4853"/>
      <c r="BC60" s="4853"/>
      <c r="BD60" s="4853"/>
      <c r="BE60" s="4853"/>
      <c r="BF60" s="4853"/>
      <c r="BG60" s="1"/>
      <c r="BH60" s="4826"/>
      <c r="BI60" s="4826"/>
      <c r="BJ60" s="4826"/>
      <c r="BK60" s="4826"/>
      <c r="BL60" s="4826"/>
      <c r="BM60" s="4826"/>
      <c r="BN60" s="4826"/>
      <c r="BO60" s="4826"/>
    </row>
    <row r="61" spans="1:75" s="719" customFormat="1">
      <c r="A61" s="4840"/>
      <c r="B61" s="4833"/>
      <c r="C61" s="4853"/>
      <c r="D61" s="4853"/>
      <c r="E61" s="4853"/>
      <c r="F61" s="4853"/>
      <c r="G61" s="4853"/>
      <c r="H61" s="4853"/>
      <c r="I61" s="4853"/>
      <c r="J61" s="4853"/>
      <c r="K61" s="4853"/>
      <c r="L61" s="4853"/>
      <c r="M61" s="4853"/>
      <c r="N61" s="4853"/>
      <c r="O61" s="4853"/>
      <c r="P61" s="4853"/>
      <c r="Q61" s="4853"/>
      <c r="R61" s="4853"/>
      <c r="S61" s="4853"/>
      <c r="T61" s="4853"/>
      <c r="U61" s="4853"/>
      <c r="V61" s="4853"/>
      <c r="W61" s="4853"/>
      <c r="X61" s="4853"/>
      <c r="Y61" s="4853"/>
      <c r="Z61" s="4853"/>
      <c r="AA61" s="4853"/>
      <c r="AB61" s="4853"/>
      <c r="AC61" s="4853"/>
      <c r="AD61" s="4853"/>
      <c r="AE61" s="4853"/>
      <c r="AF61" s="4853"/>
      <c r="AG61" s="4853"/>
      <c r="AH61" s="4853"/>
      <c r="AI61" s="4853"/>
      <c r="AJ61" s="4853"/>
      <c r="AK61" s="4853"/>
      <c r="AL61" s="4853"/>
      <c r="AM61" s="4853"/>
      <c r="AN61" s="4853"/>
      <c r="AO61" s="4853"/>
      <c r="AP61" s="4853"/>
      <c r="AQ61" s="4853"/>
      <c r="AR61" s="4853"/>
      <c r="AS61" s="4853"/>
      <c r="AT61" s="4853"/>
      <c r="AU61" s="4786"/>
      <c r="AV61" s="4786"/>
      <c r="AW61" s="4787"/>
      <c r="AX61" s="1"/>
      <c r="AY61" s="4853"/>
      <c r="AZ61" s="4853"/>
      <c r="BA61" s="4853"/>
      <c r="BB61" s="4853"/>
      <c r="BC61" s="4853"/>
      <c r="BD61" s="4853"/>
      <c r="BE61" s="4853"/>
      <c r="BF61" s="4853"/>
      <c r="BG61" s="1"/>
      <c r="BH61" s="4826"/>
      <c r="BI61" s="4826"/>
      <c r="BJ61" s="4826"/>
      <c r="BK61" s="4826"/>
      <c r="BL61" s="4826"/>
      <c r="BM61" s="4826"/>
      <c r="BN61" s="4826"/>
      <c r="BO61" s="4826"/>
    </row>
    <row r="62" spans="1:75">
      <c r="A62" s="4843"/>
      <c r="B62" s="4859"/>
      <c r="C62" s="4860"/>
      <c r="D62" s="4860"/>
      <c r="E62" s="4860"/>
      <c r="F62" s="4860"/>
      <c r="G62" s="4860"/>
      <c r="H62" s="4860"/>
      <c r="I62" s="4860"/>
      <c r="J62" s="4860"/>
      <c r="K62" s="4860"/>
      <c r="L62" s="4860"/>
      <c r="M62" s="4860"/>
      <c r="N62" s="4860"/>
      <c r="O62" s="4860"/>
      <c r="P62" s="4860"/>
      <c r="Q62" s="4860"/>
      <c r="R62" s="4860"/>
      <c r="S62" s="4860"/>
      <c r="T62" s="4860"/>
      <c r="U62" s="4860"/>
      <c r="V62" s="4860"/>
      <c r="W62" s="4860"/>
      <c r="X62" s="4860"/>
      <c r="Y62" s="4860"/>
      <c r="Z62" s="4860"/>
      <c r="AA62" s="4860"/>
      <c r="AB62" s="4860"/>
      <c r="AC62" s="4860"/>
      <c r="AD62" s="4860"/>
      <c r="AE62" s="4860"/>
      <c r="AF62" s="4860"/>
      <c r="AG62" s="4860"/>
      <c r="AH62" s="4860"/>
      <c r="AI62" s="4860"/>
      <c r="AJ62" s="4860"/>
      <c r="AK62" s="4860"/>
      <c r="AL62" s="4860"/>
      <c r="AM62" s="4860"/>
      <c r="AN62" s="4860"/>
      <c r="AO62" s="4860"/>
      <c r="AP62" s="4860"/>
      <c r="AQ62" s="4860"/>
      <c r="AR62" s="4860"/>
      <c r="AS62" s="4860"/>
      <c r="AT62" s="4860"/>
      <c r="AU62" s="4854"/>
      <c r="AV62" s="4854"/>
      <c r="AW62" s="4855"/>
      <c r="AX62" s="1"/>
      <c r="AY62" s="4860"/>
      <c r="AZ62" s="4860"/>
      <c r="BA62" s="4860"/>
      <c r="BB62" s="4860"/>
      <c r="BC62" s="4860"/>
      <c r="BD62" s="4860"/>
      <c r="BE62" s="4860"/>
      <c r="BF62" s="4860"/>
      <c r="BG62" s="1"/>
      <c r="BH62" s="4826"/>
      <c r="BI62" s="4826"/>
      <c r="BJ62" s="4826"/>
      <c r="BK62" s="4826"/>
      <c r="BL62" s="4826"/>
      <c r="BM62" s="4826"/>
      <c r="BN62" s="4826"/>
      <c r="BO62" s="4826"/>
    </row>
    <row r="63" spans="1:75">
      <c r="A63" s="4843"/>
      <c r="B63" s="4859"/>
      <c r="C63" s="4860"/>
      <c r="D63" s="4860"/>
      <c r="E63" s="4860"/>
      <c r="F63" s="4860"/>
      <c r="G63" s="4860"/>
      <c r="H63" s="4860"/>
      <c r="I63" s="4860"/>
      <c r="J63" s="4860"/>
      <c r="K63" s="4860"/>
      <c r="L63" s="4860"/>
      <c r="M63" s="4860"/>
      <c r="N63" s="4860"/>
      <c r="O63" s="4860"/>
      <c r="P63" s="4860"/>
      <c r="Q63" s="4860"/>
      <c r="R63" s="4860"/>
      <c r="S63" s="4860"/>
      <c r="T63" s="4860"/>
      <c r="U63" s="4860"/>
      <c r="V63" s="4860"/>
      <c r="W63" s="4860"/>
      <c r="X63" s="4860"/>
      <c r="Y63" s="4860"/>
      <c r="Z63" s="4860"/>
      <c r="AA63" s="4860"/>
      <c r="AB63" s="4860"/>
      <c r="AC63" s="4860"/>
      <c r="AD63" s="4860"/>
      <c r="AE63" s="4860"/>
      <c r="AF63" s="4860"/>
      <c r="AG63" s="4860"/>
      <c r="AH63" s="4860"/>
      <c r="AI63" s="4860"/>
      <c r="AJ63" s="4860"/>
      <c r="AK63" s="4860"/>
      <c r="AL63" s="4860"/>
      <c r="AM63" s="4860"/>
      <c r="AN63" s="4860"/>
      <c r="AO63" s="4860"/>
      <c r="AP63" s="4860"/>
      <c r="AQ63" s="4860"/>
      <c r="AR63" s="4860"/>
      <c r="AS63" s="4860"/>
      <c r="AT63" s="4860"/>
      <c r="AU63" s="4854"/>
      <c r="AV63" s="4854"/>
      <c r="AW63" s="4855"/>
      <c r="AX63" s="1"/>
      <c r="AY63" s="4860"/>
      <c r="AZ63" s="4860"/>
      <c r="BA63" s="4860"/>
      <c r="BB63" s="4860"/>
      <c r="BC63" s="4860"/>
      <c r="BD63" s="4860"/>
      <c r="BE63" s="4860"/>
      <c r="BF63" s="4860"/>
      <c r="BG63" s="1"/>
      <c r="BH63" s="4826"/>
      <c r="BI63" s="4826"/>
      <c r="BJ63" s="4826"/>
      <c r="BK63" s="4826"/>
      <c r="BL63" s="4826"/>
      <c r="BM63" s="4826"/>
      <c r="BN63" s="4826"/>
      <c r="BO63" s="4826"/>
    </row>
    <row r="64" spans="1:75">
      <c r="A64" s="2052"/>
      <c r="B64" s="4765"/>
      <c r="C64" s="4820"/>
      <c r="D64" s="4820"/>
      <c r="E64" s="4820"/>
      <c r="F64" s="4820"/>
      <c r="G64" s="4820"/>
      <c r="H64" s="4820"/>
      <c r="I64" s="4821"/>
      <c r="J64" s="4821"/>
      <c r="K64" s="4821"/>
      <c r="L64" s="4821"/>
      <c r="M64" s="4821"/>
      <c r="N64" s="4821"/>
      <c r="O64" s="4821"/>
      <c r="P64" s="4821"/>
      <c r="Q64" s="4821"/>
      <c r="R64" s="4821"/>
      <c r="S64" s="4821"/>
      <c r="T64" s="4821"/>
      <c r="U64" s="4821"/>
      <c r="V64" s="4821"/>
      <c r="W64" s="4821"/>
      <c r="X64" s="4821"/>
      <c r="Y64" s="4821"/>
      <c r="Z64" s="4821"/>
      <c r="AA64" s="4821"/>
      <c r="AB64" s="4821"/>
      <c r="AC64" s="4821"/>
      <c r="AD64" s="4821"/>
      <c r="AE64" s="4821"/>
      <c r="AF64" s="4821"/>
      <c r="AG64" s="4821"/>
      <c r="AH64" s="4821"/>
      <c r="AI64" s="4821"/>
      <c r="AJ64" s="4821"/>
      <c r="AK64" s="4821"/>
      <c r="AL64" s="4821"/>
      <c r="AM64" s="4821"/>
      <c r="AN64" s="4821"/>
      <c r="AO64" s="4821"/>
      <c r="AP64" s="4821"/>
      <c r="AQ64" s="4821"/>
      <c r="AR64" s="4821"/>
      <c r="AS64" s="4821"/>
      <c r="AT64" s="4821"/>
      <c r="AU64" s="4822"/>
      <c r="AV64" s="4822"/>
      <c r="AW64" s="4821"/>
      <c r="AX64" s="1"/>
      <c r="AY64" s="4821"/>
      <c r="AZ64" s="4821"/>
      <c r="BA64" s="4821"/>
      <c r="BB64" s="4821"/>
      <c r="BC64" s="4821"/>
      <c r="BD64" s="4821"/>
      <c r="BE64" s="4821"/>
      <c r="BF64" s="4821"/>
      <c r="BG64" s="1"/>
    </row>
    <row r="65" spans="1:67" s="719" customFormat="1">
      <c r="A65" s="4843"/>
      <c r="B65" s="4797"/>
      <c r="C65" s="4828"/>
      <c r="D65" s="4828"/>
      <c r="E65" s="4828"/>
      <c r="F65" s="4828"/>
      <c r="G65" s="4828"/>
      <c r="H65" s="4828"/>
      <c r="I65" s="4837"/>
      <c r="J65" s="4837"/>
      <c r="K65" s="4837"/>
      <c r="L65" s="4837"/>
      <c r="M65" s="4837"/>
      <c r="N65" s="4837"/>
      <c r="O65" s="4837"/>
      <c r="P65" s="4837"/>
      <c r="Q65" s="4837"/>
      <c r="R65" s="4837"/>
      <c r="S65" s="4837"/>
      <c r="T65" s="4837"/>
      <c r="U65" s="4837"/>
      <c r="V65" s="4837"/>
      <c r="W65" s="4837"/>
      <c r="X65" s="4837"/>
      <c r="Y65" s="4837"/>
      <c r="Z65" s="4837"/>
      <c r="AA65" s="4837"/>
      <c r="AB65" s="4837"/>
      <c r="AC65" s="4837"/>
      <c r="AD65" s="4837"/>
      <c r="AE65" s="4837"/>
      <c r="AF65" s="4837"/>
      <c r="AG65" s="4837"/>
      <c r="AH65" s="4837"/>
      <c r="AI65" s="4837"/>
      <c r="AJ65" s="4837"/>
      <c r="AK65" s="4837"/>
      <c r="AL65" s="4837"/>
      <c r="AM65" s="4559"/>
      <c r="AN65" s="4837"/>
      <c r="AO65" s="4837"/>
      <c r="AP65" s="4559"/>
      <c r="AQ65" s="4559"/>
      <c r="AR65" s="4559"/>
      <c r="AS65" s="4559"/>
      <c r="AT65" s="4559"/>
      <c r="AU65" s="4786"/>
      <c r="AV65" s="4786"/>
      <c r="AW65" s="4786"/>
      <c r="AX65" s="1"/>
      <c r="AY65" s="4559"/>
      <c r="AZ65" s="4837"/>
      <c r="BA65" s="4837"/>
      <c r="BB65" s="4559"/>
      <c r="BC65" s="4559"/>
      <c r="BD65" s="4559"/>
      <c r="BE65" s="4559"/>
      <c r="BF65" s="4559"/>
      <c r="BG65" s="1"/>
      <c r="BH65" s="4826"/>
      <c r="BI65" s="4826"/>
      <c r="BJ65" s="4826"/>
      <c r="BK65" s="4826"/>
      <c r="BL65" s="4826"/>
      <c r="BM65" s="4826"/>
      <c r="BN65" s="4826"/>
      <c r="BO65" s="4826"/>
    </row>
    <row r="66" spans="1:67" s="719" customFormat="1">
      <c r="A66" s="4843"/>
      <c r="B66" s="4797"/>
      <c r="C66" s="4828"/>
      <c r="D66" s="4828"/>
      <c r="E66" s="4828"/>
      <c r="F66" s="4828"/>
      <c r="G66" s="4828"/>
      <c r="H66" s="4828"/>
      <c r="I66" s="4837"/>
      <c r="J66" s="4837"/>
      <c r="K66" s="4837"/>
      <c r="L66" s="4837"/>
      <c r="M66" s="4837"/>
      <c r="N66" s="4837"/>
      <c r="O66" s="4837"/>
      <c r="P66" s="4837"/>
      <c r="Q66" s="4837"/>
      <c r="R66" s="4837"/>
      <c r="S66" s="4837"/>
      <c r="T66" s="4837"/>
      <c r="U66" s="4837"/>
      <c r="V66" s="4837"/>
      <c r="W66" s="4837"/>
      <c r="X66" s="4837"/>
      <c r="Y66" s="4837"/>
      <c r="Z66" s="4837"/>
      <c r="AA66" s="4837"/>
      <c r="AB66" s="4837"/>
      <c r="AC66" s="4837"/>
      <c r="AD66" s="4837"/>
      <c r="AE66" s="4837"/>
      <c r="AF66" s="4837"/>
      <c r="AG66" s="4837"/>
      <c r="AH66" s="4837"/>
      <c r="AI66" s="4837"/>
      <c r="AJ66" s="4837"/>
      <c r="AK66" s="4837"/>
      <c r="AL66" s="4837"/>
      <c r="AM66" s="4559"/>
      <c r="AN66" s="4837"/>
      <c r="AO66" s="4837"/>
      <c r="AP66" s="4559"/>
      <c r="AQ66" s="4559"/>
      <c r="AR66" s="4559"/>
      <c r="AS66" s="4559"/>
      <c r="AT66" s="4559"/>
      <c r="AU66" s="4786"/>
      <c r="AV66" s="4786"/>
      <c r="AW66" s="4786"/>
      <c r="AX66" s="1"/>
      <c r="AY66" s="4559"/>
      <c r="AZ66" s="4837"/>
      <c r="BA66" s="4837"/>
      <c r="BB66" s="4559"/>
      <c r="BC66" s="4559"/>
      <c r="BD66" s="4559"/>
      <c r="BE66" s="4559"/>
      <c r="BF66" s="4559"/>
      <c r="BG66" s="1"/>
      <c r="BH66" s="4826"/>
      <c r="BI66" s="4826"/>
      <c r="BJ66" s="4826"/>
      <c r="BK66" s="4826"/>
      <c r="BL66" s="4826"/>
      <c r="BM66" s="4826"/>
      <c r="BN66" s="4826"/>
      <c r="BO66" s="4826"/>
    </row>
    <row r="67" spans="1:67" s="719" customFormat="1">
      <c r="A67" s="4843"/>
      <c r="B67" s="4797"/>
      <c r="C67" s="4828"/>
      <c r="D67" s="4828"/>
      <c r="E67" s="4828"/>
      <c r="F67" s="4828"/>
      <c r="G67" s="4828"/>
      <c r="H67" s="4828"/>
      <c r="I67" s="4837"/>
      <c r="J67" s="4837"/>
      <c r="K67" s="4837"/>
      <c r="L67" s="4837"/>
      <c r="M67" s="4837"/>
      <c r="N67" s="4837"/>
      <c r="O67" s="4837"/>
      <c r="P67" s="4837"/>
      <c r="Q67" s="4837"/>
      <c r="R67" s="4837"/>
      <c r="S67" s="4837"/>
      <c r="T67" s="4837"/>
      <c r="U67" s="4837"/>
      <c r="V67" s="4837"/>
      <c r="W67" s="4837"/>
      <c r="X67" s="4837"/>
      <c r="Y67" s="4837"/>
      <c r="Z67" s="4837"/>
      <c r="AA67" s="4837"/>
      <c r="AB67" s="4837"/>
      <c r="AC67" s="4837"/>
      <c r="AD67" s="4837"/>
      <c r="AE67" s="4837"/>
      <c r="AF67" s="4837"/>
      <c r="AG67" s="4837"/>
      <c r="AH67" s="4837"/>
      <c r="AI67" s="4837"/>
      <c r="AJ67" s="4837"/>
      <c r="AK67" s="4837"/>
      <c r="AL67" s="4837"/>
      <c r="AM67" s="4559"/>
      <c r="AN67" s="4837"/>
      <c r="AO67" s="4837"/>
      <c r="AP67" s="4559"/>
      <c r="AQ67" s="4559"/>
      <c r="AR67" s="4559"/>
      <c r="AS67" s="4559"/>
      <c r="AT67" s="4559"/>
      <c r="AU67" s="4786"/>
      <c r="AV67" s="4786"/>
      <c r="AW67" s="4786"/>
      <c r="AX67" s="1"/>
      <c r="AY67" s="4559"/>
      <c r="AZ67" s="4837"/>
      <c r="BA67" s="4837"/>
      <c r="BB67" s="4559"/>
      <c r="BC67" s="4559"/>
      <c r="BD67" s="4559"/>
      <c r="BE67" s="4559"/>
      <c r="BF67" s="4559"/>
      <c r="BG67" s="1"/>
      <c r="BH67" s="4826"/>
      <c r="BI67" s="4826"/>
      <c r="BJ67" s="4826"/>
      <c r="BK67" s="4826"/>
      <c r="BL67" s="4826"/>
      <c r="BM67" s="4826"/>
      <c r="BN67" s="4826"/>
      <c r="BO67" s="4826"/>
    </row>
    <row r="68" spans="1:67" s="719" customFormat="1">
      <c r="A68" s="4843"/>
      <c r="B68" s="4797"/>
      <c r="C68" s="4828"/>
      <c r="D68" s="4828"/>
      <c r="E68" s="4828"/>
      <c r="F68" s="4828"/>
      <c r="G68" s="4828"/>
      <c r="H68" s="4828"/>
      <c r="I68" s="4837"/>
      <c r="J68" s="4837"/>
      <c r="K68" s="4837"/>
      <c r="L68" s="4837"/>
      <c r="M68" s="4837"/>
      <c r="N68" s="4837"/>
      <c r="O68" s="4837"/>
      <c r="P68" s="4837"/>
      <c r="Q68" s="4837"/>
      <c r="R68" s="4837"/>
      <c r="S68" s="4837"/>
      <c r="T68" s="4837"/>
      <c r="U68" s="4837"/>
      <c r="V68" s="4837"/>
      <c r="W68" s="4837"/>
      <c r="X68" s="4837"/>
      <c r="Y68" s="4837"/>
      <c r="Z68" s="4837"/>
      <c r="AA68" s="4837"/>
      <c r="AB68" s="4837"/>
      <c r="AC68" s="4837"/>
      <c r="AD68" s="4837"/>
      <c r="AE68" s="4837"/>
      <c r="AF68" s="4837"/>
      <c r="AG68" s="4837"/>
      <c r="AH68" s="4837"/>
      <c r="AI68" s="4837"/>
      <c r="AJ68" s="4837"/>
      <c r="AK68" s="4837"/>
      <c r="AL68" s="4837"/>
      <c r="AM68" s="4559"/>
      <c r="AN68" s="4837"/>
      <c r="AO68" s="4837"/>
      <c r="AP68" s="4559"/>
      <c r="AQ68" s="4559"/>
      <c r="AR68" s="4559"/>
      <c r="AS68" s="4559"/>
      <c r="AT68" s="4559"/>
      <c r="AU68" s="4786"/>
      <c r="AV68" s="4786"/>
      <c r="AW68" s="4786"/>
      <c r="AX68" s="1"/>
      <c r="AY68" s="4559"/>
      <c r="AZ68" s="4837"/>
      <c r="BA68" s="4837"/>
      <c r="BB68" s="4559"/>
      <c r="BC68" s="4559"/>
      <c r="BD68" s="4559"/>
      <c r="BE68" s="4559"/>
      <c r="BF68" s="4559"/>
      <c r="BG68" s="1"/>
      <c r="BH68" s="4826"/>
      <c r="BI68" s="4826"/>
      <c r="BJ68" s="4826"/>
      <c r="BK68" s="4826"/>
      <c r="BL68" s="4826"/>
      <c r="BM68" s="4826"/>
      <c r="BN68" s="4826"/>
      <c r="BO68" s="4826"/>
    </row>
    <row r="69" spans="1:67" s="719" customFormat="1">
      <c r="A69" s="4843"/>
      <c r="B69" s="4861"/>
      <c r="C69" s="4857"/>
      <c r="D69" s="4857"/>
      <c r="E69" s="4857"/>
      <c r="F69" s="4857"/>
      <c r="G69" s="4857"/>
      <c r="H69" s="4857"/>
      <c r="I69" s="4857"/>
      <c r="J69" s="4857"/>
      <c r="K69" s="4857"/>
      <c r="L69" s="4857"/>
      <c r="M69" s="4857"/>
      <c r="N69" s="4857"/>
      <c r="O69" s="4857"/>
      <c r="P69" s="4857"/>
      <c r="Q69" s="4857"/>
      <c r="R69" s="4857"/>
      <c r="S69" s="4857"/>
      <c r="T69" s="4857"/>
      <c r="U69" s="4857"/>
      <c r="V69" s="4857"/>
      <c r="W69" s="4857"/>
      <c r="X69" s="4857"/>
      <c r="Y69" s="4857"/>
      <c r="Z69" s="4857"/>
      <c r="AA69" s="4857"/>
      <c r="AB69" s="4857"/>
      <c r="AC69" s="4857"/>
      <c r="AD69" s="4857"/>
      <c r="AE69" s="4857"/>
      <c r="AF69" s="4857"/>
      <c r="AG69" s="4857"/>
      <c r="AH69" s="4857"/>
      <c r="AI69" s="4857"/>
      <c r="AJ69" s="4857"/>
      <c r="AK69" s="4857"/>
      <c r="AL69" s="4857"/>
      <c r="AM69" s="4857"/>
      <c r="AN69" s="4857"/>
      <c r="AO69" s="4857"/>
      <c r="AP69" s="4857"/>
      <c r="AQ69" s="4857"/>
      <c r="AR69" s="4857"/>
      <c r="AS69" s="4857"/>
      <c r="AT69" s="4857"/>
      <c r="AU69" s="4854"/>
      <c r="AV69" s="4854"/>
      <c r="AW69" s="4855"/>
      <c r="AX69" s="1"/>
      <c r="AY69" s="4857"/>
      <c r="AZ69" s="4857"/>
      <c r="BA69" s="4857"/>
      <c r="BB69" s="4857"/>
      <c r="BC69" s="4857"/>
      <c r="BD69" s="4857"/>
      <c r="BE69" s="4857"/>
      <c r="BF69" s="4857"/>
      <c r="BG69" s="1"/>
      <c r="BH69" s="4826"/>
      <c r="BI69" s="4826"/>
      <c r="BJ69" s="4826"/>
      <c r="BK69" s="4826"/>
      <c r="BL69" s="4826"/>
      <c r="BM69" s="4826"/>
      <c r="BN69" s="4826"/>
      <c r="BO69" s="4826"/>
    </row>
    <row r="70" spans="1:67" s="719" customFormat="1">
      <c r="A70" s="4843"/>
      <c r="B70" s="4861"/>
      <c r="C70" s="4857"/>
      <c r="D70" s="4857"/>
      <c r="E70" s="4857"/>
      <c r="F70" s="4857"/>
      <c r="G70" s="4857"/>
      <c r="H70" s="4857"/>
      <c r="I70" s="4857"/>
      <c r="J70" s="4857"/>
      <c r="K70" s="4857"/>
      <c r="L70" s="4857"/>
      <c r="M70" s="4857"/>
      <c r="N70" s="4857"/>
      <c r="O70" s="4857"/>
      <c r="P70" s="4857"/>
      <c r="Q70" s="4857"/>
      <c r="R70" s="4857"/>
      <c r="S70" s="4857"/>
      <c r="T70" s="4857"/>
      <c r="U70" s="4857"/>
      <c r="V70" s="4857"/>
      <c r="W70" s="4857"/>
      <c r="X70" s="4857"/>
      <c r="Y70" s="4857"/>
      <c r="Z70" s="4857"/>
      <c r="AA70" s="4857"/>
      <c r="AB70" s="4857"/>
      <c r="AC70" s="4857"/>
      <c r="AD70" s="4857"/>
      <c r="AE70" s="4857"/>
      <c r="AF70" s="4857"/>
      <c r="AG70" s="4857"/>
      <c r="AH70" s="4857"/>
      <c r="AI70" s="4857"/>
      <c r="AJ70" s="4857"/>
      <c r="AK70" s="4857"/>
      <c r="AL70" s="4857"/>
      <c r="AM70" s="4857"/>
      <c r="AN70" s="4857"/>
      <c r="AO70" s="4857"/>
      <c r="AP70" s="4857"/>
      <c r="AQ70" s="4857"/>
      <c r="AR70" s="4857"/>
      <c r="AS70" s="4857"/>
      <c r="AT70" s="4857"/>
      <c r="AU70" s="4854"/>
      <c r="AV70" s="4854"/>
      <c r="AW70" s="4855"/>
      <c r="AX70" s="1"/>
      <c r="AY70" s="4857"/>
      <c r="AZ70" s="4857"/>
      <c r="BA70" s="4857"/>
      <c r="BB70" s="4857"/>
      <c r="BC70" s="4857"/>
      <c r="BD70" s="4857"/>
      <c r="BE70" s="4857"/>
      <c r="BF70" s="4857"/>
      <c r="BG70" s="1"/>
    </row>
    <row r="71" spans="1:67" s="719" customFormat="1">
      <c r="A71" s="4843"/>
      <c r="B71" s="4861"/>
      <c r="C71" s="4857"/>
      <c r="D71" s="4857"/>
      <c r="E71" s="4857"/>
      <c r="F71" s="4857"/>
      <c r="G71" s="4857"/>
      <c r="H71" s="4857"/>
      <c r="I71" s="4857"/>
      <c r="J71" s="4857"/>
      <c r="K71" s="4857"/>
      <c r="L71" s="4857"/>
      <c r="M71" s="4857"/>
      <c r="N71" s="4857"/>
      <c r="O71" s="4857"/>
      <c r="P71" s="4857"/>
      <c r="Q71" s="4857"/>
      <c r="R71" s="4857"/>
      <c r="S71" s="4857"/>
      <c r="T71" s="4857"/>
      <c r="U71" s="4857"/>
      <c r="V71" s="4857"/>
      <c r="W71" s="4857"/>
      <c r="X71" s="4857"/>
      <c r="Y71" s="4857"/>
      <c r="Z71" s="4857"/>
      <c r="AA71" s="4857"/>
      <c r="AB71" s="4857"/>
      <c r="AC71" s="4857"/>
      <c r="AD71" s="4857"/>
      <c r="AE71" s="4857"/>
      <c r="AF71" s="4857"/>
      <c r="AG71" s="4857"/>
      <c r="AH71" s="4857"/>
      <c r="AI71" s="4857"/>
      <c r="AJ71" s="4857"/>
      <c r="AK71" s="4857"/>
      <c r="AL71" s="4857"/>
      <c r="AM71" s="4857"/>
      <c r="AN71" s="4857"/>
      <c r="AO71" s="4857"/>
      <c r="AP71" s="4857"/>
      <c r="AQ71" s="4857"/>
      <c r="AR71" s="4857"/>
      <c r="AS71" s="4857"/>
      <c r="AT71" s="4857"/>
      <c r="AU71" s="4854"/>
      <c r="AV71" s="4854"/>
      <c r="AW71" s="4855"/>
      <c r="AX71" s="1"/>
      <c r="AY71" s="4857"/>
      <c r="AZ71" s="4857"/>
      <c r="BA71" s="4857"/>
      <c r="BB71" s="4857"/>
      <c r="BC71" s="4857"/>
      <c r="BD71" s="4857"/>
      <c r="BE71" s="4857"/>
      <c r="BF71" s="4857"/>
      <c r="BG71" s="1"/>
    </row>
    <row r="72" spans="1:67" s="719" customFormat="1">
      <c r="A72" s="4843"/>
      <c r="B72" s="4861"/>
      <c r="C72" s="4857"/>
      <c r="D72" s="4857"/>
      <c r="E72" s="4857"/>
      <c r="F72" s="4857"/>
      <c r="G72" s="4857"/>
      <c r="H72" s="4857"/>
      <c r="I72" s="4857"/>
      <c r="J72" s="4857"/>
      <c r="K72" s="4857"/>
      <c r="L72" s="4857"/>
      <c r="M72" s="4857"/>
      <c r="N72" s="4857"/>
      <c r="O72" s="4857"/>
      <c r="P72" s="4857"/>
      <c r="Q72" s="4857"/>
      <c r="R72" s="4857"/>
      <c r="S72" s="4857"/>
      <c r="T72" s="4857"/>
      <c r="U72" s="4857"/>
      <c r="V72" s="4857"/>
      <c r="W72" s="4857"/>
      <c r="X72" s="4857"/>
      <c r="Y72" s="4857"/>
      <c r="Z72" s="4857"/>
      <c r="AA72" s="4857"/>
      <c r="AB72" s="4857"/>
      <c r="AC72" s="4857"/>
      <c r="AD72" s="4857"/>
      <c r="AE72" s="4857"/>
      <c r="AF72" s="4857"/>
      <c r="AG72" s="4857"/>
      <c r="AH72" s="4857"/>
      <c r="AI72" s="4857"/>
      <c r="AJ72" s="4857"/>
      <c r="AK72" s="4857"/>
      <c r="AL72" s="4857"/>
      <c r="AM72" s="4857"/>
      <c r="AN72" s="4857"/>
      <c r="AO72" s="4857"/>
      <c r="AP72" s="4857"/>
      <c r="AQ72" s="4857"/>
      <c r="AR72" s="4857"/>
      <c r="AS72" s="4857"/>
      <c r="AT72" s="4857"/>
      <c r="AU72" s="4854"/>
      <c r="AV72" s="4854"/>
      <c r="AW72" s="4855"/>
      <c r="AX72" s="1"/>
      <c r="AY72" s="4857"/>
      <c r="AZ72" s="4857"/>
      <c r="BA72" s="4857"/>
      <c r="BB72" s="4857"/>
      <c r="BC72" s="4857"/>
      <c r="BD72" s="4857"/>
      <c r="BE72" s="4857"/>
      <c r="BF72" s="4857"/>
      <c r="BG72" s="1"/>
    </row>
    <row r="73" spans="1:67" s="719" customFormat="1">
      <c r="A73" s="4843"/>
      <c r="B73" s="4861"/>
      <c r="C73" s="4857"/>
      <c r="D73" s="4857"/>
      <c r="E73" s="4857"/>
      <c r="F73" s="4857"/>
      <c r="G73" s="4857"/>
      <c r="H73" s="4857"/>
      <c r="I73" s="4857"/>
      <c r="J73" s="4857"/>
      <c r="K73" s="4857"/>
      <c r="L73" s="4857"/>
      <c r="M73" s="4857"/>
      <c r="N73" s="4857"/>
      <c r="O73" s="4857"/>
      <c r="P73" s="4857"/>
      <c r="Q73" s="4857"/>
      <c r="R73" s="4857"/>
      <c r="S73" s="4857"/>
      <c r="T73" s="4857"/>
      <c r="U73" s="4857"/>
      <c r="V73" s="4857"/>
      <c r="W73" s="4857"/>
      <c r="X73" s="4857"/>
      <c r="Y73" s="4857"/>
      <c r="Z73" s="4857"/>
      <c r="AA73" s="4857"/>
      <c r="AB73" s="4857"/>
      <c r="AC73" s="4857"/>
      <c r="AD73" s="4857"/>
      <c r="AE73" s="4857"/>
      <c r="AF73" s="4857"/>
      <c r="AG73" s="4857"/>
      <c r="AH73" s="4857"/>
      <c r="AI73" s="4857"/>
      <c r="AJ73" s="4857"/>
      <c r="AK73" s="4857"/>
      <c r="AL73" s="4857"/>
      <c r="AM73" s="4857"/>
      <c r="AN73" s="4857"/>
      <c r="AO73" s="4857"/>
      <c r="AP73" s="4857"/>
      <c r="AQ73" s="4857"/>
      <c r="AR73" s="4857"/>
      <c r="AS73" s="4857"/>
      <c r="AT73" s="4857"/>
      <c r="AU73" s="4854"/>
      <c r="AV73" s="4854"/>
      <c r="AW73" s="4855"/>
      <c r="AX73" s="1"/>
      <c r="AY73" s="4857"/>
      <c r="AZ73" s="4857"/>
      <c r="BA73" s="4857"/>
      <c r="BB73" s="4857"/>
      <c r="BC73" s="4857"/>
      <c r="BD73" s="4857"/>
      <c r="BE73" s="4857"/>
      <c r="BF73" s="4857"/>
      <c r="BG73" s="1"/>
    </row>
    <row r="74" spans="1:67" s="719" customFormat="1">
      <c r="A74" s="4843"/>
      <c r="B74" s="4861"/>
      <c r="C74" s="4857"/>
      <c r="D74" s="4857"/>
      <c r="E74" s="4857"/>
      <c r="F74" s="4857"/>
      <c r="G74" s="4857"/>
      <c r="H74" s="4857"/>
      <c r="I74" s="4857"/>
      <c r="J74" s="4857"/>
      <c r="K74" s="4857"/>
      <c r="L74" s="4857"/>
      <c r="M74" s="4857"/>
      <c r="N74" s="4857"/>
      <c r="O74" s="4857"/>
      <c r="P74" s="4857"/>
      <c r="Q74" s="4857"/>
      <c r="R74" s="4857"/>
      <c r="S74" s="4857"/>
      <c r="T74" s="4857"/>
      <c r="U74" s="4857"/>
      <c r="V74" s="4857"/>
      <c r="W74" s="4857"/>
      <c r="X74" s="4857"/>
      <c r="Y74" s="4857"/>
      <c r="Z74" s="4857"/>
      <c r="AA74" s="4857"/>
      <c r="AB74" s="4857"/>
      <c r="AC74" s="4857"/>
      <c r="AD74" s="4857"/>
      <c r="AE74" s="4857"/>
      <c r="AF74" s="4857"/>
      <c r="AG74" s="4857"/>
      <c r="AH74" s="4857"/>
      <c r="AI74" s="4857"/>
      <c r="AJ74" s="4857"/>
      <c r="AK74" s="4857"/>
      <c r="AL74" s="4857"/>
      <c r="AM74" s="4857"/>
      <c r="AN74" s="4857"/>
      <c r="AO74" s="4857"/>
      <c r="AP74" s="4857"/>
      <c r="AQ74" s="4857"/>
      <c r="AR74" s="4857"/>
      <c r="AS74" s="4857"/>
      <c r="AT74" s="4857"/>
      <c r="AU74" s="4854"/>
      <c r="AV74" s="4854"/>
      <c r="AW74" s="4855"/>
      <c r="AX74" s="1"/>
      <c r="AY74" s="4857"/>
      <c r="AZ74" s="4857"/>
      <c r="BA74" s="4857"/>
      <c r="BB74" s="4857"/>
      <c r="BC74" s="4857"/>
      <c r="BD74" s="4857"/>
      <c r="BE74" s="4857"/>
      <c r="BF74" s="4857"/>
      <c r="BG74" s="1"/>
    </row>
    <row r="75" spans="1:67" s="4818" customFormat="1">
      <c r="A75" s="60"/>
      <c r="B75" s="4852"/>
      <c r="C75" s="4853"/>
      <c r="D75" s="4853"/>
      <c r="E75" s="4853"/>
      <c r="F75" s="4853"/>
      <c r="G75" s="4853"/>
      <c r="H75" s="4853"/>
      <c r="I75" s="4853"/>
      <c r="J75" s="4853"/>
      <c r="K75" s="4853"/>
      <c r="L75" s="4853"/>
      <c r="M75" s="4853"/>
      <c r="N75" s="4853"/>
      <c r="O75" s="4853"/>
      <c r="P75" s="4853"/>
      <c r="Q75" s="4853"/>
      <c r="R75" s="4853"/>
      <c r="S75" s="4853"/>
      <c r="T75" s="4853"/>
      <c r="U75" s="4853"/>
      <c r="V75" s="4853"/>
      <c r="W75" s="4853"/>
      <c r="X75" s="4853"/>
      <c r="Y75" s="4853"/>
      <c r="Z75" s="4853"/>
      <c r="AA75" s="4853"/>
      <c r="AB75" s="4853"/>
      <c r="AC75" s="4853"/>
      <c r="AD75" s="4853"/>
      <c r="AE75" s="4853"/>
      <c r="AF75" s="4853"/>
      <c r="AG75" s="4853"/>
      <c r="AH75" s="4853"/>
      <c r="AI75" s="4853"/>
      <c r="AJ75" s="4853"/>
      <c r="AK75" s="4853"/>
      <c r="AL75" s="4853"/>
      <c r="AM75" s="4853"/>
      <c r="AN75" s="4853"/>
      <c r="AO75" s="4853"/>
      <c r="AP75" s="4853"/>
      <c r="AQ75" s="4853"/>
      <c r="AR75" s="4853"/>
      <c r="AS75" s="4853"/>
      <c r="AT75" s="4853"/>
      <c r="AU75" s="4855"/>
      <c r="AV75" s="4855"/>
      <c r="AW75" s="4855"/>
      <c r="AX75" s="1365"/>
      <c r="AY75" s="4853"/>
      <c r="AZ75" s="4853"/>
      <c r="BA75" s="4853"/>
      <c r="BB75" s="4853"/>
      <c r="BC75" s="4853"/>
      <c r="BD75" s="4853"/>
      <c r="BE75" s="4853"/>
      <c r="BF75" s="4853"/>
      <c r="BG75" s="1365"/>
    </row>
    <row r="76" spans="1:67" s="719" customFormat="1">
      <c r="A76" s="4843"/>
      <c r="B76" s="4861"/>
      <c r="C76" s="4857"/>
      <c r="D76" s="4857"/>
      <c r="E76" s="4857"/>
      <c r="F76" s="4857"/>
      <c r="G76" s="4857"/>
      <c r="H76" s="4857"/>
      <c r="I76" s="4857"/>
      <c r="J76" s="4857"/>
      <c r="K76" s="4857"/>
      <c r="L76" s="4857"/>
      <c r="M76" s="4857"/>
      <c r="N76" s="4857"/>
      <c r="O76" s="4857"/>
      <c r="P76" s="4857"/>
      <c r="Q76" s="4857"/>
      <c r="R76" s="4857"/>
      <c r="S76" s="4857"/>
      <c r="T76" s="4857"/>
      <c r="U76" s="4857"/>
      <c r="V76" s="4857"/>
      <c r="W76" s="4857"/>
      <c r="X76" s="4857"/>
      <c r="Y76" s="4857"/>
      <c r="Z76" s="4857"/>
      <c r="AA76" s="4857"/>
      <c r="AB76" s="4857"/>
      <c r="AC76" s="4857"/>
      <c r="AD76" s="4857"/>
      <c r="AE76" s="4857"/>
      <c r="AF76" s="4857"/>
      <c r="AG76" s="4857"/>
      <c r="AH76" s="4857"/>
      <c r="AI76" s="4857"/>
      <c r="AJ76" s="4857"/>
      <c r="AK76" s="4857"/>
      <c r="AL76" s="4857"/>
      <c r="AM76" s="4857"/>
      <c r="AN76" s="4857"/>
      <c r="AO76" s="4857"/>
      <c r="AP76" s="4857"/>
      <c r="AQ76" s="4857"/>
      <c r="AR76" s="4857"/>
      <c r="AS76" s="4857"/>
      <c r="AT76" s="4857"/>
      <c r="AU76" s="4854"/>
      <c r="AV76" s="4854"/>
      <c r="AW76" s="4855"/>
      <c r="AX76" s="1"/>
      <c r="AY76" s="4765"/>
      <c r="AZ76" s="4765"/>
      <c r="BA76" s="4765"/>
      <c r="BB76" s="4765"/>
      <c r="BC76" s="4765"/>
      <c r="BD76" s="4765"/>
      <c r="BE76" s="4765"/>
      <c r="BF76" s="4765"/>
      <c r="BG76" s="1"/>
    </row>
    <row r="77" spans="1:67" s="719" customFormat="1">
      <c r="A77" s="4843"/>
      <c r="B77" s="4861"/>
      <c r="C77" s="4857"/>
      <c r="D77" s="4857"/>
      <c r="E77" s="4857"/>
      <c r="F77" s="4857"/>
      <c r="G77" s="4857"/>
      <c r="H77" s="4857"/>
      <c r="I77" s="4857"/>
      <c r="J77" s="4857"/>
      <c r="K77" s="4857"/>
      <c r="L77" s="4857"/>
      <c r="M77" s="4857"/>
      <c r="N77" s="4857"/>
      <c r="O77" s="4857"/>
      <c r="P77" s="4857"/>
      <c r="Q77" s="4857"/>
      <c r="R77" s="4857"/>
      <c r="S77" s="4857"/>
      <c r="T77" s="4857"/>
      <c r="U77" s="4857"/>
      <c r="V77" s="4857"/>
      <c r="W77" s="4857"/>
      <c r="X77" s="4857"/>
      <c r="Y77" s="4857"/>
      <c r="Z77" s="4857"/>
      <c r="AA77" s="4857"/>
      <c r="AB77" s="4857"/>
      <c r="AC77" s="4857"/>
      <c r="AD77" s="4857"/>
      <c r="AE77" s="4857"/>
      <c r="AF77" s="4857"/>
      <c r="AG77" s="4857"/>
      <c r="AH77" s="4857"/>
      <c r="AI77" s="4857"/>
      <c r="AJ77" s="4857"/>
      <c r="AK77" s="4857"/>
      <c r="AL77" s="4857"/>
      <c r="AM77" s="4857"/>
      <c r="AN77" s="4857"/>
      <c r="AO77" s="4857"/>
      <c r="AP77" s="4857"/>
      <c r="AQ77" s="4857"/>
      <c r="AR77" s="4857"/>
      <c r="AS77" s="4857"/>
      <c r="AT77" s="4857"/>
      <c r="AU77" s="4854"/>
      <c r="AV77" s="4854"/>
      <c r="AW77" s="4855"/>
      <c r="AX77" s="1"/>
      <c r="AY77" s="4765"/>
      <c r="AZ77" s="4765"/>
      <c r="BA77" s="4765"/>
      <c r="BB77" s="4765"/>
      <c r="BC77" s="4765"/>
      <c r="BD77" s="4765"/>
      <c r="BE77" s="4765"/>
      <c r="BF77" s="4765"/>
      <c r="BG77" s="1"/>
    </row>
    <row r="78" spans="1:67">
      <c r="A78" s="4862"/>
      <c r="B78" s="4809"/>
      <c r="C78" s="4862"/>
      <c r="D78" s="4857"/>
      <c r="E78" s="4857"/>
      <c r="F78" s="4857"/>
      <c r="G78" s="4857"/>
      <c r="H78" s="4857"/>
      <c r="J78" s="4809"/>
      <c r="K78" s="4809"/>
      <c r="L78" s="4809"/>
      <c r="M78" s="4809"/>
      <c r="N78" s="4809"/>
      <c r="O78" s="4809"/>
      <c r="P78" s="4857"/>
      <c r="Q78" s="4857"/>
      <c r="R78" s="4857"/>
      <c r="S78" s="4857"/>
      <c r="T78" s="4857"/>
      <c r="W78" s="4809"/>
      <c r="X78" s="4862"/>
      <c r="AB78" s="4857"/>
      <c r="AC78" s="4857"/>
      <c r="AD78" s="4857"/>
      <c r="AE78" s="4857"/>
      <c r="AF78" s="4857"/>
      <c r="AG78" s="4811"/>
      <c r="AU78" s="719"/>
      <c r="AV78" s="719"/>
      <c r="AW78" s="4818"/>
      <c r="AX78" s="1326"/>
      <c r="AY78" s="4821"/>
      <c r="AZ78" s="4821"/>
      <c r="BA78" s="4821"/>
      <c r="BB78" s="4821"/>
      <c r="BC78" s="4821"/>
      <c r="BD78" s="4821"/>
      <c r="BE78" s="4821"/>
      <c r="BF78" s="4821"/>
      <c r="BG78" s="1326"/>
    </row>
    <row r="79" spans="1:67">
      <c r="A79" s="4862"/>
      <c r="B79" s="4809"/>
      <c r="C79" s="4862"/>
      <c r="D79" s="4863"/>
      <c r="E79" s="4863"/>
      <c r="F79" s="4863"/>
      <c r="G79" s="4863"/>
      <c r="H79" s="4863"/>
      <c r="J79" s="4809"/>
      <c r="K79" s="4809"/>
      <c r="L79" s="4809"/>
      <c r="M79" s="4809"/>
      <c r="N79" s="4809"/>
      <c r="O79" s="4809"/>
      <c r="P79" s="4863"/>
      <c r="Q79" s="4863"/>
      <c r="R79" s="4863"/>
      <c r="S79" s="4863"/>
      <c r="T79" s="4863"/>
      <c r="W79" s="4809"/>
      <c r="X79" s="4862"/>
      <c r="AB79" s="4863"/>
      <c r="AC79" s="4863"/>
      <c r="AD79" s="4863"/>
      <c r="AE79" s="4863"/>
      <c r="AF79" s="4863"/>
      <c r="AG79" s="4811"/>
      <c r="AU79" s="719"/>
      <c r="AV79" s="719"/>
      <c r="AW79" s="4818"/>
      <c r="AX79" s="1326"/>
      <c r="AY79" s="4864"/>
      <c r="BB79" s="4864"/>
      <c r="BC79" s="4864"/>
      <c r="BD79" s="4864"/>
      <c r="BE79" s="4864"/>
      <c r="BF79" s="4864"/>
      <c r="BG79" s="1326"/>
    </row>
    <row r="80" spans="1:67">
      <c r="A80" s="4862"/>
      <c r="B80" s="4809"/>
      <c r="C80" s="4862"/>
      <c r="J80" s="4809"/>
      <c r="K80" s="4809"/>
      <c r="L80" s="4809"/>
      <c r="M80" s="4809"/>
      <c r="N80" s="4809"/>
      <c r="O80" s="4809"/>
      <c r="P80" s="4809"/>
      <c r="W80" s="4809"/>
      <c r="X80" s="4862"/>
      <c r="AE80" s="4809"/>
      <c r="AF80" s="4811"/>
      <c r="AG80" s="4811"/>
      <c r="AU80" s="719"/>
      <c r="AV80" s="719"/>
      <c r="AW80" s="4818"/>
      <c r="AX80" s="1326"/>
      <c r="AY80" s="4864"/>
      <c r="BB80" s="4864"/>
      <c r="BC80" s="4864"/>
      <c r="BD80" s="4864"/>
      <c r="BE80" s="4864"/>
      <c r="BF80" s="4864"/>
      <c r="BG80" s="1326"/>
    </row>
    <row r="81" spans="1:59">
      <c r="A81" s="4862"/>
      <c r="B81" s="4809"/>
      <c r="C81" s="4862"/>
      <c r="J81" s="4809"/>
      <c r="K81" s="4809"/>
      <c r="L81" s="4809"/>
      <c r="M81" s="4809"/>
      <c r="N81" s="4809"/>
      <c r="O81" s="4809"/>
      <c r="P81" s="4809"/>
      <c r="W81" s="4809"/>
      <c r="X81" s="4862"/>
      <c r="AE81" s="4809"/>
      <c r="AF81" s="4811"/>
      <c r="AG81" s="4811"/>
      <c r="AU81" s="719"/>
      <c r="AV81" s="719"/>
      <c r="AW81" s="4818"/>
      <c r="AX81" s="1326"/>
      <c r="AY81" s="4864"/>
      <c r="BB81" s="4864"/>
      <c r="BC81" s="4864"/>
      <c r="BD81" s="4864"/>
      <c r="BE81" s="4864"/>
      <c r="BF81" s="4864"/>
      <c r="BG81" s="1326"/>
    </row>
    <row r="82" spans="1:59">
      <c r="A82" s="4862"/>
      <c r="B82" s="4809"/>
      <c r="C82" s="4862"/>
      <c r="J82" s="4809"/>
      <c r="K82" s="4809"/>
      <c r="L82" s="4809"/>
      <c r="M82" s="4809"/>
      <c r="N82" s="4809"/>
      <c r="O82" s="4809"/>
      <c r="P82" s="4809"/>
      <c r="W82" s="4809"/>
      <c r="X82" s="4862"/>
      <c r="AE82" s="4809"/>
      <c r="AF82" s="4811"/>
      <c r="AG82" s="4811"/>
      <c r="AU82" s="719"/>
      <c r="AV82" s="719"/>
      <c r="AW82" s="4818"/>
      <c r="AX82" s="1326"/>
      <c r="AY82" s="4864"/>
      <c r="BB82" s="4864"/>
      <c r="BC82" s="4864"/>
      <c r="BD82" s="4864"/>
      <c r="BE82" s="4864"/>
      <c r="BF82" s="4864"/>
      <c r="BG82" s="1326"/>
    </row>
    <row r="83" spans="1:59">
      <c r="A83" s="4862"/>
      <c r="B83" s="4809"/>
      <c r="C83" s="4862"/>
      <c r="D83" s="4857"/>
      <c r="E83" s="4857"/>
      <c r="F83" s="4857"/>
      <c r="G83" s="4857"/>
      <c r="H83" s="4865"/>
      <c r="J83" s="4809"/>
      <c r="K83" s="4809"/>
      <c r="L83" s="4809"/>
      <c r="M83" s="4809"/>
      <c r="N83" s="4809"/>
      <c r="O83" s="4809"/>
      <c r="P83" s="4857"/>
      <c r="Q83" s="4857"/>
      <c r="R83" s="4857"/>
      <c r="S83" s="4857"/>
      <c r="T83" s="4866"/>
      <c r="W83" s="4809"/>
      <c r="X83" s="4862"/>
      <c r="AE83" s="4809"/>
      <c r="AF83" s="4811"/>
      <c r="AG83" s="4811"/>
      <c r="AU83" s="719"/>
      <c r="AV83" s="719"/>
      <c r="AW83" s="4818"/>
      <c r="AX83" s="1326"/>
      <c r="AY83" s="4867"/>
      <c r="AZ83" s="4867"/>
      <c r="BA83" s="4867"/>
      <c r="BB83" s="4867"/>
      <c r="BC83" s="4867"/>
      <c r="BD83" s="4867"/>
      <c r="BE83" s="4867"/>
      <c r="BF83" s="4867"/>
      <c r="BG83" s="1326"/>
    </row>
    <row r="84" spans="1:59">
      <c r="A84" s="4862"/>
      <c r="B84" s="4809"/>
      <c r="C84" s="4862"/>
      <c r="H84" s="4865"/>
      <c r="J84" s="4809"/>
      <c r="K84" s="4809"/>
      <c r="L84" s="4809"/>
      <c r="M84" s="4809"/>
      <c r="N84" s="4809"/>
      <c r="O84" s="4809"/>
      <c r="P84" s="4809"/>
      <c r="T84" s="4866"/>
      <c r="W84" s="4809"/>
      <c r="X84" s="4862"/>
      <c r="AA84" s="4864"/>
      <c r="AB84" s="4864"/>
      <c r="AC84" s="4864"/>
      <c r="AD84" s="4864"/>
      <c r="AE84" s="4864"/>
      <c r="AF84" s="4864"/>
      <c r="AG84" s="4811"/>
      <c r="AU84" s="719"/>
      <c r="AV84" s="719"/>
      <c r="AW84" s="4818"/>
      <c r="AX84" s="1326"/>
      <c r="AZ84" s="3202"/>
      <c r="BG84" s="1326"/>
    </row>
    <row r="85" spans="1:59">
      <c r="A85" s="4868"/>
      <c r="B85" s="4869"/>
      <c r="C85" s="4870"/>
      <c r="J85" s="4809"/>
      <c r="K85" s="4809"/>
      <c r="L85" s="4809"/>
      <c r="M85" s="4809"/>
      <c r="N85" s="4809"/>
      <c r="O85" s="4809"/>
      <c r="P85" s="4809"/>
      <c r="Q85" s="2049"/>
      <c r="R85" s="2050"/>
      <c r="S85" s="2051"/>
      <c r="V85" s="4862"/>
      <c r="W85" s="4809"/>
      <c r="X85" s="4862"/>
      <c r="AE85" s="4809"/>
      <c r="AF85" s="4811"/>
      <c r="AG85" s="4811"/>
      <c r="AU85" s="719"/>
      <c r="AV85" s="719"/>
      <c r="AW85" s="4818"/>
      <c r="AX85" s="1326"/>
      <c r="AY85" s="4864"/>
      <c r="AZ85" s="4864"/>
      <c r="BA85" s="4864"/>
      <c r="BB85" s="4864"/>
      <c r="BC85" s="4864"/>
      <c r="BD85" s="4864"/>
      <c r="BE85" s="4864"/>
      <c r="BF85" s="4864"/>
      <c r="BG85" s="1326"/>
    </row>
    <row r="86" spans="1:59">
      <c r="A86" s="4868"/>
      <c r="B86" s="4869"/>
      <c r="C86" s="4870"/>
      <c r="J86" s="4809"/>
      <c r="K86" s="4809"/>
      <c r="L86" s="4809"/>
      <c r="M86" s="4809"/>
      <c r="N86" s="4809"/>
      <c r="O86" s="4809"/>
      <c r="P86" s="4809"/>
      <c r="Q86" s="2049"/>
      <c r="R86" s="2050"/>
      <c r="S86" s="2051"/>
      <c r="V86" s="4862"/>
      <c r="W86" s="4809"/>
      <c r="X86" s="4862"/>
      <c r="AE86" s="4809"/>
      <c r="AF86" s="4811"/>
      <c r="AG86" s="4811"/>
      <c r="AU86" s="719"/>
      <c r="AV86" s="719"/>
      <c r="AW86" s="4818"/>
      <c r="AX86" s="1326"/>
      <c r="AY86" s="4864"/>
      <c r="AZ86" s="4864"/>
      <c r="BA86" s="4864"/>
      <c r="BB86" s="4864"/>
      <c r="BC86" s="4864"/>
      <c r="BD86" s="4864"/>
      <c r="BE86" s="4864"/>
      <c r="BF86" s="4864"/>
      <c r="BG86" s="1326"/>
    </row>
    <row r="87" spans="1:59">
      <c r="A87" s="4868"/>
      <c r="B87" s="4869"/>
      <c r="C87" s="4870"/>
      <c r="J87" s="4809"/>
      <c r="K87" s="4809"/>
      <c r="L87" s="4809"/>
      <c r="M87" s="4809"/>
      <c r="N87" s="4809"/>
      <c r="O87" s="4809"/>
      <c r="P87" s="4809"/>
      <c r="Q87" s="2049"/>
      <c r="R87" s="2050"/>
      <c r="S87" s="2051"/>
      <c r="V87" s="4862"/>
      <c r="W87" s="4809"/>
      <c r="X87" s="4862"/>
      <c r="AE87" s="4809"/>
      <c r="AF87" s="4811"/>
      <c r="AG87" s="4811"/>
      <c r="AU87" s="719"/>
      <c r="AV87" s="719"/>
      <c r="AW87" s="4818"/>
      <c r="AX87" s="1326"/>
      <c r="AY87" s="4864"/>
      <c r="AZ87" s="4864"/>
      <c r="BA87" s="4864"/>
      <c r="BB87" s="4864"/>
      <c r="BC87" s="4864"/>
      <c r="BD87" s="4864"/>
      <c r="BE87" s="4864"/>
      <c r="BF87" s="4864"/>
      <c r="BG87" s="1326"/>
    </row>
    <row r="88" spans="1:59">
      <c r="A88" s="4868"/>
      <c r="B88" s="4869"/>
      <c r="C88" s="4870"/>
      <c r="J88" s="4809"/>
      <c r="K88" s="4809"/>
      <c r="L88" s="4809"/>
      <c r="M88" s="4809"/>
      <c r="N88" s="4809"/>
      <c r="O88" s="4809"/>
      <c r="P88" s="4809"/>
      <c r="Q88" s="2049"/>
      <c r="R88" s="2050"/>
      <c r="S88" s="2051"/>
      <c r="V88" s="4862"/>
      <c r="W88" s="4809"/>
      <c r="X88" s="4862"/>
      <c r="AE88" s="4809"/>
      <c r="AF88" s="4811"/>
      <c r="AG88" s="4811"/>
      <c r="AU88" s="719"/>
      <c r="AV88" s="719"/>
      <c r="AW88" s="4818"/>
      <c r="AX88" s="1326"/>
      <c r="AY88" s="4864"/>
      <c r="AZ88" s="4864"/>
      <c r="BA88" s="4864"/>
      <c r="BB88" s="4864"/>
      <c r="BC88" s="4864"/>
      <c r="BD88" s="4864"/>
      <c r="BE88" s="4864"/>
      <c r="BF88" s="4864"/>
      <c r="BG88" s="1326"/>
    </row>
    <row r="89" spans="1:59">
      <c r="A89" s="4868"/>
      <c r="B89" s="4869"/>
      <c r="C89" s="4870"/>
      <c r="J89" s="4809"/>
      <c r="K89" s="4809"/>
      <c r="L89" s="4809"/>
      <c r="M89" s="4809"/>
      <c r="N89" s="4809"/>
      <c r="O89" s="4809"/>
      <c r="P89" s="4809"/>
      <c r="Q89" s="2049"/>
      <c r="R89" s="2050"/>
      <c r="S89" s="2051"/>
      <c r="V89" s="4862"/>
      <c r="W89" s="4809"/>
      <c r="X89" s="4862"/>
      <c r="AE89" s="4809"/>
      <c r="AF89" s="4811"/>
      <c r="AG89" s="4811"/>
      <c r="AU89" s="719"/>
      <c r="AV89" s="719"/>
      <c r="AW89" s="4818"/>
      <c r="AX89" s="1326"/>
      <c r="AY89" s="4864"/>
      <c r="AZ89" s="4864"/>
      <c r="BA89" s="4864"/>
      <c r="BB89" s="4864"/>
      <c r="BC89" s="4864"/>
      <c r="BD89" s="4864"/>
      <c r="BE89" s="4864"/>
      <c r="BF89" s="4864"/>
      <c r="BG89" s="1326"/>
    </row>
    <row r="90" spans="1:59">
      <c r="A90" s="4868"/>
      <c r="B90" s="4869"/>
      <c r="C90" s="4870"/>
      <c r="J90" s="4809"/>
      <c r="K90" s="4809"/>
      <c r="L90" s="4809"/>
      <c r="M90" s="4809"/>
      <c r="N90" s="4809"/>
      <c r="O90" s="4809"/>
      <c r="P90" s="4809"/>
      <c r="Q90" s="2049"/>
      <c r="R90" s="2050"/>
      <c r="S90" s="2051"/>
      <c r="V90" s="4862"/>
      <c r="W90" s="4809"/>
      <c r="X90" s="4862"/>
      <c r="AE90" s="4809"/>
      <c r="AF90" s="4811"/>
      <c r="AG90" s="4811"/>
      <c r="AU90" s="719"/>
      <c r="AV90" s="719"/>
      <c r="AW90" s="4818"/>
      <c r="AX90" s="1326"/>
      <c r="AZ90" s="4864"/>
      <c r="BA90" s="4864"/>
      <c r="BB90" s="4864"/>
      <c r="BC90" s="4864"/>
      <c r="BD90" s="4864"/>
      <c r="BE90" s="4864"/>
      <c r="BF90" s="4864"/>
      <c r="BG90" s="1326"/>
    </row>
    <row r="91" spans="1:59">
      <c r="A91" s="4868"/>
      <c r="B91" s="4869"/>
      <c r="C91" s="4870"/>
      <c r="J91" s="4809"/>
      <c r="K91" s="4809"/>
      <c r="L91" s="4809"/>
      <c r="M91" s="4809"/>
      <c r="N91" s="4809"/>
      <c r="O91" s="4809"/>
      <c r="P91" s="4809"/>
      <c r="Q91" s="2049"/>
      <c r="R91" s="2050"/>
      <c r="S91" s="2051"/>
      <c r="V91" s="4862"/>
      <c r="W91" s="4809"/>
      <c r="X91" s="4862"/>
      <c r="AE91" s="4809"/>
      <c r="AF91" s="4811"/>
      <c r="AG91" s="4811"/>
      <c r="AU91" s="719"/>
      <c r="AV91" s="719"/>
      <c r="AW91" s="4818"/>
      <c r="AX91" s="1326"/>
      <c r="AY91" s="4864"/>
      <c r="AZ91" s="4864"/>
      <c r="BA91" s="4864"/>
      <c r="BB91" s="4864"/>
      <c r="BC91" s="4864"/>
      <c r="BD91" s="4864"/>
      <c r="BE91" s="4864"/>
      <c r="BF91" s="4864"/>
      <c r="BG91" s="1326"/>
    </row>
    <row r="92" spans="1:59">
      <c r="A92" s="2049"/>
      <c r="B92" s="2047"/>
      <c r="C92" s="4862"/>
      <c r="P92" s="3202"/>
      <c r="Q92" s="3202"/>
      <c r="R92" s="3202"/>
      <c r="S92" s="3202"/>
      <c r="T92" s="3202"/>
      <c r="U92" s="2049"/>
      <c r="V92" s="4862"/>
      <c r="X92" s="4862"/>
      <c r="AA92" s="3202"/>
      <c r="AB92" s="3202"/>
      <c r="AC92" s="3202"/>
      <c r="AD92" s="3202"/>
      <c r="AE92" s="3202"/>
      <c r="AF92" s="3202"/>
      <c r="AG92" s="4871"/>
      <c r="AH92" s="4872"/>
      <c r="AI92" s="4872"/>
      <c r="AJ92" s="4872"/>
      <c r="AK92" s="4872"/>
      <c r="AL92" s="4872"/>
      <c r="AM92" s="4872"/>
      <c r="AP92" s="4872"/>
      <c r="AQ92" s="4873"/>
      <c r="AR92" s="4874"/>
      <c r="AS92" s="4871"/>
      <c r="AT92" s="4872"/>
      <c r="AU92" s="4872"/>
      <c r="AV92" s="4872"/>
      <c r="AW92" s="4871"/>
      <c r="AX92" s="1326"/>
      <c r="AY92" s="4875"/>
      <c r="AZ92" s="4875"/>
      <c r="BA92" s="4875"/>
      <c r="BB92" s="4875"/>
      <c r="BC92" s="4875"/>
      <c r="BD92" s="4875"/>
      <c r="BE92" s="4875"/>
      <c r="BF92" s="4875"/>
      <c r="BG92" s="1326"/>
    </row>
    <row r="93" spans="1:59">
      <c r="A93" s="2049"/>
      <c r="B93" s="2047"/>
      <c r="C93" s="4862"/>
      <c r="Q93" s="4862"/>
      <c r="R93" s="4876"/>
      <c r="S93" s="4877"/>
      <c r="U93" s="4862"/>
      <c r="V93" s="3202"/>
      <c r="X93" s="4862"/>
      <c r="AC93" s="4872"/>
      <c r="AD93" s="4872"/>
      <c r="AE93" s="4872"/>
      <c r="AF93" s="4871"/>
      <c r="AG93" s="4871"/>
      <c r="AH93" s="4872"/>
      <c r="AI93" s="4872"/>
      <c r="AJ93" s="4872"/>
      <c r="AK93" s="4872"/>
      <c r="AL93" s="4872"/>
      <c r="AM93" s="4872"/>
      <c r="AP93" s="4872"/>
      <c r="AQ93" s="4873"/>
      <c r="AR93" s="4878"/>
      <c r="AS93" s="4871"/>
      <c r="AT93" s="4872"/>
      <c r="AU93" s="4872"/>
      <c r="AV93" s="4872"/>
      <c r="AW93" s="4871"/>
      <c r="AX93" s="1326"/>
      <c r="BC93" s="4875"/>
      <c r="BD93" s="4875"/>
      <c r="BE93" s="4875"/>
      <c r="BF93" s="4875"/>
      <c r="BG93" s="1326"/>
    </row>
    <row r="94" spans="1:59">
      <c r="B94" s="4879"/>
      <c r="C94" s="4879"/>
      <c r="D94" s="4281"/>
      <c r="E94" s="4281"/>
      <c r="F94" s="4281"/>
      <c r="G94" s="4281"/>
      <c r="H94" s="4281"/>
      <c r="I94" s="719"/>
      <c r="J94" s="719"/>
      <c r="K94" s="719"/>
      <c r="L94" s="719"/>
      <c r="M94" s="719"/>
      <c r="N94" s="719"/>
      <c r="O94" s="719"/>
      <c r="P94" s="719"/>
      <c r="Q94" s="4862"/>
      <c r="R94" s="4876"/>
      <c r="S94" s="4877"/>
      <c r="T94" s="719"/>
      <c r="U94" s="4862"/>
      <c r="V94" s="3202"/>
      <c r="X94" s="4862"/>
      <c r="AC94" s="4872"/>
      <c r="AD94" s="4872"/>
      <c r="AE94" s="4872"/>
      <c r="AF94" s="4871"/>
      <c r="AG94" s="4871"/>
      <c r="AH94" s="4872"/>
      <c r="AI94" s="4872"/>
      <c r="AJ94" s="4872"/>
      <c r="AK94" s="4872"/>
      <c r="AL94" s="4872"/>
      <c r="AM94" s="4872"/>
      <c r="AP94" s="4872"/>
      <c r="AQ94" s="4873"/>
      <c r="AR94" s="4874"/>
      <c r="AS94" s="4871"/>
      <c r="AT94" s="4872"/>
      <c r="AU94" s="4872"/>
      <c r="AV94" s="4872"/>
      <c r="AW94" s="4871"/>
      <c r="AX94" s="1326"/>
      <c r="AY94" s="4875"/>
      <c r="AZ94" s="4875"/>
      <c r="BA94" s="4875"/>
      <c r="BB94" s="4875"/>
      <c r="BC94" s="4875"/>
      <c r="BD94" s="4875"/>
      <c r="BE94" s="4875"/>
      <c r="BF94" s="4875"/>
      <c r="BG94" s="1326"/>
    </row>
    <row r="95" spans="1:59">
      <c r="B95" s="4106"/>
      <c r="C95" s="4106"/>
      <c r="D95" s="719"/>
      <c r="E95" s="719"/>
      <c r="F95" s="719"/>
      <c r="G95" s="719"/>
      <c r="H95" s="719"/>
      <c r="I95" s="719"/>
      <c r="J95" s="719"/>
      <c r="K95" s="719"/>
      <c r="L95" s="719"/>
      <c r="M95" s="719"/>
      <c r="N95" s="719"/>
      <c r="O95" s="719"/>
      <c r="P95" s="719"/>
      <c r="Q95" s="4809"/>
      <c r="R95" s="4879"/>
      <c r="S95" s="2023"/>
      <c r="T95" s="719"/>
      <c r="V95" s="3202"/>
      <c r="X95" s="4862"/>
      <c r="AC95" s="4872"/>
      <c r="AD95" s="4872"/>
      <c r="AE95" s="4872"/>
      <c r="AF95" s="4871"/>
      <c r="AG95" s="4871"/>
      <c r="AH95" s="4872"/>
      <c r="AI95" s="4872"/>
      <c r="AJ95" s="4872"/>
      <c r="AK95" s="4872"/>
      <c r="AL95" s="4872"/>
      <c r="AM95" s="4872"/>
      <c r="AP95" s="4872"/>
      <c r="AQ95" s="4873"/>
      <c r="AR95" s="4874"/>
      <c r="AS95" s="4871"/>
      <c r="AT95" s="4872"/>
      <c r="AU95" s="4872"/>
      <c r="AV95" s="4872"/>
      <c r="AW95" s="4871"/>
      <c r="AX95" s="1326"/>
      <c r="BC95" s="4864"/>
      <c r="BD95" s="4864"/>
      <c r="BE95" s="4864"/>
      <c r="BF95" s="4864"/>
      <c r="BG95" s="1326"/>
    </row>
    <row r="96" spans="1:59">
      <c r="B96" s="4106"/>
      <c r="C96" s="4106"/>
      <c r="D96" s="719"/>
      <c r="E96" s="719"/>
      <c r="F96" s="719"/>
      <c r="G96" s="719"/>
      <c r="H96" s="719"/>
      <c r="I96" s="719"/>
      <c r="J96" s="719"/>
      <c r="K96" s="719"/>
      <c r="L96" s="719"/>
      <c r="M96" s="719"/>
      <c r="N96" s="719"/>
      <c r="O96" s="719"/>
      <c r="P96" s="719"/>
      <c r="Q96" s="4809"/>
      <c r="R96" s="4879"/>
      <c r="S96" s="2023"/>
      <c r="T96" s="719"/>
      <c r="V96" s="3202"/>
      <c r="X96" s="4862"/>
      <c r="AC96" s="4872"/>
      <c r="AD96" s="4872"/>
      <c r="AE96" s="4872"/>
      <c r="AF96" s="4871"/>
      <c r="AG96" s="4871"/>
      <c r="AH96" s="4872"/>
      <c r="AI96" s="4872"/>
      <c r="AJ96" s="4872"/>
      <c r="AK96" s="4872"/>
      <c r="AL96" s="4872"/>
      <c r="AM96" s="4872"/>
      <c r="AP96" s="4872"/>
      <c r="AQ96" s="4873"/>
      <c r="AR96" s="4874"/>
      <c r="AS96" s="4871"/>
      <c r="AT96" s="4872"/>
      <c r="AU96" s="4872"/>
      <c r="AV96" s="4872"/>
      <c r="AW96" s="4871"/>
      <c r="AX96" s="1326"/>
      <c r="BB96" s="4875"/>
      <c r="BC96" s="4875"/>
      <c r="BD96" s="4875"/>
      <c r="BE96" s="4875"/>
      <c r="BF96" s="4875"/>
      <c r="BG96" s="1326"/>
    </row>
    <row r="97" spans="2:59">
      <c r="B97" s="4106"/>
      <c r="C97" s="4106"/>
      <c r="D97" s="719"/>
      <c r="E97" s="719"/>
      <c r="F97" s="719"/>
      <c r="G97" s="719"/>
      <c r="H97" s="719"/>
      <c r="I97" s="719"/>
      <c r="J97" s="719"/>
      <c r="K97" s="719"/>
      <c r="L97" s="719"/>
      <c r="M97" s="719"/>
      <c r="N97" s="719"/>
      <c r="O97" s="719"/>
      <c r="P97" s="719"/>
      <c r="Q97" s="4809"/>
      <c r="R97" s="4879"/>
      <c r="S97" s="2023"/>
      <c r="T97" s="719"/>
      <c r="V97" s="3202"/>
      <c r="X97" s="4862"/>
      <c r="AC97" s="4872"/>
      <c r="AD97" s="4872"/>
      <c r="AE97" s="4872"/>
      <c r="AF97" s="4871"/>
      <c r="AG97" s="4871"/>
      <c r="AH97" s="4872"/>
      <c r="AI97" s="4872"/>
      <c r="AJ97" s="4872"/>
      <c r="AK97" s="4872"/>
      <c r="AL97" s="4872"/>
      <c r="AM97" s="4872"/>
      <c r="AP97" s="4872"/>
      <c r="AQ97" s="4873"/>
      <c r="AR97" s="4874"/>
      <c r="AS97" s="4871"/>
      <c r="AT97" s="4872"/>
      <c r="AU97" s="4872"/>
      <c r="AV97" s="4872"/>
      <c r="AW97" s="4871"/>
      <c r="AX97" s="1326"/>
      <c r="BB97" s="4864"/>
      <c r="BC97" s="4864"/>
      <c r="BD97" s="4864"/>
      <c r="BE97" s="4864"/>
      <c r="BF97" s="4864"/>
      <c r="BG97" s="1326"/>
    </row>
    <row r="98" spans="2:59">
      <c r="B98" s="4106"/>
      <c r="C98" s="4106"/>
      <c r="D98" s="719"/>
      <c r="E98" s="719"/>
      <c r="F98" s="719"/>
      <c r="G98" s="719"/>
      <c r="H98" s="719"/>
      <c r="I98" s="719"/>
      <c r="J98" s="719"/>
      <c r="K98" s="719"/>
      <c r="L98" s="719"/>
      <c r="M98" s="719"/>
      <c r="N98" s="719"/>
      <c r="O98" s="719"/>
      <c r="P98" s="719"/>
      <c r="Q98" s="4809"/>
      <c r="R98" s="4879"/>
      <c r="S98" s="2023"/>
      <c r="T98" s="719"/>
      <c r="V98" s="3202"/>
      <c r="X98" s="4862"/>
      <c r="AC98" s="4872"/>
      <c r="AD98" s="4872"/>
      <c r="AE98" s="4872"/>
      <c r="AF98" s="4871"/>
      <c r="AG98" s="4871"/>
      <c r="AH98" s="4872"/>
      <c r="AI98" s="4872"/>
      <c r="AJ98" s="4872"/>
      <c r="AK98" s="4872"/>
      <c r="AL98" s="4872"/>
      <c r="AM98" s="4872"/>
      <c r="AP98" s="4872"/>
      <c r="AQ98" s="4873"/>
      <c r="AR98" s="4874"/>
      <c r="AS98" s="4871"/>
      <c r="AT98" s="4872"/>
      <c r="AU98" s="4872"/>
      <c r="AV98" s="4872"/>
      <c r="AW98" s="4871"/>
      <c r="AX98" s="1326"/>
      <c r="BB98" s="4880"/>
      <c r="BC98" s="4880"/>
      <c r="BD98" s="4880"/>
      <c r="BE98" s="4880"/>
      <c r="BF98" s="4880"/>
      <c r="BG98" s="1326"/>
    </row>
    <row r="99" spans="2:59">
      <c r="B99" s="4106"/>
      <c r="C99" s="4106"/>
      <c r="D99" s="719"/>
      <c r="E99" s="719"/>
      <c r="F99" s="719"/>
      <c r="G99" s="719"/>
      <c r="H99" s="719"/>
      <c r="I99" s="719"/>
      <c r="J99" s="719"/>
      <c r="K99" s="719"/>
      <c r="L99" s="719"/>
      <c r="M99" s="719"/>
      <c r="N99" s="719"/>
      <c r="O99" s="719"/>
      <c r="P99" s="719"/>
      <c r="Q99" s="4809"/>
      <c r="R99" s="4879"/>
      <c r="S99" s="2023"/>
      <c r="T99" s="719"/>
      <c r="V99" s="3202"/>
      <c r="X99" s="4862"/>
      <c r="AC99" s="4872"/>
      <c r="AD99" s="4872"/>
      <c r="AE99" s="4872"/>
      <c r="AF99" s="4871"/>
      <c r="AG99" s="4871"/>
      <c r="AH99" s="4872"/>
      <c r="AI99" s="4872"/>
      <c r="AJ99" s="4872"/>
      <c r="AK99" s="4872"/>
      <c r="AL99" s="4872"/>
      <c r="AM99" s="4872"/>
      <c r="AP99" s="4872"/>
      <c r="AQ99" s="4873"/>
      <c r="AR99" s="4874"/>
      <c r="AS99" s="4871"/>
      <c r="AT99" s="4872"/>
      <c r="AU99" s="4872"/>
      <c r="AV99" s="4872"/>
      <c r="AW99" s="4871"/>
      <c r="AX99" s="1326"/>
      <c r="BB99" s="4875"/>
      <c r="BC99" s="4875"/>
      <c r="BD99" s="4875"/>
      <c r="BE99" s="4875"/>
      <c r="BF99" s="4875"/>
      <c r="BG99" s="1326"/>
    </row>
    <row r="100" spans="2:59">
      <c r="B100" s="4106"/>
      <c r="C100" s="4106"/>
      <c r="D100" s="719"/>
      <c r="E100" s="719"/>
      <c r="F100" s="719"/>
      <c r="G100" s="719"/>
      <c r="H100" s="719"/>
      <c r="I100" s="719"/>
      <c r="J100" s="719"/>
      <c r="K100" s="719"/>
      <c r="L100" s="719"/>
      <c r="M100" s="719"/>
      <c r="N100" s="719"/>
      <c r="O100" s="719"/>
      <c r="P100" s="719"/>
      <c r="Q100" s="4809"/>
      <c r="R100" s="4879"/>
      <c r="S100" s="2023"/>
      <c r="T100" s="719"/>
      <c r="V100" s="3202"/>
      <c r="X100" s="4862"/>
      <c r="AC100" s="4872"/>
      <c r="AD100" s="4872"/>
      <c r="AE100" s="4872"/>
      <c r="AF100" s="4871"/>
      <c r="AG100" s="4871"/>
      <c r="AH100" s="4872"/>
      <c r="AI100" s="4872"/>
      <c r="AJ100" s="4872"/>
      <c r="AK100" s="4872"/>
      <c r="AL100" s="4872"/>
      <c r="AM100" s="4872"/>
      <c r="AP100" s="4872"/>
      <c r="AQ100" s="4873"/>
      <c r="AR100" s="4874"/>
      <c r="AS100" s="4871"/>
      <c r="AT100" s="4872"/>
      <c r="AU100" s="4872"/>
      <c r="AV100" s="4872"/>
      <c r="AW100" s="1326"/>
      <c r="AX100" s="1326"/>
      <c r="BC100" s="4864"/>
      <c r="BD100" s="4864"/>
      <c r="BE100" s="4864"/>
      <c r="BF100" s="4864"/>
      <c r="BG100" s="1326"/>
    </row>
    <row r="101" spans="2:59">
      <c r="B101" s="4106"/>
      <c r="C101" s="4106"/>
      <c r="D101" s="719"/>
      <c r="E101" s="719"/>
      <c r="F101" s="719"/>
      <c r="G101" s="719"/>
      <c r="H101" s="719"/>
      <c r="I101" s="719"/>
      <c r="J101" s="719"/>
      <c r="K101" s="719"/>
      <c r="L101" s="719"/>
      <c r="M101" s="719"/>
      <c r="N101" s="719"/>
      <c r="O101" s="719"/>
      <c r="P101" s="719"/>
      <c r="Q101" s="4809"/>
      <c r="R101" s="4879"/>
      <c r="S101" s="2023"/>
      <c r="T101" s="719"/>
      <c r="V101" s="3202"/>
      <c r="X101" s="4862"/>
      <c r="AC101" s="4872"/>
      <c r="AD101" s="4872"/>
      <c r="AE101" s="4872"/>
      <c r="AF101" s="4871"/>
      <c r="AG101" s="4871"/>
      <c r="AH101" s="4872"/>
      <c r="AI101" s="4872"/>
      <c r="AJ101" s="4872"/>
      <c r="AK101" s="4872"/>
      <c r="AL101" s="4872"/>
      <c r="AM101" s="4872"/>
      <c r="AP101" s="4872"/>
      <c r="AQ101" s="4873"/>
      <c r="AR101" s="4874"/>
      <c r="AS101" s="4871"/>
      <c r="AT101" s="4872"/>
      <c r="AU101" s="4872"/>
      <c r="AV101" s="4872"/>
      <c r="AW101" s="719"/>
      <c r="AX101" s="1326"/>
      <c r="BC101" s="4864"/>
      <c r="BD101" s="4864"/>
      <c r="BE101" s="4864"/>
      <c r="BF101" s="4864"/>
      <c r="BG101" s="1326"/>
    </row>
    <row r="102" spans="2:59">
      <c r="AW102" s="4818"/>
      <c r="AY102" s="4864"/>
      <c r="AZ102" s="4875"/>
      <c r="BB102" s="4864"/>
      <c r="BC102" s="4864"/>
      <c r="BD102" s="4864"/>
      <c r="BE102" s="4864"/>
      <c r="BF102" s="4864"/>
    </row>
    <row r="103" spans="2:59">
      <c r="AW103" s="4818"/>
      <c r="AY103" s="4864"/>
      <c r="AZ103" s="4875"/>
      <c r="BB103" s="4864"/>
      <c r="BC103" s="4864"/>
      <c r="BD103" s="4864"/>
      <c r="BE103" s="4864"/>
      <c r="BF103" s="4864"/>
    </row>
    <row r="104" spans="2:59">
      <c r="AW104" s="4818"/>
      <c r="AY104" s="4864"/>
      <c r="AZ104" s="4875"/>
      <c r="BB104" s="4864"/>
      <c r="BC104" s="4864"/>
      <c r="BD104" s="4864"/>
      <c r="BE104" s="4864"/>
      <c r="BF104" s="4864"/>
    </row>
    <row r="105" spans="2:59">
      <c r="AW105" s="4818"/>
      <c r="AY105" s="4864"/>
      <c r="AZ105" s="4875"/>
      <c r="BB105" s="4864"/>
      <c r="BC105" s="4864"/>
      <c r="BD105" s="4864"/>
      <c r="BE105" s="4864"/>
      <c r="BF105" s="4864"/>
    </row>
    <row r="106" spans="2:59">
      <c r="AW106" s="4818"/>
      <c r="AY106" s="4867"/>
      <c r="AZ106" s="4882"/>
      <c r="BB106" s="4867"/>
      <c r="BC106" s="4867"/>
      <c r="BD106" s="4867"/>
      <c r="BE106" s="4867"/>
      <c r="BF106" s="4867"/>
    </row>
    <row r="107" spans="2:59">
      <c r="BB107" s="4826"/>
      <c r="BC107" s="4826"/>
      <c r="BD107" s="4826"/>
      <c r="BE107" s="4826"/>
      <c r="BF107" s="4826"/>
    </row>
    <row r="109" spans="2:59">
      <c r="AW109" s="719"/>
    </row>
    <row r="110" spans="2:59">
      <c r="AW110" s="4818"/>
      <c r="AY110" s="4864"/>
      <c r="AZ110" s="4875"/>
    </row>
    <row r="111" spans="2:59">
      <c r="AW111" s="4818"/>
      <c r="AY111" s="4864"/>
      <c r="AZ111" s="4875"/>
      <c r="BB111" s="4864"/>
      <c r="BC111" s="4864"/>
      <c r="BD111" s="4864"/>
      <c r="BE111" s="4864"/>
      <c r="BF111" s="4864"/>
    </row>
    <row r="112" spans="2:59">
      <c r="AW112" s="4818"/>
      <c r="AY112" s="4864"/>
      <c r="AZ112" s="4875"/>
      <c r="BB112" s="4864"/>
      <c r="BC112" s="4864"/>
      <c r="BD112" s="4864"/>
      <c r="BE112" s="4864"/>
      <c r="BF112" s="4864"/>
    </row>
    <row r="113" spans="49:58">
      <c r="AW113" s="4818"/>
      <c r="AY113" s="4864"/>
      <c r="AZ113" s="4875"/>
      <c r="BB113" s="4864"/>
      <c r="BC113" s="4864"/>
      <c r="BD113" s="4864"/>
      <c r="BE113" s="4864"/>
      <c r="BF113" s="4864"/>
    </row>
    <row r="114" spans="49:58">
      <c r="AW114" s="4818"/>
      <c r="AY114" s="4867"/>
      <c r="BB114" s="4867"/>
      <c r="BC114" s="4867"/>
      <c r="BD114" s="4867"/>
      <c r="BE114" s="4867"/>
      <c r="BF114" s="4867"/>
    </row>
    <row r="115" spans="49:58">
      <c r="BB115" s="4826"/>
      <c r="BC115" s="4826"/>
      <c r="BD115" s="4826"/>
      <c r="BE115" s="4826"/>
      <c r="BF115" s="4826"/>
    </row>
    <row r="116" spans="49:58">
      <c r="AW116" s="4818"/>
      <c r="BB116" s="4818"/>
      <c r="BC116" s="4818"/>
      <c r="BD116" s="4818"/>
      <c r="BE116" s="4818"/>
      <c r="BF116" s="4818"/>
    </row>
    <row r="117" spans="49:58">
      <c r="AW117" s="4818"/>
      <c r="BB117" s="4880"/>
      <c r="BC117" s="4880"/>
      <c r="BD117" s="4880"/>
      <c r="BE117" s="4880"/>
      <c r="BF117" s="4880"/>
    </row>
    <row r="118" spans="49:58">
      <c r="AW118" s="4818"/>
      <c r="AY118" s="4875"/>
      <c r="BB118" s="4875"/>
      <c r="BC118" s="4875"/>
      <c r="BD118" s="4875"/>
      <c r="BE118" s="4875"/>
      <c r="BF118" s="4875"/>
    </row>
    <row r="119" spans="49:58">
      <c r="AW119" s="4818"/>
      <c r="AY119" s="4875"/>
      <c r="BB119" s="4875"/>
      <c r="BC119" s="4875"/>
      <c r="BD119" s="4875"/>
      <c r="BE119" s="4875"/>
      <c r="BF119" s="4875"/>
    </row>
    <row r="120" spans="49:58">
      <c r="AW120" s="4818"/>
      <c r="AY120" s="4875"/>
      <c r="BB120" s="4875"/>
      <c r="BC120" s="4875"/>
      <c r="BD120" s="4875"/>
      <c r="BE120" s="4875"/>
      <c r="BF120" s="4875"/>
    </row>
    <row r="121" spans="49:58">
      <c r="AW121" s="4818"/>
      <c r="AY121" s="4875"/>
      <c r="BB121" s="4875"/>
      <c r="BC121" s="4875"/>
      <c r="BD121" s="4875"/>
      <c r="BE121" s="4875"/>
      <c r="BF121" s="4875"/>
    </row>
    <row r="122" spans="49:58">
      <c r="AW122" s="4818"/>
      <c r="AY122" s="4875"/>
      <c r="BB122" s="4875"/>
      <c r="BC122" s="4875"/>
      <c r="BD122" s="4875"/>
      <c r="BE122" s="4875"/>
      <c r="BF122" s="4875"/>
    </row>
    <row r="128" spans="49:58">
      <c r="BB128" s="4883"/>
      <c r="BC128" s="4883"/>
      <c r="BD128" s="4883"/>
      <c r="BE128" s="4883"/>
      <c r="BF128" s="4883"/>
    </row>
    <row r="129" spans="48:58">
      <c r="AY129" s="4821"/>
      <c r="AZ129" s="4821"/>
      <c r="BA129" s="4821"/>
      <c r="BB129" s="4820"/>
      <c r="BC129" s="4820"/>
      <c r="BD129" s="4820"/>
      <c r="BE129" s="4820"/>
      <c r="BF129" s="4820"/>
    </row>
    <row r="130" spans="48:58">
      <c r="AW130" s="4818"/>
      <c r="AY130" s="4884"/>
    </row>
    <row r="131" spans="48:58">
      <c r="AW131" s="4818"/>
    </row>
    <row r="132" spans="48:58">
      <c r="AW132" s="4818"/>
    </row>
    <row r="133" spans="48:58">
      <c r="AW133" s="4818"/>
      <c r="BA133" s="4884"/>
    </row>
    <row r="135" spans="48:58">
      <c r="BB135" s="4885"/>
      <c r="BC135" s="4885"/>
      <c r="BD135" s="4885"/>
      <c r="BE135" s="4885"/>
      <c r="BF135" s="4885"/>
    </row>
    <row r="136" spans="48:58">
      <c r="BB136" s="4885"/>
      <c r="BC136" s="4885"/>
      <c r="BD136" s="4885"/>
      <c r="BE136" s="4885"/>
      <c r="BF136" s="4885"/>
    </row>
    <row r="137" spans="48:58">
      <c r="BB137" s="4885"/>
      <c r="BC137" s="4885"/>
      <c r="BD137" s="4885"/>
      <c r="BE137" s="4885"/>
      <c r="BF137" s="4885"/>
    </row>
    <row r="138" spans="48:58">
      <c r="BB138" s="4885"/>
      <c r="BC138" s="4885"/>
      <c r="BD138" s="4885"/>
      <c r="BE138" s="4885"/>
      <c r="BF138" s="4885"/>
    </row>
    <row r="140" spans="48:58">
      <c r="AV140" s="719"/>
    </row>
    <row r="141" spans="48:58">
      <c r="AV141" s="719"/>
    </row>
    <row r="142" spans="48:58">
      <c r="AV142" s="719"/>
    </row>
    <row r="144" spans="48:58">
      <c r="BB144" s="4885"/>
      <c r="BC144" s="4885"/>
      <c r="BD144" s="4885"/>
      <c r="BE144" s="4885"/>
      <c r="BF144" s="4885"/>
    </row>
    <row r="145" spans="48:58">
      <c r="BB145" s="4885"/>
      <c r="BC145" s="4885"/>
      <c r="BD145" s="4885"/>
      <c r="BE145" s="4885"/>
      <c r="BF145" s="4885"/>
    </row>
    <row r="146" spans="48:58">
      <c r="BB146" s="4885"/>
      <c r="BC146" s="4885"/>
      <c r="BD146" s="4885"/>
      <c r="BE146" s="4885"/>
      <c r="BF146" s="4885"/>
    </row>
    <row r="148" spans="48:58">
      <c r="AV148" s="4881"/>
    </row>
  </sheetData>
  <conditionalFormatting sqref="M18">
    <cfRule type="cellIs" priority="4" operator="notEqual">
      <formula>$M$18</formula>
    </cfRule>
  </conditionalFormatting>
  <conditionalFormatting sqref="M25:M26">
    <cfRule type="cellIs" priority="3" operator="notEqual">
      <formula>$M$18</formula>
    </cfRule>
  </conditionalFormatting>
  <conditionalFormatting sqref="BB128:BF128">
    <cfRule type="cellIs" dxfId="32" priority="1" operator="greaterThan">
      <formula>0.025</formula>
    </cfRule>
  </conditionalFormatting>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AI228"/>
  <sheetViews>
    <sheetView workbookViewId="0">
      <selection sqref="A1:XFD1048576"/>
    </sheetView>
  </sheetViews>
  <sheetFormatPr defaultColWidth="9.109375" defaultRowHeight="12"/>
  <cols>
    <col min="1" max="1" width="5.88671875" style="2047" customWidth="1"/>
    <col min="2" max="2" width="47.33203125" style="4797" customWidth="1"/>
    <col min="3" max="3" width="10.6640625" style="2047" customWidth="1"/>
    <col min="4" max="15" width="8.6640625" style="2047" customWidth="1"/>
    <col min="16" max="16" width="11.44140625" style="2047" customWidth="1"/>
    <col min="17" max="22" width="6.6640625" style="2047" customWidth="1"/>
    <col min="23" max="23" width="2.33203125" style="2047" customWidth="1"/>
    <col min="24" max="16384" width="9.109375" style="2047"/>
  </cols>
  <sheetData>
    <row r="1" spans="1:35" ht="16.2">
      <c r="A1" s="4547"/>
      <c r="B1" s="4547"/>
      <c r="C1" s="4761"/>
      <c r="D1" s="4761"/>
      <c r="K1" s="4762"/>
      <c r="L1" s="4762"/>
      <c r="M1" s="4762"/>
      <c r="N1" s="3266"/>
      <c r="O1" s="3266"/>
      <c r="P1" s="3182"/>
      <c r="Q1" s="4762"/>
      <c r="T1" s="3266"/>
      <c r="U1" s="3266"/>
      <c r="V1" s="3266"/>
    </row>
    <row r="2" spans="1:35" s="3845" customFormat="1" ht="19.5" customHeight="1">
      <c r="A2" s="4763"/>
      <c r="B2" s="4763"/>
      <c r="C2" s="4763"/>
      <c r="D2" s="4763"/>
      <c r="E2" s="4763"/>
      <c r="F2" s="4763"/>
      <c r="G2" s="4763"/>
      <c r="H2" s="4763"/>
      <c r="I2" s="4763"/>
      <c r="J2" s="4763"/>
      <c r="K2" s="4763"/>
      <c r="L2" s="4763"/>
      <c r="M2" s="4763"/>
      <c r="N2" s="4763"/>
      <c r="O2" s="4763"/>
      <c r="P2" s="4763"/>
      <c r="Q2" s="4763"/>
      <c r="R2" s="4763"/>
      <c r="S2" s="4763"/>
      <c r="T2" s="4763"/>
      <c r="U2" s="4763"/>
      <c r="V2" s="4763"/>
    </row>
    <row r="3" spans="1:35" s="3845" customFormat="1" ht="19.5" customHeight="1">
      <c r="A3" s="4763"/>
      <c r="B3" s="4763"/>
      <c r="C3" s="4763"/>
      <c r="D3" s="4763"/>
      <c r="E3" s="4763"/>
      <c r="F3" s="4763"/>
      <c r="G3" s="4763"/>
      <c r="H3" s="4763"/>
      <c r="I3" s="4763"/>
      <c r="J3" s="4763"/>
      <c r="K3" s="4763"/>
      <c r="L3" s="4763"/>
      <c r="M3" s="4763"/>
      <c r="N3" s="4763"/>
      <c r="O3" s="4763"/>
      <c r="P3" s="4763"/>
      <c r="Q3" s="4763"/>
      <c r="R3" s="4763"/>
      <c r="S3" s="4763"/>
      <c r="T3" s="4763"/>
      <c r="U3" s="4763"/>
      <c r="V3" s="4763"/>
    </row>
    <row r="4" spans="1:35" s="3845" customFormat="1" ht="15.75" customHeight="1">
      <c r="A4" s="4764"/>
      <c r="B4" s="4764"/>
      <c r="C4" s="4764"/>
      <c r="D4" s="4764"/>
      <c r="E4" s="4764"/>
      <c r="F4" s="4764"/>
      <c r="G4" s="4764"/>
      <c r="H4" s="4764"/>
      <c r="I4" s="4764"/>
      <c r="J4" s="4764"/>
      <c r="K4" s="4764"/>
      <c r="L4" s="4764"/>
      <c r="M4" s="4764"/>
      <c r="N4" s="4764"/>
      <c r="O4" s="4764"/>
      <c r="P4" s="4764"/>
      <c r="Q4" s="4764"/>
      <c r="R4" s="4764"/>
      <c r="S4" s="4764"/>
      <c r="T4" s="4764"/>
      <c r="U4" s="4764"/>
      <c r="V4" s="4764"/>
    </row>
    <row r="5" spans="1:35" s="3845" customFormat="1" ht="19.5" customHeight="1">
      <c r="A5" s="4764"/>
      <c r="B5" s="4764"/>
      <c r="C5" s="4764"/>
      <c r="D5" s="4764"/>
      <c r="E5" s="4764"/>
      <c r="F5" s="4764"/>
      <c r="G5" s="4764"/>
      <c r="H5" s="4764"/>
      <c r="I5" s="4764"/>
      <c r="J5" s="4764"/>
      <c r="K5" s="4764"/>
      <c r="L5" s="4764"/>
      <c r="M5" s="4764"/>
      <c r="N5" s="4764"/>
      <c r="O5" s="4764"/>
      <c r="P5" s="4764"/>
      <c r="Q5" s="4764"/>
      <c r="R5" s="4764"/>
      <c r="S5" s="4764"/>
      <c r="T5" s="4764"/>
      <c r="U5" s="4764"/>
      <c r="V5" s="4764"/>
    </row>
    <row r="6" spans="1:35">
      <c r="A6" s="139"/>
      <c r="B6" s="139"/>
      <c r="C6" s="139"/>
      <c r="D6" s="139"/>
      <c r="E6" s="139"/>
      <c r="F6" s="139"/>
      <c r="G6" s="139"/>
      <c r="H6" s="139"/>
      <c r="I6" s="139"/>
      <c r="J6" s="139"/>
      <c r="K6" s="2052"/>
      <c r="L6" s="2052"/>
      <c r="M6" s="2052"/>
      <c r="N6" s="2052"/>
      <c r="O6" s="2052"/>
      <c r="P6" s="2052"/>
      <c r="Q6" s="2052"/>
    </row>
    <row r="7" spans="1:35" ht="18.75" customHeight="1">
      <c r="A7" s="4765"/>
      <c r="B7" s="4765"/>
      <c r="C7" s="4766"/>
      <c r="D7" s="139"/>
      <c r="E7" s="139"/>
      <c r="F7" s="139"/>
      <c r="G7" s="139"/>
      <c r="H7" s="139"/>
      <c r="I7" s="139"/>
      <c r="J7" s="4765"/>
      <c r="K7" s="4765"/>
      <c r="L7" s="4765"/>
      <c r="M7" s="4765"/>
      <c r="N7" s="4765"/>
      <c r="O7" s="4765"/>
      <c r="P7" s="4765"/>
      <c r="Q7" s="4765"/>
      <c r="R7" s="4765"/>
      <c r="S7" s="4765"/>
      <c r="T7" s="4765"/>
      <c r="U7" s="4765"/>
      <c r="V7" s="4765"/>
      <c r="W7" s="1"/>
      <c r="X7" s="4765"/>
      <c r="Y7" s="4765"/>
      <c r="Z7" s="4765"/>
      <c r="AA7" s="4765"/>
      <c r="AB7" s="4765"/>
      <c r="AC7" s="4765"/>
      <c r="AD7" s="4765"/>
      <c r="AE7" s="4765"/>
      <c r="AF7" s="4765"/>
      <c r="AG7" s="4765"/>
      <c r="AH7" s="4765"/>
      <c r="AI7" s="4765"/>
    </row>
    <row r="8" spans="1:35" ht="21" customHeight="1">
      <c r="A8" s="4765"/>
      <c r="B8" s="4765"/>
      <c r="C8" s="4766"/>
      <c r="D8" s="4767"/>
      <c r="E8" s="4767"/>
      <c r="F8" s="4767"/>
      <c r="G8" s="4767"/>
      <c r="H8" s="4767"/>
      <c r="I8" s="4767"/>
      <c r="J8" s="2052"/>
      <c r="K8" s="2052"/>
      <c r="L8" s="2052"/>
      <c r="M8" s="2052"/>
      <c r="N8" s="2052"/>
      <c r="O8" s="2052"/>
      <c r="P8" s="4765"/>
      <c r="Q8" s="2052"/>
      <c r="R8" s="2052"/>
      <c r="S8" s="2052"/>
      <c r="T8" s="2052"/>
      <c r="U8" s="2052"/>
      <c r="V8" s="2052"/>
      <c r="W8" s="1"/>
      <c r="X8" s="2052"/>
      <c r="Y8" s="2052"/>
      <c r="Z8" s="2052"/>
      <c r="AA8" s="2052"/>
      <c r="AB8" s="2052"/>
      <c r="AC8" s="2052"/>
      <c r="AD8" s="2052"/>
      <c r="AE8" s="2052"/>
      <c r="AF8" s="2052"/>
      <c r="AG8" s="2052"/>
      <c r="AH8" s="2052"/>
      <c r="AI8" s="2052"/>
    </row>
    <row r="9" spans="1:35" ht="21" customHeight="1">
      <c r="A9" s="4767"/>
      <c r="B9" s="4765"/>
      <c r="C9" s="4765"/>
      <c r="D9" s="4765"/>
      <c r="E9" s="4765"/>
      <c r="F9" s="4765"/>
      <c r="G9" s="4765"/>
      <c r="H9" s="4765"/>
      <c r="I9" s="4765"/>
      <c r="J9" s="4765"/>
      <c r="K9" s="4765"/>
      <c r="L9" s="4765"/>
      <c r="M9" s="4765"/>
      <c r="N9" s="4765"/>
      <c r="O9" s="4765"/>
      <c r="P9" s="4765"/>
      <c r="Q9" s="4765"/>
      <c r="R9" s="4765"/>
      <c r="S9" s="4765"/>
      <c r="T9" s="4765"/>
      <c r="U9" s="4765"/>
      <c r="V9" s="4765"/>
      <c r="W9" s="1"/>
    </row>
    <row r="10" spans="1:35" ht="13.2">
      <c r="A10" s="2049"/>
      <c r="B10" s="4768"/>
      <c r="C10" s="2054"/>
      <c r="D10" s="4769"/>
      <c r="E10" s="4769"/>
      <c r="F10" s="4769"/>
      <c r="G10" s="4769"/>
      <c r="H10" s="4769"/>
      <c r="I10" s="4769"/>
      <c r="J10" s="4769"/>
      <c r="K10" s="4769"/>
      <c r="L10" s="4769"/>
      <c r="M10" s="4769"/>
      <c r="N10" s="4769"/>
      <c r="O10" s="4769"/>
      <c r="P10" s="4770"/>
      <c r="Q10" s="2054"/>
      <c r="R10" s="2049"/>
      <c r="S10" s="2049"/>
      <c r="T10" s="2049"/>
      <c r="U10" s="2049"/>
      <c r="V10" s="2049"/>
      <c r="W10" s="1"/>
      <c r="X10" s="4771"/>
      <c r="Y10" s="4771"/>
      <c r="Z10" s="4771"/>
      <c r="AA10" s="4771"/>
      <c r="AB10" s="4771"/>
      <c r="AC10" s="4771"/>
      <c r="AD10" s="4771"/>
      <c r="AE10" s="4771"/>
      <c r="AF10" s="4771"/>
      <c r="AG10" s="4771"/>
      <c r="AH10" s="4771"/>
      <c r="AI10" s="4771"/>
    </row>
    <row r="11" spans="1:35" ht="13.2">
      <c r="A11" s="2049"/>
      <c r="B11" s="4768"/>
      <c r="C11" s="2054"/>
      <c r="D11" s="4769"/>
      <c r="E11" s="4769"/>
      <c r="F11" s="4769"/>
      <c r="G11" s="4769"/>
      <c r="H11" s="4769"/>
      <c r="I11" s="4769"/>
      <c r="J11" s="4769"/>
      <c r="K11" s="4769"/>
      <c r="L11" s="4769"/>
      <c r="M11" s="4769"/>
      <c r="N11" s="4769"/>
      <c r="O11" s="4769"/>
      <c r="P11" s="4770"/>
      <c r="Q11" s="2054"/>
      <c r="R11" s="2049"/>
      <c r="S11" s="2049"/>
      <c r="T11" s="2049"/>
      <c r="U11" s="2049"/>
      <c r="V11" s="2049"/>
      <c r="W11" s="1"/>
      <c r="X11" s="4771"/>
      <c r="Y11" s="4771"/>
      <c r="Z11" s="4771"/>
      <c r="AA11" s="4771"/>
      <c r="AB11" s="4771"/>
      <c r="AC11" s="4771"/>
      <c r="AD11" s="4771"/>
      <c r="AE11" s="4771"/>
      <c r="AF11" s="4771"/>
      <c r="AG11" s="4771"/>
      <c r="AH11" s="4771"/>
      <c r="AI11" s="4771"/>
    </row>
    <row r="12" spans="1:35" ht="13.2">
      <c r="A12" s="2049"/>
      <c r="B12" s="4768"/>
      <c r="C12" s="2054"/>
      <c r="D12" s="4769"/>
      <c r="E12" s="4769"/>
      <c r="F12" s="4769"/>
      <c r="G12" s="4769"/>
      <c r="H12" s="4769"/>
      <c r="I12" s="4769"/>
      <c r="J12" s="4769"/>
      <c r="K12" s="4769"/>
      <c r="L12" s="4769"/>
      <c r="M12" s="4769"/>
      <c r="N12" s="4769"/>
      <c r="O12" s="4769"/>
      <c r="P12" s="4770"/>
      <c r="Q12" s="2054"/>
      <c r="R12" s="2049"/>
      <c r="S12" s="2049"/>
      <c r="T12" s="2049"/>
      <c r="U12" s="2049"/>
      <c r="V12" s="2049"/>
      <c r="W12" s="1"/>
      <c r="X12" s="4771"/>
      <c r="Y12" s="4771"/>
      <c r="Z12" s="4771"/>
      <c r="AA12" s="4771"/>
      <c r="AB12" s="4771"/>
      <c r="AC12" s="4771"/>
      <c r="AD12" s="4771"/>
      <c r="AE12" s="4771"/>
      <c r="AF12" s="4771"/>
      <c r="AG12" s="4771"/>
      <c r="AH12" s="4771"/>
      <c r="AI12" s="4771"/>
    </row>
    <row r="13" spans="1:35" ht="13.2">
      <c r="A13" s="2049"/>
      <c r="B13" s="4768"/>
      <c r="C13" s="2054"/>
      <c r="D13" s="4769"/>
      <c r="E13" s="4769"/>
      <c r="F13" s="4769"/>
      <c r="G13" s="4769"/>
      <c r="H13" s="4769"/>
      <c r="I13" s="4769"/>
      <c r="J13" s="4769"/>
      <c r="K13" s="4769"/>
      <c r="L13" s="4769"/>
      <c r="M13" s="4769"/>
      <c r="N13" s="4769"/>
      <c r="O13" s="4769"/>
      <c r="P13" s="4770"/>
      <c r="Q13" s="2054"/>
      <c r="R13" s="2049"/>
      <c r="S13" s="2049"/>
      <c r="T13" s="2049"/>
      <c r="U13" s="2049"/>
      <c r="V13" s="2049"/>
      <c r="W13" s="1"/>
      <c r="X13" s="4771"/>
      <c r="Y13" s="4771"/>
      <c r="Z13" s="4771"/>
      <c r="AA13" s="4771"/>
      <c r="AB13" s="4771"/>
      <c r="AC13" s="4771"/>
      <c r="AD13" s="4771"/>
      <c r="AE13" s="4771"/>
      <c r="AF13" s="4771"/>
      <c r="AG13" s="4771"/>
      <c r="AH13" s="4771"/>
      <c r="AI13" s="4771"/>
    </row>
    <row r="14" spans="1:35" ht="13.2">
      <c r="A14" s="2049"/>
      <c r="B14" s="4768"/>
      <c r="C14" s="2054"/>
      <c r="D14" s="4769"/>
      <c r="E14" s="4769"/>
      <c r="F14" s="4769"/>
      <c r="G14" s="4769"/>
      <c r="H14" s="4769"/>
      <c r="I14" s="4769"/>
      <c r="J14" s="4769"/>
      <c r="K14" s="4769"/>
      <c r="L14" s="4769"/>
      <c r="M14" s="4769"/>
      <c r="N14" s="4769"/>
      <c r="O14" s="4769"/>
      <c r="P14" s="4770"/>
      <c r="Q14" s="2054"/>
      <c r="R14" s="2049"/>
      <c r="S14" s="2049"/>
      <c r="T14" s="2049"/>
      <c r="U14" s="2049"/>
      <c r="V14" s="2049"/>
      <c r="W14" s="1"/>
      <c r="X14" s="4771"/>
      <c r="Y14" s="4771"/>
      <c r="Z14" s="4771"/>
      <c r="AA14" s="4771"/>
      <c r="AB14" s="4771"/>
      <c r="AC14" s="4771"/>
      <c r="AD14" s="4771"/>
      <c r="AE14" s="4771"/>
      <c r="AF14" s="4771"/>
      <c r="AG14" s="4771"/>
      <c r="AH14" s="4771"/>
      <c r="AI14" s="4771"/>
    </row>
    <row r="15" spans="1:35" ht="13.2">
      <c r="A15" s="2049"/>
      <c r="B15" s="4768"/>
      <c r="C15" s="2054"/>
      <c r="D15" s="4769"/>
      <c r="E15" s="4769"/>
      <c r="F15" s="4769"/>
      <c r="G15" s="4769"/>
      <c r="H15" s="4769"/>
      <c r="I15" s="4769"/>
      <c r="J15" s="4769"/>
      <c r="K15" s="4769"/>
      <c r="L15" s="4769"/>
      <c r="M15" s="4769"/>
      <c r="N15" s="4769"/>
      <c r="O15" s="4769"/>
      <c r="P15" s="4770"/>
      <c r="Q15" s="2054"/>
      <c r="R15" s="2049"/>
      <c r="S15" s="2049"/>
      <c r="T15" s="2049"/>
      <c r="U15" s="2049"/>
      <c r="V15" s="2049"/>
      <c r="W15" s="1"/>
      <c r="X15" s="4771"/>
      <c r="Y15" s="4771"/>
      <c r="Z15" s="4771"/>
      <c r="AA15" s="4771"/>
      <c r="AB15" s="4771"/>
      <c r="AC15" s="4771"/>
      <c r="AD15" s="4771"/>
      <c r="AE15" s="4771"/>
      <c r="AF15" s="4771"/>
      <c r="AG15" s="4771"/>
      <c r="AH15" s="4771"/>
      <c r="AI15" s="4771"/>
    </row>
    <row r="16" spans="1:35" ht="13.2">
      <c r="A16" s="2049"/>
      <c r="B16" s="4768"/>
      <c r="C16" s="2054"/>
      <c r="D16" s="4769"/>
      <c r="E16" s="4769"/>
      <c r="F16" s="4769"/>
      <c r="G16" s="4769"/>
      <c r="H16" s="4769"/>
      <c r="I16" s="4769"/>
      <c r="J16" s="4769"/>
      <c r="K16" s="4769"/>
      <c r="L16" s="4769"/>
      <c r="M16" s="4769"/>
      <c r="N16" s="4769"/>
      <c r="O16" s="4769"/>
      <c r="P16" s="4770"/>
      <c r="Q16" s="2054"/>
      <c r="R16" s="2049"/>
      <c r="S16" s="2049"/>
      <c r="T16" s="2049"/>
      <c r="U16" s="2049"/>
      <c r="V16" s="2049"/>
      <c r="W16" s="1"/>
      <c r="X16" s="4771"/>
      <c r="Y16" s="4771"/>
      <c r="Z16" s="4771"/>
      <c r="AA16" s="4771"/>
      <c r="AB16" s="4771"/>
      <c r="AC16" s="4771"/>
      <c r="AD16" s="4771"/>
      <c r="AE16" s="4771"/>
      <c r="AF16" s="4771"/>
      <c r="AG16" s="4771"/>
      <c r="AH16" s="4771"/>
      <c r="AI16" s="4771"/>
    </row>
    <row r="17" spans="1:35" ht="23.25" customHeight="1">
      <c r="A17" s="2049"/>
      <c r="B17" s="4768"/>
      <c r="C17" s="2054"/>
      <c r="D17" s="4769"/>
      <c r="E17" s="4769"/>
      <c r="F17" s="4769"/>
      <c r="G17" s="4769"/>
      <c r="H17" s="4769"/>
      <c r="I17" s="4769"/>
      <c r="J17" s="4769"/>
      <c r="K17" s="4769"/>
      <c r="L17" s="4769"/>
      <c r="M17" s="4769"/>
      <c r="N17" s="4769"/>
      <c r="O17" s="4769"/>
      <c r="P17" s="4770"/>
      <c r="Q17" s="2054"/>
      <c r="R17" s="2049"/>
      <c r="S17" s="2049"/>
      <c r="T17" s="2049"/>
      <c r="U17" s="2049"/>
      <c r="V17" s="2049"/>
      <c r="W17" s="1"/>
      <c r="X17" s="4771"/>
      <c r="Y17" s="4771"/>
      <c r="Z17" s="4771"/>
      <c r="AA17" s="4771"/>
      <c r="AB17" s="4771"/>
      <c r="AC17" s="4771"/>
      <c r="AD17" s="4771"/>
      <c r="AE17" s="4771"/>
      <c r="AF17" s="4771"/>
      <c r="AG17" s="4771"/>
      <c r="AH17" s="4771"/>
      <c r="AI17" s="4771"/>
    </row>
    <row r="18" spans="1:35" ht="13.2">
      <c r="A18" s="2049"/>
      <c r="B18" s="4768"/>
      <c r="C18" s="2054"/>
      <c r="D18" s="4769"/>
      <c r="E18" s="4769"/>
      <c r="F18" s="4769"/>
      <c r="G18" s="4769"/>
      <c r="H18" s="4769"/>
      <c r="I18" s="4769"/>
      <c r="J18" s="4769"/>
      <c r="K18" s="4769"/>
      <c r="L18" s="4769"/>
      <c r="M18" s="4769"/>
      <c r="N18" s="4769"/>
      <c r="O18" s="4769"/>
      <c r="P18" s="4770"/>
      <c r="Q18" s="2054"/>
      <c r="R18" s="2049"/>
      <c r="S18" s="2049"/>
      <c r="T18" s="2049"/>
      <c r="U18" s="2049"/>
      <c r="V18" s="2049"/>
      <c r="W18" s="1"/>
      <c r="X18" s="4771"/>
      <c r="Y18" s="4771"/>
      <c r="Z18" s="4771"/>
      <c r="AA18" s="4771"/>
      <c r="AB18" s="4771"/>
      <c r="AC18" s="4771"/>
      <c r="AD18" s="4771"/>
      <c r="AE18" s="4771"/>
      <c r="AF18" s="4771"/>
      <c r="AG18" s="4771"/>
      <c r="AH18" s="4771"/>
      <c r="AI18" s="4771"/>
    </row>
    <row r="19" spans="1:35" ht="13.2">
      <c r="A19" s="2049"/>
      <c r="B19" s="4768"/>
      <c r="C19" s="2054"/>
      <c r="D19" s="4769"/>
      <c r="E19" s="4769"/>
      <c r="F19" s="4769"/>
      <c r="G19" s="4769"/>
      <c r="H19" s="4769"/>
      <c r="I19" s="4769"/>
      <c r="J19" s="4769"/>
      <c r="K19" s="4769"/>
      <c r="L19" s="4769"/>
      <c r="M19" s="4769"/>
      <c r="N19" s="4769"/>
      <c r="O19" s="4769"/>
      <c r="P19" s="4770"/>
      <c r="Q19" s="2054"/>
      <c r="R19" s="2049"/>
      <c r="S19" s="2049"/>
      <c r="T19" s="2049"/>
      <c r="U19" s="2049"/>
      <c r="V19" s="2049"/>
      <c r="W19" s="1"/>
      <c r="X19" s="4771"/>
      <c r="Y19" s="4771"/>
      <c r="Z19" s="4771"/>
      <c r="AA19" s="4771"/>
      <c r="AB19" s="4771"/>
      <c r="AC19" s="4771"/>
      <c r="AD19" s="4771"/>
      <c r="AE19" s="4771"/>
      <c r="AF19" s="4771"/>
      <c r="AG19" s="4771"/>
      <c r="AH19" s="4771"/>
      <c r="AI19" s="4771"/>
    </row>
    <row r="20" spans="1:35" ht="13.2">
      <c r="A20" s="2049"/>
      <c r="B20" s="4772"/>
      <c r="C20" s="2054"/>
      <c r="D20" s="4769"/>
      <c r="E20" s="4769"/>
      <c r="F20" s="4769"/>
      <c r="G20" s="4769"/>
      <c r="H20" s="4769"/>
      <c r="I20" s="4769"/>
      <c r="J20" s="4769"/>
      <c r="K20" s="4769"/>
      <c r="L20" s="4769"/>
      <c r="M20" s="4769"/>
      <c r="N20" s="4769"/>
      <c r="O20" s="4769"/>
      <c r="P20" s="4770"/>
      <c r="Q20" s="2054"/>
      <c r="R20" s="2049"/>
      <c r="S20" s="2049"/>
      <c r="T20" s="2049"/>
      <c r="U20" s="2049"/>
      <c r="V20" s="2049"/>
      <c r="W20" s="1"/>
      <c r="X20" s="4771"/>
      <c r="Y20" s="4771"/>
      <c r="Z20" s="4771"/>
      <c r="AA20" s="4771"/>
      <c r="AB20" s="4771"/>
      <c r="AC20" s="4771"/>
      <c r="AD20" s="4771"/>
      <c r="AE20" s="4771"/>
      <c r="AF20" s="4771"/>
      <c r="AG20" s="4771"/>
      <c r="AH20" s="4771"/>
      <c r="AI20" s="4771"/>
    </row>
    <row r="21" spans="1:35" ht="13.2">
      <c r="A21" s="2049"/>
      <c r="B21" s="4772"/>
      <c r="C21" s="2054"/>
      <c r="D21" s="4769"/>
      <c r="E21" s="4769"/>
      <c r="F21" s="4769"/>
      <c r="G21" s="4769"/>
      <c r="H21" s="4769"/>
      <c r="I21" s="4769"/>
      <c r="J21" s="4769"/>
      <c r="K21" s="4769"/>
      <c r="L21" s="4769"/>
      <c r="M21" s="4769"/>
      <c r="N21" s="4769"/>
      <c r="O21" s="4769"/>
      <c r="P21" s="4770"/>
      <c r="Q21" s="2054"/>
      <c r="R21" s="2049"/>
      <c r="S21" s="2049"/>
      <c r="T21" s="2049"/>
      <c r="U21" s="2049"/>
      <c r="V21" s="2049"/>
      <c r="W21" s="1"/>
      <c r="X21" s="4771"/>
      <c r="Y21" s="4771"/>
      <c r="Z21" s="4771"/>
      <c r="AA21" s="4771"/>
      <c r="AB21" s="4771"/>
      <c r="AC21" s="4771"/>
      <c r="AD21" s="4771"/>
      <c r="AE21" s="4771"/>
      <c r="AF21" s="4771"/>
      <c r="AG21" s="4771"/>
      <c r="AH21" s="4771"/>
      <c r="AI21" s="4771"/>
    </row>
    <row r="22" spans="1:35" ht="26.25" customHeight="1">
      <c r="A22" s="2049"/>
      <c r="B22" s="4768"/>
      <c r="C22" s="2054"/>
      <c r="D22" s="4769"/>
      <c r="E22" s="4769"/>
      <c r="F22" s="4769"/>
      <c r="G22" s="4769"/>
      <c r="H22" s="4769"/>
      <c r="I22" s="4769"/>
      <c r="J22" s="4769"/>
      <c r="K22" s="4769"/>
      <c r="L22" s="4769"/>
      <c r="M22" s="4769"/>
      <c r="N22" s="4769"/>
      <c r="O22" s="4769"/>
      <c r="P22" s="4770"/>
      <c r="Q22" s="2054"/>
      <c r="R22" s="2049"/>
      <c r="S22" s="2049"/>
      <c r="T22" s="2049"/>
      <c r="U22" s="2049"/>
      <c r="V22" s="2049"/>
      <c r="W22" s="1"/>
      <c r="X22" s="4771"/>
      <c r="Y22" s="4771"/>
      <c r="Z22" s="4771"/>
      <c r="AA22" s="4771"/>
      <c r="AB22" s="4771"/>
      <c r="AC22" s="4771"/>
      <c r="AD22" s="4771"/>
      <c r="AE22" s="4771"/>
      <c r="AF22" s="4771"/>
      <c r="AG22" s="4771"/>
      <c r="AH22" s="4771"/>
      <c r="AI22" s="4771"/>
    </row>
    <row r="23" spans="1:35" ht="13.2">
      <c r="A23" s="2049"/>
      <c r="B23" s="4768"/>
      <c r="C23" s="2054"/>
      <c r="D23" s="2054"/>
      <c r="E23" s="2054"/>
      <c r="F23" s="2054"/>
      <c r="G23" s="2054"/>
      <c r="H23" s="2054"/>
      <c r="I23" s="2054"/>
      <c r="J23" s="4769"/>
      <c r="K23" s="4769"/>
      <c r="L23" s="4769"/>
      <c r="M23" s="4769"/>
      <c r="N23" s="4769"/>
      <c r="O23" s="4769"/>
      <c r="P23" s="4770"/>
      <c r="Q23" s="2054"/>
      <c r="R23" s="2054"/>
      <c r="S23" s="2054"/>
      <c r="T23" s="2054"/>
      <c r="U23" s="2054"/>
      <c r="V23" s="2054"/>
      <c r="W23" s="1"/>
      <c r="X23" s="4771"/>
      <c r="Y23" s="4771"/>
      <c r="Z23" s="4771"/>
      <c r="AA23" s="4771"/>
      <c r="AB23" s="4771"/>
      <c r="AC23" s="4771"/>
    </row>
    <row r="24" spans="1:35" ht="13.2">
      <c r="A24" s="2049"/>
      <c r="B24" s="4773"/>
      <c r="C24" s="2054"/>
      <c r="D24" s="4774"/>
      <c r="E24" s="4774"/>
      <c r="F24" s="4774"/>
      <c r="G24" s="4774"/>
      <c r="H24" s="4774"/>
      <c r="I24" s="4774"/>
      <c r="J24" s="4774"/>
      <c r="K24" s="4774"/>
      <c r="L24" s="4774"/>
      <c r="M24" s="4774"/>
      <c r="N24" s="4774"/>
      <c r="O24" s="4774"/>
      <c r="P24" s="4775"/>
      <c r="Q24" s="2054"/>
      <c r="R24" s="2054"/>
      <c r="S24" s="2054"/>
      <c r="T24" s="2054"/>
      <c r="U24" s="2054"/>
      <c r="V24" s="2054"/>
      <c r="W24" s="1"/>
      <c r="X24" s="4771"/>
      <c r="Y24" s="4771"/>
      <c r="Z24" s="4771"/>
      <c r="AA24" s="4771"/>
      <c r="AB24" s="4771"/>
      <c r="AC24" s="4771"/>
    </row>
    <row r="25" spans="1:35" ht="13.2">
      <c r="A25" s="2049"/>
      <c r="B25" s="4776"/>
      <c r="C25" s="4777"/>
      <c r="D25" s="4774"/>
      <c r="E25" s="4778"/>
      <c r="F25" s="4778"/>
      <c r="G25" s="4778"/>
      <c r="H25" s="4778"/>
      <c r="I25" s="4778"/>
      <c r="J25" s="4774"/>
      <c r="K25" s="4778"/>
      <c r="L25" s="4778"/>
      <c r="M25" s="4778"/>
      <c r="N25" s="4778"/>
      <c r="O25" s="4778"/>
      <c r="P25" s="4778"/>
      <c r="Q25" s="2054"/>
      <c r="R25" s="2054"/>
      <c r="S25" s="2054"/>
      <c r="T25" s="2054"/>
      <c r="U25" s="2054"/>
      <c r="V25" s="2054"/>
      <c r="W25" s="1"/>
    </row>
    <row r="26" spans="1:35" ht="13.5" customHeight="1">
      <c r="A26" s="3850"/>
      <c r="B26" s="3850"/>
      <c r="C26" s="3850"/>
      <c r="D26" s="3850"/>
      <c r="E26" s="3850"/>
      <c r="F26" s="3850"/>
      <c r="G26" s="3850"/>
      <c r="H26" s="3850"/>
      <c r="I26" s="3850"/>
      <c r="J26" s="3850"/>
      <c r="K26" s="3850"/>
      <c r="L26" s="3850"/>
      <c r="M26" s="3850"/>
      <c r="N26" s="3850"/>
      <c r="O26" s="3850"/>
      <c r="P26" s="3850"/>
      <c r="Q26" s="3850"/>
      <c r="R26" s="3850"/>
      <c r="S26" s="3850"/>
      <c r="T26" s="3850"/>
      <c r="U26" s="3850"/>
      <c r="V26" s="3850"/>
      <c r="W26" s="1"/>
    </row>
    <row r="27" spans="1:35" ht="13.2">
      <c r="A27" s="2055"/>
      <c r="B27" s="4779"/>
      <c r="C27" s="4780"/>
      <c r="D27" s="2054"/>
      <c r="E27" s="2054"/>
      <c r="F27" s="2054"/>
      <c r="G27" s="2054"/>
      <c r="H27" s="2054"/>
      <c r="I27" s="2054"/>
      <c r="J27" s="4781"/>
      <c r="K27" s="4781"/>
      <c r="L27" s="4781"/>
      <c r="M27" s="4781"/>
      <c r="N27" s="4781"/>
      <c r="O27" s="4781"/>
      <c r="P27" s="4782"/>
      <c r="Q27" s="2054"/>
      <c r="R27" s="2054"/>
      <c r="S27" s="2054"/>
      <c r="T27" s="2054"/>
      <c r="U27" s="2054"/>
      <c r="V27" s="2054"/>
      <c r="W27" s="1"/>
      <c r="X27" s="4771"/>
      <c r="Y27" s="4771"/>
      <c r="Z27" s="4771"/>
      <c r="AA27" s="4771"/>
      <c r="AB27" s="4771"/>
      <c r="AC27" s="4771"/>
    </row>
    <row r="28" spans="1:35" ht="13.2">
      <c r="A28" s="2055"/>
      <c r="B28" s="4776"/>
      <c r="C28" s="4777"/>
      <c r="D28" s="2054"/>
      <c r="E28" s="2054"/>
      <c r="F28" s="2054"/>
      <c r="G28" s="2054"/>
      <c r="H28" s="2054"/>
      <c r="I28" s="2054"/>
      <c r="J28" s="4780"/>
      <c r="K28" s="4778"/>
      <c r="L28" s="4778"/>
      <c r="M28" s="4778"/>
      <c r="N28" s="4778"/>
      <c r="O28" s="4778"/>
      <c r="P28" s="4782"/>
      <c r="Q28" s="2054"/>
      <c r="R28" s="2054"/>
      <c r="S28" s="2054"/>
      <c r="T28" s="2054"/>
      <c r="U28" s="2054"/>
      <c r="V28" s="2054"/>
      <c r="W28" s="1"/>
    </row>
    <row r="29" spans="1:35" ht="13.2">
      <c r="A29" s="2055"/>
      <c r="B29" s="4779"/>
      <c r="C29" s="4780"/>
      <c r="D29" s="2054"/>
      <c r="E29" s="2054"/>
      <c r="F29" s="2054"/>
      <c r="G29" s="2054"/>
      <c r="H29" s="2054"/>
      <c r="I29" s="2054"/>
      <c r="J29" s="4781"/>
      <c r="K29" s="4781"/>
      <c r="L29" s="4781"/>
      <c r="M29" s="4781"/>
      <c r="N29" s="4781"/>
      <c r="O29" s="4781"/>
      <c r="P29" s="4782"/>
      <c r="Q29" s="2054"/>
      <c r="R29" s="2054"/>
      <c r="S29" s="2054"/>
      <c r="T29" s="2054"/>
      <c r="U29" s="2054"/>
      <c r="V29" s="2054"/>
      <c r="W29" s="1"/>
      <c r="X29" s="4771"/>
      <c r="Y29" s="4771"/>
      <c r="Z29" s="4771"/>
      <c r="AA29" s="4771"/>
      <c r="AB29" s="4771"/>
      <c r="AC29" s="4771"/>
    </row>
    <row r="30" spans="1:35" ht="13.2">
      <c r="A30" s="2055"/>
      <c r="B30" s="4776"/>
      <c r="C30" s="4777"/>
      <c r="D30" s="2054"/>
      <c r="E30" s="2054"/>
      <c r="F30" s="2054"/>
      <c r="G30" s="2054"/>
      <c r="H30" s="2054"/>
      <c r="I30" s="2054"/>
      <c r="J30" s="4780"/>
      <c r="K30" s="4778"/>
      <c r="L30" s="4778"/>
      <c r="M30" s="4778"/>
      <c r="N30" s="4778"/>
      <c r="O30" s="4778"/>
      <c r="P30" s="4782"/>
      <c r="Q30" s="2054"/>
      <c r="R30" s="2054"/>
      <c r="S30" s="2054"/>
      <c r="T30" s="2054"/>
      <c r="U30" s="2054"/>
      <c r="V30" s="2054"/>
      <c r="W30" s="1"/>
    </row>
    <row r="31" spans="1:35" ht="13.2">
      <c r="A31" s="2055"/>
      <c r="B31" s="4779"/>
      <c r="C31" s="4780"/>
      <c r="D31" s="2054"/>
      <c r="E31" s="2054"/>
      <c r="F31" s="2054"/>
      <c r="G31" s="2054"/>
      <c r="H31" s="2054"/>
      <c r="I31" s="2054"/>
      <c r="J31" s="4781"/>
      <c r="K31" s="4781"/>
      <c r="L31" s="4781"/>
      <c r="M31" s="4781"/>
      <c r="N31" s="4781"/>
      <c r="O31" s="4781"/>
      <c r="P31" s="4782"/>
      <c r="Q31" s="2054"/>
      <c r="R31" s="2054"/>
      <c r="S31" s="2054"/>
      <c r="T31" s="2054"/>
      <c r="U31" s="2054"/>
      <c r="V31" s="2054"/>
      <c r="W31" s="1"/>
      <c r="X31" s="4771"/>
      <c r="Y31" s="4771"/>
      <c r="Z31" s="4771"/>
      <c r="AA31" s="4771"/>
      <c r="AB31" s="4771"/>
      <c r="AC31" s="4771"/>
    </row>
    <row r="32" spans="1:35" ht="13.2">
      <c r="A32" s="2055"/>
      <c r="B32" s="4776"/>
      <c r="C32" s="4777"/>
      <c r="D32" s="2054"/>
      <c r="E32" s="2054"/>
      <c r="F32" s="2054"/>
      <c r="G32" s="2054"/>
      <c r="H32" s="2054"/>
      <c r="I32" s="2054"/>
      <c r="J32" s="4780"/>
      <c r="K32" s="4778"/>
      <c r="L32" s="4778"/>
      <c r="M32" s="4778"/>
      <c r="N32" s="4778"/>
      <c r="O32" s="4778"/>
      <c r="P32" s="4782"/>
      <c r="Q32" s="2054"/>
      <c r="R32" s="2054"/>
      <c r="S32" s="2054"/>
      <c r="T32" s="2054"/>
      <c r="U32" s="2054"/>
      <c r="V32" s="2054"/>
      <c r="W32" s="1"/>
    </row>
    <row r="33" spans="1:35" ht="13.2">
      <c r="A33" s="2055"/>
      <c r="B33" s="4779"/>
      <c r="C33" s="4780"/>
      <c r="D33" s="2054"/>
      <c r="E33" s="2054"/>
      <c r="F33" s="2054"/>
      <c r="G33" s="2054"/>
      <c r="H33" s="2054"/>
      <c r="I33" s="2054"/>
      <c r="J33" s="4781"/>
      <c r="K33" s="4781"/>
      <c r="L33" s="4781"/>
      <c r="M33" s="4781"/>
      <c r="N33" s="4781"/>
      <c r="O33" s="4781"/>
      <c r="P33" s="4782"/>
      <c r="Q33" s="2054"/>
      <c r="R33" s="2054"/>
      <c r="S33" s="2054"/>
      <c r="T33" s="2054"/>
      <c r="U33" s="2054"/>
      <c r="V33" s="2054"/>
      <c r="W33" s="1"/>
      <c r="X33" s="4771"/>
      <c r="Y33" s="4771"/>
      <c r="Z33" s="4771"/>
      <c r="AA33" s="4771"/>
      <c r="AB33" s="4771"/>
      <c r="AC33" s="4771"/>
    </row>
    <row r="34" spans="1:35" ht="13.2">
      <c r="A34" s="2055"/>
      <c r="B34" s="4776"/>
      <c r="C34" s="4777"/>
      <c r="D34" s="2054"/>
      <c r="E34" s="2054"/>
      <c r="F34" s="2054"/>
      <c r="G34" s="2054"/>
      <c r="H34" s="2054"/>
      <c r="I34" s="2054"/>
      <c r="J34" s="4780"/>
      <c r="K34" s="4778"/>
      <c r="L34" s="4778"/>
      <c r="M34" s="4778"/>
      <c r="N34" s="4778"/>
      <c r="O34" s="4778"/>
      <c r="P34" s="4782"/>
      <c r="Q34" s="2054"/>
      <c r="R34" s="2054"/>
      <c r="S34" s="2054"/>
      <c r="T34" s="2054"/>
      <c r="U34" s="2054"/>
      <c r="V34" s="2054"/>
      <c r="W34" s="1"/>
    </row>
    <row r="35" spans="1:35" ht="13.2">
      <c r="A35" s="2055"/>
      <c r="B35" s="4779"/>
      <c r="C35" s="4780"/>
      <c r="D35" s="2054"/>
      <c r="E35" s="2054"/>
      <c r="F35" s="2054"/>
      <c r="G35" s="2054"/>
      <c r="H35" s="2054"/>
      <c r="I35" s="2054"/>
      <c r="J35" s="4781"/>
      <c r="K35" s="4781"/>
      <c r="L35" s="4781"/>
      <c r="M35" s="4781"/>
      <c r="N35" s="4781"/>
      <c r="O35" s="4781"/>
      <c r="P35" s="4782"/>
      <c r="Q35" s="2054"/>
      <c r="R35" s="2054"/>
      <c r="S35" s="2054"/>
      <c r="T35" s="2054"/>
      <c r="U35" s="2054"/>
      <c r="V35" s="2054"/>
      <c r="W35" s="1"/>
      <c r="X35" s="4771"/>
      <c r="Y35" s="4771"/>
      <c r="Z35" s="4771"/>
      <c r="AA35" s="4771"/>
      <c r="AB35" s="4771"/>
      <c r="AC35" s="4771"/>
    </row>
    <row r="36" spans="1:35" ht="13.2">
      <c r="A36" s="2055"/>
      <c r="B36" s="4776"/>
      <c r="C36" s="4777"/>
      <c r="D36" s="2054"/>
      <c r="E36" s="2054"/>
      <c r="F36" s="2054"/>
      <c r="G36" s="2054"/>
      <c r="H36" s="2054"/>
      <c r="I36" s="2054"/>
      <c r="J36" s="4780"/>
      <c r="K36" s="4778"/>
      <c r="L36" s="4778"/>
      <c r="M36" s="4778"/>
      <c r="N36" s="4778"/>
      <c r="O36" s="4778"/>
      <c r="P36" s="4782"/>
      <c r="Q36" s="2054"/>
      <c r="R36" s="2054"/>
      <c r="S36" s="2054"/>
      <c r="T36" s="2054"/>
      <c r="U36" s="2054"/>
      <c r="V36" s="2054"/>
      <c r="W36" s="1"/>
    </row>
    <row r="37" spans="1:35" ht="13.2">
      <c r="A37" s="2055"/>
      <c r="B37" s="4779"/>
      <c r="C37" s="4780"/>
      <c r="D37" s="2054"/>
      <c r="E37" s="2054"/>
      <c r="F37" s="2054"/>
      <c r="G37" s="2054"/>
      <c r="H37" s="2054"/>
      <c r="I37" s="2054"/>
      <c r="J37" s="4780"/>
      <c r="K37" s="4780"/>
      <c r="L37" s="4780"/>
      <c r="M37" s="4780"/>
      <c r="N37" s="4780"/>
      <c r="O37" s="4780"/>
      <c r="P37" s="4782"/>
      <c r="Q37" s="2054"/>
      <c r="R37" s="2054"/>
      <c r="S37" s="2054"/>
      <c r="T37" s="2054"/>
      <c r="U37" s="2054"/>
      <c r="V37" s="2054"/>
      <c r="W37" s="1"/>
      <c r="X37" s="4771"/>
      <c r="Y37" s="4771"/>
      <c r="Z37" s="4771"/>
      <c r="AA37" s="4771"/>
      <c r="AB37" s="4771"/>
      <c r="AC37" s="4771"/>
    </row>
    <row r="38" spans="1:35" ht="13.2">
      <c r="A38" s="2055"/>
      <c r="B38" s="4776"/>
      <c r="C38" s="4777"/>
      <c r="D38" s="2054"/>
      <c r="E38" s="2054"/>
      <c r="F38" s="2054"/>
      <c r="G38" s="2054"/>
      <c r="H38" s="2054"/>
      <c r="I38" s="2054"/>
      <c r="J38" s="4780"/>
      <c r="K38" s="4778"/>
      <c r="L38" s="4778"/>
      <c r="M38" s="4778"/>
      <c r="N38" s="4778"/>
      <c r="O38" s="4778"/>
      <c r="P38" s="4778"/>
      <c r="Q38" s="2054"/>
      <c r="R38" s="2054"/>
      <c r="S38" s="2054"/>
      <c r="T38" s="2054"/>
      <c r="U38" s="2054"/>
      <c r="V38" s="2054"/>
      <c r="W38" s="1"/>
    </row>
    <row r="39" spans="1:35" ht="13.5" customHeight="1">
      <c r="A39" s="4783"/>
      <c r="B39" s="4783"/>
      <c r="C39" s="4783"/>
      <c r="D39" s="4783"/>
      <c r="E39" s="4783"/>
      <c r="F39" s="4783"/>
      <c r="G39" s="4783"/>
      <c r="H39" s="4783"/>
      <c r="I39" s="4783"/>
      <c r="J39" s="4784"/>
      <c r="K39" s="4784"/>
      <c r="L39" s="4784"/>
      <c r="M39" s="4784"/>
      <c r="N39" s="4784"/>
      <c r="O39" s="4784"/>
      <c r="P39" s="4783"/>
      <c r="Q39" s="4783"/>
      <c r="R39" s="4783"/>
      <c r="S39" s="4783"/>
      <c r="T39" s="4783"/>
      <c r="U39" s="4783"/>
      <c r="V39" s="4783"/>
      <c r="W39" s="1"/>
    </row>
    <row r="40" spans="1:35" ht="18" customHeight="1">
      <c r="A40" s="4767"/>
      <c r="B40" s="4785"/>
      <c r="C40" s="4765"/>
      <c r="D40" s="4765"/>
      <c r="E40" s="4765"/>
      <c r="F40" s="4765"/>
      <c r="G40" s="4765"/>
      <c r="H40" s="4765"/>
      <c r="I40" s="4765"/>
      <c r="J40" s="4765"/>
      <c r="K40" s="4765"/>
      <c r="L40" s="4765"/>
      <c r="M40" s="4765"/>
      <c r="N40" s="4765"/>
      <c r="O40" s="4765"/>
      <c r="P40" s="4765"/>
      <c r="Q40" s="4765"/>
      <c r="R40" s="4765"/>
      <c r="S40" s="4765"/>
      <c r="T40" s="4765"/>
      <c r="U40" s="4765"/>
      <c r="V40" s="4765"/>
      <c r="W40" s="1"/>
    </row>
    <row r="41" spans="1:35" ht="13.2">
      <c r="A41" s="2049"/>
      <c r="B41" s="4768"/>
      <c r="C41" s="2054"/>
      <c r="D41" s="4769"/>
      <c r="E41" s="4769"/>
      <c r="F41" s="4769"/>
      <c r="G41" s="4769"/>
      <c r="H41" s="4769"/>
      <c r="I41" s="4769"/>
      <c r="J41" s="4769"/>
      <c r="K41" s="4769"/>
      <c r="L41" s="4769"/>
      <c r="M41" s="4769"/>
      <c r="N41" s="4769"/>
      <c r="O41" s="4769"/>
      <c r="P41" s="4786"/>
      <c r="Q41" s="2054"/>
      <c r="R41" s="2049"/>
      <c r="S41" s="2049"/>
      <c r="T41" s="2049"/>
      <c r="U41" s="2049"/>
      <c r="V41" s="2049"/>
      <c r="W41" s="1"/>
      <c r="X41" s="4771"/>
      <c r="Y41" s="4771"/>
      <c r="Z41" s="4771"/>
      <c r="AA41" s="4771"/>
      <c r="AB41" s="4771"/>
      <c r="AC41" s="4771"/>
      <c r="AD41" s="4771"/>
      <c r="AE41" s="4771"/>
      <c r="AF41" s="4771"/>
      <c r="AG41" s="4771"/>
      <c r="AH41" s="4771"/>
      <c r="AI41" s="4771"/>
    </row>
    <row r="42" spans="1:35" ht="13.2">
      <c r="A42" s="2049"/>
      <c r="B42" s="4768"/>
      <c r="C42" s="2054"/>
      <c r="D42" s="4769"/>
      <c r="E42" s="4769"/>
      <c r="F42" s="4769"/>
      <c r="G42" s="4769"/>
      <c r="H42" s="4769"/>
      <c r="I42" s="4769"/>
      <c r="J42" s="4769"/>
      <c r="K42" s="4769"/>
      <c r="L42" s="4769"/>
      <c r="M42" s="4769"/>
      <c r="N42" s="4769"/>
      <c r="O42" s="4769"/>
      <c r="P42" s="4786"/>
      <c r="Q42" s="2054"/>
      <c r="R42" s="2049"/>
      <c r="S42" s="2049"/>
      <c r="T42" s="2049"/>
      <c r="U42" s="2049"/>
      <c r="V42" s="2049"/>
      <c r="W42" s="1"/>
      <c r="X42" s="4771"/>
      <c r="Y42" s="4771"/>
      <c r="Z42" s="4771"/>
      <c r="AA42" s="4771"/>
      <c r="AB42" s="4771"/>
      <c r="AC42" s="4771"/>
      <c r="AD42" s="4771"/>
      <c r="AE42" s="4771"/>
      <c r="AF42" s="4771"/>
      <c r="AG42" s="4771"/>
      <c r="AH42" s="4771"/>
      <c r="AI42" s="4771"/>
    </row>
    <row r="43" spans="1:35" ht="13.2">
      <c r="A43" s="2049"/>
      <c r="B43" s="4768"/>
      <c r="C43" s="2054"/>
      <c r="D43" s="4769"/>
      <c r="E43" s="4769"/>
      <c r="F43" s="4769"/>
      <c r="G43" s="4769"/>
      <c r="H43" s="4769"/>
      <c r="I43" s="4769"/>
      <c r="J43" s="4769"/>
      <c r="K43" s="4769"/>
      <c r="L43" s="4769"/>
      <c r="M43" s="4769"/>
      <c r="N43" s="4769"/>
      <c r="O43" s="4769"/>
      <c r="P43" s="4786"/>
      <c r="Q43" s="2054"/>
      <c r="R43" s="2049"/>
      <c r="S43" s="2049"/>
      <c r="T43" s="2049"/>
      <c r="U43" s="2049"/>
      <c r="V43" s="2049"/>
      <c r="W43" s="1"/>
      <c r="X43" s="4771"/>
      <c r="Y43" s="4771"/>
      <c r="Z43" s="4771"/>
      <c r="AA43" s="4771"/>
      <c r="AB43" s="4771"/>
      <c r="AC43" s="4771"/>
      <c r="AD43" s="4771"/>
      <c r="AE43" s="4771"/>
      <c r="AF43" s="4771"/>
      <c r="AG43" s="4771"/>
      <c r="AH43" s="4771"/>
      <c r="AI43" s="4771"/>
    </row>
    <row r="44" spans="1:35" ht="13.2">
      <c r="A44" s="2049"/>
      <c r="B44" s="4768"/>
      <c r="C44" s="2054"/>
      <c r="D44" s="4769"/>
      <c r="E44" s="4769"/>
      <c r="F44" s="4769"/>
      <c r="G44" s="4769"/>
      <c r="H44" s="4769"/>
      <c r="I44" s="4769"/>
      <c r="J44" s="4769"/>
      <c r="K44" s="4769"/>
      <c r="L44" s="4769"/>
      <c r="M44" s="4769"/>
      <c r="N44" s="4769"/>
      <c r="O44" s="4769"/>
      <c r="P44" s="4786"/>
      <c r="Q44" s="2054"/>
      <c r="R44" s="2049"/>
      <c r="S44" s="2049"/>
      <c r="T44" s="2049"/>
      <c r="U44" s="2049"/>
      <c r="V44" s="2049"/>
      <c r="W44" s="1"/>
      <c r="X44" s="4771"/>
      <c r="Y44" s="4771"/>
      <c r="Z44" s="4771"/>
      <c r="AA44" s="4771"/>
      <c r="AB44" s="4771"/>
      <c r="AC44" s="4771"/>
      <c r="AD44" s="4771"/>
      <c r="AE44" s="4771"/>
      <c r="AF44" s="4771"/>
      <c r="AG44" s="4771"/>
      <c r="AH44" s="4771"/>
      <c r="AI44" s="4771"/>
    </row>
    <row r="45" spans="1:35" ht="13.2">
      <c r="A45" s="2049"/>
      <c r="B45" s="4768"/>
      <c r="C45" s="2054"/>
      <c r="D45" s="4769"/>
      <c r="E45" s="4769"/>
      <c r="F45" s="4769"/>
      <c r="G45" s="4769"/>
      <c r="H45" s="4769"/>
      <c r="I45" s="4769"/>
      <c r="J45" s="4769"/>
      <c r="K45" s="4769"/>
      <c r="L45" s="4769"/>
      <c r="M45" s="4769"/>
      <c r="N45" s="4769"/>
      <c r="O45" s="4769"/>
      <c r="P45" s="4786"/>
      <c r="Q45" s="2054"/>
      <c r="R45" s="2049"/>
      <c r="S45" s="2049"/>
      <c r="T45" s="2049"/>
      <c r="U45" s="2049"/>
      <c r="V45" s="2049"/>
      <c r="W45" s="1"/>
      <c r="X45" s="4771"/>
      <c r="Y45" s="4771"/>
      <c r="Z45" s="4771"/>
      <c r="AA45" s="4771"/>
      <c r="AB45" s="4771"/>
      <c r="AC45" s="4771"/>
      <c r="AD45" s="4771"/>
      <c r="AE45" s="4771"/>
      <c r="AF45" s="4771"/>
      <c r="AG45" s="4771"/>
      <c r="AH45" s="4771"/>
      <c r="AI45" s="4771"/>
    </row>
    <row r="46" spans="1:35" ht="13.2">
      <c r="A46" s="2049"/>
      <c r="B46" s="4768"/>
      <c r="C46" s="2054"/>
      <c r="D46" s="4769"/>
      <c r="E46" s="4769"/>
      <c r="F46" s="4769"/>
      <c r="G46" s="4769"/>
      <c r="H46" s="4769"/>
      <c r="I46" s="4769"/>
      <c r="J46" s="4769"/>
      <c r="K46" s="4769"/>
      <c r="L46" s="4769"/>
      <c r="M46" s="4769"/>
      <c r="N46" s="4769"/>
      <c r="O46" s="4769"/>
      <c r="P46" s="4786"/>
      <c r="Q46" s="2054"/>
      <c r="R46" s="2049"/>
      <c r="S46" s="2049"/>
      <c r="T46" s="2049"/>
      <c r="U46" s="2049"/>
      <c r="V46" s="2049"/>
      <c r="W46" s="1"/>
      <c r="X46" s="4771"/>
      <c r="Y46" s="4771"/>
      <c r="Z46" s="4771"/>
      <c r="AA46" s="4771"/>
      <c r="AB46" s="4771"/>
      <c r="AC46" s="4771"/>
      <c r="AD46" s="4771"/>
      <c r="AE46" s="4771"/>
      <c r="AF46" s="4771"/>
      <c r="AG46" s="4771"/>
      <c r="AH46" s="4771"/>
      <c r="AI46" s="4771"/>
    </row>
    <row r="47" spans="1:35" ht="13.2">
      <c r="A47" s="2049"/>
      <c r="B47" s="4772"/>
      <c r="C47" s="2054"/>
      <c r="D47" s="4769"/>
      <c r="E47" s="4769"/>
      <c r="F47" s="4769"/>
      <c r="G47" s="4769"/>
      <c r="H47" s="4769"/>
      <c r="I47" s="4769"/>
      <c r="J47" s="4769"/>
      <c r="K47" s="4769"/>
      <c r="L47" s="4769"/>
      <c r="M47" s="4769"/>
      <c r="N47" s="4769"/>
      <c r="O47" s="4769"/>
      <c r="P47" s="4786"/>
      <c r="Q47" s="2054"/>
      <c r="R47" s="2049"/>
      <c r="S47" s="2049"/>
      <c r="T47" s="2049"/>
      <c r="U47" s="2049"/>
      <c r="V47" s="2049"/>
      <c r="W47" s="1"/>
      <c r="X47" s="4771"/>
      <c r="Y47" s="4771"/>
      <c r="Z47" s="4771"/>
      <c r="AA47" s="4771"/>
      <c r="AB47" s="4771"/>
      <c r="AC47" s="4771"/>
      <c r="AD47" s="4771"/>
      <c r="AE47" s="4771"/>
      <c r="AF47" s="4771"/>
      <c r="AG47" s="4771"/>
      <c r="AH47" s="4771"/>
      <c r="AI47" s="4771"/>
    </row>
    <row r="48" spans="1:35" ht="13.2">
      <c r="A48" s="2055"/>
      <c r="B48" s="4779"/>
      <c r="C48" s="2054"/>
      <c r="D48" s="4769"/>
      <c r="E48" s="4769"/>
      <c r="F48" s="4769"/>
      <c r="G48" s="4769"/>
      <c r="H48" s="4769"/>
      <c r="I48" s="4769"/>
      <c r="J48" s="4769"/>
      <c r="K48" s="4769"/>
      <c r="L48" s="4769"/>
      <c r="M48" s="4769"/>
      <c r="N48" s="4769"/>
      <c r="O48" s="4769"/>
      <c r="P48" s="4786"/>
      <c r="Q48" s="2054"/>
      <c r="R48" s="2049"/>
      <c r="S48" s="2049"/>
      <c r="T48" s="2049"/>
      <c r="U48" s="2049"/>
      <c r="V48" s="2049"/>
      <c r="W48" s="1"/>
      <c r="X48" s="4771"/>
      <c r="Y48" s="4771"/>
      <c r="Z48" s="4771"/>
      <c r="AA48" s="4771"/>
      <c r="AB48" s="4771"/>
      <c r="AC48" s="4771"/>
      <c r="AD48" s="4771"/>
      <c r="AE48" s="4771"/>
      <c r="AF48" s="4771"/>
      <c r="AG48" s="4771"/>
      <c r="AH48" s="4771"/>
      <c r="AI48" s="4771"/>
    </row>
    <row r="49" spans="1:35" ht="13.2">
      <c r="A49" s="2055"/>
      <c r="B49" s="4779"/>
      <c r="C49" s="2054"/>
      <c r="D49" s="4769"/>
      <c r="E49" s="4769"/>
      <c r="F49" s="4769"/>
      <c r="G49" s="4769"/>
      <c r="H49" s="4769"/>
      <c r="I49" s="4769"/>
      <c r="J49" s="4769"/>
      <c r="K49" s="4769"/>
      <c r="L49" s="4769"/>
      <c r="M49" s="4769"/>
      <c r="N49" s="4769"/>
      <c r="O49" s="4769"/>
      <c r="P49" s="4786"/>
      <c r="Q49" s="2054"/>
      <c r="R49" s="2049"/>
      <c r="S49" s="2049"/>
      <c r="T49" s="2049"/>
      <c r="U49" s="2049"/>
      <c r="V49" s="2049"/>
      <c r="W49" s="1"/>
      <c r="X49" s="4771"/>
      <c r="Y49" s="4771"/>
      <c r="Z49" s="4771"/>
      <c r="AA49" s="4771"/>
      <c r="AB49" s="4771"/>
      <c r="AC49" s="4771"/>
      <c r="AD49" s="4771"/>
      <c r="AE49" s="4771"/>
      <c r="AF49" s="4771"/>
      <c r="AG49" s="4771"/>
      <c r="AH49" s="4771"/>
      <c r="AI49" s="4771"/>
    </row>
    <row r="50" spans="1:35" ht="13.2">
      <c r="A50" s="2049"/>
      <c r="B50" s="4768"/>
      <c r="C50" s="2054"/>
      <c r="D50" s="4769"/>
      <c r="E50" s="4769"/>
      <c r="F50" s="4769"/>
      <c r="G50" s="4769"/>
      <c r="H50" s="4769"/>
      <c r="I50" s="4769"/>
      <c r="J50" s="4769"/>
      <c r="K50" s="4769"/>
      <c r="L50" s="4769"/>
      <c r="M50" s="4769"/>
      <c r="N50" s="4769"/>
      <c r="O50" s="4769"/>
      <c r="P50" s="4786"/>
      <c r="Q50" s="2054"/>
      <c r="R50" s="2049"/>
      <c r="S50" s="2049"/>
      <c r="T50" s="2049"/>
      <c r="U50" s="2049"/>
      <c r="V50" s="2049"/>
      <c r="W50" s="1"/>
      <c r="X50" s="4771"/>
      <c r="Y50" s="4771"/>
      <c r="Z50" s="4771"/>
      <c r="AA50" s="4771"/>
      <c r="AB50" s="4771"/>
      <c r="AC50" s="4771"/>
      <c r="AD50" s="4771"/>
      <c r="AE50" s="4771"/>
      <c r="AF50" s="4771"/>
      <c r="AG50" s="4771"/>
      <c r="AH50" s="4771"/>
      <c r="AI50" s="4771"/>
    </row>
    <row r="51" spans="1:35" ht="13.2">
      <c r="A51" s="2049"/>
      <c r="B51" s="4768"/>
      <c r="C51" s="2054"/>
      <c r="D51" s="4769"/>
      <c r="E51" s="4769"/>
      <c r="F51" s="4769"/>
      <c r="G51" s="4769"/>
      <c r="H51" s="4769"/>
      <c r="I51" s="4769"/>
      <c r="J51" s="4769"/>
      <c r="K51" s="4769"/>
      <c r="L51" s="4769"/>
      <c r="M51" s="4769"/>
      <c r="N51" s="4769"/>
      <c r="O51" s="4769"/>
      <c r="P51" s="4786"/>
      <c r="Q51" s="2054"/>
      <c r="R51" s="2049"/>
      <c r="S51" s="2049"/>
      <c r="T51" s="2049"/>
      <c r="U51" s="2049"/>
      <c r="V51" s="2049"/>
      <c r="W51" s="1"/>
      <c r="X51" s="4771"/>
      <c r="Y51" s="4771"/>
      <c r="Z51" s="4771"/>
      <c r="AA51" s="4771"/>
      <c r="AB51" s="4771"/>
      <c r="AC51" s="4771"/>
      <c r="AD51" s="4771"/>
      <c r="AE51" s="4771"/>
      <c r="AF51" s="4771"/>
      <c r="AG51" s="4771"/>
      <c r="AH51" s="4771"/>
      <c r="AI51" s="4771"/>
    </row>
    <row r="52" spans="1:35" ht="13.2">
      <c r="A52" s="2049"/>
      <c r="B52" s="4768"/>
      <c r="C52" s="2054"/>
      <c r="D52" s="2054"/>
      <c r="E52" s="2054"/>
      <c r="F52" s="2054"/>
      <c r="G52" s="2054"/>
      <c r="H52" s="2054"/>
      <c r="I52" s="2054"/>
      <c r="J52" s="4769"/>
      <c r="K52" s="4769"/>
      <c r="L52" s="4769"/>
      <c r="M52" s="4769"/>
      <c r="N52" s="4769"/>
      <c r="O52" s="4769"/>
      <c r="P52" s="4786"/>
      <c r="Q52" s="2054"/>
      <c r="R52" s="2054"/>
      <c r="S52" s="2054"/>
      <c r="T52" s="2054"/>
      <c r="U52" s="2054"/>
      <c r="V52" s="2054"/>
      <c r="W52" s="1"/>
      <c r="X52" s="4771"/>
      <c r="Y52" s="4771"/>
      <c r="Z52" s="4771"/>
      <c r="AA52" s="4771"/>
      <c r="AB52" s="4771"/>
      <c r="AC52" s="4771"/>
    </row>
    <row r="53" spans="1:35" ht="23.25" customHeight="1">
      <c r="A53" s="2049"/>
      <c r="B53" s="4773"/>
      <c r="C53" s="2054"/>
      <c r="D53" s="4774"/>
      <c r="E53" s="4774"/>
      <c r="F53" s="4774"/>
      <c r="G53" s="4774"/>
      <c r="H53" s="4774"/>
      <c r="I53" s="4774"/>
      <c r="J53" s="4774"/>
      <c r="K53" s="4774"/>
      <c r="L53" s="4774"/>
      <c r="M53" s="4774"/>
      <c r="N53" s="4774"/>
      <c r="O53" s="4774"/>
      <c r="P53" s="4787"/>
      <c r="Q53" s="2054"/>
      <c r="R53" s="2054"/>
      <c r="S53" s="2054"/>
      <c r="T53" s="2054"/>
      <c r="U53" s="2054"/>
      <c r="V53" s="2054"/>
      <c r="W53" s="1"/>
      <c r="X53" s="4771"/>
      <c r="Y53" s="4771"/>
      <c r="Z53" s="4771"/>
      <c r="AA53" s="4771"/>
      <c r="AB53" s="4771"/>
      <c r="AC53" s="4771"/>
    </row>
    <row r="54" spans="1:35" ht="12.75" customHeight="1">
      <c r="A54" s="2049"/>
      <c r="B54" s="4776"/>
      <c r="C54" s="4777"/>
      <c r="D54" s="4774"/>
      <c r="E54" s="4778"/>
      <c r="F54" s="4778"/>
      <c r="G54" s="4778"/>
      <c r="H54" s="4778"/>
      <c r="I54" s="4778"/>
      <c r="J54" s="4774"/>
      <c r="K54" s="4778"/>
      <c r="L54" s="4778"/>
      <c r="M54" s="4778"/>
      <c r="N54" s="4778"/>
      <c r="O54" s="4778"/>
      <c r="P54" s="4778"/>
      <c r="Q54" s="2054"/>
      <c r="R54" s="2054"/>
      <c r="S54" s="2054"/>
      <c r="T54" s="2054"/>
      <c r="U54" s="2054"/>
      <c r="V54" s="2054"/>
      <c r="W54" s="1"/>
    </row>
    <row r="55" spans="1:35" ht="13.5" customHeight="1">
      <c r="A55" s="3850"/>
      <c r="B55" s="3850"/>
      <c r="C55" s="3850"/>
      <c r="D55" s="3850"/>
      <c r="E55" s="3850"/>
      <c r="F55" s="3850"/>
      <c r="G55" s="3850"/>
      <c r="H55" s="3850"/>
      <c r="I55" s="3850"/>
      <c r="J55" s="3850"/>
      <c r="K55" s="3850"/>
      <c r="L55" s="3850"/>
      <c r="M55" s="3850"/>
      <c r="N55" s="3850"/>
      <c r="O55" s="3850"/>
      <c r="P55" s="3850"/>
      <c r="Q55" s="3850"/>
      <c r="R55" s="3850"/>
      <c r="S55" s="3850"/>
      <c r="T55" s="3850"/>
      <c r="U55" s="3850"/>
      <c r="V55" s="3850"/>
      <c r="W55" s="1"/>
    </row>
    <row r="56" spans="1:35" ht="13.2">
      <c r="A56" s="2055"/>
      <c r="B56" s="4779"/>
      <c r="C56" s="4780"/>
      <c r="D56" s="2054"/>
      <c r="E56" s="2054"/>
      <c r="F56" s="2054"/>
      <c r="G56" s="2054"/>
      <c r="H56" s="2054"/>
      <c r="I56" s="2054"/>
      <c r="J56" s="4781"/>
      <c r="K56" s="4781"/>
      <c r="L56" s="4781"/>
      <c r="M56" s="4781"/>
      <c r="N56" s="4781"/>
      <c r="O56" s="4781"/>
      <c r="P56" s="4788"/>
      <c r="Q56" s="2054"/>
      <c r="R56" s="2054"/>
      <c r="S56" s="2054"/>
      <c r="T56" s="2054"/>
      <c r="U56" s="2054"/>
      <c r="V56" s="2054"/>
      <c r="W56" s="1"/>
      <c r="X56" s="4771"/>
      <c r="Y56" s="4771"/>
      <c r="Z56" s="4771"/>
      <c r="AA56" s="4771"/>
      <c r="AB56" s="4771"/>
      <c r="AC56" s="4771"/>
    </row>
    <row r="57" spans="1:35" ht="13.2">
      <c r="A57" s="2055"/>
      <c r="B57" s="4776"/>
      <c r="C57" s="4777"/>
      <c r="D57" s="2054"/>
      <c r="E57" s="2054"/>
      <c r="F57" s="2054"/>
      <c r="G57" s="2054"/>
      <c r="H57" s="2054"/>
      <c r="I57" s="2054"/>
      <c r="J57" s="4780"/>
      <c r="K57" s="4778"/>
      <c r="L57" s="4778"/>
      <c r="M57" s="4778"/>
      <c r="N57" s="4778"/>
      <c r="O57" s="4778"/>
      <c r="P57" s="4789"/>
      <c r="Q57" s="2054"/>
      <c r="R57" s="2054"/>
      <c r="S57" s="2054"/>
      <c r="T57" s="2054"/>
      <c r="U57" s="2054"/>
      <c r="V57" s="2054"/>
      <c r="W57" s="1"/>
    </row>
    <row r="58" spans="1:35" ht="13.2">
      <c r="A58" s="2055"/>
      <c r="B58" s="4779"/>
      <c r="C58" s="4780"/>
      <c r="D58" s="2054"/>
      <c r="E58" s="2054"/>
      <c r="F58" s="2054"/>
      <c r="G58" s="2054"/>
      <c r="H58" s="2054"/>
      <c r="I58" s="2054"/>
      <c r="J58" s="4781"/>
      <c r="K58" s="4781"/>
      <c r="L58" s="4781"/>
      <c r="M58" s="4781"/>
      <c r="N58" s="4781"/>
      <c r="O58" s="4781"/>
      <c r="P58" s="4788"/>
      <c r="Q58" s="2054"/>
      <c r="R58" s="2054"/>
      <c r="S58" s="2054"/>
      <c r="T58" s="2054"/>
      <c r="U58" s="2054"/>
      <c r="V58" s="2054"/>
      <c r="W58" s="1"/>
      <c r="X58" s="4771"/>
      <c r="Y58" s="4771"/>
      <c r="Z58" s="4771"/>
      <c r="AA58" s="4771"/>
      <c r="AB58" s="4771"/>
      <c r="AC58" s="4771"/>
    </row>
    <row r="59" spans="1:35" ht="13.2">
      <c r="A59" s="2055"/>
      <c r="B59" s="4776"/>
      <c r="C59" s="4777"/>
      <c r="D59" s="2054"/>
      <c r="E59" s="2054"/>
      <c r="F59" s="2054"/>
      <c r="G59" s="2054"/>
      <c r="H59" s="2054"/>
      <c r="I59" s="2054"/>
      <c r="J59" s="4780"/>
      <c r="K59" s="4778"/>
      <c r="L59" s="4778"/>
      <c r="M59" s="4778"/>
      <c r="N59" s="4778"/>
      <c r="O59" s="4778"/>
      <c r="P59" s="4789"/>
      <c r="Q59" s="2054"/>
      <c r="R59" s="2054"/>
      <c r="S59" s="2054"/>
      <c r="T59" s="2054"/>
      <c r="U59" s="2054"/>
      <c r="V59" s="2054"/>
      <c r="W59" s="1"/>
    </row>
    <row r="60" spans="1:35" ht="13.2">
      <c r="A60" s="2055"/>
      <c r="B60" s="4779"/>
      <c r="C60" s="4780"/>
      <c r="D60" s="2054"/>
      <c r="E60" s="2054"/>
      <c r="F60" s="2054"/>
      <c r="G60" s="2054"/>
      <c r="H60" s="2054"/>
      <c r="I60" s="2054"/>
      <c r="J60" s="4781"/>
      <c r="K60" s="4781"/>
      <c r="L60" s="4781"/>
      <c r="M60" s="4781"/>
      <c r="N60" s="4781"/>
      <c r="O60" s="4781"/>
      <c r="P60" s="4788"/>
      <c r="Q60" s="2054"/>
      <c r="R60" s="2054"/>
      <c r="S60" s="2054"/>
      <c r="T60" s="2054"/>
      <c r="U60" s="2054"/>
      <c r="V60" s="2054"/>
      <c r="W60" s="1"/>
      <c r="X60" s="4771"/>
      <c r="Y60" s="4771"/>
      <c r="Z60" s="4771"/>
      <c r="AA60" s="4771"/>
      <c r="AB60" s="4771"/>
      <c r="AC60" s="4771"/>
    </row>
    <row r="61" spans="1:35" ht="13.2">
      <c r="A61" s="2055"/>
      <c r="B61" s="4776"/>
      <c r="C61" s="4777"/>
      <c r="D61" s="2054"/>
      <c r="E61" s="2054"/>
      <c r="F61" s="2054"/>
      <c r="G61" s="2054"/>
      <c r="H61" s="2054"/>
      <c r="I61" s="2054"/>
      <c r="J61" s="4780"/>
      <c r="K61" s="4778"/>
      <c r="L61" s="4778"/>
      <c r="M61" s="4778"/>
      <c r="N61" s="4778"/>
      <c r="O61" s="4778"/>
      <c r="P61" s="4789"/>
      <c r="Q61" s="2054"/>
      <c r="R61" s="2054"/>
      <c r="S61" s="2054"/>
      <c r="T61" s="2054"/>
      <c r="U61" s="2054"/>
      <c r="V61" s="2054"/>
      <c r="W61" s="1"/>
    </row>
    <row r="62" spans="1:35" ht="13.2">
      <c r="A62" s="2055"/>
      <c r="B62" s="4779"/>
      <c r="C62" s="4780"/>
      <c r="D62" s="2054"/>
      <c r="E62" s="2054"/>
      <c r="F62" s="2054"/>
      <c r="G62" s="2054"/>
      <c r="H62" s="2054"/>
      <c r="I62" s="2054"/>
      <c r="J62" s="4781"/>
      <c r="K62" s="4781"/>
      <c r="L62" s="4781"/>
      <c r="M62" s="4781"/>
      <c r="N62" s="4781"/>
      <c r="O62" s="4781"/>
      <c r="P62" s="4788"/>
      <c r="Q62" s="2054"/>
      <c r="R62" s="2054"/>
      <c r="S62" s="2054"/>
      <c r="T62" s="2054"/>
      <c r="U62" s="2054"/>
      <c r="V62" s="2054"/>
      <c r="W62" s="1"/>
      <c r="X62" s="4771"/>
      <c r="Y62" s="4771"/>
      <c r="Z62" s="4771"/>
      <c r="AA62" s="4771"/>
      <c r="AB62" s="4771"/>
      <c r="AC62" s="4771"/>
    </row>
    <row r="63" spans="1:35" ht="13.2">
      <c r="A63" s="2055"/>
      <c r="B63" s="4776"/>
      <c r="C63" s="4777"/>
      <c r="D63" s="2054"/>
      <c r="E63" s="2054"/>
      <c r="F63" s="2054"/>
      <c r="G63" s="2054"/>
      <c r="H63" s="2054"/>
      <c r="I63" s="2054"/>
      <c r="J63" s="4780"/>
      <c r="K63" s="4778"/>
      <c r="L63" s="4778"/>
      <c r="M63" s="4778"/>
      <c r="N63" s="4778"/>
      <c r="O63" s="4778"/>
      <c r="P63" s="4789"/>
      <c r="Q63" s="2054"/>
      <c r="R63" s="2054"/>
      <c r="S63" s="2054"/>
      <c r="T63" s="2054"/>
      <c r="U63" s="2054"/>
      <c r="V63" s="2054"/>
      <c r="W63" s="1"/>
    </row>
    <row r="64" spans="1:35" ht="13.2">
      <c r="A64" s="2055"/>
      <c r="B64" s="4779"/>
      <c r="C64" s="4780"/>
      <c r="D64" s="2054"/>
      <c r="E64" s="2054"/>
      <c r="F64" s="2054"/>
      <c r="G64" s="2054"/>
      <c r="H64" s="2054"/>
      <c r="I64" s="2054"/>
      <c r="J64" s="4781"/>
      <c r="K64" s="4781"/>
      <c r="L64" s="4781"/>
      <c r="M64" s="4781"/>
      <c r="N64" s="4781"/>
      <c r="O64" s="4781"/>
      <c r="P64" s="4788"/>
      <c r="Q64" s="2054"/>
      <c r="R64" s="2054"/>
      <c r="S64" s="2054"/>
      <c r="T64" s="2054"/>
      <c r="U64" s="2054"/>
      <c r="V64" s="2054"/>
      <c r="W64" s="1"/>
      <c r="X64" s="4771"/>
      <c r="Y64" s="4771"/>
      <c r="Z64" s="4771"/>
      <c r="AA64" s="4771"/>
      <c r="AB64" s="4771"/>
      <c r="AC64" s="4771"/>
    </row>
    <row r="65" spans="1:35" ht="13.2">
      <c r="A65" s="2055"/>
      <c r="B65" s="4776"/>
      <c r="C65" s="4777"/>
      <c r="D65" s="2054"/>
      <c r="E65" s="2054"/>
      <c r="F65" s="2054"/>
      <c r="G65" s="2054"/>
      <c r="H65" s="2054"/>
      <c r="I65" s="2054"/>
      <c r="J65" s="4780"/>
      <c r="K65" s="4778"/>
      <c r="L65" s="4778"/>
      <c r="M65" s="4778"/>
      <c r="N65" s="4778"/>
      <c r="O65" s="4778"/>
      <c r="P65" s="4789"/>
      <c r="Q65" s="2054"/>
      <c r="R65" s="2054"/>
      <c r="S65" s="2054"/>
      <c r="T65" s="2054"/>
      <c r="U65" s="2054"/>
      <c r="V65" s="2054"/>
      <c r="W65" s="1"/>
    </row>
    <row r="66" spans="1:35" ht="13.2">
      <c r="A66" s="2055"/>
      <c r="B66" s="4779"/>
      <c r="C66" s="4780"/>
      <c r="D66" s="2054"/>
      <c r="E66" s="2054"/>
      <c r="F66" s="2054"/>
      <c r="G66" s="2054"/>
      <c r="H66" s="2054"/>
      <c r="I66" s="2054"/>
      <c r="J66" s="4780"/>
      <c r="K66" s="4780"/>
      <c r="L66" s="4780"/>
      <c r="M66" s="4780"/>
      <c r="N66" s="4780"/>
      <c r="O66" s="4780"/>
      <c r="P66" s="4788"/>
      <c r="Q66" s="2054"/>
      <c r="R66" s="2054"/>
      <c r="S66" s="2054"/>
      <c r="T66" s="2054"/>
      <c r="U66" s="2054"/>
      <c r="V66" s="2054"/>
      <c r="W66" s="1"/>
      <c r="X66" s="4771"/>
      <c r="Y66" s="4771"/>
      <c r="Z66" s="4771"/>
      <c r="AA66" s="4771"/>
      <c r="AB66" s="4771"/>
      <c r="AC66" s="4771"/>
    </row>
    <row r="67" spans="1:35" ht="13.2">
      <c r="A67" s="2055"/>
      <c r="B67" s="4776"/>
      <c r="C67" s="4777"/>
      <c r="D67" s="2054"/>
      <c r="E67" s="2054"/>
      <c r="F67" s="2054"/>
      <c r="G67" s="2054"/>
      <c r="H67" s="2054"/>
      <c r="I67" s="2054"/>
      <c r="J67" s="4780"/>
      <c r="K67" s="4778"/>
      <c r="L67" s="4778"/>
      <c r="M67" s="4778"/>
      <c r="N67" s="4778"/>
      <c r="O67" s="4778"/>
      <c r="P67" s="4790"/>
      <c r="Q67" s="2054"/>
      <c r="R67" s="2054"/>
      <c r="S67" s="2054"/>
      <c r="T67" s="2054"/>
      <c r="U67" s="2054"/>
      <c r="V67" s="2054"/>
      <c r="W67" s="1"/>
    </row>
    <row r="68" spans="1:35" ht="13.5" customHeight="1">
      <c r="A68" s="4783"/>
      <c r="B68" s="4783"/>
      <c r="C68" s="4783"/>
      <c r="D68" s="4783"/>
      <c r="E68" s="4783"/>
      <c r="F68" s="4783"/>
      <c r="G68" s="4783"/>
      <c r="H68" s="4783"/>
      <c r="I68" s="4783"/>
      <c r="J68" s="4791"/>
      <c r="K68" s="4791"/>
      <c r="L68" s="4791"/>
      <c r="M68" s="4791"/>
      <c r="N68" s="4791"/>
      <c r="O68" s="4791"/>
      <c r="P68" s="4783"/>
      <c r="Q68" s="4783"/>
      <c r="R68" s="4783"/>
      <c r="S68" s="4783"/>
      <c r="T68" s="4783"/>
      <c r="U68" s="4783"/>
      <c r="V68" s="4783"/>
      <c r="W68" s="1"/>
    </row>
    <row r="69" spans="1:35" ht="18" customHeight="1">
      <c r="A69" s="4767"/>
      <c r="B69" s="4785"/>
      <c r="C69" s="4765"/>
      <c r="D69" s="4765"/>
      <c r="E69" s="4765"/>
      <c r="F69" s="4765"/>
      <c r="G69" s="4765"/>
      <c r="H69" s="4765"/>
      <c r="I69" s="4765"/>
      <c r="J69" s="4765"/>
      <c r="K69" s="4765"/>
      <c r="L69" s="4765"/>
      <c r="M69" s="4765"/>
      <c r="N69" s="4765"/>
      <c r="O69" s="4765"/>
      <c r="P69" s="4765"/>
      <c r="Q69" s="4765"/>
      <c r="R69" s="4765"/>
      <c r="S69" s="4765"/>
      <c r="T69" s="4765"/>
      <c r="U69" s="4765"/>
      <c r="V69" s="4765"/>
      <c r="W69" s="1"/>
    </row>
    <row r="70" spans="1:35" ht="13.2">
      <c r="A70" s="2049"/>
      <c r="B70" s="4768"/>
      <c r="C70" s="2054"/>
      <c r="D70" s="4769"/>
      <c r="E70" s="4769"/>
      <c r="F70" s="4769"/>
      <c r="G70" s="4769"/>
      <c r="H70" s="4769"/>
      <c r="I70" s="4769"/>
      <c r="J70" s="4769"/>
      <c r="K70" s="4769"/>
      <c r="L70" s="4769"/>
      <c r="M70" s="4769"/>
      <c r="N70" s="4769"/>
      <c r="O70" s="4769"/>
      <c r="P70" s="4786"/>
      <c r="Q70" s="2054"/>
      <c r="R70" s="2049"/>
      <c r="S70" s="2049"/>
      <c r="T70" s="2049"/>
      <c r="U70" s="2049"/>
      <c r="V70" s="2049"/>
      <c r="W70" s="1"/>
      <c r="X70" s="4771"/>
      <c r="Y70" s="4771"/>
      <c r="Z70" s="4771"/>
      <c r="AA70" s="4771"/>
      <c r="AB70" s="4771"/>
      <c r="AC70" s="4771"/>
      <c r="AD70" s="4771"/>
      <c r="AE70" s="4771"/>
      <c r="AF70" s="4771"/>
      <c r="AG70" s="4771"/>
      <c r="AH70" s="4771"/>
      <c r="AI70" s="4771"/>
    </row>
    <row r="71" spans="1:35" ht="13.2">
      <c r="A71" s="2049"/>
      <c r="B71" s="4768"/>
      <c r="C71" s="2054"/>
      <c r="D71" s="4769"/>
      <c r="E71" s="4769"/>
      <c r="F71" s="4769"/>
      <c r="G71" s="4769"/>
      <c r="H71" s="4769"/>
      <c r="I71" s="4769"/>
      <c r="J71" s="4769"/>
      <c r="K71" s="4769"/>
      <c r="L71" s="4769"/>
      <c r="M71" s="4769"/>
      <c r="N71" s="4769"/>
      <c r="O71" s="4769"/>
      <c r="P71" s="4786"/>
      <c r="Q71" s="2054"/>
      <c r="R71" s="2049"/>
      <c r="S71" s="2049"/>
      <c r="T71" s="2049"/>
      <c r="U71" s="2049"/>
      <c r="V71" s="2049"/>
      <c r="W71" s="1"/>
      <c r="X71" s="4771"/>
      <c r="Y71" s="4771"/>
      <c r="Z71" s="4771"/>
      <c r="AA71" s="4771"/>
      <c r="AB71" s="4771"/>
      <c r="AC71" s="4771"/>
      <c r="AD71" s="4771"/>
      <c r="AE71" s="4771"/>
      <c r="AF71" s="4771"/>
      <c r="AG71" s="4771"/>
      <c r="AH71" s="4771"/>
      <c r="AI71" s="4771"/>
    </row>
    <row r="72" spans="1:35" ht="13.2">
      <c r="A72" s="2049"/>
      <c r="B72" s="4768"/>
      <c r="C72" s="2054"/>
      <c r="D72" s="4769"/>
      <c r="E72" s="4769"/>
      <c r="F72" s="4769"/>
      <c r="G72" s="4769"/>
      <c r="H72" s="4769"/>
      <c r="I72" s="4769"/>
      <c r="J72" s="4769"/>
      <c r="K72" s="4769"/>
      <c r="L72" s="4769"/>
      <c r="M72" s="4769"/>
      <c r="N72" s="4769"/>
      <c r="O72" s="4769"/>
      <c r="P72" s="4786"/>
      <c r="Q72" s="2054"/>
      <c r="R72" s="2049"/>
      <c r="S72" s="2049"/>
      <c r="T72" s="2049"/>
      <c r="U72" s="2049"/>
      <c r="V72" s="2049"/>
      <c r="W72" s="1"/>
      <c r="X72" s="4771"/>
      <c r="Y72" s="4771"/>
      <c r="Z72" s="4771"/>
      <c r="AA72" s="4771"/>
      <c r="AB72" s="4771"/>
      <c r="AC72" s="4771"/>
      <c r="AD72" s="4771"/>
      <c r="AE72" s="4771"/>
      <c r="AF72" s="4771"/>
      <c r="AG72" s="4771"/>
      <c r="AH72" s="4771"/>
      <c r="AI72" s="4771"/>
    </row>
    <row r="73" spans="1:35" ht="13.2">
      <c r="A73" s="2049"/>
      <c r="B73" s="4768"/>
      <c r="C73" s="2054"/>
      <c r="D73" s="4769"/>
      <c r="E73" s="4769"/>
      <c r="F73" s="4769"/>
      <c r="G73" s="4769"/>
      <c r="H73" s="4769"/>
      <c r="I73" s="4769"/>
      <c r="J73" s="4769"/>
      <c r="K73" s="4769"/>
      <c r="L73" s="4769"/>
      <c r="M73" s="4769"/>
      <c r="N73" s="4769"/>
      <c r="O73" s="4769"/>
      <c r="P73" s="4786"/>
      <c r="Q73" s="2054"/>
      <c r="R73" s="2049"/>
      <c r="S73" s="2049"/>
      <c r="T73" s="2049"/>
      <c r="U73" s="2049"/>
      <c r="V73" s="2049"/>
      <c r="W73" s="1"/>
      <c r="X73" s="4771"/>
      <c r="Y73" s="4771"/>
      <c r="Z73" s="4771"/>
      <c r="AA73" s="4771"/>
      <c r="AB73" s="4771"/>
      <c r="AC73" s="4771"/>
      <c r="AD73" s="4771"/>
      <c r="AE73" s="4771"/>
      <c r="AF73" s="4771"/>
      <c r="AG73" s="4771"/>
      <c r="AH73" s="4771"/>
      <c r="AI73" s="4771"/>
    </row>
    <row r="74" spans="1:35" ht="13.2">
      <c r="A74" s="2049"/>
      <c r="B74" s="4768"/>
      <c r="C74" s="2054"/>
      <c r="D74" s="4769"/>
      <c r="E74" s="4769"/>
      <c r="F74" s="4769"/>
      <c r="G74" s="4769"/>
      <c r="H74" s="4769"/>
      <c r="I74" s="4769"/>
      <c r="J74" s="4769"/>
      <c r="K74" s="4769"/>
      <c r="L74" s="4769"/>
      <c r="M74" s="4769"/>
      <c r="N74" s="4769"/>
      <c r="O74" s="4769"/>
      <c r="P74" s="4786"/>
      <c r="Q74" s="2054"/>
      <c r="R74" s="2049"/>
      <c r="S74" s="2049"/>
      <c r="T74" s="2049"/>
      <c r="U74" s="2049"/>
      <c r="V74" s="2049"/>
      <c r="W74" s="1"/>
      <c r="X74" s="4771"/>
      <c r="Y74" s="4771"/>
      <c r="Z74" s="4771"/>
      <c r="AA74" s="4771"/>
      <c r="AB74" s="4771"/>
      <c r="AC74" s="4771"/>
      <c r="AD74" s="4771"/>
      <c r="AE74" s="4771"/>
      <c r="AF74" s="4771"/>
      <c r="AG74" s="4771"/>
      <c r="AH74" s="4771"/>
      <c r="AI74" s="4771"/>
    </row>
    <row r="75" spans="1:35" ht="13.2">
      <c r="A75" s="2049"/>
      <c r="B75" s="4772"/>
      <c r="C75" s="2054"/>
      <c r="D75" s="4769"/>
      <c r="E75" s="4769"/>
      <c r="F75" s="4769"/>
      <c r="G75" s="4769"/>
      <c r="H75" s="4769"/>
      <c r="I75" s="4769"/>
      <c r="J75" s="4769"/>
      <c r="K75" s="4769"/>
      <c r="L75" s="4769"/>
      <c r="M75" s="4769"/>
      <c r="N75" s="4769"/>
      <c r="O75" s="4769"/>
      <c r="P75" s="4786"/>
      <c r="Q75" s="2054"/>
      <c r="R75" s="2049"/>
      <c r="S75" s="2049"/>
      <c r="T75" s="2049"/>
      <c r="U75" s="2049"/>
      <c r="V75" s="2049"/>
      <c r="W75" s="1"/>
      <c r="X75" s="4771"/>
      <c r="Y75" s="4771"/>
      <c r="Z75" s="4771"/>
      <c r="AA75" s="4771"/>
      <c r="AB75" s="4771"/>
      <c r="AC75" s="4771"/>
      <c r="AD75" s="4771"/>
      <c r="AE75" s="4771"/>
      <c r="AF75" s="4771"/>
      <c r="AG75" s="4771"/>
      <c r="AH75" s="4771"/>
      <c r="AI75" s="4771"/>
    </row>
    <row r="76" spans="1:35" ht="13.2">
      <c r="A76" s="2049"/>
      <c r="B76" s="4768"/>
      <c r="C76" s="2054"/>
      <c r="D76" s="4769"/>
      <c r="E76" s="4769"/>
      <c r="F76" s="4769"/>
      <c r="G76" s="4769"/>
      <c r="H76" s="4769"/>
      <c r="I76" s="4769"/>
      <c r="J76" s="4769"/>
      <c r="K76" s="4769"/>
      <c r="L76" s="4769"/>
      <c r="M76" s="4769"/>
      <c r="N76" s="4769"/>
      <c r="O76" s="4769"/>
      <c r="P76" s="4786"/>
      <c r="Q76" s="2054"/>
      <c r="R76" s="2049"/>
      <c r="S76" s="2049"/>
      <c r="T76" s="2049"/>
      <c r="U76" s="2049"/>
      <c r="V76" s="2049"/>
      <c r="W76" s="1"/>
      <c r="X76" s="4771"/>
      <c r="Y76" s="4771"/>
      <c r="Z76" s="4771"/>
      <c r="AA76" s="4771"/>
      <c r="AB76" s="4771"/>
      <c r="AC76" s="4771"/>
      <c r="AD76" s="4771"/>
      <c r="AE76" s="4771"/>
      <c r="AF76" s="4771"/>
      <c r="AG76" s="4771"/>
      <c r="AH76" s="4771"/>
      <c r="AI76" s="4771"/>
    </row>
    <row r="77" spans="1:35" ht="13.2">
      <c r="A77" s="2049"/>
      <c r="B77" s="4768"/>
      <c r="C77" s="2054"/>
      <c r="D77" s="4769"/>
      <c r="E77" s="4769"/>
      <c r="F77" s="4769"/>
      <c r="G77" s="4769"/>
      <c r="H77" s="4769"/>
      <c r="I77" s="4769"/>
      <c r="J77" s="4769"/>
      <c r="K77" s="4769"/>
      <c r="L77" s="4769"/>
      <c r="M77" s="4769"/>
      <c r="N77" s="4769"/>
      <c r="O77" s="4769"/>
      <c r="P77" s="4786"/>
      <c r="Q77" s="2054"/>
      <c r="R77" s="2049"/>
      <c r="S77" s="2049"/>
      <c r="T77" s="2049"/>
      <c r="U77" s="2049"/>
      <c r="V77" s="2049"/>
      <c r="W77" s="1"/>
      <c r="X77" s="4771"/>
      <c r="Y77" s="4771"/>
      <c r="Z77" s="4771"/>
      <c r="AA77" s="4771"/>
      <c r="AB77" s="4771"/>
      <c r="AC77" s="4771"/>
      <c r="AD77" s="4771"/>
      <c r="AE77" s="4771"/>
      <c r="AF77" s="4771"/>
      <c r="AG77" s="4771"/>
      <c r="AH77" s="4771"/>
      <c r="AI77" s="4771"/>
    </row>
    <row r="78" spans="1:35" ht="13.2">
      <c r="A78" s="2049"/>
      <c r="B78" s="4768"/>
      <c r="C78" s="2054"/>
      <c r="D78" s="2054"/>
      <c r="E78" s="2054"/>
      <c r="F78" s="2054"/>
      <c r="G78" s="2054"/>
      <c r="H78" s="2054"/>
      <c r="I78" s="2054"/>
      <c r="J78" s="4769"/>
      <c r="K78" s="4769"/>
      <c r="L78" s="4769"/>
      <c r="M78" s="4769"/>
      <c r="N78" s="4769"/>
      <c r="O78" s="4769"/>
      <c r="P78" s="4786"/>
      <c r="Q78" s="2054"/>
      <c r="R78" s="2054"/>
      <c r="S78" s="2054"/>
      <c r="T78" s="2054"/>
      <c r="U78" s="2054"/>
      <c r="V78" s="2054"/>
      <c r="W78" s="1"/>
      <c r="X78" s="4771"/>
      <c r="Y78" s="4771"/>
      <c r="Z78" s="4771"/>
      <c r="AA78" s="4771"/>
      <c r="AB78" s="4771"/>
      <c r="AC78" s="4771"/>
    </row>
    <row r="79" spans="1:35" ht="20.100000000000001" customHeight="1">
      <c r="A79" s="2049"/>
      <c r="B79" s="4773"/>
      <c r="C79" s="2054"/>
      <c r="D79" s="4774"/>
      <c r="E79" s="4774"/>
      <c r="F79" s="4774"/>
      <c r="G79" s="4774"/>
      <c r="H79" s="4774"/>
      <c r="I79" s="4774"/>
      <c r="J79" s="4774"/>
      <c r="K79" s="4774"/>
      <c r="L79" s="4774"/>
      <c r="M79" s="4774"/>
      <c r="N79" s="4774"/>
      <c r="O79" s="4774"/>
      <c r="P79" s="4787"/>
      <c r="Q79" s="2054"/>
      <c r="R79" s="2054"/>
      <c r="S79" s="2054"/>
      <c r="T79" s="2054"/>
      <c r="U79" s="2054"/>
      <c r="V79" s="2054"/>
      <c r="W79" s="1"/>
      <c r="X79" s="4771"/>
      <c r="Y79" s="4771"/>
      <c r="Z79" s="4771"/>
      <c r="AA79" s="4771"/>
      <c r="AB79" s="4771"/>
      <c r="AC79" s="4771"/>
    </row>
    <row r="80" spans="1:35" ht="15" customHeight="1">
      <c r="A80" s="2049"/>
      <c r="B80" s="4776"/>
      <c r="C80" s="4777"/>
      <c r="D80" s="4774"/>
      <c r="E80" s="4778"/>
      <c r="F80" s="4778"/>
      <c r="G80" s="4778"/>
      <c r="H80" s="4778"/>
      <c r="I80" s="4778"/>
      <c r="J80" s="4774"/>
      <c r="K80" s="4778"/>
      <c r="L80" s="4778"/>
      <c r="M80" s="4778"/>
      <c r="N80" s="4778"/>
      <c r="O80" s="4778"/>
      <c r="P80" s="4778"/>
      <c r="Q80" s="2054"/>
      <c r="R80" s="2054"/>
      <c r="S80" s="2054"/>
      <c r="T80" s="2054"/>
      <c r="U80" s="2054"/>
      <c r="V80" s="2054"/>
      <c r="W80" s="1"/>
    </row>
    <row r="81" spans="1:35" ht="13.5" customHeight="1">
      <c r="A81" s="3850"/>
      <c r="B81" s="3850"/>
      <c r="C81" s="3850"/>
      <c r="D81" s="3850"/>
      <c r="E81" s="3850"/>
      <c r="F81" s="3850"/>
      <c r="G81" s="3850"/>
      <c r="H81" s="3850"/>
      <c r="I81" s="3850"/>
      <c r="J81" s="3850"/>
      <c r="K81" s="3850"/>
      <c r="L81" s="3850"/>
      <c r="M81" s="3850"/>
      <c r="N81" s="3850"/>
      <c r="O81" s="3850"/>
      <c r="P81" s="3850"/>
      <c r="Q81" s="3850"/>
      <c r="R81" s="3850"/>
      <c r="S81" s="3850"/>
      <c r="T81" s="3850"/>
      <c r="U81" s="3850"/>
      <c r="V81" s="3850"/>
      <c r="W81" s="1"/>
    </row>
    <row r="82" spans="1:35" ht="13.2">
      <c r="A82" s="2055"/>
      <c r="B82" s="4779"/>
      <c r="C82" s="4780"/>
      <c r="D82" s="2054"/>
      <c r="E82" s="2054"/>
      <c r="F82" s="2054"/>
      <c r="G82" s="2054"/>
      <c r="H82" s="2054"/>
      <c r="I82" s="2054"/>
      <c r="J82" s="4781"/>
      <c r="K82" s="4781"/>
      <c r="L82" s="4781"/>
      <c r="M82" s="4781"/>
      <c r="N82" s="4781"/>
      <c r="O82" s="4781"/>
      <c r="P82" s="4788"/>
      <c r="Q82" s="2054"/>
      <c r="R82" s="2054"/>
      <c r="S82" s="2054"/>
      <c r="T82" s="2054"/>
      <c r="U82" s="2054"/>
      <c r="V82" s="2054"/>
      <c r="W82" s="1"/>
      <c r="X82" s="4771"/>
      <c r="Y82" s="4771"/>
      <c r="Z82" s="4771"/>
      <c r="AA82" s="4771"/>
      <c r="AB82" s="4771"/>
      <c r="AC82" s="4771"/>
    </row>
    <row r="83" spans="1:35" ht="13.2">
      <c r="A83" s="2055"/>
      <c r="B83" s="4776"/>
      <c r="C83" s="4777"/>
      <c r="D83" s="2054"/>
      <c r="E83" s="2054"/>
      <c r="F83" s="2054"/>
      <c r="G83" s="2054"/>
      <c r="H83" s="2054"/>
      <c r="I83" s="2054"/>
      <c r="J83" s="4780"/>
      <c r="K83" s="4778"/>
      <c r="L83" s="4778"/>
      <c r="M83" s="4778"/>
      <c r="N83" s="4778"/>
      <c r="O83" s="4778"/>
      <c r="P83" s="4789"/>
      <c r="Q83" s="2054"/>
      <c r="R83" s="2054"/>
      <c r="S83" s="2054"/>
      <c r="T83" s="2054"/>
      <c r="U83" s="2054"/>
      <c r="V83" s="2054"/>
      <c r="W83" s="1"/>
    </row>
    <row r="84" spans="1:35" ht="13.2">
      <c r="A84" s="2055"/>
      <c r="B84" s="4779"/>
      <c r="C84" s="4780"/>
      <c r="D84" s="2054"/>
      <c r="E84" s="2054"/>
      <c r="F84" s="2054"/>
      <c r="G84" s="2054"/>
      <c r="H84" s="2054"/>
      <c r="I84" s="2054"/>
      <c r="J84" s="4781"/>
      <c r="K84" s="4781"/>
      <c r="L84" s="4781"/>
      <c r="M84" s="4781"/>
      <c r="N84" s="4781"/>
      <c r="O84" s="4781"/>
      <c r="P84" s="4788"/>
      <c r="Q84" s="2054"/>
      <c r="R84" s="2054"/>
      <c r="S84" s="2054"/>
      <c r="T84" s="2054"/>
      <c r="U84" s="2054"/>
      <c r="V84" s="2054"/>
      <c r="W84" s="1"/>
      <c r="X84" s="4771"/>
      <c r="Y84" s="4771"/>
      <c r="Z84" s="4771"/>
      <c r="AA84" s="4771"/>
      <c r="AB84" s="4771"/>
      <c r="AC84" s="4771"/>
    </row>
    <row r="85" spans="1:35" ht="13.2">
      <c r="A85" s="2055"/>
      <c r="B85" s="4776"/>
      <c r="C85" s="4777"/>
      <c r="D85" s="2054"/>
      <c r="E85" s="2054"/>
      <c r="F85" s="2054"/>
      <c r="G85" s="2054"/>
      <c r="H85" s="2054"/>
      <c r="I85" s="2054"/>
      <c r="J85" s="4780"/>
      <c r="K85" s="4778"/>
      <c r="L85" s="4778"/>
      <c r="M85" s="4778"/>
      <c r="N85" s="4778"/>
      <c r="O85" s="4778"/>
      <c r="P85" s="4789"/>
      <c r="Q85" s="2054"/>
      <c r="R85" s="2054"/>
      <c r="S85" s="2054"/>
      <c r="T85" s="2054"/>
      <c r="U85" s="2054"/>
      <c r="V85" s="2054"/>
      <c r="W85" s="1"/>
    </row>
    <row r="86" spans="1:35" ht="13.2">
      <c r="A86" s="2055"/>
      <c r="B86" s="4779"/>
      <c r="C86" s="4780"/>
      <c r="D86" s="2054"/>
      <c r="E86" s="2054"/>
      <c r="F86" s="2054"/>
      <c r="G86" s="2054"/>
      <c r="H86" s="2054"/>
      <c r="I86" s="2054"/>
      <c r="J86" s="4781"/>
      <c r="K86" s="4781"/>
      <c r="L86" s="4781"/>
      <c r="M86" s="4781"/>
      <c r="N86" s="4781"/>
      <c r="O86" s="4781"/>
      <c r="P86" s="4788"/>
      <c r="Q86" s="2054"/>
      <c r="R86" s="2054"/>
      <c r="S86" s="2054"/>
      <c r="T86" s="2054"/>
      <c r="U86" s="2054"/>
      <c r="V86" s="2054"/>
      <c r="W86" s="1"/>
      <c r="X86" s="4771"/>
      <c r="Y86" s="4771"/>
      <c r="Z86" s="4771"/>
      <c r="AA86" s="4771"/>
      <c r="AB86" s="4771"/>
      <c r="AC86" s="4771"/>
    </row>
    <row r="87" spans="1:35" ht="13.2">
      <c r="A87" s="2055"/>
      <c r="B87" s="4776"/>
      <c r="C87" s="4777"/>
      <c r="D87" s="2054"/>
      <c r="E87" s="2054"/>
      <c r="F87" s="2054"/>
      <c r="G87" s="2054"/>
      <c r="H87" s="2054"/>
      <c r="I87" s="2054"/>
      <c r="J87" s="4780"/>
      <c r="K87" s="4778"/>
      <c r="L87" s="4778"/>
      <c r="M87" s="4778"/>
      <c r="N87" s="4778"/>
      <c r="O87" s="4778"/>
      <c r="P87" s="4789"/>
      <c r="Q87" s="2054"/>
      <c r="R87" s="2054"/>
      <c r="S87" s="2054"/>
      <c r="T87" s="2054"/>
      <c r="U87" s="2054"/>
      <c r="V87" s="2054"/>
      <c r="W87" s="1"/>
    </row>
    <row r="88" spans="1:35" ht="13.2">
      <c r="A88" s="2055"/>
      <c r="B88" s="4779"/>
      <c r="C88" s="4780"/>
      <c r="D88" s="2054"/>
      <c r="E88" s="2054"/>
      <c r="F88" s="2054"/>
      <c r="G88" s="2054"/>
      <c r="H88" s="2054"/>
      <c r="I88" s="2054"/>
      <c r="J88" s="4781"/>
      <c r="K88" s="4781"/>
      <c r="L88" s="4781"/>
      <c r="M88" s="4781"/>
      <c r="N88" s="4781"/>
      <c r="O88" s="4781"/>
      <c r="P88" s="4788"/>
      <c r="Q88" s="2054"/>
      <c r="R88" s="2054"/>
      <c r="S88" s="2054"/>
      <c r="T88" s="2054"/>
      <c r="U88" s="2054"/>
      <c r="V88" s="2054"/>
      <c r="W88" s="1"/>
      <c r="X88" s="4771"/>
      <c r="Y88" s="4771"/>
      <c r="Z88" s="4771"/>
      <c r="AA88" s="4771"/>
      <c r="AB88" s="4771"/>
      <c r="AC88" s="4771"/>
    </row>
    <row r="89" spans="1:35" ht="13.2">
      <c r="A89" s="2055"/>
      <c r="B89" s="4776"/>
      <c r="C89" s="4777"/>
      <c r="D89" s="2054"/>
      <c r="E89" s="2054"/>
      <c r="F89" s="2054"/>
      <c r="G89" s="2054"/>
      <c r="H89" s="2054"/>
      <c r="I89" s="2054"/>
      <c r="J89" s="4780"/>
      <c r="K89" s="4778"/>
      <c r="L89" s="4778"/>
      <c r="M89" s="4778"/>
      <c r="N89" s="4778"/>
      <c r="O89" s="4778"/>
      <c r="P89" s="4789"/>
      <c r="Q89" s="2054"/>
      <c r="R89" s="2054"/>
      <c r="S89" s="2054"/>
      <c r="T89" s="2054"/>
      <c r="U89" s="2054"/>
      <c r="V89" s="2054"/>
      <c r="W89" s="1"/>
    </row>
    <row r="90" spans="1:35" ht="13.2">
      <c r="A90" s="2055"/>
      <c r="B90" s="4779"/>
      <c r="C90" s="4780"/>
      <c r="D90" s="2054"/>
      <c r="E90" s="2054"/>
      <c r="F90" s="2054"/>
      <c r="G90" s="2054"/>
      <c r="H90" s="2054"/>
      <c r="I90" s="2054"/>
      <c r="J90" s="4781"/>
      <c r="K90" s="4781"/>
      <c r="L90" s="4781"/>
      <c r="M90" s="4781"/>
      <c r="N90" s="4781"/>
      <c r="O90" s="4781"/>
      <c r="P90" s="4788"/>
      <c r="Q90" s="2054"/>
      <c r="R90" s="2054"/>
      <c r="S90" s="2054"/>
      <c r="T90" s="2054"/>
      <c r="U90" s="2054"/>
      <c r="V90" s="2054"/>
      <c r="W90" s="1"/>
      <c r="X90" s="4771"/>
      <c r="Y90" s="4771"/>
      <c r="Z90" s="4771"/>
      <c r="AA90" s="4771"/>
      <c r="AB90" s="4771"/>
      <c r="AC90" s="4771"/>
    </row>
    <row r="91" spans="1:35" ht="13.2">
      <c r="A91" s="2055"/>
      <c r="B91" s="4776"/>
      <c r="C91" s="4777"/>
      <c r="D91" s="2054"/>
      <c r="E91" s="2054"/>
      <c r="F91" s="2054"/>
      <c r="G91" s="2054"/>
      <c r="H91" s="2054"/>
      <c r="I91" s="2054"/>
      <c r="J91" s="4780"/>
      <c r="K91" s="4778"/>
      <c r="L91" s="4778"/>
      <c r="M91" s="4778"/>
      <c r="N91" s="4778"/>
      <c r="O91" s="4778"/>
      <c r="P91" s="4789"/>
      <c r="Q91" s="2054"/>
      <c r="R91" s="2054"/>
      <c r="S91" s="2054"/>
      <c r="T91" s="2054"/>
      <c r="U91" s="2054"/>
      <c r="V91" s="2054"/>
      <c r="W91" s="1"/>
    </row>
    <row r="92" spans="1:35" ht="22.5" customHeight="1">
      <c r="A92" s="2055"/>
      <c r="B92" s="4779"/>
      <c r="C92" s="4780"/>
      <c r="D92" s="2054"/>
      <c r="E92" s="2054"/>
      <c r="F92" s="2054"/>
      <c r="G92" s="2054"/>
      <c r="H92" s="2054"/>
      <c r="I92" s="2054"/>
      <c r="J92" s="4780"/>
      <c r="K92" s="4780"/>
      <c r="L92" s="4780"/>
      <c r="M92" s="4780"/>
      <c r="N92" s="4780"/>
      <c r="O92" s="4780"/>
      <c r="P92" s="4788"/>
      <c r="Q92" s="2054"/>
      <c r="R92" s="2054"/>
      <c r="S92" s="2054"/>
      <c r="T92" s="2054"/>
      <c r="U92" s="2054"/>
      <c r="V92" s="2054"/>
      <c r="W92" s="1"/>
      <c r="X92" s="4771"/>
      <c r="Y92" s="4771"/>
      <c r="Z92" s="4771"/>
      <c r="AA92" s="4771"/>
      <c r="AB92" s="4771"/>
      <c r="AC92" s="4771"/>
    </row>
    <row r="93" spans="1:35" ht="13.2">
      <c r="A93" s="2055"/>
      <c r="B93" s="4776"/>
      <c r="C93" s="4777"/>
      <c r="D93" s="2054"/>
      <c r="E93" s="2054"/>
      <c r="F93" s="2054"/>
      <c r="G93" s="2054"/>
      <c r="H93" s="2054"/>
      <c r="I93" s="2054"/>
      <c r="J93" s="4780"/>
      <c r="K93" s="4778"/>
      <c r="L93" s="4778"/>
      <c r="M93" s="4778"/>
      <c r="N93" s="4778"/>
      <c r="O93" s="4778"/>
      <c r="P93" s="4790"/>
      <c r="Q93" s="2054"/>
      <c r="R93" s="2054"/>
      <c r="S93" s="2054"/>
      <c r="T93" s="2054"/>
      <c r="U93" s="2054"/>
      <c r="V93" s="2054"/>
      <c r="W93" s="1"/>
    </row>
    <row r="94" spans="1:35" ht="13.5" customHeight="1">
      <c r="A94" s="4783"/>
      <c r="B94" s="4783"/>
      <c r="C94" s="4783"/>
      <c r="D94" s="4783"/>
      <c r="E94" s="4783"/>
      <c r="F94" s="4783"/>
      <c r="G94" s="4783"/>
      <c r="H94" s="4783"/>
      <c r="I94" s="4783"/>
      <c r="J94" s="4792"/>
      <c r="K94" s="4792"/>
      <c r="L94" s="4792"/>
      <c r="M94" s="4792"/>
      <c r="N94" s="4792"/>
      <c r="O94" s="4792"/>
      <c r="P94" s="4783"/>
      <c r="Q94" s="4783"/>
      <c r="R94" s="4783"/>
      <c r="S94" s="4783"/>
      <c r="T94" s="4783"/>
      <c r="U94" s="4783"/>
      <c r="V94" s="4783"/>
      <c r="W94" s="1"/>
    </row>
    <row r="95" spans="1:35" ht="20.25" customHeight="1">
      <c r="A95" s="4767"/>
      <c r="B95" s="4785"/>
      <c r="C95" s="4765"/>
      <c r="D95" s="4765"/>
      <c r="E95" s="4765"/>
      <c r="F95" s="4765"/>
      <c r="G95" s="4765"/>
      <c r="H95" s="4765"/>
      <c r="I95" s="4765"/>
      <c r="J95" s="4765"/>
      <c r="K95" s="4765"/>
      <c r="L95" s="4765"/>
      <c r="M95" s="4765"/>
      <c r="N95" s="4765"/>
      <c r="O95" s="4765"/>
      <c r="P95" s="4765"/>
      <c r="Q95" s="4765"/>
      <c r="R95" s="4765"/>
      <c r="S95" s="4765"/>
      <c r="T95" s="4765"/>
      <c r="U95" s="4765"/>
      <c r="V95" s="4765"/>
      <c r="W95" s="1"/>
    </row>
    <row r="96" spans="1:35" ht="13.2">
      <c r="A96" s="2049"/>
      <c r="B96" s="4768"/>
      <c r="C96" s="2054"/>
      <c r="D96" s="4769"/>
      <c r="E96" s="4769"/>
      <c r="F96" s="4769"/>
      <c r="G96" s="4769"/>
      <c r="H96" s="4769"/>
      <c r="I96" s="4769"/>
      <c r="J96" s="4769"/>
      <c r="K96" s="4769"/>
      <c r="L96" s="4769"/>
      <c r="M96" s="4769"/>
      <c r="N96" s="4769"/>
      <c r="O96" s="4769"/>
      <c r="P96" s="4786"/>
      <c r="Q96" s="2054"/>
      <c r="R96" s="2049"/>
      <c r="S96" s="2049"/>
      <c r="T96" s="2049"/>
      <c r="U96" s="2049"/>
      <c r="V96" s="2049"/>
      <c r="W96" s="1"/>
      <c r="X96" s="4771"/>
      <c r="Y96" s="4771"/>
      <c r="Z96" s="4771"/>
      <c r="AA96" s="4771"/>
      <c r="AB96" s="4771"/>
      <c r="AC96" s="4771"/>
      <c r="AD96" s="4771"/>
      <c r="AE96" s="4771"/>
      <c r="AF96" s="4771"/>
      <c r="AG96" s="4771"/>
      <c r="AH96" s="4771"/>
      <c r="AI96" s="4771"/>
    </row>
    <row r="97" spans="1:35" ht="13.2">
      <c r="A97" s="2049"/>
      <c r="B97" s="4768"/>
      <c r="C97" s="2054"/>
      <c r="D97" s="4769"/>
      <c r="E97" s="4769"/>
      <c r="F97" s="4769"/>
      <c r="G97" s="4769"/>
      <c r="H97" s="4769"/>
      <c r="I97" s="4769"/>
      <c r="J97" s="4769"/>
      <c r="K97" s="4769"/>
      <c r="L97" s="4769"/>
      <c r="M97" s="4769"/>
      <c r="N97" s="4769"/>
      <c r="O97" s="4769"/>
      <c r="P97" s="4786"/>
      <c r="Q97" s="2054"/>
      <c r="R97" s="2049"/>
      <c r="S97" s="2049"/>
      <c r="T97" s="2049"/>
      <c r="U97" s="2049"/>
      <c r="V97" s="2049"/>
      <c r="W97" s="1"/>
      <c r="X97" s="4771"/>
      <c r="Y97" s="4771"/>
      <c r="Z97" s="4771"/>
      <c r="AA97" s="4771"/>
      <c r="AB97" s="4771"/>
      <c r="AC97" s="4771"/>
      <c r="AD97" s="4771"/>
      <c r="AE97" s="4771"/>
      <c r="AF97" s="4771"/>
      <c r="AG97" s="4771"/>
      <c r="AH97" s="4771"/>
      <c r="AI97" s="4771"/>
    </row>
    <row r="98" spans="1:35" ht="13.2">
      <c r="A98" s="2049"/>
      <c r="B98" s="4768"/>
      <c r="C98" s="2054"/>
      <c r="D98" s="4769"/>
      <c r="E98" s="4769"/>
      <c r="F98" s="4769"/>
      <c r="G98" s="4769"/>
      <c r="H98" s="4769"/>
      <c r="I98" s="4769"/>
      <c r="J98" s="4769"/>
      <c r="K98" s="4769"/>
      <c r="L98" s="4769"/>
      <c r="M98" s="4769"/>
      <c r="N98" s="4769"/>
      <c r="O98" s="4769"/>
      <c r="P98" s="4786"/>
      <c r="Q98" s="2054"/>
      <c r="R98" s="2049"/>
      <c r="S98" s="2049"/>
      <c r="T98" s="2049"/>
      <c r="U98" s="2049"/>
      <c r="V98" s="2049"/>
      <c r="W98" s="1"/>
      <c r="X98" s="4771"/>
      <c r="Y98" s="4771"/>
      <c r="Z98" s="4771"/>
      <c r="AA98" s="4771"/>
      <c r="AB98" s="4771"/>
      <c r="AC98" s="4771"/>
      <c r="AD98" s="4771"/>
      <c r="AE98" s="4771"/>
      <c r="AF98" s="4771"/>
      <c r="AG98" s="4771"/>
      <c r="AH98" s="4771"/>
      <c r="AI98" s="4771"/>
    </row>
    <row r="99" spans="1:35" ht="13.2">
      <c r="A99" s="2049"/>
      <c r="B99" s="4768"/>
      <c r="C99" s="2054"/>
      <c r="D99" s="4769"/>
      <c r="E99" s="4769"/>
      <c r="F99" s="4769"/>
      <c r="G99" s="4769"/>
      <c r="H99" s="4769"/>
      <c r="I99" s="4769"/>
      <c r="J99" s="4769"/>
      <c r="K99" s="4769"/>
      <c r="L99" s="4769"/>
      <c r="M99" s="4769"/>
      <c r="N99" s="4769"/>
      <c r="O99" s="4769"/>
      <c r="P99" s="4786"/>
      <c r="Q99" s="2054"/>
      <c r="R99" s="2049"/>
      <c r="S99" s="2049"/>
      <c r="T99" s="2049"/>
      <c r="U99" s="2049"/>
      <c r="V99" s="2049"/>
      <c r="W99" s="1"/>
      <c r="X99" s="4771"/>
      <c r="Y99" s="4771"/>
      <c r="Z99" s="4771"/>
      <c r="AA99" s="4771"/>
      <c r="AB99" s="4771"/>
      <c r="AC99" s="4771"/>
      <c r="AD99" s="4771"/>
      <c r="AE99" s="4771"/>
      <c r="AF99" s="4771"/>
      <c r="AG99" s="4771"/>
      <c r="AH99" s="4771"/>
      <c r="AI99" s="4771"/>
    </row>
    <row r="100" spans="1:35" ht="13.2">
      <c r="A100" s="2049"/>
      <c r="B100" s="4768"/>
      <c r="C100" s="2054"/>
      <c r="D100" s="4769"/>
      <c r="E100" s="4769"/>
      <c r="F100" s="4769"/>
      <c r="G100" s="4769"/>
      <c r="H100" s="4769"/>
      <c r="I100" s="4769"/>
      <c r="J100" s="4769"/>
      <c r="K100" s="4769"/>
      <c r="L100" s="4769"/>
      <c r="M100" s="4769"/>
      <c r="N100" s="4769"/>
      <c r="O100" s="4769"/>
      <c r="P100" s="4786"/>
      <c r="Q100" s="2054"/>
      <c r="R100" s="2049"/>
      <c r="S100" s="2049"/>
      <c r="T100" s="2049"/>
      <c r="U100" s="2049"/>
      <c r="V100" s="2049"/>
      <c r="W100" s="1"/>
      <c r="X100" s="4771"/>
      <c r="Y100" s="4771"/>
      <c r="Z100" s="4771"/>
      <c r="AA100" s="4771"/>
      <c r="AB100" s="4771"/>
      <c r="AC100" s="4771"/>
      <c r="AD100" s="4771"/>
      <c r="AE100" s="4771"/>
      <c r="AF100" s="4771"/>
      <c r="AG100" s="4771"/>
      <c r="AH100" s="4771"/>
      <c r="AI100" s="4771"/>
    </row>
    <row r="101" spans="1:35" ht="13.2">
      <c r="A101" s="2049"/>
      <c r="B101" s="4768"/>
      <c r="C101" s="2054"/>
      <c r="D101" s="4769"/>
      <c r="E101" s="4769"/>
      <c r="F101" s="4769"/>
      <c r="G101" s="4769"/>
      <c r="H101" s="4769"/>
      <c r="I101" s="4769"/>
      <c r="J101" s="4769"/>
      <c r="K101" s="4769"/>
      <c r="L101" s="4769"/>
      <c r="M101" s="4769"/>
      <c r="N101" s="4769"/>
      <c r="O101" s="4769"/>
      <c r="P101" s="4786"/>
      <c r="Q101" s="2054"/>
      <c r="R101" s="2049"/>
      <c r="S101" s="2049"/>
      <c r="T101" s="2049"/>
      <c r="U101" s="2049"/>
      <c r="V101" s="2049"/>
      <c r="W101" s="1"/>
      <c r="X101" s="4771"/>
      <c r="Y101" s="4771"/>
      <c r="Z101" s="4771"/>
      <c r="AA101" s="4771"/>
      <c r="AB101" s="4771"/>
      <c r="AC101" s="4771"/>
      <c r="AD101" s="4771"/>
      <c r="AE101" s="4771"/>
      <c r="AF101" s="4771"/>
      <c r="AG101" s="4771"/>
      <c r="AH101" s="4771"/>
      <c r="AI101" s="4771"/>
    </row>
    <row r="102" spans="1:35" ht="13.2">
      <c r="A102" s="2049"/>
      <c r="B102" s="4768"/>
      <c r="C102" s="2054"/>
      <c r="D102" s="4769"/>
      <c r="E102" s="4769"/>
      <c r="F102" s="4769"/>
      <c r="G102" s="4769"/>
      <c r="H102" s="4769"/>
      <c r="I102" s="4769"/>
      <c r="J102" s="4769"/>
      <c r="K102" s="4769"/>
      <c r="L102" s="4769"/>
      <c r="M102" s="4769"/>
      <c r="N102" s="4769"/>
      <c r="O102" s="4769"/>
      <c r="P102" s="4786"/>
      <c r="Q102" s="2054"/>
      <c r="R102" s="2049"/>
      <c r="S102" s="2049"/>
      <c r="T102" s="2049"/>
      <c r="U102" s="2049"/>
      <c r="V102" s="2049"/>
      <c r="W102" s="1"/>
      <c r="X102" s="4771"/>
      <c r="Y102" s="4771"/>
      <c r="Z102" s="4771"/>
      <c r="AA102" s="4771"/>
      <c r="AB102" s="4771"/>
      <c r="AC102" s="4771"/>
      <c r="AD102" s="4771"/>
      <c r="AE102" s="4771"/>
      <c r="AF102" s="4771"/>
      <c r="AG102" s="4771"/>
      <c r="AH102" s="4771"/>
      <c r="AI102" s="4771"/>
    </row>
    <row r="103" spans="1:35" ht="13.2">
      <c r="A103" s="2049"/>
      <c r="B103" s="4768"/>
      <c r="C103" s="2054"/>
      <c r="D103" s="4769"/>
      <c r="E103" s="4769"/>
      <c r="F103" s="4769"/>
      <c r="G103" s="4769"/>
      <c r="H103" s="4769"/>
      <c r="I103" s="4769"/>
      <c r="J103" s="4769"/>
      <c r="K103" s="4769"/>
      <c r="L103" s="4769"/>
      <c r="M103" s="4769"/>
      <c r="N103" s="4769"/>
      <c r="O103" s="4769"/>
      <c r="P103" s="4786"/>
      <c r="Q103" s="2054"/>
      <c r="R103" s="2049"/>
      <c r="S103" s="2049"/>
      <c r="T103" s="2049"/>
      <c r="U103" s="2049"/>
      <c r="V103" s="2049"/>
      <c r="W103" s="1"/>
      <c r="X103" s="4771"/>
      <c r="Y103" s="4771"/>
      <c r="Z103" s="4771"/>
      <c r="AA103" s="4771"/>
      <c r="AB103" s="4771"/>
      <c r="AC103" s="4771"/>
      <c r="AD103" s="4771"/>
      <c r="AE103" s="4771"/>
      <c r="AF103" s="4771"/>
      <c r="AG103" s="4771"/>
      <c r="AH103" s="4771"/>
      <c r="AI103" s="4771"/>
    </row>
    <row r="104" spans="1:35" ht="13.2">
      <c r="A104" s="2049"/>
      <c r="B104" s="4768"/>
      <c r="C104" s="2054"/>
      <c r="D104" s="4769"/>
      <c r="E104" s="4769"/>
      <c r="F104" s="4769"/>
      <c r="G104" s="4769"/>
      <c r="H104" s="4769"/>
      <c r="I104" s="4769"/>
      <c r="J104" s="4769"/>
      <c r="K104" s="4769"/>
      <c r="L104" s="4769"/>
      <c r="M104" s="4769"/>
      <c r="N104" s="4769"/>
      <c r="O104" s="4769"/>
      <c r="P104" s="4786"/>
      <c r="Q104" s="2054"/>
      <c r="R104" s="2049"/>
      <c r="S104" s="2049"/>
      <c r="T104" s="2049"/>
      <c r="U104" s="2049"/>
      <c r="V104" s="2049"/>
      <c r="W104" s="1"/>
      <c r="X104" s="4771"/>
      <c r="Y104" s="4771"/>
      <c r="Z104" s="4771"/>
      <c r="AA104" s="4771"/>
      <c r="AB104" s="4771"/>
      <c r="AC104" s="4771"/>
      <c r="AD104" s="4771"/>
      <c r="AE104" s="4771"/>
      <c r="AF104" s="4771"/>
      <c r="AG104" s="4771"/>
      <c r="AH104" s="4771"/>
      <c r="AI104" s="4771"/>
    </row>
    <row r="105" spans="1:35" ht="13.2">
      <c r="A105" s="2049"/>
      <c r="B105" s="4768"/>
      <c r="C105" s="2054"/>
      <c r="D105" s="4769"/>
      <c r="E105" s="4769"/>
      <c r="F105" s="4769"/>
      <c r="G105" s="4769"/>
      <c r="H105" s="4769"/>
      <c r="I105" s="4769"/>
      <c r="J105" s="4769"/>
      <c r="K105" s="4769"/>
      <c r="L105" s="4769"/>
      <c r="M105" s="4769"/>
      <c r="N105" s="4769"/>
      <c r="O105" s="4769"/>
      <c r="P105" s="4786"/>
      <c r="Q105" s="2054"/>
      <c r="R105" s="2049"/>
      <c r="S105" s="2049"/>
      <c r="T105" s="2049"/>
      <c r="U105" s="2049"/>
      <c r="V105" s="2049"/>
      <c r="W105" s="1"/>
      <c r="X105" s="4771"/>
      <c r="Y105" s="4771"/>
      <c r="Z105" s="4771"/>
      <c r="AA105" s="4771"/>
      <c r="AB105" s="4771"/>
      <c r="AC105" s="4771"/>
      <c r="AD105" s="4771"/>
      <c r="AE105" s="4771"/>
      <c r="AF105" s="4771"/>
      <c r="AG105" s="4771"/>
      <c r="AH105" s="4771"/>
      <c r="AI105" s="4771"/>
    </row>
    <row r="106" spans="1:35" ht="13.2">
      <c r="A106" s="2049"/>
      <c r="B106" s="4772"/>
      <c r="C106" s="2054"/>
      <c r="D106" s="4769"/>
      <c r="E106" s="4769"/>
      <c r="F106" s="4769"/>
      <c r="G106" s="4769"/>
      <c r="H106" s="4769"/>
      <c r="I106" s="4769"/>
      <c r="J106" s="4769"/>
      <c r="K106" s="4769"/>
      <c r="L106" s="4769"/>
      <c r="M106" s="4769"/>
      <c r="N106" s="4769"/>
      <c r="O106" s="4769"/>
      <c r="P106" s="4786"/>
      <c r="Q106" s="2054"/>
      <c r="R106" s="2049"/>
      <c r="S106" s="2049"/>
      <c r="T106" s="2049"/>
      <c r="U106" s="2049"/>
      <c r="V106" s="2049"/>
      <c r="W106" s="1"/>
      <c r="X106" s="4771"/>
      <c r="Y106" s="4771"/>
      <c r="Z106" s="4771"/>
      <c r="AA106" s="4771"/>
      <c r="AB106" s="4771"/>
      <c r="AC106" s="4771"/>
      <c r="AD106" s="4771"/>
      <c r="AE106" s="4771"/>
      <c r="AF106" s="4771"/>
      <c r="AG106" s="4771"/>
      <c r="AH106" s="4771"/>
      <c r="AI106" s="4771"/>
    </row>
    <row r="107" spans="1:35" ht="13.2">
      <c r="A107" s="2049"/>
      <c r="B107" s="4772"/>
      <c r="C107" s="2054"/>
      <c r="D107" s="4769"/>
      <c r="E107" s="4769"/>
      <c r="F107" s="4769"/>
      <c r="G107" s="4769"/>
      <c r="H107" s="4769"/>
      <c r="I107" s="4769"/>
      <c r="J107" s="4769"/>
      <c r="K107" s="4769"/>
      <c r="L107" s="4769"/>
      <c r="M107" s="4769"/>
      <c r="N107" s="4769"/>
      <c r="O107" s="4769"/>
      <c r="P107" s="4786"/>
      <c r="Q107" s="2054"/>
      <c r="R107" s="2049"/>
      <c r="S107" s="2049"/>
      <c r="T107" s="2049"/>
      <c r="U107" s="2049"/>
      <c r="V107" s="2049"/>
      <c r="W107" s="1"/>
      <c r="X107" s="4771"/>
      <c r="Y107" s="4771"/>
      <c r="Z107" s="4771"/>
      <c r="AA107" s="4771"/>
      <c r="AB107" s="4771"/>
      <c r="AC107" s="4771"/>
      <c r="AD107" s="4771"/>
      <c r="AE107" s="4771"/>
      <c r="AF107" s="4771"/>
      <c r="AG107" s="4771"/>
      <c r="AH107" s="4771"/>
      <c r="AI107" s="4771"/>
    </row>
    <row r="108" spans="1:35" ht="13.2">
      <c r="A108" s="2049"/>
      <c r="B108" s="4768"/>
      <c r="C108" s="2054"/>
      <c r="D108" s="4769"/>
      <c r="E108" s="4769"/>
      <c r="F108" s="4769"/>
      <c r="G108" s="4769"/>
      <c r="H108" s="4769"/>
      <c r="I108" s="4769"/>
      <c r="J108" s="4769"/>
      <c r="K108" s="4769"/>
      <c r="L108" s="4769"/>
      <c r="M108" s="4769"/>
      <c r="N108" s="4769"/>
      <c r="O108" s="4769"/>
      <c r="P108" s="4786"/>
      <c r="Q108" s="2054"/>
      <c r="R108" s="2049"/>
      <c r="S108" s="2049"/>
      <c r="T108" s="2049"/>
      <c r="U108" s="2049"/>
      <c r="V108" s="2049"/>
      <c r="W108" s="1"/>
      <c r="X108" s="4771"/>
      <c r="Y108" s="4771"/>
      <c r="Z108" s="4771"/>
      <c r="AA108" s="4771"/>
      <c r="AB108" s="4771"/>
      <c r="AC108" s="4771"/>
      <c r="AD108" s="4771"/>
      <c r="AE108" s="4771"/>
      <c r="AF108" s="4771"/>
      <c r="AG108" s="4771"/>
      <c r="AH108" s="4771"/>
      <c r="AI108" s="4771"/>
    </row>
    <row r="109" spans="1:35" ht="13.2">
      <c r="A109" s="2049"/>
      <c r="B109" s="4768"/>
      <c r="C109" s="2054"/>
      <c r="D109" s="2054"/>
      <c r="E109" s="2054"/>
      <c r="F109" s="2054"/>
      <c r="G109" s="2054"/>
      <c r="H109" s="2054"/>
      <c r="I109" s="2054"/>
      <c r="J109" s="4769"/>
      <c r="K109" s="4769"/>
      <c r="L109" s="4769"/>
      <c r="M109" s="4769"/>
      <c r="N109" s="4769"/>
      <c r="O109" s="4769"/>
      <c r="P109" s="4786"/>
      <c r="Q109" s="2054"/>
      <c r="R109" s="2054"/>
      <c r="S109" s="2054"/>
      <c r="T109" s="2054"/>
      <c r="U109" s="2054"/>
      <c r="V109" s="2054"/>
      <c r="W109" s="1"/>
      <c r="X109" s="4771"/>
      <c r="Y109" s="4771"/>
      <c r="Z109" s="4771"/>
      <c r="AA109" s="4771"/>
      <c r="AB109" s="4771"/>
      <c r="AC109" s="4771"/>
    </row>
    <row r="110" spans="1:35" ht="13.2">
      <c r="A110" s="2049"/>
      <c r="B110" s="4773"/>
      <c r="C110" s="2054"/>
      <c r="D110" s="4774"/>
      <c r="E110" s="4774"/>
      <c r="F110" s="4774"/>
      <c r="G110" s="4774"/>
      <c r="H110" s="4774"/>
      <c r="I110" s="4774"/>
      <c r="J110" s="4774"/>
      <c r="K110" s="4774"/>
      <c r="L110" s="4774"/>
      <c r="M110" s="4774"/>
      <c r="N110" s="4774"/>
      <c r="O110" s="4774"/>
      <c r="P110" s="4787"/>
      <c r="Q110" s="2054"/>
      <c r="R110" s="2054"/>
      <c r="S110" s="2054"/>
      <c r="T110" s="2054"/>
      <c r="U110" s="2054"/>
      <c r="V110" s="2054"/>
      <c r="W110" s="1"/>
      <c r="X110" s="4771"/>
      <c r="Y110" s="4771"/>
      <c r="Z110" s="4771"/>
      <c r="AA110" s="4771"/>
      <c r="AB110" s="4771"/>
      <c r="AC110" s="4771"/>
    </row>
    <row r="111" spans="1:35" ht="13.2">
      <c r="A111" s="2049"/>
      <c r="B111" s="4776"/>
      <c r="C111" s="4777"/>
      <c r="D111" s="4774"/>
      <c r="E111" s="4778"/>
      <c r="F111" s="4778"/>
      <c r="G111" s="4778"/>
      <c r="H111" s="4778"/>
      <c r="I111" s="4778"/>
      <c r="J111" s="4774"/>
      <c r="K111" s="4778"/>
      <c r="L111" s="4778"/>
      <c r="M111" s="4778"/>
      <c r="N111" s="4778"/>
      <c r="O111" s="4778"/>
      <c r="P111" s="4778"/>
      <c r="Q111" s="2054"/>
      <c r="R111" s="2054"/>
      <c r="S111" s="2054"/>
      <c r="T111" s="2054"/>
      <c r="U111" s="2054"/>
      <c r="V111" s="2054"/>
      <c r="W111" s="1"/>
    </row>
    <row r="112" spans="1:35" ht="13.5" customHeight="1">
      <c r="A112" s="3850"/>
      <c r="B112" s="3850"/>
      <c r="C112" s="3850"/>
      <c r="D112" s="3850"/>
      <c r="E112" s="3850"/>
      <c r="F112" s="3850"/>
      <c r="G112" s="3850"/>
      <c r="H112" s="3850"/>
      <c r="I112" s="3850"/>
      <c r="J112" s="3850"/>
      <c r="K112" s="3850"/>
      <c r="L112" s="3850"/>
      <c r="M112" s="3850"/>
      <c r="N112" s="3850"/>
      <c r="O112" s="3850"/>
      <c r="P112" s="3850"/>
      <c r="Q112" s="3850"/>
      <c r="R112" s="3850"/>
      <c r="S112" s="3850"/>
      <c r="T112" s="3850"/>
      <c r="U112" s="3850"/>
      <c r="V112" s="3850"/>
      <c r="W112" s="1"/>
    </row>
    <row r="113" spans="1:29" ht="13.2">
      <c r="A113" s="2055"/>
      <c r="B113" s="4779"/>
      <c r="C113" s="4780"/>
      <c r="D113" s="2054"/>
      <c r="E113" s="2054"/>
      <c r="F113" s="2054"/>
      <c r="G113" s="2054"/>
      <c r="H113" s="2054"/>
      <c r="I113" s="2054"/>
      <c r="J113" s="4781"/>
      <c r="K113" s="4781"/>
      <c r="L113" s="4781"/>
      <c r="M113" s="4781"/>
      <c r="N113" s="4781"/>
      <c r="O113" s="4781"/>
      <c r="P113" s="4788"/>
      <c r="Q113" s="2054"/>
      <c r="R113" s="2054"/>
      <c r="S113" s="2054"/>
      <c r="T113" s="2054"/>
      <c r="U113" s="2054"/>
      <c r="V113" s="2054"/>
      <c r="W113" s="1"/>
      <c r="X113" s="4771"/>
      <c r="Y113" s="4771"/>
      <c r="Z113" s="4771"/>
      <c r="AA113" s="4771"/>
      <c r="AB113" s="4771"/>
      <c r="AC113" s="4771"/>
    </row>
    <row r="114" spans="1:29" ht="13.2">
      <c r="A114" s="2055"/>
      <c r="B114" s="4776"/>
      <c r="C114" s="4777"/>
      <c r="D114" s="2054"/>
      <c r="E114" s="2054"/>
      <c r="F114" s="2054"/>
      <c r="G114" s="2054"/>
      <c r="H114" s="2054"/>
      <c r="I114" s="2054"/>
      <c r="J114" s="4780"/>
      <c r="K114" s="4778"/>
      <c r="L114" s="4778"/>
      <c r="M114" s="4778"/>
      <c r="N114" s="4778"/>
      <c r="O114" s="4778"/>
      <c r="P114" s="4789"/>
      <c r="Q114" s="2054"/>
      <c r="R114" s="2054"/>
      <c r="S114" s="2054"/>
      <c r="T114" s="2054"/>
      <c r="U114" s="2054"/>
      <c r="V114" s="2054"/>
      <c r="W114" s="1"/>
    </row>
    <row r="115" spans="1:29" ht="13.2">
      <c r="A115" s="2055"/>
      <c r="B115" s="4779"/>
      <c r="C115" s="4780"/>
      <c r="D115" s="2054"/>
      <c r="E115" s="2054"/>
      <c r="F115" s="2054"/>
      <c r="G115" s="2054"/>
      <c r="H115" s="2054"/>
      <c r="I115" s="2054"/>
      <c r="J115" s="4781"/>
      <c r="K115" s="4781"/>
      <c r="L115" s="4781"/>
      <c r="M115" s="4781"/>
      <c r="N115" s="4781"/>
      <c r="O115" s="4781"/>
      <c r="P115" s="4788"/>
      <c r="Q115" s="2054"/>
      <c r="R115" s="2054"/>
      <c r="S115" s="2054"/>
      <c r="T115" s="2054"/>
      <c r="U115" s="2054"/>
      <c r="V115" s="2054"/>
      <c r="W115" s="1"/>
      <c r="X115" s="4771"/>
      <c r="Y115" s="4771"/>
      <c r="Z115" s="4771"/>
      <c r="AA115" s="4771"/>
      <c r="AB115" s="4771"/>
      <c r="AC115" s="4771"/>
    </row>
    <row r="116" spans="1:29" ht="13.2">
      <c r="A116" s="2055"/>
      <c r="B116" s="4776"/>
      <c r="C116" s="4777"/>
      <c r="D116" s="2054"/>
      <c r="E116" s="2054"/>
      <c r="F116" s="2054"/>
      <c r="G116" s="2054"/>
      <c r="H116" s="2054"/>
      <c r="I116" s="2054"/>
      <c r="J116" s="4780"/>
      <c r="K116" s="4778"/>
      <c r="L116" s="4778"/>
      <c r="M116" s="4778"/>
      <c r="N116" s="4778"/>
      <c r="O116" s="4778"/>
      <c r="P116" s="4789"/>
      <c r="Q116" s="2054"/>
      <c r="R116" s="2054"/>
      <c r="S116" s="2054"/>
      <c r="T116" s="2054"/>
      <c r="U116" s="2054"/>
      <c r="V116" s="2054"/>
      <c r="W116" s="1"/>
    </row>
    <row r="117" spans="1:29" ht="13.2">
      <c r="A117" s="2055"/>
      <c r="B117" s="4779"/>
      <c r="C117" s="4780"/>
      <c r="D117" s="2054"/>
      <c r="E117" s="2054"/>
      <c r="F117" s="2054"/>
      <c r="G117" s="2054"/>
      <c r="H117" s="2054"/>
      <c r="I117" s="2054"/>
      <c r="J117" s="4781"/>
      <c r="K117" s="4781"/>
      <c r="L117" s="4781"/>
      <c r="M117" s="4781"/>
      <c r="N117" s="4781"/>
      <c r="O117" s="4781"/>
      <c r="P117" s="4788"/>
      <c r="Q117" s="2054"/>
      <c r="R117" s="2054"/>
      <c r="S117" s="2054"/>
      <c r="T117" s="2054"/>
      <c r="U117" s="2054"/>
      <c r="V117" s="2054"/>
      <c r="W117" s="1"/>
      <c r="X117" s="4771"/>
      <c r="Y117" s="4771"/>
      <c r="Z117" s="4771"/>
      <c r="AA117" s="4771"/>
      <c r="AB117" s="4771"/>
      <c r="AC117" s="4771"/>
    </row>
    <row r="118" spans="1:29" ht="13.2">
      <c r="A118" s="2055"/>
      <c r="B118" s="4776"/>
      <c r="C118" s="4777"/>
      <c r="D118" s="2054"/>
      <c r="E118" s="2054"/>
      <c r="F118" s="2054"/>
      <c r="G118" s="2054"/>
      <c r="H118" s="2054"/>
      <c r="I118" s="2054"/>
      <c r="J118" s="4780"/>
      <c r="K118" s="4778"/>
      <c r="L118" s="4778"/>
      <c r="M118" s="4778"/>
      <c r="N118" s="4778"/>
      <c r="O118" s="4778"/>
      <c r="P118" s="4789"/>
      <c r="Q118" s="2054"/>
      <c r="R118" s="2054"/>
      <c r="S118" s="2054"/>
      <c r="T118" s="2054"/>
      <c r="U118" s="2054"/>
      <c r="V118" s="2054"/>
      <c r="W118" s="1"/>
    </row>
    <row r="119" spans="1:29" ht="13.2">
      <c r="A119" s="2055"/>
      <c r="B119" s="4779"/>
      <c r="C119" s="4780"/>
      <c r="D119" s="2054"/>
      <c r="E119" s="2054"/>
      <c r="F119" s="2054"/>
      <c r="G119" s="2054"/>
      <c r="H119" s="2054"/>
      <c r="I119" s="2054"/>
      <c r="J119" s="4781"/>
      <c r="K119" s="4781"/>
      <c r="L119" s="4781"/>
      <c r="M119" s="4781"/>
      <c r="N119" s="4781"/>
      <c r="O119" s="4781"/>
      <c r="P119" s="4788"/>
      <c r="Q119" s="2054"/>
      <c r="R119" s="2054"/>
      <c r="S119" s="2054"/>
      <c r="T119" s="2054"/>
      <c r="U119" s="2054"/>
      <c r="V119" s="2054"/>
      <c r="W119" s="1"/>
      <c r="X119" s="4771"/>
      <c r="Y119" s="4771"/>
      <c r="Z119" s="4771"/>
      <c r="AA119" s="4771"/>
      <c r="AB119" s="4771"/>
      <c r="AC119" s="4771"/>
    </row>
    <row r="120" spans="1:29" ht="13.2">
      <c r="A120" s="2055"/>
      <c r="B120" s="4776"/>
      <c r="C120" s="4777"/>
      <c r="D120" s="2054"/>
      <c r="E120" s="2054"/>
      <c r="F120" s="2054"/>
      <c r="G120" s="2054"/>
      <c r="H120" s="2054"/>
      <c r="I120" s="2054"/>
      <c r="J120" s="4780"/>
      <c r="K120" s="4778"/>
      <c r="L120" s="4778"/>
      <c r="M120" s="4778"/>
      <c r="N120" s="4778"/>
      <c r="O120" s="4778"/>
      <c r="P120" s="4789"/>
      <c r="Q120" s="2054"/>
      <c r="R120" s="2054"/>
      <c r="S120" s="2054"/>
      <c r="T120" s="2054"/>
      <c r="U120" s="2054"/>
      <c r="V120" s="2054"/>
      <c r="W120" s="1"/>
    </row>
    <row r="121" spans="1:29" ht="13.2">
      <c r="A121" s="2055"/>
      <c r="B121" s="4779"/>
      <c r="C121" s="4780"/>
      <c r="D121" s="2054"/>
      <c r="E121" s="2054"/>
      <c r="F121" s="2054"/>
      <c r="G121" s="2054"/>
      <c r="H121" s="2054"/>
      <c r="I121" s="2054"/>
      <c r="J121" s="4781"/>
      <c r="K121" s="4781"/>
      <c r="L121" s="4781"/>
      <c r="M121" s="4781"/>
      <c r="N121" s="4781"/>
      <c r="O121" s="4781"/>
      <c r="P121" s="4788"/>
      <c r="Q121" s="2054"/>
      <c r="R121" s="2054"/>
      <c r="S121" s="2054"/>
      <c r="T121" s="2054"/>
      <c r="U121" s="2054"/>
      <c r="V121" s="2054"/>
      <c r="W121" s="1"/>
      <c r="X121" s="4771"/>
      <c r="Y121" s="4771"/>
      <c r="Z121" s="4771"/>
      <c r="AA121" s="4771"/>
      <c r="AB121" s="4771"/>
      <c r="AC121" s="4771"/>
    </row>
    <row r="122" spans="1:29" ht="13.2">
      <c r="A122" s="2055"/>
      <c r="B122" s="4776"/>
      <c r="C122" s="4777"/>
      <c r="D122" s="2054"/>
      <c r="E122" s="2054"/>
      <c r="F122" s="2054"/>
      <c r="G122" s="2054"/>
      <c r="H122" s="2054"/>
      <c r="I122" s="2054"/>
      <c r="J122" s="4780"/>
      <c r="K122" s="4778"/>
      <c r="L122" s="4778"/>
      <c r="M122" s="4778"/>
      <c r="N122" s="4778"/>
      <c r="O122" s="4778"/>
      <c r="P122" s="4789"/>
      <c r="Q122" s="2054"/>
      <c r="R122" s="2054"/>
      <c r="S122" s="2054"/>
      <c r="T122" s="2054"/>
      <c r="U122" s="2054"/>
      <c r="V122" s="2054"/>
      <c r="W122" s="1"/>
    </row>
    <row r="123" spans="1:29" ht="13.2">
      <c r="A123" s="2055"/>
      <c r="B123" s="4779"/>
      <c r="C123" s="4780"/>
      <c r="D123" s="2054"/>
      <c r="E123" s="2054"/>
      <c r="F123" s="2054"/>
      <c r="G123" s="2054"/>
      <c r="H123" s="2054"/>
      <c r="I123" s="2054"/>
      <c r="J123" s="4780"/>
      <c r="K123" s="4780"/>
      <c r="L123" s="4780"/>
      <c r="M123" s="4780"/>
      <c r="N123" s="4780"/>
      <c r="O123" s="4780"/>
      <c r="P123" s="4788"/>
      <c r="Q123" s="2054"/>
      <c r="R123" s="2054"/>
      <c r="S123" s="2054"/>
      <c r="T123" s="2054"/>
      <c r="U123" s="2054"/>
      <c r="V123" s="2054"/>
      <c r="W123" s="1"/>
      <c r="X123" s="4771"/>
      <c r="Y123" s="4771"/>
      <c r="Z123" s="4771"/>
      <c r="AA123" s="4771"/>
      <c r="AB123" s="4771"/>
      <c r="AC123" s="4771"/>
    </row>
    <row r="124" spans="1:29" ht="13.2">
      <c r="A124" s="2055"/>
      <c r="B124" s="4776"/>
      <c r="C124" s="4777"/>
      <c r="D124" s="2054"/>
      <c r="E124" s="2054"/>
      <c r="F124" s="2054"/>
      <c r="G124" s="2054"/>
      <c r="H124" s="2054"/>
      <c r="I124" s="2054"/>
      <c r="J124" s="4780"/>
      <c r="K124" s="4778"/>
      <c r="L124" s="4778"/>
      <c r="M124" s="4778"/>
      <c r="N124" s="4778"/>
      <c r="O124" s="4778"/>
      <c r="P124" s="4790"/>
      <c r="Q124" s="2054"/>
      <c r="R124" s="2054"/>
      <c r="S124" s="2054"/>
      <c r="T124" s="2054"/>
      <c r="U124" s="2054"/>
      <c r="V124" s="2054"/>
      <c r="W124" s="1"/>
    </row>
    <row r="125" spans="1:29" ht="13.5" customHeight="1">
      <c r="A125" s="4783"/>
      <c r="B125" s="4783"/>
      <c r="C125" s="4783"/>
      <c r="D125" s="4783"/>
      <c r="E125" s="4783"/>
      <c r="F125" s="4783"/>
      <c r="G125" s="4783"/>
      <c r="H125" s="4783"/>
      <c r="I125" s="4783"/>
      <c r="J125" s="4783"/>
      <c r="K125" s="4783"/>
      <c r="L125" s="4783"/>
      <c r="M125" s="4783"/>
      <c r="N125" s="4783"/>
      <c r="O125" s="4783"/>
      <c r="P125" s="4783"/>
      <c r="Q125" s="4783"/>
      <c r="R125" s="4783"/>
      <c r="S125" s="4783"/>
      <c r="T125" s="4783"/>
      <c r="U125" s="4783"/>
      <c r="V125" s="4783"/>
      <c r="W125" s="1"/>
    </row>
    <row r="126" spans="1:29" ht="21.75" customHeight="1">
      <c r="A126" s="4767"/>
      <c r="B126" s="4785"/>
      <c r="C126" s="4765"/>
      <c r="D126" s="4765"/>
      <c r="E126" s="4765"/>
      <c r="F126" s="4765"/>
      <c r="G126" s="4765"/>
      <c r="H126" s="4765"/>
      <c r="I126" s="4765"/>
      <c r="J126" s="4765"/>
      <c r="K126" s="4765"/>
      <c r="L126" s="4765"/>
      <c r="M126" s="4765"/>
      <c r="N126" s="4765"/>
      <c r="O126" s="4765"/>
      <c r="P126" s="4765"/>
      <c r="Q126" s="4765"/>
      <c r="R126" s="4765"/>
      <c r="S126" s="4765"/>
      <c r="T126" s="4765"/>
      <c r="U126" s="4765"/>
      <c r="V126" s="4765"/>
      <c r="W126" s="1"/>
    </row>
    <row r="127" spans="1:29" ht="13.2">
      <c r="A127" s="2049"/>
      <c r="B127" s="4793"/>
      <c r="C127" s="2054"/>
      <c r="D127" s="2054"/>
      <c r="E127" s="2054"/>
      <c r="F127" s="2054"/>
      <c r="G127" s="2054"/>
      <c r="H127" s="2054"/>
      <c r="I127" s="2054"/>
      <c r="J127" s="4769"/>
      <c r="K127" s="4769"/>
      <c r="L127" s="4769"/>
      <c r="M127" s="4769"/>
      <c r="N127" s="4769"/>
      <c r="O127" s="4769"/>
      <c r="P127" s="4786"/>
      <c r="Q127" s="2054"/>
      <c r="R127" s="2054"/>
      <c r="S127" s="2054"/>
      <c r="T127" s="2054"/>
      <c r="U127" s="2054"/>
      <c r="V127" s="2054"/>
      <c r="W127" s="1"/>
      <c r="X127" s="4771"/>
      <c r="Y127" s="4771"/>
      <c r="Z127" s="4771"/>
      <c r="AA127" s="4771"/>
      <c r="AB127" s="4771"/>
      <c r="AC127" s="4771"/>
    </row>
    <row r="128" spans="1:29" ht="13.2">
      <c r="A128" s="2049"/>
      <c r="B128" s="4768"/>
      <c r="C128" s="2054"/>
      <c r="D128" s="2054"/>
      <c r="E128" s="2054"/>
      <c r="F128" s="2054"/>
      <c r="G128" s="2054"/>
      <c r="H128" s="2054"/>
      <c r="I128" s="2054"/>
      <c r="J128" s="4769"/>
      <c r="K128" s="4769"/>
      <c r="L128" s="4769"/>
      <c r="M128" s="4769"/>
      <c r="N128" s="4769"/>
      <c r="O128" s="4769"/>
      <c r="P128" s="4786"/>
      <c r="Q128" s="2054"/>
      <c r="R128" s="2054"/>
      <c r="S128" s="2054"/>
      <c r="T128" s="2054"/>
      <c r="U128" s="2054"/>
      <c r="V128" s="2054"/>
      <c r="W128" s="1"/>
      <c r="X128" s="4771"/>
      <c r="Y128" s="4771"/>
      <c r="Z128" s="4771"/>
      <c r="AA128" s="4771"/>
      <c r="AB128" s="4771"/>
      <c r="AC128" s="4771"/>
    </row>
    <row r="129" spans="1:35" ht="13.2">
      <c r="A129" s="2049"/>
      <c r="B129" s="4768"/>
      <c r="C129" s="2054"/>
      <c r="D129" s="2054"/>
      <c r="E129" s="2054"/>
      <c r="F129" s="2054"/>
      <c r="G129" s="2054"/>
      <c r="H129" s="2054"/>
      <c r="I129" s="2054"/>
      <c r="J129" s="4769"/>
      <c r="K129" s="4769"/>
      <c r="L129" s="4769"/>
      <c r="M129" s="4769"/>
      <c r="N129" s="4769"/>
      <c r="O129" s="4769"/>
      <c r="P129" s="4786"/>
      <c r="Q129" s="2054"/>
      <c r="R129" s="2054"/>
      <c r="S129" s="2054"/>
      <c r="T129" s="2054"/>
      <c r="U129" s="2054"/>
      <c r="V129" s="2054"/>
      <c r="W129" s="1"/>
      <c r="X129" s="4771"/>
      <c r="Y129" s="4771"/>
      <c r="Z129" s="4771"/>
      <c r="AA129" s="4771"/>
      <c r="AB129" s="4771"/>
      <c r="AC129" s="4771"/>
    </row>
    <row r="130" spans="1:35" ht="13.2">
      <c r="A130" s="2049"/>
      <c r="B130" s="4768"/>
      <c r="C130" s="2054"/>
      <c r="D130" s="2054"/>
      <c r="E130" s="2054"/>
      <c r="F130" s="2054"/>
      <c r="G130" s="2054"/>
      <c r="H130" s="2054"/>
      <c r="I130" s="2054"/>
      <c r="J130" s="4769"/>
      <c r="K130" s="4769"/>
      <c r="L130" s="4769"/>
      <c r="M130" s="4769"/>
      <c r="N130" s="4769"/>
      <c r="O130" s="4769"/>
      <c r="P130" s="4786"/>
      <c r="Q130" s="2054"/>
      <c r="R130" s="2054"/>
      <c r="S130" s="2054"/>
      <c r="T130" s="2054"/>
      <c r="U130" s="2054"/>
      <c r="V130" s="2054"/>
      <c r="W130" s="1"/>
      <c r="X130" s="4771"/>
      <c r="Y130" s="4771"/>
      <c r="Z130" s="4771"/>
      <c r="AA130" s="4771"/>
      <c r="AB130" s="4771"/>
      <c r="AC130" s="4771"/>
    </row>
    <row r="131" spans="1:35" ht="13.2">
      <c r="A131" s="2049"/>
      <c r="B131" s="4768"/>
      <c r="C131" s="2054"/>
      <c r="D131" s="2054"/>
      <c r="E131" s="2054"/>
      <c r="F131" s="2054"/>
      <c r="G131" s="2054"/>
      <c r="H131" s="2054"/>
      <c r="I131" s="2054"/>
      <c r="J131" s="4769"/>
      <c r="K131" s="4769"/>
      <c r="L131" s="4769"/>
      <c r="M131" s="4769"/>
      <c r="N131" s="4769"/>
      <c r="O131" s="4769"/>
      <c r="P131" s="4786"/>
      <c r="Q131" s="2054"/>
      <c r="R131" s="2054"/>
      <c r="S131" s="2054"/>
      <c r="T131" s="2054"/>
      <c r="U131" s="2054"/>
      <c r="V131" s="2054"/>
      <c r="W131" s="1"/>
      <c r="X131" s="4771"/>
      <c r="Y131" s="4771"/>
      <c r="Z131" s="4771"/>
      <c r="AA131" s="4771"/>
      <c r="AB131" s="4771"/>
      <c r="AC131" s="4771"/>
    </row>
    <row r="132" spans="1:35" ht="13.2">
      <c r="A132" s="2049"/>
      <c r="B132" s="4768"/>
      <c r="C132" s="2054"/>
      <c r="D132" s="2054"/>
      <c r="E132" s="2054"/>
      <c r="F132" s="2054"/>
      <c r="G132" s="2054"/>
      <c r="H132" s="2054"/>
      <c r="I132" s="2054"/>
      <c r="J132" s="4769"/>
      <c r="K132" s="4769"/>
      <c r="L132" s="4769"/>
      <c r="M132" s="4769"/>
      <c r="N132" s="4769"/>
      <c r="O132" s="4769"/>
      <c r="P132" s="4786"/>
      <c r="Q132" s="2054"/>
      <c r="R132" s="2054"/>
      <c r="S132" s="2054"/>
      <c r="T132" s="2054"/>
      <c r="U132" s="2054"/>
      <c r="V132" s="2054"/>
      <c r="W132" s="1"/>
      <c r="X132" s="4771"/>
      <c r="Y132" s="4771"/>
      <c r="Z132" s="4771"/>
      <c r="AA132" s="4771"/>
      <c r="AB132" s="4771"/>
      <c r="AC132" s="4771"/>
    </row>
    <row r="133" spans="1:35" ht="13.2">
      <c r="A133" s="2049"/>
      <c r="B133" s="4768"/>
      <c r="C133" s="2054"/>
      <c r="D133" s="2054"/>
      <c r="E133" s="2054"/>
      <c r="F133" s="2054"/>
      <c r="G133" s="2054"/>
      <c r="H133" s="2054"/>
      <c r="I133" s="2054"/>
      <c r="J133" s="4769"/>
      <c r="K133" s="4769"/>
      <c r="L133" s="4769"/>
      <c r="M133" s="4769"/>
      <c r="N133" s="4769"/>
      <c r="O133" s="4769"/>
      <c r="P133" s="4786"/>
      <c r="Q133" s="2054"/>
      <c r="R133" s="2054"/>
      <c r="S133" s="2054"/>
      <c r="T133" s="2054"/>
      <c r="U133" s="2054"/>
      <c r="V133" s="2054"/>
      <c r="W133" s="1"/>
      <c r="X133" s="4771"/>
      <c r="Y133" s="4771"/>
      <c r="Z133" s="4771"/>
      <c r="AA133" s="4771"/>
      <c r="AB133" s="4771"/>
      <c r="AC133" s="4771"/>
    </row>
    <row r="134" spans="1:35" ht="13.2">
      <c r="A134" s="2049"/>
      <c r="B134" s="4768"/>
      <c r="C134" s="2054"/>
      <c r="D134" s="2054"/>
      <c r="E134" s="2054"/>
      <c r="F134" s="2054"/>
      <c r="G134" s="2054"/>
      <c r="H134" s="2054"/>
      <c r="I134" s="2054"/>
      <c r="J134" s="4769"/>
      <c r="K134" s="4769"/>
      <c r="L134" s="4769"/>
      <c r="M134" s="4769"/>
      <c r="N134" s="4769"/>
      <c r="O134" s="4769"/>
      <c r="P134" s="4786"/>
      <c r="Q134" s="2054"/>
      <c r="R134" s="2054"/>
      <c r="S134" s="2054"/>
      <c r="T134" s="2054"/>
      <c r="U134" s="2054"/>
      <c r="V134" s="2054"/>
      <c r="W134" s="1"/>
      <c r="X134" s="4771"/>
      <c r="Y134" s="4771"/>
      <c r="Z134" s="4771"/>
      <c r="AA134" s="4771"/>
      <c r="AB134" s="4771"/>
      <c r="AC134" s="4771"/>
    </row>
    <row r="135" spans="1:35" ht="13.2">
      <c r="A135" s="2049"/>
      <c r="B135" s="4768"/>
      <c r="C135" s="2054"/>
      <c r="D135" s="2054"/>
      <c r="E135" s="2054"/>
      <c r="F135" s="2054"/>
      <c r="G135" s="2054"/>
      <c r="H135" s="2054"/>
      <c r="I135" s="2054"/>
      <c r="J135" s="4769"/>
      <c r="K135" s="4769"/>
      <c r="L135" s="4769"/>
      <c r="M135" s="4769"/>
      <c r="N135" s="4769"/>
      <c r="O135" s="4769"/>
      <c r="P135" s="4786"/>
      <c r="Q135" s="2054"/>
      <c r="R135" s="2054"/>
      <c r="S135" s="2054"/>
      <c r="T135" s="2054"/>
      <c r="U135" s="2054"/>
      <c r="V135" s="2054"/>
      <c r="W135" s="1"/>
      <c r="X135" s="4771"/>
      <c r="Y135" s="4771"/>
      <c r="Z135" s="4771"/>
      <c r="AA135" s="4771"/>
      <c r="AB135" s="4771"/>
      <c r="AC135" s="4771"/>
    </row>
    <row r="136" spans="1:35" ht="13.2">
      <c r="A136" s="2049"/>
      <c r="B136" s="4768"/>
      <c r="C136" s="2054"/>
      <c r="D136" s="2054"/>
      <c r="E136" s="2054"/>
      <c r="F136" s="2054"/>
      <c r="G136" s="2054"/>
      <c r="H136" s="2054"/>
      <c r="I136" s="2054"/>
      <c r="J136" s="4769"/>
      <c r="K136" s="4769"/>
      <c r="L136" s="4769"/>
      <c r="M136" s="4769"/>
      <c r="N136" s="4769"/>
      <c r="O136" s="4769"/>
      <c r="P136" s="4786"/>
      <c r="Q136" s="2054"/>
      <c r="R136" s="2054"/>
      <c r="S136" s="2054"/>
      <c r="T136" s="2054"/>
      <c r="U136" s="2054"/>
      <c r="V136" s="2054"/>
      <c r="W136" s="1"/>
      <c r="X136" s="4771"/>
      <c r="Y136" s="4771"/>
      <c r="Z136" s="4771"/>
      <c r="AA136" s="4771"/>
      <c r="AB136" s="4771"/>
      <c r="AC136" s="4771"/>
    </row>
    <row r="137" spans="1:35" ht="15" customHeight="1">
      <c r="A137" s="2049"/>
      <c r="B137" s="4772"/>
      <c r="C137" s="2054"/>
      <c r="D137" s="2054"/>
      <c r="E137" s="2054"/>
      <c r="F137" s="2054"/>
      <c r="G137" s="2054"/>
      <c r="H137" s="2054"/>
      <c r="I137" s="2054"/>
      <c r="J137" s="4769"/>
      <c r="K137" s="4769"/>
      <c r="L137" s="4769"/>
      <c r="M137" s="4769"/>
      <c r="N137" s="4769"/>
      <c r="O137" s="4769"/>
      <c r="P137" s="4786"/>
      <c r="Q137" s="2054"/>
      <c r="R137" s="2054"/>
      <c r="S137" s="2054"/>
      <c r="T137" s="2054"/>
      <c r="U137" s="2054"/>
      <c r="V137" s="2054"/>
      <c r="W137" s="1"/>
      <c r="X137" s="4771"/>
      <c r="Y137" s="4771"/>
      <c r="Z137" s="4771"/>
      <c r="AA137" s="4771"/>
      <c r="AB137" s="4771"/>
      <c r="AC137" s="4771"/>
    </row>
    <row r="138" spans="1:35" ht="15" customHeight="1">
      <c r="A138" s="2049"/>
      <c r="B138" s="4772"/>
      <c r="C138" s="2054"/>
      <c r="D138" s="2054"/>
      <c r="E138" s="2054"/>
      <c r="F138" s="2054"/>
      <c r="G138" s="2054"/>
      <c r="H138" s="2054"/>
      <c r="I138" s="2054"/>
      <c r="J138" s="4769"/>
      <c r="K138" s="4769"/>
      <c r="L138" s="4769"/>
      <c r="M138" s="4769"/>
      <c r="N138" s="4769"/>
      <c r="O138" s="4769"/>
      <c r="P138" s="4786"/>
      <c r="Q138" s="2054"/>
      <c r="R138" s="2054"/>
      <c r="S138" s="2054"/>
      <c r="T138" s="2054"/>
      <c r="U138" s="2054"/>
      <c r="V138" s="2054"/>
      <c r="W138" s="1"/>
      <c r="X138" s="4771"/>
      <c r="Y138" s="4771"/>
      <c r="Z138" s="4771"/>
      <c r="AA138" s="4771"/>
      <c r="AB138" s="4771"/>
      <c r="AC138" s="4771"/>
    </row>
    <row r="139" spans="1:35" ht="13.2">
      <c r="A139" s="2049"/>
      <c r="B139" s="4768"/>
      <c r="C139" s="2054"/>
      <c r="D139" s="2054"/>
      <c r="E139" s="2054"/>
      <c r="F139" s="2054"/>
      <c r="G139" s="2054"/>
      <c r="H139" s="2054"/>
      <c r="I139" s="2054"/>
      <c r="J139" s="4769"/>
      <c r="K139" s="4769"/>
      <c r="L139" s="4769"/>
      <c r="M139" s="4769"/>
      <c r="N139" s="4769"/>
      <c r="O139" s="4769"/>
      <c r="P139" s="4786"/>
      <c r="Q139" s="2054"/>
      <c r="R139" s="2054"/>
      <c r="S139" s="2054"/>
      <c r="T139" s="2054"/>
      <c r="U139" s="2054"/>
      <c r="V139" s="2054"/>
      <c r="W139" s="1"/>
      <c r="X139" s="4771"/>
      <c r="Y139" s="4771"/>
      <c r="Z139" s="4771"/>
      <c r="AA139" s="4771"/>
      <c r="AB139" s="4771"/>
      <c r="AC139" s="4771"/>
    </row>
    <row r="140" spans="1:35" ht="13.2">
      <c r="A140" s="2049"/>
      <c r="B140" s="4768"/>
      <c r="C140" s="2054"/>
      <c r="D140" s="2054"/>
      <c r="E140" s="2054"/>
      <c r="F140" s="2054"/>
      <c r="G140" s="2054"/>
      <c r="H140" s="2054"/>
      <c r="I140" s="2054"/>
      <c r="J140" s="4769"/>
      <c r="K140" s="4769"/>
      <c r="L140" s="4769"/>
      <c r="M140" s="4769"/>
      <c r="N140" s="4769"/>
      <c r="O140" s="4769"/>
      <c r="P140" s="4786"/>
      <c r="Q140" s="2054"/>
      <c r="R140" s="2054"/>
      <c r="S140" s="2054"/>
      <c r="T140" s="2054"/>
      <c r="U140" s="2054"/>
      <c r="V140" s="2054"/>
      <c r="W140" s="1"/>
      <c r="X140" s="4771"/>
      <c r="Y140" s="4771"/>
      <c r="Z140" s="4771"/>
      <c r="AA140" s="4771"/>
      <c r="AB140" s="4771"/>
      <c r="AC140" s="4771"/>
    </row>
    <row r="141" spans="1:35" ht="21.6" customHeight="1">
      <c r="A141" s="2049"/>
      <c r="B141" s="4773"/>
      <c r="C141" s="2054"/>
      <c r="D141" s="2054"/>
      <c r="E141" s="2054"/>
      <c r="F141" s="2054"/>
      <c r="G141" s="2054"/>
      <c r="H141" s="2054"/>
      <c r="I141" s="2054"/>
      <c r="J141" s="4774"/>
      <c r="K141" s="4774"/>
      <c r="L141" s="4774"/>
      <c r="M141" s="4774"/>
      <c r="N141" s="4774"/>
      <c r="O141" s="4774"/>
      <c r="P141" s="4794"/>
      <c r="Q141" s="2054"/>
      <c r="R141" s="2054"/>
      <c r="S141" s="2054"/>
      <c r="T141" s="2054"/>
      <c r="U141" s="2054"/>
      <c r="V141" s="2054"/>
      <c r="W141" s="1"/>
      <c r="X141" s="4771"/>
      <c r="Y141" s="4771"/>
      <c r="Z141" s="4771"/>
      <c r="AA141" s="4771"/>
      <c r="AB141" s="4771"/>
      <c r="AC141" s="4771"/>
    </row>
    <row r="142" spans="1:35" ht="13.5" customHeight="1">
      <c r="A142" s="2049"/>
      <c r="B142" s="4776"/>
      <c r="C142" s="4777"/>
      <c r="D142" s="4774"/>
      <c r="E142" s="4778"/>
      <c r="F142" s="4778"/>
      <c r="G142" s="4778"/>
      <c r="H142" s="4778"/>
      <c r="I142" s="4778"/>
      <c r="J142" s="4774"/>
      <c r="K142" s="4778"/>
      <c r="L142" s="4778"/>
      <c r="M142" s="4778"/>
      <c r="N142" s="4778"/>
      <c r="O142" s="4778"/>
      <c r="P142" s="4778"/>
      <c r="Q142" s="2054"/>
      <c r="R142" s="2054"/>
      <c r="S142" s="2054"/>
      <c r="T142" s="2054"/>
      <c r="U142" s="2054"/>
      <c r="V142" s="2054"/>
      <c r="W142" s="1"/>
      <c r="AD142" s="659"/>
      <c r="AE142" s="659"/>
      <c r="AF142" s="659"/>
      <c r="AG142" s="659"/>
      <c r="AH142" s="659"/>
      <c r="AI142" s="659"/>
    </row>
    <row r="143" spans="1:35" ht="13.5" customHeight="1">
      <c r="A143" s="2049"/>
      <c r="B143" s="3850"/>
      <c r="C143" s="3850"/>
      <c r="D143" s="3850"/>
      <c r="E143" s="3850"/>
      <c r="F143" s="3850"/>
      <c r="G143" s="3850"/>
      <c r="H143" s="3850"/>
      <c r="I143" s="3850"/>
      <c r="J143" s="3850"/>
      <c r="K143" s="3850"/>
      <c r="L143" s="3850"/>
      <c r="M143" s="3850"/>
      <c r="N143" s="3850"/>
      <c r="O143" s="3850"/>
      <c r="P143" s="3850"/>
      <c r="Q143" s="3850"/>
      <c r="R143" s="3850"/>
      <c r="S143" s="3850"/>
      <c r="T143" s="3850"/>
      <c r="U143" s="3850"/>
      <c r="V143" s="3850"/>
      <c r="W143" s="1"/>
      <c r="AD143" s="2465"/>
      <c r="AE143" s="2465"/>
      <c r="AF143" s="2465"/>
      <c r="AG143" s="2465"/>
      <c r="AH143" s="2465"/>
      <c r="AI143" s="2465"/>
    </row>
    <row r="144" spans="1:35" ht="13.2">
      <c r="A144" s="2055"/>
      <c r="B144" s="4779"/>
      <c r="C144" s="4780"/>
      <c r="D144" s="2054"/>
      <c r="E144" s="2054"/>
      <c r="F144" s="2054"/>
      <c r="G144" s="2054"/>
      <c r="H144" s="2054"/>
      <c r="I144" s="2054"/>
      <c r="J144" s="4781"/>
      <c r="K144" s="4781"/>
      <c r="L144" s="4781"/>
      <c r="M144" s="4781"/>
      <c r="N144" s="4781"/>
      <c r="O144" s="4781"/>
      <c r="P144" s="4788"/>
      <c r="Q144" s="2054"/>
      <c r="R144" s="2054"/>
      <c r="S144" s="2054"/>
      <c r="T144" s="2054"/>
      <c r="U144" s="2054"/>
      <c r="V144" s="2054"/>
      <c r="W144" s="1"/>
      <c r="X144" s="4771"/>
      <c r="Y144" s="4771"/>
      <c r="Z144" s="4771"/>
      <c r="AA144" s="4771"/>
      <c r="AB144" s="4771"/>
      <c r="AC144" s="4771"/>
    </row>
    <row r="145" spans="1:35" ht="13.2">
      <c r="A145" s="2055"/>
      <c r="B145" s="4776"/>
      <c r="C145" s="4777"/>
      <c r="D145" s="2054"/>
      <c r="E145" s="2054"/>
      <c r="F145" s="2054"/>
      <c r="G145" s="2054"/>
      <c r="H145" s="2054"/>
      <c r="I145" s="2054"/>
      <c r="J145" s="4780"/>
      <c r="K145" s="4778"/>
      <c r="L145" s="4778"/>
      <c r="M145" s="4778"/>
      <c r="N145" s="4778"/>
      <c r="O145" s="4778"/>
      <c r="P145" s="4789"/>
      <c r="Q145" s="2054"/>
      <c r="R145" s="2054"/>
      <c r="S145" s="2054"/>
      <c r="T145" s="2054"/>
      <c r="U145" s="2054"/>
      <c r="V145" s="2054"/>
      <c r="W145" s="1"/>
    </row>
    <row r="146" spans="1:35" ht="13.2">
      <c r="A146" s="2055"/>
      <c r="B146" s="4779"/>
      <c r="C146" s="4780"/>
      <c r="D146" s="2054"/>
      <c r="E146" s="2054"/>
      <c r="F146" s="2054"/>
      <c r="G146" s="2054"/>
      <c r="H146" s="2054"/>
      <c r="I146" s="2054"/>
      <c r="J146" s="4781"/>
      <c r="K146" s="4781"/>
      <c r="L146" s="4781"/>
      <c r="M146" s="4781"/>
      <c r="N146" s="4781"/>
      <c r="O146" s="4781"/>
      <c r="P146" s="4788"/>
      <c r="Q146" s="2054"/>
      <c r="R146" s="2054"/>
      <c r="S146" s="2054"/>
      <c r="T146" s="2054"/>
      <c r="U146" s="2054"/>
      <c r="V146" s="2054"/>
      <c r="W146" s="1"/>
      <c r="X146" s="4771"/>
      <c r="Y146" s="4771"/>
      <c r="Z146" s="4771"/>
      <c r="AA146" s="4771"/>
      <c r="AB146" s="4771"/>
      <c r="AC146" s="4771"/>
    </row>
    <row r="147" spans="1:35" ht="13.2">
      <c r="A147" s="2055"/>
      <c r="B147" s="4776"/>
      <c r="C147" s="4777"/>
      <c r="D147" s="2054"/>
      <c r="E147" s="2054"/>
      <c r="F147" s="2054"/>
      <c r="G147" s="2054"/>
      <c r="H147" s="2054"/>
      <c r="I147" s="2054"/>
      <c r="J147" s="4780"/>
      <c r="K147" s="4778"/>
      <c r="L147" s="4778"/>
      <c r="M147" s="4778"/>
      <c r="N147" s="4778"/>
      <c r="O147" s="4778"/>
      <c r="P147" s="4789"/>
      <c r="Q147" s="2054"/>
      <c r="R147" s="2054"/>
      <c r="S147" s="2054"/>
      <c r="T147" s="2054"/>
      <c r="U147" s="2054"/>
      <c r="V147" s="2054"/>
      <c r="W147" s="1"/>
    </row>
    <row r="148" spans="1:35" ht="13.2">
      <c r="A148" s="2055"/>
      <c r="B148" s="4779"/>
      <c r="C148" s="4780"/>
      <c r="D148" s="2054"/>
      <c r="E148" s="2054"/>
      <c r="F148" s="2054"/>
      <c r="G148" s="2054"/>
      <c r="H148" s="2054"/>
      <c r="I148" s="2054"/>
      <c r="J148" s="4781"/>
      <c r="K148" s="4781"/>
      <c r="L148" s="4781"/>
      <c r="M148" s="4781"/>
      <c r="N148" s="4781"/>
      <c r="O148" s="4781"/>
      <c r="P148" s="4788"/>
      <c r="Q148" s="2054"/>
      <c r="R148" s="2054"/>
      <c r="S148" s="2054"/>
      <c r="T148" s="2054"/>
      <c r="U148" s="2054"/>
      <c r="V148" s="2054"/>
      <c r="W148" s="1"/>
      <c r="X148" s="4771"/>
      <c r="Y148" s="4771"/>
      <c r="Z148" s="4771"/>
      <c r="AA148" s="4771"/>
      <c r="AB148" s="4771"/>
      <c r="AC148" s="4771"/>
    </row>
    <row r="149" spans="1:35" ht="13.2">
      <c r="A149" s="2055"/>
      <c r="B149" s="4776"/>
      <c r="C149" s="4777"/>
      <c r="D149" s="2054"/>
      <c r="E149" s="2054"/>
      <c r="F149" s="2054"/>
      <c r="G149" s="2054"/>
      <c r="H149" s="2054"/>
      <c r="I149" s="2054"/>
      <c r="J149" s="4780"/>
      <c r="K149" s="4778"/>
      <c r="L149" s="4778"/>
      <c r="M149" s="4778"/>
      <c r="N149" s="4778"/>
      <c r="O149" s="4778"/>
      <c r="P149" s="4789"/>
      <c r="Q149" s="2054"/>
      <c r="R149" s="2054"/>
      <c r="S149" s="2054"/>
      <c r="T149" s="2054"/>
      <c r="U149" s="2054"/>
      <c r="V149" s="2054"/>
      <c r="W149" s="1"/>
    </row>
    <row r="150" spans="1:35" ht="13.2">
      <c r="A150" s="2055"/>
      <c r="B150" s="4779"/>
      <c r="C150" s="4780"/>
      <c r="D150" s="2054"/>
      <c r="E150" s="2054"/>
      <c r="F150" s="2054"/>
      <c r="G150" s="2054"/>
      <c r="H150" s="2054"/>
      <c r="I150" s="2054"/>
      <c r="J150" s="4781"/>
      <c r="K150" s="4781"/>
      <c r="L150" s="4781"/>
      <c r="M150" s="4781"/>
      <c r="N150" s="4781"/>
      <c r="O150" s="4781"/>
      <c r="P150" s="4788"/>
      <c r="Q150" s="2054"/>
      <c r="R150" s="2054"/>
      <c r="S150" s="2054"/>
      <c r="T150" s="2054"/>
      <c r="U150" s="2054"/>
      <c r="V150" s="2054"/>
      <c r="W150" s="1"/>
      <c r="X150" s="4771"/>
      <c r="Y150" s="4771"/>
      <c r="Z150" s="4771"/>
      <c r="AA150" s="4771"/>
      <c r="AB150" s="4771"/>
      <c r="AC150" s="4771"/>
    </row>
    <row r="151" spans="1:35" ht="13.2">
      <c r="A151" s="2055"/>
      <c r="B151" s="4776"/>
      <c r="C151" s="4777"/>
      <c r="D151" s="2054"/>
      <c r="E151" s="2054"/>
      <c r="F151" s="2054"/>
      <c r="G151" s="2054"/>
      <c r="H151" s="2054"/>
      <c r="I151" s="2054"/>
      <c r="J151" s="4780"/>
      <c r="K151" s="4778"/>
      <c r="L151" s="4778"/>
      <c r="M151" s="4778"/>
      <c r="N151" s="4778"/>
      <c r="O151" s="4778"/>
      <c r="P151" s="4789"/>
      <c r="Q151" s="2054"/>
      <c r="R151" s="2054"/>
      <c r="S151" s="2054"/>
      <c r="T151" s="2054"/>
      <c r="U151" s="2054"/>
      <c r="V151" s="2054"/>
      <c r="W151" s="1"/>
    </row>
    <row r="152" spans="1:35" ht="13.2">
      <c r="A152" s="2055"/>
      <c r="B152" s="4779"/>
      <c r="C152" s="4780"/>
      <c r="D152" s="2054"/>
      <c r="E152" s="2054"/>
      <c r="F152" s="2054"/>
      <c r="G152" s="2054"/>
      <c r="H152" s="2054"/>
      <c r="I152" s="2054"/>
      <c r="J152" s="4781"/>
      <c r="K152" s="4781"/>
      <c r="L152" s="4781"/>
      <c r="M152" s="4781"/>
      <c r="N152" s="4781"/>
      <c r="O152" s="4781"/>
      <c r="P152" s="4788"/>
      <c r="Q152" s="2054"/>
      <c r="R152" s="2054"/>
      <c r="S152" s="2054"/>
      <c r="T152" s="2054"/>
      <c r="U152" s="2054"/>
      <c r="V152" s="2054"/>
      <c r="W152" s="1"/>
      <c r="X152" s="4771"/>
      <c r="Y152" s="4771"/>
      <c r="Z152" s="4771"/>
      <c r="AA152" s="4771"/>
      <c r="AB152" s="4771"/>
      <c r="AC152" s="4771"/>
    </row>
    <row r="153" spans="1:35" ht="13.2">
      <c r="A153" s="2055"/>
      <c r="B153" s="4776"/>
      <c r="C153" s="4777"/>
      <c r="D153" s="2054"/>
      <c r="E153" s="2054"/>
      <c r="F153" s="2054"/>
      <c r="G153" s="2054"/>
      <c r="H153" s="2054"/>
      <c r="I153" s="2054"/>
      <c r="J153" s="4780"/>
      <c r="K153" s="4778"/>
      <c r="L153" s="4778"/>
      <c r="M153" s="4778"/>
      <c r="N153" s="4778"/>
      <c r="O153" s="4778"/>
      <c r="P153" s="4789"/>
      <c r="Q153" s="2054"/>
      <c r="R153" s="2054"/>
      <c r="S153" s="2054"/>
      <c r="T153" s="2054"/>
      <c r="U153" s="2054"/>
      <c r="V153" s="2054"/>
      <c r="W153" s="1"/>
    </row>
    <row r="154" spans="1:35" ht="21.75" customHeight="1">
      <c r="A154" s="2055"/>
      <c r="B154" s="4779"/>
      <c r="C154" s="4780"/>
      <c r="D154" s="2054"/>
      <c r="E154" s="2054"/>
      <c r="F154" s="2054"/>
      <c r="G154" s="2054"/>
      <c r="H154" s="2054"/>
      <c r="I154" s="2054"/>
      <c r="J154" s="4780"/>
      <c r="K154" s="4780"/>
      <c r="L154" s="4780"/>
      <c r="M154" s="4780"/>
      <c r="N154" s="4780"/>
      <c r="O154" s="4780"/>
      <c r="P154" s="4788"/>
      <c r="Q154" s="2054"/>
      <c r="R154" s="2054"/>
      <c r="S154" s="2054"/>
      <c r="T154" s="2054"/>
      <c r="U154" s="2054"/>
      <c r="V154" s="2054"/>
      <c r="W154" s="1"/>
      <c r="X154" s="4771"/>
      <c r="Y154" s="4771"/>
      <c r="Z154" s="4771"/>
      <c r="AA154" s="4771"/>
      <c r="AB154" s="4771"/>
      <c r="AC154" s="4771"/>
    </row>
    <row r="155" spans="1:35" ht="15" customHeight="1">
      <c r="A155" s="2055"/>
      <c r="B155" s="4776"/>
      <c r="C155" s="4777"/>
      <c r="D155" s="2054"/>
      <c r="E155" s="2054"/>
      <c r="F155" s="2054"/>
      <c r="G155" s="2054"/>
      <c r="H155" s="2054"/>
      <c r="I155" s="2054"/>
      <c r="J155" s="4780"/>
      <c r="K155" s="4778"/>
      <c r="L155" s="4778"/>
      <c r="M155" s="4778"/>
      <c r="N155" s="4778"/>
      <c r="O155" s="4778"/>
      <c r="P155" s="4790"/>
      <c r="Q155" s="2054"/>
      <c r="R155" s="2054"/>
      <c r="S155" s="2054"/>
      <c r="T155" s="2054"/>
      <c r="U155" s="2054"/>
      <c r="V155" s="2054"/>
      <c r="W155" s="1"/>
    </row>
    <row r="156" spans="1:35" ht="13.5" customHeight="1">
      <c r="A156" s="4783"/>
      <c r="B156" s="4783"/>
      <c r="C156" s="4783"/>
      <c r="D156" s="4783"/>
      <c r="E156" s="4783"/>
      <c r="F156" s="4783"/>
      <c r="G156" s="4783"/>
      <c r="H156" s="4783"/>
      <c r="I156" s="4783"/>
      <c r="J156" s="4783"/>
      <c r="K156" s="4783"/>
      <c r="L156" s="4783"/>
      <c r="M156" s="4783"/>
      <c r="N156" s="4783"/>
      <c r="O156" s="4783"/>
      <c r="P156" s="4783"/>
      <c r="Q156" s="4783"/>
      <c r="R156" s="4783"/>
      <c r="S156" s="4783"/>
      <c r="T156" s="4783"/>
      <c r="U156" s="4783"/>
      <c r="V156" s="4783"/>
      <c r="W156" s="1"/>
    </row>
    <row r="157" spans="1:35" s="659" customFormat="1">
      <c r="B157" s="4795"/>
      <c r="J157" s="4796"/>
      <c r="K157" s="4796"/>
      <c r="L157" s="4796"/>
      <c r="M157" s="4796"/>
      <c r="N157" s="4796"/>
      <c r="O157" s="4796"/>
      <c r="AD157" s="2047"/>
      <c r="AE157" s="2047"/>
      <c r="AF157" s="2047"/>
      <c r="AG157" s="2047"/>
      <c r="AH157" s="2047"/>
      <c r="AI157" s="2047"/>
    </row>
    <row r="158" spans="1:35" s="659" customFormat="1">
      <c r="B158" s="4795"/>
      <c r="AD158" s="2047"/>
      <c r="AE158" s="2047"/>
      <c r="AF158" s="2047"/>
      <c r="AG158" s="2047"/>
      <c r="AH158" s="2047"/>
      <c r="AI158" s="2047"/>
    </row>
    <row r="159" spans="1:35" s="659" customFormat="1">
      <c r="B159" s="4795"/>
      <c r="AD159" s="2047"/>
      <c r="AE159" s="2047"/>
      <c r="AF159" s="2047"/>
      <c r="AG159" s="2047"/>
      <c r="AH159" s="2047"/>
      <c r="AI159" s="2047"/>
    </row>
    <row r="160" spans="1:35" s="659" customFormat="1">
      <c r="B160" s="4795"/>
      <c r="AD160" s="2047"/>
      <c r="AE160" s="2047"/>
      <c r="AF160" s="2047"/>
      <c r="AG160" s="2047"/>
      <c r="AH160" s="2047"/>
      <c r="AI160" s="2047"/>
    </row>
    <row r="161" spans="2:35" s="659" customFormat="1">
      <c r="B161" s="4795"/>
      <c r="J161" s="4781"/>
      <c r="K161" s="4781"/>
      <c r="L161" s="4781"/>
      <c r="M161" s="4781"/>
      <c r="N161" s="4781"/>
      <c r="O161" s="4781"/>
      <c r="P161" s="4788"/>
      <c r="AD161" s="2047"/>
      <c r="AE161" s="2047"/>
      <c r="AF161" s="2047"/>
      <c r="AG161" s="2047"/>
      <c r="AH161" s="2047"/>
      <c r="AI161" s="2047"/>
    </row>
    <row r="162" spans="2:35" s="659" customFormat="1">
      <c r="B162" s="4795"/>
      <c r="J162" s="4780"/>
      <c r="K162" s="4778"/>
      <c r="L162" s="4778"/>
      <c r="M162" s="4778"/>
      <c r="N162" s="4778"/>
      <c r="O162" s="4778"/>
      <c r="P162" s="4789"/>
      <c r="AD162" s="2047"/>
      <c r="AE162" s="2047"/>
      <c r="AF162" s="2047"/>
      <c r="AG162" s="2047"/>
      <c r="AH162" s="2047"/>
      <c r="AI162" s="2047"/>
    </row>
    <row r="163" spans="2:35" s="659" customFormat="1">
      <c r="B163" s="4795"/>
      <c r="J163" s="4781"/>
      <c r="K163" s="4781"/>
      <c r="L163" s="4781"/>
      <c r="M163" s="4781"/>
      <c r="N163" s="4781"/>
      <c r="O163" s="4781"/>
      <c r="P163" s="4788"/>
      <c r="AD163" s="2047"/>
      <c r="AE163" s="2047"/>
      <c r="AF163" s="2047"/>
      <c r="AG163" s="2047"/>
      <c r="AH163" s="2047"/>
      <c r="AI163" s="2047"/>
    </row>
    <row r="164" spans="2:35" s="659" customFormat="1">
      <c r="B164" s="4795"/>
      <c r="J164" s="4780"/>
      <c r="K164" s="4778"/>
      <c r="L164" s="4778"/>
      <c r="M164" s="4778"/>
      <c r="N164" s="4778"/>
      <c r="O164" s="4778"/>
      <c r="P164" s="4789"/>
      <c r="AD164" s="2047"/>
      <c r="AE164" s="2047"/>
      <c r="AF164" s="2047"/>
      <c r="AG164" s="2047"/>
      <c r="AH164" s="2047"/>
      <c r="AI164" s="2047"/>
    </row>
    <row r="165" spans="2:35" s="659" customFormat="1">
      <c r="B165" s="4795"/>
      <c r="J165" s="4781"/>
      <c r="K165" s="4781"/>
      <c r="L165" s="4781"/>
      <c r="M165" s="4781"/>
      <c r="N165" s="4781"/>
      <c r="O165" s="4781"/>
      <c r="P165" s="4788"/>
      <c r="AD165" s="2047"/>
      <c r="AE165" s="2047"/>
      <c r="AF165" s="2047"/>
      <c r="AG165" s="2047"/>
      <c r="AH165" s="2047"/>
      <c r="AI165" s="2047"/>
    </row>
    <row r="166" spans="2:35" s="659" customFormat="1">
      <c r="B166" s="4795"/>
      <c r="J166" s="4780"/>
      <c r="K166" s="4778"/>
      <c r="L166" s="4778"/>
      <c r="M166" s="4778"/>
      <c r="N166" s="4778"/>
      <c r="O166" s="4778"/>
      <c r="P166" s="4789"/>
      <c r="AD166" s="2047"/>
      <c r="AE166" s="2047"/>
      <c r="AF166" s="2047"/>
      <c r="AG166" s="2047"/>
      <c r="AH166" s="2047"/>
      <c r="AI166" s="2047"/>
    </row>
    <row r="167" spans="2:35" s="659" customFormat="1">
      <c r="B167" s="4795"/>
      <c r="J167" s="4781"/>
      <c r="K167" s="4781"/>
      <c r="L167" s="4781"/>
      <c r="M167" s="4781"/>
      <c r="N167" s="4781"/>
      <c r="O167" s="4781"/>
      <c r="P167" s="4788"/>
      <c r="AD167" s="2047"/>
      <c r="AE167" s="2047"/>
      <c r="AF167" s="2047"/>
      <c r="AG167" s="2047"/>
      <c r="AH167" s="2047"/>
      <c r="AI167" s="2047"/>
    </row>
    <row r="168" spans="2:35" s="659" customFormat="1">
      <c r="B168" s="4795"/>
      <c r="J168" s="4780"/>
      <c r="K168" s="4778"/>
      <c r="L168" s="4778"/>
      <c r="M168" s="4778"/>
      <c r="N168" s="4778"/>
      <c r="O168" s="4778"/>
      <c r="P168" s="4789"/>
      <c r="AD168" s="2047"/>
      <c r="AE168" s="2047"/>
      <c r="AF168" s="2047"/>
      <c r="AG168" s="2047"/>
      <c r="AH168" s="2047"/>
      <c r="AI168" s="2047"/>
    </row>
    <row r="169" spans="2:35" s="659" customFormat="1">
      <c r="B169" s="4795"/>
      <c r="J169" s="4781"/>
      <c r="K169" s="4781"/>
      <c r="L169" s="4781"/>
      <c r="M169" s="4781"/>
      <c r="N169" s="4781"/>
      <c r="O169" s="4781"/>
      <c r="P169" s="4788"/>
      <c r="AD169" s="2047"/>
      <c r="AE169" s="2047"/>
      <c r="AF169" s="2047"/>
      <c r="AG169" s="2047"/>
      <c r="AH169" s="2047"/>
      <c r="AI169" s="2047"/>
    </row>
    <row r="170" spans="2:35" s="659" customFormat="1">
      <c r="B170" s="4795"/>
      <c r="J170" s="4780"/>
      <c r="K170" s="4778"/>
      <c r="L170" s="4778"/>
      <c r="M170" s="4778"/>
      <c r="N170" s="4778"/>
      <c r="O170" s="4778"/>
      <c r="P170" s="4789"/>
      <c r="AD170" s="2047"/>
      <c r="AE170" s="2047"/>
      <c r="AF170" s="2047"/>
      <c r="AG170" s="2047"/>
      <c r="AH170" s="2047"/>
      <c r="AI170" s="2047"/>
    </row>
    <row r="171" spans="2:35" s="659" customFormat="1">
      <c r="B171" s="4795"/>
      <c r="J171" s="4781"/>
      <c r="K171" s="4781"/>
      <c r="L171" s="4781"/>
      <c r="M171" s="4781"/>
      <c r="N171" s="4781"/>
      <c r="O171" s="4781"/>
      <c r="P171" s="4788"/>
      <c r="AD171" s="2047"/>
      <c r="AE171" s="2047"/>
      <c r="AF171" s="2047"/>
      <c r="AG171" s="2047"/>
      <c r="AH171" s="2047"/>
      <c r="AI171" s="2047"/>
    </row>
    <row r="172" spans="2:35" s="659" customFormat="1">
      <c r="B172" s="4795"/>
      <c r="J172" s="4780"/>
      <c r="K172" s="4778"/>
      <c r="L172" s="4778"/>
      <c r="M172" s="4778"/>
      <c r="N172" s="4778"/>
      <c r="O172" s="4778"/>
      <c r="P172" s="4790"/>
      <c r="AD172" s="2047"/>
      <c r="AE172" s="2047"/>
      <c r="AF172" s="2047"/>
      <c r="AG172" s="2047"/>
      <c r="AH172" s="2047"/>
      <c r="AI172" s="2047"/>
    </row>
    <row r="173" spans="2:35" s="659" customFormat="1">
      <c r="AD173" s="2047"/>
      <c r="AE173" s="2047"/>
      <c r="AF173" s="2047"/>
      <c r="AG173" s="2047"/>
      <c r="AH173" s="2047"/>
      <c r="AI173" s="2047"/>
    </row>
    <row r="176" spans="2:35">
      <c r="C176" s="2049"/>
      <c r="D176" s="2049"/>
      <c r="E176" s="2049"/>
      <c r="F176" s="2049"/>
      <c r="G176" s="2049"/>
      <c r="H176" s="2049"/>
      <c r="J176" s="2049"/>
      <c r="K176" s="2049"/>
      <c r="L176" s="2049"/>
      <c r="M176" s="2049"/>
      <c r="N176" s="2049"/>
      <c r="O176" s="2049"/>
      <c r="Q176" s="2049"/>
      <c r="R176" s="2049"/>
      <c r="S176" s="2049"/>
      <c r="T176" s="2049"/>
      <c r="U176" s="2049"/>
    </row>
    <row r="177" spans="3:21">
      <c r="C177" s="4798"/>
      <c r="D177" s="4798"/>
      <c r="E177" s="4798"/>
      <c r="F177" s="4798"/>
      <c r="G177" s="4798"/>
      <c r="H177" s="4798"/>
      <c r="J177" s="4799"/>
      <c r="K177" s="4799"/>
      <c r="L177" s="4799"/>
      <c r="M177" s="4799"/>
      <c r="N177" s="4799"/>
      <c r="O177" s="4799"/>
      <c r="Q177" s="4800"/>
      <c r="R177" s="4800"/>
      <c r="S177" s="4800"/>
      <c r="T177" s="4800"/>
      <c r="U177" s="4800"/>
    </row>
    <row r="178" spans="3:21">
      <c r="C178" s="4798"/>
      <c r="D178" s="4798"/>
      <c r="E178" s="4798"/>
      <c r="F178" s="4798"/>
      <c r="G178" s="4798"/>
      <c r="H178" s="4798"/>
      <c r="J178" s="4799"/>
      <c r="K178" s="4799"/>
      <c r="L178" s="4799"/>
      <c r="M178" s="4799"/>
      <c r="N178" s="4799"/>
      <c r="O178" s="4799"/>
      <c r="Q178" s="4800"/>
      <c r="R178" s="4800"/>
      <c r="S178" s="4800"/>
      <c r="T178" s="4800"/>
      <c r="U178" s="4800"/>
    </row>
    <row r="179" spans="3:21">
      <c r="C179" s="4798"/>
      <c r="D179" s="4798"/>
      <c r="E179" s="4798"/>
      <c r="F179" s="4798"/>
      <c r="G179" s="4798"/>
      <c r="H179" s="4798"/>
      <c r="J179" s="4799"/>
      <c r="K179" s="4799"/>
      <c r="L179" s="4799"/>
      <c r="M179" s="4799"/>
      <c r="N179" s="4799"/>
      <c r="O179" s="4799"/>
      <c r="Q179" s="4800"/>
      <c r="R179" s="4800"/>
      <c r="S179" s="4800"/>
      <c r="T179" s="4800"/>
      <c r="U179" s="4800"/>
    </row>
    <row r="180" spans="3:21">
      <c r="C180" s="4798"/>
      <c r="D180" s="4798"/>
      <c r="E180" s="4798"/>
      <c r="F180" s="4798"/>
      <c r="G180" s="4798"/>
      <c r="H180" s="4798"/>
      <c r="J180" s="4799"/>
      <c r="K180" s="4799"/>
      <c r="L180" s="4799"/>
      <c r="M180" s="4799"/>
      <c r="N180" s="4799"/>
      <c r="O180" s="4799"/>
      <c r="Q180" s="4800"/>
      <c r="R180" s="4800"/>
      <c r="S180" s="4800"/>
      <c r="T180" s="4800"/>
      <c r="U180" s="4800"/>
    </row>
    <row r="181" spans="3:21">
      <c r="C181" s="4798"/>
      <c r="D181" s="4798"/>
      <c r="E181" s="4798"/>
      <c r="F181" s="4798"/>
      <c r="G181" s="4798"/>
      <c r="H181" s="4798"/>
      <c r="J181" s="4799"/>
      <c r="K181" s="4799"/>
      <c r="L181" s="4799"/>
      <c r="M181" s="4799"/>
      <c r="N181" s="4799"/>
      <c r="O181" s="4799"/>
      <c r="Q181" s="4800"/>
      <c r="R181" s="4800"/>
      <c r="S181" s="4800"/>
      <c r="T181" s="4800"/>
      <c r="U181" s="4800"/>
    </row>
    <row r="182" spans="3:21">
      <c r="C182" s="4798"/>
      <c r="D182" s="4798"/>
      <c r="E182" s="4798"/>
      <c r="F182" s="4798"/>
      <c r="G182" s="4798"/>
      <c r="H182" s="4798"/>
      <c r="J182" s="4799"/>
      <c r="K182" s="4799"/>
      <c r="L182" s="4799"/>
      <c r="M182" s="4799"/>
      <c r="N182" s="4799"/>
      <c r="O182" s="4799"/>
      <c r="Q182" s="4800"/>
      <c r="R182" s="4800"/>
      <c r="S182" s="4800"/>
      <c r="T182" s="4800"/>
      <c r="U182" s="4800"/>
    </row>
    <row r="183" spans="3:21">
      <c r="C183" s="4801"/>
      <c r="D183" s="4801"/>
      <c r="E183" s="4801"/>
      <c r="F183" s="4801"/>
      <c r="G183" s="4801"/>
      <c r="H183" s="4801"/>
      <c r="J183" s="3850"/>
      <c r="K183" s="3850"/>
      <c r="L183" s="3850"/>
      <c r="M183" s="3850"/>
      <c r="N183" s="3850"/>
      <c r="O183" s="3850"/>
      <c r="Q183" s="4802"/>
      <c r="R183" s="4802"/>
      <c r="S183" s="4802"/>
      <c r="T183" s="4802"/>
      <c r="U183" s="4802"/>
    </row>
    <row r="184" spans="3:21">
      <c r="J184" s="4803"/>
      <c r="K184" s="4803"/>
      <c r="L184" s="4803"/>
      <c r="M184" s="4803"/>
      <c r="N184" s="4803"/>
      <c r="O184" s="4803"/>
    </row>
    <row r="185" spans="3:21">
      <c r="J185" s="4804"/>
      <c r="K185" s="4804"/>
      <c r="L185" s="4804"/>
      <c r="M185" s="4804"/>
      <c r="N185" s="4804"/>
      <c r="O185" s="4804"/>
      <c r="P185" s="4783"/>
      <c r="Q185" s="4805"/>
      <c r="R185" s="4805"/>
      <c r="S185" s="4805"/>
      <c r="T185" s="4805"/>
      <c r="U185" s="4805"/>
    </row>
    <row r="186" spans="3:21">
      <c r="J186" s="4806"/>
      <c r="K186" s="4806"/>
      <c r="L186" s="4806"/>
      <c r="M186" s="4806"/>
      <c r="N186" s="4806"/>
      <c r="O186" s="4806"/>
      <c r="Q186" s="4802"/>
      <c r="R186" s="4802"/>
      <c r="S186" s="4802"/>
      <c r="T186" s="4802"/>
      <c r="U186" s="4802"/>
    </row>
    <row r="187" spans="3:21">
      <c r="J187" s="4807"/>
    </row>
    <row r="188" spans="3:21">
      <c r="J188" s="4807"/>
    </row>
    <row r="190" spans="3:21">
      <c r="C190" s="2049"/>
      <c r="D190" s="2049"/>
      <c r="E190" s="2049"/>
      <c r="F190" s="2049"/>
      <c r="G190" s="2049"/>
      <c r="H190" s="2049"/>
      <c r="J190" s="2049"/>
      <c r="K190" s="2049"/>
      <c r="L190" s="2049"/>
      <c r="M190" s="2049"/>
      <c r="N190" s="2049"/>
      <c r="O190" s="2049"/>
      <c r="Q190" s="2049"/>
      <c r="R190" s="2049"/>
      <c r="S190" s="2049"/>
      <c r="T190" s="2049"/>
      <c r="U190" s="2049"/>
    </row>
    <row r="191" spans="3:21">
      <c r="C191" s="4798"/>
      <c r="D191" s="4798"/>
      <c r="E191" s="4798"/>
      <c r="F191" s="4798"/>
      <c r="G191" s="4798"/>
      <c r="H191" s="4798"/>
      <c r="J191" s="4799"/>
      <c r="K191" s="4799"/>
      <c r="L191" s="4799"/>
      <c r="M191" s="4799"/>
      <c r="N191" s="4799"/>
      <c r="O191" s="4799"/>
      <c r="Q191" s="4800"/>
      <c r="R191" s="4800"/>
      <c r="S191" s="4800"/>
      <c r="T191" s="4800"/>
      <c r="U191" s="4800"/>
    </row>
    <row r="192" spans="3:21">
      <c r="C192" s="4798"/>
      <c r="D192" s="4798"/>
      <c r="E192" s="4798"/>
      <c r="F192" s="4798"/>
      <c r="G192" s="4798"/>
      <c r="H192" s="4798"/>
      <c r="J192" s="4799"/>
      <c r="K192" s="4799"/>
      <c r="L192" s="4799"/>
      <c r="M192" s="4799"/>
      <c r="N192" s="4799"/>
      <c r="O192" s="4799"/>
      <c r="Q192" s="4800"/>
      <c r="R192" s="4800"/>
      <c r="S192" s="4800"/>
      <c r="T192" s="4800"/>
      <c r="U192" s="4800"/>
    </row>
    <row r="193" spans="3:21">
      <c r="C193" s="4798"/>
      <c r="D193" s="4798"/>
      <c r="E193" s="4798"/>
      <c r="F193" s="4798"/>
      <c r="G193" s="4798"/>
      <c r="H193" s="4798"/>
      <c r="J193" s="4799"/>
      <c r="K193" s="4799"/>
      <c r="L193" s="4799"/>
      <c r="M193" s="4799"/>
      <c r="N193" s="4799"/>
      <c r="O193" s="4799"/>
      <c r="Q193" s="4800"/>
      <c r="R193" s="4800"/>
      <c r="S193" s="4800"/>
      <c r="T193" s="4800"/>
      <c r="U193" s="4800"/>
    </row>
    <row r="194" spans="3:21">
      <c r="C194" s="4798"/>
      <c r="D194" s="4798"/>
      <c r="E194" s="4798"/>
      <c r="F194" s="4798"/>
      <c r="G194" s="4798"/>
      <c r="H194" s="4798"/>
      <c r="J194" s="4799"/>
      <c r="K194" s="4799"/>
      <c r="L194" s="4799"/>
      <c r="M194" s="4799"/>
      <c r="N194" s="4799"/>
      <c r="O194" s="4799"/>
      <c r="Q194" s="4800"/>
      <c r="R194" s="4800"/>
      <c r="S194" s="4800"/>
      <c r="T194" s="4800"/>
      <c r="U194" s="4800"/>
    </row>
    <row r="195" spans="3:21">
      <c r="C195" s="4798"/>
      <c r="D195" s="4798"/>
      <c r="E195" s="4798"/>
      <c r="F195" s="4798"/>
      <c r="G195" s="4798"/>
      <c r="H195" s="4798"/>
      <c r="J195" s="4799"/>
      <c r="K195" s="4799"/>
      <c r="L195" s="4799"/>
      <c r="M195" s="4799"/>
      <c r="N195" s="4799"/>
      <c r="O195" s="4799"/>
      <c r="Q195" s="4800"/>
      <c r="R195" s="4800"/>
      <c r="S195" s="4800"/>
      <c r="T195" s="4800"/>
      <c r="U195" s="4800"/>
    </row>
    <row r="196" spans="3:21">
      <c r="C196" s="4798"/>
      <c r="D196" s="4798"/>
      <c r="E196" s="4798"/>
      <c r="F196" s="4798"/>
      <c r="G196" s="4798"/>
      <c r="H196" s="4798"/>
      <c r="J196" s="4799"/>
      <c r="K196" s="4799"/>
      <c r="L196" s="4799"/>
      <c r="M196" s="4799"/>
      <c r="N196" s="4799"/>
      <c r="O196" s="4799"/>
      <c r="Q196" s="4800"/>
      <c r="R196" s="4800"/>
      <c r="S196" s="4800"/>
      <c r="T196" s="4800"/>
      <c r="U196" s="4800"/>
    </row>
    <row r="197" spans="3:21">
      <c r="C197" s="4801"/>
      <c r="D197" s="4801"/>
      <c r="E197" s="4801"/>
      <c r="F197" s="4801"/>
      <c r="G197" s="4801"/>
      <c r="H197" s="4801"/>
      <c r="J197" s="3850"/>
      <c r="K197" s="3850"/>
      <c r="L197" s="3850"/>
      <c r="M197" s="3850"/>
      <c r="N197" s="3850"/>
      <c r="O197" s="3850"/>
      <c r="Q197" s="4802"/>
      <c r="R197" s="4802"/>
      <c r="S197" s="4802"/>
      <c r="T197" s="4802"/>
      <c r="U197" s="4802"/>
    </row>
    <row r="198" spans="3:21">
      <c r="J198" s="4803"/>
      <c r="K198" s="4803"/>
      <c r="L198" s="4803"/>
      <c r="M198" s="4803"/>
      <c r="N198" s="4803"/>
      <c r="O198" s="4803"/>
    </row>
    <row r="199" spans="3:21">
      <c r="J199" s="4804"/>
      <c r="K199" s="4804"/>
      <c r="L199" s="4804"/>
      <c r="M199" s="4804"/>
      <c r="N199" s="4804"/>
      <c r="O199" s="4804"/>
      <c r="P199" s="4783"/>
      <c r="Q199" s="4805"/>
      <c r="R199" s="4805"/>
      <c r="S199" s="4805"/>
      <c r="T199" s="4805"/>
      <c r="U199" s="4805"/>
    </row>
    <row r="200" spans="3:21">
      <c r="D200" s="4798"/>
      <c r="E200" s="4798"/>
      <c r="F200" s="4798"/>
      <c r="G200" s="4798"/>
      <c r="H200" s="4798"/>
      <c r="J200" s="4806"/>
      <c r="K200" s="4806"/>
      <c r="L200" s="4806"/>
      <c r="M200" s="4806"/>
      <c r="N200" s="4806"/>
      <c r="O200" s="4806"/>
      <c r="Q200" s="4802"/>
      <c r="R200" s="4802"/>
      <c r="S200" s="4802"/>
      <c r="T200" s="4802"/>
      <c r="U200" s="4802"/>
    </row>
    <row r="204" spans="3:21">
      <c r="C204" s="2049"/>
      <c r="D204" s="2049"/>
      <c r="E204" s="2049"/>
      <c r="F204" s="2049"/>
      <c r="G204" s="2049"/>
      <c r="H204" s="2049"/>
      <c r="J204" s="2049"/>
      <c r="K204" s="2049"/>
      <c r="L204" s="2049"/>
      <c r="M204" s="2049"/>
      <c r="N204" s="2049"/>
      <c r="O204" s="2049"/>
      <c r="Q204" s="2049"/>
      <c r="R204" s="2049"/>
      <c r="S204" s="2049"/>
      <c r="T204" s="2049"/>
      <c r="U204" s="2049"/>
    </row>
    <row r="205" spans="3:21">
      <c r="C205" s="4798"/>
      <c r="D205" s="4798"/>
      <c r="E205" s="4798"/>
      <c r="F205" s="4798"/>
      <c r="G205" s="4798"/>
      <c r="H205" s="4798"/>
      <c r="J205" s="4799"/>
      <c r="K205" s="4799"/>
      <c r="L205" s="4799"/>
      <c r="M205" s="4799"/>
      <c r="N205" s="4799"/>
      <c r="O205" s="4799"/>
      <c r="Q205" s="4800"/>
      <c r="R205" s="4800"/>
      <c r="S205" s="4800"/>
      <c r="T205" s="4800"/>
      <c r="U205" s="4800"/>
    </row>
    <row r="206" spans="3:21">
      <c r="C206" s="4798"/>
      <c r="D206" s="4798"/>
      <c r="E206" s="4798"/>
      <c r="F206" s="4798"/>
      <c r="G206" s="4798"/>
      <c r="H206" s="4798"/>
      <c r="J206" s="4799"/>
      <c r="K206" s="4799"/>
      <c r="L206" s="4799"/>
      <c r="M206" s="4799"/>
      <c r="N206" s="4799"/>
      <c r="O206" s="4799"/>
      <c r="Q206" s="4800"/>
      <c r="R206" s="4800"/>
      <c r="S206" s="4800"/>
      <c r="T206" s="4800"/>
      <c r="U206" s="4800"/>
    </row>
    <row r="207" spans="3:21">
      <c r="C207" s="4798"/>
      <c r="D207" s="4798"/>
      <c r="E207" s="4798"/>
      <c r="F207" s="4798"/>
      <c r="G207" s="4798"/>
      <c r="H207" s="4798"/>
      <c r="J207" s="4799"/>
      <c r="K207" s="4799"/>
      <c r="L207" s="4799"/>
      <c r="M207" s="4799"/>
      <c r="N207" s="4799"/>
      <c r="O207" s="4799"/>
      <c r="Q207" s="4800"/>
      <c r="R207" s="4800"/>
      <c r="S207" s="4800"/>
      <c r="T207" s="4800"/>
      <c r="U207" s="4800"/>
    </row>
    <row r="208" spans="3:21">
      <c r="C208" s="4798"/>
      <c r="D208" s="4798"/>
      <c r="E208" s="4798"/>
      <c r="F208" s="4798"/>
      <c r="G208" s="4798"/>
      <c r="H208" s="4798"/>
      <c r="J208" s="4799"/>
      <c r="K208" s="4799"/>
      <c r="L208" s="4799"/>
      <c r="M208" s="4799"/>
      <c r="N208" s="4799"/>
      <c r="O208" s="4799"/>
      <c r="Q208" s="4800"/>
      <c r="R208" s="4800"/>
      <c r="S208" s="4800"/>
      <c r="T208" s="4800"/>
      <c r="U208" s="4800"/>
    </row>
    <row r="209" spans="3:21">
      <c r="C209" s="4798"/>
      <c r="D209" s="4798"/>
      <c r="E209" s="4798"/>
      <c r="F209" s="4798"/>
      <c r="G209" s="4798"/>
      <c r="H209" s="4798"/>
      <c r="J209" s="4799"/>
      <c r="K209" s="4799"/>
      <c r="L209" s="4799"/>
      <c r="M209" s="4799"/>
      <c r="N209" s="4799"/>
      <c r="O209" s="4799"/>
      <c r="Q209" s="4800"/>
      <c r="R209" s="4800"/>
      <c r="S209" s="4800"/>
      <c r="T209" s="4800"/>
      <c r="U209" s="4800"/>
    </row>
    <row r="210" spans="3:21">
      <c r="C210" s="4798"/>
      <c r="D210" s="4798"/>
      <c r="E210" s="4798"/>
      <c r="F210" s="4798"/>
      <c r="G210" s="4798"/>
      <c r="H210" s="4798"/>
      <c r="J210" s="4799"/>
      <c r="K210" s="4799"/>
      <c r="L210" s="4799"/>
      <c r="M210" s="4799"/>
      <c r="N210" s="4799"/>
      <c r="O210" s="4799"/>
      <c r="Q210" s="4800"/>
      <c r="R210" s="4800"/>
      <c r="S210" s="4800"/>
      <c r="T210" s="4800"/>
      <c r="U210" s="4800"/>
    </row>
    <row r="211" spans="3:21">
      <c r="C211" s="4801"/>
      <c r="D211" s="4801"/>
      <c r="E211" s="4801"/>
      <c r="F211" s="4801"/>
      <c r="G211" s="4801"/>
      <c r="H211" s="4801"/>
      <c r="J211" s="3850"/>
      <c r="K211" s="3850"/>
      <c r="L211" s="3850"/>
      <c r="M211" s="3850"/>
      <c r="N211" s="3850"/>
      <c r="O211" s="3850"/>
      <c r="Q211" s="4802"/>
      <c r="R211" s="4802"/>
      <c r="S211" s="4802"/>
      <c r="T211" s="4802"/>
      <c r="U211" s="4802"/>
    </row>
    <row r="212" spans="3:21">
      <c r="J212" s="4803"/>
      <c r="K212" s="4803"/>
      <c r="L212" s="4803"/>
      <c r="M212" s="4803"/>
      <c r="N212" s="4803"/>
      <c r="O212" s="4803"/>
    </row>
    <row r="213" spans="3:21">
      <c r="J213" s="4804"/>
      <c r="K213" s="4804"/>
      <c r="L213" s="4804"/>
      <c r="M213" s="4804"/>
      <c r="N213" s="4804"/>
      <c r="O213" s="4804"/>
      <c r="P213" s="4783"/>
      <c r="Q213" s="4805"/>
      <c r="R213" s="4805"/>
      <c r="S213" s="4805"/>
      <c r="T213" s="4805"/>
      <c r="U213" s="4805"/>
    </row>
    <row r="214" spans="3:21">
      <c r="J214" s="4806"/>
      <c r="K214" s="4806"/>
      <c r="L214" s="4806"/>
      <c r="M214" s="4806"/>
      <c r="N214" s="4806"/>
      <c r="O214" s="4806"/>
      <c r="Q214" s="4802"/>
      <c r="R214" s="4802"/>
      <c r="S214" s="4802"/>
      <c r="T214" s="4802"/>
      <c r="U214" s="4802"/>
    </row>
    <row r="218" spans="3:21">
      <c r="C218" s="2049"/>
      <c r="D218" s="2049"/>
      <c r="E218" s="2049"/>
      <c r="F218" s="2049"/>
      <c r="G218" s="2049"/>
      <c r="H218" s="2049"/>
      <c r="J218" s="2049"/>
      <c r="K218" s="2049"/>
      <c r="L218" s="2049"/>
      <c r="M218" s="2049"/>
      <c r="N218" s="2049"/>
      <c r="O218" s="2049"/>
      <c r="Q218" s="2049"/>
      <c r="R218" s="2049"/>
      <c r="S218" s="2049"/>
      <c r="T218" s="2049"/>
      <c r="U218" s="2049"/>
    </row>
    <row r="219" spans="3:21">
      <c r="C219" s="4798"/>
      <c r="D219" s="4798"/>
      <c r="E219" s="4798"/>
      <c r="F219" s="4798"/>
      <c r="G219" s="4798"/>
      <c r="H219" s="4798"/>
      <c r="J219" s="4799"/>
      <c r="K219" s="4799"/>
      <c r="L219" s="4799"/>
      <c r="M219" s="4799"/>
      <c r="N219" s="4799"/>
      <c r="O219" s="4799"/>
      <c r="Q219" s="4800"/>
      <c r="R219" s="4800"/>
      <c r="S219" s="4800"/>
      <c r="T219" s="4800"/>
      <c r="U219" s="4800"/>
    </row>
    <row r="220" spans="3:21">
      <c r="C220" s="4798"/>
      <c r="D220" s="4798"/>
      <c r="E220" s="4798"/>
      <c r="F220" s="4798"/>
      <c r="G220" s="4798"/>
      <c r="H220" s="4798"/>
      <c r="J220" s="4799"/>
      <c r="K220" s="4799"/>
      <c r="L220" s="4799"/>
      <c r="M220" s="4799"/>
      <c r="N220" s="4799"/>
      <c r="O220" s="4799"/>
      <c r="Q220" s="4800"/>
      <c r="R220" s="4800"/>
      <c r="S220" s="4800"/>
      <c r="T220" s="4800"/>
      <c r="U220" s="4800"/>
    </row>
    <row r="221" spans="3:21">
      <c r="C221" s="4798"/>
      <c r="D221" s="4798"/>
      <c r="E221" s="4798"/>
      <c r="F221" s="4798"/>
      <c r="G221" s="4798"/>
      <c r="H221" s="4798"/>
      <c r="J221" s="4799"/>
      <c r="K221" s="4799"/>
      <c r="L221" s="4799"/>
      <c r="M221" s="4799"/>
      <c r="N221" s="4799"/>
      <c r="O221" s="4799"/>
      <c r="Q221" s="4800"/>
      <c r="R221" s="4800"/>
      <c r="S221" s="4800"/>
      <c r="T221" s="4800"/>
      <c r="U221" s="4800"/>
    </row>
    <row r="222" spans="3:21">
      <c r="C222" s="4798"/>
      <c r="D222" s="4798"/>
      <c r="E222" s="4798"/>
      <c r="F222" s="4798"/>
      <c r="G222" s="4798"/>
      <c r="H222" s="4798"/>
      <c r="J222" s="4799"/>
      <c r="K222" s="4799"/>
      <c r="L222" s="4799"/>
      <c r="M222" s="4799"/>
      <c r="N222" s="4799"/>
      <c r="O222" s="4799"/>
      <c r="Q222" s="4800"/>
      <c r="R222" s="4800"/>
      <c r="S222" s="4800"/>
      <c r="T222" s="4800"/>
      <c r="U222" s="4800"/>
    </row>
    <row r="223" spans="3:21">
      <c r="C223" s="4798"/>
      <c r="D223" s="4798"/>
      <c r="E223" s="4798"/>
      <c r="F223" s="4798"/>
      <c r="G223" s="4798"/>
      <c r="H223" s="4798"/>
      <c r="J223" s="4799"/>
      <c r="K223" s="4799"/>
      <c r="L223" s="4799"/>
      <c r="M223" s="4799"/>
      <c r="N223" s="4799"/>
      <c r="O223" s="4799"/>
      <c r="Q223" s="4800"/>
      <c r="R223" s="4800"/>
      <c r="S223" s="4800"/>
      <c r="T223" s="4800"/>
      <c r="U223" s="4800"/>
    </row>
    <row r="224" spans="3:21">
      <c r="C224" s="4798"/>
      <c r="D224" s="4798"/>
      <c r="E224" s="4798"/>
      <c r="F224" s="4798"/>
      <c r="G224" s="4798"/>
      <c r="H224" s="4798"/>
      <c r="J224" s="4799"/>
      <c r="K224" s="4799"/>
      <c r="L224" s="4799"/>
      <c r="M224" s="4799"/>
      <c r="N224" s="4799"/>
      <c r="O224" s="4799"/>
      <c r="Q224" s="4800"/>
      <c r="R224" s="4800"/>
      <c r="S224" s="4800"/>
      <c r="T224" s="4800"/>
      <c r="U224" s="4800"/>
    </row>
    <row r="225" spans="3:21">
      <c r="C225" s="4801"/>
      <c r="D225" s="4801"/>
      <c r="E225" s="4801"/>
      <c r="F225" s="4801"/>
      <c r="G225" s="4801"/>
      <c r="H225" s="4801"/>
      <c r="J225" s="3850"/>
      <c r="K225" s="3850"/>
      <c r="L225" s="3850"/>
      <c r="M225" s="3850"/>
      <c r="N225" s="3850"/>
      <c r="O225" s="3850"/>
      <c r="Q225" s="4802"/>
      <c r="R225" s="4802"/>
      <c r="S225" s="4802"/>
      <c r="T225" s="4802"/>
      <c r="U225" s="4802"/>
    </row>
    <row r="226" spans="3:21">
      <c r="J226" s="4803"/>
      <c r="K226" s="4803"/>
      <c r="L226" s="4803"/>
      <c r="M226" s="4803"/>
      <c r="N226" s="4803"/>
      <c r="O226" s="4803"/>
    </row>
    <row r="227" spans="3:21">
      <c r="J227" s="4804"/>
      <c r="K227" s="4804"/>
      <c r="L227" s="4804"/>
      <c r="M227" s="4804"/>
      <c r="N227" s="4804"/>
      <c r="O227" s="4804"/>
      <c r="P227" s="4783"/>
      <c r="Q227" s="4805"/>
      <c r="R227" s="4805"/>
      <c r="S227" s="4805"/>
      <c r="T227" s="4805"/>
      <c r="U227" s="4805"/>
    </row>
    <row r="228" spans="3:21">
      <c r="J228" s="4806"/>
      <c r="K228" s="4806"/>
      <c r="L228" s="4806"/>
      <c r="M228" s="4806"/>
      <c r="N228" s="4806"/>
      <c r="O228" s="4806"/>
      <c r="Q228" s="4802"/>
      <c r="R228" s="4802"/>
      <c r="S228" s="4802"/>
      <c r="T228" s="4802"/>
      <c r="U228" s="4802"/>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CO277"/>
  <sheetViews>
    <sheetView workbookViewId="0">
      <selection sqref="A1:XFD1048576"/>
    </sheetView>
  </sheetViews>
  <sheetFormatPr defaultColWidth="9.109375" defaultRowHeight="13.8"/>
  <cols>
    <col min="1" max="1" width="5.88671875" style="4705" customWidth="1"/>
    <col min="2" max="2" width="40" style="4705" customWidth="1"/>
    <col min="3" max="3" width="6.88671875" style="4634" customWidth="1"/>
    <col min="4" max="8" width="7" style="4634" customWidth="1"/>
    <col min="9" max="9" width="8.109375" style="4635" customWidth="1"/>
    <col min="10" max="10" width="8.6640625" style="4634" customWidth="1"/>
    <col min="11" max="16" width="7" style="4634" customWidth="1"/>
    <col min="17" max="17" width="8.33203125" style="4635" customWidth="1"/>
    <col min="18" max="18" width="9.109375" style="4634"/>
    <col min="19" max="24" width="7" style="4634" customWidth="1"/>
    <col min="25" max="25" width="8" style="4635" customWidth="1"/>
    <col min="26" max="26" width="9.109375" style="4634"/>
    <col min="27" max="32" width="6.88671875" style="4634" customWidth="1"/>
    <col min="33" max="33" width="8.33203125" style="4635" customWidth="1"/>
    <col min="34" max="34" width="9.109375" style="4634"/>
    <col min="35" max="40" width="7" style="4634" customWidth="1"/>
    <col min="41" max="41" width="7.6640625" style="4635" customWidth="1"/>
    <col min="42" max="42" width="9.109375" style="4634"/>
    <col min="43" max="60" width="7" style="4634" customWidth="1"/>
    <col min="61" max="61" width="2.33203125" style="4639" customWidth="1"/>
    <col min="62" max="67" width="7" style="4639" customWidth="1"/>
    <col min="68" max="69" width="9.109375" style="4634"/>
    <col min="70" max="70" width="2.5546875" style="4639" customWidth="1"/>
    <col min="71" max="76" width="6.6640625" style="4639" customWidth="1"/>
    <col min="77" max="78" width="9.109375" style="4634"/>
    <col min="79" max="79" width="3.44140625" style="4639" customWidth="1"/>
    <col min="80" max="84" width="8.88671875" style="4640" customWidth="1"/>
    <col min="85" max="85" width="12.5546875" style="4641" customWidth="1"/>
    <col min="86" max="86" width="11.33203125" style="4639" customWidth="1"/>
    <col min="87" max="88" width="7" style="4639" customWidth="1"/>
    <col min="89" max="93" width="2.33203125" style="4639" customWidth="1"/>
    <col min="94" max="16384" width="9.109375" style="4639"/>
  </cols>
  <sheetData>
    <row r="1" spans="1:93" ht="16.2">
      <c r="A1" s="4547"/>
      <c r="B1" s="4547"/>
      <c r="C1" s="4547"/>
      <c r="D1" s="4758"/>
      <c r="E1" s="4758"/>
      <c r="Y1" s="4636"/>
      <c r="AU1" s="4637"/>
      <c r="AV1" s="4638"/>
    </row>
    <row r="2" spans="1:93" ht="18.75" customHeight="1">
      <c r="A2" s="4642"/>
      <c r="B2" s="4642"/>
      <c r="C2" s="4642"/>
      <c r="D2" s="4642"/>
      <c r="E2" s="4642"/>
      <c r="F2" s="4642"/>
      <c r="G2" s="4642"/>
      <c r="H2" s="4642"/>
      <c r="I2" s="4642"/>
      <c r="J2" s="4642"/>
      <c r="K2" s="4642"/>
      <c r="L2" s="4642"/>
      <c r="M2" s="4642"/>
      <c r="N2" s="4642"/>
      <c r="O2" s="4642"/>
      <c r="P2" s="4642"/>
      <c r="Q2" s="4642"/>
      <c r="R2" s="4642"/>
      <c r="S2" s="4642"/>
      <c r="T2" s="4642"/>
      <c r="U2" s="4642"/>
      <c r="V2" s="4642"/>
      <c r="W2" s="4642"/>
      <c r="X2" s="4642"/>
      <c r="Y2" s="4642"/>
      <c r="Z2" s="4642"/>
      <c r="AA2" s="4642"/>
      <c r="AB2" s="4642"/>
      <c r="AC2" s="4642"/>
      <c r="AD2" s="4642"/>
      <c r="AE2" s="4642"/>
      <c r="AF2" s="4642"/>
      <c r="AG2" s="4643"/>
      <c r="AH2" s="4642"/>
      <c r="AI2" s="4642"/>
      <c r="AJ2" s="4642"/>
      <c r="AK2" s="4642"/>
      <c r="AL2" s="4642"/>
      <c r="AM2" s="4642"/>
      <c r="AN2" s="4642"/>
      <c r="AO2" s="4643"/>
      <c r="AP2" s="4642"/>
      <c r="AQ2" s="4642"/>
      <c r="AR2" s="4642"/>
      <c r="AS2" s="4642"/>
      <c r="AT2" s="4642"/>
      <c r="AU2" s="4642"/>
      <c r="AV2" s="4642"/>
      <c r="AW2" s="4642"/>
      <c r="AX2" s="4642"/>
      <c r="AY2" s="4642"/>
      <c r="AZ2" s="4642"/>
      <c r="BA2" s="4642"/>
      <c r="BB2" s="4642"/>
      <c r="BC2" s="4642"/>
      <c r="BD2" s="4642"/>
      <c r="BE2" s="4642"/>
      <c r="BF2" s="4642"/>
      <c r="BG2" s="4642"/>
      <c r="BH2" s="4642"/>
      <c r="BP2" s="4642"/>
      <c r="BQ2" s="4642"/>
      <c r="BY2" s="4642"/>
      <c r="BZ2" s="4642"/>
    </row>
    <row r="3" spans="1:93" ht="18.75" customHeight="1">
      <c r="A3" s="4642"/>
      <c r="B3" s="4642"/>
      <c r="C3" s="4642"/>
      <c r="D3" s="4642"/>
      <c r="E3" s="4642"/>
      <c r="F3" s="4642"/>
      <c r="G3" s="4642"/>
      <c r="H3" s="4642"/>
      <c r="I3" s="4642"/>
      <c r="J3" s="4642"/>
      <c r="K3" s="4642"/>
      <c r="L3" s="4642"/>
      <c r="M3" s="4642"/>
      <c r="N3" s="4642"/>
      <c r="O3" s="4642"/>
      <c r="P3" s="4642"/>
      <c r="Q3" s="4642"/>
      <c r="R3" s="4642"/>
      <c r="S3" s="4642"/>
      <c r="T3" s="4642"/>
      <c r="U3" s="4642"/>
      <c r="V3" s="4642"/>
      <c r="W3" s="4642"/>
      <c r="X3" s="4642"/>
      <c r="Y3" s="4642"/>
      <c r="Z3" s="4642"/>
      <c r="AA3" s="4644"/>
      <c r="AB3" s="4644"/>
      <c r="AC3" s="4644"/>
      <c r="AD3" s="4644"/>
      <c r="AE3" s="4644"/>
      <c r="AF3" s="4644"/>
      <c r="AG3" s="4645"/>
      <c r="AH3" s="4644"/>
      <c r="AI3" s="4644"/>
      <c r="AJ3" s="4644"/>
      <c r="AK3" s="4644"/>
      <c r="AL3" s="4644"/>
      <c r="AM3" s="4644"/>
      <c r="AN3" s="4644"/>
      <c r="AO3" s="4645"/>
      <c r="AP3" s="4644"/>
      <c r="AQ3" s="4644"/>
      <c r="AR3" s="4644"/>
      <c r="AS3" s="4644"/>
      <c r="AT3" s="4644"/>
      <c r="AU3" s="4644"/>
      <c r="AV3" s="4644"/>
      <c r="AW3" s="4644"/>
      <c r="AX3" s="4644"/>
      <c r="AY3" s="4644"/>
      <c r="AZ3" s="4644"/>
      <c r="BA3" s="4644"/>
      <c r="BB3" s="4644"/>
      <c r="BC3" s="4644"/>
      <c r="BD3" s="4644"/>
      <c r="BE3" s="4644"/>
      <c r="BF3" s="4644"/>
      <c r="BG3" s="4644"/>
      <c r="BH3" s="4644"/>
      <c r="BP3" s="4644"/>
      <c r="BQ3" s="4644"/>
      <c r="BY3" s="4644"/>
      <c r="BZ3" s="4644"/>
    </row>
    <row r="4" spans="1:93" ht="15.6">
      <c r="A4" s="4644"/>
      <c r="B4" s="4644"/>
      <c r="C4" s="4644"/>
      <c r="D4" s="4644"/>
      <c r="E4" s="4644"/>
      <c r="F4" s="4644"/>
      <c r="G4" s="4644"/>
      <c r="H4" s="4644"/>
      <c r="I4" s="4644"/>
      <c r="J4" s="4644"/>
      <c r="K4" s="4644"/>
      <c r="L4" s="4644"/>
      <c r="M4" s="4644"/>
      <c r="N4" s="4644"/>
      <c r="O4" s="4644"/>
      <c r="P4" s="4644"/>
      <c r="Q4" s="4644"/>
      <c r="R4" s="4644"/>
      <c r="S4" s="4644"/>
      <c r="T4" s="4644"/>
      <c r="U4" s="4644"/>
      <c r="V4" s="4644"/>
      <c r="W4" s="4644"/>
      <c r="X4" s="4644"/>
      <c r="Y4" s="4644"/>
      <c r="Z4" s="4644"/>
      <c r="AA4" s="4644"/>
      <c r="AB4" s="4644"/>
      <c r="AC4" s="4644"/>
      <c r="AD4" s="4644"/>
      <c r="AE4" s="4644"/>
      <c r="AF4" s="4644"/>
      <c r="AG4" s="4645"/>
      <c r="AH4" s="4644"/>
      <c r="AI4" s="4646"/>
      <c r="AJ4" s="4646"/>
      <c r="AK4" s="4646"/>
      <c r="AL4" s="4646"/>
      <c r="AM4" s="4646"/>
      <c r="AN4" s="4646"/>
      <c r="AO4" s="4645"/>
      <c r="AP4" s="4644"/>
      <c r="AQ4" s="4644"/>
      <c r="AR4" s="4644"/>
      <c r="AS4" s="4644"/>
      <c r="AT4" s="4644"/>
      <c r="AU4" s="4644"/>
      <c r="AV4" s="4644"/>
      <c r="AW4" s="4646"/>
      <c r="AX4" s="4646"/>
      <c r="AY4" s="4646"/>
      <c r="AZ4" s="4646"/>
      <c r="BA4" s="4646"/>
      <c r="BB4" s="4646"/>
      <c r="BC4" s="4646"/>
      <c r="BD4" s="4646"/>
      <c r="BE4" s="4646"/>
      <c r="BF4" s="4646"/>
      <c r="BG4" s="4646"/>
      <c r="BH4" s="4646"/>
      <c r="BP4" s="4644"/>
      <c r="BQ4" s="4644"/>
      <c r="BY4" s="4644"/>
      <c r="BZ4" s="4644"/>
    </row>
    <row r="5" spans="1:93" ht="15.6">
      <c r="A5" s="4644"/>
      <c r="B5" s="4644"/>
      <c r="C5" s="4644"/>
      <c r="D5" s="4644"/>
      <c r="E5" s="4644"/>
      <c r="F5" s="4644"/>
      <c r="G5" s="4644"/>
      <c r="H5" s="4644"/>
      <c r="I5" s="4644"/>
      <c r="J5" s="4644"/>
      <c r="K5" s="4644"/>
      <c r="L5" s="4644"/>
      <c r="M5" s="4644"/>
      <c r="N5" s="4644"/>
      <c r="O5" s="4644"/>
      <c r="P5" s="4644"/>
      <c r="Q5" s="4644"/>
      <c r="R5" s="4644"/>
      <c r="S5" s="4644"/>
      <c r="T5" s="4644"/>
      <c r="U5" s="4644"/>
      <c r="V5" s="4644"/>
      <c r="W5" s="4644"/>
      <c r="X5" s="4644"/>
      <c r="Y5" s="4644"/>
      <c r="Z5" s="4644"/>
      <c r="AA5" s="4647"/>
      <c r="AB5" s="4647"/>
      <c r="AC5" s="4647"/>
      <c r="AD5" s="4647"/>
      <c r="AE5" s="4647"/>
      <c r="AF5" s="4647"/>
      <c r="AG5" s="4648"/>
      <c r="AH5" s="4647"/>
      <c r="AI5" s="4649"/>
      <c r="AJ5" s="4649"/>
      <c r="AK5" s="4649"/>
      <c r="AL5" s="4649"/>
      <c r="AM5" s="4649"/>
      <c r="AN5" s="4649"/>
      <c r="AO5" s="4648"/>
      <c r="AP5" s="4647"/>
      <c r="AQ5" s="4647"/>
      <c r="AR5" s="4647"/>
      <c r="AS5" s="4647"/>
      <c r="AT5" s="4647"/>
      <c r="AU5" s="4647"/>
      <c r="AV5" s="4647"/>
      <c r="AW5" s="4649"/>
      <c r="AX5" s="4649"/>
      <c r="AY5" s="4649"/>
      <c r="AZ5" s="4649"/>
      <c r="BA5" s="4649"/>
      <c r="BB5" s="4649"/>
      <c r="BC5" s="4649"/>
      <c r="BD5" s="4649"/>
      <c r="BE5" s="4649"/>
      <c r="BF5" s="4649"/>
      <c r="BG5" s="4649"/>
      <c r="BH5" s="4649"/>
      <c r="BP5" s="4647"/>
      <c r="BQ5" s="4647"/>
      <c r="BY5" s="4647"/>
      <c r="BZ5" s="4647"/>
    </row>
    <row r="6" spans="1:93">
      <c r="A6" s="4650"/>
      <c r="B6" s="4650"/>
      <c r="C6" s="4650"/>
      <c r="D6" s="4650"/>
      <c r="E6" s="4650"/>
      <c r="F6" s="4650"/>
      <c r="G6" s="4650"/>
      <c r="H6" s="4650"/>
      <c r="I6" s="4651"/>
      <c r="J6" s="4652"/>
      <c r="K6" s="4650"/>
      <c r="L6" s="4652"/>
      <c r="M6" s="4652"/>
      <c r="N6" s="4652"/>
      <c r="O6" s="4652"/>
      <c r="P6" s="4652"/>
      <c r="Q6" s="4651"/>
      <c r="R6" s="4652"/>
      <c r="S6" s="4652"/>
      <c r="T6" s="4652"/>
      <c r="U6" s="4652"/>
      <c r="V6" s="4652"/>
      <c r="W6" s="4652"/>
      <c r="X6" s="4652"/>
      <c r="Y6" s="4651"/>
      <c r="Z6" s="4652"/>
      <c r="AA6" s="4652"/>
      <c r="AB6" s="4652"/>
      <c r="AC6" s="4652"/>
      <c r="AD6" s="4652"/>
      <c r="AE6" s="4652"/>
      <c r="AF6" s="4652"/>
      <c r="AG6" s="4651"/>
      <c r="AH6" s="4652"/>
      <c r="AI6" s="4653"/>
      <c r="AJ6" s="4653"/>
      <c r="AK6" s="4653"/>
      <c r="AL6" s="4653"/>
      <c r="AM6" s="4653"/>
      <c r="AN6" s="4653"/>
      <c r="AO6" s="4651"/>
      <c r="AP6" s="4652"/>
      <c r="AQ6" s="4652"/>
      <c r="AR6" s="4652"/>
      <c r="AS6" s="4652"/>
      <c r="AT6" s="4652"/>
      <c r="AU6" s="4652"/>
      <c r="AV6" s="4652"/>
      <c r="AW6" s="4653"/>
      <c r="AX6" s="4653"/>
      <c r="AY6" s="4653"/>
      <c r="AZ6" s="4653"/>
      <c r="BA6" s="4653"/>
      <c r="BB6" s="4653"/>
      <c r="BC6" s="4653"/>
      <c r="BD6" s="4653"/>
      <c r="BE6" s="4653"/>
      <c r="BF6" s="4653"/>
      <c r="BG6" s="4653"/>
      <c r="BH6" s="4653"/>
      <c r="BP6" s="4652"/>
      <c r="BQ6" s="4652"/>
      <c r="BY6" s="4652"/>
      <c r="BZ6" s="4652"/>
    </row>
    <row r="7" spans="1:93">
      <c r="A7" s="4654"/>
      <c r="B7" s="4654"/>
      <c r="C7" s="4655"/>
      <c r="D7" s="4656"/>
      <c r="E7" s="4656"/>
      <c r="F7" s="4657"/>
      <c r="G7" s="4650"/>
      <c r="H7" s="4650"/>
      <c r="K7" s="4650"/>
      <c r="L7" s="4656"/>
      <c r="M7" s="4656"/>
      <c r="N7" s="4656"/>
      <c r="O7" s="4656"/>
      <c r="X7" s="4656"/>
      <c r="Y7" s="660"/>
      <c r="AF7" s="4656"/>
      <c r="AI7" s="4658"/>
      <c r="AJ7" s="4658"/>
      <c r="AK7" s="4658"/>
      <c r="AL7" s="4658"/>
      <c r="AM7" s="4658"/>
      <c r="AN7" s="4659"/>
      <c r="AQ7" s="4656"/>
      <c r="AR7" s="4656"/>
      <c r="AS7" s="4656"/>
      <c r="AT7" s="4656"/>
      <c r="AU7" s="4660"/>
      <c r="AW7" s="4658"/>
      <c r="AX7" s="4658"/>
      <c r="AY7" s="4658"/>
      <c r="AZ7" s="4658"/>
      <c r="BA7" s="4658"/>
      <c r="BB7" s="4659"/>
      <c r="BC7" s="4658"/>
      <c r="BD7" s="4658"/>
      <c r="BE7" s="4658"/>
      <c r="BF7" s="4658"/>
      <c r="BG7" s="4658"/>
      <c r="BH7" s="660"/>
    </row>
    <row r="8" spans="1:93" ht="15.75" customHeight="1">
      <c r="A8" s="4698"/>
      <c r="B8" s="4698"/>
      <c r="C8" s="4698"/>
      <c r="D8" s="4698"/>
      <c r="E8" s="4698"/>
      <c r="F8" s="4698"/>
      <c r="G8" s="4698"/>
      <c r="H8" s="4698"/>
      <c r="I8" s="4698"/>
      <c r="J8" s="4698"/>
      <c r="K8" s="4698"/>
      <c r="L8" s="4698"/>
      <c r="M8" s="4698"/>
      <c r="N8" s="4698"/>
      <c r="O8" s="4698"/>
      <c r="P8" s="4698"/>
      <c r="Q8" s="4698"/>
      <c r="R8" s="4698"/>
      <c r="S8" s="4698"/>
      <c r="T8" s="4698"/>
      <c r="U8" s="4698"/>
      <c r="V8" s="4698"/>
      <c r="W8" s="4698"/>
      <c r="X8" s="4698"/>
      <c r="Y8" s="4698"/>
      <c r="Z8" s="4698"/>
      <c r="AA8" s="4698"/>
      <c r="AB8" s="4698"/>
      <c r="AC8" s="4698"/>
      <c r="AD8" s="4698"/>
      <c r="AE8" s="4698"/>
      <c r="AF8" s="4698"/>
      <c r="AG8" s="4698"/>
      <c r="AH8" s="4698"/>
      <c r="AI8" s="4698"/>
      <c r="AJ8" s="4698"/>
      <c r="AK8" s="4698"/>
      <c r="AL8" s="4698"/>
      <c r="AM8" s="4698"/>
      <c r="AN8" s="4698"/>
      <c r="AO8" s="4698"/>
      <c r="AP8" s="4698"/>
      <c r="AQ8" s="4698"/>
      <c r="AR8" s="4698"/>
      <c r="AS8" s="4698"/>
      <c r="AT8" s="4698"/>
      <c r="AU8" s="4698"/>
      <c r="AV8" s="4698"/>
      <c r="AW8" s="4698"/>
      <c r="AX8" s="4698"/>
      <c r="AY8" s="4698"/>
      <c r="AZ8" s="4698"/>
      <c r="BA8" s="4698"/>
      <c r="BB8" s="4698"/>
      <c r="BC8" s="4698"/>
      <c r="BD8" s="4698"/>
      <c r="BE8" s="4698"/>
      <c r="BF8" s="4698"/>
      <c r="BG8" s="4698"/>
      <c r="BH8" s="4698"/>
      <c r="BI8" s="1"/>
      <c r="BJ8" s="4698"/>
      <c r="BK8" s="4698"/>
      <c r="BL8" s="4698"/>
      <c r="BM8" s="4698"/>
      <c r="BN8" s="4698"/>
      <c r="BO8" s="4698"/>
      <c r="BP8" s="4661"/>
      <c r="BQ8" s="4661"/>
      <c r="BR8" s="1"/>
      <c r="BS8" s="4698"/>
      <c r="BT8" s="4698"/>
      <c r="BU8" s="4698"/>
      <c r="BV8" s="4698"/>
      <c r="BW8" s="4698"/>
      <c r="BX8" s="4698"/>
      <c r="BY8" s="4661"/>
      <c r="BZ8" s="4661"/>
      <c r="CA8" s="4661"/>
      <c r="CB8" s="659"/>
      <c r="CC8" s="659"/>
      <c r="CD8" s="659"/>
      <c r="CE8" s="659"/>
      <c r="CF8" s="659"/>
      <c r="CG8" s="4662"/>
      <c r="CH8" s="1"/>
      <c r="CI8" s="1"/>
      <c r="CJ8" s="1"/>
      <c r="CK8" s="1"/>
      <c r="CL8" s="1"/>
      <c r="CM8" s="1"/>
      <c r="CN8" s="1"/>
      <c r="CO8" s="1"/>
    </row>
    <row r="9" spans="1:93" ht="15.75" customHeight="1">
      <c r="A9" s="4714"/>
      <c r="B9" s="4714"/>
      <c r="C9" s="4759"/>
      <c r="D9" s="4759"/>
      <c r="E9" s="4759"/>
      <c r="F9" s="4759"/>
      <c r="G9" s="4759"/>
      <c r="H9" s="4759"/>
      <c r="I9" s="4759"/>
      <c r="J9" s="4759"/>
      <c r="K9" s="4698"/>
      <c r="L9" s="4698"/>
      <c r="M9" s="4698"/>
      <c r="N9" s="4698"/>
      <c r="O9" s="4698"/>
      <c r="P9" s="4698"/>
      <c r="Q9" s="4698"/>
      <c r="R9" s="4698"/>
      <c r="S9" s="4698"/>
      <c r="T9" s="4698"/>
      <c r="U9" s="4698"/>
      <c r="V9" s="4698"/>
      <c r="W9" s="4698"/>
      <c r="X9" s="4698"/>
      <c r="Y9" s="4698"/>
      <c r="Z9" s="4698"/>
      <c r="AA9" s="4698"/>
      <c r="AB9" s="4698"/>
      <c r="AC9" s="4698"/>
      <c r="AD9" s="4698"/>
      <c r="AE9" s="4698"/>
      <c r="AF9" s="4698"/>
      <c r="AG9" s="4698"/>
      <c r="AH9" s="4698"/>
      <c r="AI9" s="4698"/>
      <c r="AJ9" s="4698"/>
      <c r="AK9" s="4698"/>
      <c r="AL9" s="4698"/>
      <c r="AM9" s="4698"/>
      <c r="AN9" s="4698"/>
      <c r="AO9" s="4698"/>
      <c r="AP9" s="4698"/>
      <c r="AQ9" s="4698"/>
      <c r="AR9" s="4698"/>
      <c r="AS9" s="4698"/>
      <c r="AT9" s="4698"/>
      <c r="AU9" s="4698"/>
      <c r="AV9" s="4698"/>
      <c r="AW9" s="4698"/>
      <c r="AX9" s="4698"/>
      <c r="AY9" s="4698"/>
      <c r="AZ9" s="4698"/>
      <c r="BA9" s="4698"/>
      <c r="BB9" s="4698"/>
      <c r="BC9" s="4698"/>
      <c r="BD9" s="4698"/>
      <c r="BE9" s="4698"/>
      <c r="BF9" s="4698"/>
      <c r="BG9" s="4698"/>
      <c r="BH9" s="4698"/>
      <c r="BI9" s="1"/>
      <c r="BJ9" s="4698"/>
      <c r="BK9" s="4698"/>
      <c r="BL9" s="4698"/>
      <c r="BM9" s="4698"/>
      <c r="BN9" s="4698"/>
      <c r="BO9" s="4698"/>
      <c r="BP9" s="4661"/>
      <c r="BQ9" s="4661"/>
      <c r="BR9" s="1"/>
      <c r="BS9" s="4698"/>
      <c r="BT9" s="4698"/>
      <c r="BU9" s="4698"/>
      <c r="BV9" s="4698"/>
      <c r="BW9" s="4698"/>
      <c r="BX9" s="4698"/>
      <c r="BY9" s="4661"/>
      <c r="BZ9" s="4661"/>
      <c r="CA9" s="4661"/>
      <c r="CB9" s="659"/>
      <c r="CC9" s="659"/>
      <c r="CD9" s="659"/>
      <c r="CE9" s="659"/>
      <c r="CF9" s="659"/>
      <c r="CG9" s="4662"/>
      <c r="CH9" s="1"/>
      <c r="CI9" s="1"/>
      <c r="CJ9" s="1"/>
      <c r="CK9" s="1"/>
      <c r="CL9" s="1"/>
      <c r="CM9" s="1"/>
      <c r="CN9" s="1"/>
      <c r="CO9" s="1"/>
    </row>
    <row r="10" spans="1:93" ht="13.2">
      <c r="A10" s="4714"/>
      <c r="B10" s="4714"/>
      <c r="C10" s="4663"/>
      <c r="D10" s="4663"/>
      <c r="E10" s="4663"/>
      <c r="F10" s="4663"/>
      <c r="G10" s="4663"/>
      <c r="H10" s="4663"/>
      <c r="I10" s="4664"/>
      <c r="J10" s="4663"/>
      <c r="K10" s="4663"/>
      <c r="L10" s="4663"/>
      <c r="M10" s="4663"/>
      <c r="N10" s="4663"/>
      <c r="O10" s="4663"/>
      <c r="P10" s="4663"/>
      <c r="Q10" s="4664"/>
      <c r="R10" s="4663"/>
      <c r="S10" s="4663"/>
      <c r="T10" s="4663"/>
      <c r="U10" s="4663"/>
      <c r="V10" s="4663"/>
      <c r="W10" s="4663"/>
      <c r="X10" s="4663"/>
      <c r="Y10" s="4664"/>
      <c r="Z10" s="4663"/>
      <c r="AA10" s="4663"/>
      <c r="AB10" s="4663"/>
      <c r="AC10" s="4663"/>
      <c r="AD10" s="4663"/>
      <c r="AE10" s="4663"/>
      <c r="AF10" s="4663"/>
      <c r="AG10" s="4664"/>
      <c r="AH10" s="4663"/>
      <c r="AI10" s="4663"/>
      <c r="AJ10" s="4663"/>
      <c r="AK10" s="4663"/>
      <c r="AL10" s="4663"/>
      <c r="AM10" s="4663"/>
      <c r="AN10" s="4663"/>
      <c r="AO10" s="4664"/>
      <c r="AP10" s="4663"/>
      <c r="AQ10" s="4663"/>
      <c r="AR10" s="4663"/>
      <c r="AS10" s="4663"/>
      <c r="AT10" s="4663"/>
      <c r="AU10" s="4663"/>
      <c r="AV10" s="4663"/>
      <c r="AW10" s="4663"/>
      <c r="AX10" s="4663"/>
      <c r="AY10" s="4663"/>
      <c r="AZ10" s="4663"/>
      <c r="BA10" s="4663"/>
      <c r="BB10" s="4663"/>
      <c r="BC10" s="4663"/>
      <c r="BD10" s="4663"/>
      <c r="BE10" s="4663"/>
      <c r="BF10" s="4663"/>
      <c r="BG10" s="4663"/>
      <c r="BH10" s="4663"/>
      <c r="BI10" s="1"/>
      <c r="BJ10" s="4663"/>
      <c r="BK10" s="4663"/>
      <c r="BL10" s="4663"/>
      <c r="BM10" s="4663"/>
      <c r="BN10" s="4663"/>
      <c r="BO10" s="4663"/>
      <c r="BP10" s="4663"/>
      <c r="BQ10" s="4663"/>
      <c r="BR10" s="1"/>
      <c r="BS10" s="4663"/>
      <c r="BT10" s="4663"/>
      <c r="BU10" s="4663"/>
      <c r="BV10" s="4663"/>
      <c r="BW10" s="4663"/>
      <c r="BX10" s="4663"/>
      <c r="BY10" s="4663"/>
      <c r="BZ10" s="4663"/>
      <c r="CA10" s="4663"/>
      <c r="CB10" s="659"/>
      <c r="CC10" s="659"/>
      <c r="CD10" s="659"/>
      <c r="CE10" s="659"/>
      <c r="CF10" s="659"/>
      <c r="CG10" s="4662"/>
      <c r="CH10" s="1"/>
      <c r="CI10" s="1"/>
      <c r="CJ10" s="1"/>
      <c r="CK10" s="1"/>
      <c r="CL10" s="1"/>
      <c r="CM10" s="1"/>
      <c r="CN10" s="1"/>
      <c r="CO10" s="1"/>
    </row>
    <row r="11" spans="1:93" ht="13.2">
      <c r="A11" s="4665"/>
      <c r="B11" s="4666"/>
      <c r="C11" s="4667"/>
      <c r="D11" s="4667"/>
      <c r="E11" s="4667"/>
      <c r="F11" s="4667"/>
      <c r="G11" s="4667"/>
      <c r="H11" s="4667"/>
      <c r="I11" s="4667"/>
      <c r="J11" s="4632"/>
      <c r="K11" s="4667"/>
      <c r="L11" s="4667"/>
      <c r="M11" s="4667"/>
      <c r="N11" s="4667"/>
      <c r="O11" s="4667"/>
      <c r="P11" s="4667"/>
      <c r="Q11" s="4667"/>
      <c r="R11" s="4633"/>
      <c r="S11" s="4667"/>
      <c r="T11" s="4667"/>
      <c r="U11" s="4667"/>
      <c r="V11" s="4667"/>
      <c r="W11" s="4667"/>
      <c r="X11" s="4667"/>
      <c r="Y11" s="4667"/>
      <c r="Z11" s="4633"/>
      <c r="AA11" s="4667"/>
      <c r="AB11" s="4667"/>
      <c r="AC11" s="4667"/>
      <c r="AD11" s="4667"/>
      <c r="AE11" s="4667"/>
      <c r="AF11" s="4667"/>
      <c r="AG11" s="4667"/>
      <c r="AH11" s="4633"/>
      <c r="AI11" s="4667"/>
      <c r="AJ11" s="4667"/>
      <c r="AK11" s="4667"/>
      <c r="AL11" s="4667"/>
      <c r="AM11" s="4667"/>
      <c r="AN11" s="4667"/>
      <c r="AO11" s="4667"/>
      <c r="AP11" s="4633"/>
      <c r="AQ11" s="4667"/>
      <c r="AR11" s="4667"/>
      <c r="AS11" s="4667"/>
      <c r="AT11" s="4667"/>
      <c r="AU11" s="4667"/>
      <c r="AV11" s="4667"/>
      <c r="AW11" s="4667"/>
      <c r="AX11" s="4667"/>
      <c r="AY11" s="4667"/>
      <c r="AZ11" s="4667"/>
      <c r="BA11" s="4667"/>
      <c r="BB11" s="4667"/>
      <c r="BC11" s="4667"/>
      <c r="BD11" s="4667"/>
      <c r="BE11" s="4667"/>
      <c r="BF11" s="4667"/>
      <c r="BG11" s="4667"/>
      <c r="BH11" s="4667"/>
      <c r="BI11" s="1"/>
      <c r="BJ11" s="4667"/>
      <c r="BK11" s="4667"/>
      <c r="BL11" s="4667"/>
      <c r="BM11" s="4667"/>
      <c r="BN11" s="4667"/>
      <c r="BO11" s="4667"/>
      <c r="BP11" s="4632"/>
      <c r="BQ11" s="4632"/>
      <c r="BR11" s="1"/>
      <c r="BS11" s="4667"/>
      <c r="BT11" s="4667"/>
      <c r="BU11" s="4667"/>
      <c r="BV11" s="4667"/>
      <c r="BW11" s="4667"/>
      <c r="BX11" s="4667"/>
      <c r="BY11" s="4632"/>
      <c r="BZ11" s="4632"/>
      <c r="CA11" s="4667"/>
      <c r="CB11" s="4668"/>
      <c r="CC11" s="4668"/>
      <c r="CD11" s="4668"/>
      <c r="CE11" s="4668"/>
      <c r="CF11" s="4668"/>
      <c r="CG11" s="4662"/>
      <c r="CH11" s="3382"/>
      <c r="CI11" s="3382"/>
      <c r="CJ11" s="3382"/>
      <c r="CK11" s="1"/>
      <c r="CL11" s="1"/>
      <c r="CM11" s="1"/>
      <c r="CN11" s="1"/>
      <c r="CO11" s="1"/>
    </row>
    <row r="12" spans="1:93" ht="13.2">
      <c r="A12" s="4669"/>
      <c r="B12" s="4670"/>
      <c r="C12" s="3952"/>
      <c r="D12" s="3952"/>
      <c r="E12" s="3952"/>
      <c r="F12" s="3952"/>
      <c r="G12" s="3952"/>
      <c r="H12" s="3952"/>
      <c r="I12" s="3952"/>
      <c r="J12" s="4628"/>
      <c r="K12" s="3952"/>
      <c r="L12" s="3952"/>
      <c r="M12" s="3952"/>
      <c r="N12" s="3952"/>
      <c r="O12" s="3952"/>
      <c r="P12" s="3952"/>
      <c r="Q12" s="3952"/>
      <c r="R12" s="4629"/>
      <c r="S12" s="3952"/>
      <c r="T12" s="3952"/>
      <c r="U12" s="3952"/>
      <c r="V12" s="3952"/>
      <c r="W12" s="3952"/>
      <c r="X12" s="3952"/>
      <c r="Y12" s="3952"/>
      <c r="Z12" s="4629"/>
      <c r="AA12" s="3952"/>
      <c r="AB12" s="3952"/>
      <c r="AC12" s="3952"/>
      <c r="AD12" s="3952"/>
      <c r="AE12" s="3952"/>
      <c r="AF12" s="3952"/>
      <c r="AG12" s="3952"/>
      <c r="AH12" s="4629"/>
      <c r="AI12" s="3952"/>
      <c r="AJ12" s="3952"/>
      <c r="AK12" s="3952"/>
      <c r="AL12" s="3952"/>
      <c r="AM12" s="3952"/>
      <c r="AN12" s="3952"/>
      <c r="AO12" s="3952"/>
      <c r="AP12" s="4629"/>
      <c r="AQ12" s="3952"/>
      <c r="AR12" s="3952"/>
      <c r="AS12" s="3952"/>
      <c r="AT12" s="3952"/>
      <c r="AU12" s="3952"/>
      <c r="AV12" s="3952"/>
      <c r="AW12" s="3952"/>
      <c r="AX12" s="3952"/>
      <c r="AY12" s="3952"/>
      <c r="AZ12" s="3952"/>
      <c r="BA12" s="3952"/>
      <c r="BB12" s="3952"/>
      <c r="BC12" s="3952"/>
      <c r="BD12" s="3952"/>
      <c r="BE12" s="3952"/>
      <c r="BF12" s="3952"/>
      <c r="BG12" s="3952"/>
      <c r="BH12" s="3952"/>
      <c r="BI12" s="1"/>
      <c r="BJ12" s="3952"/>
      <c r="BK12" s="3952"/>
      <c r="BL12" s="3952"/>
      <c r="BM12" s="3952"/>
      <c r="BN12" s="3952"/>
      <c r="BO12" s="3952"/>
      <c r="BP12" s="4628"/>
      <c r="BQ12" s="4628"/>
      <c r="BR12" s="1"/>
      <c r="BS12" s="1"/>
      <c r="BT12" s="1"/>
      <c r="BU12" s="1"/>
      <c r="BV12" s="1"/>
      <c r="BW12" s="1"/>
      <c r="BX12" s="1"/>
      <c r="BY12" s="4628"/>
      <c r="BZ12" s="4628"/>
      <c r="CA12" s="1"/>
      <c r="CB12" s="4668"/>
      <c r="CC12" s="4668"/>
      <c r="CD12" s="4668"/>
      <c r="CE12" s="4668"/>
      <c r="CF12" s="4668"/>
      <c r="CG12" s="4662"/>
      <c r="CH12" s="1"/>
      <c r="CI12" s="1"/>
      <c r="CJ12" s="1"/>
      <c r="CK12" s="1"/>
      <c r="CL12" s="1"/>
      <c r="CM12" s="1"/>
      <c r="CN12" s="1"/>
      <c r="CO12" s="1"/>
    </row>
    <row r="13" spans="1:93" s="4675" customFormat="1" ht="13.2">
      <c r="A13" s="4671"/>
      <c r="B13" s="4672"/>
      <c r="C13" s="4673"/>
      <c r="D13" s="4673"/>
      <c r="E13" s="4673"/>
      <c r="F13" s="4673"/>
      <c r="G13" s="4673"/>
      <c r="H13" s="4673"/>
      <c r="I13" s="4674"/>
      <c r="J13" s="4624"/>
      <c r="K13" s="4673"/>
      <c r="L13" s="4673"/>
      <c r="M13" s="4673"/>
      <c r="N13" s="4673"/>
      <c r="O13" s="4673"/>
      <c r="P13" s="4673"/>
      <c r="Q13" s="4674"/>
      <c r="R13" s="4625"/>
      <c r="S13" s="4673"/>
      <c r="T13" s="4673"/>
      <c r="U13" s="4673"/>
      <c r="V13" s="4673"/>
      <c r="W13" s="4673"/>
      <c r="X13" s="4673"/>
      <c r="Y13" s="4674"/>
      <c r="Z13" s="4625"/>
      <c r="AA13" s="4673"/>
      <c r="AB13" s="4673"/>
      <c r="AC13" s="4673"/>
      <c r="AD13" s="4673"/>
      <c r="AE13" s="4673"/>
      <c r="AF13" s="4673"/>
      <c r="AG13" s="4674"/>
      <c r="AH13" s="4625"/>
      <c r="AI13" s="4673"/>
      <c r="AJ13" s="4673"/>
      <c r="AK13" s="4673"/>
      <c r="AL13" s="4673"/>
      <c r="AM13" s="4673"/>
      <c r="AN13" s="4673"/>
      <c r="AO13" s="4674"/>
      <c r="AP13" s="4625"/>
      <c r="AQ13" s="4673"/>
      <c r="AR13" s="4673"/>
      <c r="AS13" s="4673"/>
      <c r="AT13" s="4673"/>
      <c r="AU13" s="4673"/>
      <c r="AV13" s="4673"/>
      <c r="AW13" s="4674"/>
      <c r="AX13" s="4674"/>
      <c r="AY13" s="4674"/>
      <c r="AZ13" s="4674"/>
      <c r="BA13" s="4674"/>
      <c r="BB13" s="4674"/>
      <c r="BC13" s="4674"/>
      <c r="BD13" s="4674"/>
      <c r="BE13" s="4674"/>
      <c r="BF13" s="4674"/>
      <c r="BG13" s="4674"/>
      <c r="BH13" s="4674"/>
      <c r="BI13" s="1"/>
      <c r="BJ13" s="4674"/>
      <c r="BK13" s="4674"/>
      <c r="BL13" s="4674"/>
      <c r="BM13" s="4674"/>
      <c r="BN13" s="4674"/>
      <c r="BO13" s="4674"/>
      <c r="BP13" s="4624"/>
      <c r="BQ13" s="4624"/>
      <c r="BR13" s="1"/>
      <c r="BS13" s="1"/>
      <c r="BT13" s="1"/>
      <c r="BU13" s="1"/>
      <c r="BV13" s="1"/>
      <c r="BW13" s="1"/>
      <c r="BX13" s="1"/>
      <c r="BY13" s="4624"/>
      <c r="BZ13" s="4624"/>
      <c r="CA13" s="1"/>
      <c r="CB13" s="4668"/>
      <c r="CC13" s="4668"/>
      <c r="CD13" s="4668"/>
      <c r="CE13" s="4668"/>
      <c r="CF13" s="4668"/>
      <c r="CG13" s="4662"/>
      <c r="CH13" s="1"/>
      <c r="CI13" s="1"/>
      <c r="CJ13" s="1"/>
      <c r="CK13" s="1"/>
      <c r="CL13" s="1"/>
      <c r="CM13" s="1"/>
      <c r="CN13" s="1"/>
      <c r="CO13" s="1"/>
    </row>
    <row r="14" spans="1:93" s="4675" customFormat="1" ht="13.2">
      <c r="A14" s="4671"/>
      <c r="B14" s="4672"/>
      <c r="C14" s="4673"/>
      <c r="D14" s="4673"/>
      <c r="E14" s="4673"/>
      <c r="F14" s="4673"/>
      <c r="G14" s="4673"/>
      <c r="H14" s="4673"/>
      <c r="I14" s="4674"/>
      <c r="J14" s="4624"/>
      <c r="K14" s="4673"/>
      <c r="L14" s="4673"/>
      <c r="M14" s="4673"/>
      <c r="N14" s="4673"/>
      <c r="O14" s="4673"/>
      <c r="P14" s="4673"/>
      <c r="Q14" s="4674"/>
      <c r="R14" s="4625"/>
      <c r="S14" s="4673"/>
      <c r="T14" s="4673"/>
      <c r="U14" s="4673"/>
      <c r="V14" s="4673"/>
      <c r="W14" s="4673"/>
      <c r="X14" s="4673"/>
      <c r="Y14" s="4674"/>
      <c r="Z14" s="4625"/>
      <c r="AA14" s="4673"/>
      <c r="AB14" s="4673"/>
      <c r="AC14" s="4673"/>
      <c r="AD14" s="4673"/>
      <c r="AE14" s="4673"/>
      <c r="AF14" s="4673"/>
      <c r="AG14" s="4674"/>
      <c r="AH14" s="4625"/>
      <c r="AI14" s="4673"/>
      <c r="AJ14" s="4673"/>
      <c r="AK14" s="4673"/>
      <c r="AL14" s="4673"/>
      <c r="AM14" s="4673"/>
      <c r="AN14" s="4673"/>
      <c r="AO14" s="4674"/>
      <c r="AP14" s="4625"/>
      <c r="AQ14" s="4673"/>
      <c r="AR14" s="4673"/>
      <c r="AS14" s="4673"/>
      <c r="AT14" s="4673"/>
      <c r="AU14" s="4673"/>
      <c r="AV14" s="4673"/>
      <c r="AW14" s="4674"/>
      <c r="AX14" s="4674"/>
      <c r="AY14" s="4674"/>
      <c r="AZ14" s="4674"/>
      <c r="BA14" s="4674"/>
      <c r="BB14" s="4674"/>
      <c r="BC14" s="4674"/>
      <c r="BD14" s="4674"/>
      <c r="BE14" s="4674"/>
      <c r="BF14" s="4674"/>
      <c r="BG14" s="4674"/>
      <c r="BH14" s="4674"/>
      <c r="BI14" s="1"/>
      <c r="BJ14" s="4674"/>
      <c r="BK14" s="4674"/>
      <c r="BL14" s="4674"/>
      <c r="BM14" s="4674"/>
      <c r="BN14" s="4674"/>
      <c r="BO14" s="4674"/>
      <c r="BP14" s="4624"/>
      <c r="BQ14" s="4624"/>
      <c r="BR14" s="1"/>
      <c r="BS14" s="1"/>
      <c r="BT14" s="1"/>
      <c r="BU14" s="1"/>
      <c r="BV14" s="1"/>
      <c r="BW14" s="1"/>
      <c r="BX14" s="1"/>
      <c r="BY14" s="4624"/>
      <c r="BZ14" s="4624"/>
      <c r="CA14" s="1"/>
      <c r="CB14" s="4668"/>
      <c r="CC14" s="4668"/>
      <c r="CD14" s="4668"/>
      <c r="CE14" s="4668"/>
      <c r="CF14" s="4668"/>
      <c r="CG14" s="4662"/>
      <c r="CH14" s="1"/>
      <c r="CI14" s="1"/>
      <c r="CJ14" s="1"/>
      <c r="CK14" s="1"/>
      <c r="CL14" s="1"/>
      <c r="CM14" s="1"/>
      <c r="CN14" s="1"/>
      <c r="CO14" s="1"/>
    </row>
    <row r="15" spans="1:93" s="4675" customFormat="1" ht="13.2">
      <c r="A15" s="4671"/>
      <c r="B15" s="4672"/>
      <c r="C15" s="4673"/>
      <c r="D15" s="4673"/>
      <c r="E15" s="4673"/>
      <c r="F15" s="4673"/>
      <c r="G15" s="4673"/>
      <c r="H15" s="4673"/>
      <c r="I15" s="4674"/>
      <c r="J15" s="4624"/>
      <c r="K15" s="4673"/>
      <c r="L15" s="4673"/>
      <c r="M15" s="4673"/>
      <c r="N15" s="4673"/>
      <c r="O15" s="4673"/>
      <c r="P15" s="4673"/>
      <c r="Q15" s="4674"/>
      <c r="R15" s="4625"/>
      <c r="S15" s="4673"/>
      <c r="T15" s="4673"/>
      <c r="U15" s="4673"/>
      <c r="V15" s="4673"/>
      <c r="W15" s="4673"/>
      <c r="X15" s="4673"/>
      <c r="Y15" s="4674"/>
      <c r="Z15" s="4625"/>
      <c r="AA15" s="4673"/>
      <c r="AB15" s="4673"/>
      <c r="AC15" s="4673"/>
      <c r="AD15" s="4673"/>
      <c r="AE15" s="4673"/>
      <c r="AF15" s="4673"/>
      <c r="AG15" s="4674"/>
      <c r="AH15" s="4625"/>
      <c r="AI15" s="4673"/>
      <c r="AJ15" s="4673"/>
      <c r="AK15" s="4673"/>
      <c r="AL15" s="4673"/>
      <c r="AM15" s="4673"/>
      <c r="AN15" s="4673"/>
      <c r="AO15" s="4674"/>
      <c r="AP15" s="4625"/>
      <c r="AQ15" s="4673"/>
      <c r="AR15" s="4673"/>
      <c r="AS15" s="4673"/>
      <c r="AT15" s="4673"/>
      <c r="AU15" s="4673"/>
      <c r="AV15" s="4673"/>
      <c r="AW15" s="4674"/>
      <c r="AX15" s="4674"/>
      <c r="AY15" s="4674"/>
      <c r="AZ15" s="4674"/>
      <c r="BA15" s="4674"/>
      <c r="BB15" s="4674"/>
      <c r="BC15" s="4674"/>
      <c r="BD15" s="4674"/>
      <c r="BE15" s="4674"/>
      <c r="BF15" s="4674"/>
      <c r="BG15" s="4674"/>
      <c r="BH15" s="4674"/>
      <c r="BI15" s="1"/>
      <c r="BJ15" s="4674"/>
      <c r="BK15" s="4674"/>
      <c r="BL15" s="4674"/>
      <c r="BM15" s="4674"/>
      <c r="BN15" s="4674"/>
      <c r="BO15" s="4674"/>
      <c r="BP15" s="4624"/>
      <c r="BQ15" s="4624"/>
      <c r="BR15" s="1"/>
      <c r="BS15" s="1"/>
      <c r="BT15" s="1"/>
      <c r="BU15" s="1"/>
      <c r="BV15" s="1"/>
      <c r="BW15" s="1"/>
      <c r="BX15" s="1"/>
      <c r="BY15" s="4624"/>
      <c r="BZ15" s="4624"/>
      <c r="CA15" s="1"/>
      <c r="CB15" s="4668"/>
      <c r="CC15" s="4668"/>
      <c r="CD15" s="4668"/>
      <c r="CE15" s="4668"/>
      <c r="CF15" s="4668"/>
      <c r="CG15" s="4662"/>
      <c r="CH15" s="1"/>
      <c r="CI15" s="1"/>
      <c r="CJ15" s="1"/>
      <c r="CK15" s="1"/>
      <c r="CL15" s="1"/>
      <c r="CM15" s="1"/>
      <c r="CN15" s="1"/>
      <c r="CO15" s="1"/>
    </row>
    <row r="16" spans="1:93" s="4675" customFormat="1" ht="13.2">
      <c r="A16" s="4671"/>
      <c r="B16" s="4672"/>
      <c r="C16" s="4673"/>
      <c r="D16" s="4673"/>
      <c r="E16" s="4673"/>
      <c r="F16" s="4673"/>
      <c r="G16" s="4673"/>
      <c r="H16" s="4673"/>
      <c r="I16" s="4674"/>
      <c r="J16" s="4624"/>
      <c r="K16" s="4673"/>
      <c r="L16" s="4673"/>
      <c r="M16" s="4673"/>
      <c r="N16" s="4673"/>
      <c r="O16" s="4673"/>
      <c r="P16" s="4673"/>
      <c r="Q16" s="4674"/>
      <c r="R16" s="4625"/>
      <c r="S16" s="4673"/>
      <c r="T16" s="4673"/>
      <c r="U16" s="4673"/>
      <c r="V16" s="4673"/>
      <c r="W16" s="4673"/>
      <c r="X16" s="4673"/>
      <c r="Y16" s="4674"/>
      <c r="Z16" s="4625"/>
      <c r="AA16" s="4673"/>
      <c r="AB16" s="4673"/>
      <c r="AC16" s="4673"/>
      <c r="AD16" s="4673"/>
      <c r="AE16" s="4673"/>
      <c r="AF16" s="4673"/>
      <c r="AG16" s="4674"/>
      <c r="AH16" s="4625"/>
      <c r="AI16" s="4673"/>
      <c r="AJ16" s="4673"/>
      <c r="AK16" s="4673"/>
      <c r="AL16" s="4673"/>
      <c r="AM16" s="4673"/>
      <c r="AN16" s="4673"/>
      <c r="AO16" s="4674"/>
      <c r="AP16" s="4625"/>
      <c r="AQ16" s="4673"/>
      <c r="AR16" s="4673"/>
      <c r="AS16" s="4673"/>
      <c r="AT16" s="4673"/>
      <c r="AU16" s="4673"/>
      <c r="AV16" s="4673"/>
      <c r="AW16" s="4674"/>
      <c r="AX16" s="4674"/>
      <c r="AY16" s="4674"/>
      <c r="AZ16" s="4674"/>
      <c r="BA16" s="4674"/>
      <c r="BB16" s="4674"/>
      <c r="BC16" s="4674"/>
      <c r="BD16" s="4674"/>
      <c r="BE16" s="4674"/>
      <c r="BF16" s="4674"/>
      <c r="BG16" s="4674"/>
      <c r="BH16" s="4674"/>
      <c r="BI16" s="1"/>
      <c r="BJ16" s="4674"/>
      <c r="BK16" s="4674"/>
      <c r="BL16" s="4674"/>
      <c r="BM16" s="4674"/>
      <c r="BN16" s="4674"/>
      <c r="BO16" s="4674"/>
      <c r="BP16" s="4624"/>
      <c r="BQ16" s="4624"/>
      <c r="BR16" s="1"/>
      <c r="BS16" s="1"/>
      <c r="BT16" s="1"/>
      <c r="BU16" s="1"/>
      <c r="BV16" s="1"/>
      <c r="BW16" s="1"/>
      <c r="BX16" s="1"/>
      <c r="BY16" s="4624"/>
      <c r="BZ16" s="4624"/>
      <c r="CA16" s="1"/>
      <c r="CB16" s="4668"/>
      <c r="CC16" s="4668"/>
      <c r="CD16" s="4668"/>
      <c r="CE16" s="4668"/>
      <c r="CF16" s="4668"/>
      <c r="CG16" s="4662"/>
      <c r="CH16" s="1"/>
      <c r="CI16" s="1"/>
      <c r="CJ16" s="1"/>
      <c r="CK16" s="1"/>
      <c r="CL16" s="1"/>
      <c r="CM16" s="1"/>
      <c r="CN16" s="1"/>
      <c r="CO16" s="1"/>
    </row>
    <row r="17" spans="1:93" s="4677" customFormat="1" ht="13.2">
      <c r="A17" s="4669"/>
      <c r="B17" s="4670"/>
      <c r="C17" s="3952"/>
      <c r="D17" s="3952"/>
      <c r="E17" s="3952"/>
      <c r="F17" s="3952"/>
      <c r="G17" s="3952"/>
      <c r="H17" s="3952"/>
      <c r="I17" s="3952"/>
      <c r="J17" s="4628"/>
      <c r="K17" s="3952"/>
      <c r="L17" s="3952"/>
      <c r="M17" s="3952"/>
      <c r="N17" s="3952"/>
      <c r="O17" s="3952"/>
      <c r="P17" s="3952"/>
      <c r="Q17" s="3952"/>
      <c r="R17" s="4629"/>
      <c r="S17" s="3952"/>
      <c r="T17" s="3952"/>
      <c r="U17" s="3952"/>
      <c r="V17" s="3952"/>
      <c r="W17" s="3952"/>
      <c r="X17" s="3952"/>
      <c r="Y17" s="3952"/>
      <c r="Z17" s="4629"/>
      <c r="AA17" s="3952"/>
      <c r="AB17" s="3952"/>
      <c r="AC17" s="3952"/>
      <c r="AD17" s="3952"/>
      <c r="AE17" s="3952"/>
      <c r="AF17" s="3952"/>
      <c r="AG17" s="3952"/>
      <c r="AH17" s="4629"/>
      <c r="AI17" s="3952"/>
      <c r="AJ17" s="3952"/>
      <c r="AK17" s="3952"/>
      <c r="AL17" s="3952"/>
      <c r="AM17" s="3952"/>
      <c r="AN17" s="3952"/>
      <c r="AO17" s="3952"/>
      <c r="AP17" s="4629"/>
      <c r="AQ17" s="3952"/>
      <c r="AR17" s="3952"/>
      <c r="AS17" s="3952"/>
      <c r="AT17" s="3952"/>
      <c r="AU17" s="3952"/>
      <c r="AV17" s="3952"/>
      <c r="AW17" s="3952"/>
      <c r="AX17" s="3952"/>
      <c r="AY17" s="3952"/>
      <c r="AZ17" s="3952"/>
      <c r="BA17" s="3952"/>
      <c r="BB17" s="3952"/>
      <c r="BC17" s="4674"/>
      <c r="BD17" s="4674"/>
      <c r="BE17" s="4674"/>
      <c r="BF17" s="4674"/>
      <c r="BG17" s="4674"/>
      <c r="BH17" s="4674"/>
      <c r="BI17" s="1"/>
      <c r="BJ17" s="3952"/>
      <c r="BK17" s="3952"/>
      <c r="BL17" s="3952"/>
      <c r="BM17" s="3952"/>
      <c r="BN17" s="3952"/>
      <c r="BO17" s="3952"/>
      <c r="BP17" s="4628"/>
      <c r="BQ17" s="4628"/>
      <c r="BR17" s="1"/>
      <c r="BS17" s="1"/>
      <c r="BT17" s="1"/>
      <c r="BU17" s="1"/>
      <c r="BV17" s="1"/>
      <c r="BW17" s="1"/>
      <c r="BX17" s="1"/>
      <c r="BY17" s="4628"/>
      <c r="BZ17" s="4628"/>
      <c r="CA17" s="1"/>
      <c r="CB17" s="4676"/>
      <c r="CC17" s="4676"/>
      <c r="CD17" s="4676"/>
      <c r="CE17" s="4676"/>
      <c r="CF17" s="4676"/>
      <c r="CG17" s="4662"/>
      <c r="CH17" s="1"/>
      <c r="CI17" s="1"/>
      <c r="CJ17" s="1"/>
      <c r="CK17" s="1"/>
      <c r="CL17" s="1"/>
      <c r="CM17" s="1"/>
      <c r="CN17" s="1"/>
      <c r="CO17" s="1"/>
    </row>
    <row r="18" spans="1:93" ht="13.2">
      <c r="A18" s="4669"/>
      <c r="B18" s="4670"/>
      <c r="C18" s="3952"/>
      <c r="D18" s="3952"/>
      <c r="E18" s="3952"/>
      <c r="F18" s="3952"/>
      <c r="G18" s="3952"/>
      <c r="H18" s="3952"/>
      <c r="I18" s="3952"/>
      <c r="J18" s="4628"/>
      <c r="K18" s="3952"/>
      <c r="L18" s="3952"/>
      <c r="M18" s="3952"/>
      <c r="N18" s="3952"/>
      <c r="O18" s="3952"/>
      <c r="P18" s="3952"/>
      <c r="Q18" s="3952"/>
      <c r="R18" s="4629"/>
      <c r="S18" s="3952"/>
      <c r="T18" s="3952"/>
      <c r="U18" s="3952"/>
      <c r="V18" s="3952"/>
      <c r="W18" s="3952"/>
      <c r="X18" s="3952"/>
      <c r="Y18" s="3952"/>
      <c r="Z18" s="4629"/>
      <c r="AA18" s="3952"/>
      <c r="AB18" s="3952"/>
      <c r="AC18" s="3952"/>
      <c r="AD18" s="3952"/>
      <c r="AE18" s="3952"/>
      <c r="AF18" s="3952"/>
      <c r="AG18" s="3952"/>
      <c r="AH18" s="4629"/>
      <c r="AI18" s="3952"/>
      <c r="AJ18" s="3952"/>
      <c r="AK18" s="3952"/>
      <c r="AL18" s="3952"/>
      <c r="AM18" s="3952"/>
      <c r="AN18" s="3952"/>
      <c r="AO18" s="3952"/>
      <c r="AP18" s="4629"/>
      <c r="AQ18" s="3952"/>
      <c r="AR18" s="3952"/>
      <c r="AS18" s="3952"/>
      <c r="AT18" s="3952"/>
      <c r="AU18" s="3952"/>
      <c r="AV18" s="3952"/>
      <c r="AW18" s="3952"/>
      <c r="AX18" s="3952"/>
      <c r="AY18" s="3952"/>
      <c r="AZ18" s="3952"/>
      <c r="BA18" s="3952"/>
      <c r="BB18" s="3952"/>
      <c r="BC18" s="3952"/>
      <c r="BD18" s="3952"/>
      <c r="BE18" s="3952"/>
      <c r="BF18" s="3952"/>
      <c r="BG18" s="3952"/>
      <c r="BH18" s="3952"/>
      <c r="BI18" s="1"/>
      <c r="BJ18" s="3952"/>
      <c r="BK18" s="3952"/>
      <c r="BL18" s="3952"/>
      <c r="BM18" s="3952"/>
      <c r="BN18" s="3952"/>
      <c r="BO18" s="3952"/>
      <c r="BP18" s="4628"/>
      <c r="BQ18" s="4628"/>
      <c r="BR18" s="1"/>
      <c r="BS18" s="1"/>
      <c r="BT18" s="1"/>
      <c r="BU18" s="1"/>
      <c r="BV18" s="1"/>
      <c r="BW18" s="1"/>
      <c r="BX18" s="1"/>
      <c r="BY18" s="4628"/>
      <c r="BZ18" s="4628"/>
      <c r="CA18" s="1"/>
      <c r="CB18" s="4668"/>
      <c r="CC18" s="4668"/>
      <c r="CD18" s="4668"/>
      <c r="CE18" s="4668"/>
      <c r="CF18" s="4668"/>
      <c r="CG18" s="4662"/>
      <c r="CH18" s="1"/>
      <c r="CI18" s="1"/>
      <c r="CJ18" s="1"/>
      <c r="CK18" s="1"/>
      <c r="CL18" s="1"/>
      <c r="CM18" s="1"/>
      <c r="CN18" s="1"/>
      <c r="CO18" s="1"/>
    </row>
    <row r="19" spans="1:93" s="4675" customFormat="1" ht="13.2">
      <c r="A19" s="4671"/>
      <c r="B19" s="4672"/>
      <c r="C19" s="4678"/>
      <c r="D19" s="4679"/>
      <c r="E19" s="4679"/>
      <c r="F19" s="4679"/>
      <c r="G19" s="4679"/>
      <c r="H19" s="4679"/>
      <c r="I19" s="4680"/>
      <c r="J19" s="4626"/>
      <c r="K19" s="4673"/>
      <c r="L19" s="4679"/>
      <c r="M19" s="4679"/>
      <c r="N19" s="4679"/>
      <c r="O19" s="4679"/>
      <c r="P19" s="4679"/>
      <c r="Q19" s="4680"/>
      <c r="R19" s="4627"/>
      <c r="S19" s="4673"/>
      <c r="T19" s="4679"/>
      <c r="U19" s="4679"/>
      <c r="V19" s="4679"/>
      <c r="W19" s="4679"/>
      <c r="X19" s="4679"/>
      <c r="Y19" s="4680"/>
      <c r="Z19" s="4627"/>
      <c r="AA19" s="4678"/>
      <c r="AB19" s="4679"/>
      <c r="AC19" s="4679"/>
      <c r="AD19" s="4679"/>
      <c r="AE19" s="4679"/>
      <c r="AF19" s="4679"/>
      <c r="AG19" s="4680"/>
      <c r="AH19" s="4627"/>
      <c r="AI19" s="4673"/>
      <c r="AJ19" s="4679"/>
      <c r="AK19" s="4679"/>
      <c r="AL19" s="4679"/>
      <c r="AM19" s="4679"/>
      <c r="AN19" s="4679"/>
      <c r="AO19" s="4680"/>
      <c r="AP19" s="4627"/>
      <c r="AQ19" s="4678"/>
      <c r="AR19" s="4679"/>
      <c r="AS19" s="4679"/>
      <c r="AT19" s="4679"/>
      <c r="AU19" s="4679"/>
      <c r="AV19" s="4679"/>
      <c r="AW19" s="3952"/>
      <c r="AX19" s="4680"/>
      <c r="AY19" s="4680"/>
      <c r="AZ19" s="4680"/>
      <c r="BA19" s="4680"/>
      <c r="BB19" s="4680"/>
      <c r="BC19" s="4674"/>
      <c r="BD19" s="4674"/>
      <c r="BE19" s="4674"/>
      <c r="BF19" s="4674"/>
      <c r="BG19" s="4674"/>
      <c r="BH19" s="4674"/>
      <c r="BI19" s="1"/>
      <c r="BJ19" s="4674"/>
      <c r="BK19" s="4680"/>
      <c r="BL19" s="4680"/>
      <c r="BM19" s="4680"/>
      <c r="BN19" s="4680"/>
      <c r="BO19" s="4680"/>
      <c r="BP19" s="4626"/>
      <c r="BQ19" s="4626"/>
      <c r="BR19" s="1"/>
      <c r="BS19" s="1"/>
      <c r="BT19" s="1"/>
      <c r="BU19" s="1"/>
      <c r="BV19" s="1"/>
      <c r="BW19" s="1"/>
      <c r="BX19" s="1"/>
      <c r="BY19" s="4626"/>
      <c r="BZ19" s="4626"/>
      <c r="CA19" s="1"/>
      <c r="CB19" s="4668"/>
      <c r="CC19" s="4668"/>
      <c r="CD19" s="4668"/>
      <c r="CE19" s="4668"/>
      <c r="CF19" s="4668"/>
      <c r="CG19" s="4662"/>
      <c r="CH19" s="1"/>
      <c r="CI19" s="1"/>
      <c r="CJ19" s="1"/>
      <c r="CK19" s="1"/>
      <c r="CL19" s="1"/>
      <c r="CM19" s="1"/>
      <c r="CN19" s="1"/>
      <c r="CO19" s="1"/>
    </row>
    <row r="20" spans="1:93" s="4675" customFormat="1" ht="13.2">
      <c r="A20" s="4671"/>
      <c r="B20" s="4672"/>
      <c r="C20" s="4678"/>
      <c r="D20" s="4679"/>
      <c r="E20" s="4679"/>
      <c r="F20" s="4679"/>
      <c r="G20" s="4679"/>
      <c r="H20" s="4679"/>
      <c r="I20" s="4680"/>
      <c r="J20" s="4626"/>
      <c r="K20" s="4673"/>
      <c r="L20" s="4679"/>
      <c r="M20" s="4679"/>
      <c r="N20" s="4679"/>
      <c r="O20" s="4679"/>
      <c r="P20" s="4679"/>
      <c r="Q20" s="4680"/>
      <c r="R20" s="4627"/>
      <c r="S20" s="4673"/>
      <c r="T20" s="4679"/>
      <c r="U20" s="4679"/>
      <c r="V20" s="4679"/>
      <c r="W20" s="4679"/>
      <c r="X20" s="4679"/>
      <c r="Y20" s="4680"/>
      <c r="Z20" s="4627"/>
      <c r="AA20" s="4678"/>
      <c r="AB20" s="4679"/>
      <c r="AC20" s="4679"/>
      <c r="AD20" s="4679"/>
      <c r="AE20" s="4679"/>
      <c r="AF20" s="4679"/>
      <c r="AG20" s="4680"/>
      <c r="AH20" s="4627"/>
      <c r="AI20" s="4673"/>
      <c r="AJ20" s="4679"/>
      <c r="AK20" s="4679"/>
      <c r="AL20" s="4679"/>
      <c r="AM20" s="4679"/>
      <c r="AN20" s="4679"/>
      <c r="AO20" s="4680"/>
      <c r="AP20" s="4627"/>
      <c r="AQ20" s="4678"/>
      <c r="AR20" s="4679"/>
      <c r="AS20" s="4679"/>
      <c r="AT20" s="4679"/>
      <c r="AU20" s="4679"/>
      <c r="AV20" s="4679"/>
      <c r="AW20" s="3952"/>
      <c r="AX20" s="4680"/>
      <c r="AY20" s="4680"/>
      <c r="AZ20" s="4680"/>
      <c r="BA20" s="4680"/>
      <c r="BB20" s="4680"/>
      <c r="BC20" s="4674"/>
      <c r="BD20" s="4674"/>
      <c r="BE20" s="4674"/>
      <c r="BF20" s="4674"/>
      <c r="BG20" s="4674"/>
      <c r="BH20" s="4674"/>
      <c r="BI20" s="1"/>
      <c r="BJ20" s="4674"/>
      <c r="BK20" s="4680"/>
      <c r="BL20" s="4680"/>
      <c r="BM20" s="4680"/>
      <c r="BN20" s="4680"/>
      <c r="BO20" s="4680"/>
      <c r="BP20" s="4626"/>
      <c r="BQ20" s="4626"/>
      <c r="BR20" s="1"/>
      <c r="BS20" s="3382"/>
      <c r="BT20" s="4681"/>
      <c r="BU20" s="4681"/>
      <c r="BV20" s="4681"/>
      <c r="BW20" s="4681"/>
      <c r="BX20" s="4681"/>
      <c r="BY20" s="4626"/>
      <c r="BZ20" s="4626"/>
      <c r="CA20" s="1"/>
      <c r="CB20" s="4668"/>
      <c r="CC20" s="4668"/>
      <c r="CD20" s="4668"/>
      <c r="CE20" s="4668"/>
      <c r="CF20" s="4668"/>
      <c r="CG20" s="4662"/>
      <c r="CH20" s="1"/>
      <c r="CI20" s="1"/>
      <c r="CJ20" s="1"/>
      <c r="CK20" s="1"/>
      <c r="CL20" s="1"/>
      <c r="CM20" s="1"/>
      <c r="CN20" s="1"/>
      <c r="CO20" s="1"/>
    </row>
    <row r="21" spans="1:93" s="4675" customFormat="1" ht="13.2">
      <c r="A21" s="4671"/>
      <c r="B21" s="4682"/>
      <c r="C21" s="4680"/>
      <c r="D21" s="4680"/>
      <c r="E21" s="4680"/>
      <c r="F21" s="4680"/>
      <c r="G21" s="4680"/>
      <c r="H21" s="4680"/>
      <c r="I21" s="4680"/>
      <c r="J21" s="4626"/>
      <c r="K21" s="3952"/>
      <c r="L21" s="3952"/>
      <c r="M21" s="3952"/>
      <c r="N21" s="3952"/>
      <c r="O21" s="3952"/>
      <c r="P21" s="3952"/>
      <c r="Q21" s="4680"/>
      <c r="R21" s="4627"/>
      <c r="S21" s="3952"/>
      <c r="T21" s="3952"/>
      <c r="U21" s="3952"/>
      <c r="V21" s="3952"/>
      <c r="W21" s="3952"/>
      <c r="X21" s="3952"/>
      <c r="Y21" s="4680"/>
      <c r="Z21" s="4627"/>
      <c r="AA21" s="3952"/>
      <c r="AB21" s="3952"/>
      <c r="AC21" s="3952"/>
      <c r="AD21" s="3952"/>
      <c r="AE21" s="3952"/>
      <c r="AF21" s="3952"/>
      <c r="AG21" s="4680"/>
      <c r="AH21" s="4627"/>
      <c r="AI21" s="3952"/>
      <c r="AJ21" s="3952"/>
      <c r="AK21" s="3952"/>
      <c r="AL21" s="3952"/>
      <c r="AM21" s="3952"/>
      <c r="AN21" s="3952"/>
      <c r="AO21" s="4680"/>
      <c r="AP21" s="4627"/>
      <c r="AQ21" s="4678"/>
      <c r="AR21" s="4683"/>
      <c r="AS21" s="4683"/>
      <c r="AT21" s="4683"/>
      <c r="AU21" s="4683"/>
      <c r="AV21" s="4683"/>
      <c r="AW21" s="4680"/>
      <c r="AX21" s="4680"/>
      <c r="AY21" s="4680"/>
      <c r="AZ21" s="4680"/>
      <c r="BA21" s="4680"/>
      <c r="BB21" s="4680"/>
      <c r="BC21" s="4674"/>
      <c r="BD21" s="4674"/>
      <c r="BE21" s="4674"/>
      <c r="BF21" s="4674"/>
      <c r="BG21" s="4674"/>
      <c r="BH21" s="4674"/>
      <c r="BI21" s="1"/>
      <c r="BJ21" s="4674"/>
      <c r="BK21" s="4680"/>
      <c r="BL21" s="4680"/>
      <c r="BM21" s="4680"/>
      <c r="BN21" s="4680"/>
      <c r="BO21" s="4680"/>
      <c r="BP21" s="4626"/>
      <c r="BQ21" s="4626"/>
      <c r="BR21" s="1"/>
      <c r="BS21" s="1"/>
      <c r="BT21" s="1"/>
      <c r="BU21" s="1"/>
      <c r="BV21" s="1"/>
      <c r="BW21" s="1"/>
      <c r="BX21" s="1"/>
      <c r="BY21" s="4626"/>
      <c r="BZ21" s="4626"/>
      <c r="CA21" s="1"/>
      <c r="CB21" s="4668"/>
      <c r="CC21" s="4668"/>
      <c r="CD21" s="4668"/>
      <c r="CE21" s="4668"/>
      <c r="CF21" s="4668"/>
      <c r="CG21" s="4662"/>
      <c r="CH21" s="1"/>
      <c r="CI21" s="1"/>
      <c r="CJ21" s="1"/>
      <c r="CK21" s="1"/>
      <c r="CL21" s="1"/>
      <c r="CM21" s="1"/>
      <c r="CN21" s="1"/>
      <c r="CO21" s="1"/>
    </row>
    <row r="22" spans="1:93" ht="13.2">
      <c r="A22" s="4669"/>
      <c r="B22" s="4670"/>
      <c r="C22" s="4678"/>
      <c r="D22" s="4679"/>
      <c r="E22" s="4679"/>
      <c r="F22" s="4679"/>
      <c r="G22" s="4679"/>
      <c r="H22" s="4679"/>
      <c r="I22" s="4680"/>
      <c r="J22" s="4628"/>
      <c r="K22" s="4673"/>
      <c r="L22" s="4679"/>
      <c r="M22" s="4679"/>
      <c r="N22" s="4679"/>
      <c r="O22" s="4679"/>
      <c r="P22" s="4679"/>
      <c r="Q22" s="4680"/>
      <c r="R22" s="4629"/>
      <c r="S22" s="4673"/>
      <c r="T22" s="4679"/>
      <c r="U22" s="4679"/>
      <c r="V22" s="4679"/>
      <c r="W22" s="4679"/>
      <c r="X22" s="4679"/>
      <c r="Y22" s="4680"/>
      <c r="Z22" s="4629"/>
      <c r="AA22" s="4678"/>
      <c r="AB22" s="4679"/>
      <c r="AC22" s="4679"/>
      <c r="AD22" s="4679"/>
      <c r="AE22" s="4679"/>
      <c r="AF22" s="4679"/>
      <c r="AG22" s="4680"/>
      <c r="AH22" s="4629"/>
      <c r="AI22" s="4673"/>
      <c r="AJ22" s="4683"/>
      <c r="AK22" s="4679"/>
      <c r="AL22" s="4679"/>
      <c r="AM22" s="4679"/>
      <c r="AN22" s="4679"/>
      <c r="AO22" s="4680"/>
      <c r="AP22" s="4629"/>
      <c r="AQ22" s="4678"/>
      <c r="AR22" s="4679"/>
      <c r="AS22" s="4679"/>
      <c r="AT22" s="4679"/>
      <c r="AU22" s="4679"/>
      <c r="AV22" s="4679"/>
      <c r="AW22" s="3952"/>
      <c r="AX22" s="4680"/>
      <c r="AY22" s="4680"/>
      <c r="AZ22" s="4680"/>
      <c r="BA22" s="4680"/>
      <c r="BB22" s="4680"/>
      <c r="BC22" s="4674"/>
      <c r="BD22" s="4674"/>
      <c r="BE22" s="4674"/>
      <c r="BF22" s="4674"/>
      <c r="BG22" s="4674"/>
      <c r="BH22" s="4674"/>
      <c r="BI22" s="1"/>
      <c r="BJ22" s="4674"/>
      <c r="BK22" s="4680"/>
      <c r="BL22" s="4680"/>
      <c r="BM22" s="4680"/>
      <c r="BN22" s="4680"/>
      <c r="BO22" s="4680"/>
      <c r="BP22" s="4628"/>
      <c r="BQ22" s="4628"/>
      <c r="BR22" s="1"/>
      <c r="BS22" s="3382"/>
      <c r="BT22" s="4681"/>
      <c r="BU22" s="4681"/>
      <c r="BV22" s="4681"/>
      <c r="BW22" s="4681"/>
      <c r="BX22" s="4681"/>
      <c r="BY22" s="4628"/>
      <c r="BZ22" s="4628"/>
      <c r="CA22" s="1"/>
      <c r="CB22" s="4668"/>
      <c r="CC22" s="4668"/>
      <c r="CD22" s="4668"/>
      <c r="CE22" s="4668"/>
      <c r="CF22" s="4668"/>
      <c r="CG22" s="4662"/>
      <c r="CH22" s="1"/>
      <c r="CI22" s="1"/>
      <c r="CJ22" s="1"/>
      <c r="CK22" s="1"/>
      <c r="CL22" s="1"/>
      <c r="CM22" s="1"/>
      <c r="CN22" s="1"/>
      <c r="CO22" s="1"/>
    </row>
    <row r="23" spans="1:93" ht="13.2">
      <c r="A23" s="4669"/>
      <c r="B23" s="4670"/>
      <c r="C23" s="4678"/>
      <c r="D23" s="4679"/>
      <c r="E23" s="4679"/>
      <c r="F23" s="4679"/>
      <c r="G23" s="4679"/>
      <c r="H23" s="4679"/>
      <c r="I23" s="4680"/>
      <c r="J23" s="4628"/>
      <c r="K23" s="4673"/>
      <c r="L23" s="4679"/>
      <c r="M23" s="4679"/>
      <c r="N23" s="4679"/>
      <c r="O23" s="4679"/>
      <c r="P23" s="4679"/>
      <c r="Q23" s="4680"/>
      <c r="R23" s="4629"/>
      <c r="S23" s="4673"/>
      <c r="T23" s="4679"/>
      <c r="U23" s="4679"/>
      <c r="V23" s="4679"/>
      <c r="W23" s="4679"/>
      <c r="X23" s="4679"/>
      <c r="Y23" s="4680"/>
      <c r="Z23" s="4629"/>
      <c r="AA23" s="4678"/>
      <c r="AB23" s="4679"/>
      <c r="AC23" s="4679"/>
      <c r="AD23" s="4679"/>
      <c r="AE23" s="4679"/>
      <c r="AF23" s="4679"/>
      <c r="AG23" s="4680"/>
      <c r="AH23" s="4629"/>
      <c r="AI23" s="4673"/>
      <c r="AJ23" s="4679"/>
      <c r="AK23" s="4679"/>
      <c r="AL23" s="4679"/>
      <c r="AM23" s="4679"/>
      <c r="AN23" s="4679"/>
      <c r="AO23" s="4680"/>
      <c r="AP23" s="4629"/>
      <c r="AQ23" s="4678"/>
      <c r="AR23" s="4679"/>
      <c r="AS23" s="4679"/>
      <c r="AT23" s="4679"/>
      <c r="AU23" s="4679"/>
      <c r="AV23" s="4679"/>
      <c r="AW23" s="3952"/>
      <c r="AX23" s="4680"/>
      <c r="AY23" s="4680"/>
      <c r="AZ23" s="4680"/>
      <c r="BA23" s="4680"/>
      <c r="BB23" s="4680"/>
      <c r="BC23" s="4674"/>
      <c r="BD23" s="4674"/>
      <c r="BE23" s="4674"/>
      <c r="BF23" s="4674"/>
      <c r="BG23" s="4674"/>
      <c r="BH23" s="4674"/>
      <c r="BI23" s="1"/>
      <c r="BJ23" s="3952"/>
      <c r="BK23" s="4680"/>
      <c r="BL23" s="4680"/>
      <c r="BM23" s="4680"/>
      <c r="BN23" s="4680"/>
      <c r="BO23" s="4680"/>
      <c r="BP23" s="4628"/>
      <c r="BQ23" s="4628"/>
      <c r="BR23" s="1"/>
      <c r="BS23" s="3382"/>
      <c r="BT23" s="4681"/>
      <c r="BU23" s="4681"/>
      <c r="BV23" s="4681"/>
      <c r="BW23" s="4681"/>
      <c r="BX23" s="4681"/>
      <c r="BY23" s="4628"/>
      <c r="BZ23" s="4628"/>
      <c r="CA23" s="1"/>
      <c r="CB23" s="4668"/>
      <c r="CC23" s="4668"/>
      <c r="CD23" s="4668"/>
      <c r="CE23" s="4668"/>
      <c r="CF23" s="4668"/>
      <c r="CG23" s="4662"/>
      <c r="CH23" s="1"/>
      <c r="CI23" s="1"/>
      <c r="CJ23" s="1"/>
      <c r="CK23" s="1"/>
      <c r="CL23" s="1"/>
      <c r="CM23" s="1"/>
      <c r="CN23" s="1"/>
      <c r="CO23" s="1"/>
    </row>
    <row r="24" spans="1:93" ht="13.2">
      <c r="A24" s="4669"/>
      <c r="B24" s="4670"/>
      <c r="C24" s="3952"/>
      <c r="D24" s="3952"/>
      <c r="E24" s="3952"/>
      <c r="F24" s="3952"/>
      <c r="G24" s="3952"/>
      <c r="H24" s="3952"/>
      <c r="I24" s="3952"/>
      <c r="J24" s="4628"/>
      <c r="K24" s="3952"/>
      <c r="L24" s="3952"/>
      <c r="M24" s="3952"/>
      <c r="N24" s="3952"/>
      <c r="O24" s="3952"/>
      <c r="P24" s="3952"/>
      <c r="Q24" s="3952"/>
      <c r="R24" s="4629"/>
      <c r="S24" s="3952"/>
      <c r="T24" s="3952"/>
      <c r="U24" s="3952"/>
      <c r="V24" s="3952"/>
      <c r="W24" s="3952"/>
      <c r="X24" s="3952"/>
      <c r="Y24" s="3952"/>
      <c r="Z24" s="4629"/>
      <c r="AA24" s="3952"/>
      <c r="AB24" s="3952"/>
      <c r="AC24" s="3952"/>
      <c r="AD24" s="3952"/>
      <c r="AE24" s="3952"/>
      <c r="AF24" s="3952"/>
      <c r="AG24" s="3952"/>
      <c r="AH24" s="4629"/>
      <c r="AI24" s="3952"/>
      <c r="AJ24" s="3952"/>
      <c r="AK24" s="3952"/>
      <c r="AL24" s="3952"/>
      <c r="AM24" s="3952"/>
      <c r="AN24" s="3952"/>
      <c r="AO24" s="3952"/>
      <c r="AP24" s="4629"/>
      <c r="AQ24" s="4678"/>
      <c r="AR24" s="4683"/>
      <c r="AS24" s="4683"/>
      <c r="AT24" s="4683"/>
      <c r="AU24" s="4683"/>
      <c r="AV24" s="4683"/>
      <c r="AW24" s="3952"/>
      <c r="AX24" s="3952"/>
      <c r="AY24" s="3952"/>
      <c r="AZ24" s="3952"/>
      <c r="BA24" s="3952"/>
      <c r="BB24" s="3952"/>
      <c r="BC24" s="4674"/>
      <c r="BD24" s="4674"/>
      <c r="BE24" s="4674"/>
      <c r="BF24" s="4674"/>
      <c r="BG24" s="4674"/>
      <c r="BH24" s="4674"/>
      <c r="BI24" s="1"/>
      <c r="BJ24" s="3952"/>
      <c r="BK24" s="3952"/>
      <c r="BL24" s="3952"/>
      <c r="BM24" s="3952"/>
      <c r="BN24" s="3952"/>
      <c r="BO24" s="3952"/>
      <c r="BP24" s="4628"/>
      <c r="BQ24" s="4628"/>
      <c r="BR24" s="1"/>
      <c r="BS24" s="1"/>
      <c r="BT24" s="1"/>
      <c r="BU24" s="1"/>
      <c r="BV24" s="1"/>
      <c r="BW24" s="1"/>
      <c r="BX24" s="1"/>
      <c r="BY24" s="4628"/>
      <c r="BZ24" s="4628"/>
      <c r="CA24" s="1"/>
      <c r="CB24" s="4668"/>
      <c r="CC24" s="4668"/>
      <c r="CD24" s="4668"/>
      <c r="CE24" s="4668"/>
      <c r="CF24" s="4668"/>
      <c r="CG24" s="4662"/>
      <c r="CH24" s="1"/>
      <c r="CI24" s="1"/>
      <c r="CJ24" s="1"/>
      <c r="CK24" s="1"/>
      <c r="CL24" s="1"/>
      <c r="CM24" s="1"/>
      <c r="CN24" s="1"/>
      <c r="CO24" s="1"/>
    </row>
    <row r="25" spans="1:93" ht="13.2">
      <c r="A25" s="4669"/>
      <c r="B25" s="4670"/>
      <c r="C25" s="3952"/>
      <c r="D25" s="3952"/>
      <c r="E25" s="3952"/>
      <c r="F25" s="3952"/>
      <c r="G25" s="3952"/>
      <c r="H25" s="3952"/>
      <c r="I25" s="3952"/>
      <c r="J25" s="4628"/>
      <c r="K25" s="3952"/>
      <c r="L25" s="3952"/>
      <c r="M25" s="3952"/>
      <c r="N25" s="3952"/>
      <c r="O25" s="3952"/>
      <c r="P25" s="3952"/>
      <c r="Q25" s="3952"/>
      <c r="R25" s="4629"/>
      <c r="S25" s="3952"/>
      <c r="T25" s="3952"/>
      <c r="U25" s="3952"/>
      <c r="V25" s="3952"/>
      <c r="W25" s="3952"/>
      <c r="X25" s="3952"/>
      <c r="Y25" s="3952"/>
      <c r="Z25" s="4629"/>
      <c r="AA25" s="3952"/>
      <c r="AB25" s="3952"/>
      <c r="AC25" s="3952"/>
      <c r="AD25" s="3952"/>
      <c r="AE25" s="3952"/>
      <c r="AF25" s="3952"/>
      <c r="AG25" s="3952"/>
      <c r="AH25" s="4629"/>
      <c r="AI25" s="3952"/>
      <c r="AJ25" s="3952"/>
      <c r="AK25" s="3952"/>
      <c r="AL25" s="3952"/>
      <c r="AM25" s="3952"/>
      <c r="AN25" s="3952"/>
      <c r="AO25" s="3952"/>
      <c r="AP25" s="4629"/>
      <c r="AQ25" s="3952"/>
      <c r="AR25" s="3952"/>
      <c r="AS25" s="3952"/>
      <c r="AT25" s="3952"/>
      <c r="AU25" s="3952"/>
      <c r="AV25" s="3952"/>
      <c r="AW25" s="3952"/>
      <c r="AX25" s="3952"/>
      <c r="AY25" s="3952"/>
      <c r="AZ25" s="3952"/>
      <c r="BA25" s="3952"/>
      <c r="BB25" s="3952"/>
      <c r="BC25" s="3952"/>
      <c r="BD25" s="3952"/>
      <c r="BE25" s="3952"/>
      <c r="BF25" s="3952"/>
      <c r="BG25" s="3952"/>
      <c r="BH25" s="3952"/>
      <c r="BI25" s="1"/>
      <c r="BJ25" s="3952"/>
      <c r="BK25" s="3952"/>
      <c r="BL25" s="3952"/>
      <c r="BM25" s="3952"/>
      <c r="BN25" s="3952"/>
      <c r="BO25" s="3952"/>
      <c r="BP25" s="4628"/>
      <c r="BQ25" s="4628"/>
      <c r="BR25" s="1"/>
      <c r="BS25" s="1"/>
      <c r="BT25" s="1"/>
      <c r="BU25" s="1"/>
      <c r="BV25" s="1"/>
      <c r="BW25" s="1"/>
      <c r="BX25" s="1"/>
      <c r="BY25" s="4628"/>
      <c r="BZ25" s="4628"/>
      <c r="CA25" s="1"/>
      <c r="CB25" s="4668"/>
      <c r="CC25" s="4668"/>
      <c r="CD25" s="4668"/>
      <c r="CE25" s="4668"/>
      <c r="CF25" s="4668"/>
      <c r="CG25" s="4662"/>
      <c r="CH25" s="1"/>
      <c r="CI25" s="1"/>
      <c r="CJ25" s="1"/>
      <c r="CK25" s="1"/>
      <c r="CL25" s="1"/>
      <c r="CM25" s="1"/>
      <c r="CN25" s="1"/>
      <c r="CO25" s="1"/>
    </row>
    <row r="26" spans="1:93" ht="13.2">
      <c r="A26" s="4671"/>
      <c r="B26" s="4684"/>
      <c r="C26" s="4678"/>
      <c r="D26" s="4679"/>
      <c r="E26" s="4679"/>
      <c r="F26" s="4679"/>
      <c r="G26" s="4679"/>
      <c r="H26" s="4679"/>
      <c r="I26" s="4680"/>
      <c r="J26" s="4628"/>
      <c r="K26" s="4673"/>
      <c r="L26" s="4679"/>
      <c r="M26" s="4679"/>
      <c r="N26" s="4679"/>
      <c r="O26" s="4679"/>
      <c r="P26" s="4679"/>
      <c r="Q26" s="4680"/>
      <c r="R26" s="4629"/>
      <c r="S26" s="4673"/>
      <c r="T26" s="4679"/>
      <c r="U26" s="4679"/>
      <c r="V26" s="4679"/>
      <c r="W26" s="4679"/>
      <c r="X26" s="4679"/>
      <c r="Y26" s="4680"/>
      <c r="Z26" s="4629"/>
      <c r="AA26" s="4678"/>
      <c r="AB26" s="4679"/>
      <c r="AC26" s="4679"/>
      <c r="AD26" s="4679"/>
      <c r="AE26" s="4679"/>
      <c r="AF26" s="4679"/>
      <c r="AG26" s="4680"/>
      <c r="AH26" s="4629"/>
      <c r="AI26" s="4673"/>
      <c r="AJ26" s="4679"/>
      <c r="AK26" s="4679"/>
      <c r="AL26" s="4679"/>
      <c r="AM26" s="4679"/>
      <c r="AN26" s="4679"/>
      <c r="AO26" s="4680"/>
      <c r="AP26" s="4629"/>
      <c r="AQ26" s="4678"/>
      <c r="AR26" s="4679"/>
      <c r="AS26" s="4679"/>
      <c r="AT26" s="4679"/>
      <c r="AU26" s="4679"/>
      <c r="AV26" s="4679"/>
      <c r="AW26" s="3952"/>
      <c r="AX26" s="4680"/>
      <c r="AY26" s="4680"/>
      <c r="AZ26" s="4680"/>
      <c r="BA26" s="4680"/>
      <c r="BB26" s="4680"/>
      <c r="BC26" s="4674"/>
      <c r="BD26" s="4674"/>
      <c r="BE26" s="4674"/>
      <c r="BF26" s="4674"/>
      <c r="BG26" s="4674"/>
      <c r="BH26" s="4674"/>
      <c r="BI26" s="1"/>
      <c r="BJ26" s="3952"/>
      <c r="BK26" s="4680"/>
      <c r="BL26" s="4680"/>
      <c r="BM26" s="4680"/>
      <c r="BN26" s="4680"/>
      <c r="BO26" s="4680"/>
      <c r="BP26" s="4628"/>
      <c r="BQ26" s="4628"/>
      <c r="BR26" s="1"/>
      <c r="BS26" s="3382"/>
      <c r="BT26" s="4681"/>
      <c r="BU26" s="4681"/>
      <c r="BV26" s="4681"/>
      <c r="BW26" s="4681"/>
      <c r="BX26" s="4681"/>
      <c r="BY26" s="4628"/>
      <c r="BZ26" s="4628"/>
      <c r="CA26" s="1"/>
      <c r="CB26" s="4685"/>
      <c r="CC26" s="4685"/>
      <c r="CD26" s="4685"/>
      <c r="CE26" s="4685"/>
      <c r="CF26" s="4685"/>
      <c r="CG26" s="4662"/>
      <c r="CH26" s="1"/>
      <c r="CI26" s="1"/>
      <c r="CJ26" s="1"/>
      <c r="CK26" s="1"/>
      <c r="CL26" s="1"/>
      <c r="CM26" s="1"/>
      <c r="CN26" s="1"/>
      <c r="CO26" s="1"/>
    </row>
    <row r="27" spans="1:93" ht="13.2">
      <c r="A27" s="4671"/>
      <c r="B27" s="4673"/>
      <c r="C27" s="4678"/>
      <c r="D27" s="4679"/>
      <c r="E27" s="4679"/>
      <c r="F27" s="4679"/>
      <c r="G27" s="4679"/>
      <c r="H27" s="4679"/>
      <c r="I27" s="4680"/>
      <c r="J27" s="4628"/>
      <c r="K27" s="4678"/>
      <c r="L27" s="4679"/>
      <c r="M27" s="4679"/>
      <c r="N27" s="4679"/>
      <c r="O27" s="4679"/>
      <c r="P27" s="4679"/>
      <c r="Q27" s="4680"/>
      <c r="R27" s="4629"/>
      <c r="S27" s="4678"/>
      <c r="T27" s="4679"/>
      <c r="U27" s="4679"/>
      <c r="V27" s="4679"/>
      <c r="W27" s="4679"/>
      <c r="X27" s="4679"/>
      <c r="Y27" s="4680"/>
      <c r="Z27" s="4629"/>
      <c r="AA27" s="4678"/>
      <c r="AB27" s="4679"/>
      <c r="AC27" s="4679"/>
      <c r="AD27" s="4679"/>
      <c r="AE27" s="4679"/>
      <c r="AF27" s="4679"/>
      <c r="AG27" s="4680"/>
      <c r="AH27" s="4629"/>
      <c r="AI27" s="4678"/>
      <c r="AJ27" s="4679"/>
      <c r="AK27" s="4679"/>
      <c r="AL27" s="4679"/>
      <c r="AM27" s="4679"/>
      <c r="AN27" s="4679"/>
      <c r="AO27" s="4680"/>
      <c r="AP27" s="4629"/>
      <c r="AQ27" s="4678"/>
      <c r="AR27" s="4679"/>
      <c r="AS27" s="4679"/>
      <c r="AT27" s="4679"/>
      <c r="AU27" s="4679"/>
      <c r="AV27" s="4679"/>
      <c r="AW27" s="3952"/>
      <c r="AX27" s="4680"/>
      <c r="AY27" s="4680"/>
      <c r="AZ27" s="4680"/>
      <c r="BA27" s="4680"/>
      <c r="BB27" s="4680"/>
      <c r="BC27" s="4674"/>
      <c r="BD27" s="4674"/>
      <c r="BE27" s="4674"/>
      <c r="BF27" s="4674"/>
      <c r="BG27" s="4674"/>
      <c r="BH27" s="4674"/>
      <c r="BI27" s="1"/>
      <c r="BJ27" s="3952"/>
      <c r="BK27" s="4680"/>
      <c r="BL27" s="4680"/>
      <c r="BM27" s="4680"/>
      <c r="BN27" s="4680"/>
      <c r="BO27" s="4680"/>
      <c r="BP27" s="4628"/>
      <c r="BQ27" s="4628"/>
      <c r="BR27" s="1"/>
      <c r="BS27" s="1"/>
      <c r="BT27" s="1"/>
      <c r="BU27" s="1"/>
      <c r="BV27" s="1"/>
      <c r="BW27" s="1"/>
      <c r="BX27" s="1"/>
      <c r="BY27" s="4628"/>
      <c r="BZ27" s="4628"/>
      <c r="CA27" s="1"/>
      <c r="CB27" s="4668"/>
      <c r="CC27" s="4668"/>
      <c r="CD27" s="4668"/>
      <c r="CE27" s="4668"/>
      <c r="CF27" s="4668"/>
      <c r="CG27" s="4662"/>
      <c r="CH27" s="1"/>
      <c r="CI27" s="1"/>
      <c r="CJ27" s="1"/>
      <c r="CK27" s="1"/>
      <c r="CL27" s="1"/>
      <c r="CM27" s="1"/>
      <c r="CN27" s="1"/>
      <c r="CO27" s="1"/>
    </row>
    <row r="28" spans="1:93" ht="13.2">
      <c r="A28" s="4671"/>
      <c r="B28" s="4673"/>
      <c r="C28" s="4678"/>
      <c r="D28" s="4679"/>
      <c r="E28" s="4679"/>
      <c r="F28" s="4679"/>
      <c r="G28" s="4679"/>
      <c r="H28" s="4679"/>
      <c r="I28" s="4680"/>
      <c r="J28" s="4628"/>
      <c r="K28" s="4678"/>
      <c r="L28" s="4679"/>
      <c r="M28" s="4679"/>
      <c r="N28" s="4679"/>
      <c r="O28" s="4679"/>
      <c r="P28" s="4679"/>
      <c r="Q28" s="4680"/>
      <c r="R28" s="4629"/>
      <c r="S28" s="4678"/>
      <c r="T28" s="4679"/>
      <c r="U28" s="4679"/>
      <c r="V28" s="4679"/>
      <c r="W28" s="4679"/>
      <c r="X28" s="4679"/>
      <c r="Y28" s="4680"/>
      <c r="Z28" s="4629"/>
      <c r="AA28" s="4678"/>
      <c r="AB28" s="4679"/>
      <c r="AC28" s="4679"/>
      <c r="AD28" s="4679"/>
      <c r="AE28" s="4679"/>
      <c r="AF28" s="4679"/>
      <c r="AG28" s="4680"/>
      <c r="AH28" s="4629"/>
      <c r="AI28" s="4678"/>
      <c r="AJ28" s="4679"/>
      <c r="AK28" s="4679"/>
      <c r="AL28" s="4679"/>
      <c r="AM28" s="4679"/>
      <c r="AN28" s="4679"/>
      <c r="AO28" s="4680"/>
      <c r="AP28" s="4629"/>
      <c r="AQ28" s="4678"/>
      <c r="AR28" s="4679"/>
      <c r="AS28" s="4679"/>
      <c r="AT28" s="4679"/>
      <c r="AU28" s="4679"/>
      <c r="AV28" s="4679"/>
      <c r="AW28" s="3952"/>
      <c r="AX28" s="4680"/>
      <c r="AY28" s="4680"/>
      <c r="AZ28" s="4680"/>
      <c r="BA28" s="4680"/>
      <c r="BB28" s="4680"/>
      <c r="BC28" s="4674"/>
      <c r="BD28" s="4674"/>
      <c r="BE28" s="4674"/>
      <c r="BF28" s="4674"/>
      <c r="BG28" s="4674"/>
      <c r="BH28" s="4674"/>
      <c r="BI28" s="1"/>
      <c r="BJ28" s="3952"/>
      <c r="BK28" s="4680"/>
      <c r="BL28" s="4680"/>
      <c r="BM28" s="4680"/>
      <c r="BN28" s="4680"/>
      <c r="BO28" s="4680"/>
      <c r="BP28" s="4628"/>
      <c r="BQ28" s="4628"/>
      <c r="BR28" s="1"/>
      <c r="BS28" s="1"/>
      <c r="BT28" s="1"/>
      <c r="BU28" s="1"/>
      <c r="BV28" s="1"/>
      <c r="BW28" s="1"/>
      <c r="BX28" s="1"/>
      <c r="BY28" s="4628"/>
      <c r="BZ28" s="4628"/>
      <c r="CA28" s="1"/>
      <c r="CB28" s="4668"/>
      <c r="CC28" s="4668"/>
      <c r="CD28" s="4668"/>
      <c r="CE28" s="4668"/>
      <c r="CF28" s="4668"/>
      <c r="CG28" s="4662"/>
      <c r="CH28" s="1"/>
      <c r="CI28" s="1"/>
      <c r="CJ28" s="1"/>
      <c r="CK28" s="1"/>
      <c r="CL28" s="1"/>
      <c r="CM28" s="1"/>
      <c r="CN28" s="1"/>
      <c r="CO28" s="1"/>
    </row>
    <row r="29" spans="1:93" ht="13.2">
      <c r="A29" s="4665"/>
      <c r="B29" s="4666"/>
      <c r="C29" s="4667"/>
      <c r="D29" s="4667"/>
      <c r="E29" s="4667"/>
      <c r="F29" s="4667"/>
      <c r="G29" s="4667"/>
      <c r="H29" s="4667"/>
      <c r="I29" s="4667"/>
      <c r="J29" s="4632"/>
      <c r="K29" s="4667"/>
      <c r="L29" s="4667"/>
      <c r="M29" s="4667"/>
      <c r="N29" s="4667"/>
      <c r="O29" s="4667"/>
      <c r="P29" s="4667"/>
      <c r="Q29" s="4667"/>
      <c r="R29" s="4633"/>
      <c r="S29" s="4667"/>
      <c r="T29" s="4667"/>
      <c r="U29" s="4667"/>
      <c r="V29" s="4667"/>
      <c r="W29" s="4667"/>
      <c r="X29" s="4667"/>
      <c r="Y29" s="4667"/>
      <c r="Z29" s="4633"/>
      <c r="AA29" s="4667"/>
      <c r="AB29" s="4667"/>
      <c r="AC29" s="4667"/>
      <c r="AD29" s="4667"/>
      <c r="AE29" s="4667"/>
      <c r="AF29" s="4667"/>
      <c r="AG29" s="4667"/>
      <c r="AH29" s="4633"/>
      <c r="AI29" s="4667"/>
      <c r="AJ29" s="4667"/>
      <c r="AK29" s="4667"/>
      <c r="AL29" s="4667"/>
      <c r="AM29" s="4667"/>
      <c r="AN29" s="4667"/>
      <c r="AO29" s="4667"/>
      <c r="AP29" s="4633"/>
      <c r="AQ29" s="4667"/>
      <c r="AR29" s="4667"/>
      <c r="AS29" s="4667"/>
      <c r="AT29" s="4667"/>
      <c r="AU29" s="4667"/>
      <c r="AV29" s="4667"/>
      <c r="AW29" s="4667"/>
      <c r="AX29" s="4667"/>
      <c r="AY29" s="4667"/>
      <c r="AZ29" s="4667"/>
      <c r="BA29" s="4667"/>
      <c r="BB29" s="4667"/>
      <c r="BC29" s="4667"/>
      <c r="BD29" s="4667"/>
      <c r="BE29" s="4667"/>
      <c r="BF29" s="4667"/>
      <c r="BG29" s="4667"/>
      <c r="BH29" s="4667"/>
      <c r="BI29" s="1"/>
      <c r="BJ29" s="4667"/>
      <c r="BK29" s="4667"/>
      <c r="BL29" s="4667"/>
      <c r="BM29" s="4667"/>
      <c r="BN29" s="4667"/>
      <c r="BO29" s="4667"/>
      <c r="BP29" s="4632"/>
      <c r="BQ29" s="4632"/>
      <c r="BR29" s="1"/>
      <c r="BS29" s="1"/>
      <c r="BT29" s="1"/>
      <c r="BU29" s="1"/>
      <c r="BV29" s="1"/>
      <c r="BW29" s="1"/>
      <c r="BX29" s="1"/>
      <c r="BY29" s="4632"/>
      <c r="BZ29" s="4632"/>
      <c r="CA29" s="1"/>
      <c r="CB29" s="4668"/>
      <c r="CC29" s="4668"/>
      <c r="CD29" s="4668"/>
      <c r="CE29" s="4668"/>
      <c r="CF29" s="4668"/>
      <c r="CG29" s="4662"/>
      <c r="CH29" s="1"/>
      <c r="CI29" s="1"/>
      <c r="CJ29" s="1"/>
      <c r="CK29" s="1"/>
      <c r="CL29" s="1"/>
      <c r="CM29" s="1"/>
      <c r="CN29" s="1"/>
      <c r="CO29" s="1"/>
    </row>
    <row r="30" spans="1:93" ht="13.2">
      <c r="A30" s="4669"/>
      <c r="B30" s="4670"/>
      <c r="C30" s="4678"/>
      <c r="D30" s="4679"/>
      <c r="E30" s="4679"/>
      <c r="F30" s="4679"/>
      <c r="G30" s="4679"/>
      <c r="H30" s="4679"/>
      <c r="I30" s="4680"/>
      <c r="J30" s="4628"/>
      <c r="K30" s="4673"/>
      <c r="L30" s="4679"/>
      <c r="M30" s="4679"/>
      <c r="N30" s="4679"/>
      <c r="O30" s="4679"/>
      <c r="P30" s="4679"/>
      <c r="Q30" s="4680"/>
      <c r="R30" s="4629"/>
      <c r="S30" s="4673"/>
      <c r="T30" s="4679"/>
      <c r="U30" s="4679"/>
      <c r="V30" s="4679"/>
      <c r="W30" s="4679"/>
      <c r="X30" s="4679"/>
      <c r="Y30" s="4680"/>
      <c r="Z30" s="4629"/>
      <c r="AA30" s="4678"/>
      <c r="AB30" s="4679"/>
      <c r="AC30" s="4679"/>
      <c r="AD30" s="4679"/>
      <c r="AE30" s="4679"/>
      <c r="AF30" s="4679"/>
      <c r="AG30" s="4680"/>
      <c r="AH30" s="4629"/>
      <c r="AI30" s="4673"/>
      <c r="AJ30" s="4679"/>
      <c r="AK30" s="4679"/>
      <c r="AL30" s="4679"/>
      <c r="AM30" s="4679"/>
      <c r="AN30" s="4679"/>
      <c r="AO30" s="4680"/>
      <c r="AP30" s="4629"/>
      <c r="AQ30" s="4678"/>
      <c r="AR30" s="4679"/>
      <c r="AS30" s="4679"/>
      <c r="AT30" s="4679"/>
      <c r="AU30" s="4679"/>
      <c r="AV30" s="4679"/>
      <c r="AW30" s="3952"/>
      <c r="AX30" s="4680"/>
      <c r="AY30" s="4680"/>
      <c r="AZ30" s="4680"/>
      <c r="BA30" s="4680"/>
      <c r="BB30" s="4680"/>
      <c r="BC30" s="4674"/>
      <c r="BD30" s="4674"/>
      <c r="BE30" s="4674"/>
      <c r="BF30" s="4674"/>
      <c r="BG30" s="4674"/>
      <c r="BH30" s="4674"/>
      <c r="BI30" s="1"/>
      <c r="BJ30" s="3952"/>
      <c r="BK30" s="4680"/>
      <c r="BL30" s="4680"/>
      <c r="BM30" s="4680"/>
      <c r="BN30" s="4680"/>
      <c r="BO30" s="4680"/>
      <c r="BP30" s="4628"/>
      <c r="BQ30" s="4628"/>
      <c r="BR30" s="1"/>
      <c r="BS30" s="3382"/>
      <c r="BT30" s="4681"/>
      <c r="BU30" s="4681"/>
      <c r="BV30" s="4681"/>
      <c r="BW30" s="4681"/>
      <c r="BX30" s="4681"/>
      <c r="BY30" s="4628"/>
      <c r="BZ30" s="4628"/>
      <c r="CA30" s="1"/>
      <c r="CB30" s="4668"/>
      <c r="CC30" s="4668"/>
      <c r="CD30" s="4668"/>
      <c r="CE30" s="4668"/>
      <c r="CF30" s="4668"/>
      <c r="CG30" s="4662"/>
      <c r="CH30" s="1"/>
      <c r="CI30" s="1"/>
      <c r="CJ30" s="1"/>
      <c r="CK30" s="1"/>
      <c r="CL30" s="1"/>
      <c r="CM30" s="1"/>
      <c r="CN30" s="1"/>
      <c r="CO30" s="1"/>
    </row>
    <row r="31" spans="1:93" ht="13.2">
      <c r="A31" s="4669"/>
      <c r="B31" s="4670"/>
      <c r="C31" s="4678"/>
      <c r="D31" s="4679"/>
      <c r="E31" s="4679"/>
      <c r="F31" s="4679"/>
      <c r="G31" s="4679"/>
      <c r="H31" s="4679"/>
      <c r="I31" s="4680"/>
      <c r="J31" s="4628"/>
      <c r="K31" s="2054"/>
      <c r="L31" s="2054"/>
      <c r="M31" s="2054"/>
      <c r="N31" s="2054"/>
      <c r="O31" s="2054"/>
      <c r="P31" s="2054"/>
      <c r="Q31" s="2054"/>
      <c r="R31" s="4686"/>
      <c r="S31" s="2054"/>
      <c r="T31" s="2054"/>
      <c r="U31" s="2054"/>
      <c r="V31" s="2054"/>
      <c r="W31" s="2054"/>
      <c r="X31" s="2054"/>
      <c r="Y31" s="2054"/>
      <c r="Z31" s="4686"/>
      <c r="AA31" s="4678"/>
      <c r="AB31" s="4679"/>
      <c r="AC31" s="4679"/>
      <c r="AD31" s="4679"/>
      <c r="AE31" s="4679"/>
      <c r="AF31" s="4679"/>
      <c r="AG31" s="4680"/>
      <c r="AH31" s="4629"/>
      <c r="AI31" s="4673"/>
      <c r="AJ31" s="4679"/>
      <c r="AK31" s="4679"/>
      <c r="AL31" s="4679"/>
      <c r="AM31" s="4679"/>
      <c r="AN31" s="4679"/>
      <c r="AO31" s="4680"/>
      <c r="AP31" s="4629"/>
      <c r="AQ31" s="2054"/>
      <c r="AR31" s="2054"/>
      <c r="AS31" s="2054"/>
      <c r="AT31" s="2054"/>
      <c r="AU31" s="2054"/>
      <c r="AV31" s="2054"/>
      <c r="AW31" s="3952"/>
      <c r="AX31" s="4680"/>
      <c r="AY31" s="4680"/>
      <c r="AZ31" s="4680"/>
      <c r="BA31" s="4680"/>
      <c r="BB31" s="4680"/>
      <c r="BC31" s="4674"/>
      <c r="BD31" s="4674"/>
      <c r="BE31" s="4674"/>
      <c r="BF31" s="4674"/>
      <c r="BG31" s="4674"/>
      <c r="BH31" s="4674"/>
      <c r="BI31" s="1"/>
      <c r="BJ31" s="3952"/>
      <c r="BK31" s="4680"/>
      <c r="BL31" s="4680"/>
      <c r="BM31" s="4680"/>
      <c r="BN31" s="4680"/>
      <c r="BO31" s="4680"/>
      <c r="BP31" s="4628"/>
      <c r="BQ31" s="4628"/>
      <c r="BR31" s="1"/>
      <c r="BS31" s="1"/>
      <c r="BT31" s="1"/>
      <c r="BU31" s="1"/>
      <c r="BV31" s="1"/>
      <c r="BW31" s="1"/>
      <c r="BX31" s="1"/>
      <c r="BY31" s="4628"/>
      <c r="BZ31" s="4628"/>
      <c r="CA31" s="1"/>
      <c r="CB31" s="4668"/>
      <c r="CC31" s="4668"/>
      <c r="CD31" s="4668"/>
      <c r="CE31" s="4668"/>
      <c r="CF31" s="4668"/>
      <c r="CG31" s="4662"/>
      <c r="CH31" s="1"/>
      <c r="CI31" s="1"/>
      <c r="CJ31" s="1"/>
      <c r="CK31" s="1"/>
      <c r="CL31" s="1"/>
      <c r="CM31" s="1"/>
      <c r="CN31" s="1"/>
      <c r="CO31" s="1"/>
    </row>
    <row r="32" spans="1:93" ht="13.2">
      <c r="A32" s="4669"/>
      <c r="B32" s="4687"/>
      <c r="C32" s="4678"/>
      <c r="D32" s="4679"/>
      <c r="E32" s="4679"/>
      <c r="F32" s="4679"/>
      <c r="G32" s="4679"/>
      <c r="H32" s="4679"/>
      <c r="I32" s="4680"/>
      <c r="J32" s="4628"/>
      <c r="K32" s="4673"/>
      <c r="L32" s="4679"/>
      <c r="M32" s="4679"/>
      <c r="N32" s="4679"/>
      <c r="O32" s="4679"/>
      <c r="P32" s="4679"/>
      <c r="Q32" s="4680"/>
      <c r="R32" s="4629"/>
      <c r="S32" s="4673"/>
      <c r="T32" s="4679"/>
      <c r="U32" s="4679"/>
      <c r="V32" s="4679"/>
      <c r="W32" s="4679"/>
      <c r="X32" s="4679"/>
      <c r="Y32" s="4680"/>
      <c r="Z32" s="4629"/>
      <c r="AA32" s="4678"/>
      <c r="AB32" s="4679"/>
      <c r="AC32" s="4679"/>
      <c r="AD32" s="4679"/>
      <c r="AE32" s="4679"/>
      <c r="AF32" s="4679"/>
      <c r="AG32" s="4680"/>
      <c r="AH32" s="4629"/>
      <c r="AI32" s="4673"/>
      <c r="AJ32" s="4679"/>
      <c r="AK32" s="4679"/>
      <c r="AL32" s="4679"/>
      <c r="AM32" s="4679"/>
      <c r="AN32" s="4679"/>
      <c r="AO32" s="4680"/>
      <c r="AP32" s="4629"/>
      <c r="AQ32" s="4678"/>
      <c r="AR32" s="4679"/>
      <c r="AS32" s="4679"/>
      <c r="AT32" s="4679"/>
      <c r="AU32" s="4679"/>
      <c r="AV32" s="4679"/>
      <c r="AW32" s="3952"/>
      <c r="AX32" s="4680"/>
      <c r="AY32" s="4680"/>
      <c r="AZ32" s="4680"/>
      <c r="BA32" s="4680"/>
      <c r="BB32" s="4680"/>
      <c r="BC32" s="4674"/>
      <c r="BD32" s="4674"/>
      <c r="BE32" s="4674"/>
      <c r="BF32" s="4674"/>
      <c r="BG32" s="4674"/>
      <c r="BH32" s="4674"/>
      <c r="BI32" s="1"/>
      <c r="BJ32" s="3952"/>
      <c r="BK32" s="4680"/>
      <c r="BL32" s="4680"/>
      <c r="BM32" s="4680"/>
      <c r="BN32" s="4680"/>
      <c r="BO32" s="4680"/>
      <c r="BP32" s="4628"/>
      <c r="BQ32" s="4628"/>
      <c r="BR32" s="1"/>
      <c r="BS32" s="3382"/>
      <c r="BT32" s="4681"/>
      <c r="BU32" s="4681"/>
      <c r="BV32" s="4681"/>
      <c r="BW32" s="4681"/>
      <c r="BX32" s="4681"/>
      <c r="BY32" s="4628"/>
      <c r="BZ32" s="4628"/>
      <c r="CA32" s="1"/>
      <c r="CB32" s="4668"/>
      <c r="CC32" s="4668"/>
      <c r="CD32" s="4668"/>
      <c r="CE32" s="4668"/>
      <c r="CF32" s="4668"/>
      <c r="CG32" s="4662"/>
      <c r="CH32" s="1"/>
      <c r="CI32" s="1"/>
      <c r="CJ32" s="1"/>
      <c r="CK32" s="1"/>
      <c r="CL32" s="1"/>
      <c r="CM32" s="1"/>
      <c r="CN32" s="1"/>
      <c r="CO32" s="1"/>
    </row>
    <row r="33" spans="1:93" ht="13.2">
      <c r="A33" s="4669"/>
      <c r="B33" s="4670"/>
      <c r="C33" s="4678"/>
      <c r="D33" s="4679"/>
      <c r="E33" s="4679"/>
      <c r="F33" s="4679"/>
      <c r="G33" s="4679"/>
      <c r="H33" s="4679"/>
      <c r="I33" s="4680"/>
      <c r="J33" s="4628"/>
      <c r="K33" s="4673"/>
      <c r="L33" s="4679"/>
      <c r="M33" s="4679"/>
      <c r="N33" s="4679"/>
      <c r="O33" s="4679"/>
      <c r="P33" s="4679"/>
      <c r="Q33" s="4680"/>
      <c r="R33" s="4629"/>
      <c r="S33" s="4673"/>
      <c r="T33" s="4679"/>
      <c r="U33" s="4679"/>
      <c r="V33" s="4679"/>
      <c r="W33" s="4679"/>
      <c r="X33" s="4679"/>
      <c r="Y33" s="4680"/>
      <c r="Z33" s="4629"/>
      <c r="AA33" s="4678"/>
      <c r="AB33" s="4679"/>
      <c r="AC33" s="4679"/>
      <c r="AD33" s="4679"/>
      <c r="AE33" s="4679"/>
      <c r="AF33" s="4679"/>
      <c r="AG33" s="4680"/>
      <c r="AH33" s="4629"/>
      <c r="AI33" s="4673"/>
      <c r="AJ33" s="4679"/>
      <c r="AK33" s="4679"/>
      <c r="AL33" s="4679"/>
      <c r="AM33" s="4679"/>
      <c r="AN33" s="4679"/>
      <c r="AO33" s="4680"/>
      <c r="AP33" s="4629"/>
      <c r="AQ33" s="4678"/>
      <c r="AR33" s="4679"/>
      <c r="AS33" s="4679"/>
      <c r="AT33" s="4679"/>
      <c r="AU33" s="4679"/>
      <c r="AV33" s="4679"/>
      <c r="AW33" s="3952"/>
      <c r="AX33" s="4680"/>
      <c r="AY33" s="4680"/>
      <c r="AZ33" s="4680"/>
      <c r="BA33" s="4680"/>
      <c r="BB33" s="4680"/>
      <c r="BC33" s="4674"/>
      <c r="BD33" s="4674"/>
      <c r="BE33" s="4674"/>
      <c r="BF33" s="4674"/>
      <c r="BG33" s="4674"/>
      <c r="BH33" s="4674"/>
      <c r="BI33" s="1"/>
      <c r="BJ33" s="3952"/>
      <c r="BK33" s="4680"/>
      <c r="BL33" s="4680"/>
      <c r="BM33" s="4680"/>
      <c r="BN33" s="4680"/>
      <c r="BO33" s="4680"/>
      <c r="BP33" s="4628"/>
      <c r="BQ33" s="4628"/>
      <c r="BR33" s="1"/>
      <c r="BS33" s="3382"/>
      <c r="BT33" s="4681"/>
      <c r="BU33" s="4681"/>
      <c r="BV33" s="4681"/>
      <c r="BW33" s="4681"/>
      <c r="BX33" s="4681"/>
      <c r="BY33" s="4628"/>
      <c r="BZ33" s="4628"/>
      <c r="CA33" s="1"/>
      <c r="CB33" s="4668"/>
      <c r="CC33" s="4668"/>
      <c r="CD33" s="4668"/>
      <c r="CE33" s="4668"/>
      <c r="CF33" s="4668"/>
      <c r="CG33" s="4662"/>
      <c r="CH33" s="1"/>
      <c r="CI33" s="1"/>
      <c r="CJ33" s="1"/>
      <c r="CK33" s="1"/>
      <c r="CL33" s="1"/>
      <c r="CM33" s="1"/>
      <c r="CN33" s="1"/>
      <c r="CO33" s="1"/>
    </row>
    <row r="34" spans="1:93" ht="13.2">
      <c r="A34" s="4669"/>
      <c r="B34" s="4670"/>
      <c r="C34" s="4678"/>
      <c r="D34" s="4679"/>
      <c r="E34" s="4679"/>
      <c r="F34" s="4679"/>
      <c r="G34" s="4679"/>
      <c r="H34" s="4679"/>
      <c r="I34" s="4680"/>
      <c r="J34" s="4628"/>
      <c r="K34" s="4673"/>
      <c r="L34" s="4679"/>
      <c r="M34" s="4679"/>
      <c r="N34" s="4679"/>
      <c r="O34" s="4679"/>
      <c r="P34" s="4679"/>
      <c r="Q34" s="4680"/>
      <c r="R34" s="4629"/>
      <c r="S34" s="4673"/>
      <c r="T34" s="4679"/>
      <c r="U34" s="4679"/>
      <c r="V34" s="4679"/>
      <c r="W34" s="4679"/>
      <c r="X34" s="4679"/>
      <c r="Y34" s="4680"/>
      <c r="Z34" s="4629"/>
      <c r="AA34" s="4678"/>
      <c r="AB34" s="4679"/>
      <c r="AC34" s="4679"/>
      <c r="AD34" s="4679"/>
      <c r="AE34" s="4679"/>
      <c r="AF34" s="4679"/>
      <c r="AG34" s="4680"/>
      <c r="AH34" s="4629"/>
      <c r="AI34" s="4673"/>
      <c r="AJ34" s="4683"/>
      <c r="AK34" s="4679"/>
      <c r="AL34" s="4679"/>
      <c r="AM34" s="4679"/>
      <c r="AN34" s="4679"/>
      <c r="AO34" s="4680"/>
      <c r="AP34" s="4629"/>
      <c r="AQ34" s="4678"/>
      <c r="AR34" s="4679"/>
      <c r="AS34" s="4679"/>
      <c r="AT34" s="4679"/>
      <c r="AU34" s="4679"/>
      <c r="AV34" s="4679"/>
      <c r="AW34" s="3952"/>
      <c r="AX34" s="4680"/>
      <c r="AY34" s="4680"/>
      <c r="AZ34" s="4680"/>
      <c r="BA34" s="4680"/>
      <c r="BB34" s="4680"/>
      <c r="BC34" s="4674"/>
      <c r="BD34" s="4674"/>
      <c r="BE34" s="4674"/>
      <c r="BF34" s="4674"/>
      <c r="BG34" s="4674"/>
      <c r="BH34" s="4674"/>
      <c r="BI34" s="1"/>
      <c r="BJ34" s="3952"/>
      <c r="BK34" s="4680"/>
      <c r="BL34" s="4680"/>
      <c r="BM34" s="4680"/>
      <c r="BN34" s="4680"/>
      <c r="BO34" s="4680"/>
      <c r="BP34" s="4628"/>
      <c r="BQ34" s="4628"/>
      <c r="BR34" s="1"/>
      <c r="BS34" s="3382"/>
      <c r="BT34" s="4681"/>
      <c r="BU34" s="4681"/>
      <c r="BV34" s="4681"/>
      <c r="BW34" s="4681"/>
      <c r="BX34" s="4681"/>
      <c r="BY34" s="4628"/>
      <c r="BZ34" s="4628"/>
      <c r="CA34" s="1"/>
      <c r="CB34" s="4668"/>
      <c r="CC34" s="4668"/>
      <c r="CD34" s="4668"/>
      <c r="CE34" s="4668"/>
      <c r="CF34" s="4668"/>
      <c r="CG34" s="4662"/>
      <c r="CH34" s="1"/>
      <c r="CI34" s="1"/>
      <c r="CJ34" s="1"/>
      <c r="CK34" s="1"/>
      <c r="CL34" s="1"/>
      <c r="CM34" s="1"/>
      <c r="CN34" s="1"/>
      <c r="CO34" s="1"/>
    </row>
    <row r="35" spans="1:93" ht="13.2">
      <c r="A35" s="4669"/>
      <c r="B35" s="4670"/>
      <c r="C35" s="4678"/>
      <c r="D35" s="4679"/>
      <c r="E35" s="4679"/>
      <c r="F35" s="4679"/>
      <c r="G35" s="4679"/>
      <c r="H35" s="4679"/>
      <c r="I35" s="4680"/>
      <c r="J35" s="4628"/>
      <c r="K35" s="4673"/>
      <c r="L35" s="4679"/>
      <c r="M35" s="4679"/>
      <c r="N35" s="4679"/>
      <c r="O35" s="4679"/>
      <c r="P35" s="4679"/>
      <c r="Q35" s="4680"/>
      <c r="R35" s="4629"/>
      <c r="S35" s="4673"/>
      <c r="T35" s="4679"/>
      <c r="U35" s="4679"/>
      <c r="V35" s="4679"/>
      <c r="W35" s="4679"/>
      <c r="X35" s="4679"/>
      <c r="Y35" s="4680"/>
      <c r="Z35" s="4629"/>
      <c r="AA35" s="4678"/>
      <c r="AB35" s="4679"/>
      <c r="AC35" s="4679"/>
      <c r="AD35" s="4679"/>
      <c r="AE35" s="4679"/>
      <c r="AF35" s="4679"/>
      <c r="AG35" s="4680"/>
      <c r="AH35" s="4629"/>
      <c r="AI35" s="4673"/>
      <c r="AJ35" s="4679"/>
      <c r="AK35" s="4679"/>
      <c r="AL35" s="4679"/>
      <c r="AM35" s="4679"/>
      <c r="AN35" s="4679"/>
      <c r="AO35" s="4680"/>
      <c r="AP35" s="4629"/>
      <c r="AQ35" s="4678"/>
      <c r="AR35" s="4679"/>
      <c r="AS35" s="4679"/>
      <c r="AT35" s="4679"/>
      <c r="AU35" s="4679"/>
      <c r="AV35" s="4679"/>
      <c r="AW35" s="3952"/>
      <c r="AX35" s="4680"/>
      <c r="AY35" s="4680"/>
      <c r="AZ35" s="4680"/>
      <c r="BA35" s="4680"/>
      <c r="BB35" s="4680"/>
      <c r="BC35" s="4674"/>
      <c r="BD35" s="4674"/>
      <c r="BE35" s="4674"/>
      <c r="BF35" s="4674"/>
      <c r="BG35" s="4674"/>
      <c r="BH35" s="4674"/>
      <c r="BI35" s="1"/>
      <c r="BJ35" s="3952"/>
      <c r="BK35" s="4680"/>
      <c r="BL35" s="4680"/>
      <c r="BM35" s="4680"/>
      <c r="BN35" s="4680"/>
      <c r="BO35" s="4680"/>
      <c r="BP35" s="4628"/>
      <c r="BQ35" s="4628"/>
      <c r="BR35" s="1"/>
      <c r="BS35" s="3382"/>
      <c r="BT35" s="4681"/>
      <c r="BU35" s="4681"/>
      <c r="BV35" s="4681"/>
      <c r="BW35" s="4681"/>
      <c r="BX35" s="4681"/>
      <c r="BY35" s="4628"/>
      <c r="BZ35" s="4628"/>
      <c r="CA35" s="1"/>
      <c r="CB35" s="4668"/>
      <c r="CC35" s="4668"/>
      <c r="CD35" s="4668"/>
      <c r="CE35" s="4668"/>
      <c r="CF35" s="4668"/>
      <c r="CG35" s="4662"/>
      <c r="CH35" s="1"/>
      <c r="CI35" s="1"/>
      <c r="CJ35" s="1"/>
      <c r="CK35" s="1"/>
      <c r="CL35" s="1"/>
      <c r="CM35" s="1"/>
      <c r="CN35" s="1"/>
      <c r="CO35" s="1"/>
    </row>
    <row r="36" spans="1:93" ht="13.2">
      <c r="A36" s="4669"/>
      <c r="B36" s="4670"/>
      <c r="C36" s="4678"/>
      <c r="D36" s="4679"/>
      <c r="E36" s="4679"/>
      <c r="F36" s="4679"/>
      <c r="G36" s="4679"/>
      <c r="H36" s="4679"/>
      <c r="I36" s="4680"/>
      <c r="J36" s="4628"/>
      <c r="K36" s="4673"/>
      <c r="L36" s="4688"/>
      <c r="M36" s="4688"/>
      <c r="N36" s="4688"/>
      <c r="O36" s="4688"/>
      <c r="P36" s="4688"/>
      <c r="Q36" s="4680"/>
      <c r="R36" s="4629"/>
      <c r="S36" s="4673"/>
      <c r="T36" s="4683"/>
      <c r="U36" s="4683"/>
      <c r="V36" s="4683"/>
      <c r="W36" s="4683"/>
      <c r="X36" s="4683"/>
      <c r="Y36" s="4680"/>
      <c r="Z36" s="4629"/>
      <c r="AA36" s="4678"/>
      <c r="AB36" s="4679"/>
      <c r="AC36" s="4679"/>
      <c r="AD36" s="4679"/>
      <c r="AE36" s="4679"/>
      <c r="AF36" s="4679"/>
      <c r="AG36" s="4680"/>
      <c r="AH36" s="4629"/>
      <c r="AI36" s="4673"/>
      <c r="AJ36" s="4679"/>
      <c r="AK36" s="4679"/>
      <c r="AL36" s="4679"/>
      <c r="AM36" s="4679"/>
      <c r="AN36" s="4679"/>
      <c r="AO36" s="4680"/>
      <c r="AP36" s="4629"/>
      <c r="AQ36" s="4678"/>
      <c r="AR36" s="4679"/>
      <c r="AS36" s="4679"/>
      <c r="AT36" s="4679"/>
      <c r="AU36" s="4679"/>
      <c r="AV36" s="4679"/>
      <c r="AW36" s="3952"/>
      <c r="AX36" s="4680"/>
      <c r="AY36" s="4680"/>
      <c r="AZ36" s="4680"/>
      <c r="BA36" s="4680"/>
      <c r="BB36" s="4680"/>
      <c r="BC36" s="4674"/>
      <c r="BD36" s="4674"/>
      <c r="BE36" s="4674"/>
      <c r="BF36" s="4674"/>
      <c r="BG36" s="4674"/>
      <c r="BH36" s="4674"/>
      <c r="BI36" s="1"/>
      <c r="BJ36" s="3952"/>
      <c r="BK36" s="4680"/>
      <c r="BL36" s="4680"/>
      <c r="BM36" s="4680"/>
      <c r="BN36" s="4680"/>
      <c r="BO36" s="4680"/>
      <c r="BP36" s="4628"/>
      <c r="BQ36" s="4628"/>
      <c r="BR36" s="1"/>
      <c r="BS36" s="1"/>
      <c r="BT36" s="1"/>
      <c r="BU36" s="1"/>
      <c r="BV36" s="1"/>
      <c r="BW36" s="1"/>
      <c r="BX36" s="1"/>
      <c r="BY36" s="4628"/>
      <c r="BZ36" s="4628"/>
      <c r="CA36" s="1"/>
      <c r="CB36" s="4668"/>
      <c r="CC36" s="4668"/>
      <c r="CD36" s="4668"/>
      <c r="CE36" s="4668"/>
      <c r="CF36" s="4668"/>
      <c r="CG36" s="4662"/>
      <c r="CH36" s="1"/>
      <c r="CI36" s="1"/>
      <c r="CJ36" s="1"/>
      <c r="CK36" s="1"/>
      <c r="CL36" s="1"/>
      <c r="CM36" s="1"/>
      <c r="CN36" s="1"/>
      <c r="CO36" s="1"/>
    </row>
    <row r="37" spans="1:93" ht="13.2">
      <c r="A37" s="4669"/>
      <c r="B37" s="4670"/>
      <c r="C37" s="4678"/>
      <c r="D37" s="4679"/>
      <c r="E37" s="4679"/>
      <c r="F37" s="4679"/>
      <c r="G37" s="4679"/>
      <c r="H37" s="4679"/>
      <c r="I37" s="4680"/>
      <c r="J37" s="4628"/>
      <c r="K37" s="4673"/>
      <c r="L37" s="4679"/>
      <c r="M37" s="4679"/>
      <c r="N37" s="4679"/>
      <c r="O37" s="4679"/>
      <c r="P37" s="4679"/>
      <c r="Q37" s="4680"/>
      <c r="R37" s="4629"/>
      <c r="S37" s="4673"/>
      <c r="T37" s="4679"/>
      <c r="U37" s="4679"/>
      <c r="V37" s="4679"/>
      <c r="W37" s="4679"/>
      <c r="X37" s="4679"/>
      <c r="Y37" s="4680"/>
      <c r="Z37" s="4629"/>
      <c r="AA37" s="4678"/>
      <c r="AB37" s="4679"/>
      <c r="AC37" s="4679"/>
      <c r="AD37" s="4679"/>
      <c r="AE37" s="4679"/>
      <c r="AF37" s="4679"/>
      <c r="AG37" s="4680"/>
      <c r="AH37" s="4629"/>
      <c r="AI37" s="4673"/>
      <c r="AJ37" s="4679"/>
      <c r="AK37" s="4679"/>
      <c r="AL37" s="4679"/>
      <c r="AM37" s="4679"/>
      <c r="AN37" s="4679"/>
      <c r="AO37" s="4680"/>
      <c r="AP37" s="4629"/>
      <c r="AQ37" s="4678"/>
      <c r="AR37" s="4679"/>
      <c r="AS37" s="4679"/>
      <c r="AT37" s="4679"/>
      <c r="AU37" s="4679"/>
      <c r="AV37" s="4679"/>
      <c r="AW37" s="3952"/>
      <c r="AX37" s="4680"/>
      <c r="AY37" s="4680"/>
      <c r="AZ37" s="4680"/>
      <c r="BA37" s="4680"/>
      <c r="BB37" s="4680"/>
      <c r="BC37" s="4674"/>
      <c r="BD37" s="4674"/>
      <c r="BE37" s="4674"/>
      <c r="BF37" s="4674"/>
      <c r="BG37" s="4674"/>
      <c r="BH37" s="4674"/>
      <c r="BI37" s="1"/>
      <c r="BJ37" s="3952"/>
      <c r="BK37" s="4680"/>
      <c r="BL37" s="4680"/>
      <c r="BM37" s="4680"/>
      <c r="BN37" s="4680"/>
      <c r="BO37" s="4680"/>
      <c r="BP37" s="4628"/>
      <c r="BQ37" s="4628"/>
      <c r="BR37" s="1"/>
      <c r="BS37" s="3382"/>
      <c r="BT37" s="4681"/>
      <c r="BU37" s="4681"/>
      <c r="BV37" s="4681"/>
      <c r="BW37" s="4681"/>
      <c r="BX37" s="4681"/>
      <c r="BY37" s="4628"/>
      <c r="BZ37" s="4628"/>
      <c r="CA37" s="1"/>
      <c r="CB37" s="4668"/>
      <c r="CC37" s="4668"/>
      <c r="CD37" s="4668"/>
      <c r="CE37" s="4668"/>
      <c r="CF37" s="4668"/>
      <c r="CG37" s="4662"/>
      <c r="CH37" s="1"/>
      <c r="CI37" s="1"/>
      <c r="CJ37" s="1"/>
      <c r="CK37" s="1"/>
      <c r="CL37" s="1"/>
      <c r="CM37" s="1"/>
      <c r="CN37" s="1"/>
      <c r="CO37" s="1"/>
    </row>
    <row r="38" spans="1:93" ht="13.2">
      <c r="A38" s="4669"/>
      <c r="B38" s="4670"/>
      <c r="C38" s="3952"/>
      <c r="D38" s="3952"/>
      <c r="E38" s="3952"/>
      <c r="F38" s="3952"/>
      <c r="G38" s="3952"/>
      <c r="H38" s="3952"/>
      <c r="I38" s="3952"/>
      <c r="J38" s="4628"/>
      <c r="K38" s="3952"/>
      <c r="L38" s="3952"/>
      <c r="M38" s="3952"/>
      <c r="N38" s="3952"/>
      <c r="O38" s="3952"/>
      <c r="P38" s="3952"/>
      <c r="Q38" s="3952"/>
      <c r="R38" s="4629"/>
      <c r="S38" s="3952"/>
      <c r="T38" s="3952"/>
      <c r="U38" s="3952"/>
      <c r="V38" s="3952"/>
      <c r="W38" s="3952"/>
      <c r="X38" s="3952"/>
      <c r="Y38" s="3952"/>
      <c r="Z38" s="4629"/>
      <c r="AA38" s="3952"/>
      <c r="AB38" s="3952"/>
      <c r="AC38" s="3952"/>
      <c r="AD38" s="3952"/>
      <c r="AE38" s="3952"/>
      <c r="AF38" s="3952"/>
      <c r="AG38" s="3952"/>
      <c r="AH38" s="4629"/>
      <c r="AI38" s="3952"/>
      <c r="AJ38" s="3952"/>
      <c r="AK38" s="3952"/>
      <c r="AL38" s="3952"/>
      <c r="AM38" s="3952"/>
      <c r="AN38" s="3952"/>
      <c r="AO38" s="3952"/>
      <c r="AP38" s="4629"/>
      <c r="AQ38" s="3952"/>
      <c r="AR38" s="3952"/>
      <c r="AS38" s="3952"/>
      <c r="AT38" s="3952"/>
      <c r="AU38" s="3952"/>
      <c r="AV38" s="3952"/>
      <c r="AW38" s="3952"/>
      <c r="AX38" s="3952"/>
      <c r="AY38" s="3952"/>
      <c r="AZ38" s="3952"/>
      <c r="BA38" s="3952"/>
      <c r="BB38" s="3952"/>
      <c r="BC38" s="3952"/>
      <c r="BD38" s="3952"/>
      <c r="BE38" s="3952"/>
      <c r="BF38" s="3952"/>
      <c r="BG38" s="3952"/>
      <c r="BH38" s="3952"/>
      <c r="BI38" s="1"/>
      <c r="BJ38" s="3952"/>
      <c r="BK38" s="3952"/>
      <c r="BL38" s="3952"/>
      <c r="BM38" s="3952"/>
      <c r="BN38" s="3952"/>
      <c r="BO38" s="3952"/>
      <c r="BP38" s="4628"/>
      <c r="BQ38" s="4628"/>
      <c r="BR38" s="1"/>
      <c r="BS38" s="1"/>
      <c r="BT38" s="1"/>
      <c r="BU38" s="1"/>
      <c r="BV38" s="1"/>
      <c r="BW38" s="1"/>
      <c r="BX38" s="1"/>
      <c r="BY38" s="4628"/>
      <c r="BZ38" s="4628"/>
      <c r="CA38" s="1"/>
      <c r="CB38" s="4668"/>
      <c r="CC38" s="4668"/>
      <c r="CD38" s="4668"/>
      <c r="CE38" s="4668"/>
      <c r="CF38" s="4668"/>
      <c r="CG38" s="4662"/>
      <c r="CH38" s="1"/>
      <c r="CI38" s="1"/>
      <c r="CJ38" s="1"/>
      <c r="CK38" s="1"/>
      <c r="CL38" s="1"/>
      <c r="CM38" s="1"/>
      <c r="CN38" s="1"/>
      <c r="CO38" s="1"/>
    </row>
    <row r="39" spans="1:93" s="4675" customFormat="1" ht="13.2">
      <c r="A39" s="4671"/>
      <c r="B39" s="4672"/>
      <c r="C39" s="4678"/>
      <c r="D39" s="4679"/>
      <c r="E39" s="4679"/>
      <c r="F39" s="4679"/>
      <c r="G39" s="4679"/>
      <c r="H39" s="4679"/>
      <c r="I39" s="4680"/>
      <c r="J39" s="4626"/>
      <c r="K39" s="4673"/>
      <c r="L39" s="4679"/>
      <c r="M39" s="4679"/>
      <c r="N39" s="4679"/>
      <c r="O39" s="4679"/>
      <c r="P39" s="4679"/>
      <c r="Q39" s="4680"/>
      <c r="R39" s="4627"/>
      <c r="S39" s="4673"/>
      <c r="T39" s="4679"/>
      <c r="U39" s="4679"/>
      <c r="V39" s="4679"/>
      <c r="W39" s="4679"/>
      <c r="X39" s="4679"/>
      <c r="Y39" s="4680"/>
      <c r="Z39" s="4627"/>
      <c r="AA39" s="4678"/>
      <c r="AB39" s="4679"/>
      <c r="AC39" s="4679"/>
      <c r="AD39" s="4679"/>
      <c r="AE39" s="4679"/>
      <c r="AF39" s="4679"/>
      <c r="AG39" s="4680"/>
      <c r="AH39" s="4627"/>
      <c r="AI39" s="4673"/>
      <c r="AJ39" s="4683"/>
      <c r="AK39" s="4679"/>
      <c r="AL39" s="4679"/>
      <c r="AM39" s="4679"/>
      <c r="AN39" s="4679"/>
      <c r="AO39" s="4680"/>
      <c r="AP39" s="4627"/>
      <c r="AQ39" s="4678"/>
      <c r="AR39" s="4679"/>
      <c r="AS39" s="4679"/>
      <c r="AT39" s="4679"/>
      <c r="AU39" s="4679"/>
      <c r="AV39" s="4679"/>
      <c r="AW39" s="3952"/>
      <c r="AX39" s="4680"/>
      <c r="AY39" s="4680"/>
      <c r="AZ39" s="4680"/>
      <c r="BA39" s="4680"/>
      <c r="BB39" s="4680"/>
      <c r="BC39" s="4674"/>
      <c r="BD39" s="4674"/>
      <c r="BE39" s="4674"/>
      <c r="BF39" s="4674"/>
      <c r="BG39" s="4674"/>
      <c r="BH39" s="4674"/>
      <c r="BI39" s="1"/>
      <c r="BJ39" s="3952"/>
      <c r="BK39" s="4680"/>
      <c r="BL39" s="4680"/>
      <c r="BM39" s="4680"/>
      <c r="BN39" s="4680"/>
      <c r="BO39" s="4680"/>
      <c r="BP39" s="4626"/>
      <c r="BQ39" s="4626"/>
      <c r="BR39" s="1"/>
      <c r="BS39" s="3382"/>
      <c r="BT39" s="4681"/>
      <c r="BU39" s="4681"/>
      <c r="BV39" s="4681"/>
      <c r="BW39" s="4681"/>
      <c r="BX39" s="4681"/>
      <c r="BY39" s="4626"/>
      <c r="BZ39" s="4626"/>
      <c r="CA39" s="1"/>
      <c r="CB39" s="4668"/>
      <c r="CC39" s="4668"/>
      <c r="CD39" s="4668"/>
      <c r="CE39" s="4668"/>
      <c r="CF39" s="4668"/>
      <c r="CG39" s="4662"/>
      <c r="CH39" s="1"/>
      <c r="CI39" s="1"/>
      <c r="CJ39" s="1"/>
      <c r="CK39" s="1"/>
      <c r="CL39" s="1"/>
      <c r="CM39" s="1"/>
      <c r="CN39" s="1"/>
      <c r="CO39" s="1"/>
    </row>
    <row r="40" spans="1:93" s="4675" customFormat="1" ht="13.2">
      <c r="A40" s="4671"/>
      <c r="B40" s="4672"/>
      <c r="C40" s="4678"/>
      <c r="D40" s="4679"/>
      <c r="E40" s="4679"/>
      <c r="F40" s="4679"/>
      <c r="G40" s="4679"/>
      <c r="H40" s="4679"/>
      <c r="I40" s="4680"/>
      <c r="J40" s="4626"/>
      <c r="K40" s="4673"/>
      <c r="L40" s="4679"/>
      <c r="M40" s="4679"/>
      <c r="N40" s="4679"/>
      <c r="O40" s="4679"/>
      <c r="P40" s="4679"/>
      <c r="Q40" s="4680"/>
      <c r="R40" s="4627"/>
      <c r="S40" s="4673"/>
      <c r="T40" s="4679"/>
      <c r="U40" s="4679"/>
      <c r="V40" s="4679"/>
      <c r="W40" s="4679"/>
      <c r="X40" s="4679"/>
      <c r="Y40" s="4680"/>
      <c r="Z40" s="4627"/>
      <c r="AA40" s="4678"/>
      <c r="AB40" s="4679"/>
      <c r="AC40" s="4679"/>
      <c r="AD40" s="4679"/>
      <c r="AE40" s="4679"/>
      <c r="AF40" s="4679"/>
      <c r="AG40" s="4680"/>
      <c r="AH40" s="4627"/>
      <c r="AI40" s="4673"/>
      <c r="AJ40" s="4679"/>
      <c r="AK40" s="4679"/>
      <c r="AL40" s="4679"/>
      <c r="AM40" s="4679"/>
      <c r="AN40" s="4679"/>
      <c r="AO40" s="4680"/>
      <c r="AP40" s="4627"/>
      <c r="AQ40" s="4678"/>
      <c r="AR40" s="4679"/>
      <c r="AS40" s="4679"/>
      <c r="AT40" s="4679"/>
      <c r="AU40" s="4679"/>
      <c r="AV40" s="4679"/>
      <c r="AW40" s="3952"/>
      <c r="AX40" s="4680"/>
      <c r="AY40" s="4680"/>
      <c r="AZ40" s="4680"/>
      <c r="BA40" s="4680"/>
      <c r="BB40" s="4680"/>
      <c r="BC40" s="4674"/>
      <c r="BD40" s="4674"/>
      <c r="BE40" s="4674"/>
      <c r="BF40" s="4674"/>
      <c r="BG40" s="4674"/>
      <c r="BH40" s="4674"/>
      <c r="BI40" s="1"/>
      <c r="BJ40" s="3952"/>
      <c r="BK40" s="4680"/>
      <c r="BL40" s="4680"/>
      <c r="BM40" s="4680"/>
      <c r="BN40" s="4680"/>
      <c r="BO40" s="4680"/>
      <c r="BP40" s="4626"/>
      <c r="BQ40" s="4626"/>
      <c r="BR40" s="1"/>
      <c r="BS40" s="3382"/>
      <c r="BT40" s="4681"/>
      <c r="BU40" s="4681"/>
      <c r="BV40" s="4681"/>
      <c r="BW40" s="4681"/>
      <c r="BX40" s="4681"/>
      <c r="BY40" s="4626"/>
      <c r="BZ40" s="4626"/>
      <c r="CA40" s="1"/>
      <c r="CB40" s="4668"/>
      <c r="CC40" s="4668"/>
      <c r="CD40" s="4668"/>
      <c r="CE40" s="4668"/>
      <c r="CF40" s="4668"/>
      <c r="CG40" s="4662"/>
      <c r="CH40" s="1"/>
      <c r="CI40" s="1"/>
      <c r="CJ40" s="1"/>
      <c r="CK40" s="1"/>
      <c r="CL40" s="1"/>
      <c r="CM40" s="1"/>
      <c r="CN40" s="1"/>
      <c r="CO40" s="1"/>
    </row>
    <row r="41" spans="1:93" s="4675" customFormat="1" ht="13.2">
      <c r="A41" s="4671"/>
      <c r="B41" s="4672"/>
      <c r="C41" s="4678"/>
      <c r="D41" s="4679"/>
      <c r="E41" s="4679"/>
      <c r="F41" s="4679"/>
      <c r="G41" s="4679"/>
      <c r="H41" s="4679"/>
      <c r="I41" s="4680"/>
      <c r="J41" s="4626"/>
      <c r="K41" s="4673"/>
      <c r="L41" s="4679"/>
      <c r="M41" s="4679"/>
      <c r="N41" s="4679"/>
      <c r="O41" s="4679"/>
      <c r="P41" s="4679"/>
      <c r="Q41" s="4680"/>
      <c r="R41" s="4627"/>
      <c r="S41" s="4673"/>
      <c r="T41" s="4679"/>
      <c r="U41" s="4679"/>
      <c r="V41" s="4679"/>
      <c r="W41" s="4679"/>
      <c r="X41" s="4679"/>
      <c r="Y41" s="4680"/>
      <c r="Z41" s="4627"/>
      <c r="AA41" s="4678"/>
      <c r="AB41" s="4679"/>
      <c r="AC41" s="4679"/>
      <c r="AD41" s="4679"/>
      <c r="AE41" s="4679"/>
      <c r="AF41" s="4679"/>
      <c r="AG41" s="4680"/>
      <c r="AH41" s="4627"/>
      <c r="AI41" s="4673"/>
      <c r="AJ41" s="4679"/>
      <c r="AK41" s="4679"/>
      <c r="AL41" s="4679"/>
      <c r="AM41" s="4679"/>
      <c r="AN41" s="4679"/>
      <c r="AO41" s="4680"/>
      <c r="AP41" s="4627"/>
      <c r="AQ41" s="4678"/>
      <c r="AR41" s="4679"/>
      <c r="AS41" s="4679"/>
      <c r="AT41" s="4679"/>
      <c r="AU41" s="4679"/>
      <c r="AV41" s="4679"/>
      <c r="AW41" s="3952"/>
      <c r="AX41" s="4680"/>
      <c r="AY41" s="4680"/>
      <c r="AZ41" s="4680"/>
      <c r="BA41" s="4680"/>
      <c r="BB41" s="4680"/>
      <c r="BC41" s="4674"/>
      <c r="BD41" s="4674"/>
      <c r="BE41" s="4674"/>
      <c r="BF41" s="4674"/>
      <c r="BG41" s="4674"/>
      <c r="BH41" s="4674"/>
      <c r="BI41" s="1"/>
      <c r="BJ41" s="3952"/>
      <c r="BK41" s="4680"/>
      <c r="BL41" s="4680"/>
      <c r="BM41" s="4680"/>
      <c r="BN41" s="4680"/>
      <c r="BO41" s="4680"/>
      <c r="BP41" s="4626"/>
      <c r="BQ41" s="4626"/>
      <c r="BR41" s="1"/>
      <c r="BS41" s="3382"/>
      <c r="BT41" s="4681"/>
      <c r="BU41" s="4681"/>
      <c r="BV41" s="4681"/>
      <c r="BW41" s="4681"/>
      <c r="BX41" s="4681"/>
      <c r="BY41" s="4626"/>
      <c r="BZ41" s="4626"/>
      <c r="CA41" s="1"/>
      <c r="CB41" s="4668"/>
      <c r="CC41" s="4668"/>
      <c r="CD41" s="4668"/>
      <c r="CE41" s="4668"/>
      <c r="CF41" s="4668"/>
      <c r="CG41" s="4662"/>
      <c r="CH41" s="1"/>
      <c r="CI41" s="1"/>
      <c r="CJ41" s="1"/>
      <c r="CK41" s="1"/>
      <c r="CL41" s="1"/>
      <c r="CM41" s="1"/>
      <c r="CN41" s="1"/>
      <c r="CO41" s="1"/>
    </row>
    <row r="42" spans="1:93" s="4675" customFormat="1" ht="13.2">
      <c r="A42" s="4671"/>
      <c r="B42" s="4672"/>
      <c r="C42" s="4678"/>
      <c r="D42" s="4679"/>
      <c r="E42" s="4679"/>
      <c r="F42" s="4679"/>
      <c r="G42" s="4679"/>
      <c r="H42" s="4679"/>
      <c r="I42" s="4680"/>
      <c r="J42" s="4626"/>
      <c r="K42" s="4673"/>
      <c r="L42" s="4679"/>
      <c r="M42" s="4679"/>
      <c r="N42" s="4679"/>
      <c r="O42" s="4679"/>
      <c r="P42" s="4679"/>
      <c r="Q42" s="4680"/>
      <c r="R42" s="4627"/>
      <c r="S42" s="4673"/>
      <c r="T42" s="4679"/>
      <c r="U42" s="4679"/>
      <c r="V42" s="4679"/>
      <c r="W42" s="4679"/>
      <c r="X42" s="4679"/>
      <c r="Y42" s="4680"/>
      <c r="Z42" s="4627"/>
      <c r="AA42" s="4678"/>
      <c r="AB42" s="4679"/>
      <c r="AC42" s="4679"/>
      <c r="AD42" s="4679"/>
      <c r="AE42" s="4679"/>
      <c r="AF42" s="4679"/>
      <c r="AG42" s="4680"/>
      <c r="AH42" s="4627"/>
      <c r="AI42" s="4673"/>
      <c r="AJ42" s="4679"/>
      <c r="AK42" s="4679"/>
      <c r="AL42" s="4679"/>
      <c r="AM42" s="4679"/>
      <c r="AN42" s="4679"/>
      <c r="AO42" s="4680"/>
      <c r="AP42" s="4627"/>
      <c r="AQ42" s="4678"/>
      <c r="AR42" s="4679"/>
      <c r="AS42" s="4679"/>
      <c r="AT42" s="4679"/>
      <c r="AU42" s="4679"/>
      <c r="AV42" s="4679"/>
      <c r="AW42" s="3952"/>
      <c r="AX42" s="4680"/>
      <c r="AY42" s="4680"/>
      <c r="AZ42" s="4680"/>
      <c r="BA42" s="4680"/>
      <c r="BB42" s="4680"/>
      <c r="BC42" s="4674"/>
      <c r="BD42" s="4674"/>
      <c r="BE42" s="4674"/>
      <c r="BF42" s="4674"/>
      <c r="BG42" s="4674"/>
      <c r="BH42" s="4674"/>
      <c r="BI42" s="1"/>
      <c r="BJ42" s="3952"/>
      <c r="BK42" s="4680"/>
      <c r="BL42" s="4680"/>
      <c r="BM42" s="4680"/>
      <c r="BN42" s="4680"/>
      <c r="BO42" s="4680"/>
      <c r="BP42" s="4626"/>
      <c r="BQ42" s="4626"/>
      <c r="BR42" s="1"/>
      <c r="BS42" s="1"/>
      <c r="BT42" s="1"/>
      <c r="BU42" s="1"/>
      <c r="BV42" s="1"/>
      <c r="BW42" s="1"/>
      <c r="BX42" s="1"/>
      <c r="BY42" s="4626"/>
      <c r="BZ42" s="4626"/>
      <c r="CA42" s="1"/>
      <c r="CB42" s="4668"/>
      <c r="CC42" s="4668"/>
      <c r="CD42" s="4668"/>
      <c r="CE42" s="4668"/>
      <c r="CF42" s="4668"/>
      <c r="CG42" s="4662"/>
      <c r="CH42" s="1"/>
      <c r="CI42" s="1"/>
      <c r="CJ42" s="1"/>
      <c r="CK42" s="1"/>
      <c r="CL42" s="1"/>
      <c r="CM42" s="1"/>
      <c r="CN42" s="1"/>
      <c r="CO42" s="1"/>
    </row>
    <row r="43" spans="1:93" ht="13.2">
      <c r="A43" s="4669"/>
      <c r="B43" s="4670"/>
      <c r="C43" s="4678"/>
      <c r="D43" s="4679"/>
      <c r="E43" s="4679"/>
      <c r="F43" s="4679"/>
      <c r="G43" s="4679"/>
      <c r="H43" s="4679"/>
      <c r="I43" s="4680"/>
      <c r="J43" s="4628"/>
      <c r="K43" s="4673"/>
      <c r="L43" s="4679"/>
      <c r="M43" s="4679"/>
      <c r="N43" s="4679"/>
      <c r="O43" s="4679"/>
      <c r="P43" s="4679"/>
      <c r="Q43" s="4680"/>
      <c r="R43" s="4629"/>
      <c r="S43" s="4673"/>
      <c r="T43" s="4679"/>
      <c r="U43" s="4679"/>
      <c r="V43" s="4679"/>
      <c r="W43" s="4679"/>
      <c r="X43" s="4679"/>
      <c r="Y43" s="4680"/>
      <c r="Z43" s="4629"/>
      <c r="AA43" s="4678"/>
      <c r="AB43" s="4679"/>
      <c r="AC43" s="4679"/>
      <c r="AD43" s="4679"/>
      <c r="AE43" s="4679"/>
      <c r="AF43" s="4679"/>
      <c r="AG43" s="4680"/>
      <c r="AH43" s="4629"/>
      <c r="AI43" s="4673"/>
      <c r="AJ43" s="4679"/>
      <c r="AK43" s="4679"/>
      <c r="AL43" s="4679"/>
      <c r="AM43" s="4679"/>
      <c r="AN43" s="4679"/>
      <c r="AO43" s="4680"/>
      <c r="AP43" s="4629"/>
      <c r="AQ43" s="4678"/>
      <c r="AR43" s="4679"/>
      <c r="AS43" s="4679"/>
      <c r="AT43" s="4679"/>
      <c r="AU43" s="4679"/>
      <c r="AV43" s="4679"/>
      <c r="AW43" s="3952"/>
      <c r="AX43" s="4680"/>
      <c r="AY43" s="4680"/>
      <c r="AZ43" s="4680"/>
      <c r="BA43" s="4680"/>
      <c r="BB43" s="4680"/>
      <c r="BC43" s="4674"/>
      <c r="BD43" s="4674"/>
      <c r="BE43" s="4674"/>
      <c r="BF43" s="4674"/>
      <c r="BG43" s="4674"/>
      <c r="BH43" s="4674"/>
      <c r="BI43" s="1"/>
      <c r="BJ43" s="3952"/>
      <c r="BK43" s="4680"/>
      <c r="BL43" s="4680"/>
      <c r="BM43" s="4680"/>
      <c r="BN43" s="4680"/>
      <c r="BO43" s="4680"/>
      <c r="BP43" s="4628"/>
      <c r="BQ43" s="4628"/>
      <c r="BR43" s="1"/>
      <c r="BS43" s="3382"/>
      <c r="BT43" s="4681"/>
      <c r="BU43" s="4681"/>
      <c r="BV43" s="4681"/>
      <c r="BW43" s="4681"/>
      <c r="BX43" s="4681"/>
      <c r="BY43" s="4628"/>
      <c r="BZ43" s="4628"/>
      <c r="CA43" s="1"/>
      <c r="CB43" s="4668"/>
      <c r="CC43" s="4668"/>
      <c r="CD43" s="4668"/>
      <c r="CE43" s="4668"/>
      <c r="CF43" s="4668"/>
      <c r="CG43" s="4662"/>
      <c r="CH43" s="1"/>
      <c r="CI43" s="1"/>
      <c r="CJ43" s="1"/>
      <c r="CK43" s="1"/>
      <c r="CL43" s="1"/>
      <c r="CM43" s="1"/>
      <c r="CN43" s="1"/>
      <c r="CO43" s="1"/>
    </row>
    <row r="44" spans="1:93" ht="13.2">
      <c r="A44" s="4669"/>
      <c r="B44" s="4670"/>
      <c r="C44" s="4678"/>
      <c r="D44" s="4679"/>
      <c r="E44" s="4679"/>
      <c r="F44" s="4679"/>
      <c r="G44" s="4679"/>
      <c r="H44" s="4679"/>
      <c r="I44" s="4680"/>
      <c r="J44" s="4628"/>
      <c r="K44" s="4673"/>
      <c r="L44" s="4679"/>
      <c r="M44" s="4679"/>
      <c r="N44" s="4679"/>
      <c r="O44" s="4679"/>
      <c r="P44" s="4679"/>
      <c r="Q44" s="4680"/>
      <c r="R44" s="4629"/>
      <c r="S44" s="4673"/>
      <c r="T44" s="4679"/>
      <c r="U44" s="4679"/>
      <c r="V44" s="4679"/>
      <c r="W44" s="4679"/>
      <c r="X44" s="4679"/>
      <c r="Y44" s="4680"/>
      <c r="Z44" s="4629"/>
      <c r="AA44" s="4678"/>
      <c r="AB44" s="4679"/>
      <c r="AC44" s="4679"/>
      <c r="AD44" s="4679"/>
      <c r="AE44" s="4679"/>
      <c r="AF44" s="4679"/>
      <c r="AG44" s="4680"/>
      <c r="AH44" s="4629"/>
      <c r="AI44" s="4673"/>
      <c r="AJ44" s="4679"/>
      <c r="AK44" s="4679"/>
      <c r="AL44" s="4679"/>
      <c r="AM44" s="4679"/>
      <c r="AN44" s="4679"/>
      <c r="AO44" s="4680"/>
      <c r="AP44" s="4629"/>
      <c r="AQ44" s="4678"/>
      <c r="AR44" s="4679"/>
      <c r="AS44" s="4679"/>
      <c r="AT44" s="4679"/>
      <c r="AU44" s="4679"/>
      <c r="AV44" s="4679"/>
      <c r="AW44" s="3952"/>
      <c r="AX44" s="4680"/>
      <c r="AY44" s="4680"/>
      <c r="AZ44" s="4680"/>
      <c r="BA44" s="4680"/>
      <c r="BB44" s="4680"/>
      <c r="BC44" s="4674"/>
      <c r="BD44" s="4674"/>
      <c r="BE44" s="4674"/>
      <c r="BF44" s="4674"/>
      <c r="BG44" s="4674"/>
      <c r="BH44" s="4674"/>
      <c r="BI44" s="1"/>
      <c r="BJ44" s="3952"/>
      <c r="BK44" s="4680"/>
      <c r="BL44" s="4680"/>
      <c r="BM44" s="4680"/>
      <c r="BN44" s="4680"/>
      <c r="BO44" s="4680"/>
      <c r="BP44" s="4628"/>
      <c r="BQ44" s="4628"/>
      <c r="BR44" s="1"/>
      <c r="BS44" s="3382"/>
      <c r="BT44" s="4681"/>
      <c r="BU44" s="4681"/>
      <c r="BV44" s="4681"/>
      <c r="BW44" s="4681"/>
      <c r="BX44" s="4681"/>
      <c r="BY44" s="4628"/>
      <c r="BZ44" s="4628"/>
      <c r="CA44" s="1"/>
      <c r="CB44" s="4668"/>
      <c r="CC44" s="4668"/>
      <c r="CD44" s="4668"/>
      <c r="CE44" s="4668"/>
      <c r="CF44" s="4668"/>
      <c r="CG44" s="4662"/>
      <c r="CH44" s="1"/>
      <c r="CI44" s="1"/>
      <c r="CJ44" s="1"/>
      <c r="CK44" s="1"/>
      <c r="CL44" s="1"/>
      <c r="CM44" s="1"/>
      <c r="CN44" s="1"/>
      <c r="CO44" s="1"/>
    </row>
    <row r="45" spans="1:93" ht="13.2">
      <c r="A45" s="4669"/>
      <c r="B45" s="4670"/>
      <c r="C45" s="4678"/>
      <c r="D45" s="4679"/>
      <c r="E45" s="4679"/>
      <c r="F45" s="4679"/>
      <c r="G45" s="4679"/>
      <c r="H45" s="4679"/>
      <c r="I45" s="4680"/>
      <c r="J45" s="4628"/>
      <c r="K45" s="4673"/>
      <c r="L45" s="4679"/>
      <c r="M45" s="4679"/>
      <c r="N45" s="4679"/>
      <c r="O45" s="4679"/>
      <c r="P45" s="4679"/>
      <c r="Q45" s="4680"/>
      <c r="R45" s="4629"/>
      <c r="S45" s="4673"/>
      <c r="T45" s="4679"/>
      <c r="U45" s="4679"/>
      <c r="V45" s="4679"/>
      <c r="W45" s="4679"/>
      <c r="X45" s="4679"/>
      <c r="Y45" s="4680"/>
      <c r="Z45" s="4629"/>
      <c r="AA45" s="4678"/>
      <c r="AB45" s="4679"/>
      <c r="AC45" s="4679"/>
      <c r="AD45" s="4679"/>
      <c r="AE45" s="4679"/>
      <c r="AF45" s="4679"/>
      <c r="AG45" s="4680"/>
      <c r="AH45" s="4629"/>
      <c r="AI45" s="4673"/>
      <c r="AJ45" s="4679"/>
      <c r="AK45" s="4679"/>
      <c r="AL45" s="4679"/>
      <c r="AM45" s="4679"/>
      <c r="AN45" s="4679"/>
      <c r="AO45" s="4680"/>
      <c r="AP45" s="4629"/>
      <c r="AQ45" s="4678"/>
      <c r="AR45" s="4679"/>
      <c r="AS45" s="4679"/>
      <c r="AT45" s="4679"/>
      <c r="AU45" s="4679"/>
      <c r="AV45" s="4679"/>
      <c r="AW45" s="3952"/>
      <c r="AX45" s="4680"/>
      <c r="AY45" s="4680"/>
      <c r="AZ45" s="4680"/>
      <c r="BA45" s="4680"/>
      <c r="BB45" s="4680"/>
      <c r="BC45" s="4674"/>
      <c r="BD45" s="4674"/>
      <c r="BE45" s="4674"/>
      <c r="BF45" s="4674"/>
      <c r="BG45" s="4674"/>
      <c r="BH45" s="4674"/>
      <c r="BI45" s="1"/>
      <c r="BJ45" s="3952"/>
      <c r="BK45" s="4680"/>
      <c r="BL45" s="4680"/>
      <c r="BM45" s="4680"/>
      <c r="BN45" s="4680"/>
      <c r="BO45" s="4680"/>
      <c r="BP45" s="4628"/>
      <c r="BQ45" s="4628"/>
      <c r="BR45" s="1"/>
      <c r="BS45" s="3382"/>
      <c r="BT45" s="4681"/>
      <c r="BU45" s="4681"/>
      <c r="BV45" s="4681"/>
      <c r="BW45" s="4681"/>
      <c r="BX45" s="4681"/>
      <c r="BY45" s="4628"/>
      <c r="BZ45" s="4628"/>
      <c r="CA45" s="1"/>
      <c r="CB45" s="4668"/>
      <c r="CC45" s="4668"/>
      <c r="CD45" s="4668"/>
      <c r="CE45" s="4668"/>
      <c r="CF45" s="4668"/>
      <c r="CG45" s="4662"/>
      <c r="CH45" s="1"/>
      <c r="CI45" s="1"/>
      <c r="CJ45" s="1"/>
      <c r="CK45" s="1"/>
      <c r="CL45" s="1"/>
      <c r="CM45" s="1"/>
      <c r="CN45" s="1"/>
      <c r="CO45" s="1"/>
    </row>
    <row r="46" spans="1:93" ht="13.2">
      <c r="A46" s="4669"/>
      <c r="B46" s="4670"/>
      <c r="C46" s="4678"/>
      <c r="D46" s="4679"/>
      <c r="E46" s="4679"/>
      <c r="F46" s="4679"/>
      <c r="G46" s="4679"/>
      <c r="H46" s="4679"/>
      <c r="I46" s="4680"/>
      <c r="J46" s="4628"/>
      <c r="K46" s="4673"/>
      <c r="L46" s="4679"/>
      <c r="M46" s="4679"/>
      <c r="N46" s="4679"/>
      <c r="O46" s="4679"/>
      <c r="P46" s="4679"/>
      <c r="Q46" s="4680"/>
      <c r="R46" s="4629"/>
      <c r="S46" s="4673"/>
      <c r="T46" s="4679"/>
      <c r="U46" s="4679"/>
      <c r="V46" s="4679"/>
      <c r="W46" s="4679"/>
      <c r="X46" s="4679"/>
      <c r="Y46" s="4680"/>
      <c r="Z46" s="4629"/>
      <c r="AA46" s="4678"/>
      <c r="AB46" s="4679"/>
      <c r="AC46" s="4679"/>
      <c r="AD46" s="4679"/>
      <c r="AE46" s="4679"/>
      <c r="AF46" s="4679"/>
      <c r="AG46" s="4680"/>
      <c r="AH46" s="4629"/>
      <c r="AI46" s="4673"/>
      <c r="AJ46" s="4683"/>
      <c r="AK46" s="4683"/>
      <c r="AL46" s="4683"/>
      <c r="AM46" s="4683"/>
      <c r="AN46" s="4683"/>
      <c r="AO46" s="4680"/>
      <c r="AP46" s="4629"/>
      <c r="AQ46" s="4678"/>
      <c r="AR46" s="4679"/>
      <c r="AS46" s="4679"/>
      <c r="AT46" s="4679"/>
      <c r="AU46" s="4679"/>
      <c r="AV46" s="4679"/>
      <c r="AW46" s="3952"/>
      <c r="AX46" s="4680"/>
      <c r="AY46" s="4680"/>
      <c r="AZ46" s="4680"/>
      <c r="BA46" s="4680"/>
      <c r="BB46" s="4680"/>
      <c r="BC46" s="4674"/>
      <c r="BD46" s="4674"/>
      <c r="BE46" s="4674"/>
      <c r="BF46" s="4674"/>
      <c r="BG46" s="4674"/>
      <c r="BH46" s="4674"/>
      <c r="BI46" s="1"/>
      <c r="BJ46" s="3952"/>
      <c r="BK46" s="4680"/>
      <c r="BL46" s="4680"/>
      <c r="BM46" s="4680"/>
      <c r="BN46" s="4680"/>
      <c r="BO46" s="4680"/>
      <c r="BP46" s="4628"/>
      <c r="BQ46" s="4628"/>
      <c r="BR46" s="1"/>
      <c r="BS46" s="3382"/>
      <c r="BT46" s="4681"/>
      <c r="BU46" s="4681"/>
      <c r="BV46" s="4681"/>
      <c r="BW46" s="4681"/>
      <c r="BX46" s="4681"/>
      <c r="BY46" s="4628"/>
      <c r="BZ46" s="4628"/>
      <c r="CA46" s="1"/>
      <c r="CB46" s="4668"/>
      <c r="CC46" s="4668"/>
      <c r="CD46" s="4668"/>
      <c r="CE46" s="4668"/>
      <c r="CF46" s="4668"/>
      <c r="CG46" s="4662"/>
      <c r="CH46" s="1"/>
      <c r="CI46" s="1"/>
      <c r="CJ46" s="1"/>
      <c r="CK46" s="1"/>
      <c r="CL46" s="1"/>
      <c r="CM46" s="1"/>
      <c r="CN46" s="1"/>
      <c r="CO46" s="1"/>
    </row>
    <row r="47" spans="1:93" ht="13.2">
      <c r="A47" s="4669"/>
      <c r="B47" s="4670"/>
      <c r="C47" s="4678"/>
      <c r="D47" s="4679"/>
      <c r="E47" s="4679"/>
      <c r="F47" s="4679"/>
      <c r="G47" s="4679"/>
      <c r="H47" s="4679"/>
      <c r="I47" s="4680"/>
      <c r="J47" s="4628"/>
      <c r="K47" s="4673"/>
      <c r="L47" s="4679"/>
      <c r="M47" s="4679"/>
      <c r="N47" s="4679"/>
      <c r="O47" s="4679"/>
      <c r="P47" s="4679"/>
      <c r="Q47" s="4680"/>
      <c r="R47" s="4629"/>
      <c r="S47" s="4673"/>
      <c r="T47" s="4679"/>
      <c r="U47" s="4679"/>
      <c r="V47" s="4679"/>
      <c r="W47" s="4679"/>
      <c r="X47" s="4679"/>
      <c r="Y47" s="4680"/>
      <c r="Z47" s="4629"/>
      <c r="AA47" s="4678"/>
      <c r="AB47" s="4679"/>
      <c r="AC47" s="4679"/>
      <c r="AD47" s="4679"/>
      <c r="AE47" s="4679"/>
      <c r="AF47" s="4679"/>
      <c r="AG47" s="4680"/>
      <c r="AH47" s="4629"/>
      <c r="AI47" s="4673"/>
      <c r="AJ47" s="4679"/>
      <c r="AK47" s="4679"/>
      <c r="AL47" s="4679"/>
      <c r="AM47" s="4679"/>
      <c r="AN47" s="4679"/>
      <c r="AO47" s="4680"/>
      <c r="AP47" s="4629"/>
      <c r="AQ47" s="4678"/>
      <c r="AR47" s="4679"/>
      <c r="AS47" s="4679"/>
      <c r="AT47" s="4679"/>
      <c r="AU47" s="4679"/>
      <c r="AV47" s="4679"/>
      <c r="AW47" s="3952"/>
      <c r="AX47" s="4680"/>
      <c r="AY47" s="4680"/>
      <c r="AZ47" s="4680"/>
      <c r="BA47" s="4680"/>
      <c r="BB47" s="4680"/>
      <c r="BC47" s="4674"/>
      <c r="BD47" s="4674"/>
      <c r="BE47" s="4674"/>
      <c r="BF47" s="4674"/>
      <c r="BG47" s="4674"/>
      <c r="BH47" s="4674"/>
      <c r="BI47" s="1"/>
      <c r="BJ47" s="3952"/>
      <c r="BK47" s="4680"/>
      <c r="BL47" s="4680"/>
      <c r="BM47" s="4680"/>
      <c r="BN47" s="4680"/>
      <c r="BO47" s="4680"/>
      <c r="BP47" s="4628"/>
      <c r="BQ47" s="4628"/>
      <c r="BR47" s="1"/>
      <c r="BS47" s="3382"/>
      <c r="BT47" s="4681"/>
      <c r="BU47" s="4681"/>
      <c r="BV47" s="4681"/>
      <c r="BW47" s="4681"/>
      <c r="BX47" s="4681"/>
      <c r="BY47" s="4628"/>
      <c r="BZ47" s="4628"/>
      <c r="CA47" s="1"/>
      <c r="CB47" s="4668"/>
      <c r="CC47" s="4668"/>
      <c r="CD47" s="4668"/>
      <c r="CE47" s="4668"/>
      <c r="CF47" s="4668"/>
      <c r="CG47" s="4662"/>
      <c r="CH47" s="1"/>
      <c r="CI47" s="1"/>
      <c r="CJ47" s="1"/>
      <c r="CK47" s="1"/>
      <c r="CL47" s="1"/>
      <c r="CM47" s="1"/>
      <c r="CN47" s="1"/>
      <c r="CO47" s="1"/>
    </row>
    <row r="48" spans="1:93" ht="13.2">
      <c r="A48" s="4669"/>
      <c r="B48" s="4670"/>
      <c r="C48" s="3952"/>
      <c r="D48" s="3952"/>
      <c r="E48" s="3952"/>
      <c r="F48" s="3952"/>
      <c r="G48" s="3952"/>
      <c r="H48" s="3952"/>
      <c r="I48" s="3952"/>
      <c r="J48" s="4628"/>
      <c r="K48" s="3952"/>
      <c r="L48" s="3952"/>
      <c r="M48" s="3952"/>
      <c r="N48" s="3952"/>
      <c r="O48" s="3952"/>
      <c r="P48" s="3952"/>
      <c r="Q48" s="3952"/>
      <c r="R48" s="4629"/>
      <c r="S48" s="3952"/>
      <c r="T48" s="3952"/>
      <c r="U48" s="3952"/>
      <c r="V48" s="3952"/>
      <c r="W48" s="3952"/>
      <c r="X48" s="3952"/>
      <c r="Y48" s="3952"/>
      <c r="Z48" s="4629"/>
      <c r="AA48" s="3952"/>
      <c r="AB48" s="3952"/>
      <c r="AC48" s="3952"/>
      <c r="AD48" s="3952"/>
      <c r="AE48" s="3952"/>
      <c r="AF48" s="3952"/>
      <c r="AG48" s="3952"/>
      <c r="AH48" s="4629"/>
      <c r="AI48" s="3952"/>
      <c r="AJ48" s="3952"/>
      <c r="AK48" s="3952"/>
      <c r="AL48" s="3952"/>
      <c r="AM48" s="3952"/>
      <c r="AN48" s="3952"/>
      <c r="AO48" s="3952"/>
      <c r="AP48" s="4629"/>
      <c r="AQ48" s="4678"/>
      <c r="AR48" s="4683"/>
      <c r="AS48" s="4683"/>
      <c r="AT48" s="4683"/>
      <c r="AU48" s="4683"/>
      <c r="AV48" s="4683"/>
      <c r="AW48" s="3952"/>
      <c r="AX48" s="4680"/>
      <c r="AY48" s="4680"/>
      <c r="AZ48" s="4680"/>
      <c r="BA48" s="4680"/>
      <c r="BB48" s="4680"/>
      <c r="BC48" s="4674"/>
      <c r="BD48" s="4674"/>
      <c r="BE48" s="4674"/>
      <c r="BF48" s="4674"/>
      <c r="BG48" s="4674"/>
      <c r="BH48" s="4674"/>
      <c r="BI48" s="1"/>
      <c r="BJ48" s="3952"/>
      <c r="BK48" s="4680"/>
      <c r="BL48" s="4680"/>
      <c r="BM48" s="4680"/>
      <c r="BN48" s="4680"/>
      <c r="BO48" s="4680"/>
      <c r="BP48" s="4628"/>
      <c r="BQ48" s="4628"/>
      <c r="BR48" s="1"/>
      <c r="BS48" s="1"/>
      <c r="BT48" s="1"/>
      <c r="BU48" s="1"/>
      <c r="BV48" s="1"/>
      <c r="BW48" s="1"/>
      <c r="BX48" s="1"/>
      <c r="BY48" s="4628"/>
      <c r="BZ48" s="4628"/>
      <c r="CA48" s="1"/>
      <c r="CB48" s="4668"/>
      <c r="CC48" s="4668"/>
      <c r="CD48" s="4668"/>
      <c r="CE48" s="4668"/>
      <c r="CF48" s="4668"/>
      <c r="CG48" s="4662"/>
      <c r="CH48" s="1"/>
      <c r="CI48" s="1"/>
      <c r="CJ48" s="1"/>
      <c r="CK48" s="1"/>
      <c r="CL48" s="1"/>
      <c r="CM48" s="1"/>
      <c r="CN48" s="1"/>
      <c r="CO48" s="1"/>
    </row>
    <row r="49" spans="1:93" ht="13.2">
      <c r="A49" s="4669"/>
      <c r="B49" s="4670"/>
      <c r="C49" s="2054"/>
      <c r="D49" s="2054"/>
      <c r="E49" s="2054"/>
      <c r="F49" s="2054"/>
      <c r="G49" s="2054"/>
      <c r="H49" s="2054"/>
      <c r="I49" s="2054"/>
      <c r="J49" s="4631"/>
      <c r="K49" s="2054"/>
      <c r="L49" s="2054"/>
      <c r="M49" s="2054"/>
      <c r="N49" s="2054"/>
      <c r="O49" s="2054"/>
      <c r="P49" s="2054"/>
      <c r="Q49" s="4630"/>
      <c r="R49" s="4630"/>
      <c r="S49" s="3952"/>
      <c r="T49" s="3952"/>
      <c r="U49" s="3952"/>
      <c r="V49" s="3952"/>
      <c r="W49" s="3952"/>
      <c r="X49" s="3952"/>
      <c r="Y49" s="2054"/>
      <c r="Z49" s="4629"/>
      <c r="AA49" s="2054"/>
      <c r="AB49" s="2054"/>
      <c r="AC49" s="2054"/>
      <c r="AD49" s="2054"/>
      <c r="AE49" s="2054"/>
      <c r="AF49" s="2054"/>
      <c r="AG49" s="4630"/>
      <c r="AH49" s="4630"/>
      <c r="AI49" s="2054"/>
      <c r="AJ49" s="2054"/>
      <c r="AK49" s="2054"/>
      <c r="AL49" s="2054"/>
      <c r="AM49" s="2054"/>
      <c r="AN49" s="2054"/>
      <c r="AO49" s="4630"/>
      <c r="AP49" s="4630"/>
      <c r="AQ49" s="2054"/>
      <c r="AR49" s="2054"/>
      <c r="AS49" s="2054"/>
      <c r="AT49" s="2054"/>
      <c r="AU49" s="2054"/>
      <c r="AV49" s="2054"/>
      <c r="AW49" s="3952"/>
      <c r="AX49" s="4680"/>
      <c r="AY49" s="4680"/>
      <c r="AZ49" s="4680"/>
      <c r="BA49" s="4680"/>
      <c r="BB49" s="4680"/>
      <c r="BC49" s="4674"/>
      <c r="BD49" s="4674"/>
      <c r="BE49" s="4674"/>
      <c r="BF49" s="4674"/>
      <c r="BG49" s="4674"/>
      <c r="BH49" s="4674"/>
      <c r="BI49" s="1"/>
      <c r="BJ49" s="3952"/>
      <c r="BK49" s="4680"/>
      <c r="BL49" s="4680"/>
      <c r="BM49" s="4680"/>
      <c r="BN49" s="4680"/>
      <c r="BO49" s="4680"/>
      <c r="BP49" s="4628"/>
      <c r="BQ49" s="4628"/>
      <c r="BR49" s="1"/>
      <c r="BS49" s="1"/>
      <c r="BT49" s="1"/>
      <c r="BU49" s="1"/>
      <c r="BV49" s="1"/>
      <c r="BW49" s="1"/>
      <c r="BX49" s="1"/>
      <c r="BY49" s="4631"/>
      <c r="BZ49" s="4631"/>
      <c r="CA49" s="1"/>
      <c r="CB49" s="4668"/>
      <c r="CC49" s="4668"/>
      <c r="CD49" s="4668"/>
      <c r="CE49" s="4668"/>
      <c r="CF49" s="4668"/>
      <c r="CG49" s="4662"/>
      <c r="CH49" s="1"/>
      <c r="CI49" s="1"/>
      <c r="CJ49" s="1"/>
      <c r="CK49" s="1"/>
      <c r="CL49" s="1"/>
      <c r="CM49" s="1"/>
      <c r="CN49" s="1"/>
      <c r="CO49" s="1"/>
    </row>
    <row r="50" spans="1:93" ht="13.2">
      <c r="A50" s="4669"/>
      <c r="B50" s="4670"/>
      <c r="C50" s="2054"/>
      <c r="D50" s="2054"/>
      <c r="E50" s="2054"/>
      <c r="F50" s="2054"/>
      <c r="G50" s="2054"/>
      <c r="H50" s="2054"/>
      <c r="I50" s="2054"/>
      <c r="J50" s="4631"/>
      <c r="K50" s="2054"/>
      <c r="L50" s="2054"/>
      <c r="M50" s="2054"/>
      <c r="N50" s="2054"/>
      <c r="O50" s="2054"/>
      <c r="P50" s="2054"/>
      <c r="Q50" s="4630"/>
      <c r="R50" s="4630"/>
      <c r="S50" s="3952"/>
      <c r="T50" s="3952"/>
      <c r="U50" s="3952"/>
      <c r="V50" s="3952"/>
      <c r="W50" s="3952"/>
      <c r="X50" s="3952"/>
      <c r="Y50" s="2054"/>
      <c r="Z50" s="4629"/>
      <c r="AA50" s="2054"/>
      <c r="AB50" s="2054"/>
      <c r="AC50" s="2054"/>
      <c r="AD50" s="2054"/>
      <c r="AE50" s="2054"/>
      <c r="AF50" s="2054"/>
      <c r="AG50" s="4630"/>
      <c r="AH50" s="4630"/>
      <c r="AI50" s="2054"/>
      <c r="AJ50" s="2054"/>
      <c r="AK50" s="2054"/>
      <c r="AL50" s="2054"/>
      <c r="AM50" s="2054"/>
      <c r="AN50" s="2054"/>
      <c r="AO50" s="4630"/>
      <c r="AP50" s="4630"/>
      <c r="AQ50" s="2054"/>
      <c r="AR50" s="2054"/>
      <c r="AS50" s="2054"/>
      <c r="AT50" s="2054"/>
      <c r="AU50" s="2054"/>
      <c r="AV50" s="2054"/>
      <c r="AW50" s="3952"/>
      <c r="AX50" s="4680"/>
      <c r="AY50" s="4680"/>
      <c r="AZ50" s="4680"/>
      <c r="BA50" s="4680"/>
      <c r="BB50" s="4680"/>
      <c r="BC50" s="4674"/>
      <c r="BD50" s="4674"/>
      <c r="BE50" s="4674"/>
      <c r="BF50" s="4674"/>
      <c r="BG50" s="4674"/>
      <c r="BH50" s="4674"/>
      <c r="BI50" s="1"/>
      <c r="BJ50" s="3952"/>
      <c r="BK50" s="4680"/>
      <c r="BL50" s="4680"/>
      <c r="BM50" s="4680"/>
      <c r="BN50" s="4680"/>
      <c r="BO50" s="4680"/>
      <c r="BP50" s="4628"/>
      <c r="BQ50" s="4628"/>
      <c r="BR50" s="1"/>
      <c r="BS50" s="1"/>
      <c r="BT50" s="1"/>
      <c r="BU50" s="1"/>
      <c r="BV50" s="1"/>
      <c r="BW50" s="1"/>
      <c r="BX50" s="1"/>
      <c r="BY50" s="4631"/>
      <c r="BZ50" s="4631"/>
      <c r="CA50" s="1"/>
      <c r="CB50" s="4668"/>
      <c r="CC50" s="4668"/>
      <c r="CD50" s="4668"/>
      <c r="CE50" s="4668"/>
      <c r="CF50" s="4668"/>
      <c r="CG50" s="4662"/>
      <c r="CH50" s="1"/>
      <c r="CI50" s="1"/>
      <c r="CJ50" s="1"/>
      <c r="CK50" s="1"/>
      <c r="CL50" s="1"/>
      <c r="CM50" s="1"/>
      <c r="CN50" s="1"/>
      <c r="CO50" s="1"/>
    </row>
    <row r="51" spans="1:93" ht="13.2">
      <c r="A51" s="4669"/>
      <c r="B51" s="4670"/>
      <c r="C51" s="3952"/>
      <c r="D51" s="3952"/>
      <c r="E51" s="3952"/>
      <c r="F51" s="3952"/>
      <c r="G51" s="3952"/>
      <c r="H51" s="3952"/>
      <c r="I51" s="3952"/>
      <c r="J51" s="4628"/>
      <c r="K51" s="3952"/>
      <c r="L51" s="3952"/>
      <c r="M51" s="3952"/>
      <c r="N51" s="3952"/>
      <c r="O51" s="3952"/>
      <c r="P51" s="3952"/>
      <c r="Q51" s="3952"/>
      <c r="R51" s="4629"/>
      <c r="S51" s="3952"/>
      <c r="T51" s="3952"/>
      <c r="U51" s="3952"/>
      <c r="V51" s="3952"/>
      <c r="W51" s="3952"/>
      <c r="X51" s="3952"/>
      <c r="Y51" s="3952"/>
      <c r="Z51" s="4629"/>
      <c r="AA51" s="3952"/>
      <c r="AB51" s="3952"/>
      <c r="AC51" s="3952"/>
      <c r="AD51" s="3952"/>
      <c r="AE51" s="3952"/>
      <c r="AF51" s="3952"/>
      <c r="AG51" s="3952"/>
      <c r="AH51" s="4629"/>
      <c r="AI51" s="3952"/>
      <c r="AJ51" s="3952"/>
      <c r="AK51" s="3952"/>
      <c r="AL51" s="3952"/>
      <c r="AM51" s="3952"/>
      <c r="AN51" s="3952"/>
      <c r="AO51" s="3952"/>
      <c r="AP51" s="4629"/>
      <c r="AQ51" s="3952"/>
      <c r="AR51" s="3952"/>
      <c r="AS51" s="3952"/>
      <c r="AT51" s="3952"/>
      <c r="AU51" s="3952"/>
      <c r="AV51" s="3952"/>
      <c r="AW51" s="3952"/>
      <c r="AX51" s="3952"/>
      <c r="AY51" s="3952"/>
      <c r="AZ51" s="3952"/>
      <c r="BA51" s="3952"/>
      <c r="BB51" s="3952"/>
      <c r="BC51" s="3952"/>
      <c r="BD51" s="3952"/>
      <c r="BE51" s="3952"/>
      <c r="BF51" s="3952"/>
      <c r="BG51" s="3952"/>
      <c r="BH51" s="3952"/>
      <c r="BI51" s="1"/>
      <c r="BJ51" s="3952"/>
      <c r="BK51" s="3952"/>
      <c r="BL51" s="3952"/>
      <c r="BM51" s="3952"/>
      <c r="BN51" s="3952"/>
      <c r="BO51" s="3952"/>
      <c r="BP51" s="4628"/>
      <c r="BQ51" s="4628"/>
      <c r="BR51" s="1"/>
      <c r="BS51" s="1"/>
      <c r="BT51" s="1"/>
      <c r="BU51" s="1"/>
      <c r="BV51" s="1"/>
      <c r="BW51" s="1"/>
      <c r="BX51" s="1"/>
      <c r="BY51" s="4628"/>
      <c r="BZ51" s="4628"/>
      <c r="CA51" s="1"/>
      <c r="CB51" s="4668"/>
      <c r="CC51" s="4668"/>
      <c r="CD51" s="4668"/>
      <c r="CE51" s="4668"/>
      <c r="CF51" s="4668"/>
      <c r="CG51" s="4662"/>
      <c r="CH51" s="1"/>
      <c r="CI51" s="1"/>
      <c r="CJ51" s="1"/>
      <c r="CK51" s="1"/>
      <c r="CL51" s="1"/>
      <c r="CM51" s="1"/>
      <c r="CN51" s="1"/>
      <c r="CO51" s="1"/>
    </row>
    <row r="52" spans="1:93" s="4675" customFormat="1" ht="13.2">
      <c r="A52" s="4671"/>
      <c r="B52" s="4684"/>
      <c r="C52" s="4678"/>
      <c r="D52" s="4679"/>
      <c r="E52" s="4679"/>
      <c r="F52" s="4679"/>
      <c r="G52" s="4679"/>
      <c r="H52" s="4679"/>
      <c r="I52" s="4680"/>
      <c r="J52" s="4628"/>
      <c r="K52" s="4673"/>
      <c r="L52" s="4679"/>
      <c r="M52" s="4679"/>
      <c r="N52" s="4679"/>
      <c r="O52" s="4679"/>
      <c r="P52" s="4679"/>
      <c r="Q52" s="4680"/>
      <c r="R52" s="4629"/>
      <c r="S52" s="4673"/>
      <c r="T52" s="4679"/>
      <c r="U52" s="4679"/>
      <c r="V52" s="4679"/>
      <c r="W52" s="4679"/>
      <c r="X52" s="4679"/>
      <c r="Y52" s="4680"/>
      <c r="Z52" s="4629"/>
      <c r="AA52" s="4678"/>
      <c r="AB52" s="4679"/>
      <c r="AC52" s="4679"/>
      <c r="AD52" s="4679"/>
      <c r="AE52" s="4679"/>
      <c r="AF52" s="4679"/>
      <c r="AG52" s="4680"/>
      <c r="AH52" s="4629"/>
      <c r="AI52" s="4673"/>
      <c r="AJ52" s="4679"/>
      <c r="AK52" s="4679"/>
      <c r="AL52" s="4679"/>
      <c r="AM52" s="4679"/>
      <c r="AN52" s="4679"/>
      <c r="AO52" s="4680"/>
      <c r="AP52" s="4629"/>
      <c r="AQ52" s="4678"/>
      <c r="AR52" s="4679"/>
      <c r="AS52" s="4679"/>
      <c r="AT52" s="4679"/>
      <c r="AU52" s="4679"/>
      <c r="AV52" s="4679"/>
      <c r="AW52" s="3952"/>
      <c r="AX52" s="4680"/>
      <c r="AY52" s="4680"/>
      <c r="AZ52" s="4680"/>
      <c r="BA52" s="4680"/>
      <c r="BB52" s="4680"/>
      <c r="BC52" s="4674"/>
      <c r="BD52" s="4674"/>
      <c r="BE52" s="4674"/>
      <c r="BF52" s="4674"/>
      <c r="BG52" s="4674"/>
      <c r="BH52" s="4674"/>
      <c r="BI52" s="1"/>
      <c r="BJ52" s="3952"/>
      <c r="BK52" s="4680"/>
      <c r="BL52" s="4680"/>
      <c r="BM52" s="4680"/>
      <c r="BN52" s="4680"/>
      <c r="BO52" s="4680"/>
      <c r="BP52" s="4628"/>
      <c r="BQ52" s="4628"/>
      <c r="BR52" s="1"/>
      <c r="BS52" s="3382"/>
      <c r="BT52" s="4681"/>
      <c r="BU52" s="4681"/>
      <c r="BV52" s="4681"/>
      <c r="BW52" s="4681"/>
      <c r="BX52" s="4681"/>
      <c r="BY52" s="4628"/>
      <c r="BZ52" s="4628"/>
      <c r="CA52" s="1"/>
      <c r="CB52" s="4685"/>
      <c r="CC52" s="4685"/>
      <c r="CD52" s="4685"/>
      <c r="CE52" s="4685"/>
      <c r="CF52" s="4685"/>
      <c r="CG52" s="4689"/>
      <c r="CH52" s="1"/>
      <c r="CI52" s="1"/>
      <c r="CJ52" s="1"/>
      <c r="CK52" s="1"/>
      <c r="CL52" s="1"/>
      <c r="CM52" s="1"/>
      <c r="CN52" s="1"/>
      <c r="CO52" s="1"/>
    </row>
    <row r="53" spans="1:93" s="4675" customFormat="1" ht="13.2">
      <c r="A53" s="4671"/>
      <c r="B53" s="4673"/>
      <c r="C53" s="4678"/>
      <c r="D53" s="4679"/>
      <c r="E53" s="4679"/>
      <c r="F53" s="4679"/>
      <c r="G53" s="4679"/>
      <c r="H53" s="4679"/>
      <c r="I53" s="4680"/>
      <c r="J53" s="4628"/>
      <c r="K53" s="4678"/>
      <c r="L53" s="4679"/>
      <c r="M53" s="4679"/>
      <c r="N53" s="4679"/>
      <c r="O53" s="4679"/>
      <c r="P53" s="4679"/>
      <c r="Q53" s="4680"/>
      <c r="R53" s="4629"/>
      <c r="S53" s="4678"/>
      <c r="T53" s="4679"/>
      <c r="U53" s="4679"/>
      <c r="V53" s="4679"/>
      <c r="W53" s="4679"/>
      <c r="X53" s="4679"/>
      <c r="Y53" s="4680"/>
      <c r="Z53" s="4629"/>
      <c r="AA53" s="4678"/>
      <c r="AB53" s="4679"/>
      <c r="AC53" s="4679"/>
      <c r="AD53" s="4679"/>
      <c r="AE53" s="4679"/>
      <c r="AF53" s="4679"/>
      <c r="AG53" s="4680"/>
      <c r="AH53" s="4629"/>
      <c r="AI53" s="4678"/>
      <c r="AJ53" s="4679"/>
      <c r="AK53" s="4679"/>
      <c r="AL53" s="4679"/>
      <c r="AM53" s="4679"/>
      <c r="AN53" s="4679"/>
      <c r="AO53" s="4680"/>
      <c r="AP53" s="4629"/>
      <c r="AQ53" s="4678"/>
      <c r="AR53" s="4679"/>
      <c r="AS53" s="4679"/>
      <c r="AT53" s="4679"/>
      <c r="AU53" s="4679"/>
      <c r="AV53" s="4679"/>
      <c r="AW53" s="3952"/>
      <c r="AX53" s="4680"/>
      <c r="AY53" s="4680"/>
      <c r="AZ53" s="4680"/>
      <c r="BA53" s="4680"/>
      <c r="BB53" s="4680"/>
      <c r="BC53" s="4674"/>
      <c r="BD53" s="4674"/>
      <c r="BE53" s="4674"/>
      <c r="BF53" s="4674"/>
      <c r="BG53" s="4674"/>
      <c r="BH53" s="4674"/>
      <c r="BI53" s="1"/>
      <c r="BJ53" s="3952"/>
      <c r="BK53" s="4680"/>
      <c r="BL53" s="4680"/>
      <c r="BM53" s="4680"/>
      <c r="BN53" s="4680"/>
      <c r="BO53" s="4680"/>
      <c r="BP53" s="4628"/>
      <c r="BQ53" s="4628"/>
      <c r="BR53" s="1"/>
      <c r="BS53" s="1"/>
      <c r="BT53" s="1"/>
      <c r="BU53" s="1"/>
      <c r="BV53" s="1"/>
      <c r="BW53" s="1"/>
      <c r="BX53" s="1"/>
      <c r="BY53" s="4628"/>
      <c r="BZ53" s="4628"/>
      <c r="CA53" s="1"/>
      <c r="CB53" s="4668"/>
      <c r="CC53" s="4668"/>
      <c r="CD53" s="4668"/>
      <c r="CE53" s="4668"/>
      <c r="CF53" s="4668"/>
      <c r="CG53" s="4662"/>
      <c r="CH53" s="1"/>
      <c r="CI53" s="1"/>
      <c r="CJ53" s="1"/>
      <c r="CK53" s="1"/>
      <c r="CL53" s="1"/>
      <c r="CM53" s="1"/>
      <c r="CN53" s="1"/>
      <c r="CO53" s="1"/>
    </row>
    <row r="54" spans="1:93" s="4675" customFormat="1" ht="13.2">
      <c r="A54" s="4671"/>
      <c r="B54" s="4673"/>
      <c r="C54" s="4678"/>
      <c r="D54" s="4679"/>
      <c r="E54" s="4679"/>
      <c r="F54" s="4679"/>
      <c r="G54" s="4679"/>
      <c r="H54" s="4679"/>
      <c r="I54" s="4680"/>
      <c r="J54" s="4628"/>
      <c r="K54" s="4678"/>
      <c r="L54" s="4679"/>
      <c r="M54" s="4679"/>
      <c r="N54" s="4679"/>
      <c r="O54" s="4679"/>
      <c r="P54" s="4679"/>
      <c r="Q54" s="4680"/>
      <c r="R54" s="4629"/>
      <c r="S54" s="4678"/>
      <c r="T54" s="4679"/>
      <c r="U54" s="4679"/>
      <c r="V54" s="4679"/>
      <c r="W54" s="4679"/>
      <c r="X54" s="4679"/>
      <c r="Y54" s="4680"/>
      <c r="Z54" s="4629"/>
      <c r="AA54" s="4678"/>
      <c r="AB54" s="4679"/>
      <c r="AC54" s="4679"/>
      <c r="AD54" s="4679"/>
      <c r="AE54" s="4679"/>
      <c r="AF54" s="4679"/>
      <c r="AG54" s="4680"/>
      <c r="AH54" s="4629"/>
      <c r="AI54" s="4678"/>
      <c r="AJ54" s="4679"/>
      <c r="AK54" s="4679"/>
      <c r="AL54" s="4679"/>
      <c r="AM54" s="4679"/>
      <c r="AN54" s="4679"/>
      <c r="AO54" s="4680"/>
      <c r="AP54" s="4629"/>
      <c r="AQ54" s="4678"/>
      <c r="AR54" s="4679"/>
      <c r="AS54" s="4679"/>
      <c r="AT54" s="4679"/>
      <c r="AU54" s="4679"/>
      <c r="AV54" s="4679"/>
      <c r="AW54" s="3952"/>
      <c r="AX54" s="4680"/>
      <c r="AY54" s="4680"/>
      <c r="AZ54" s="4680"/>
      <c r="BA54" s="4680"/>
      <c r="BB54" s="4680"/>
      <c r="BC54" s="4674"/>
      <c r="BD54" s="4674"/>
      <c r="BE54" s="4674"/>
      <c r="BF54" s="4674"/>
      <c r="BG54" s="4674"/>
      <c r="BH54" s="4674"/>
      <c r="BI54" s="1"/>
      <c r="BJ54" s="3952"/>
      <c r="BK54" s="4680"/>
      <c r="BL54" s="4680"/>
      <c r="BM54" s="4680"/>
      <c r="BN54" s="4680"/>
      <c r="BO54" s="4680"/>
      <c r="BP54" s="4628"/>
      <c r="BQ54" s="4628"/>
      <c r="BR54" s="1"/>
      <c r="BS54" s="1"/>
      <c r="BT54" s="1"/>
      <c r="BU54" s="1"/>
      <c r="BV54" s="1"/>
      <c r="BW54" s="1"/>
      <c r="BX54" s="1"/>
      <c r="BY54" s="4628"/>
      <c r="BZ54" s="4628"/>
      <c r="CA54" s="1"/>
      <c r="CB54" s="659"/>
      <c r="CC54" s="659"/>
      <c r="CD54" s="659"/>
      <c r="CE54" s="659"/>
      <c r="CF54" s="659"/>
      <c r="CG54" s="4662"/>
      <c r="CH54" s="1"/>
      <c r="CI54" s="1"/>
      <c r="CJ54" s="1"/>
      <c r="CK54" s="1"/>
      <c r="CL54" s="1"/>
      <c r="CM54" s="1"/>
      <c r="CN54" s="1"/>
      <c r="CO54" s="1"/>
    </row>
    <row r="55" spans="1:93" ht="13.2">
      <c r="A55" s="4666"/>
      <c r="B55" s="4666"/>
      <c r="C55" s="4667"/>
      <c r="D55" s="4667"/>
      <c r="E55" s="4667"/>
      <c r="F55" s="4667"/>
      <c r="G55" s="4667"/>
      <c r="H55" s="4667"/>
      <c r="I55" s="4667"/>
      <c r="J55" s="4632"/>
      <c r="K55" s="4667"/>
      <c r="L55" s="4667"/>
      <c r="M55" s="4667"/>
      <c r="N55" s="4667"/>
      <c r="O55" s="4667"/>
      <c r="P55" s="4667"/>
      <c r="Q55" s="4667"/>
      <c r="R55" s="4633"/>
      <c r="S55" s="4667"/>
      <c r="T55" s="4667"/>
      <c r="U55" s="4667"/>
      <c r="V55" s="4667"/>
      <c r="W55" s="4667"/>
      <c r="X55" s="4667"/>
      <c r="Y55" s="4667"/>
      <c r="Z55" s="4633"/>
      <c r="AA55" s="4667"/>
      <c r="AB55" s="4667"/>
      <c r="AC55" s="4667"/>
      <c r="AD55" s="4667"/>
      <c r="AE55" s="4667"/>
      <c r="AF55" s="4667"/>
      <c r="AG55" s="4667"/>
      <c r="AH55" s="4633"/>
      <c r="AI55" s="4667"/>
      <c r="AJ55" s="4667"/>
      <c r="AK55" s="4667"/>
      <c r="AL55" s="4667"/>
      <c r="AM55" s="4667"/>
      <c r="AN55" s="4667"/>
      <c r="AO55" s="4667"/>
      <c r="AP55" s="4633"/>
      <c r="AQ55" s="4667"/>
      <c r="AR55" s="4667"/>
      <c r="AS55" s="4667"/>
      <c r="AT55" s="4667"/>
      <c r="AU55" s="4667"/>
      <c r="AV55" s="4667"/>
      <c r="AW55" s="4667"/>
      <c r="AX55" s="4667"/>
      <c r="AY55" s="4667"/>
      <c r="AZ55" s="4667"/>
      <c r="BA55" s="4667"/>
      <c r="BB55" s="4667"/>
      <c r="BC55" s="4667"/>
      <c r="BD55" s="4667"/>
      <c r="BE55" s="4667"/>
      <c r="BF55" s="4667"/>
      <c r="BG55" s="4667"/>
      <c r="BH55" s="4667"/>
      <c r="BI55" s="1"/>
      <c r="BJ55" s="4667"/>
      <c r="BK55" s="4667"/>
      <c r="BL55" s="4667"/>
      <c r="BM55" s="4667"/>
      <c r="BN55" s="4667"/>
      <c r="BO55" s="4667"/>
      <c r="BP55" s="4632"/>
      <c r="BQ55" s="4632"/>
      <c r="BR55" s="1"/>
      <c r="BS55" s="1"/>
      <c r="BT55" s="1"/>
      <c r="BU55" s="1"/>
      <c r="BV55" s="1"/>
      <c r="BW55" s="1"/>
      <c r="BX55" s="1"/>
      <c r="BY55" s="4632"/>
      <c r="BZ55" s="4632"/>
      <c r="CA55" s="1"/>
      <c r="CB55" s="4690"/>
      <c r="CC55" s="4690"/>
      <c r="CD55" s="4690"/>
      <c r="CE55" s="4690"/>
      <c r="CF55" s="4690"/>
      <c r="CG55" s="4691"/>
      <c r="CH55" s="1"/>
      <c r="CI55" s="1"/>
      <c r="CJ55" s="1"/>
      <c r="CK55" s="1"/>
      <c r="CL55" s="1"/>
      <c r="CM55" s="1"/>
      <c r="CN55" s="1"/>
      <c r="CO55" s="1"/>
    </row>
    <row r="56" spans="1:93" ht="13.2">
      <c r="A56" s="4670"/>
      <c r="B56" s="4670"/>
      <c r="C56" s="3952"/>
      <c r="D56" s="3952"/>
      <c r="E56" s="3952"/>
      <c r="F56" s="3952"/>
      <c r="G56" s="3952"/>
      <c r="H56" s="3952"/>
      <c r="I56" s="3952"/>
      <c r="J56" s="4628"/>
      <c r="K56" s="3952"/>
      <c r="L56" s="3952"/>
      <c r="M56" s="3952"/>
      <c r="N56" s="3952"/>
      <c r="O56" s="3952"/>
      <c r="P56" s="3952"/>
      <c r="Q56" s="3952"/>
      <c r="R56" s="4629"/>
      <c r="S56" s="3952"/>
      <c r="T56" s="3952"/>
      <c r="U56" s="3952"/>
      <c r="V56" s="3952"/>
      <c r="W56" s="3952"/>
      <c r="X56" s="3952"/>
      <c r="Y56" s="3952"/>
      <c r="Z56" s="4629"/>
      <c r="AA56" s="3952"/>
      <c r="AB56" s="3952"/>
      <c r="AC56" s="3952"/>
      <c r="AD56" s="3952"/>
      <c r="AE56" s="3952"/>
      <c r="AF56" s="3952"/>
      <c r="AG56" s="3952"/>
      <c r="AH56" s="4629"/>
      <c r="AI56" s="3952"/>
      <c r="AJ56" s="3952"/>
      <c r="AK56" s="3952"/>
      <c r="AL56" s="3952"/>
      <c r="AM56" s="3952"/>
      <c r="AN56" s="3952"/>
      <c r="AO56" s="3952"/>
      <c r="AP56" s="4629"/>
      <c r="AQ56" s="3952"/>
      <c r="AR56" s="4678"/>
      <c r="AS56" s="4678"/>
      <c r="AT56" s="4678"/>
      <c r="AU56" s="4678"/>
      <c r="AV56" s="4678"/>
      <c r="AW56" s="3952"/>
      <c r="AX56" s="4680"/>
      <c r="AY56" s="4680"/>
      <c r="AZ56" s="4680"/>
      <c r="BA56" s="4680"/>
      <c r="BB56" s="4680"/>
      <c r="BC56" s="4674"/>
      <c r="BD56" s="4674"/>
      <c r="BE56" s="4674"/>
      <c r="BF56" s="4674"/>
      <c r="BG56" s="4674"/>
      <c r="BH56" s="4674"/>
      <c r="BI56" s="1"/>
      <c r="BJ56" s="3952"/>
      <c r="BK56" s="4680"/>
      <c r="BL56" s="4680"/>
      <c r="BM56" s="4680"/>
      <c r="BN56" s="4680"/>
      <c r="BO56" s="4680"/>
      <c r="BP56" s="4628"/>
      <c r="BQ56" s="4628"/>
      <c r="BR56" s="1"/>
      <c r="BS56" s="1"/>
      <c r="BT56" s="1"/>
      <c r="BU56" s="1"/>
      <c r="BV56" s="1"/>
      <c r="BW56" s="1"/>
      <c r="BX56" s="1"/>
      <c r="BY56" s="4628"/>
      <c r="BZ56" s="4628"/>
      <c r="CA56" s="1"/>
      <c r="CB56" s="659"/>
      <c r="CC56" s="659"/>
      <c r="CD56" s="659"/>
      <c r="CE56" s="659"/>
      <c r="CF56" s="659"/>
      <c r="CG56" s="4662"/>
      <c r="CH56" s="1"/>
      <c r="CI56" s="1"/>
      <c r="CJ56" s="1"/>
      <c r="CK56" s="1"/>
      <c r="CL56" s="1"/>
      <c r="CM56" s="1"/>
      <c r="CN56" s="1"/>
      <c r="CO56" s="1"/>
    </row>
    <row r="57" spans="1:93" ht="13.2">
      <c r="A57" s="4670"/>
      <c r="B57" s="4670"/>
      <c r="C57" s="3952"/>
      <c r="D57" s="3952"/>
      <c r="E57" s="3952"/>
      <c r="F57" s="3952"/>
      <c r="G57" s="3952"/>
      <c r="H57" s="3952"/>
      <c r="I57" s="3952"/>
      <c r="J57" s="4628"/>
      <c r="K57" s="3952"/>
      <c r="L57" s="3952"/>
      <c r="M57" s="3952"/>
      <c r="N57" s="3952"/>
      <c r="O57" s="3952"/>
      <c r="P57" s="3952"/>
      <c r="Q57" s="3952"/>
      <c r="R57" s="4629"/>
      <c r="S57" s="3952"/>
      <c r="T57" s="3952"/>
      <c r="U57" s="3952"/>
      <c r="V57" s="3952"/>
      <c r="W57" s="3952"/>
      <c r="X57" s="3952"/>
      <c r="Y57" s="3952"/>
      <c r="Z57" s="4629"/>
      <c r="AA57" s="3952"/>
      <c r="AB57" s="3952"/>
      <c r="AC57" s="3952"/>
      <c r="AD57" s="3952"/>
      <c r="AE57" s="3952"/>
      <c r="AF57" s="3952"/>
      <c r="AG57" s="3952"/>
      <c r="AH57" s="4629"/>
      <c r="AI57" s="3952"/>
      <c r="AJ57" s="3952"/>
      <c r="AK57" s="3952"/>
      <c r="AL57" s="3952"/>
      <c r="AM57" s="3952"/>
      <c r="AN57" s="3952"/>
      <c r="AO57" s="3952"/>
      <c r="AP57" s="4629"/>
      <c r="AQ57" s="3952"/>
      <c r="AR57" s="4678"/>
      <c r="AS57" s="4678"/>
      <c r="AT57" s="4678"/>
      <c r="AU57" s="4678"/>
      <c r="AV57" s="4678"/>
      <c r="AW57" s="3952"/>
      <c r="AX57" s="4680"/>
      <c r="AY57" s="4680"/>
      <c r="AZ57" s="4680"/>
      <c r="BA57" s="4680"/>
      <c r="BB57" s="4680"/>
      <c r="BC57" s="4674"/>
      <c r="BD57" s="4674"/>
      <c r="BE57" s="4674"/>
      <c r="BF57" s="4674"/>
      <c r="BG57" s="4674"/>
      <c r="BH57" s="4674"/>
      <c r="BI57" s="1"/>
      <c r="BJ57" s="3952"/>
      <c r="BK57" s="4680"/>
      <c r="BL57" s="4680"/>
      <c r="BM57" s="4680"/>
      <c r="BN57" s="4680"/>
      <c r="BO57" s="4680"/>
      <c r="BP57" s="4628"/>
      <c r="BQ57" s="4628"/>
      <c r="BR57" s="1"/>
      <c r="BS57" s="1"/>
      <c r="BT57" s="1"/>
      <c r="BU57" s="1"/>
      <c r="BV57" s="1"/>
      <c r="BW57" s="1"/>
      <c r="BX57" s="1"/>
      <c r="BY57" s="4628"/>
      <c r="BZ57" s="4628"/>
      <c r="CA57" s="1"/>
      <c r="CB57" s="659"/>
      <c r="CC57" s="659"/>
      <c r="CD57" s="659"/>
      <c r="CE57" s="659"/>
      <c r="CF57" s="659"/>
      <c r="CG57" s="4662"/>
      <c r="CH57" s="1"/>
      <c r="CI57" s="1"/>
      <c r="CJ57" s="1"/>
      <c r="CK57" s="1"/>
      <c r="CL57" s="1"/>
      <c r="CM57" s="1"/>
      <c r="CN57" s="1"/>
      <c r="CO57" s="1"/>
    </row>
    <row r="58" spans="1:93" ht="13.2">
      <c r="A58" s="4670"/>
      <c r="B58" s="4670"/>
      <c r="C58" s="3952"/>
      <c r="D58" s="3952"/>
      <c r="E58" s="3952"/>
      <c r="F58" s="3952"/>
      <c r="G58" s="3952"/>
      <c r="H58" s="3952"/>
      <c r="I58" s="3952"/>
      <c r="J58" s="4628"/>
      <c r="K58" s="3952"/>
      <c r="L58" s="3952"/>
      <c r="M58" s="3952"/>
      <c r="N58" s="3952"/>
      <c r="O58" s="3952"/>
      <c r="P58" s="3952"/>
      <c r="Q58" s="3952"/>
      <c r="R58" s="4629"/>
      <c r="S58" s="3952"/>
      <c r="T58" s="3952"/>
      <c r="U58" s="3952"/>
      <c r="V58" s="3952"/>
      <c r="W58" s="3952"/>
      <c r="X58" s="3952"/>
      <c r="Y58" s="3952"/>
      <c r="Z58" s="4629"/>
      <c r="AA58" s="3952"/>
      <c r="AB58" s="3952"/>
      <c r="AC58" s="3952"/>
      <c r="AD58" s="3952"/>
      <c r="AE58" s="3952"/>
      <c r="AF58" s="3952"/>
      <c r="AG58" s="3952"/>
      <c r="AH58" s="4629"/>
      <c r="AI58" s="3952"/>
      <c r="AJ58" s="3952"/>
      <c r="AK58" s="3952"/>
      <c r="AL58" s="3952"/>
      <c r="AM58" s="3952"/>
      <c r="AN58" s="3952"/>
      <c r="AO58" s="3952"/>
      <c r="AP58" s="4629"/>
      <c r="AQ58" s="3952"/>
      <c r="AR58" s="4678"/>
      <c r="AS58" s="4678"/>
      <c r="AT58" s="4678"/>
      <c r="AU58" s="4678"/>
      <c r="AV58" s="4678"/>
      <c r="AW58" s="3952"/>
      <c r="AX58" s="4680"/>
      <c r="AY58" s="4680"/>
      <c r="AZ58" s="4680"/>
      <c r="BA58" s="4680"/>
      <c r="BB58" s="4680"/>
      <c r="BC58" s="4674"/>
      <c r="BD58" s="4674"/>
      <c r="BE58" s="4674"/>
      <c r="BF58" s="4674"/>
      <c r="BG58" s="4674"/>
      <c r="BH58" s="4674"/>
      <c r="BI58" s="1"/>
      <c r="BJ58" s="3952"/>
      <c r="BK58" s="4680"/>
      <c r="BL58" s="4680"/>
      <c r="BM58" s="4680"/>
      <c r="BN58" s="4680"/>
      <c r="BO58" s="4680"/>
      <c r="BP58" s="4628"/>
      <c r="BQ58" s="4628"/>
      <c r="BR58" s="1"/>
      <c r="BS58" s="1"/>
      <c r="BT58" s="1"/>
      <c r="BU58" s="1"/>
      <c r="BV58" s="1"/>
      <c r="BW58" s="1"/>
      <c r="BX58" s="1"/>
      <c r="BY58" s="4628"/>
      <c r="BZ58" s="4628"/>
      <c r="CA58" s="1"/>
      <c r="CB58" s="659"/>
      <c r="CC58" s="659"/>
      <c r="CD58" s="659"/>
      <c r="CE58" s="659"/>
      <c r="CF58" s="659"/>
      <c r="CG58" s="4662"/>
      <c r="CH58" s="1"/>
      <c r="CI58" s="1"/>
      <c r="CJ58" s="1"/>
      <c r="CK58" s="1"/>
      <c r="CL58" s="1"/>
      <c r="CM58" s="1"/>
      <c r="CN58" s="1"/>
      <c r="CO58" s="1"/>
    </row>
    <row r="59" spans="1:93" ht="13.2">
      <c r="A59" s="4666"/>
      <c r="B59" s="4666"/>
      <c r="C59" s="4667"/>
      <c r="D59" s="4667"/>
      <c r="E59" s="4667"/>
      <c r="F59" s="4667"/>
      <c r="G59" s="4667"/>
      <c r="H59" s="4667"/>
      <c r="I59" s="4667"/>
      <c r="J59" s="4632"/>
      <c r="K59" s="4667"/>
      <c r="L59" s="4667"/>
      <c r="M59" s="4667"/>
      <c r="N59" s="4667"/>
      <c r="O59" s="4667"/>
      <c r="P59" s="4667"/>
      <c r="Q59" s="4667"/>
      <c r="R59" s="4633"/>
      <c r="S59" s="4667"/>
      <c r="T59" s="4667"/>
      <c r="U59" s="4667"/>
      <c r="V59" s="4667"/>
      <c r="W59" s="4667"/>
      <c r="X59" s="4667"/>
      <c r="Y59" s="4667"/>
      <c r="Z59" s="4633"/>
      <c r="AA59" s="4667"/>
      <c r="AB59" s="4667"/>
      <c r="AC59" s="4667"/>
      <c r="AD59" s="4667"/>
      <c r="AE59" s="4667"/>
      <c r="AF59" s="4667"/>
      <c r="AG59" s="4667"/>
      <c r="AH59" s="4633"/>
      <c r="AI59" s="4667"/>
      <c r="AJ59" s="4667"/>
      <c r="AK59" s="4667"/>
      <c r="AL59" s="4667"/>
      <c r="AM59" s="4667"/>
      <c r="AN59" s="4667"/>
      <c r="AO59" s="4667"/>
      <c r="AP59" s="4633"/>
      <c r="AQ59" s="4667"/>
      <c r="AR59" s="4667"/>
      <c r="AS59" s="4667"/>
      <c r="AT59" s="4667"/>
      <c r="AU59" s="4667"/>
      <c r="AV59" s="4667"/>
      <c r="AW59" s="4667"/>
      <c r="AX59" s="4667"/>
      <c r="AY59" s="4667"/>
      <c r="AZ59" s="4667"/>
      <c r="BA59" s="4667"/>
      <c r="BB59" s="4667"/>
      <c r="BC59" s="4667"/>
      <c r="BD59" s="4667"/>
      <c r="BE59" s="4667"/>
      <c r="BF59" s="4667"/>
      <c r="BG59" s="4667"/>
      <c r="BH59" s="4667"/>
      <c r="BI59" s="1"/>
      <c r="BJ59" s="4667"/>
      <c r="BK59" s="4667"/>
      <c r="BL59" s="4667"/>
      <c r="BM59" s="4667"/>
      <c r="BN59" s="4667"/>
      <c r="BO59" s="4667"/>
      <c r="BP59" s="4632"/>
      <c r="BQ59" s="4632"/>
      <c r="BR59" s="1"/>
      <c r="BS59" s="1"/>
      <c r="BT59" s="1"/>
      <c r="BU59" s="1"/>
      <c r="BV59" s="1"/>
      <c r="BW59" s="1"/>
      <c r="BX59" s="1"/>
      <c r="BY59" s="4632"/>
      <c r="BZ59" s="4632"/>
      <c r="CA59" s="1"/>
      <c r="CB59" s="4692"/>
      <c r="CC59" s="4692"/>
      <c r="CD59" s="4692"/>
      <c r="CE59" s="4692"/>
      <c r="CF59" s="4692"/>
      <c r="CG59" s="4693"/>
      <c r="CH59" s="1"/>
      <c r="CI59" s="1"/>
      <c r="CJ59" s="1"/>
      <c r="CK59" s="1"/>
      <c r="CL59" s="1"/>
      <c r="CM59" s="1"/>
      <c r="CN59" s="1"/>
      <c r="CO59" s="1"/>
    </row>
    <row r="60" spans="1:93" ht="13.2">
      <c r="A60" s="4669"/>
      <c r="B60" s="4670"/>
      <c r="C60" s="3952"/>
      <c r="D60" s="4680"/>
      <c r="E60" s="4680"/>
      <c r="F60" s="4680"/>
      <c r="G60" s="4680"/>
      <c r="H60" s="4680"/>
      <c r="I60" s="4680"/>
      <c r="J60" s="4628"/>
      <c r="K60" s="3952"/>
      <c r="L60" s="4680"/>
      <c r="M60" s="4680"/>
      <c r="N60" s="4680"/>
      <c r="O60" s="4680"/>
      <c r="P60" s="4680"/>
      <c r="Q60" s="4680"/>
      <c r="R60" s="4629"/>
      <c r="S60" s="3952"/>
      <c r="T60" s="4680"/>
      <c r="U60" s="4680"/>
      <c r="V60" s="4680"/>
      <c r="W60" s="4680"/>
      <c r="X60" s="4680"/>
      <c r="Y60" s="4680"/>
      <c r="Z60" s="4629"/>
      <c r="AA60" s="3952"/>
      <c r="AB60" s="4680"/>
      <c r="AC60" s="4680"/>
      <c r="AD60" s="4680"/>
      <c r="AE60" s="4680"/>
      <c r="AF60" s="4680"/>
      <c r="AG60" s="4680"/>
      <c r="AH60" s="4629"/>
      <c r="AI60" s="3952"/>
      <c r="AJ60" s="4680"/>
      <c r="AK60" s="4680"/>
      <c r="AL60" s="4680"/>
      <c r="AM60" s="4680"/>
      <c r="AN60" s="4680"/>
      <c r="AO60" s="4680"/>
      <c r="AP60" s="4629"/>
      <c r="AQ60" s="3952"/>
      <c r="AR60" s="4680"/>
      <c r="AS60" s="4680"/>
      <c r="AT60" s="4680"/>
      <c r="AU60" s="4680"/>
      <c r="AV60" s="4680"/>
      <c r="AW60" s="3952"/>
      <c r="AX60" s="4680"/>
      <c r="AY60" s="4680"/>
      <c r="AZ60" s="4680"/>
      <c r="BA60" s="4680"/>
      <c r="BB60" s="4680"/>
      <c r="BC60" s="4674"/>
      <c r="BD60" s="4674"/>
      <c r="BE60" s="4674"/>
      <c r="BF60" s="4674"/>
      <c r="BG60" s="4674"/>
      <c r="BH60" s="4674"/>
      <c r="BI60" s="1"/>
      <c r="BJ60" s="3952"/>
      <c r="BK60" s="4680"/>
      <c r="BL60" s="4680"/>
      <c r="BM60" s="4680"/>
      <c r="BN60" s="4680"/>
      <c r="BO60" s="4680"/>
      <c r="BP60" s="4628"/>
      <c r="BQ60" s="4628"/>
      <c r="BR60" s="1"/>
      <c r="BS60" s="1"/>
      <c r="BT60" s="1"/>
      <c r="BU60" s="1"/>
      <c r="BV60" s="1"/>
      <c r="BW60" s="1"/>
      <c r="BX60" s="1"/>
      <c r="BY60" s="4628"/>
      <c r="BZ60" s="4628"/>
      <c r="CA60" s="1"/>
      <c r="CB60" s="4694"/>
      <c r="CC60" s="4694"/>
      <c r="CD60" s="4694"/>
      <c r="CE60" s="4694"/>
      <c r="CF60" s="4694"/>
      <c r="CG60" s="4695"/>
      <c r="CH60" s="1"/>
      <c r="CI60" s="1"/>
      <c r="CJ60" s="1"/>
      <c r="CK60" s="1"/>
      <c r="CL60" s="1"/>
      <c r="CM60" s="1"/>
      <c r="CN60" s="1"/>
      <c r="CO60" s="1"/>
    </row>
    <row r="61" spans="1:93" ht="13.2">
      <c r="A61" s="4669"/>
      <c r="B61" s="4696"/>
      <c r="C61" s="3952"/>
      <c r="D61" s="3952"/>
      <c r="E61" s="3952"/>
      <c r="F61" s="3952"/>
      <c r="G61" s="3952"/>
      <c r="H61" s="3952"/>
      <c r="I61" s="3952"/>
      <c r="J61" s="4628"/>
      <c r="K61" s="3952"/>
      <c r="L61" s="3952"/>
      <c r="M61" s="3952"/>
      <c r="N61" s="3952"/>
      <c r="O61" s="3952"/>
      <c r="P61" s="3952"/>
      <c r="Q61" s="3952"/>
      <c r="R61" s="4629"/>
      <c r="S61" s="3952"/>
      <c r="T61" s="3952"/>
      <c r="U61" s="3952"/>
      <c r="V61" s="3952"/>
      <c r="W61" s="3952"/>
      <c r="X61" s="3952"/>
      <c r="Y61" s="3952"/>
      <c r="Z61" s="4629"/>
      <c r="AA61" s="3952"/>
      <c r="AB61" s="3952"/>
      <c r="AC61" s="3952"/>
      <c r="AD61" s="3952"/>
      <c r="AE61" s="3952"/>
      <c r="AF61" s="3952"/>
      <c r="AG61" s="3952"/>
      <c r="AH61" s="4629"/>
      <c r="AI61" s="3952"/>
      <c r="AJ61" s="3952"/>
      <c r="AK61" s="3952"/>
      <c r="AL61" s="3952"/>
      <c r="AM61" s="3952"/>
      <c r="AN61" s="3952"/>
      <c r="AO61" s="3952"/>
      <c r="AP61" s="4629"/>
      <c r="AQ61" s="3952"/>
      <c r="AR61" s="3952"/>
      <c r="AS61" s="3952"/>
      <c r="AT61" s="3952"/>
      <c r="AU61" s="3952"/>
      <c r="AV61" s="3952"/>
      <c r="AW61" s="3952"/>
      <c r="AX61" s="4680"/>
      <c r="AY61" s="4680"/>
      <c r="AZ61" s="4680"/>
      <c r="BA61" s="4680"/>
      <c r="BB61" s="4680"/>
      <c r="BC61" s="4674"/>
      <c r="BD61" s="4674"/>
      <c r="BE61" s="4674"/>
      <c r="BF61" s="4674"/>
      <c r="BG61" s="4674"/>
      <c r="BH61" s="4674"/>
      <c r="BI61" s="1"/>
      <c r="BJ61" s="3952"/>
      <c r="BK61" s="4680"/>
      <c r="BL61" s="4680"/>
      <c r="BM61" s="4680"/>
      <c r="BN61" s="4680"/>
      <c r="BO61" s="4680"/>
      <c r="BP61" s="4628"/>
      <c r="BQ61" s="4628"/>
      <c r="BR61" s="1"/>
      <c r="BS61" s="1"/>
      <c r="BT61" s="1"/>
      <c r="BU61" s="1"/>
      <c r="BV61" s="1"/>
      <c r="BW61" s="1"/>
      <c r="BX61" s="1"/>
      <c r="BY61" s="4628"/>
      <c r="BZ61" s="4628"/>
      <c r="CA61" s="1"/>
      <c r="CB61" s="4694"/>
      <c r="CC61" s="4694"/>
      <c r="CD61" s="4694"/>
      <c r="CE61" s="4694"/>
      <c r="CF61" s="4694"/>
      <c r="CG61" s="4695"/>
      <c r="CH61" s="1"/>
      <c r="CI61" s="1"/>
      <c r="CJ61" s="1"/>
      <c r="CK61" s="1"/>
      <c r="CL61" s="1"/>
      <c r="CM61" s="1"/>
      <c r="CN61" s="1"/>
      <c r="CO61" s="1"/>
    </row>
    <row r="62" spans="1:93" ht="45" customHeight="1">
      <c r="A62" s="4669"/>
      <c r="B62" s="4670"/>
      <c r="C62" s="3952"/>
      <c r="D62" s="3952"/>
      <c r="E62" s="3952"/>
      <c r="F62" s="3952"/>
      <c r="G62" s="3952"/>
      <c r="H62" s="3952"/>
      <c r="I62" s="3952"/>
      <c r="J62" s="4628"/>
      <c r="K62" s="3952"/>
      <c r="L62" s="3952"/>
      <c r="M62" s="3952"/>
      <c r="N62" s="3952"/>
      <c r="O62" s="3952"/>
      <c r="P62" s="3952"/>
      <c r="Q62" s="3952"/>
      <c r="R62" s="4629"/>
      <c r="S62" s="3952"/>
      <c r="T62" s="3952"/>
      <c r="U62" s="3952"/>
      <c r="V62" s="3952"/>
      <c r="W62" s="3952"/>
      <c r="X62" s="3952"/>
      <c r="Y62" s="3952"/>
      <c r="Z62" s="4629"/>
      <c r="AA62" s="3952"/>
      <c r="AB62" s="3952"/>
      <c r="AC62" s="3952"/>
      <c r="AD62" s="3952"/>
      <c r="AE62" s="3952"/>
      <c r="AF62" s="3952"/>
      <c r="AG62" s="3952"/>
      <c r="AH62" s="4629"/>
      <c r="AI62" s="3952"/>
      <c r="AJ62" s="3952"/>
      <c r="AK62" s="3952"/>
      <c r="AL62" s="3952"/>
      <c r="AM62" s="3952"/>
      <c r="AN62" s="3952"/>
      <c r="AO62" s="3952"/>
      <c r="AP62" s="4629"/>
      <c r="AQ62" s="3952"/>
      <c r="AR62" s="3952"/>
      <c r="AS62" s="3952"/>
      <c r="AT62" s="3952"/>
      <c r="AU62" s="3952"/>
      <c r="AV62" s="3952"/>
      <c r="AW62" s="3952"/>
      <c r="AX62" s="3952"/>
      <c r="AY62" s="3952"/>
      <c r="AZ62" s="3952"/>
      <c r="BA62" s="3952"/>
      <c r="BB62" s="3952"/>
      <c r="BC62" s="4674"/>
      <c r="BD62" s="4674"/>
      <c r="BE62" s="4674"/>
      <c r="BF62" s="4674"/>
      <c r="BG62" s="4674"/>
      <c r="BH62" s="4674"/>
      <c r="BI62" s="1"/>
      <c r="BJ62" s="3952"/>
      <c r="BK62" s="3952"/>
      <c r="BL62" s="3952"/>
      <c r="BM62" s="3952"/>
      <c r="BN62" s="3952"/>
      <c r="BO62" s="3952"/>
      <c r="BP62" s="4628"/>
      <c r="BQ62" s="4628"/>
      <c r="BR62" s="1"/>
      <c r="BS62" s="1"/>
      <c r="BT62" s="1"/>
      <c r="BU62" s="1"/>
      <c r="BV62" s="1"/>
      <c r="BW62" s="1"/>
      <c r="BX62" s="1"/>
      <c r="BY62" s="4628"/>
      <c r="BZ62" s="4628"/>
      <c r="CA62" s="1"/>
      <c r="CB62" s="4694"/>
      <c r="CC62" s="4694"/>
      <c r="CD62" s="4694"/>
      <c r="CE62" s="4694"/>
      <c r="CF62" s="4694"/>
      <c r="CG62" s="4695"/>
      <c r="CH62" s="1"/>
      <c r="CI62" s="1"/>
      <c r="CJ62" s="1"/>
      <c r="CK62" s="1"/>
      <c r="CL62" s="1"/>
      <c r="CM62" s="1"/>
      <c r="CN62" s="1"/>
      <c r="CO62" s="1"/>
    </row>
    <row r="63" spans="1:93" ht="13.2">
      <c r="A63" s="4666"/>
      <c r="B63" s="4666"/>
      <c r="C63" s="4667"/>
      <c r="D63" s="4667"/>
      <c r="E63" s="4667"/>
      <c r="F63" s="4667"/>
      <c r="G63" s="4667"/>
      <c r="H63" s="4667"/>
      <c r="I63" s="4667"/>
      <c r="J63" s="4632"/>
      <c r="K63" s="4667"/>
      <c r="L63" s="4667"/>
      <c r="M63" s="4667"/>
      <c r="N63" s="4667"/>
      <c r="O63" s="4667"/>
      <c r="P63" s="4667"/>
      <c r="Q63" s="4667"/>
      <c r="R63" s="4633"/>
      <c r="S63" s="4667"/>
      <c r="T63" s="4667"/>
      <c r="U63" s="4667"/>
      <c r="V63" s="4667"/>
      <c r="W63" s="4667"/>
      <c r="X63" s="4667"/>
      <c r="Y63" s="4667"/>
      <c r="Z63" s="4633"/>
      <c r="AA63" s="4667"/>
      <c r="AB63" s="4667"/>
      <c r="AC63" s="4667"/>
      <c r="AD63" s="4667"/>
      <c r="AE63" s="4667"/>
      <c r="AF63" s="4667"/>
      <c r="AG63" s="4667"/>
      <c r="AH63" s="4633"/>
      <c r="AI63" s="4667"/>
      <c r="AJ63" s="4667"/>
      <c r="AK63" s="4667"/>
      <c r="AL63" s="4667"/>
      <c r="AM63" s="4667"/>
      <c r="AN63" s="4667"/>
      <c r="AO63" s="4667"/>
      <c r="AP63" s="4633"/>
      <c r="AQ63" s="4667"/>
      <c r="AR63" s="4667"/>
      <c r="AS63" s="4667"/>
      <c r="AT63" s="4667"/>
      <c r="AU63" s="4667"/>
      <c r="AV63" s="4667"/>
      <c r="AW63" s="4667"/>
      <c r="AX63" s="4667"/>
      <c r="AY63" s="4667"/>
      <c r="AZ63" s="4667"/>
      <c r="BA63" s="4667"/>
      <c r="BB63" s="4667"/>
      <c r="BC63" s="4667"/>
      <c r="BD63" s="4667"/>
      <c r="BE63" s="4667"/>
      <c r="BF63" s="4667"/>
      <c r="BG63" s="4667"/>
      <c r="BH63" s="4667"/>
      <c r="BI63" s="1"/>
      <c r="BJ63" s="4667"/>
      <c r="BK63" s="4667"/>
      <c r="BL63" s="4667"/>
      <c r="BM63" s="4667"/>
      <c r="BN63" s="4667"/>
      <c r="BO63" s="4667"/>
      <c r="BP63" s="4632"/>
      <c r="BQ63" s="4632"/>
      <c r="BR63" s="1"/>
      <c r="BS63" s="1"/>
      <c r="BT63" s="1"/>
      <c r="BU63" s="1"/>
      <c r="BV63" s="1"/>
      <c r="BW63" s="1"/>
      <c r="BX63" s="1"/>
      <c r="BY63" s="4632"/>
      <c r="BZ63" s="4632"/>
      <c r="CA63" s="1"/>
      <c r="CB63" s="4668"/>
      <c r="CC63" s="4668"/>
      <c r="CD63" s="4668"/>
      <c r="CE63" s="4668"/>
      <c r="CF63" s="4668"/>
      <c r="CG63" s="4662"/>
      <c r="CH63" s="1"/>
      <c r="CI63" s="1"/>
      <c r="CJ63" s="1"/>
      <c r="CK63" s="1"/>
      <c r="CL63" s="1"/>
      <c r="CM63" s="1"/>
      <c r="CN63" s="1"/>
      <c r="CO63" s="1"/>
    </row>
    <row r="64" spans="1:93" ht="13.2">
      <c r="A64" s="4669"/>
      <c r="B64" s="4670"/>
      <c r="C64" s="3952"/>
      <c r="D64" s="3952"/>
      <c r="E64" s="3952"/>
      <c r="F64" s="3952"/>
      <c r="G64" s="3952"/>
      <c r="H64" s="3952"/>
      <c r="I64" s="3952"/>
      <c r="J64" s="4628"/>
      <c r="K64" s="3952"/>
      <c r="L64" s="3952"/>
      <c r="M64" s="3952"/>
      <c r="N64" s="3952"/>
      <c r="O64" s="3952"/>
      <c r="P64" s="3952"/>
      <c r="Q64" s="3952"/>
      <c r="R64" s="4629"/>
      <c r="S64" s="3952"/>
      <c r="T64" s="3952"/>
      <c r="U64" s="3952"/>
      <c r="V64" s="3952"/>
      <c r="W64" s="3952"/>
      <c r="X64" s="3952"/>
      <c r="Y64" s="3952"/>
      <c r="Z64" s="4629"/>
      <c r="AA64" s="3952"/>
      <c r="AB64" s="3952"/>
      <c r="AC64" s="3952"/>
      <c r="AD64" s="3952"/>
      <c r="AE64" s="3952"/>
      <c r="AF64" s="3952"/>
      <c r="AG64" s="3952"/>
      <c r="AH64" s="4629"/>
      <c r="AI64" s="3952"/>
      <c r="AJ64" s="3952"/>
      <c r="AK64" s="3952"/>
      <c r="AL64" s="3952"/>
      <c r="AM64" s="3952"/>
      <c r="AN64" s="3952"/>
      <c r="AO64" s="3952"/>
      <c r="AP64" s="4629"/>
      <c r="AQ64" s="3952"/>
      <c r="AR64" s="3952"/>
      <c r="AS64" s="3952"/>
      <c r="AT64" s="3952"/>
      <c r="AU64" s="3952"/>
      <c r="AV64" s="3952"/>
      <c r="AW64" s="3952"/>
      <c r="AX64" s="3952"/>
      <c r="AY64" s="3952"/>
      <c r="AZ64" s="3952"/>
      <c r="BA64" s="3952"/>
      <c r="BB64" s="3952"/>
      <c r="BC64" s="4674"/>
      <c r="BD64" s="4674"/>
      <c r="BE64" s="4674"/>
      <c r="BF64" s="4674"/>
      <c r="BG64" s="4674"/>
      <c r="BH64" s="4674"/>
      <c r="BI64" s="1"/>
      <c r="BJ64" s="3952"/>
      <c r="BK64" s="3952"/>
      <c r="BL64" s="3952"/>
      <c r="BM64" s="3952"/>
      <c r="BN64" s="3952"/>
      <c r="BO64" s="3952"/>
      <c r="BP64" s="4628"/>
      <c r="BQ64" s="4628"/>
      <c r="BR64" s="1"/>
      <c r="BS64" s="1"/>
      <c r="BT64" s="1"/>
      <c r="BU64" s="1"/>
      <c r="BV64" s="1"/>
      <c r="BW64" s="1"/>
      <c r="BX64" s="1"/>
      <c r="BY64" s="4628"/>
      <c r="BZ64" s="4628"/>
      <c r="CA64" s="1"/>
      <c r="CB64" s="4694"/>
      <c r="CC64" s="4694"/>
      <c r="CD64" s="4694"/>
      <c r="CE64" s="4694"/>
      <c r="CF64" s="4694"/>
      <c r="CG64" s="4695"/>
      <c r="CH64" s="1"/>
      <c r="CI64" s="1"/>
      <c r="CJ64" s="1"/>
      <c r="CK64" s="1"/>
      <c r="CL64" s="1"/>
      <c r="CM64" s="1"/>
      <c r="CN64" s="1"/>
      <c r="CO64" s="1"/>
    </row>
    <row r="65" spans="1:93" ht="13.2">
      <c r="A65" s="4669"/>
      <c r="B65" s="4696"/>
      <c r="C65" s="3952"/>
      <c r="D65" s="3952"/>
      <c r="E65" s="3952"/>
      <c r="F65" s="3952"/>
      <c r="G65" s="3952"/>
      <c r="H65" s="3952"/>
      <c r="I65" s="3952"/>
      <c r="J65" s="4628"/>
      <c r="K65" s="3952"/>
      <c r="L65" s="3952"/>
      <c r="M65" s="3952"/>
      <c r="N65" s="3952"/>
      <c r="O65" s="3952"/>
      <c r="P65" s="3952"/>
      <c r="Q65" s="3952"/>
      <c r="R65" s="4629"/>
      <c r="S65" s="3952"/>
      <c r="T65" s="3952"/>
      <c r="U65" s="3952"/>
      <c r="V65" s="3952"/>
      <c r="W65" s="3952"/>
      <c r="X65" s="3952"/>
      <c r="Y65" s="3952"/>
      <c r="Z65" s="4629"/>
      <c r="AA65" s="3952"/>
      <c r="AB65" s="3952"/>
      <c r="AC65" s="3952"/>
      <c r="AD65" s="3952"/>
      <c r="AE65" s="3952"/>
      <c r="AF65" s="3952"/>
      <c r="AG65" s="3952"/>
      <c r="AH65" s="4629"/>
      <c r="AI65" s="3952"/>
      <c r="AJ65" s="3952"/>
      <c r="AK65" s="3952"/>
      <c r="AL65" s="3952"/>
      <c r="AM65" s="3952"/>
      <c r="AN65" s="3952"/>
      <c r="AO65" s="3952"/>
      <c r="AP65" s="4629"/>
      <c r="AQ65" s="3952"/>
      <c r="AR65" s="3952"/>
      <c r="AS65" s="3952"/>
      <c r="AT65" s="3952"/>
      <c r="AU65" s="3952"/>
      <c r="AV65" s="3952"/>
      <c r="AW65" s="3952"/>
      <c r="AX65" s="4680"/>
      <c r="AY65" s="4680"/>
      <c r="AZ65" s="4680"/>
      <c r="BA65" s="4680"/>
      <c r="BB65" s="4680"/>
      <c r="BC65" s="4674"/>
      <c r="BD65" s="4674"/>
      <c r="BE65" s="4674"/>
      <c r="BF65" s="4674"/>
      <c r="BG65" s="4674"/>
      <c r="BH65" s="4674"/>
      <c r="BI65" s="1"/>
      <c r="BJ65" s="3952"/>
      <c r="BK65" s="4680"/>
      <c r="BL65" s="4680"/>
      <c r="BM65" s="4680"/>
      <c r="BN65" s="4680"/>
      <c r="BO65" s="4680"/>
      <c r="BP65" s="4628"/>
      <c r="BQ65" s="4628"/>
      <c r="BR65" s="1"/>
      <c r="BS65" s="1"/>
      <c r="BT65" s="1"/>
      <c r="BU65" s="1"/>
      <c r="BV65" s="1"/>
      <c r="BW65" s="1"/>
      <c r="BX65" s="1"/>
      <c r="BY65" s="4628"/>
      <c r="BZ65" s="4628"/>
      <c r="CA65" s="1"/>
      <c r="CB65" s="4694"/>
      <c r="CC65" s="4694"/>
      <c r="CD65" s="4694"/>
      <c r="CE65" s="4694"/>
      <c r="CF65" s="4694"/>
      <c r="CG65" s="4695"/>
      <c r="CH65" s="1"/>
      <c r="CI65" s="1"/>
      <c r="CJ65" s="1"/>
      <c r="CK65" s="1"/>
      <c r="CL65" s="1"/>
      <c r="CM65" s="1"/>
      <c r="CN65" s="1"/>
      <c r="CO65" s="1"/>
    </row>
    <row r="66" spans="1:93" ht="13.2">
      <c r="A66" s="4669"/>
      <c r="B66" s="4696"/>
      <c r="C66" s="3952"/>
      <c r="D66" s="3952"/>
      <c r="E66" s="3952"/>
      <c r="F66" s="3952"/>
      <c r="G66" s="3952"/>
      <c r="H66" s="3952"/>
      <c r="I66" s="3952"/>
      <c r="J66" s="4628"/>
      <c r="K66" s="3952"/>
      <c r="L66" s="3952"/>
      <c r="M66" s="3952"/>
      <c r="N66" s="3952"/>
      <c r="O66" s="3952"/>
      <c r="P66" s="3952"/>
      <c r="Q66" s="3952"/>
      <c r="R66" s="4629"/>
      <c r="S66" s="3952"/>
      <c r="T66" s="3952"/>
      <c r="U66" s="3952"/>
      <c r="V66" s="3952"/>
      <c r="W66" s="3952"/>
      <c r="X66" s="3952"/>
      <c r="Y66" s="3952"/>
      <c r="Z66" s="4629"/>
      <c r="AA66" s="3952"/>
      <c r="AB66" s="3952"/>
      <c r="AC66" s="3952"/>
      <c r="AD66" s="3952"/>
      <c r="AE66" s="3952"/>
      <c r="AF66" s="3952"/>
      <c r="AG66" s="3952"/>
      <c r="AH66" s="4629"/>
      <c r="AI66" s="3952"/>
      <c r="AJ66" s="3952"/>
      <c r="AK66" s="3952"/>
      <c r="AL66" s="3952"/>
      <c r="AM66" s="3952"/>
      <c r="AN66" s="3952"/>
      <c r="AO66" s="3952"/>
      <c r="AP66" s="4629"/>
      <c r="AQ66" s="3952"/>
      <c r="AR66" s="3952"/>
      <c r="AS66" s="3952"/>
      <c r="AT66" s="3952"/>
      <c r="AU66" s="3952"/>
      <c r="AV66" s="3952"/>
      <c r="AW66" s="3952"/>
      <c r="AX66" s="4680"/>
      <c r="AY66" s="4680"/>
      <c r="AZ66" s="4680"/>
      <c r="BA66" s="4680"/>
      <c r="BB66" s="4680"/>
      <c r="BC66" s="4674"/>
      <c r="BD66" s="4674"/>
      <c r="BE66" s="4674"/>
      <c r="BF66" s="4674"/>
      <c r="BG66" s="4674"/>
      <c r="BH66" s="4674"/>
      <c r="BI66" s="1"/>
      <c r="BJ66" s="3952"/>
      <c r="BK66" s="4680"/>
      <c r="BL66" s="4680"/>
      <c r="BM66" s="4680"/>
      <c r="BN66" s="4680"/>
      <c r="BO66" s="4680"/>
      <c r="BP66" s="4628"/>
      <c r="BQ66" s="4628"/>
      <c r="BR66" s="1"/>
      <c r="BS66" s="1"/>
      <c r="BT66" s="1"/>
      <c r="BU66" s="1"/>
      <c r="BV66" s="1"/>
      <c r="BW66" s="1"/>
      <c r="BX66" s="1"/>
      <c r="BY66" s="4628"/>
      <c r="BZ66" s="4628"/>
      <c r="CA66" s="1"/>
      <c r="CB66" s="4694"/>
      <c r="CC66" s="4694"/>
      <c r="CD66" s="4694"/>
      <c r="CE66" s="4694"/>
      <c r="CF66" s="4694"/>
      <c r="CG66" s="4695"/>
      <c r="CH66" s="1"/>
      <c r="CI66" s="1"/>
      <c r="CJ66" s="1"/>
      <c r="CK66" s="1"/>
      <c r="CL66" s="1"/>
      <c r="CM66" s="1"/>
      <c r="CN66" s="1"/>
      <c r="CO66" s="1"/>
    </row>
    <row r="67" spans="1:93" ht="13.2">
      <c r="A67" s="4669"/>
      <c r="B67" s="4696"/>
      <c r="C67" s="3952"/>
      <c r="D67" s="3952"/>
      <c r="E67" s="3952"/>
      <c r="F67" s="3952"/>
      <c r="G67" s="3952"/>
      <c r="H67" s="3952"/>
      <c r="I67" s="3952"/>
      <c r="J67" s="4628"/>
      <c r="K67" s="3952"/>
      <c r="L67" s="3952"/>
      <c r="M67" s="3952"/>
      <c r="N67" s="3952"/>
      <c r="O67" s="3952"/>
      <c r="P67" s="3952"/>
      <c r="Q67" s="3952"/>
      <c r="R67" s="4629"/>
      <c r="S67" s="3952"/>
      <c r="T67" s="3952"/>
      <c r="U67" s="3952"/>
      <c r="V67" s="3952"/>
      <c r="W67" s="3952"/>
      <c r="X67" s="3952"/>
      <c r="Y67" s="3952"/>
      <c r="Z67" s="4629"/>
      <c r="AA67" s="3952"/>
      <c r="AB67" s="3952"/>
      <c r="AC67" s="3952"/>
      <c r="AD67" s="3952"/>
      <c r="AE67" s="3952"/>
      <c r="AF67" s="3952"/>
      <c r="AG67" s="3952"/>
      <c r="AH67" s="4629"/>
      <c r="AI67" s="3952"/>
      <c r="AJ67" s="3952"/>
      <c r="AK67" s="3952"/>
      <c r="AL67" s="3952"/>
      <c r="AM67" s="3952"/>
      <c r="AN67" s="3952"/>
      <c r="AO67" s="3952"/>
      <c r="AP67" s="4629"/>
      <c r="AQ67" s="3952"/>
      <c r="AR67" s="3952"/>
      <c r="AS67" s="3952"/>
      <c r="AT67" s="3952"/>
      <c r="AU67" s="3952"/>
      <c r="AV67" s="3952"/>
      <c r="AW67" s="3952"/>
      <c r="AX67" s="4680"/>
      <c r="AY67" s="4680"/>
      <c r="AZ67" s="4680"/>
      <c r="BA67" s="4680"/>
      <c r="BB67" s="4680"/>
      <c r="BC67" s="4674"/>
      <c r="BD67" s="4674"/>
      <c r="BE67" s="4674"/>
      <c r="BF67" s="4674"/>
      <c r="BG67" s="4674"/>
      <c r="BH67" s="4674"/>
      <c r="BI67" s="1"/>
      <c r="BJ67" s="3952"/>
      <c r="BK67" s="4680"/>
      <c r="BL67" s="4680"/>
      <c r="BM67" s="4680"/>
      <c r="BN67" s="4680"/>
      <c r="BO67" s="4680"/>
      <c r="BP67" s="4628"/>
      <c r="BQ67" s="4628"/>
      <c r="BR67" s="1"/>
      <c r="BS67" s="1"/>
      <c r="BT67" s="1"/>
      <c r="BU67" s="1"/>
      <c r="BV67" s="1"/>
      <c r="BW67" s="1"/>
      <c r="BX67" s="1"/>
      <c r="BY67" s="4628"/>
      <c r="BZ67" s="4628"/>
      <c r="CA67" s="1"/>
      <c r="CB67" s="4694"/>
      <c r="CC67" s="4694"/>
      <c r="CD67" s="4694"/>
      <c r="CE67" s="4694"/>
      <c r="CF67" s="4694"/>
      <c r="CG67" s="4695"/>
      <c r="CH67" s="1"/>
      <c r="CI67" s="1"/>
      <c r="CJ67" s="1"/>
      <c r="CK67" s="1"/>
      <c r="CL67" s="1"/>
      <c r="CM67" s="1"/>
      <c r="CN67" s="1"/>
      <c r="CO67" s="1"/>
    </row>
    <row r="68" spans="1:93" ht="13.2">
      <c r="A68" s="4669"/>
      <c r="B68" s="4696"/>
      <c r="C68" s="3952"/>
      <c r="D68" s="3952"/>
      <c r="E68" s="3952"/>
      <c r="F68" s="3952"/>
      <c r="G68" s="3952"/>
      <c r="H68" s="3952"/>
      <c r="I68" s="3952"/>
      <c r="J68" s="4628"/>
      <c r="K68" s="3952"/>
      <c r="L68" s="3952"/>
      <c r="M68" s="3952"/>
      <c r="N68" s="3952"/>
      <c r="O68" s="3952"/>
      <c r="P68" s="3952"/>
      <c r="Q68" s="3952"/>
      <c r="R68" s="4629"/>
      <c r="S68" s="3952"/>
      <c r="T68" s="3952"/>
      <c r="U68" s="3952"/>
      <c r="V68" s="3952"/>
      <c r="W68" s="3952"/>
      <c r="X68" s="3952"/>
      <c r="Y68" s="3952"/>
      <c r="Z68" s="4629"/>
      <c r="AA68" s="3952"/>
      <c r="AB68" s="3952"/>
      <c r="AC68" s="3952"/>
      <c r="AD68" s="3952"/>
      <c r="AE68" s="3952"/>
      <c r="AF68" s="3952"/>
      <c r="AG68" s="3952"/>
      <c r="AH68" s="4629"/>
      <c r="AI68" s="3952"/>
      <c r="AJ68" s="3952"/>
      <c r="AK68" s="3952"/>
      <c r="AL68" s="3952"/>
      <c r="AM68" s="3952"/>
      <c r="AN68" s="3952"/>
      <c r="AO68" s="3952"/>
      <c r="AP68" s="4629"/>
      <c r="AQ68" s="3952"/>
      <c r="AR68" s="3952"/>
      <c r="AS68" s="3952"/>
      <c r="AT68" s="3952"/>
      <c r="AU68" s="3952"/>
      <c r="AV68" s="3952"/>
      <c r="AW68" s="3952"/>
      <c r="AX68" s="4680"/>
      <c r="AY68" s="4680"/>
      <c r="AZ68" s="4680"/>
      <c r="BA68" s="4680"/>
      <c r="BB68" s="4680"/>
      <c r="BC68" s="4674"/>
      <c r="BD68" s="4674"/>
      <c r="BE68" s="4674"/>
      <c r="BF68" s="4674"/>
      <c r="BG68" s="4674"/>
      <c r="BH68" s="4674"/>
      <c r="BI68" s="1"/>
      <c r="BJ68" s="3952"/>
      <c r="BK68" s="4680"/>
      <c r="BL68" s="4680"/>
      <c r="BM68" s="4680"/>
      <c r="BN68" s="4680"/>
      <c r="BO68" s="4680"/>
      <c r="BP68" s="4628"/>
      <c r="BQ68" s="4628"/>
      <c r="BR68" s="1"/>
      <c r="BS68" s="1"/>
      <c r="BT68" s="1"/>
      <c r="BU68" s="1"/>
      <c r="BV68" s="1"/>
      <c r="BW68" s="1"/>
      <c r="BX68" s="1"/>
      <c r="BY68" s="4628"/>
      <c r="BZ68" s="4628"/>
      <c r="CA68" s="1"/>
      <c r="CB68" s="4694"/>
      <c r="CC68" s="4694"/>
      <c r="CD68" s="4694"/>
      <c r="CE68" s="4694"/>
      <c r="CF68" s="4694"/>
      <c r="CG68" s="4695"/>
      <c r="CH68" s="1"/>
      <c r="CI68" s="1"/>
      <c r="CJ68" s="1"/>
      <c r="CK68" s="1"/>
      <c r="CL68" s="1"/>
      <c r="CM68" s="1"/>
      <c r="CN68" s="1"/>
      <c r="CO68" s="1"/>
    </row>
    <row r="69" spans="1:93" ht="43.5" customHeight="1">
      <c r="A69" s="4669"/>
      <c r="B69" s="4670"/>
      <c r="C69" s="3952"/>
      <c r="D69" s="3952"/>
      <c r="E69" s="3952"/>
      <c r="F69" s="3952"/>
      <c r="G69" s="3952"/>
      <c r="H69" s="3952"/>
      <c r="I69" s="3952"/>
      <c r="J69" s="4628"/>
      <c r="K69" s="3952"/>
      <c r="L69" s="3952"/>
      <c r="M69" s="3952"/>
      <c r="N69" s="3952"/>
      <c r="O69" s="3952"/>
      <c r="P69" s="3952"/>
      <c r="Q69" s="3952"/>
      <c r="R69" s="4629"/>
      <c r="S69" s="3952"/>
      <c r="T69" s="3952"/>
      <c r="U69" s="3952"/>
      <c r="V69" s="3952"/>
      <c r="W69" s="3952"/>
      <c r="X69" s="3952"/>
      <c r="Y69" s="3952"/>
      <c r="Z69" s="4629"/>
      <c r="AA69" s="3952"/>
      <c r="AB69" s="3952"/>
      <c r="AC69" s="3952"/>
      <c r="AD69" s="3952"/>
      <c r="AE69" s="3952"/>
      <c r="AF69" s="3952"/>
      <c r="AG69" s="3952"/>
      <c r="AH69" s="4629"/>
      <c r="AI69" s="3952"/>
      <c r="AJ69" s="3952"/>
      <c r="AK69" s="3952"/>
      <c r="AL69" s="3952"/>
      <c r="AM69" s="3952"/>
      <c r="AN69" s="3952"/>
      <c r="AO69" s="3952"/>
      <c r="AP69" s="4629"/>
      <c r="AQ69" s="3952"/>
      <c r="AR69" s="3952"/>
      <c r="AS69" s="3952"/>
      <c r="AT69" s="3952"/>
      <c r="AU69" s="3952"/>
      <c r="AV69" s="3952"/>
      <c r="AW69" s="3952"/>
      <c r="AX69" s="4680"/>
      <c r="AY69" s="4680"/>
      <c r="AZ69" s="4680"/>
      <c r="BA69" s="4680"/>
      <c r="BB69" s="4680"/>
      <c r="BC69" s="4674"/>
      <c r="BD69" s="4674"/>
      <c r="BE69" s="4674"/>
      <c r="BF69" s="4674"/>
      <c r="BG69" s="4674"/>
      <c r="BH69" s="4674"/>
      <c r="BI69" s="1"/>
      <c r="BJ69" s="3952"/>
      <c r="BK69" s="4680"/>
      <c r="BL69" s="4680"/>
      <c r="BM69" s="4680"/>
      <c r="BN69" s="4680"/>
      <c r="BO69" s="4680"/>
      <c r="BP69" s="4628"/>
      <c r="BQ69" s="4628"/>
      <c r="BR69" s="1"/>
      <c r="BS69" s="1"/>
      <c r="BT69" s="1"/>
      <c r="BU69" s="1"/>
      <c r="BV69" s="1"/>
      <c r="BW69" s="1"/>
      <c r="BX69" s="1"/>
      <c r="BY69" s="4628"/>
      <c r="BZ69" s="4628"/>
      <c r="CA69" s="1"/>
      <c r="CB69" s="4694"/>
      <c r="CC69" s="4694"/>
      <c r="CD69" s="4694"/>
      <c r="CE69" s="4694"/>
      <c r="CF69" s="4694"/>
      <c r="CG69" s="4695"/>
      <c r="CH69" s="1"/>
      <c r="CI69" s="1"/>
      <c r="CJ69" s="1"/>
      <c r="CK69" s="1"/>
      <c r="CL69" s="1"/>
      <c r="CM69" s="1"/>
      <c r="CN69" s="1"/>
      <c r="CO69" s="1"/>
    </row>
    <row r="70" spans="1:93" ht="13.2">
      <c r="A70" s="4666"/>
      <c r="B70" s="4666"/>
      <c r="C70" s="4667"/>
      <c r="D70" s="4667"/>
      <c r="E70" s="4667"/>
      <c r="F70" s="4667"/>
      <c r="G70" s="4667"/>
      <c r="H70" s="4667"/>
      <c r="I70" s="4667"/>
      <c r="J70" s="4632"/>
      <c r="K70" s="4667"/>
      <c r="L70" s="4667"/>
      <c r="M70" s="4667"/>
      <c r="N70" s="4667"/>
      <c r="O70" s="4667"/>
      <c r="P70" s="4667"/>
      <c r="Q70" s="4667"/>
      <c r="R70" s="4633"/>
      <c r="S70" s="4667"/>
      <c r="T70" s="4667"/>
      <c r="U70" s="4667"/>
      <c r="V70" s="4667"/>
      <c r="W70" s="4667"/>
      <c r="X70" s="4667"/>
      <c r="Y70" s="4667"/>
      <c r="Z70" s="4633"/>
      <c r="AA70" s="4667"/>
      <c r="AB70" s="4667"/>
      <c r="AC70" s="4667"/>
      <c r="AD70" s="4667"/>
      <c r="AE70" s="4667"/>
      <c r="AF70" s="4667"/>
      <c r="AG70" s="4667"/>
      <c r="AH70" s="4633"/>
      <c r="AI70" s="4667"/>
      <c r="AJ70" s="4667"/>
      <c r="AK70" s="4667"/>
      <c r="AL70" s="4667"/>
      <c r="AM70" s="4667"/>
      <c r="AN70" s="4667"/>
      <c r="AO70" s="4667"/>
      <c r="AP70" s="4633"/>
      <c r="AQ70" s="4667"/>
      <c r="AR70" s="4667"/>
      <c r="AS70" s="4667"/>
      <c r="AT70" s="4667"/>
      <c r="AU70" s="4667"/>
      <c r="AV70" s="4667"/>
      <c r="AW70" s="4667"/>
      <c r="AX70" s="4667"/>
      <c r="AY70" s="4667"/>
      <c r="AZ70" s="4667"/>
      <c r="BA70" s="4667"/>
      <c r="BB70" s="4667"/>
      <c r="BC70" s="4667"/>
      <c r="BD70" s="4667"/>
      <c r="BE70" s="4667"/>
      <c r="BF70" s="4667"/>
      <c r="BG70" s="4667"/>
      <c r="BH70" s="4667"/>
      <c r="BI70" s="1"/>
      <c r="BJ70" s="4667"/>
      <c r="BK70" s="4667"/>
      <c r="BL70" s="4667"/>
      <c r="BM70" s="4667"/>
      <c r="BN70" s="4667"/>
      <c r="BO70" s="4667"/>
      <c r="BP70" s="4632"/>
      <c r="BQ70" s="4632"/>
      <c r="BR70" s="1"/>
      <c r="BS70" s="1"/>
      <c r="BT70" s="1"/>
      <c r="BU70" s="1"/>
      <c r="BV70" s="1"/>
      <c r="BW70" s="1"/>
      <c r="BX70" s="1"/>
      <c r="BY70" s="4632"/>
      <c r="BZ70" s="4632"/>
      <c r="CA70" s="1"/>
      <c r="CB70" s="4694"/>
      <c r="CC70" s="4694"/>
      <c r="CD70" s="4694"/>
      <c r="CE70" s="4694"/>
      <c r="CF70" s="4694"/>
      <c r="CG70" s="4695"/>
      <c r="CH70" s="1"/>
      <c r="CI70" s="1"/>
      <c r="CJ70" s="1"/>
      <c r="CK70" s="1"/>
      <c r="CL70" s="1"/>
      <c r="CM70" s="1"/>
      <c r="CN70" s="1"/>
      <c r="CO70" s="1"/>
    </row>
    <row r="71" spans="1:93" ht="13.2">
      <c r="A71" s="4669"/>
      <c r="B71" s="4670"/>
      <c r="C71" s="4678"/>
      <c r="D71" s="4679"/>
      <c r="E71" s="4679"/>
      <c r="F71" s="4679"/>
      <c r="G71" s="4679"/>
      <c r="H71" s="4679"/>
      <c r="I71" s="4680"/>
      <c r="J71" s="4628"/>
      <c r="K71" s="4673"/>
      <c r="L71" s="4679"/>
      <c r="M71" s="4679"/>
      <c r="N71" s="4679"/>
      <c r="O71" s="4679"/>
      <c r="P71" s="4679"/>
      <c r="Q71" s="4680"/>
      <c r="R71" s="4629"/>
      <c r="S71" s="4673"/>
      <c r="T71" s="4679"/>
      <c r="U71" s="4679"/>
      <c r="V71" s="4679"/>
      <c r="W71" s="4679"/>
      <c r="X71" s="4679"/>
      <c r="Y71" s="4680"/>
      <c r="Z71" s="4629"/>
      <c r="AA71" s="4678"/>
      <c r="AB71" s="4679"/>
      <c r="AC71" s="4679"/>
      <c r="AD71" s="4679"/>
      <c r="AE71" s="4679"/>
      <c r="AF71" s="4679"/>
      <c r="AG71" s="4680"/>
      <c r="AH71" s="4629"/>
      <c r="AI71" s="4678"/>
      <c r="AJ71" s="4679"/>
      <c r="AK71" s="4679"/>
      <c r="AL71" s="4679"/>
      <c r="AM71" s="4679"/>
      <c r="AN71" s="4679"/>
      <c r="AO71" s="4680"/>
      <c r="AP71" s="4629"/>
      <c r="AQ71" s="4678"/>
      <c r="AR71" s="4679"/>
      <c r="AS71" s="4679"/>
      <c r="AT71" s="4679"/>
      <c r="AU71" s="4679"/>
      <c r="AV71" s="4679"/>
      <c r="AW71" s="3952"/>
      <c r="AX71" s="4680"/>
      <c r="AY71" s="4680"/>
      <c r="AZ71" s="4680"/>
      <c r="BA71" s="4680"/>
      <c r="BB71" s="4680"/>
      <c r="BC71" s="4674"/>
      <c r="BD71" s="4674"/>
      <c r="BE71" s="4674"/>
      <c r="BF71" s="4674"/>
      <c r="BG71" s="4674"/>
      <c r="BH71" s="4674"/>
      <c r="BI71" s="1"/>
      <c r="BJ71" s="3952"/>
      <c r="BK71" s="4680"/>
      <c r="BL71" s="4680"/>
      <c r="BM71" s="4680"/>
      <c r="BN71" s="4680"/>
      <c r="BO71" s="4680"/>
      <c r="BP71" s="4628"/>
      <c r="BQ71" s="4628"/>
      <c r="BR71" s="1"/>
      <c r="BS71" s="1"/>
      <c r="BT71" s="1"/>
      <c r="BU71" s="1"/>
      <c r="BV71" s="1"/>
      <c r="BW71" s="1"/>
      <c r="BX71" s="1"/>
      <c r="BY71" s="4628"/>
      <c r="BZ71" s="4628"/>
      <c r="CA71" s="1"/>
      <c r="CB71" s="4694"/>
      <c r="CC71" s="4694"/>
      <c r="CD71" s="4694"/>
      <c r="CE71" s="4694"/>
      <c r="CF71" s="4694"/>
      <c r="CG71" s="4695"/>
      <c r="CH71" s="1"/>
      <c r="CI71" s="1"/>
      <c r="CJ71" s="1"/>
      <c r="CK71" s="1"/>
      <c r="CL71" s="1"/>
      <c r="CM71" s="1"/>
      <c r="CN71" s="1"/>
      <c r="CO71" s="1"/>
    </row>
    <row r="72" spans="1:93" ht="13.2">
      <c r="A72" s="4669"/>
      <c r="B72" s="4669"/>
      <c r="C72" s="4678"/>
      <c r="D72" s="4679"/>
      <c r="E72" s="4679"/>
      <c r="F72" s="4679"/>
      <c r="G72" s="4679"/>
      <c r="H72" s="4679"/>
      <c r="I72" s="4680"/>
      <c r="J72" s="4628"/>
      <c r="K72" s="4673"/>
      <c r="L72" s="4679"/>
      <c r="M72" s="4679"/>
      <c r="N72" s="4679"/>
      <c r="O72" s="4679"/>
      <c r="P72" s="4679"/>
      <c r="Q72" s="4680"/>
      <c r="R72" s="4629"/>
      <c r="S72" s="4673"/>
      <c r="T72" s="4679"/>
      <c r="U72" s="4679"/>
      <c r="V72" s="4679"/>
      <c r="W72" s="4679"/>
      <c r="X72" s="4679"/>
      <c r="Y72" s="4680"/>
      <c r="Z72" s="4629"/>
      <c r="AA72" s="2054"/>
      <c r="AB72" s="2054"/>
      <c r="AC72" s="2054"/>
      <c r="AD72" s="2054"/>
      <c r="AE72" s="2054"/>
      <c r="AF72" s="2054"/>
      <c r="AG72" s="2054"/>
      <c r="AH72" s="4686"/>
      <c r="AI72" s="2054"/>
      <c r="AJ72" s="2054"/>
      <c r="AK72" s="2054"/>
      <c r="AL72" s="2054"/>
      <c r="AM72" s="2054"/>
      <c r="AN72" s="2054"/>
      <c r="AO72" s="2054"/>
      <c r="AP72" s="4686"/>
      <c r="AQ72" s="2054"/>
      <c r="AR72" s="2054"/>
      <c r="AS72" s="2054"/>
      <c r="AT72" s="2054"/>
      <c r="AU72" s="2054"/>
      <c r="AV72" s="2054"/>
      <c r="AW72" s="3952"/>
      <c r="AX72" s="4680"/>
      <c r="AY72" s="4680"/>
      <c r="AZ72" s="4680"/>
      <c r="BA72" s="4680"/>
      <c r="BB72" s="4680"/>
      <c r="BC72" s="4674"/>
      <c r="BD72" s="4674"/>
      <c r="BE72" s="4674"/>
      <c r="BF72" s="4674"/>
      <c r="BG72" s="4674"/>
      <c r="BH72" s="4674"/>
      <c r="BI72" s="1"/>
      <c r="BJ72" s="3952"/>
      <c r="BK72" s="4680"/>
      <c r="BL72" s="4680"/>
      <c r="BM72" s="4680"/>
      <c r="BN72" s="4680"/>
      <c r="BO72" s="4680"/>
      <c r="BP72" s="4628"/>
      <c r="BQ72" s="4628"/>
      <c r="BR72" s="1"/>
      <c r="BS72" s="1"/>
      <c r="BT72" s="1"/>
      <c r="BU72" s="1"/>
      <c r="BV72" s="1"/>
      <c r="BW72" s="1"/>
      <c r="BX72" s="1"/>
      <c r="BY72" s="4686"/>
      <c r="BZ72" s="4686"/>
      <c r="CA72" s="1"/>
      <c r="CB72" s="4694"/>
      <c r="CC72" s="4694"/>
      <c r="CD72" s="4694"/>
      <c r="CE72" s="4694"/>
      <c r="CF72" s="4694"/>
      <c r="CG72" s="4695"/>
      <c r="CH72" s="1"/>
      <c r="CI72" s="1"/>
      <c r="CJ72" s="1"/>
      <c r="CK72" s="1"/>
      <c r="CL72" s="1"/>
      <c r="CM72" s="1"/>
      <c r="CN72" s="1"/>
      <c r="CO72" s="1"/>
    </row>
    <row r="73" spans="1:93" ht="13.2">
      <c r="A73" s="4669"/>
      <c r="B73" s="4670"/>
      <c r="C73" s="4678"/>
      <c r="D73" s="4679"/>
      <c r="E73" s="4679"/>
      <c r="F73" s="4679"/>
      <c r="G73" s="4679"/>
      <c r="H73" s="4679"/>
      <c r="I73" s="4680"/>
      <c r="J73" s="4628"/>
      <c r="K73" s="2054"/>
      <c r="L73" s="2054"/>
      <c r="M73" s="2054"/>
      <c r="N73" s="2054"/>
      <c r="O73" s="2054"/>
      <c r="P73" s="2054"/>
      <c r="Q73" s="2054"/>
      <c r="R73" s="4630"/>
      <c r="S73" s="2054"/>
      <c r="T73" s="2054"/>
      <c r="U73" s="2054"/>
      <c r="V73" s="2054"/>
      <c r="W73" s="2054"/>
      <c r="X73" s="2054"/>
      <c r="Y73" s="2054"/>
      <c r="Z73" s="4630"/>
      <c r="AA73" s="4678"/>
      <c r="AB73" s="4679"/>
      <c r="AC73" s="4679"/>
      <c r="AD73" s="4679"/>
      <c r="AE73" s="4679"/>
      <c r="AF73" s="4679"/>
      <c r="AG73" s="4680"/>
      <c r="AH73" s="4629"/>
      <c r="AI73" s="4678"/>
      <c r="AJ73" s="4679"/>
      <c r="AK73" s="4679"/>
      <c r="AL73" s="4679"/>
      <c r="AM73" s="4679"/>
      <c r="AN73" s="4679"/>
      <c r="AO73" s="4680"/>
      <c r="AP73" s="4629"/>
      <c r="AQ73" s="2054"/>
      <c r="AR73" s="2054"/>
      <c r="AS73" s="2054"/>
      <c r="AT73" s="2054"/>
      <c r="AU73" s="2054"/>
      <c r="AV73" s="2054"/>
      <c r="AW73" s="3952"/>
      <c r="AX73" s="4680"/>
      <c r="AY73" s="4680"/>
      <c r="AZ73" s="4680"/>
      <c r="BA73" s="4680"/>
      <c r="BB73" s="4680"/>
      <c r="BC73" s="4674"/>
      <c r="BD73" s="4674"/>
      <c r="BE73" s="4674"/>
      <c r="BF73" s="4674"/>
      <c r="BG73" s="4674"/>
      <c r="BH73" s="4674"/>
      <c r="BI73" s="1"/>
      <c r="BJ73" s="3952"/>
      <c r="BK73" s="4680"/>
      <c r="BL73" s="4680"/>
      <c r="BM73" s="4680"/>
      <c r="BN73" s="4680"/>
      <c r="BO73" s="4680"/>
      <c r="BP73" s="4628"/>
      <c r="BQ73" s="4628"/>
      <c r="BR73" s="1"/>
      <c r="BS73" s="1"/>
      <c r="BT73" s="1"/>
      <c r="BU73" s="1"/>
      <c r="BV73" s="1"/>
      <c r="BW73" s="1"/>
      <c r="BX73" s="1"/>
      <c r="BY73" s="4628"/>
      <c r="BZ73" s="4628"/>
      <c r="CA73" s="1"/>
      <c r="CB73" s="4694"/>
      <c r="CC73" s="4694"/>
      <c r="CD73" s="4694"/>
      <c r="CE73" s="4694"/>
      <c r="CF73" s="4694"/>
      <c r="CG73" s="4695"/>
      <c r="CH73" s="1"/>
      <c r="CI73" s="1"/>
      <c r="CJ73" s="1"/>
      <c r="CK73" s="1"/>
      <c r="CL73" s="1"/>
      <c r="CM73" s="1"/>
      <c r="CN73" s="1"/>
      <c r="CO73" s="1"/>
    </row>
    <row r="74" spans="1:93" ht="13.2">
      <c r="A74" s="4669"/>
      <c r="B74" s="4670"/>
      <c r="C74" s="2054"/>
      <c r="D74" s="2054"/>
      <c r="E74" s="2054"/>
      <c r="F74" s="2054"/>
      <c r="G74" s="2054"/>
      <c r="H74" s="2054"/>
      <c r="I74" s="2054"/>
      <c r="J74" s="4631"/>
      <c r="K74" s="4673"/>
      <c r="L74" s="4679"/>
      <c r="M74" s="4679"/>
      <c r="N74" s="4679"/>
      <c r="O74" s="4679"/>
      <c r="P74" s="4679"/>
      <c r="Q74" s="4680"/>
      <c r="R74" s="4629"/>
      <c r="S74" s="4673"/>
      <c r="T74" s="4679"/>
      <c r="U74" s="4679"/>
      <c r="V74" s="4679"/>
      <c r="W74" s="4679"/>
      <c r="X74" s="4679"/>
      <c r="Y74" s="4680"/>
      <c r="Z74" s="4629"/>
      <c r="AA74" s="2054"/>
      <c r="AB74" s="2054"/>
      <c r="AC74" s="2054"/>
      <c r="AD74" s="2054"/>
      <c r="AE74" s="2054"/>
      <c r="AF74" s="2054"/>
      <c r="AG74" s="2054"/>
      <c r="AH74" s="4630"/>
      <c r="AI74" s="2054"/>
      <c r="AJ74" s="2054"/>
      <c r="AK74" s="2054"/>
      <c r="AL74" s="2054"/>
      <c r="AM74" s="2054"/>
      <c r="AN74" s="2054"/>
      <c r="AO74" s="2054"/>
      <c r="AP74" s="4630"/>
      <c r="AQ74" s="2054"/>
      <c r="AR74" s="2054"/>
      <c r="AS74" s="2054"/>
      <c r="AT74" s="2054"/>
      <c r="AU74" s="2054"/>
      <c r="AV74" s="2054"/>
      <c r="AW74" s="3952"/>
      <c r="AX74" s="4680"/>
      <c r="AY74" s="4680"/>
      <c r="AZ74" s="4680"/>
      <c r="BA74" s="4680"/>
      <c r="BB74" s="4680"/>
      <c r="BC74" s="4674"/>
      <c r="BD74" s="4674"/>
      <c r="BE74" s="4674"/>
      <c r="BF74" s="4674"/>
      <c r="BG74" s="4674"/>
      <c r="BH74" s="4674"/>
      <c r="BI74" s="1"/>
      <c r="BJ74" s="3952"/>
      <c r="BK74" s="4680"/>
      <c r="BL74" s="4680"/>
      <c r="BM74" s="4680"/>
      <c r="BN74" s="4680"/>
      <c r="BO74" s="4680"/>
      <c r="BP74" s="4628"/>
      <c r="BQ74" s="4628"/>
      <c r="BR74" s="1"/>
      <c r="BS74" s="1"/>
      <c r="BT74" s="1"/>
      <c r="BU74" s="1"/>
      <c r="BV74" s="1"/>
      <c r="BW74" s="1"/>
      <c r="BX74" s="1"/>
      <c r="BY74" s="4631"/>
      <c r="BZ74" s="4631"/>
      <c r="CA74" s="1"/>
      <c r="CB74" s="4694"/>
      <c r="CC74" s="4694"/>
      <c r="CD74" s="4694"/>
      <c r="CE74" s="4694"/>
      <c r="CF74" s="4694"/>
      <c r="CG74" s="4695"/>
      <c r="CH74" s="1"/>
      <c r="CI74" s="1"/>
      <c r="CJ74" s="1"/>
      <c r="CK74" s="1"/>
      <c r="CL74" s="1"/>
      <c r="CM74" s="1"/>
      <c r="CN74" s="1"/>
      <c r="CO74" s="1"/>
    </row>
    <row r="75" spans="1:93" ht="13.2">
      <c r="A75" s="4669"/>
      <c r="B75" s="4670"/>
      <c r="C75" s="4678"/>
      <c r="D75" s="4679"/>
      <c r="E75" s="4679"/>
      <c r="F75" s="4679"/>
      <c r="G75" s="4679"/>
      <c r="H75" s="4679"/>
      <c r="I75" s="4680"/>
      <c r="J75" s="4628"/>
      <c r="K75" s="4673"/>
      <c r="L75" s="4679"/>
      <c r="M75" s="4679"/>
      <c r="N75" s="4679"/>
      <c r="O75" s="4679"/>
      <c r="P75" s="4679"/>
      <c r="Q75" s="4680"/>
      <c r="R75" s="4629"/>
      <c r="S75" s="4673"/>
      <c r="T75" s="4679"/>
      <c r="U75" s="4679"/>
      <c r="V75" s="4679"/>
      <c r="W75" s="4679"/>
      <c r="X75" s="4679"/>
      <c r="Y75" s="4680"/>
      <c r="Z75" s="4629"/>
      <c r="AA75" s="4678"/>
      <c r="AB75" s="4679"/>
      <c r="AC75" s="4679"/>
      <c r="AD75" s="4679"/>
      <c r="AE75" s="4679"/>
      <c r="AF75" s="4679"/>
      <c r="AG75" s="4680"/>
      <c r="AH75" s="4629"/>
      <c r="AI75" s="4678"/>
      <c r="AJ75" s="4679"/>
      <c r="AK75" s="4679"/>
      <c r="AL75" s="4679"/>
      <c r="AM75" s="4679"/>
      <c r="AN75" s="4679"/>
      <c r="AO75" s="4680"/>
      <c r="AP75" s="4629"/>
      <c r="AQ75" s="4678"/>
      <c r="AR75" s="4679"/>
      <c r="AS75" s="4679"/>
      <c r="AT75" s="4679"/>
      <c r="AU75" s="4679"/>
      <c r="AV75" s="4679"/>
      <c r="AW75" s="3952"/>
      <c r="AX75" s="4680"/>
      <c r="AY75" s="4680"/>
      <c r="AZ75" s="4680"/>
      <c r="BA75" s="4680"/>
      <c r="BB75" s="4680"/>
      <c r="BC75" s="4674"/>
      <c r="BD75" s="4674"/>
      <c r="BE75" s="4674"/>
      <c r="BF75" s="4674"/>
      <c r="BG75" s="4674"/>
      <c r="BH75" s="4674"/>
      <c r="BI75" s="1"/>
      <c r="BJ75" s="3952"/>
      <c r="BK75" s="4680"/>
      <c r="BL75" s="4680"/>
      <c r="BM75" s="4680"/>
      <c r="BN75" s="4680"/>
      <c r="BO75" s="4680"/>
      <c r="BP75" s="4628"/>
      <c r="BQ75" s="4628"/>
      <c r="BR75" s="1"/>
      <c r="BS75" s="1"/>
      <c r="BT75" s="1"/>
      <c r="BU75" s="1"/>
      <c r="BV75" s="1"/>
      <c r="BW75" s="1"/>
      <c r="BX75" s="1"/>
      <c r="BY75" s="4628"/>
      <c r="BZ75" s="4628"/>
      <c r="CA75" s="1"/>
      <c r="CB75" s="4694"/>
      <c r="CC75" s="4694"/>
      <c r="CD75" s="4694"/>
      <c r="CE75" s="4694"/>
      <c r="CF75" s="4694"/>
      <c r="CG75" s="4695"/>
      <c r="CH75" s="1"/>
      <c r="CI75" s="1"/>
      <c r="CJ75" s="1"/>
      <c r="CK75" s="1"/>
      <c r="CL75" s="1"/>
      <c r="CM75" s="1"/>
      <c r="CN75" s="1"/>
      <c r="CO75" s="1"/>
    </row>
    <row r="76" spans="1:93" ht="13.2">
      <c r="A76" s="4666"/>
      <c r="B76" s="4666"/>
      <c r="C76" s="4667"/>
      <c r="D76" s="4667"/>
      <c r="E76" s="4667"/>
      <c r="F76" s="4667"/>
      <c r="G76" s="4667"/>
      <c r="H76" s="4667"/>
      <c r="I76" s="4667"/>
      <c r="J76" s="4632"/>
      <c r="K76" s="4667"/>
      <c r="L76" s="4667"/>
      <c r="M76" s="4667"/>
      <c r="N76" s="4667"/>
      <c r="O76" s="4667"/>
      <c r="P76" s="4667"/>
      <c r="Q76" s="4667"/>
      <c r="R76" s="4633"/>
      <c r="S76" s="4667"/>
      <c r="T76" s="4667"/>
      <c r="U76" s="4667"/>
      <c r="V76" s="4667"/>
      <c r="W76" s="4667"/>
      <c r="X76" s="4667"/>
      <c r="Y76" s="4667"/>
      <c r="Z76" s="4633"/>
      <c r="AA76" s="4667"/>
      <c r="AB76" s="4667"/>
      <c r="AC76" s="4667"/>
      <c r="AD76" s="4667"/>
      <c r="AE76" s="4667"/>
      <c r="AF76" s="4667"/>
      <c r="AG76" s="4667"/>
      <c r="AH76" s="4633"/>
      <c r="AI76" s="4667"/>
      <c r="AJ76" s="4667"/>
      <c r="AK76" s="4667"/>
      <c r="AL76" s="4667"/>
      <c r="AM76" s="4667"/>
      <c r="AN76" s="4667"/>
      <c r="AO76" s="4667"/>
      <c r="AP76" s="4633"/>
      <c r="AQ76" s="4667"/>
      <c r="AR76" s="4667"/>
      <c r="AS76" s="4667"/>
      <c r="AT76" s="4667"/>
      <c r="AU76" s="4667"/>
      <c r="AV76" s="4667"/>
      <c r="AW76" s="4667"/>
      <c r="AX76" s="4667"/>
      <c r="AY76" s="4667"/>
      <c r="AZ76" s="4667"/>
      <c r="BA76" s="4667"/>
      <c r="BB76" s="4667"/>
      <c r="BC76" s="4667"/>
      <c r="BD76" s="4667"/>
      <c r="BE76" s="4667"/>
      <c r="BF76" s="4667"/>
      <c r="BG76" s="4667"/>
      <c r="BH76" s="4667"/>
      <c r="BI76" s="1"/>
      <c r="BJ76" s="4667"/>
      <c r="BK76" s="4667"/>
      <c r="BL76" s="4667"/>
      <c r="BM76" s="4667"/>
      <c r="BN76" s="4667"/>
      <c r="BO76" s="4667"/>
      <c r="BP76" s="4632"/>
      <c r="BQ76" s="4632"/>
      <c r="BR76" s="1"/>
      <c r="BS76" s="1"/>
      <c r="BT76" s="1"/>
      <c r="BU76" s="1"/>
      <c r="BV76" s="1"/>
      <c r="BW76" s="1"/>
      <c r="BX76" s="1"/>
      <c r="BY76" s="4632"/>
      <c r="BZ76" s="4632"/>
      <c r="CA76" s="1"/>
      <c r="CB76" s="4692"/>
      <c r="CC76" s="4692"/>
      <c r="CD76" s="4692"/>
      <c r="CE76" s="4692"/>
      <c r="CF76" s="4692"/>
      <c r="CG76" s="4693"/>
      <c r="CH76" s="1"/>
      <c r="CI76" s="1"/>
      <c r="CJ76" s="1"/>
      <c r="CK76" s="1"/>
      <c r="CL76" s="1"/>
      <c r="CM76" s="1"/>
      <c r="CN76" s="1"/>
      <c r="CO76" s="1"/>
    </row>
    <row r="77" spans="1:93" ht="13.2">
      <c r="A77" s="4669"/>
      <c r="B77" s="4670"/>
      <c r="C77" s="4678"/>
      <c r="D77" s="4679"/>
      <c r="E77" s="4679"/>
      <c r="F77" s="4679"/>
      <c r="G77" s="4679"/>
      <c r="H77" s="4679"/>
      <c r="I77" s="4680"/>
      <c r="J77" s="4628"/>
      <c r="K77" s="4673"/>
      <c r="L77" s="4679"/>
      <c r="M77" s="4679"/>
      <c r="N77" s="4679"/>
      <c r="O77" s="4679"/>
      <c r="P77" s="4679"/>
      <c r="Q77" s="4680"/>
      <c r="R77" s="4629"/>
      <c r="S77" s="4673"/>
      <c r="T77" s="4679"/>
      <c r="U77" s="4679"/>
      <c r="V77" s="4679"/>
      <c r="W77" s="4679"/>
      <c r="X77" s="4679"/>
      <c r="Y77" s="4680"/>
      <c r="Z77" s="4629"/>
      <c r="AA77" s="4678"/>
      <c r="AB77" s="4679"/>
      <c r="AC77" s="4679"/>
      <c r="AD77" s="4679"/>
      <c r="AE77" s="4679"/>
      <c r="AF77" s="4679"/>
      <c r="AG77" s="4680"/>
      <c r="AH77" s="4629"/>
      <c r="AI77" s="4678"/>
      <c r="AJ77" s="4679"/>
      <c r="AK77" s="4679"/>
      <c r="AL77" s="4679"/>
      <c r="AM77" s="4679"/>
      <c r="AN77" s="4679"/>
      <c r="AO77" s="4680"/>
      <c r="AP77" s="4629"/>
      <c r="AQ77" s="4678"/>
      <c r="AR77" s="4679"/>
      <c r="AS77" s="4679"/>
      <c r="AT77" s="4679"/>
      <c r="AU77" s="4679"/>
      <c r="AV77" s="4679"/>
      <c r="AW77" s="3952"/>
      <c r="AX77" s="4680"/>
      <c r="AY77" s="4680"/>
      <c r="AZ77" s="4680"/>
      <c r="BA77" s="4680"/>
      <c r="BB77" s="4680"/>
      <c r="BC77" s="4674"/>
      <c r="BD77" s="4674"/>
      <c r="BE77" s="4674"/>
      <c r="BF77" s="4674"/>
      <c r="BG77" s="4674"/>
      <c r="BH77" s="4674"/>
      <c r="BI77" s="1"/>
      <c r="BJ77" s="3952"/>
      <c r="BK77" s="4680"/>
      <c r="BL77" s="4680"/>
      <c r="BM77" s="4680"/>
      <c r="BN77" s="4680"/>
      <c r="BO77" s="4680"/>
      <c r="BP77" s="4628"/>
      <c r="BQ77" s="4628"/>
      <c r="BR77" s="1"/>
      <c r="BS77" s="3382"/>
      <c r="BT77" s="4681"/>
      <c r="BU77" s="4681"/>
      <c r="BV77" s="4681"/>
      <c r="BW77" s="4681"/>
      <c r="BX77" s="4681"/>
      <c r="BY77" s="4628"/>
      <c r="BZ77" s="4628"/>
      <c r="CA77" s="1"/>
      <c r="CB77" s="4694"/>
      <c r="CC77" s="4694"/>
      <c r="CD77" s="4694"/>
      <c r="CE77" s="4694"/>
      <c r="CF77" s="4694"/>
      <c r="CG77" s="4695"/>
      <c r="CH77" s="1"/>
      <c r="CI77" s="1"/>
      <c r="CJ77" s="1"/>
      <c r="CK77" s="1"/>
      <c r="CL77" s="1"/>
      <c r="CM77" s="1"/>
      <c r="CN77" s="1"/>
      <c r="CO77" s="1"/>
    </row>
    <row r="78" spans="1:93" ht="13.2">
      <c r="A78" s="4669"/>
      <c r="B78" s="4669"/>
      <c r="C78" s="4678"/>
      <c r="D78" s="4679"/>
      <c r="E78" s="4679"/>
      <c r="F78" s="4679"/>
      <c r="G78" s="4679"/>
      <c r="H78" s="4679"/>
      <c r="I78" s="4680"/>
      <c r="J78" s="4628"/>
      <c r="K78" s="4673"/>
      <c r="L78" s="4679"/>
      <c r="M78" s="4679"/>
      <c r="N78" s="4679"/>
      <c r="O78" s="4679"/>
      <c r="P78" s="4679"/>
      <c r="Q78" s="4680"/>
      <c r="R78" s="4629"/>
      <c r="S78" s="4673"/>
      <c r="T78" s="4679"/>
      <c r="U78" s="4679"/>
      <c r="V78" s="4679"/>
      <c r="W78" s="4679"/>
      <c r="X78" s="4679"/>
      <c r="Y78" s="4680"/>
      <c r="Z78" s="4629"/>
      <c r="AA78" s="4678"/>
      <c r="AB78" s="4679"/>
      <c r="AC78" s="4679"/>
      <c r="AD78" s="4679"/>
      <c r="AE78" s="4679"/>
      <c r="AF78" s="4679"/>
      <c r="AG78" s="4680"/>
      <c r="AH78" s="4629"/>
      <c r="AI78" s="4678"/>
      <c r="AJ78" s="4679"/>
      <c r="AK78" s="4679"/>
      <c r="AL78" s="4679"/>
      <c r="AM78" s="4679"/>
      <c r="AN78" s="4679"/>
      <c r="AO78" s="4680"/>
      <c r="AP78" s="4629"/>
      <c r="AQ78" s="4678"/>
      <c r="AR78" s="4679"/>
      <c r="AS78" s="4679"/>
      <c r="AT78" s="4679"/>
      <c r="AU78" s="4679"/>
      <c r="AV78" s="4679"/>
      <c r="AW78" s="3952"/>
      <c r="AX78" s="4680"/>
      <c r="AY78" s="4680"/>
      <c r="AZ78" s="4680"/>
      <c r="BA78" s="4680"/>
      <c r="BB78" s="4680"/>
      <c r="BC78" s="4674"/>
      <c r="BD78" s="4674"/>
      <c r="BE78" s="4674"/>
      <c r="BF78" s="4674"/>
      <c r="BG78" s="4674"/>
      <c r="BH78" s="4674"/>
      <c r="BI78" s="1"/>
      <c r="BJ78" s="3952"/>
      <c r="BK78" s="4680"/>
      <c r="BL78" s="4680"/>
      <c r="BM78" s="4680"/>
      <c r="BN78" s="4680"/>
      <c r="BO78" s="4680"/>
      <c r="BP78" s="4628"/>
      <c r="BQ78" s="4628"/>
      <c r="BR78" s="1"/>
      <c r="BS78" s="3382"/>
      <c r="BT78" s="4681"/>
      <c r="BU78" s="4681"/>
      <c r="BV78" s="4681"/>
      <c r="BW78" s="4681"/>
      <c r="BX78" s="4681"/>
      <c r="BY78" s="4628"/>
      <c r="BZ78" s="4628"/>
      <c r="CA78" s="1"/>
      <c r="CB78" s="4694"/>
      <c r="CC78" s="4694"/>
      <c r="CD78" s="4694"/>
      <c r="CE78" s="4694"/>
      <c r="CF78" s="4694"/>
      <c r="CG78" s="4695"/>
      <c r="CH78" s="1"/>
      <c r="CI78" s="1"/>
      <c r="CJ78" s="1"/>
      <c r="CK78" s="1"/>
      <c r="CL78" s="1"/>
      <c r="CM78" s="1"/>
      <c r="CN78" s="1"/>
      <c r="CO78" s="1"/>
    </row>
    <row r="79" spans="1:93" ht="13.2">
      <c r="A79" s="4669"/>
      <c r="B79" s="4670"/>
      <c r="C79" s="4678"/>
      <c r="D79" s="4679"/>
      <c r="E79" s="4679"/>
      <c r="F79" s="4679"/>
      <c r="G79" s="4679"/>
      <c r="H79" s="4679"/>
      <c r="I79" s="4680"/>
      <c r="J79" s="4628"/>
      <c r="K79" s="4673"/>
      <c r="L79" s="4679"/>
      <c r="M79" s="4679"/>
      <c r="N79" s="4679"/>
      <c r="O79" s="4679"/>
      <c r="P79" s="4679"/>
      <c r="Q79" s="4680"/>
      <c r="R79" s="4629"/>
      <c r="S79" s="4673"/>
      <c r="T79" s="4679"/>
      <c r="U79" s="4679"/>
      <c r="V79" s="4679"/>
      <c r="W79" s="4679"/>
      <c r="X79" s="4679"/>
      <c r="Y79" s="4680"/>
      <c r="Z79" s="4629"/>
      <c r="AA79" s="4678"/>
      <c r="AB79" s="4679"/>
      <c r="AC79" s="4679"/>
      <c r="AD79" s="4679"/>
      <c r="AE79" s="4679"/>
      <c r="AF79" s="4679"/>
      <c r="AG79" s="4680"/>
      <c r="AH79" s="4629"/>
      <c r="AI79" s="4678"/>
      <c r="AJ79" s="4679"/>
      <c r="AK79" s="4679"/>
      <c r="AL79" s="4679"/>
      <c r="AM79" s="4679"/>
      <c r="AN79" s="4679"/>
      <c r="AO79" s="4680"/>
      <c r="AP79" s="4629"/>
      <c r="AQ79" s="4678"/>
      <c r="AR79" s="4679"/>
      <c r="AS79" s="4679"/>
      <c r="AT79" s="4679"/>
      <c r="AU79" s="4679"/>
      <c r="AV79" s="4679"/>
      <c r="AW79" s="3952"/>
      <c r="AX79" s="4680"/>
      <c r="AY79" s="4680"/>
      <c r="AZ79" s="4680"/>
      <c r="BA79" s="4680"/>
      <c r="BB79" s="4680"/>
      <c r="BC79" s="4674"/>
      <c r="BD79" s="4674"/>
      <c r="BE79" s="4674"/>
      <c r="BF79" s="4674"/>
      <c r="BG79" s="4674"/>
      <c r="BH79" s="4674"/>
      <c r="BI79" s="1"/>
      <c r="BJ79" s="3952"/>
      <c r="BK79" s="4680"/>
      <c r="BL79" s="4680"/>
      <c r="BM79" s="4680"/>
      <c r="BN79" s="4680"/>
      <c r="BO79" s="4680"/>
      <c r="BP79" s="4628"/>
      <c r="BQ79" s="4628"/>
      <c r="BR79" s="1"/>
      <c r="BS79" s="3382"/>
      <c r="BT79" s="4681"/>
      <c r="BU79" s="4681"/>
      <c r="BV79" s="4681"/>
      <c r="BW79" s="4681"/>
      <c r="BX79" s="4681"/>
      <c r="BY79" s="4628"/>
      <c r="BZ79" s="4628"/>
      <c r="CA79" s="1"/>
      <c r="CB79" s="4694"/>
      <c r="CC79" s="4694"/>
      <c r="CD79" s="4694"/>
      <c r="CE79" s="4694"/>
      <c r="CF79" s="4694"/>
      <c r="CG79" s="4695"/>
      <c r="CH79" s="1"/>
      <c r="CI79" s="1"/>
      <c r="CJ79" s="1"/>
      <c r="CK79" s="1"/>
      <c r="CL79" s="1"/>
      <c r="CM79" s="1"/>
      <c r="CN79" s="1"/>
      <c r="CO79" s="1"/>
    </row>
    <row r="80" spans="1:93" ht="13.2">
      <c r="A80" s="4669"/>
      <c r="B80" s="4670"/>
      <c r="C80" s="4678"/>
      <c r="D80" s="4679"/>
      <c r="E80" s="4679"/>
      <c r="F80" s="4679"/>
      <c r="G80" s="4679"/>
      <c r="H80" s="4679"/>
      <c r="I80" s="4680"/>
      <c r="J80" s="4628"/>
      <c r="K80" s="4673"/>
      <c r="L80" s="4679"/>
      <c r="M80" s="4679"/>
      <c r="N80" s="4679"/>
      <c r="O80" s="4679"/>
      <c r="P80" s="4679"/>
      <c r="Q80" s="4680"/>
      <c r="R80" s="4629"/>
      <c r="S80" s="4673"/>
      <c r="T80" s="4679"/>
      <c r="U80" s="4679"/>
      <c r="V80" s="4679"/>
      <c r="W80" s="4679"/>
      <c r="X80" s="4679"/>
      <c r="Y80" s="4680"/>
      <c r="Z80" s="4629"/>
      <c r="AA80" s="4678"/>
      <c r="AB80" s="4679"/>
      <c r="AC80" s="4679"/>
      <c r="AD80" s="4679"/>
      <c r="AE80" s="4679"/>
      <c r="AF80" s="4679"/>
      <c r="AG80" s="4680"/>
      <c r="AH80" s="4629"/>
      <c r="AI80" s="4678"/>
      <c r="AJ80" s="4679"/>
      <c r="AK80" s="4679"/>
      <c r="AL80" s="4679"/>
      <c r="AM80" s="4679"/>
      <c r="AN80" s="4679"/>
      <c r="AO80" s="4680"/>
      <c r="AP80" s="4629"/>
      <c r="AQ80" s="4678"/>
      <c r="AR80" s="4679"/>
      <c r="AS80" s="4679"/>
      <c r="AT80" s="4679"/>
      <c r="AU80" s="4679"/>
      <c r="AV80" s="4679"/>
      <c r="AW80" s="3952"/>
      <c r="AX80" s="4680"/>
      <c r="AY80" s="4680"/>
      <c r="AZ80" s="4680"/>
      <c r="BA80" s="4680"/>
      <c r="BB80" s="4680"/>
      <c r="BC80" s="4674"/>
      <c r="BD80" s="4674"/>
      <c r="BE80" s="4674"/>
      <c r="BF80" s="4674"/>
      <c r="BG80" s="4674"/>
      <c r="BH80" s="4674"/>
      <c r="BI80" s="1"/>
      <c r="BJ80" s="3952"/>
      <c r="BK80" s="4680"/>
      <c r="BL80" s="4680"/>
      <c r="BM80" s="4680"/>
      <c r="BN80" s="4680"/>
      <c r="BO80" s="4680"/>
      <c r="BP80" s="4628"/>
      <c r="BQ80" s="4628"/>
      <c r="BR80" s="1"/>
      <c r="BS80" s="3382"/>
      <c r="BT80" s="4681"/>
      <c r="BU80" s="4681"/>
      <c r="BV80" s="4681"/>
      <c r="BW80" s="4681"/>
      <c r="BX80" s="4681"/>
      <c r="BY80" s="4628"/>
      <c r="BZ80" s="4628"/>
      <c r="CA80" s="1"/>
      <c r="CB80" s="4694"/>
      <c r="CC80" s="4694"/>
      <c r="CD80" s="4694"/>
      <c r="CE80" s="4694"/>
      <c r="CF80" s="4694"/>
      <c r="CG80" s="4695"/>
      <c r="CH80" s="1"/>
      <c r="CI80" s="1"/>
      <c r="CJ80" s="1"/>
      <c r="CK80" s="1"/>
      <c r="CL80" s="1"/>
      <c r="CM80" s="1"/>
      <c r="CN80" s="1"/>
      <c r="CO80" s="1"/>
    </row>
    <row r="81" spans="1:93" ht="13.2">
      <c r="A81" s="4669"/>
      <c r="B81" s="4670"/>
      <c r="C81" s="4678"/>
      <c r="D81" s="4679"/>
      <c r="E81" s="4679"/>
      <c r="F81" s="4679"/>
      <c r="G81" s="4679"/>
      <c r="H81" s="4679"/>
      <c r="I81" s="4680"/>
      <c r="J81" s="4628"/>
      <c r="K81" s="4673"/>
      <c r="L81" s="4679"/>
      <c r="M81" s="4679"/>
      <c r="N81" s="4679"/>
      <c r="O81" s="4679"/>
      <c r="P81" s="4679"/>
      <c r="Q81" s="4680"/>
      <c r="R81" s="4629"/>
      <c r="S81" s="4673"/>
      <c r="T81" s="4679"/>
      <c r="U81" s="4679"/>
      <c r="V81" s="4679"/>
      <c r="W81" s="4679"/>
      <c r="X81" s="4679"/>
      <c r="Y81" s="4680"/>
      <c r="Z81" s="4629"/>
      <c r="AA81" s="4678"/>
      <c r="AB81" s="4679"/>
      <c r="AC81" s="4679"/>
      <c r="AD81" s="4679"/>
      <c r="AE81" s="4679"/>
      <c r="AF81" s="4679"/>
      <c r="AG81" s="4680"/>
      <c r="AH81" s="4629"/>
      <c r="AI81" s="4678"/>
      <c r="AJ81" s="4679"/>
      <c r="AK81" s="4679"/>
      <c r="AL81" s="4679"/>
      <c r="AM81" s="4679"/>
      <c r="AN81" s="4679"/>
      <c r="AO81" s="4680"/>
      <c r="AP81" s="4629"/>
      <c r="AQ81" s="4678"/>
      <c r="AR81" s="4679"/>
      <c r="AS81" s="4679"/>
      <c r="AT81" s="4679"/>
      <c r="AU81" s="4679"/>
      <c r="AV81" s="4679"/>
      <c r="AW81" s="3952"/>
      <c r="AX81" s="4680"/>
      <c r="AY81" s="4680"/>
      <c r="AZ81" s="4680"/>
      <c r="BA81" s="4680"/>
      <c r="BB81" s="4680"/>
      <c r="BC81" s="4674"/>
      <c r="BD81" s="4674"/>
      <c r="BE81" s="4674"/>
      <c r="BF81" s="4674"/>
      <c r="BG81" s="4674"/>
      <c r="BH81" s="4674"/>
      <c r="BI81" s="1"/>
      <c r="BJ81" s="3952"/>
      <c r="BK81" s="4680"/>
      <c r="BL81" s="4680"/>
      <c r="BM81" s="4680"/>
      <c r="BN81" s="4680"/>
      <c r="BO81" s="4680"/>
      <c r="BP81" s="4628"/>
      <c r="BQ81" s="4628"/>
      <c r="BR81" s="1"/>
      <c r="BS81" s="3382"/>
      <c r="BT81" s="4681"/>
      <c r="BU81" s="4681"/>
      <c r="BV81" s="4681"/>
      <c r="BW81" s="4681"/>
      <c r="BX81" s="4681"/>
      <c r="BY81" s="4628"/>
      <c r="BZ81" s="4628"/>
      <c r="CA81" s="1"/>
      <c r="CB81" s="4694"/>
      <c r="CC81" s="4694"/>
      <c r="CD81" s="4694"/>
      <c r="CE81" s="4694"/>
      <c r="CF81" s="4694"/>
      <c r="CG81" s="4695"/>
      <c r="CH81" s="1"/>
      <c r="CI81" s="1"/>
      <c r="CJ81" s="1"/>
      <c r="CK81" s="1"/>
      <c r="CL81" s="1"/>
      <c r="CM81" s="1"/>
      <c r="CN81" s="1"/>
      <c r="CO81" s="1"/>
    </row>
    <row r="82" spans="1:93" ht="13.2">
      <c r="A82" s="4669"/>
      <c r="B82" s="4697"/>
      <c r="C82" s="4678"/>
      <c r="D82" s="4679"/>
      <c r="E82" s="4679"/>
      <c r="F82" s="4679"/>
      <c r="G82" s="4679"/>
      <c r="H82" s="4679"/>
      <c r="I82" s="4680"/>
      <c r="J82" s="4628"/>
      <c r="K82" s="4673"/>
      <c r="L82" s="4679"/>
      <c r="M82" s="4679"/>
      <c r="N82" s="4679"/>
      <c r="O82" s="4679"/>
      <c r="P82" s="4679"/>
      <c r="Q82" s="4680"/>
      <c r="R82" s="4629"/>
      <c r="S82" s="4673"/>
      <c r="T82" s="4679"/>
      <c r="U82" s="4679"/>
      <c r="V82" s="4679"/>
      <c r="W82" s="4679"/>
      <c r="X82" s="4679"/>
      <c r="Y82" s="4680"/>
      <c r="Z82" s="4629"/>
      <c r="AA82" s="4678"/>
      <c r="AB82" s="4679"/>
      <c r="AC82" s="4679"/>
      <c r="AD82" s="4679"/>
      <c r="AE82" s="4679"/>
      <c r="AF82" s="4679"/>
      <c r="AG82" s="4680"/>
      <c r="AH82" s="4629"/>
      <c r="AI82" s="4678"/>
      <c r="AJ82" s="4679"/>
      <c r="AK82" s="4679"/>
      <c r="AL82" s="4679"/>
      <c r="AM82" s="4679"/>
      <c r="AN82" s="4679"/>
      <c r="AO82" s="4680"/>
      <c r="AP82" s="4629"/>
      <c r="AQ82" s="4678"/>
      <c r="AR82" s="4679"/>
      <c r="AS82" s="4679"/>
      <c r="AT82" s="4679"/>
      <c r="AU82" s="4679"/>
      <c r="AV82" s="4679"/>
      <c r="AW82" s="3952"/>
      <c r="AX82" s="4680"/>
      <c r="AY82" s="4680"/>
      <c r="AZ82" s="4680"/>
      <c r="BA82" s="4680"/>
      <c r="BB82" s="4680"/>
      <c r="BC82" s="4674"/>
      <c r="BD82" s="4674"/>
      <c r="BE82" s="4674"/>
      <c r="BF82" s="4674"/>
      <c r="BG82" s="4674"/>
      <c r="BH82" s="4674"/>
      <c r="BI82" s="1"/>
      <c r="BJ82" s="3952"/>
      <c r="BK82" s="4680"/>
      <c r="BL82" s="4680"/>
      <c r="BM82" s="4680"/>
      <c r="BN82" s="4680"/>
      <c r="BO82" s="4680"/>
      <c r="BP82" s="4628"/>
      <c r="BQ82" s="4628"/>
      <c r="BR82" s="1"/>
      <c r="BS82" s="1"/>
      <c r="BT82" s="1"/>
      <c r="BU82" s="1"/>
      <c r="BV82" s="1"/>
      <c r="BW82" s="1"/>
      <c r="BX82" s="1"/>
      <c r="BY82" s="4628"/>
      <c r="BZ82" s="4628"/>
      <c r="CA82" s="1"/>
      <c r="CB82" s="4694"/>
      <c r="CC82" s="4694"/>
      <c r="CD82" s="4694"/>
      <c r="CE82" s="4694"/>
      <c r="CF82" s="4694"/>
      <c r="CG82" s="4695"/>
      <c r="CH82" s="1"/>
      <c r="CI82" s="1"/>
      <c r="CJ82" s="1"/>
      <c r="CK82" s="1"/>
      <c r="CL82" s="1"/>
      <c r="CM82" s="1"/>
      <c r="CN82" s="1"/>
      <c r="CO82" s="1"/>
    </row>
    <row r="83" spans="1:93" ht="13.2">
      <c r="A83" s="4669"/>
      <c r="B83" s="4670"/>
      <c r="C83" s="3952"/>
      <c r="D83" s="3952"/>
      <c r="E83" s="3952"/>
      <c r="F83" s="3952"/>
      <c r="G83" s="3952"/>
      <c r="H83" s="3952"/>
      <c r="I83" s="3952"/>
      <c r="J83" s="4628"/>
      <c r="K83" s="3952"/>
      <c r="L83" s="3952"/>
      <c r="M83" s="3952"/>
      <c r="N83" s="3952"/>
      <c r="O83" s="3952"/>
      <c r="P83" s="3952"/>
      <c r="Q83" s="3952"/>
      <c r="R83" s="4629"/>
      <c r="S83" s="3952"/>
      <c r="T83" s="3952"/>
      <c r="U83" s="3952"/>
      <c r="V83" s="3952"/>
      <c r="W83" s="3952"/>
      <c r="X83" s="3952"/>
      <c r="Y83" s="3952"/>
      <c r="Z83" s="4629"/>
      <c r="AA83" s="3952"/>
      <c r="AB83" s="3952"/>
      <c r="AC83" s="3952"/>
      <c r="AD83" s="3952"/>
      <c r="AE83" s="3952"/>
      <c r="AF83" s="3952"/>
      <c r="AG83" s="3952"/>
      <c r="AH83" s="4629"/>
      <c r="AI83" s="3952"/>
      <c r="AJ83" s="3952"/>
      <c r="AK83" s="3952"/>
      <c r="AL83" s="3952"/>
      <c r="AM83" s="3952"/>
      <c r="AN83" s="3952"/>
      <c r="AO83" s="3952"/>
      <c r="AP83" s="4629"/>
      <c r="AQ83" s="3952"/>
      <c r="AR83" s="3952"/>
      <c r="AS83" s="3952"/>
      <c r="AT83" s="3952"/>
      <c r="AU83" s="3952"/>
      <c r="AV83" s="3952"/>
      <c r="AW83" s="3952"/>
      <c r="AX83" s="3952"/>
      <c r="AY83" s="3952"/>
      <c r="AZ83" s="3952"/>
      <c r="BA83" s="3952"/>
      <c r="BB83" s="3952"/>
      <c r="BC83" s="3952"/>
      <c r="BD83" s="3952"/>
      <c r="BE83" s="3952"/>
      <c r="BF83" s="3952"/>
      <c r="BG83" s="3952"/>
      <c r="BH83" s="3952"/>
      <c r="BI83" s="1"/>
      <c r="BJ83" s="3952"/>
      <c r="BK83" s="3952"/>
      <c r="BL83" s="3952"/>
      <c r="BM83" s="3952"/>
      <c r="BN83" s="3952"/>
      <c r="BO83" s="3952"/>
      <c r="BP83" s="4628"/>
      <c r="BQ83" s="4628"/>
      <c r="BR83" s="1"/>
      <c r="BS83" s="1"/>
      <c r="BT83" s="1"/>
      <c r="BU83" s="1"/>
      <c r="BV83" s="1"/>
      <c r="BW83" s="1"/>
      <c r="BX83" s="1"/>
      <c r="BY83" s="4628"/>
      <c r="BZ83" s="4628"/>
      <c r="CA83" s="1"/>
      <c r="CB83" s="4694"/>
      <c r="CC83" s="4694"/>
      <c r="CD83" s="4694"/>
      <c r="CE83" s="4694"/>
      <c r="CF83" s="4694"/>
      <c r="CG83" s="4695"/>
      <c r="CH83" s="1"/>
      <c r="CI83" s="1"/>
      <c r="CJ83" s="1"/>
      <c r="CK83" s="1"/>
      <c r="CL83" s="1"/>
      <c r="CM83" s="1"/>
      <c r="CN83" s="1"/>
      <c r="CO83" s="1"/>
    </row>
    <row r="84" spans="1:93" s="4675" customFormat="1" ht="13.2">
      <c r="A84" s="4671"/>
      <c r="B84" s="4684"/>
      <c r="C84" s="4678"/>
      <c r="D84" s="4679"/>
      <c r="E84" s="4679"/>
      <c r="F84" s="4679"/>
      <c r="G84" s="4679"/>
      <c r="H84" s="4679"/>
      <c r="I84" s="4680"/>
      <c r="J84" s="4628"/>
      <c r="K84" s="4673"/>
      <c r="L84" s="4679"/>
      <c r="M84" s="4679"/>
      <c r="N84" s="4679"/>
      <c r="O84" s="4679"/>
      <c r="P84" s="4679"/>
      <c r="Q84" s="4680"/>
      <c r="R84" s="4629"/>
      <c r="S84" s="4673"/>
      <c r="T84" s="4679"/>
      <c r="U84" s="4679"/>
      <c r="V84" s="4679"/>
      <c r="W84" s="4679"/>
      <c r="X84" s="4679"/>
      <c r="Y84" s="4680"/>
      <c r="Z84" s="4629"/>
      <c r="AA84" s="4678"/>
      <c r="AB84" s="4679"/>
      <c r="AC84" s="4679"/>
      <c r="AD84" s="4679"/>
      <c r="AE84" s="4679"/>
      <c r="AF84" s="4679"/>
      <c r="AG84" s="4680"/>
      <c r="AH84" s="4629"/>
      <c r="AI84" s="4678"/>
      <c r="AJ84" s="4679"/>
      <c r="AK84" s="4679"/>
      <c r="AL84" s="4679"/>
      <c r="AM84" s="4679"/>
      <c r="AN84" s="4679"/>
      <c r="AO84" s="4680"/>
      <c r="AP84" s="4629"/>
      <c r="AQ84" s="4678"/>
      <c r="AR84" s="4679"/>
      <c r="AS84" s="4679"/>
      <c r="AT84" s="4679"/>
      <c r="AU84" s="4679"/>
      <c r="AV84" s="4679"/>
      <c r="AW84" s="3952"/>
      <c r="AX84" s="4680"/>
      <c r="AY84" s="4680"/>
      <c r="AZ84" s="4680"/>
      <c r="BA84" s="4680"/>
      <c r="BB84" s="4680"/>
      <c r="BC84" s="4674"/>
      <c r="BD84" s="4674"/>
      <c r="BE84" s="4674"/>
      <c r="BF84" s="4674"/>
      <c r="BG84" s="4674"/>
      <c r="BH84" s="4674"/>
      <c r="BI84" s="1"/>
      <c r="BJ84" s="3952"/>
      <c r="BK84" s="4680"/>
      <c r="BL84" s="4680"/>
      <c r="BM84" s="4680"/>
      <c r="BN84" s="4680"/>
      <c r="BO84" s="4680"/>
      <c r="BP84" s="4628"/>
      <c r="BQ84" s="4628"/>
      <c r="BR84" s="1"/>
      <c r="BS84" s="1"/>
      <c r="BT84" s="1"/>
      <c r="BU84" s="1"/>
      <c r="BV84" s="1"/>
      <c r="BW84" s="1"/>
      <c r="BX84" s="1"/>
      <c r="BY84" s="4628"/>
      <c r="BZ84" s="4628"/>
      <c r="CA84" s="1"/>
      <c r="CB84" s="4694"/>
      <c r="CC84" s="4694"/>
      <c r="CD84" s="4694"/>
      <c r="CE84" s="4694"/>
      <c r="CF84" s="4694"/>
      <c r="CG84" s="4695"/>
      <c r="CH84" s="1"/>
      <c r="CI84" s="1"/>
      <c r="CJ84" s="1"/>
      <c r="CK84" s="1"/>
      <c r="CL84" s="1"/>
      <c r="CM84" s="1"/>
      <c r="CN84" s="1"/>
      <c r="CO84" s="1"/>
    </row>
    <row r="85" spans="1:93" s="4675" customFormat="1" ht="13.2">
      <c r="A85" s="4671"/>
      <c r="B85" s="4673"/>
      <c r="C85" s="4678"/>
      <c r="D85" s="4679"/>
      <c r="E85" s="4679"/>
      <c r="F85" s="4679"/>
      <c r="G85" s="4679"/>
      <c r="H85" s="4679"/>
      <c r="I85" s="4680"/>
      <c r="J85" s="4628"/>
      <c r="K85" s="4678"/>
      <c r="L85" s="4679"/>
      <c r="M85" s="4679"/>
      <c r="N85" s="4679"/>
      <c r="O85" s="4679"/>
      <c r="P85" s="4679"/>
      <c r="Q85" s="4680"/>
      <c r="R85" s="4629"/>
      <c r="S85" s="4678"/>
      <c r="T85" s="4679"/>
      <c r="U85" s="4679"/>
      <c r="V85" s="4679"/>
      <c r="W85" s="4679"/>
      <c r="X85" s="4679"/>
      <c r="Y85" s="4680"/>
      <c r="Z85" s="4629"/>
      <c r="AA85" s="4678"/>
      <c r="AB85" s="4679"/>
      <c r="AC85" s="4679"/>
      <c r="AD85" s="4679"/>
      <c r="AE85" s="4679"/>
      <c r="AF85" s="4679"/>
      <c r="AG85" s="4680"/>
      <c r="AH85" s="4629"/>
      <c r="AI85" s="4678"/>
      <c r="AJ85" s="4679"/>
      <c r="AK85" s="4679"/>
      <c r="AL85" s="4679"/>
      <c r="AM85" s="4679"/>
      <c r="AN85" s="4679"/>
      <c r="AO85" s="4680"/>
      <c r="AP85" s="4629"/>
      <c r="AQ85" s="4678"/>
      <c r="AR85" s="4679"/>
      <c r="AS85" s="4679"/>
      <c r="AT85" s="4679"/>
      <c r="AU85" s="4679"/>
      <c r="AV85" s="4679"/>
      <c r="AW85" s="3952"/>
      <c r="AX85" s="4680"/>
      <c r="AY85" s="4680"/>
      <c r="AZ85" s="4680"/>
      <c r="BA85" s="4680"/>
      <c r="BB85" s="4680"/>
      <c r="BC85" s="4674"/>
      <c r="BD85" s="4674"/>
      <c r="BE85" s="4674"/>
      <c r="BF85" s="4674"/>
      <c r="BG85" s="4674"/>
      <c r="BH85" s="4674"/>
      <c r="BI85" s="1"/>
      <c r="BJ85" s="3952"/>
      <c r="BK85" s="4680"/>
      <c r="BL85" s="4680"/>
      <c r="BM85" s="4680"/>
      <c r="BN85" s="4680"/>
      <c r="BO85" s="4680"/>
      <c r="BP85" s="4628"/>
      <c r="BQ85" s="4628"/>
      <c r="BR85" s="1"/>
      <c r="BS85" s="1"/>
      <c r="BT85" s="1"/>
      <c r="BU85" s="1"/>
      <c r="BV85" s="1"/>
      <c r="BW85" s="1"/>
      <c r="BX85" s="1"/>
      <c r="BY85" s="4628"/>
      <c r="BZ85" s="4628"/>
      <c r="CA85" s="1"/>
      <c r="CB85" s="4694"/>
      <c r="CC85" s="4694"/>
      <c r="CD85" s="4694"/>
      <c r="CE85" s="4694"/>
      <c r="CF85" s="4694"/>
      <c r="CG85" s="4695"/>
      <c r="CH85" s="1"/>
      <c r="CI85" s="1"/>
      <c r="CJ85" s="1"/>
      <c r="CK85" s="1"/>
      <c r="CL85" s="1"/>
      <c r="CM85" s="1"/>
      <c r="CN85" s="1"/>
      <c r="CO85" s="1"/>
    </row>
    <row r="86" spans="1:93" s="4675" customFormat="1" ht="13.2">
      <c r="A86" s="4671"/>
      <c r="B86" s="4673"/>
      <c r="C86" s="4679"/>
      <c r="D86" s="4679"/>
      <c r="E86" s="4679"/>
      <c r="F86" s="4679"/>
      <c r="G86" s="4679"/>
      <c r="H86" s="4679"/>
      <c r="I86" s="4680"/>
      <c r="J86" s="4628"/>
      <c r="K86" s="4678"/>
      <c r="L86" s="4679"/>
      <c r="M86" s="4679"/>
      <c r="N86" s="4679"/>
      <c r="O86" s="4679"/>
      <c r="P86" s="4679"/>
      <c r="Q86" s="4680"/>
      <c r="R86" s="4629"/>
      <c r="S86" s="4678"/>
      <c r="T86" s="4679"/>
      <c r="U86" s="4679"/>
      <c r="V86" s="4679"/>
      <c r="W86" s="4679"/>
      <c r="X86" s="4679"/>
      <c r="Y86" s="4680"/>
      <c r="Z86" s="4629"/>
      <c r="AA86" s="4678"/>
      <c r="AB86" s="4679"/>
      <c r="AC86" s="4679"/>
      <c r="AD86" s="4679"/>
      <c r="AE86" s="4679"/>
      <c r="AF86" s="4679"/>
      <c r="AG86" s="4680"/>
      <c r="AH86" s="4629"/>
      <c r="AI86" s="4678"/>
      <c r="AJ86" s="4679"/>
      <c r="AK86" s="4679"/>
      <c r="AL86" s="4679"/>
      <c r="AM86" s="4679"/>
      <c r="AN86" s="4679"/>
      <c r="AO86" s="4680"/>
      <c r="AP86" s="4629"/>
      <c r="AQ86" s="4679"/>
      <c r="AR86" s="4679"/>
      <c r="AS86" s="4679"/>
      <c r="AT86" s="4679"/>
      <c r="AU86" s="4679"/>
      <c r="AV86" s="4679"/>
      <c r="AW86" s="3952"/>
      <c r="AX86" s="4680"/>
      <c r="AY86" s="4680"/>
      <c r="AZ86" s="4680"/>
      <c r="BA86" s="4680"/>
      <c r="BB86" s="4680"/>
      <c r="BC86" s="4674"/>
      <c r="BD86" s="4674"/>
      <c r="BE86" s="4674"/>
      <c r="BF86" s="4674"/>
      <c r="BG86" s="4674"/>
      <c r="BH86" s="4674"/>
      <c r="BI86" s="1"/>
      <c r="BJ86" s="3952"/>
      <c r="BK86" s="4680"/>
      <c r="BL86" s="4680"/>
      <c r="BM86" s="4680"/>
      <c r="BN86" s="4680"/>
      <c r="BO86" s="4680"/>
      <c r="BP86" s="4628"/>
      <c r="BQ86" s="4628"/>
      <c r="BR86" s="1"/>
      <c r="BS86" s="1"/>
      <c r="BT86" s="1"/>
      <c r="BU86" s="1"/>
      <c r="BV86" s="1"/>
      <c r="BW86" s="1"/>
      <c r="BX86" s="1"/>
      <c r="BY86" s="4628"/>
      <c r="BZ86" s="4628"/>
      <c r="CA86" s="1"/>
      <c r="CB86" s="4694"/>
      <c r="CC86" s="4694"/>
      <c r="CD86" s="4694"/>
      <c r="CE86" s="4694"/>
      <c r="CF86" s="4694"/>
      <c r="CG86" s="4695"/>
      <c r="CH86" s="1"/>
      <c r="CI86" s="1"/>
      <c r="CJ86" s="1"/>
      <c r="CK86" s="1"/>
      <c r="CL86" s="1"/>
      <c r="CM86" s="1"/>
      <c r="CN86" s="1"/>
      <c r="CO86" s="1"/>
    </row>
    <row r="87" spans="1:93" s="4675" customFormat="1" ht="13.2">
      <c r="A87" s="4671"/>
      <c r="B87" s="4673"/>
      <c r="C87" s="4678"/>
      <c r="D87" s="4679"/>
      <c r="E87" s="4679"/>
      <c r="F87" s="4679"/>
      <c r="G87" s="4679"/>
      <c r="H87" s="4679"/>
      <c r="I87" s="4680"/>
      <c r="J87" s="4628"/>
      <c r="K87" s="4678"/>
      <c r="L87" s="4679"/>
      <c r="M87" s="4679"/>
      <c r="N87" s="4679"/>
      <c r="O87" s="4679"/>
      <c r="P87" s="4679"/>
      <c r="Q87" s="4680"/>
      <c r="R87" s="4629"/>
      <c r="S87" s="4678"/>
      <c r="T87" s="4679"/>
      <c r="U87" s="4679"/>
      <c r="V87" s="4679"/>
      <c r="W87" s="4679"/>
      <c r="X87" s="4679"/>
      <c r="Y87" s="4680"/>
      <c r="Z87" s="4629"/>
      <c r="AA87" s="4678"/>
      <c r="AB87" s="4679"/>
      <c r="AC87" s="4679"/>
      <c r="AD87" s="4679"/>
      <c r="AE87" s="4679"/>
      <c r="AF87" s="4679"/>
      <c r="AG87" s="4680"/>
      <c r="AH87" s="4629"/>
      <c r="AI87" s="4678"/>
      <c r="AJ87" s="4679"/>
      <c r="AK87" s="4679"/>
      <c r="AL87" s="4679"/>
      <c r="AM87" s="4679"/>
      <c r="AN87" s="4679"/>
      <c r="AO87" s="4680"/>
      <c r="AP87" s="4629"/>
      <c r="AQ87" s="4678"/>
      <c r="AR87" s="4679"/>
      <c r="AS87" s="4679"/>
      <c r="AT87" s="4679"/>
      <c r="AU87" s="4679"/>
      <c r="AV87" s="4679"/>
      <c r="AW87" s="3952"/>
      <c r="AX87" s="4680"/>
      <c r="AY87" s="4680"/>
      <c r="AZ87" s="4680"/>
      <c r="BA87" s="4680"/>
      <c r="BB87" s="4680"/>
      <c r="BC87" s="4674"/>
      <c r="BD87" s="4674"/>
      <c r="BE87" s="4674"/>
      <c r="BF87" s="4674"/>
      <c r="BG87" s="4674"/>
      <c r="BH87" s="4674"/>
      <c r="BI87" s="1"/>
      <c r="BJ87" s="3952"/>
      <c r="BK87" s="4680"/>
      <c r="BL87" s="4680"/>
      <c r="BM87" s="4680"/>
      <c r="BN87" s="4680"/>
      <c r="BO87" s="4680"/>
      <c r="BP87" s="4628"/>
      <c r="BQ87" s="4628"/>
      <c r="BR87" s="1"/>
      <c r="BS87" s="1"/>
      <c r="BT87" s="1"/>
      <c r="BU87" s="1"/>
      <c r="BV87" s="1"/>
      <c r="BW87" s="1"/>
      <c r="BX87" s="1"/>
      <c r="BY87" s="4628"/>
      <c r="BZ87" s="4628"/>
      <c r="CA87" s="1"/>
      <c r="CB87" s="4694"/>
      <c r="CC87" s="4694"/>
      <c r="CD87" s="4694"/>
      <c r="CE87" s="4694"/>
      <c r="CF87" s="4694"/>
      <c r="CG87" s="4695"/>
      <c r="CH87" s="1"/>
      <c r="CI87" s="1"/>
      <c r="CJ87" s="1"/>
      <c r="CK87" s="1"/>
      <c r="CL87" s="1"/>
      <c r="CM87" s="1"/>
      <c r="CN87" s="1"/>
      <c r="CO87" s="1"/>
    </row>
    <row r="88" spans="1:93" ht="13.5" customHeight="1">
      <c r="A88" s="4698"/>
      <c r="B88" s="4661"/>
      <c r="C88" s="4667"/>
      <c r="D88" s="4667"/>
      <c r="E88" s="4667"/>
      <c r="F88" s="4667"/>
      <c r="G88" s="4667"/>
      <c r="H88" s="4667"/>
      <c r="I88" s="4667"/>
      <c r="J88" s="4632"/>
      <c r="K88" s="4667"/>
      <c r="L88" s="4667"/>
      <c r="M88" s="4667"/>
      <c r="N88" s="4667"/>
      <c r="O88" s="4667"/>
      <c r="P88" s="4667"/>
      <c r="Q88" s="4667"/>
      <c r="R88" s="4633"/>
      <c r="S88" s="4667"/>
      <c r="T88" s="4667"/>
      <c r="U88" s="4667"/>
      <c r="V88" s="4667"/>
      <c r="W88" s="4667"/>
      <c r="X88" s="4667"/>
      <c r="Y88" s="4667"/>
      <c r="Z88" s="4633"/>
      <c r="AA88" s="4667"/>
      <c r="AB88" s="4667"/>
      <c r="AC88" s="4667"/>
      <c r="AD88" s="4667"/>
      <c r="AE88" s="4667"/>
      <c r="AF88" s="4667"/>
      <c r="AG88" s="4667"/>
      <c r="AH88" s="4633"/>
      <c r="AI88" s="4667"/>
      <c r="AJ88" s="4667"/>
      <c r="AK88" s="4667"/>
      <c r="AL88" s="4667"/>
      <c r="AM88" s="4667"/>
      <c r="AN88" s="4667"/>
      <c r="AO88" s="4667"/>
      <c r="AP88" s="4633"/>
      <c r="AQ88" s="4667"/>
      <c r="AR88" s="4667"/>
      <c r="AS88" s="4667"/>
      <c r="AT88" s="4667"/>
      <c r="AU88" s="4667"/>
      <c r="AV88" s="4667"/>
      <c r="AW88" s="4667"/>
      <c r="AX88" s="4667"/>
      <c r="AY88" s="4667"/>
      <c r="AZ88" s="4667"/>
      <c r="BA88" s="4667"/>
      <c r="BB88" s="4667"/>
      <c r="BC88" s="4667"/>
      <c r="BD88" s="4667"/>
      <c r="BE88" s="4667"/>
      <c r="BF88" s="4667"/>
      <c r="BG88" s="4667"/>
      <c r="BH88" s="4667"/>
      <c r="BI88" s="1"/>
      <c r="BJ88" s="4667"/>
      <c r="BK88" s="4667"/>
      <c r="BL88" s="4667"/>
      <c r="BM88" s="4667"/>
      <c r="BN88" s="4667"/>
      <c r="BO88" s="4667"/>
      <c r="BP88" s="4632"/>
      <c r="BQ88" s="4632"/>
      <c r="BR88" s="1"/>
      <c r="BS88" s="1"/>
      <c r="BT88" s="1"/>
      <c r="BU88" s="1"/>
      <c r="BV88" s="1"/>
      <c r="BW88" s="1"/>
      <c r="BX88" s="1"/>
      <c r="BY88" s="4632"/>
      <c r="BZ88" s="4632"/>
      <c r="CA88" s="1"/>
      <c r="CB88" s="3390"/>
      <c r="CC88" s="3390"/>
      <c r="CD88" s="3390"/>
      <c r="CE88" s="3390"/>
      <c r="CF88" s="3390"/>
      <c r="CG88" s="4662"/>
      <c r="CH88" s="1"/>
      <c r="CI88" s="1"/>
      <c r="CJ88" s="1"/>
      <c r="CK88" s="1"/>
      <c r="CL88" s="1"/>
      <c r="CM88" s="1"/>
      <c r="CN88" s="1"/>
      <c r="CO88" s="1"/>
    </row>
    <row r="89" spans="1:93" s="785" customFormat="1">
      <c r="A89" s="4699"/>
      <c r="B89" s="4700"/>
      <c r="C89" s="4701"/>
      <c r="D89" s="4701"/>
      <c r="E89" s="4701"/>
      <c r="F89" s="4701"/>
      <c r="G89" s="4701"/>
      <c r="H89" s="4701"/>
      <c r="I89" s="4701"/>
      <c r="J89" s="4632"/>
      <c r="K89" s="4701"/>
      <c r="L89" s="4701"/>
      <c r="M89" s="4701"/>
      <c r="N89" s="4701"/>
      <c r="O89" s="4701"/>
      <c r="P89" s="4701"/>
      <c r="Q89" s="4701"/>
      <c r="R89" s="4633"/>
      <c r="S89" s="4701"/>
      <c r="T89" s="4701"/>
      <c r="U89" s="4701"/>
      <c r="V89" s="4701"/>
      <c r="W89" s="4701"/>
      <c r="X89" s="4701"/>
      <c r="Y89" s="4701"/>
      <c r="Z89" s="4633"/>
      <c r="AA89" s="4701"/>
      <c r="AB89" s="4701"/>
      <c r="AC89" s="4701"/>
      <c r="AD89" s="4701"/>
      <c r="AE89" s="4701"/>
      <c r="AF89" s="4701"/>
      <c r="AG89" s="4701"/>
      <c r="AH89" s="4633"/>
      <c r="AI89" s="4701"/>
      <c r="AJ89" s="4701"/>
      <c r="AK89" s="4701"/>
      <c r="AL89" s="4701"/>
      <c r="AM89" s="4701"/>
      <c r="AN89" s="4701"/>
      <c r="AO89" s="4701"/>
      <c r="AP89" s="4633"/>
      <c r="AQ89" s="4701"/>
      <c r="AR89" s="4701"/>
      <c r="AS89" s="4701"/>
      <c r="AT89" s="4701"/>
      <c r="AU89" s="4701"/>
      <c r="AV89" s="4701"/>
      <c r="AW89" s="4701"/>
      <c r="AX89" s="4701"/>
      <c r="AY89" s="4701"/>
      <c r="AZ89" s="4701"/>
      <c r="BA89" s="4701"/>
      <c r="BB89" s="4701"/>
      <c r="BC89" s="4701"/>
      <c r="BD89" s="4701"/>
      <c r="BE89" s="4701"/>
      <c r="BF89" s="4701"/>
      <c r="BG89" s="4701"/>
      <c r="BH89" s="4701"/>
      <c r="BI89" s="1"/>
      <c r="BJ89" s="4701"/>
      <c r="BK89" s="4701"/>
      <c r="BL89" s="4701"/>
      <c r="BM89" s="4701"/>
      <c r="BN89" s="4701"/>
      <c r="BO89" s="4701"/>
      <c r="BP89" s="4632"/>
      <c r="BQ89" s="4632"/>
      <c r="BR89" s="1"/>
      <c r="BS89" s="1"/>
      <c r="BT89" s="1"/>
      <c r="BU89" s="1"/>
      <c r="BV89" s="1"/>
      <c r="BW89" s="1"/>
      <c r="BX89" s="1"/>
      <c r="BY89" s="4632"/>
      <c r="BZ89" s="4632"/>
      <c r="CA89" s="1"/>
      <c r="CB89" s="3390"/>
      <c r="CC89" s="3390"/>
      <c r="CD89" s="3390"/>
      <c r="CE89" s="3390"/>
      <c r="CF89" s="3390"/>
      <c r="CG89" s="4662"/>
      <c r="CH89" s="1"/>
      <c r="CI89" s="1"/>
      <c r="CJ89" s="1"/>
      <c r="CK89" s="1"/>
      <c r="CL89" s="1"/>
      <c r="CM89" s="1"/>
      <c r="CN89" s="1"/>
      <c r="CO89" s="1"/>
    </row>
    <row r="90" spans="1:93" s="785" customFormat="1">
      <c r="A90" s="4699"/>
      <c r="B90" s="4700"/>
      <c r="C90" s="4667"/>
      <c r="D90" s="4667"/>
      <c r="E90" s="4667"/>
      <c r="F90" s="4667"/>
      <c r="G90" s="4667"/>
      <c r="H90" s="4667"/>
      <c r="I90" s="4667"/>
      <c r="J90" s="4632"/>
      <c r="K90" s="4667"/>
      <c r="L90" s="4667"/>
      <c r="M90" s="4667"/>
      <c r="N90" s="4667"/>
      <c r="O90" s="4667"/>
      <c r="P90" s="4667"/>
      <c r="Q90" s="4667"/>
      <c r="R90" s="4633"/>
      <c r="S90" s="4667"/>
      <c r="T90" s="4667"/>
      <c r="U90" s="4667"/>
      <c r="V90" s="4667"/>
      <c r="W90" s="4667"/>
      <c r="X90" s="4667"/>
      <c r="Y90" s="4667"/>
      <c r="Z90" s="4633"/>
      <c r="AA90" s="4667"/>
      <c r="AB90" s="4667"/>
      <c r="AC90" s="4667"/>
      <c r="AD90" s="4667"/>
      <c r="AE90" s="4667"/>
      <c r="AF90" s="4667"/>
      <c r="AG90" s="4667"/>
      <c r="AH90" s="4633"/>
      <c r="AI90" s="4667"/>
      <c r="AJ90" s="4667"/>
      <c r="AK90" s="4667"/>
      <c r="AL90" s="4667"/>
      <c r="AM90" s="4667"/>
      <c r="AN90" s="4667"/>
      <c r="AO90" s="4667"/>
      <c r="AP90" s="4633"/>
      <c r="AQ90" s="4667"/>
      <c r="AR90" s="4667"/>
      <c r="AS90" s="4667"/>
      <c r="AT90" s="4667"/>
      <c r="AU90" s="4667"/>
      <c r="AV90" s="4667"/>
      <c r="AW90" s="4667"/>
      <c r="AX90" s="4667"/>
      <c r="AY90" s="4667"/>
      <c r="AZ90" s="4667"/>
      <c r="BA90" s="4667"/>
      <c r="BB90" s="4667"/>
      <c r="BC90" s="4667"/>
      <c r="BD90" s="4667"/>
      <c r="BE90" s="4667"/>
      <c r="BF90" s="4667"/>
      <c r="BG90" s="4667"/>
      <c r="BH90" s="4667"/>
      <c r="BI90" s="1"/>
      <c r="BJ90" s="4667"/>
      <c r="BK90" s="4667"/>
      <c r="BL90" s="4667"/>
      <c r="BM90" s="4667"/>
      <c r="BN90" s="4667"/>
      <c r="BO90" s="4667"/>
      <c r="BP90" s="4632"/>
      <c r="BQ90" s="4632"/>
      <c r="BR90" s="1"/>
      <c r="BS90" s="1"/>
      <c r="BT90" s="1"/>
      <c r="BU90" s="1"/>
      <c r="BV90" s="1"/>
      <c r="BW90" s="1"/>
      <c r="BX90" s="1"/>
      <c r="BY90" s="4632"/>
      <c r="BZ90" s="4632"/>
      <c r="CA90" s="1"/>
      <c r="CB90" s="4702"/>
      <c r="CC90" s="3390"/>
      <c r="CD90" s="3390"/>
      <c r="CE90" s="3390"/>
      <c r="CF90" s="3390"/>
      <c r="CG90" s="4662"/>
      <c r="CH90" s="4703"/>
      <c r="CI90" s="1"/>
      <c r="CJ90" s="1"/>
      <c r="CK90" s="1"/>
      <c r="CL90" s="1"/>
      <c r="CM90" s="1"/>
      <c r="CN90" s="1"/>
      <c r="CO90" s="1"/>
    </row>
    <row r="91" spans="1:93" s="785" customFormat="1">
      <c r="A91" s="4699"/>
      <c r="B91" s="4700"/>
      <c r="C91" s="4701"/>
      <c r="D91" s="4701"/>
      <c r="E91" s="4701"/>
      <c r="F91" s="4701"/>
      <c r="G91" s="4701"/>
      <c r="H91" s="4701"/>
      <c r="I91" s="4701"/>
      <c r="J91" s="4632"/>
      <c r="K91" s="4701"/>
      <c r="L91" s="4701"/>
      <c r="M91" s="4701"/>
      <c r="N91" s="4701"/>
      <c r="O91" s="4701"/>
      <c r="P91" s="4701"/>
      <c r="Q91" s="4701"/>
      <c r="R91" s="4633"/>
      <c r="S91" s="4701"/>
      <c r="T91" s="4701"/>
      <c r="U91" s="4701"/>
      <c r="V91" s="4701"/>
      <c r="W91" s="4701"/>
      <c r="X91" s="4701"/>
      <c r="Y91" s="4701"/>
      <c r="Z91" s="4633"/>
      <c r="AA91" s="4701"/>
      <c r="AB91" s="4701"/>
      <c r="AC91" s="4701"/>
      <c r="AD91" s="4701"/>
      <c r="AE91" s="4701"/>
      <c r="AF91" s="4701"/>
      <c r="AG91" s="4701"/>
      <c r="AH91" s="4633"/>
      <c r="AI91" s="4701"/>
      <c r="AJ91" s="4701"/>
      <c r="AK91" s="4701"/>
      <c r="AL91" s="4701"/>
      <c r="AM91" s="4701"/>
      <c r="AN91" s="4701"/>
      <c r="AO91" s="4701"/>
      <c r="AP91" s="4633"/>
      <c r="AQ91" s="4701"/>
      <c r="AR91" s="4701"/>
      <c r="AS91" s="4701"/>
      <c r="AT91" s="4701"/>
      <c r="AU91" s="4701"/>
      <c r="AV91" s="4701"/>
      <c r="AW91" s="4701"/>
      <c r="AX91" s="4701"/>
      <c r="AY91" s="4701"/>
      <c r="AZ91" s="4701"/>
      <c r="BA91" s="4701"/>
      <c r="BB91" s="4701"/>
      <c r="BC91" s="4701"/>
      <c r="BD91" s="4701"/>
      <c r="BE91" s="4701"/>
      <c r="BF91" s="4701"/>
      <c r="BG91" s="4701"/>
      <c r="BH91" s="4701"/>
      <c r="BI91" s="1"/>
      <c r="BJ91" s="4701"/>
      <c r="BK91" s="4701"/>
      <c r="BL91" s="4701"/>
      <c r="BM91" s="4701"/>
      <c r="BN91" s="4701"/>
      <c r="BO91" s="4701"/>
      <c r="BP91" s="4632"/>
      <c r="BQ91" s="4632"/>
      <c r="BR91" s="1"/>
      <c r="BS91" s="1"/>
      <c r="BT91" s="1"/>
      <c r="BU91" s="1"/>
      <c r="BV91" s="1"/>
      <c r="BW91" s="1"/>
      <c r="BX91" s="1"/>
      <c r="BY91" s="4632"/>
      <c r="BZ91" s="4632"/>
      <c r="CA91" s="1"/>
      <c r="CB91" s="3390"/>
      <c r="CC91" s="3390"/>
      <c r="CD91" s="3390"/>
      <c r="CE91" s="3390"/>
      <c r="CF91" s="3390"/>
      <c r="CG91" s="4662"/>
      <c r="CH91" s="1"/>
      <c r="CI91" s="1"/>
      <c r="CJ91" s="1"/>
      <c r="CK91" s="1"/>
      <c r="CL91" s="1"/>
      <c r="CM91" s="1"/>
      <c r="CN91" s="1"/>
      <c r="CO91" s="1"/>
    </row>
    <row r="92" spans="1:93" ht="13.2">
      <c r="A92" s="4699"/>
      <c r="B92" s="4700"/>
      <c r="C92" s="4678"/>
      <c r="D92" s="4679"/>
      <c r="E92" s="4679"/>
      <c r="F92" s="4679"/>
      <c r="G92" s="4679"/>
      <c r="H92" s="4679"/>
      <c r="I92" s="4680"/>
      <c r="J92" s="4632"/>
      <c r="K92" s="4673"/>
      <c r="L92" s="4679"/>
      <c r="M92" s="4679"/>
      <c r="N92" s="4679"/>
      <c r="O92" s="4679"/>
      <c r="P92" s="4679"/>
      <c r="Q92" s="4680"/>
      <c r="R92" s="4633"/>
      <c r="S92" s="4678"/>
      <c r="T92" s="4679"/>
      <c r="U92" s="4679"/>
      <c r="V92" s="4679"/>
      <c r="W92" s="4679"/>
      <c r="X92" s="4679"/>
      <c r="Y92" s="4680"/>
      <c r="Z92" s="4633"/>
      <c r="AA92" s="4678"/>
      <c r="AB92" s="4679"/>
      <c r="AC92" s="4679"/>
      <c r="AD92" s="4679"/>
      <c r="AE92" s="4679"/>
      <c r="AF92" s="4679"/>
      <c r="AG92" s="4680"/>
      <c r="AH92" s="4633"/>
      <c r="AI92" s="4678"/>
      <c r="AJ92" s="4679"/>
      <c r="AK92" s="4679"/>
      <c r="AL92" s="4679"/>
      <c r="AM92" s="4679"/>
      <c r="AN92" s="4679"/>
      <c r="AO92" s="4680"/>
      <c r="AP92" s="4633"/>
      <c r="AQ92" s="4678"/>
      <c r="AR92" s="4679"/>
      <c r="AS92" s="4679"/>
      <c r="AT92" s="4679"/>
      <c r="AU92" s="4679"/>
      <c r="AV92" s="4679"/>
      <c r="AW92" s="3952"/>
      <c r="AX92" s="4680"/>
      <c r="AY92" s="4680"/>
      <c r="AZ92" s="4680"/>
      <c r="BA92" s="4680"/>
      <c r="BB92" s="4680"/>
      <c r="BC92" s="3952"/>
      <c r="BD92" s="4680"/>
      <c r="BE92" s="4680"/>
      <c r="BF92" s="4680"/>
      <c r="BG92" s="4680"/>
      <c r="BH92" s="4680"/>
      <c r="BI92" s="1"/>
      <c r="BJ92" s="3952"/>
      <c r="BK92" s="4680"/>
      <c r="BL92" s="4680"/>
      <c r="BM92" s="4680"/>
      <c r="BN92" s="4680"/>
      <c r="BO92" s="4680"/>
      <c r="BP92" s="4632"/>
      <c r="BQ92" s="4632"/>
      <c r="BR92" s="1"/>
      <c r="BS92" s="1"/>
      <c r="BT92" s="1"/>
      <c r="BU92" s="1"/>
      <c r="BV92" s="1"/>
      <c r="BW92" s="1"/>
      <c r="BX92" s="1"/>
      <c r="BY92" s="4632"/>
      <c r="BZ92" s="4632"/>
      <c r="CA92" s="1"/>
      <c r="CB92" s="4690"/>
      <c r="CC92" s="4690"/>
      <c r="CD92" s="4690"/>
      <c r="CE92" s="4690"/>
      <c r="CF92" s="4690"/>
      <c r="CG92" s="4691"/>
      <c r="CH92" s="1"/>
      <c r="CI92" s="1"/>
      <c r="CJ92" s="1"/>
      <c r="CK92" s="1"/>
      <c r="CL92" s="1"/>
      <c r="CM92" s="1"/>
      <c r="CN92" s="1"/>
      <c r="CO92" s="1"/>
    </row>
    <row r="93" spans="1:93" ht="13.2">
      <c r="A93" s="4699"/>
      <c r="B93" s="4700"/>
      <c r="C93" s="3952"/>
      <c r="D93" s="4680"/>
      <c r="E93" s="4680"/>
      <c r="F93" s="4680"/>
      <c r="G93" s="4680"/>
      <c r="H93" s="4680"/>
      <c r="I93" s="4680"/>
      <c r="J93" s="4632"/>
      <c r="K93" s="3952"/>
      <c r="L93" s="4680"/>
      <c r="M93" s="4680"/>
      <c r="N93" s="4680"/>
      <c r="O93" s="4680"/>
      <c r="P93" s="4680"/>
      <c r="Q93" s="4680"/>
      <c r="R93" s="4633"/>
      <c r="S93" s="3952"/>
      <c r="T93" s="4680"/>
      <c r="U93" s="4680"/>
      <c r="V93" s="4680"/>
      <c r="W93" s="4680"/>
      <c r="X93" s="4680"/>
      <c r="Y93" s="4680"/>
      <c r="Z93" s="4633"/>
      <c r="AA93" s="3952"/>
      <c r="AB93" s="4680"/>
      <c r="AC93" s="4680"/>
      <c r="AD93" s="4680"/>
      <c r="AE93" s="4680"/>
      <c r="AF93" s="4680"/>
      <c r="AG93" s="4680"/>
      <c r="AH93" s="4633"/>
      <c r="AI93" s="3952"/>
      <c r="AJ93" s="4680"/>
      <c r="AK93" s="4680"/>
      <c r="AL93" s="4680"/>
      <c r="AM93" s="4680"/>
      <c r="AN93" s="4680"/>
      <c r="AO93" s="4680"/>
      <c r="AP93" s="4633"/>
      <c r="AQ93" s="3952"/>
      <c r="AR93" s="4680"/>
      <c r="AS93" s="4680"/>
      <c r="AT93" s="4680"/>
      <c r="AU93" s="4680"/>
      <c r="AV93" s="4680"/>
      <c r="AW93" s="3952"/>
      <c r="AX93" s="4680"/>
      <c r="AY93" s="4680"/>
      <c r="AZ93" s="4680"/>
      <c r="BA93" s="4680"/>
      <c r="BB93" s="4680"/>
      <c r="BC93" s="3952"/>
      <c r="BD93" s="4680"/>
      <c r="BE93" s="4680"/>
      <c r="BF93" s="4680"/>
      <c r="BG93" s="4680"/>
      <c r="BH93" s="4680"/>
      <c r="BI93" s="1"/>
      <c r="BJ93" s="3952"/>
      <c r="BK93" s="4680"/>
      <c r="BL93" s="4680"/>
      <c r="BM93" s="4680"/>
      <c r="BN93" s="4680"/>
      <c r="BO93" s="4680"/>
      <c r="BP93" s="4632"/>
      <c r="BQ93" s="4632"/>
      <c r="BR93" s="1"/>
      <c r="BS93" s="1"/>
      <c r="BT93" s="1"/>
      <c r="BU93" s="1"/>
      <c r="BV93" s="1"/>
      <c r="BW93" s="1"/>
      <c r="BX93" s="1"/>
      <c r="BY93" s="4632"/>
      <c r="BZ93" s="4632"/>
      <c r="CA93" s="1"/>
      <c r="CB93" s="4704"/>
      <c r="CC93" s="4704"/>
      <c r="CD93" s="4704"/>
      <c r="CE93" s="4704"/>
      <c r="CF93" s="4704"/>
      <c r="CG93" s="4662"/>
      <c r="CH93" s="1"/>
      <c r="CI93" s="1"/>
      <c r="CJ93" s="1"/>
      <c r="CK93" s="1"/>
      <c r="CL93" s="1"/>
      <c r="CM93" s="1"/>
      <c r="CN93" s="1"/>
      <c r="CO93" s="1"/>
    </row>
    <row r="94" spans="1:93" ht="13.2">
      <c r="A94" s="4699"/>
      <c r="B94" s="4700"/>
      <c r="C94" s="4678"/>
      <c r="D94" s="4679"/>
      <c r="E94" s="4679"/>
      <c r="F94" s="4679"/>
      <c r="G94" s="4679"/>
      <c r="H94" s="4679"/>
      <c r="I94" s="4680"/>
      <c r="J94" s="4632"/>
      <c r="K94" s="4678"/>
      <c r="L94" s="4679"/>
      <c r="M94" s="4679"/>
      <c r="N94" s="4679"/>
      <c r="O94" s="4679"/>
      <c r="P94" s="4679"/>
      <c r="Q94" s="4680"/>
      <c r="R94" s="4633"/>
      <c r="S94" s="4678"/>
      <c r="T94" s="4679"/>
      <c r="U94" s="4679"/>
      <c r="V94" s="4679"/>
      <c r="W94" s="4679"/>
      <c r="X94" s="4679"/>
      <c r="Y94" s="4680"/>
      <c r="Z94" s="4633"/>
      <c r="AA94" s="4678"/>
      <c r="AB94" s="4679"/>
      <c r="AC94" s="4679"/>
      <c r="AD94" s="4679"/>
      <c r="AE94" s="4679"/>
      <c r="AF94" s="4679"/>
      <c r="AG94" s="4680"/>
      <c r="AH94" s="4633"/>
      <c r="AI94" s="4678"/>
      <c r="AJ94" s="4679"/>
      <c r="AK94" s="4679"/>
      <c r="AL94" s="4679"/>
      <c r="AM94" s="4679"/>
      <c r="AN94" s="4679"/>
      <c r="AO94" s="4680"/>
      <c r="AP94" s="4633"/>
      <c r="AQ94" s="4678"/>
      <c r="AR94" s="4679"/>
      <c r="AS94" s="4679"/>
      <c r="AT94" s="4679"/>
      <c r="AU94" s="4679"/>
      <c r="AV94" s="4679"/>
      <c r="AW94" s="3952"/>
      <c r="AX94" s="4680"/>
      <c r="AY94" s="4680"/>
      <c r="AZ94" s="4680"/>
      <c r="BA94" s="4680"/>
      <c r="BB94" s="4680"/>
      <c r="BC94" s="3952"/>
      <c r="BD94" s="4680"/>
      <c r="BE94" s="4680"/>
      <c r="BF94" s="4680"/>
      <c r="BG94" s="4680"/>
      <c r="BH94" s="4680"/>
      <c r="BI94" s="1"/>
      <c r="BJ94" s="3952"/>
      <c r="BK94" s="4680"/>
      <c r="BL94" s="4680"/>
      <c r="BM94" s="4680"/>
      <c r="BN94" s="4680"/>
      <c r="BO94" s="4680"/>
      <c r="BP94" s="4632"/>
      <c r="BQ94" s="4632"/>
      <c r="BR94" s="1"/>
      <c r="BS94" s="1"/>
      <c r="BT94" s="1"/>
      <c r="BU94" s="1"/>
      <c r="BV94" s="1"/>
      <c r="BW94" s="1"/>
      <c r="BX94" s="1"/>
      <c r="BY94" s="4632"/>
      <c r="BZ94" s="4632"/>
      <c r="CA94" s="1"/>
      <c r="CB94" s="4704"/>
      <c r="CC94" s="4704"/>
      <c r="CD94" s="4704"/>
      <c r="CE94" s="4704"/>
      <c r="CF94" s="4704"/>
      <c r="CG94" s="4662"/>
      <c r="CH94" s="1"/>
      <c r="CI94" s="1"/>
      <c r="CJ94" s="1"/>
      <c r="CK94" s="1"/>
      <c r="CL94" s="1"/>
      <c r="CM94" s="1"/>
      <c r="CN94" s="1"/>
      <c r="CO94" s="1"/>
    </row>
    <row r="95" spans="1:93" s="785" customFormat="1">
      <c r="A95" s="4699"/>
      <c r="B95" s="4700"/>
      <c r="C95" s="4701"/>
      <c r="D95" s="4701"/>
      <c r="E95" s="4701"/>
      <c r="F95" s="4701"/>
      <c r="G95" s="4701"/>
      <c r="H95" s="4701"/>
      <c r="I95" s="4701"/>
      <c r="J95" s="4632"/>
      <c r="K95" s="4701"/>
      <c r="L95" s="4701"/>
      <c r="M95" s="4701"/>
      <c r="N95" s="4701"/>
      <c r="O95" s="4701"/>
      <c r="P95" s="4701"/>
      <c r="Q95" s="4701"/>
      <c r="R95" s="4633"/>
      <c r="S95" s="4701"/>
      <c r="T95" s="4701"/>
      <c r="U95" s="4701"/>
      <c r="V95" s="4701"/>
      <c r="W95" s="4701"/>
      <c r="X95" s="4701"/>
      <c r="Y95" s="4701"/>
      <c r="Z95" s="4633"/>
      <c r="AA95" s="4701"/>
      <c r="AB95" s="4701"/>
      <c r="AC95" s="4701"/>
      <c r="AD95" s="4701"/>
      <c r="AE95" s="4701"/>
      <c r="AF95" s="4701"/>
      <c r="AG95" s="4701"/>
      <c r="AH95" s="4633"/>
      <c r="AI95" s="4701"/>
      <c r="AJ95" s="4701"/>
      <c r="AK95" s="4701"/>
      <c r="AL95" s="4701"/>
      <c r="AM95" s="4701"/>
      <c r="AN95" s="4701"/>
      <c r="AO95" s="4701"/>
      <c r="AP95" s="4633"/>
      <c r="AQ95" s="4701"/>
      <c r="AR95" s="4701"/>
      <c r="AS95" s="4701"/>
      <c r="AT95" s="4701"/>
      <c r="AU95" s="4701"/>
      <c r="AV95" s="4701"/>
      <c r="AW95" s="4701"/>
      <c r="AX95" s="4701"/>
      <c r="AY95" s="4701"/>
      <c r="AZ95" s="4701"/>
      <c r="BA95" s="4701"/>
      <c r="BB95" s="4701"/>
      <c r="BC95" s="4701"/>
      <c r="BD95" s="4701"/>
      <c r="BE95" s="4701"/>
      <c r="BF95" s="4701"/>
      <c r="BG95" s="4701"/>
      <c r="BH95" s="4701"/>
      <c r="BI95" s="1"/>
      <c r="BJ95" s="4701"/>
      <c r="BK95" s="4701"/>
      <c r="BL95" s="4701"/>
      <c r="BM95" s="4701"/>
      <c r="BN95" s="4701"/>
      <c r="BO95" s="4701"/>
      <c r="BP95" s="4632"/>
      <c r="BQ95" s="4632"/>
      <c r="BR95" s="1"/>
      <c r="BS95" s="1"/>
      <c r="BT95" s="1"/>
      <c r="BU95" s="1"/>
      <c r="BV95" s="1"/>
      <c r="BW95" s="1"/>
      <c r="BX95" s="1"/>
      <c r="BY95" s="4632"/>
      <c r="BZ95" s="4632"/>
      <c r="CA95" s="1"/>
      <c r="CB95" s="4704"/>
      <c r="CC95" s="4704"/>
      <c r="CD95" s="4704"/>
      <c r="CE95" s="4704"/>
      <c r="CF95" s="4704"/>
      <c r="CG95" s="4662"/>
      <c r="CH95" s="1"/>
      <c r="CI95" s="1"/>
      <c r="CJ95" s="1"/>
      <c r="CK95" s="1"/>
      <c r="CL95" s="1"/>
      <c r="CM95" s="1"/>
      <c r="CN95" s="1"/>
      <c r="CO95" s="1"/>
    </row>
    <row r="96" spans="1:93">
      <c r="B96" s="4652"/>
      <c r="C96" s="4652"/>
      <c r="D96" s="4652"/>
      <c r="E96" s="4652"/>
      <c r="F96" s="4652"/>
      <c r="G96" s="4652"/>
      <c r="H96" s="4652"/>
      <c r="I96" s="4651"/>
      <c r="J96" s="4652"/>
      <c r="K96" s="4652"/>
      <c r="L96" s="4652"/>
      <c r="M96" s="4652"/>
      <c r="N96" s="4652"/>
      <c r="O96" s="4652"/>
      <c r="P96" s="4652"/>
      <c r="Q96" s="4651"/>
      <c r="R96" s="4652"/>
      <c r="S96" s="4652"/>
      <c r="T96" s="4652"/>
      <c r="U96" s="4652"/>
      <c r="V96" s="4652"/>
      <c r="W96" s="4652"/>
      <c r="X96" s="4652"/>
      <c r="Y96" s="4651"/>
      <c r="Z96" s="4652"/>
      <c r="AA96" s="4652"/>
      <c r="AB96" s="4652"/>
      <c r="AC96" s="4652"/>
      <c r="AD96" s="4652"/>
      <c r="AE96" s="4652"/>
      <c r="AF96" s="4652"/>
      <c r="AG96" s="4651"/>
      <c r="AH96" s="4652"/>
      <c r="AI96" s="4652"/>
      <c r="AJ96" s="4652"/>
      <c r="AK96" s="4652"/>
      <c r="AL96" s="4652"/>
      <c r="AM96" s="4652"/>
      <c r="AN96" s="4652"/>
      <c r="AO96" s="4651"/>
      <c r="AP96" s="4652"/>
      <c r="AQ96" s="4652"/>
      <c r="AR96" s="4652"/>
      <c r="AS96" s="4652"/>
      <c r="AT96" s="4652"/>
      <c r="AU96" s="4652"/>
      <c r="AV96" s="4652"/>
      <c r="AW96" s="4652"/>
      <c r="AX96" s="4652"/>
      <c r="AY96" s="4652"/>
      <c r="AZ96" s="4652"/>
      <c r="BA96" s="4652"/>
      <c r="BB96" s="4652"/>
      <c r="BC96" s="4652"/>
      <c r="BD96" s="4652"/>
      <c r="BE96" s="4652"/>
      <c r="BF96" s="4652"/>
      <c r="BG96" s="4652"/>
      <c r="BH96" s="4652"/>
      <c r="BI96" s="1"/>
      <c r="BJ96" s="1"/>
      <c r="BK96" s="1"/>
      <c r="BL96" s="1"/>
      <c r="BM96" s="1"/>
      <c r="BN96" s="1"/>
      <c r="BO96" s="1"/>
      <c r="BP96" s="4652"/>
      <c r="BQ96" s="4652"/>
      <c r="BR96" s="1"/>
      <c r="BS96" s="1"/>
      <c r="BT96" s="1"/>
      <c r="BU96" s="1"/>
      <c r="BV96" s="1"/>
      <c r="BW96" s="1"/>
      <c r="BX96" s="1"/>
      <c r="BY96" s="4652"/>
      <c r="BZ96" s="4652"/>
      <c r="CA96" s="1"/>
      <c r="CB96" s="659"/>
      <c r="CC96" s="659"/>
      <c r="CD96" s="659"/>
      <c r="CE96" s="659"/>
      <c r="CF96" s="659"/>
      <c r="CG96" s="4662"/>
      <c r="CH96" s="1"/>
      <c r="CI96" s="1"/>
      <c r="CJ96" s="1"/>
      <c r="CK96" s="1"/>
      <c r="CL96" s="1"/>
      <c r="CM96" s="1"/>
      <c r="CN96" s="1"/>
      <c r="CO96" s="1"/>
    </row>
    <row r="97" spans="2:93" ht="15" customHeight="1">
      <c r="B97" s="4760"/>
      <c r="C97" s="4759"/>
      <c r="D97" s="4759"/>
      <c r="E97" s="4759"/>
      <c r="F97" s="4759"/>
      <c r="G97" s="4759"/>
      <c r="H97" s="4759"/>
      <c r="I97" s="4664"/>
      <c r="J97" s="4661"/>
      <c r="K97" s="4698"/>
      <c r="L97" s="4698"/>
      <c r="M97" s="4698"/>
      <c r="N97" s="4698"/>
      <c r="O97" s="4698"/>
      <c r="P97" s="4698"/>
      <c r="Q97" s="4664"/>
      <c r="R97" s="4661"/>
      <c r="S97" s="4698"/>
      <c r="T97" s="4698"/>
      <c r="U97" s="4698"/>
      <c r="V97" s="4698"/>
      <c r="W97" s="4698"/>
      <c r="X97" s="4698"/>
      <c r="Y97" s="4664"/>
      <c r="Z97" s="4661"/>
      <c r="AL97" s="4706"/>
      <c r="BB97" s="4706"/>
      <c r="BH97" s="4706"/>
      <c r="BI97" s="1"/>
      <c r="BJ97" s="1"/>
      <c r="BK97" s="1"/>
      <c r="BL97" s="1"/>
      <c r="BM97" s="1"/>
      <c r="BN97" s="1"/>
      <c r="BO97" s="1"/>
      <c r="BR97" s="1"/>
      <c r="BS97" s="1"/>
      <c r="BT97" s="1"/>
      <c r="BU97" s="1"/>
      <c r="BV97" s="1"/>
      <c r="BW97" s="1"/>
      <c r="BX97" s="1"/>
      <c r="CA97" s="1"/>
      <c r="CB97" s="659"/>
      <c r="CC97" s="659"/>
      <c r="CD97" s="659"/>
      <c r="CE97" s="659"/>
      <c r="CF97" s="659"/>
      <c r="CG97" s="4662"/>
      <c r="CH97" s="1"/>
      <c r="CI97" s="1"/>
      <c r="CJ97" s="1"/>
      <c r="CK97" s="1"/>
      <c r="CL97" s="1"/>
      <c r="CM97" s="1"/>
      <c r="CN97" s="1"/>
      <c r="CO97" s="1"/>
    </row>
    <row r="98" spans="2:93">
      <c r="B98" s="4760"/>
      <c r="C98" s="4707"/>
      <c r="D98" s="4707"/>
      <c r="E98" s="4707"/>
      <c r="F98" s="4707"/>
      <c r="G98" s="4707"/>
      <c r="H98" s="4707"/>
      <c r="I98" s="4708"/>
      <c r="J98" s="4707"/>
      <c r="K98" s="4707"/>
      <c r="L98" s="4707"/>
      <c r="M98" s="4707"/>
      <c r="N98" s="4707"/>
      <c r="O98" s="4707"/>
      <c r="P98" s="4707"/>
      <c r="Q98" s="4708"/>
      <c r="R98" s="4707"/>
      <c r="S98" s="4707"/>
      <c r="T98" s="4707"/>
      <c r="U98" s="4707"/>
      <c r="V98" s="4707"/>
      <c r="W98" s="4707"/>
      <c r="X98" s="4707"/>
      <c r="Y98" s="4708"/>
      <c r="Z98" s="4707"/>
      <c r="AI98" s="4709"/>
      <c r="AJ98" s="4710"/>
      <c r="AK98" s="4710"/>
      <c r="AL98" s="4710"/>
      <c r="AM98" s="4710"/>
      <c r="AN98" s="4710"/>
      <c r="BB98" s="4706"/>
      <c r="BH98" s="4706"/>
      <c r="BI98" s="1"/>
      <c r="BJ98" s="1"/>
      <c r="BK98" s="1"/>
      <c r="BL98" s="1"/>
      <c r="BM98" s="1"/>
      <c r="BN98" s="1"/>
      <c r="BO98" s="1"/>
      <c r="BR98" s="1"/>
      <c r="BS98" s="1"/>
      <c r="BT98" s="1"/>
      <c r="BU98" s="1"/>
      <c r="BV98" s="1"/>
      <c r="BW98" s="1"/>
      <c r="BX98" s="1"/>
      <c r="CA98" s="1"/>
      <c r="CB98" s="659"/>
      <c r="CC98" s="659"/>
      <c r="CD98" s="659"/>
      <c r="CE98" s="659"/>
      <c r="CF98" s="659"/>
      <c r="CG98" s="4662"/>
      <c r="CH98" s="1"/>
      <c r="CI98" s="1"/>
      <c r="CJ98" s="1"/>
      <c r="CK98" s="1"/>
      <c r="CL98" s="1"/>
      <c r="CM98" s="1"/>
      <c r="CN98" s="1"/>
      <c r="CO98" s="1"/>
    </row>
    <row r="99" spans="2:93">
      <c r="B99" s="4711"/>
      <c r="C99" s="4712"/>
      <c r="D99" s="4712"/>
      <c r="E99" s="4712"/>
      <c r="F99" s="4712"/>
      <c r="G99" s="4712"/>
      <c r="H99" s="4712"/>
      <c r="I99" s="4713"/>
      <c r="J99" s="4712"/>
      <c r="K99" s="4712"/>
      <c r="L99" s="4712"/>
      <c r="M99" s="4712"/>
      <c r="N99" s="4712"/>
      <c r="O99" s="4712"/>
      <c r="P99" s="4712"/>
      <c r="Q99" s="4713"/>
      <c r="R99" s="4712"/>
      <c r="S99" s="4712"/>
      <c r="T99" s="4712"/>
      <c r="U99" s="4712"/>
      <c r="V99" s="4712"/>
      <c r="W99" s="4712"/>
      <c r="X99" s="4712"/>
      <c r="Y99" s="4713"/>
      <c r="Z99" s="4712"/>
      <c r="AL99" s="4706"/>
      <c r="AR99" s="4706"/>
      <c r="AS99" s="4639"/>
      <c r="AT99" s="4639"/>
      <c r="AU99" s="4639"/>
      <c r="AV99" s="4639"/>
      <c r="AW99" s="4639"/>
      <c r="AX99" s="4639"/>
      <c r="AY99" s="4639"/>
      <c r="AZ99" s="4639"/>
      <c r="BA99" s="4639"/>
      <c r="BB99" s="4639"/>
      <c r="BC99" s="4639"/>
      <c r="BD99" s="4639"/>
      <c r="BE99" s="4639"/>
      <c r="BF99" s="4639"/>
      <c r="BG99" s="4639"/>
      <c r="BH99" s="4639"/>
      <c r="BI99" s="1"/>
      <c r="BJ99" s="1"/>
      <c r="BK99" s="1"/>
      <c r="BL99" s="1"/>
      <c r="BM99" s="1"/>
      <c r="BN99" s="1"/>
      <c r="BO99" s="1"/>
      <c r="BR99" s="1"/>
      <c r="BS99" s="1"/>
      <c r="BT99" s="1"/>
      <c r="BU99" s="1"/>
      <c r="BV99" s="1"/>
      <c r="BW99" s="1"/>
      <c r="BX99" s="1"/>
      <c r="CA99" s="1"/>
      <c r="CB99" s="659"/>
      <c r="CC99" s="659"/>
      <c r="CD99" s="659"/>
      <c r="CE99" s="659"/>
      <c r="CF99" s="659"/>
      <c r="CG99" s="4662"/>
      <c r="CH99" s="1"/>
      <c r="CI99" s="1"/>
      <c r="CJ99" s="1"/>
      <c r="CK99" s="1"/>
      <c r="CL99" s="1"/>
      <c r="CM99" s="1"/>
      <c r="CN99" s="1"/>
      <c r="CO99" s="1"/>
    </row>
    <row r="100" spans="2:93">
      <c r="B100" s="4714"/>
      <c r="C100" s="4712"/>
      <c r="D100" s="4712"/>
      <c r="E100" s="4712"/>
      <c r="F100" s="4712"/>
      <c r="G100" s="4712"/>
      <c r="H100" s="4712"/>
      <c r="I100" s="4713"/>
      <c r="J100" s="4712"/>
      <c r="K100" s="4712"/>
      <c r="L100" s="4712"/>
      <c r="M100" s="4712"/>
      <c r="N100" s="4712"/>
      <c r="O100" s="4712"/>
      <c r="P100" s="4712"/>
      <c r="Q100" s="4713"/>
      <c r="R100" s="4712"/>
      <c r="S100" s="4712"/>
      <c r="T100" s="4712"/>
      <c r="U100" s="4712"/>
      <c r="V100" s="4712"/>
      <c r="W100" s="4712"/>
      <c r="X100" s="4712"/>
      <c r="Y100" s="4713"/>
      <c r="Z100" s="4712"/>
      <c r="AH100" s="4715"/>
      <c r="AI100" s="4709"/>
      <c r="AJ100" s="4709"/>
      <c r="AK100" s="4709"/>
      <c r="AL100" s="4709"/>
      <c r="AM100" s="4709"/>
      <c r="AN100" s="4709"/>
      <c r="AP100" s="4715"/>
      <c r="AR100" s="4706"/>
      <c r="AS100" s="4639"/>
      <c r="AT100" s="4639"/>
      <c r="AU100" s="4639"/>
      <c r="AV100" s="4639"/>
      <c r="AW100" s="4639"/>
      <c r="AX100" s="4639"/>
      <c r="AY100" s="4639"/>
      <c r="AZ100" s="4639"/>
      <c r="BA100" s="4639"/>
      <c r="BB100" s="4639"/>
      <c r="BC100" s="4639"/>
      <c r="BD100" s="4639"/>
      <c r="BE100" s="4639"/>
      <c r="BF100" s="4639"/>
      <c r="BG100" s="4639"/>
      <c r="BH100" s="4639"/>
      <c r="BI100" s="1"/>
      <c r="BJ100" s="1"/>
      <c r="BK100" s="1"/>
      <c r="BL100" s="1"/>
      <c r="BM100" s="1"/>
      <c r="BN100" s="1"/>
      <c r="BO100" s="1"/>
      <c r="BP100" s="4715"/>
      <c r="BQ100" s="4715"/>
      <c r="BR100" s="1"/>
      <c r="BS100" s="1"/>
      <c r="BT100" s="1"/>
      <c r="BU100" s="1"/>
      <c r="BV100" s="1"/>
      <c r="BW100" s="1"/>
      <c r="BX100" s="1"/>
      <c r="BY100" s="4715"/>
      <c r="BZ100" s="4715"/>
      <c r="CA100" s="1"/>
      <c r="CB100" s="659"/>
      <c r="CC100" s="659"/>
      <c r="CD100" s="659"/>
      <c r="CE100" s="659"/>
      <c r="CF100" s="659"/>
      <c r="CG100" s="4662"/>
      <c r="CH100" s="1"/>
      <c r="CI100" s="1"/>
      <c r="CJ100" s="1"/>
      <c r="CK100" s="1"/>
      <c r="CL100" s="1"/>
      <c r="CM100" s="1"/>
      <c r="CN100" s="1"/>
      <c r="CO100" s="1"/>
    </row>
    <row r="101" spans="2:93">
      <c r="B101" s="4714"/>
      <c r="C101" s="4712"/>
      <c r="D101" s="4712"/>
      <c r="E101" s="4712"/>
      <c r="F101" s="4712"/>
      <c r="G101" s="4712"/>
      <c r="H101" s="4712"/>
      <c r="I101" s="4713"/>
      <c r="J101" s="4712"/>
      <c r="K101" s="4712"/>
      <c r="L101" s="4712"/>
      <c r="M101" s="4712"/>
      <c r="N101" s="4712"/>
      <c r="O101" s="4712"/>
      <c r="P101" s="4712"/>
      <c r="Q101" s="4713"/>
      <c r="R101" s="4712"/>
      <c r="S101" s="4712"/>
      <c r="T101" s="4712"/>
      <c r="U101" s="4712"/>
      <c r="V101" s="4712"/>
      <c r="W101" s="4712"/>
      <c r="X101" s="4712"/>
      <c r="Y101" s="4713"/>
      <c r="Z101" s="4712"/>
      <c r="AL101" s="4706"/>
      <c r="AR101" s="4706"/>
      <c r="AS101" s="4639"/>
      <c r="AT101" s="4639"/>
      <c r="AU101" s="4639"/>
      <c r="AV101" s="4639"/>
      <c r="AW101" s="4639"/>
      <c r="AX101" s="4639"/>
      <c r="AY101" s="4639"/>
      <c r="AZ101" s="4639"/>
      <c r="BA101" s="4639"/>
      <c r="BB101" s="4639"/>
      <c r="BC101" s="4639"/>
      <c r="BD101" s="4639"/>
      <c r="BE101" s="4639"/>
      <c r="BF101" s="4639"/>
      <c r="BG101" s="4639"/>
      <c r="BH101" s="4639"/>
      <c r="BI101" s="1"/>
      <c r="BJ101" s="1"/>
      <c r="BK101" s="1"/>
      <c r="BL101" s="1"/>
      <c r="BM101" s="1"/>
      <c r="BN101" s="1"/>
      <c r="BO101" s="1"/>
      <c r="BR101" s="1"/>
      <c r="BS101" s="1"/>
      <c r="BT101" s="1"/>
      <c r="BU101" s="1"/>
      <c r="BV101" s="1"/>
      <c r="BW101" s="1"/>
      <c r="BX101" s="1"/>
      <c r="CA101" s="1"/>
      <c r="CB101" s="659"/>
      <c r="CC101" s="659"/>
      <c r="CD101" s="659"/>
      <c r="CE101" s="659"/>
      <c r="CF101" s="659"/>
      <c r="CG101" s="4662"/>
      <c r="CH101" s="1"/>
      <c r="CI101" s="1"/>
      <c r="CJ101" s="1"/>
      <c r="CK101" s="1"/>
      <c r="CL101" s="1"/>
      <c r="CM101" s="1"/>
      <c r="CN101" s="1"/>
      <c r="CO101" s="1"/>
    </row>
    <row r="102" spans="2:93">
      <c r="B102" s="4714"/>
      <c r="C102" s="4712"/>
      <c r="D102" s="4712"/>
      <c r="E102" s="4712"/>
      <c r="F102" s="4712"/>
      <c r="G102" s="4712"/>
      <c r="H102" s="4712"/>
      <c r="I102" s="4713"/>
      <c r="J102" s="4712"/>
      <c r="K102" s="4712"/>
      <c r="L102" s="4712"/>
      <c r="M102" s="4712"/>
      <c r="N102" s="4712"/>
      <c r="O102" s="4712"/>
      <c r="P102" s="4712"/>
      <c r="Q102" s="4713"/>
      <c r="R102" s="4712"/>
      <c r="S102" s="4712"/>
      <c r="T102" s="4712"/>
      <c r="U102" s="4712"/>
      <c r="V102" s="4712"/>
      <c r="W102" s="4712"/>
      <c r="X102" s="4712"/>
      <c r="Y102" s="4713"/>
      <c r="Z102" s="4712"/>
      <c r="AI102" s="4709"/>
      <c r="AJ102" s="4709"/>
      <c r="AK102" s="4709"/>
      <c r="AL102" s="4709"/>
      <c r="AM102" s="4709"/>
      <c r="AN102" s="4709"/>
      <c r="AS102" s="4639"/>
      <c r="AT102" s="4639"/>
      <c r="AU102" s="4639"/>
      <c r="AV102" s="4639"/>
      <c r="AW102" s="4639"/>
      <c r="AX102" s="4639"/>
      <c r="AY102" s="4639"/>
      <c r="AZ102" s="4639"/>
      <c r="BA102" s="4639"/>
      <c r="BB102" s="4639"/>
      <c r="BC102" s="4639"/>
      <c r="BD102" s="4639"/>
      <c r="BE102" s="4639"/>
      <c r="BF102" s="4639"/>
      <c r="BG102" s="4639"/>
      <c r="BH102" s="4639"/>
      <c r="BI102" s="1"/>
      <c r="BJ102" s="1"/>
      <c r="BK102" s="1"/>
      <c r="BL102" s="1"/>
      <c r="BM102" s="1"/>
      <c r="BN102" s="1"/>
      <c r="BO102" s="1"/>
      <c r="BR102" s="1"/>
      <c r="BS102" s="1"/>
      <c r="BT102" s="1"/>
      <c r="BU102" s="1"/>
      <c r="BV102" s="1"/>
      <c r="BW102" s="1"/>
      <c r="BX102" s="1"/>
      <c r="CA102" s="1"/>
      <c r="CB102" s="659"/>
      <c r="CC102" s="659"/>
      <c r="CD102" s="659"/>
      <c r="CE102" s="659"/>
      <c r="CF102" s="659"/>
      <c r="CG102" s="4662"/>
      <c r="CH102" s="1"/>
      <c r="CI102" s="1"/>
      <c r="CJ102" s="1"/>
      <c r="CK102" s="1"/>
      <c r="CL102" s="1"/>
      <c r="CM102" s="1"/>
      <c r="CN102" s="1"/>
      <c r="CO102" s="1"/>
    </row>
    <row r="103" spans="2:93">
      <c r="B103" s="4714"/>
      <c r="C103" s="4716"/>
      <c r="D103" s="4716"/>
      <c r="E103" s="4716"/>
      <c r="F103" s="4716"/>
      <c r="G103" s="4716"/>
      <c r="H103" s="4716"/>
      <c r="I103" s="4708"/>
      <c r="J103" s="4717"/>
      <c r="K103" s="4717"/>
      <c r="L103" s="4717"/>
      <c r="M103" s="4717"/>
      <c r="N103" s="4717"/>
      <c r="O103" s="4717"/>
      <c r="P103" s="4717"/>
      <c r="Q103" s="4708"/>
      <c r="R103" s="4717"/>
      <c r="S103" s="4717"/>
      <c r="T103" s="4717"/>
      <c r="U103" s="4717"/>
      <c r="V103" s="4717"/>
      <c r="W103" s="4717"/>
      <c r="X103" s="4716"/>
      <c r="Y103" s="4708"/>
      <c r="Z103" s="4717"/>
      <c r="AI103" s="4710"/>
      <c r="AJ103" s="4710"/>
      <c r="AK103" s="4710"/>
      <c r="AL103" s="4710"/>
      <c r="AM103" s="4710"/>
      <c r="AN103" s="4710"/>
      <c r="AS103" s="4639"/>
      <c r="AT103" s="4639"/>
      <c r="AU103" s="4639"/>
      <c r="AV103" s="4639"/>
      <c r="AW103" s="4639"/>
      <c r="AX103" s="4639"/>
      <c r="AY103" s="4639"/>
      <c r="AZ103" s="4639"/>
      <c r="BA103" s="4639"/>
      <c r="BB103" s="4639"/>
      <c r="BC103" s="4639"/>
      <c r="BD103" s="4639"/>
      <c r="BE103" s="4639"/>
      <c r="BF103" s="4639"/>
      <c r="BG103" s="4639"/>
      <c r="BH103" s="4639"/>
      <c r="BI103" s="1"/>
      <c r="BJ103" s="1"/>
      <c r="BK103" s="1"/>
      <c r="BL103" s="1"/>
      <c r="BM103" s="1"/>
      <c r="BN103" s="1"/>
      <c r="BO103" s="1"/>
      <c r="BR103" s="1"/>
      <c r="BS103" s="1"/>
      <c r="BT103" s="1"/>
      <c r="BU103" s="1"/>
      <c r="BV103" s="1"/>
      <c r="BW103" s="1"/>
      <c r="BX103" s="1"/>
      <c r="CA103" s="1"/>
      <c r="CB103" s="659"/>
      <c r="CC103" s="659"/>
      <c r="CD103" s="659"/>
      <c r="CE103" s="659"/>
      <c r="CF103" s="659"/>
      <c r="CG103" s="4662"/>
      <c r="CH103" s="1"/>
      <c r="CI103" s="1"/>
      <c r="CJ103" s="1"/>
      <c r="CK103" s="1"/>
      <c r="CL103" s="1"/>
      <c r="CM103" s="1"/>
      <c r="CN103" s="1"/>
      <c r="CO103" s="1"/>
    </row>
    <row r="104" spans="2:93">
      <c r="B104" s="4714"/>
      <c r="C104" s="4718"/>
      <c r="D104" s="4718"/>
      <c r="E104" s="4718"/>
      <c r="F104" s="4718"/>
      <c r="G104" s="4718"/>
      <c r="H104" s="4718"/>
      <c r="I104" s="4713"/>
      <c r="J104" s="4718"/>
      <c r="K104" s="4718"/>
      <c r="L104" s="4718"/>
      <c r="M104" s="4718"/>
      <c r="N104" s="4718"/>
      <c r="O104" s="4718"/>
      <c r="P104" s="4718"/>
      <c r="Q104" s="4713"/>
      <c r="R104" s="4718"/>
      <c r="S104" s="4718"/>
      <c r="T104" s="4718"/>
      <c r="U104" s="4718"/>
      <c r="V104" s="4718"/>
      <c r="W104" s="4718"/>
      <c r="X104" s="4718"/>
      <c r="Y104" s="4713"/>
      <c r="Z104" s="4718"/>
      <c r="AG104" s="4719"/>
      <c r="AH104" s="4720"/>
      <c r="AI104" s="4720"/>
      <c r="AJ104" s="4720"/>
      <c r="AK104" s="4720"/>
      <c r="AL104" s="4720"/>
      <c r="AM104" s="4720"/>
      <c r="AN104" s="4720"/>
      <c r="AO104" s="4719"/>
      <c r="AP104" s="4720"/>
      <c r="AQ104" s="4720"/>
      <c r="AR104" s="4720"/>
      <c r="AS104" s="4639"/>
      <c r="AT104" s="4639"/>
      <c r="AU104" s="4639"/>
      <c r="AV104" s="4639"/>
      <c r="AW104" s="4639"/>
      <c r="AX104" s="4639"/>
      <c r="AY104" s="4639"/>
      <c r="AZ104" s="4639"/>
      <c r="BA104" s="4639"/>
      <c r="BB104" s="4639"/>
      <c r="BC104" s="4639"/>
      <c r="BD104" s="4639"/>
      <c r="BE104" s="4639"/>
      <c r="BF104" s="4639"/>
      <c r="BG104" s="4639"/>
      <c r="BH104" s="4639"/>
      <c r="BI104" s="1"/>
      <c r="BJ104" s="1"/>
      <c r="BK104" s="1"/>
      <c r="BL104" s="1"/>
      <c r="BM104" s="1"/>
      <c r="BN104" s="1"/>
      <c r="BO104" s="1"/>
      <c r="BP104" s="4720"/>
      <c r="BQ104" s="4720"/>
      <c r="BR104" s="1"/>
      <c r="BS104" s="1"/>
      <c r="BT104" s="1"/>
      <c r="BU104" s="1"/>
      <c r="BV104" s="1"/>
      <c r="BW104" s="1"/>
      <c r="BX104" s="1"/>
      <c r="BY104" s="4720"/>
      <c r="BZ104" s="4720"/>
      <c r="CA104" s="1"/>
      <c r="CB104" s="659"/>
      <c r="CC104" s="659"/>
      <c r="CD104" s="659"/>
      <c r="CE104" s="659"/>
      <c r="CF104" s="659"/>
      <c r="CG104" s="4662"/>
      <c r="CH104" s="1"/>
      <c r="CI104" s="1"/>
      <c r="CJ104" s="1"/>
      <c r="CK104" s="1"/>
      <c r="CL104" s="1"/>
      <c r="CM104" s="1"/>
      <c r="CN104" s="1"/>
      <c r="CO104" s="1"/>
    </row>
    <row r="105" spans="2:93">
      <c r="B105" s="4714"/>
      <c r="C105" s="4721"/>
      <c r="D105" s="4718"/>
      <c r="E105" s="4718"/>
      <c r="F105" s="4718"/>
      <c r="G105" s="4718"/>
      <c r="H105" s="4718"/>
      <c r="I105" s="4713"/>
      <c r="J105" s="4718"/>
      <c r="K105" s="4718"/>
      <c r="L105" s="4718"/>
      <c r="M105" s="4718"/>
      <c r="N105" s="4718"/>
      <c r="O105" s="4718"/>
      <c r="P105" s="4718"/>
      <c r="Q105" s="4713"/>
      <c r="R105" s="4718"/>
      <c r="S105" s="4718"/>
      <c r="T105" s="4718"/>
      <c r="U105" s="4718"/>
      <c r="V105" s="4718"/>
      <c r="W105" s="4718"/>
      <c r="X105" s="4718"/>
      <c r="Y105" s="4713"/>
      <c r="Z105" s="4718"/>
      <c r="AG105" s="4719"/>
      <c r="AH105" s="4720"/>
      <c r="AI105" s="4720"/>
      <c r="AJ105" s="4722"/>
      <c r="AK105" s="4722"/>
      <c r="AL105" s="4722"/>
      <c r="AM105" s="4722"/>
      <c r="AN105" s="4722"/>
      <c r="AO105" s="4719"/>
      <c r="AP105" s="4720"/>
      <c r="AQ105" s="4720"/>
      <c r="AR105" s="4720"/>
      <c r="AS105" s="4639"/>
      <c r="AT105" s="4639"/>
      <c r="AU105" s="4639"/>
      <c r="AV105" s="4639"/>
      <c r="AW105" s="4639"/>
      <c r="AX105" s="4639"/>
      <c r="AY105" s="4639"/>
      <c r="AZ105" s="4639"/>
      <c r="BA105" s="4639"/>
      <c r="BB105" s="4639"/>
      <c r="BC105" s="4639"/>
      <c r="BD105" s="4639"/>
      <c r="BE105" s="4639"/>
      <c r="BF105" s="4639"/>
      <c r="BG105" s="4639"/>
      <c r="BH105" s="4639"/>
      <c r="BI105" s="1"/>
      <c r="BJ105" s="1"/>
      <c r="BK105" s="1"/>
      <c r="BL105" s="1"/>
      <c r="BM105" s="1"/>
      <c r="BN105" s="1"/>
      <c r="BO105" s="1"/>
      <c r="BP105" s="4720"/>
      <c r="BQ105" s="4720"/>
      <c r="BR105" s="1"/>
      <c r="BS105" s="1"/>
      <c r="BT105" s="1"/>
      <c r="BU105" s="1"/>
      <c r="BV105" s="1"/>
      <c r="BW105" s="1"/>
      <c r="BX105" s="1"/>
      <c r="BY105" s="4720"/>
      <c r="BZ105" s="4720"/>
      <c r="CA105" s="1"/>
      <c r="CB105" s="659"/>
      <c r="CC105" s="659"/>
      <c r="CD105" s="659"/>
      <c r="CE105" s="659"/>
      <c r="CF105" s="659"/>
      <c r="CG105" s="4662"/>
      <c r="CH105" s="1"/>
      <c r="CI105" s="1"/>
      <c r="CJ105" s="1"/>
      <c r="CK105" s="1"/>
      <c r="CL105" s="1"/>
      <c r="CM105" s="1"/>
      <c r="CN105" s="1"/>
      <c r="CO105" s="1"/>
    </row>
    <row r="106" spans="2:93">
      <c r="B106" s="4714"/>
      <c r="C106" s="4718"/>
      <c r="D106" s="4718"/>
      <c r="E106" s="4718"/>
      <c r="F106" s="4718"/>
      <c r="G106" s="4718"/>
      <c r="H106" s="4718"/>
      <c r="I106" s="4713"/>
      <c r="J106" s="4718"/>
      <c r="K106" s="4718"/>
      <c r="L106" s="4718"/>
      <c r="M106" s="4718"/>
      <c r="N106" s="4718"/>
      <c r="O106" s="4718"/>
      <c r="P106" s="4718"/>
      <c r="Q106" s="4713"/>
      <c r="R106" s="4718"/>
      <c r="S106" s="4718"/>
      <c r="T106" s="4718"/>
      <c r="U106" s="4718"/>
      <c r="V106" s="4718"/>
      <c r="W106" s="4718"/>
      <c r="X106" s="4718"/>
      <c r="Y106" s="4713"/>
      <c r="Z106" s="4718"/>
      <c r="AG106" s="4719"/>
      <c r="AH106" s="4720"/>
      <c r="AI106" s="4720"/>
      <c r="AJ106" s="4720"/>
      <c r="AK106" s="4720"/>
      <c r="AL106" s="4720"/>
      <c r="AM106" s="4720"/>
      <c r="AN106" s="4720"/>
      <c r="AO106" s="4719"/>
      <c r="AP106" s="4720"/>
      <c r="AQ106" s="4720"/>
      <c r="AR106" s="4720"/>
      <c r="AS106" s="4639"/>
      <c r="AT106" s="4639"/>
      <c r="AU106" s="4639"/>
      <c r="AV106" s="4639"/>
      <c r="AW106" s="4639"/>
      <c r="AX106" s="4639"/>
      <c r="AY106" s="4639"/>
      <c r="AZ106" s="4639"/>
      <c r="BA106" s="4639"/>
      <c r="BB106" s="4639"/>
      <c r="BC106" s="4639"/>
      <c r="BD106" s="4639"/>
      <c r="BE106" s="4639"/>
      <c r="BF106" s="4639"/>
      <c r="BG106" s="4639"/>
      <c r="BH106" s="4639"/>
      <c r="BI106" s="1"/>
      <c r="BJ106" s="1"/>
      <c r="BK106" s="1"/>
      <c r="BL106" s="1"/>
      <c r="BM106" s="1"/>
      <c r="BN106" s="1"/>
      <c r="BO106" s="1"/>
      <c r="BP106" s="4720"/>
      <c r="BQ106" s="4720"/>
      <c r="BR106" s="1"/>
      <c r="BS106" s="1"/>
      <c r="BT106" s="1"/>
      <c r="BU106" s="1"/>
      <c r="BV106" s="1"/>
      <c r="BW106" s="1"/>
      <c r="BX106" s="1"/>
      <c r="BY106" s="4720"/>
      <c r="BZ106" s="4720"/>
      <c r="CA106" s="1"/>
      <c r="CB106" s="659"/>
      <c r="CC106" s="659"/>
      <c r="CD106" s="659"/>
      <c r="CE106" s="659"/>
      <c r="CF106" s="659"/>
      <c r="CG106" s="4662"/>
      <c r="CH106" s="1"/>
      <c r="CI106" s="1"/>
      <c r="CJ106" s="1"/>
      <c r="CK106" s="1"/>
      <c r="CL106" s="1"/>
      <c r="CM106" s="1"/>
      <c r="CN106" s="1"/>
      <c r="CO106" s="1"/>
    </row>
    <row r="107" spans="2:93">
      <c r="B107" s="4714"/>
      <c r="C107" s="4718"/>
      <c r="D107" s="4718"/>
      <c r="E107" s="4718"/>
      <c r="F107" s="4718"/>
      <c r="G107" s="4718"/>
      <c r="H107" s="4718"/>
      <c r="I107" s="4713"/>
      <c r="J107" s="4718"/>
      <c r="K107" s="4718"/>
      <c r="L107" s="4718"/>
      <c r="M107" s="4718"/>
      <c r="N107" s="4718"/>
      <c r="O107" s="4718"/>
      <c r="P107" s="4718"/>
      <c r="Q107" s="4713"/>
      <c r="R107" s="4718"/>
      <c r="S107" s="4718"/>
      <c r="T107" s="4718"/>
      <c r="U107" s="4718"/>
      <c r="V107" s="4718"/>
      <c r="W107" s="4718"/>
      <c r="X107" s="4718"/>
      <c r="Y107" s="4713"/>
      <c r="Z107" s="4718"/>
      <c r="AG107" s="4719"/>
      <c r="AH107" s="4720"/>
      <c r="AI107" s="4720"/>
      <c r="AJ107" s="4720"/>
      <c r="AK107" s="4720"/>
      <c r="AL107" s="4720"/>
      <c r="AM107" s="4720"/>
      <c r="AN107" s="4720"/>
      <c r="AO107" s="4719"/>
      <c r="AP107" s="4720"/>
      <c r="AQ107" s="4720"/>
      <c r="AR107" s="4720"/>
      <c r="AS107" s="4639"/>
      <c r="AT107" s="4639"/>
      <c r="AU107" s="4639"/>
      <c r="AV107" s="4639"/>
      <c r="AW107" s="4639"/>
      <c r="AX107" s="4639"/>
      <c r="AY107" s="4639"/>
      <c r="AZ107" s="4639"/>
      <c r="BA107" s="4639"/>
      <c r="BB107" s="4639"/>
      <c r="BC107" s="4639"/>
      <c r="BD107" s="4639"/>
      <c r="BE107" s="4639"/>
      <c r="BF107" s="4639"/>
      <c r="BG107" s="4639"/>
      <c r="BH107" s="4639"/>
      <c r="BI107" s="1"/>
      <c r="BJ107" s="1"/>
      <c r="BK107" s="1"/>
      <c r="BL107" s="1"/>
      <c r="BM107" s="1"/>
      <c r="BN107" s="1"/>
      <c r="BO107" s="1"/>
      <c r="BP107" s="4720"/>
      <c r="BQ107" s="4720"/>
      <c r="BR107" s="1"/>
      <c r="BS107" s="1"/>
      <c r="BT107" s="1"/>
      <c r="BU107" s="1"/>
      <c r="BV107" s="1"/>
      <c r="BW107" s="1"/>
      <c r="BX107" s="1"/>
      <c r="BY107" s="4720"/>
      <c r="BZ107" s="4720"/>
      <c r="CA107" s="1"/>
      <c r="CB107" s="659"/>
      <c r="CC107" s="659"/>
      <c r="CD107" s="659"/>
      <c r="CE107" s="659"/>
      <c r="CF107" s="659"/>
      <c r="CG107" s="4662"/>
      <c r="CH107" s="1"/>
      <c r="CI107" s="1"/>
      <c r="CJ107" s="1"/>
      <c r="CK107" s="1"/>
      <c r="CL107" s="1"/>
      <c r="CM107" s="1"/>
      <c r="CN107" s="1"/>
      <c r="CO107" s="1"/>
    </row>
    <row r="108" spans="2:93">
      <c r="B108" s="4714"/>
      <c r="C108" s="4723"/>
      <c r="D108" s="4723"/>
      <c r="E108" s="4723"/>
      <c r="F108" s="4723"/>
      <c r="G108" s="4723"/>
      <c r="H108" s="4723"/>
      <c r="I108" s="4724"/>
      <c r="J108" s="4723"/>
      <c r="K108" s="4723"/>
      <c r="L108" s="4723"/>
      <c r="M108" s="4723"/>
      <c r="N108" s="4723"/>
      <c r="O108" s="4723"/>
      <c r="P108" s="4723"/>
      <c r="Q108" s="4724"/>
      <c r="R108" s="4723"/>
      <c r="S108" s="4718"/>
      <c r="T108" s="4718"/>
      <c r="U108" s="4718"/>
      <c r="V108" s="4718"/>
      <c r="W108" s="4718"/>
      <c r="X108" s="4718"/>
      <c r="Y108" s="4724"/>
      <c r="Z108" s="4723"/>
      <c r="AG108" s="4719"/>
      <c r="AH108" s="4720"/>
      <c r="AI108" s="4720"/>
      <c r="AJ108" s="4720"/>
      <c r="AK108" s="4720"/>
      <c r="AL108" s="4720"/>
      <c r="AM108" s="4720"/>
      <c r="AN108" s="4720"/>
      <c r="AO108" s="4719"/>
      <c r="AP108" s="4720"/>
      <c r="AQ108" s="4720"/>
      <c r="AR108" s="4720"/>
      <c r="AS108" s="4639"/>
      <c r="AT108" s="4639"/>
      <c r="AU108" s="4639"/>
      <c r="AV108" s="4639"/>
      <c r="AW108" s="4639"/>
      <c r="AX108" s="4639"/>
      <c r="AY108" s="4639"/>
      <c r="AZ108" s="4639"/>
      <c r="BA108" s="4639"/>
      <c r="BB108" s="4639"/>
      <c r="BC108" s="4639"/>
      <c r="BD108" s="4639"/>
      <c r="BE108" s="4639"/>
      <c r="BF108" s="4639"/>
      <c r="BG108" s="4639"/>
      <c r="BH108" s="4639"/>
      <c r="BI108" s="1"/>
      <c r="BJ108" s="1"/>
      <c r="BK108" s="1"/>
      <c r="BL108" s="1"/>
      <c r="BM108" s="1"/>
      <c r="BN108" s="1"/>
      <c r="BO108" s="1"/>
      <c r="BP108" s="4720"/>
      <c r="BQ108" s="4720"/>
      <c r="BR108" s="1"/>
      <c r="BS108" s="1"/>
      <c r="BT108" s="1"/>
      <c r="BU108" s="1"/>
      <c r="BV108" s="1"/>
      <c r="BW108" s="1"/>
      <c r="BX108" s="1"/>
      <c r="BY108" s="4720"/>
      <c r="BZ108" s="4720"/>
      <c r="CA108" s="1"/>
      <c r="CB108" s="659"/>
      <c r="CC108" s="659"/>
      <c r="CD108" s="659"/>
      <c r="CE108" s="659"/>
      <c r="CF108" s="659"/>
      <c r="CG108" s="4662"/>
      <c r="CH108" s="1"/>
      <c r="CI108" s="1"/>
      <c r="CJ108" s="1"/>
      <c r="CK108" s="1"/>
      <c r="CL108" s="1"/>
      <c r="CM108" s="1"/>
      <c r="CN108" s="1"/>
      <c r="CO108" s="1"/>
    </row>
    <row r="109" spans="2:93">
      <c r="C109" s="4710"/>
      <c r="D109" s="4710"/>
      <c r="E109" s="4710"/>
      <c r="F109" s="4710"/>
      <c r="G109" s="4710"/>
      <c r="H109" s="4710"/>
      <c r="I109" s="4651"/>
      <c r="J109" s="4652"/>
      <c r="K109" s="4652"/>
      <c r="L109" s="4652"/>
      <c r="M109" s="4652"/>
      <c r="N109" s="4652"/>
      <c r="O109" s="4652"/>
      <c r="P109" s="4652"/>
      <c r="Q109" s="4651"/>
      <c r="R109" s="4652"/>
      <c r="S109" s="4652"/>
      <c r="T109" s="4652"/>
      <c r="U109" s="4652"/>
      <c r="V109" s="4652"/>
      <c r="W109" s="4652"/>
      <c r="Y109" s="4651"/>
      <c r="Z109" s="4652"/>
      <c r="AG109" s="4719"/>
      <c r="AH109" s="4720"/>
      <c r="AI109" s="4720"/>
      <c r="AJ109" s="4720"/>
      <c r="AK109" s="4720"/>
      <c r="AL109" s="4720"/>
      <c r="AM109" s="4720"/>
      <c r="AN109" s="4720"/>
      <c r="AO109" s="4719"/>
      <c r="AP109" s="4720"/>
      <c r="AQ109" s="4720"/>
      <c r="AR109" s="4720"/>
      <c r="AS109" s="4639"/>
      <c r="AT109" s="4639"/>
      <c r="AU109" s="4639"/>
      <c r="AV109" s="4639"/>
      <c r="AW109" s="4639"/>
      <c r="AX109" s="4639"/>
      <c r="AY109" s="4639"/>
      <c r="AZ109" s="4639"/>
      <c r="BA109" s="4639"/>
      <c r="BB109" s="4639"/>
      <c r="BC109" s="4639"/>
      <c r="BD109" s="4639"/>
      <c r="BE109" s="4639"/>
      <c r="BF109" s="4639"/>
      <c r="BG109" s="4639"/>
      <c r="BH109" s="4639"/>
      <c r="BI109" s="1"/>
      <c r="BJ109" s="1"/>
      <c r="BK109" s="1"/>
      <c r="BL109" s="1"/>
      <c r="BM109" s="1"/>
      <c r="BN109" s="1"/>
      <c r="BO109" s="1"/>
      <c r="BP109" s="4720"/>
      <c r="BQ109" s="4720"/>
      <c r="BR109" s="1"/>
      <c r="BS109" s="1"/>
      <c r="BT109" s="1"/>
      <c r="BU109" s="1"/>
      <c r="BV109" s="1"/>
      <c r="BW109" s="1"/>
      <c r="BX109" s="1"/>
      <c r="BY109" s="4720"/>
      <c r="BZ109" s="4720"/>
      <c r="CA109" s="1"/>
      <c r="CB109" s="659"/>
      <c r="CC109" s="659"/>
      <c r="CD109" s="659"/>
      <c r="CE109" s="659"/>
      <c r="CF109" s="659"/>
      <c r="CG109" s="4662"/>
      <c r="CH109" s="1"/>
      <c r="CI109" s="1"/>
      <c r="CJ109" s="1"/>
      <c r="CK109" s="1"/>
      <c r="CL109" s="1"/>
      <c r="CM109" s="1"/>
      <c r="CN109" s="1"/>
      <c r="CO109" s="1"/>
    </row>
    <row r="110" spans="2:93" ht="54.75" customHeight="1">
      <c r="B110" s="4711"/>
      <c r="C110" s="4725"/>
      <c r="D110" s="4725"/>
      <c r="E110" s="4725"/>
      <c r="F110" s="4725"/>
      <c r="G110" s="4725"/>
      <c r="H110" s="4725"/>
      <c r="I110" s="4708"/>
      <c r="J110" s="4725"/>
      <c r="K110" s="4725"/>
      <c r="L110" s="4725"/>
      <c r="M110" s="4725"/>
      <c r="N110" s="4725"/>
      <c r="O110" s="4725"/>
      <c r="P110" s="4725"/>
      <c r="Q110" s="4708"/>
      <c r="R110" s="4725"/>
      <c r="S110" s="4725"/>
      <c r="T110" s="4725"/>
      <c r="U110" s="4725"/>
      <c r="V110" s="4725"/>
      <c r="W110" s="4725"/>
      <c r="X110" s="4725"/>
      <c r="Y110" s="4708"/>
      <c r="Z110" s="4725"/>
      <c r="AG110" s="4719"/>
      <c r="AH110" s="4720"/>
      <c r="AI110" s="4720"/>
      <c r="AJ110" s="4720"/>
      <c r="AK110" s="4720"/>
      <c r="AL110" s="4720"/>
      <c r="AM110" s="4720"/>
      <c r="AN110" s="4720"/>
      <c r="AO110" s="4719"/>
      <c r="AP110" s="4720"/>
      <c r="AQ110" s="4720"/>
      <c r="AR110" s="4720"/>
      <c r="AS110" s="4639"/>
      <c r="AT110" s="4639"/>
      <c r="AU110" s="4639"/>
      <c r="AV110" s="4639"/>
      <c r="AW110" s="4639"/>
      <c r="AX110" s="4639"/>
      <c r="AY110" s="4639"/>
      <c r="AZ110" s="4639"/>
      <c r="BA110" s="4639"/>
      <c r="BB110" s="4639"/>
      <c r="BC110" s="4639"/>
      <c r="BD110" s="4639"/>
      <c r="BE110" s="4639"/>
      <c r="BF110" s="4639"/>
      <c r="BG110" s="4639"/>
      <c r="BH110" s="4639"/>
      <c r="BI110" s="1"/>
      <c r="BJ110" s="1"/>
      <c r="BK110" s="1"/>
      <c r="BL110" s="1"/>
      <c r="BM110" s="1"/>
      <c r="BN110" s="1"/>
      <c r="BO110" s="1"/>
      <c r="BP110" s="4720"/>
      <c r="BQ110" s="4720"/>
      <c r="BR110" s="1"/>
      <c r="BS110" s="1"/>
      <c r="BT110" s="1"/>
      <c r="BU110" s="1"/>
      <c r="BV110" s="1"/>
      <c r="BW110" s="1"/>
      <c r="BX110" s="1"/>
      <c r="BY110" s="4720"/>
      <c r="BZ110" s="4720"/>
      <c r="CA110" s="1"/>
      <c r="CB110" s="659"/>
      <c r="CC110" s="659"/>
      <c r="CD110" s="659"/>
      <c r="CE110" s="659"/>
      <c r="CF110" s="659"/>
      <c r="CG110" s="4662"/>
      <c r="CH110" s="1"/>
      <c r="CI110" s="1"/>
      <c r="CJ110" s="1"/>
      <c r="CK110" s="1"/>
      <c r="CL110" s="1"/>
      <c r="CM110" s="1"/>
      <c r="CN110" s="1"/>
      <c r="CO110" s="1"/>
    </row>
    <row r="111" spans="2:93">
      <c r="B111" s="4711"/>
      <c r="C111" s="4725"/>
      <c r="D111" s="4725"/>
      <c r="E111" s="4725"/>
      <c r="F111" s="4725"/>
      <c r="G111" s="4725"/>
      <c r="H111" s="4725"/>
      <c r="I111" s="4708"/>
      <c r="J111" s="4725"/>
      <c r="K111" s="4725"/>
      <c r="L111" s="4725"/>
      <c r="M111" s="4725"/>
      <c r="N111" s="4725"/>
      <c r="O111" s="4725"/>
      <c r="P111" s="4725"/>
      <c r="Q111" s="4708"/>
      <c r="R111" s="4725"/>
      <c r="S111" s="4725"/>
      <c r="T111" s="4725"/>
      <c r="U111" s="4725"/>
      <c r="V111" s="4725"/>
      <c r="W111" s="4725"/>
      <c r="X111" s="4725"/>
      <c r="Y111" s="4708"/>
      <c r="Z111" s="4725"/>
      <c r="AG111" s="4719"/>
      <c r="AH111" s="4720"/>
      <c r="AI111" s="4720"/>
      <c r="AJ111" s="4720"/>
      <c r="AK111" s="4720"/>
      <c r="AL111" s="4720"/>
      <c r="AM111" s="4720"/>
      <c r="AN111" s="4720"/>
      <c r="AO111" s="4719"/>
      <c r="AP111" s="4720"/>
      <c r="AQ111" s="4720"/>
      <c r="AR111" s="4720"/>
      <c r="AS111" s="4639"/>
      <c r="AT111" s="4639"/>
      <c r="AU111" s="4639"/>
      <c r="AV111" s="4639"/>
      <c r="AW111" s="4639"/>
      <c r="AX111" s="4639"/>
      <c r="AY111" s="4639"/>
      <c r="AZ111" s="4639"/>
      <c r="BA111" s="4639"/>
      <c r="BB111" s="4639"/>
      <c r="BC111" s="4639"/>
      <c r="BD111" s="4639"/>
      <c r="BE111" s="4639"/>
      <c r="BF111" s="4639"/>
      <c r="BG111" s="4639"/>
      <c r="BH111" s="4639"/>
      <c r="BI111" s="1"/>
      <c r="BJ111" s="1"/>
      <c r="BK111" s="1"/>
      <c r="BL111" s="1"/>
      <c r="BM111" s="1"/>
      <c r="BN111" s="1"/>
      <c r="BO111" s="1"/>
      <c r="BP111" s="4720"/>
      <c r="BQ111" s="4720"/>
      <c r="BR111" s="1"/>
      <c r="BS111" s="1"/>
      <c r="BT111" s="1"/>
      <c r="BU111" s="1"/>
      <c r="BV111" s="1"/>
      <c r="BW111" s="1"/>
      <c r="BX111" s="1"/>
      <c r="BY111" s="4720"/>
      <c r="BZ111" s="4720"/>
      <c r="CA111" s="1"/>
      <c r="CB111" s="659"/>
      <c r="CC111" s="659"/>
      <c r="CD111" s="659"/>
      <c r="CE111" s="659"/>
      <c r="CF111" s="659"/>
      <c r="CG111" s="4662"/>
      <c r="CH111" s="1"/>
      <c r="CI111" s="1"/>
      <c r="CJ111" s="1"/>
      <c r="CK111" s="1"/>
      <c r="CL111" s="1"/>
      <c r="CM111" s="1"/>
      <c r="CN111" s="1"/>
      <c r="CO111" s="1"/>
    </row>
    <row r="112" spans="2:93">
      <c r="B112" s="4711"/>
      <c r="C112" s="4725"/>
      <c r="D112" s="4725"/>
      <c r="E112" s="4725"/>
      <c r="F112" s="4725"/>
      <c r="G112" s="4725"/>
      <c r="H112" s="4725"/>
      <c r="I112" s="4708"/>
      <c r="J112" s="4725"/>
      <c r="K112" s="4725"/>
      <c r="L112" s="4725"/>
      <c r="M112" s="4725"/>
      <c r="N112" s="4725"/>
      <c r="O112" s="4725"/>
      <c r="P112" s="4725"/>
      <c r="Q112" s="4708"/>
      <c r="R112" s="4725"/>
      <c r="S112" s="4725"/>
      <c r="T112" s="4725"/>
      <c r="U112" s="4725"/>
      <c r="V112" s="4725"/>
      <c r="W112" s="4725"/>
      <c r="X112" s="4725"/>
      <c r="Y112" s="4708"/>
      <c r="Z112" s="4725"/>
      <c r="AG112" s="4719"/>
      <c r="AH112" s="4720"/>
      <c r="AI112" s="4720"/>
      <c r="AJ112" s="4720"/>
      <c r="AK112" s="4720"/>
      <c r="AL112" s="4720"/>
      <c r="AM112" s="4720"/>
      <c r="AN112" s="4720"/>
      <c r="AO112" s="4719"/>
      <c r="AP112" s="4720"/>
      <c r="AQ112" s="4720"/>
      <c r="AR112" s="4720"/>
      <c r="AS112" s="4639"/>
      <c r="AT112" s="4639"/>
      <c r="AU112" s="4639"/>
      <c r="AV112" s="4639"/>
      <c r="AW112" s="4639"/>
      <c r="AX112" s="4639"/>
      <c r="AY112" s="4639"/>
      <c r="AZ112" s="4639"/>
      <c r="BA112" s="4639"/>
      <c r="BB112" s="4639"/>
      <c r="BC112" s="4639"/>
      <c r="BD112" s="4639"/>
      <c r="BE112" s="4639"/>
      <c r="BF112" s="4639"/>
      <c r="BG112" s="4639"/>
      <c r="BH112" s="4639"/>
      <c r="BI112" s="1"/>
      <c r="BJ112" s="1"/>
      <c r="BK112" s="1"/>
      <c r="BL112" s="1"/>
      <c r="BM112" s="1"/>
      <c r="BN112" s="1"/>
      <c r="BO112" s="1"/>
      <c r="BP112" s="4720"/>
      <c r="BQ112" s="4720"/>
      <c r="BR112" s="1"/>
      <c r="BS112" s="1"/>
      <c r="BT112" s="1"/>
      <c r="BU112" s="1"/>
      <c r="BV112" s="1"/>
      <c r="BW112" s="1"/>
      <c r="BX112" s="1"/>
      <c r="BY112" s="4720"/>
      <c r="BZ112" s="4720"/>
      <c r="CA112" s="1"/>
      <c r="CB112" s="659"/>
      <c r="CC112" s="659"/>
      <c r="CD112" s="659"/>
      <c r="CE112" s="659"/>
      <c r="CF112" s="659"/>
      <c r="CG112" s="4662"/>
      <c r="CH112" s="1"/>
      <c r="CI112" s="1"/>
      <c r="CJ112" s="1"/>
      <c r="CK112" s="1"/>
      <c r="CL112" s="1"/>
      <c r="CM112" s="1"/>
      <c r="CN112" s="1"/>
      <c r="CO112" s="1"/>
    </row>
    <row r="113" spans="1:93">
      <c r="B113" s="4711"/>
      <c r="C113" s="4725"/>
      <c r="D113" s="4725"/>
      <c r="E113" s="4725"/>
      <c r="F113" s="4725"/>
      <c r="G113" s="4725"/>
      <c r="H113" s="4725"/>
      <c r="I113" s="4708"/>
      <c r="J113" s="4725"/>
      <c r="K113" s="4725"/>
      <c r="L113" s="4725"/>
      <c r="M113" s="4725"/>
      <c r="N113" s="4725"/>
      <c r="O113" s="4725"/>
      <c r="P113" s="4725"/>
      <c r="Q113" s="4708"/>
      <c r="R113" s="4725"/>
      <c r="S113" s="4725"/>
      <c r="T113" s="4725"/>
      <c r="U113" s="4725"/>
      <c r="V113" s="4725"/>
      <c r="W113" s="4725"/>
      <c r="X113" s="4725"/>
      <c r="Y113" s="4708"/>
      <c r="Z113" s="4725"/>
      <c r="AG113" s="4719"/>
      <c r="AH113" s="4720"/>
      <c r="AI113" s="4720"/>
      <c r="AJ113" s="4720"/>
      <c r="AK113" s="4720"/>
      <c r="AL113" s="4720"/>
      <c r="AM113" s="4720"/>
      <c r="AN113" s="4720"/>
      <c r="AO113" s="4719"/>
      <c r="AP113" s="4720"/>
      <c r="AQ113" s="4720"/>
      <c r="AR113" s="4720"/>
      <c r="AS113" s="4639"/>
      <c r="AT113" s="4639"/>
      <c r="AU113" s="4639"/>
      <c r="AV113" s="4639"/>
      <c r="AW113" s="4639"/>
      <c r="AX113" s="4639"/>
      <c r="AY113" s="4639"/>
      <c r="AZ113" s="4639"/>
      <c r="BA113" s="4639"/>
      <c r="BB113" s="4639"/>
      <c r="BC113" s="4639"/>
      <c r="BD113" s="4639"/>
      <c r="BE113" s="4639"/>
      <c r="BF113" s="4639"/>
      <c r="BG113" s="4639"/>
      <c r="BH113" s="4639"/>
      <c r="BI113" s="1"/>
      <c r="BJ113" s="1"/>
      <c r="BK113" s="1"/>
      <c r="BL113" s="1"/>
      <c r="BM113" s="1"/>
      <c r="BN113" s="1"/>
      <c r="BO113" s="1"/>
      <c r="BP113" s="4720"/>
      <c r="BQ113" s="4720"/>
      <c r="BR113" s="1"/>
      <c r="BS113" s="1"/>
      <c r="BT113" s="1"/>
      <c r="BU113" s="1"/>
      <c r="BV113" s="1"/>
      <c r="BW113" s="1"/>
      <c r="BX113" s="1"/>
      <c r="BY113" s="4720"/>
      <c r="BZ113" s="4720"/>
      <c r="CA113" s="1"/>
      <c r="CB113" s="659"/>
      <c r="CC113" s="659"/>
      <c r="CD113" s="659"/>
      <c r="CE113" s="659"/>
      <c r="CF113" s="659"/>
      <c r="CG113" s="4662"/>
      <c r="CH113" s="1"/>
      <c r="CI113" s="1"/>
      <c r="CJ113" s="1"/>
      <c r="CK113" s="1"/>
      <c r="CL113" s="1"/>
      <c r="CM113" s="1"/>
      <c r="CN113" s="1"/>
      <c r="CO113" s="1"/>
    </row>
    <row r="114" spans="1:93">
      <c r="C114" s="4710"/>
      <c r="D114" s="4710"/>
      <c r="E114" s="4710"/>
      <c r="F114" s="4710"/>
      <c r="G114" s="4710"/>
      <c r="H114" s="4710"/>
      <c r="I114" s="4651"/>
      <c r="J114" s="4652"/>
      <c r="K114" s="4652"/>
      <c r="L114" s="4652"/>
      <c r="M114" s="4652"/>
      <c r="N114" s="4652"/>
      <c r="O114" s="4652"/>
      <c r="P114" s="4652"/>
      <c r="Q114" s="4651"/>
      <c r="R114" s="4652"/>
      <c r="S114" s="4652"/>
      <c r="T114" s="4652"/>
      <c r="U114" s="4652"/>
      <c r="V114" s="4652"/>
      <c r="W114" s="4652"/>
      <c r="Y114" s="4651"/>
      <c r="Z114" s="4652"/>
      <c r="AA114" s="4652"/>
      <c r="AB114" s="4652"/>
      <c r="AC114" s="4652"/>
      <c r="AD114" s="4652"/>
      <c r="AE114" s="4652"/>
      <c r="AG114" s="4651"/>
      <c r="AH114" s="4652"/>
      <c r="AI114" s="4652"/>
      <c r="AJ114" s="4652"/>
      <c r="AK114" s="4652"/>
      <c r="AL114" s="4652"/>
      <c r="AM114" s="4652"/>
      <c r="AO114" s="4651"/>
      <c r="AP114" s="4652"/>
      <c r="AW114" s="4720"/>
      <c r="AX114" s="4720"/>
      <c r="AY114" s="4720"/>
      <c r="AZ114" s="4720"/>
      <c r="BA114" s="4720"/>
      <c r="BB114" s="4720"/>
      <c r="BC114" s="4720"/>
      <c r="BD114" s="4720"/>
      <c r="BE114" s="4720"/>
      <c r="BF114" s="4720"/>
      <c r="BG114" s="4720"/>
      <c r="BH114" s="4720"/>
      <c r="BP114" s="4652"/>
      <c r="BQ114" s="4652"/>
      <c r="BY114" s="4652"/>
      <c r="BZ114" s="4652"/>
    </row>
    <row r="115" spans="1:93" s="4705" customFormat="1">
      <c r="CB115" s="4714"/>
      <c r="CC115" s="4714"/>
      <c r="CD115" s="4714"/>
      <c r="CE115" s="4714"/>
      <c r="CF115" s="4714"/>
      <c r="CG115" s="4726"/>
    </row>
    <row r="116" spans="1:93" s="4705" customFormat="1">
      <c r="CB116" s="4714"/>
      <c r="CC116" s="4714"/>
      <c r="CD116" s="4714"/>
      <c r="CE116" s="4714"/>
      <c r="CF116" s="4714"/>
      <c r="CG116" s="4726"/>
    </row>
    <row r="117" spans="1:93" s="4705" customFormat="1">
      <c r="C117" s="4727"/>
      <c r="D117" s="4727"/>
      <c r="E117" s="4727"/>
      <c r="F117" s="4727"/>
      <c r="G117" s="4727"/>
      <c r="H117" s="4727"/>
      <c r="K117" s="4727"/>
      <c r="L117" s="4727"/>
      <c r="M117" s="4727"/>
      <c r="N117" s="4727"/>
      <c r="O117" s="4727"/>
      <c r="P117" s="4727"/>
      <c r="S117" s="4727"/>
      <c r="T117" s="4727"/>
      <c r="U117" s="4727"/>
      <c r="V117" s="4727"/>
      <c r="W117" s="4727"/>
      <c r="X117" s="4727"/>
      <c r="Z117" s="4728"/>
      <c r="AA117" s="4728"/>
      <c r="AB117" s="4728"/>
      <c r="AC117" s="4728"/>
      <c r="AD117" s="4728"/>
      <c r="AE117" s="4728"/>
      <c r="AI117" s="4727"/>
      <c r="AJ117" s="4727"/>
      <c r="AK117" s="4727"/>
      <c r="AL117" s="4727"/>
      <c r="AM117" s="4727"/>
      <c r="AN117" s="4727"/>
      <c r="AQ117" s="4727"/>
      <c r="AR117" s="4727"/>
      <c r="AS117" s="4727"/>
      <c r="AT117" s="4727"/>
      <c r="AU117" s="4727"/>
      <c r="AV117" s="4727"/>
      <c r="BJ117" s="4727"/>
      <c r="BK117" s="4727"/>
      <c r="BL117" s="4727"/>
      <c r="BM117" s="4727"/>
      <c r="BN117" s="4727"/>
      <c r="BO117" s="4727"/>
      <c r="CB117" s="4714"/>
      <c r="CC117" s="4714"/>
      <c r="CD117" s="4714"/>
      <c r="CE117" s="4714"/>
      <c r="CF117" s="4714"/>
      <c r="CG117" s="4726"/>
    </row>
    <row r="118" spans="1:93" s="4705" customFormat="1">
      <c r="B118" s="4666"/>
      <c r="C118" s="4729"/>
      <c r="D118" s="4729"/>
      <c r="E118" s="4729"/>
      <c r="F118" s="4729"/>
      <c r="G118" s="4729"/>
      <c r="H118" s="4729"/>
      <c r="K118" s="4729"/>
      <c r="L118" s="4729"/>
      <c r="M118" s="4729"/>
      <c r="N118" s="4729"/>
      <c r="O118" s="4729"/>
      <c r="P118" s="4729"/>
      <c r="S118" s="4729"/>
      <c r="T118" s="4729"/>
      <c r="U118" s="4729"/>
      <c r="V118" s="4729"/>
      <c r="W118" s="4729"/>
      <c r="X118" s="4729"/>
      <c r="Z118" s="4730"/>
      <c r="AA118" s="4730"/>
      <c r="AB118" s="4730"/>
      <c r="AC118" s="4730"/>
      <c r="AD118" s="4730"/>
      <c r="AE118" s="4730"/>
      <c r="AI118" s="4729"/>
      <c r="AJ118" s="4729"/>
      <c r="AK118" s="4729"/>
      <c r="AL118" s="4729"/>
      <c r="AM118" s="4729"/>
      <c r="AN118" s="4729"/>
      <c r="AQ118" s="4729"/>
      <c r="AR118" s="4729"/>
      <c r="AS118" s="4729"/>
      <c r="AT118" s="4729"/>
      <c r="AU118" s="4729"/>
      <c r="AV118" s="4729"/>
      <c r="BJ118" s="4729"/>
      <c r="BK118" s="4729"/>
      <c r="BL118" s="4729"/>
      <c r="BM118" s="4729"/>
      <c r="BN118" s="4729"/>
      <c r="BO118" s="4729"/>
      <c r="CB118" s="4714"/>
      <c r="CC118" s="4714"/>
      <c r="CD118" s="4714"/>
      <c r="CE118" s="4714"/>
      <c r="CF118" s="4714"/>
      <c r="CG118" s="4726"/>
    </row>
    <row r="119" spans="1:93" s="4705" customFormat="1">
      <c r="B119" s="4666"/>
      <c r="C119" s="4729"/>
      <c r="D119" s="4729"/>
      <c r="E119" s="4729"/>
      <c r="F119" s="4729"/>
      <c r="G119" s="4729"/>
      <c r="H119" s="4729"/>
      <c r="K119" s="4729"/>
      <c r="L119" s="4729"/>
      <c r="M119" s="4729"/>
      <c r="N119" s="4729"/>
      <c r="O119" s="4729"/>
      <c r="P119" s="4729"/>
      <c r="S119" s="4729"/>
      <c r="T119" s="4729"/>
      <c r="U119" s="4729"/>
      <c r="V119" s="4729"/>
      <c r="W119" s="4729"/>
      <c r="X119" s="4729"/>
      <c r="Z119" s="4730"/>
      <c r="AA119" s="4730"/>
      <c r="AB119" s="4730"/>
      <c r="AC119" s="4730"/>
      <c r="AD119" s="4730"/>
      <c r="AE119" s="4730"/>
      <c r="AI119" s="4729"/>
      <c r="AJ119" s="4729"/>
      <c r="AK119" s="4729"/>
      <c r="AL119" s="4729"/>
      <c r="AM119" s="4729"/>
      <c r="AN119" s="4729"/>
      <c r="AQ119" s="4729"/>
      <c r="AR119" s="4729"/>
      <c r="AS119" s="4729"/>
      <c r="AT119" s="4729"/>
      <c r="AU119" s="4729"/>
      <c r="AV119" s="4729"/>
      <c r="BJ119" s="4729"/>
      <c r="BK119" s="4729"/>
      <c r="BL119" s="4729"/>
      <c r="BM119" s="4729"/>
      <c r="BN119" s="4729"/>
      <c r="BO119" s="4729"/>
      <c r="CB119" s="4714"/>
      <c r="CC119" s="4714"/>
      <c r="CD119" s="4714"/>
      <c r="CE119" s="4714"/>
      <c r="CF119" s="4714"/>
      <c r="CG119" s="4726"/>
    </row>
    <row r="120" spans="1:93" s="4705" customFormat="1">
      <c r="B120" s="4666"/>
      <c r="C120" s="4729"/>
      <c r="D120" s="4729"/>
      <c r="E120" s="4729"/>
      <c r="F120" s="4729"/>
      <c r="G120" s="4729"/>
      <c r="H120" s="4729"/>
      <c r="K120" s="4729"/>
      <c r="L120" s="4729"/>
      <c r="M120" s="4729"/>
      <c r="N120" s="4729"/>
      <c r="O120" s="4729"/>
      <c r="P120" s="4729"/>
      <c r="S120" s="4729"/>
      <c r="T120" s="4729"/>
      <c r="U120" s="4729"/>
      <c r="V120" s="4729"/>
      <c r="W120" s="4729"/>
      <c r="X120" s="4729"/>
      <c r="Z120" s="4730"/>
      <c r="AA120" s="4730"/>
      <c r="AB120" s="4730"/>
      <c r="AC120" s="4730"/>
      <c r="AD120" s="4730"/>
      <c r="AE120" s="4730"/>
      <c r="AI120" s="4729"/>
      <c r="AJ120" s="4729"/>
      <c r="AK120" s="4729"/>
      <c r="AL120" s="4729"/>
      <c r="AM120" s="4729"/>
      <c r="AN120" s="4729"/>
      <c r="AQ120" s="4729"/>
      <c r="AR120" s="4729"/>
      <c r="AS120" s="4729"/>
      <c r="AT120" s="4729"/>
      <c r="AU120" s="4729"/>
      <c r="AV120" s="4729"/>
      <c r="BJ120" s="4729"/>
      <c r="BK120" s="4729"/>
      <c r="BL120" s="4729"/>
      <c r="BM120" s="4729"/>
      <c r="BN120" s="4729"/>
      <c r="BO120" s="4729"/>
      <c r="CB120" s="4714"/>
      <c r="CC120" s="4714"/>
      <c r="CD120" s="4714"/>
      <c r="CE120" s="4714"/>
      <c r="CF120" s="4714"/>
      <c r="CG120" s="4726"/>
    </row>
    <row r="121" spans="1:93" s="4705" customFormat="1">
      <c r="B121" s="4666"/>
      <c r="C121" s="4729"/>
      <c r="D121" s="4729"/>
      <c r="E121" s="4729"/>
      <c r="F121" s="4729"/>
      <c r="G121" s="4729"/>
      <c r="H121" s="4729"/>
      <c r="K121" s="4729"/>
      <c r="L121" s="4729"/>
      <c r="M121" s="4729"/>
      <c r="N121" s="4729"/>
      <c r="O121" s="4729"/>
      <c r="P121" s="4729"/>
      <c r="S121" s="4729"/>
      <c r="T121" s="4729"/>
      <c r="U121" s="4729"/>
      <c r="V121" s="4729"/>
      <c r="W121" s="4729"/>
      <c r="X121" s="4729"/>
      <c r="Z121" s="4730"/>
      <c r="AA121" s="4730"/>
      <c r="AB121" s="4730"/>
      <c r="AC121" s="4730"/>
      <c r="AD121" s="4730"/>
      <c r="AE121" s="4730"/>
      <c r="AI121" s="4729"/>
      <c r="AJ121" s="4729"/>
      <c r="AK121" s="4729"/>
      <c r="AL121" s="4729"/>
      <c r="AM121" s="4729"/>
      <c r="AN121" s="4729"/>
      <c r="AQ121" s="4729"/>
      <c r="AR121" s="4729"/>
      <c r="AS121" s="4729"/>
      <c r="AT121" s="4729"/>
      <c r="AU121" s="4729"/>
      <c r="AV121" s="4729"/>
      <c r="BJ121" s="4729"/>
      <c r="BK121" s="4729"/>
      <c r="BL121" s="4729"/>
      <c r="BM121" s="4729"/>
      <c r="BN121" s="4729"/>
      <c r="BO121" s="4729"/>
      <c r="CB121" s="4714"/>
      <c r="CC121" s="4714"/>
      <c r="CD121" s="4714"/>
      <c r="CE121" s="4714"/>
      <c r="CF121" s="4714"/>
      <c r="CG121" s="4726"/>
    </row>
    <row r="122" spans="1:93" s="4705" customFormat="1">
      <c r="B122" s="4666"/>
      <c r="C122" s="4729"/>
      <c r="D122" s="4729"/>
      <c r="E122" s="4729"/>
      <c r="F122" s="4729"/>
      <c r="G122" s="4729"/>
      <c r="H122" s="4729"/>
      <c r="K122" s="4729"/>
      <c r="L122" s="4729"/>
      <c r="M122" s="4729"/>
      <c r="N122" s="4729"/>
      <c r="O122" s="4729"/>
      <c r="P122" s="4729"/>
      <c r="S122" s="4729"/>
      <c r="T122" s="4729"/>
      <c r="U122" s="4729"/>
      <c r="V122" s="4729"/>
      <c r="W122" s="4729"/>
      <c r="X122" s="4729"/>
      <c r="Z122" s="4730"/>
      <c r="AA122" s="4730"/>
      <c r="AB122" s="4730"/>
      <c r="AC122" s="4730"/>
      <c r="AD122" s="4730"/>
      <c r="AE122" s="4730"/>
      <c r="AI122" s="4729"/>
      <c r="AJ122" s="4729"/>
      <c r="AK122" s="4729"/>
      <c r="AL122" s="4729"/>
      <c r="AM122" s="4729"/>
      <c r="AN122" s="4729"/>
      <c r="AQ122" s="4729"/>
      <c r="AR122" s="4729"/>
      <c r="AS122" s="4729"/>
      <c r="AT122" s="4729"/>
      <c r="AU122" s="4729"/>
      <c r="AV122" s="4729"/>
      <c r="BJ122" s="4729"/>
      <c r="BK122" s="4729"/>
      <c r="BL122" s="4729"/>
      <c r="BM122" s="4729"/>
      <c r="BN122" s="4729"/>
      <c r="BO122" s="4729"/>
      <c r="CB122" s="4714"/>
      <c r="CC122" s="4714"/>
      <c r="CD122" s="4714"/>
      <c r="CE122" s="4714"/>
      <c r="CF122" s="4714"/>
      <c r="CG122" s="4726"/>
    </row>
    <row r="123" spans="1:93" s="4705" customFormat="1">
      <c r="B123" s="4666"/>
      <c r="C123" s="4729"/>
      <c r="D123" s="4729"/>
      <c r="E123" s="4729"/>
      <c r="F123" s="4729"/>
      <c r="G123" s="4729"/>
      <c r="H123" s="4729"/>
      <c r="K123" s="4729"/>
      <c r="L123" s="4729"/>
      <c r="M123" s="4729"/>
      <c r="N123" s="4729"/>
      <c r="O123" s="4729"/>
      <c r="P123" s="4729"/>
      <c r="S123" s="4729"/>
      <c r="T123" s="4729"/>
      <c r="U123" s="4729"/>
      <c r="V123" s="4729"/>
      <c r="W123" s="4729"/>
      <c r="X123" s="4729"/>
      <c r="Z123" s="4730"/>
      <c r="AA123" s="4730"/>
      <c r="AB123" s="4730"/>
      <c r="AC123" s="4730"/>
      <c r="AD123" s="4730"/>
      <c r="AE123" s="4730"/>
      <c r="AI123" s="4729"/>
      <c r="AJ123" s="4729"/>
      <c r="AK123" s="4729"/>
      <c r="AL123" s="4729"/>
      <c r="AM123" s="4729"/>
      <c r="AN123" s="4729"/>
      <c r="AQ123" s="4729"/>
      <c r="AR123" s="4729"/>
      <c r="AS123" s="4729"/>
      <c r="AT123" s="4729"/>
      <c r="AU123" s="4729"/>
      <c r="AV123" s="4729"/>
      <c r="BJ123" s="4729"/>
      <c r="BK123" s="4729"/>
      <c r="BL123" s="4729"/>
      <c r="BM123" s="4729"/>
      <c r="BN123" s="4729"/>
      <c r="BO123" s="4729"/>
      <c r="CB123" s="4714"/>
      <c r="CC123" s="4714"/>
      <c r="CD123" s="4714"/>
      <c r="CE123" s="4714"/>
      <c r="CF123" s="4714"/>
      <c r="CG123" s="4726"/>
    </row>
    <row r="124" spans="1:93" s="4705" customFormat="1">
      <c r="B124" s="4666"/>
      <c r="C124" s="4729"/>
      <c r="D124" s="4729"/>
      <c r="E124" s="4729"/>
      <c r="F124" s="4729"/>
      <c r="G124" s="4729"/>
      <c r="H124" s="4729"/>
      <c r="K124" s="4729"/>
      <c r="L124" s="4729"/>
      <c r="M124" s="4729"/>
      <c r="N124" s="4729"/>
      <c r="O124" s="4729"/>
      <c r="P124" s="4729"/>
      <c r="S124" s="4729"/>
      <c r="T124" s="4729"/>
      <c r="U124" s="4729"/>
      <c r="V124" s="4729"/>
      <c r="W124" s="4729"/>
      <c r="X124" s="4729"/>
      <c r="Z124" s="4730"/>
      <c r="AA124" s="4730"/>
      <c r="AB124" s="4730"/>
      <c r="AC124" s="4730"/>
      <c r="AD124" s="4730"/>
      <c r="AE124" s="4730"/>
      <c r="AI124" s="4729"/>
      <c r="AJ124" s="4729"/>
      <c r="AK124" s="4729"/>
      <c r="AL124" s="4729"/>
      <c r="AM124" s="4729"/>
      <c r="AN124" s="4729"/>
      <c r="AQ124" s="4729"/>
      <c r="AR124" s="4729"/>
      <c r="AS124" s="4729"/>
      <c r="AT124" s="4729"/>
      <c r="AU124" s="4729"/>
      <c r="AV124" s="4729"/>
      <c r="BJ124" s="4729"/>
      <c r="BK124" s="4729"/>
      <c r="BL124" s="4729"/>
      <c r="BM124" s="4729"/>
      <c r="BN124" s="4729"/>
      <c r="BO124" s="4729"/>
      <c r="CB124" s="4714"/>
      <c r="CC124" s="4714"/>
      <c r="CD124" s="4714"/>
      <c r="CE124" s="4714"/>
      <c r="CF124" s="4714"/>
      <c r="CG124" s="4726"/>
    </row>
    <row r="125" spans="1:93" s="4705" customFormat="1">
      <c r="B125" s="4699"/>
      <c r="C125" s="4731"/>
      <c r="D125" s="4731"/>
      <c r="E125" s="4731"/>
      <c r="F125" s="4731"/>
      <c r="G125" s="4731"/>
      <c r="H125" s="4731"/>
      <c r="K125" s="4731"/>
      <c r="L125" s="4731"/>
      <c r="M125" s="4731"/>
      <c r="N125" s="4731"/>
      <c r="O125" s="4731"/>
      <c r="P125" s="4731"/>
      <c r="S125" s="4731"/>
      <c r="T125" s="4731"/>
      <c r="U125" s="4731"/>
      <c r="V125" s="4731"/>
      <c r="W125" s="4731"/>
      <c r="X125" s="4731"/>
      <c r="Z125" s="4732"/>
      <c r="AA125" s="4732"/>
      <c r="AB125" s="4732"/>
      <c r="AC125" s="4732"/>
      <c r="AD125" s="4732"/>
      <c r="AE125" s="4732"/>
      <c r="AI125" s="4731"/>
      <c r="AJ125" s="4731"/>
      <c r="AK125" s="4731"/>
      <c r="AL125" s="4731"/>
      <c r="AM125" s="4731"/>
      <c r="AN125" s="4731"/>
      <c r="AQ125" s="4731"/>
      <c r="AR125" s="4731"/>
      <c r="AS125" s="4731"/>
      <c r="AT125" s="4731"/>
      <c r="AU125" s="4731"/>
      <c r="AV125" s="4731"/>
      <c r="BJ125" s="4731"/>
      <c r="BK125" s="4731"/>
      <c r="BL125" s="4731"/>
      <c r="BM125" s="4731"/>
      <c r="BN125" s="4731"/>
      <c r="BO125" s="4731"/>
      <c r="CB125" s="4714"/>
      <c r="CC125" s="4714"/>
      <c r="CD125" s="4714"/>
      <c r="CE125" s="4714"/>
      <c r="CF125" s="4714"/>
      <c r="CG125" s="4726"/>
    </row>
    <row r="126" spans="1:93" s="4733" customFormat="1">
      <c r="B126" s="4734"/>
      <c r="C126" s="4735"/>
      <c r="D126" s="4735"/>
      <c r="E126" s="4735"/>
      <c r="F126" s="4735"/>
      <c r="G126" s="4735"/>
      <c r="H126" s="4735"/>
      <c r="K126" s="4735"/>
      <c r="L126" s="4735"/>
      <c r="M126" s="4735"/>
      <c r="N126" s="4735"/>
      <c r="O126" s="4735"/>
      <c r="P126" s="4735"/>
      <c r="S126" s="4735"/>
      <c r="T126" s="4735"/>
      <c r="U126" s="4735"/>
      <c r="V126" s="4735"/>
      <c r="W126" s="4735"/>
      <c r="X126" s="4735"/>
      <c r="Z126" s="4730"/>
      <c r="AA126" s="4730"/>
      <c r="AB126" s="4730"/>
      <c r="AC126" s="4730"/>
      <c r="AD126" s="4730"/>
      <c r="AE126" s="4730"/>
      <c r="AI126" s="4735"/>
      <c r="AJ126" s="4735"/>
      <c r="AK126" s="4735"/>
      <c r="AL126" s="4735"/>
      <c r="AM126" s="4735"/>
      <c r="AN126" s="4735"/>
      <c r="AQ126" s="4735"/>
      <c r="AR126" s="4735"/>
      <c r="AS126" s="4735"/>
      <c r="AT126" s="4735"/>
      <c r="AU126" s="4735"/>
      <c r="AV126" s="4735"/>
      <c r="BJ126" s="4735"/>
      <c r="BK126" s="4735"/>
      <c r="BL126" s="4735"/>
      <c r="BM126" s="4735"/>
      <c r="BN126" s="4735"/>
      <c r="BO126" s="4735"/>
      <c r="CB126" s="4736"/>
      <c r="CC126" s="4736"/>
      <c r="CD126" s="4736"/>
      <c r="CE126" s="4736"/>
      <c r="CF126" s="4736"/>
      <c r="CG126" s="4737"/>
    </row>
    <row r="127" spans="1:93" s="4733" customFormat="1">
      <c r="A127" s="4738"/>
      <c r="B127" s="4734"/>
      <c r="C127" s="4739"/>
      <c r="D127" s="4739"/>
      <c r="E127" s="4739"/>
      <c r="F127" s="4739"/>
      <c r="G127" s="4739"/>
      <c r="H127" s="4739"/>
      <c r="I127" s="4740"/>
      <c r="J127" s="4741"/>
      <c r="K127" s="4739"/>
      <c r="L127" s="4739"/>
      <c r="M127" s="4739"/>
      <c r="N127" s="4739"/>
      <c r="O127" s="4739"/>
      <c r="P127" s="4739"/>
      <c r="Q127" s="4740"/>
      <c r="R127" s="4741"/>
      <c r="S127" s="4739"/>
      <c r="T127" s="4739"/>
      <c r="U127" s="4739"/>
      <c r="V127" s="4739"/>
      <c r="W127" s="4739"/>
      <c r="X127" s="4739"/>
      <c r="Y127" s="4740"/>
      <c r="Z127" s="4742"/>
      <c r="AA127" s="4742"/>
      <c r="AB127" s="4742"/>
      <c r="AC127" s="4742"/>
      <c r="AD127" s="4742"/>
      <c r="AE127" s="4742"/>
      <c r="AF127" s="4741"/>
      <c r="AG127" s="4740"/>
      <c r="AH127" s="4741"/>
      <c r="AI127" s="4739"/>
      <c r="AJ127" s="4739"/>
      <c r="AK127" s="4739"/>
      <c r="AL127" s="4739"/>
      <c r="AM127" s="4739"/>
      <c r="AN127" s="4739"/>
      <c r="AO127" s="4740"/>
      <c r="AP127" s="4741"/>
      <c r="AQ127" s="4739"/>
      <c r="AR127" s="4739"/>
      <c r="AS127" s="4739"/>
      <c r="AT127" s="4739"/>
      <c r="AU127" s="4739"/>
      <c r="AV127" s="4739"/>
      <c r="AW127" s="4741"/>
      <c r="AX127" s="4741"/>
      <c r="AY127" s="4741"/>
      <c r="AZ127" s="4741"/>
      <c r="BA127" s="4741"/>
      <c r="BB127" s="4741"/>
      <c r="BC127" s="4741"/>
      <c r="BD127" s="4741"/>
      <c r="BE127" s="4741"/>
      <c r="BF127" s="4741"/>
      <c r="BG127" s="4741"/>
      <c r="BH127" s="4741"/>
      <c r="BJ127" s="4739"/>
      <c r="BK127" s="4739"/>
      <c r="BL127" s="4739"/>
      <c r="BM127" s="4739"/>
      <c r="BN127" s="4739"/>
      <c r="BO127" s="4739"/>
      <c r="BP127" s="4741"/>
      <c r="BQ127" s="4741"/>
      <c r="BY127" s="4741"/>
      <c r="BZ127" s="4741"/>
      <c r="CB127" s="4736"/>
      <c r="CC127" s="4736"/>
      <c r="CD127" s="4736"/>
      <c r="CE127" s="4736"/>
      <c r="CF127" s="4736"/>
      <c r="CG127" s="4737"/>
    </row>
    <row r="128" spans="1:93" s="4733" customFormat="1">
      <c r="A128" s="4738"/>
      <c r="B128" s="4734"/>
      <c r="C128" s="4739"/>
      <c r="D128" s="4739"/>
      <c r="E128" s="4739"/>
      <c r="F128" s="4739"/>
      <c r="G128" s="4739"/>
      <c r="H128" s="4739"/>
      <c r="I128" s="4740"/>
      <c r="J128" s="4741"/>
      <c r="K128" s="4739"/>
      <c r="L128" s="4739"/>
      <c r="M128" s="4739"/>
      <c r="N128" s="4739"/>
      <c r="O128" s="4739"/>
      <c r="P128" s="4739"/>
      <c r="Q128" s="4740"/>
      <c r="R128" s="4741"/>
      <c r="S128" s="4739"/>
      <c r="T128" s="4739"/>
      <c r="U128" s="4739"/>
      <c r="V128" s="4739"/>
      <c r="W128" s="4739"/>
      <c r="X128" s="4739"/>
      <c r="Y128" s="4740"/>
      <c r="Z128" s="4730"/>
      <c r="AA128" s="4730"/>
      <c r="AB128" s="4730"/>
      <c r="AC128" s="4730"/>
      <c r="AD128" s="4730"/>
      <c r="AE128" s="4730"/>
      <c r="AF128" s="4741"/>
      <c r="AG128" s="4740"/>
      <c r="AH128" s="4741"/>
      <c r="AI128" s="4739"/>
      <c r="AJ128" s="4739"/>
      <c r="AK128" s="4739"/>
      <c r="AL128" s="4739"/>
      <c r="AM128" s="4739"/>
      <c r="AN128" s="4739"/>
      <c r="AO128" s="4740"/>
      <c r="AP128" s="4741"/>
      <c r="AQ128" s="4739"/>
      <c r="AR128" s="4739"/>
      <c r="AS128" s="4739"/>
      <c r="AT128" s="4739"/>
      <c r="AU128" s="4739"/>
      <c r="AV128" s="4739"/>
      <c r="AW128" s="4741"/>
      <c r="AX128" s="4741"/>
      <c r="AY128" s="4741"/>
      <c r="AZ128" s="4741"/>
      <c r="BA128" s="4741"/>
      <c r="BB128" s="4741"/>
      <c r="BC128" s="4741"/>
      <c r="BD128" s="4741"/>
      <c r="BE128" s="4741"/>
      <c r="BF128" s="4741"/>
      <c r="BG128" s="4741"/>
      <c r="BH128" s="4741"/>
      <c r="BJ128" s="4739"/>
      <c r="BK128" s="4739"/>
      <c r="BL128" s="4739"/>
      <c r="BM128" s="4739"/>
      <c r="BN128" s="4739"/>
      <c r="BO128" s="4739"/>
      <c r="BP128" s="4741"/>
      <c r="BQ128" s="4741"/>
      <c r="BY128" s="4741"/>
      <c r="BZ128" s="4741"/>
      <c r="CB128" s="4736"/>
      <c r="CC128" s="4736"/>
      <c r="CD128" s="4736"/>
      <c r="CE128" s="4736"/>
      <c r="CF128" s="4736"/>
      <c r="CG128" s="4737"/>
    </row>
    <row r="129" spans="1:85" s="4705" customFormat="1">
      <c r="A129" s="4743"/>
      <c r="B129" s="4743"/>
      <c r="C129" s="4720"/>
      <c r="D129" s="4720"/>
      <c r="E129" s="4720"/>
      <c r="F129" s="4720"/>
      <c r="G129" s="4720"/>
      <c r="H129" s="4720"/>
      <c r="I129" s="4719"/>
      <c r="J129" s="4720"/>
      <c r="K129" s="4720"/>
      <c r="L129" s="4720"/>
      <c r="M129" s="4720"/>
      <c r="N129" s="4720"/>
      <c r="O129" s="4720"/>
      <c r="P129" s="4720"/>
      <c r="Q129" s="4719"/>
      <c r="R129" s="4720"/>
      <c r="S129" s="4720"/>
      <c r="T129" s="4720"/>
      <c r="U129" s="4720"/>
      <c r="V129" s="4720"/>
      <c r="W129" s="4720"/>
      <c r="X129" s="4720"/>
      <c r="Y129" s="4719"/>
      <c r="Z129" s="4720"/>
      <c r="AA129" s="4720"/>
      <c r="AB129" s="4720"/>
      <c r="AC129" s="4720"/>
      <c r="AD129" s="4720"/>
      <c r="AE129" s="4720"/>
      <c r="AF129" s="4720"/>
      <c r="AG129" s="4719"/>
      <c r="AH129" s="4720"/>
      <c r="AI129" s="4720"/>
      <c r="AJ129" s="4720"/>
      <c r="AK129" s="4720"/>
      <c r="AL129" s="4720"/>
      <c r="AM129" s="4720"/>
      <c r="AN129" s="4720"/>
      <c r="AO129" s="4719"/>
      <c r="AP129" s="4720"/>
      <c r="AQ129" s="4720"/>
      <c r="AR129" s="4720"/>
      <c r="AS129" s="4720"/>
      <c r="AT129" s="4720"/>
      <c r="AU129" s="4720"/>
      <c r="AV129" s="4720"/>
      <c r="AW129" s="4720"/>
      <c r="AX129" s="4720"/>
      <c r="AY129" s="4720"/>
      <c r="AZ129" s="4720"/>
      <c r="BA129" s="4720"/>
      <c r="BB129" s="4720"/>
      <c r="BC129" s="4720"/>
      <c r="BD129" s="4720"/>
      <c r="BE129" s="4720"/>
      <c r="BF129" s="4720"/>
      <c r="BG129" s="4720"/>
      <c r="BH129" s="4720"/>
      <c r="BP129" s="4720"/>
      <c r="BQ129" s="4720"/>
      <c r="BY129" s="4720"/>
      <c r="BZ129" s="4720"/>
      <c r="CB129" s="4714"/>
      <c r="CC129" s="4714"/>
      <c r="CD129" s="4714"/>
      <c r="CE129" s="4714"/>
      <c r="CF129" s="4714"/>
      <c r="CG129" s="4726"/>
    </row>
    <row r="130" spans="1:85" s="4705" customFormat="1">
      <c r="A130" s="4743"/>
      <c r="B130" s="4743"/>
      <c r="C130" s="4720"/>
      <c r="D130" s="4720"/>
      <c r="E130" s="4720"/>
      <c r="F130" s="4720"/>
      <c r="G130" s="4720"/>
      <c r="H130" s="4720"/>
      <c r="I130" s="4719"/>
      <c r="J130" s="4720"/>
      <c r="K130" s="4720"/>
      <c r="L130" s="4720"/>
      <c r="M130" s="4720"/>
      <c r="N130" s="4720"/>
      <c r="O130" s="4720"/>
      <c r="P130" s="4720"/>
      <c r="Q130" s="4719"/>
      <c r="R130" s="4720"/>
      <c r="S130" s="4720"/>
      <c r="T130" s="4720"/>
      <c r="U130" s="4720"/>
      <c r="V130" s="4720"/>
      <c r="W130" s="4720"/>
      <c r="X130" s="4720"/>
      <c r="Y130" s="4719"/>
      <c r="Z130" s="4720"/>
      <c r="AA130" s="4720"/>
      <c r="AB130" s="4720"/>
      <c r="AC130" s="4720"/>
      <c r="AD130" s="4720"/>
      <c r="AE130" s="4720"/>
      <c r="AF130" s="4720"/>
      <c r="AG130" s="4719"/>
      <c r="AH130" s="4720"/>
      <c r="AI130" s="4720"/>
      <c r="AJ130" s="4720"/>
      <c r="AK130" s="4720"/>
      <c r="AL130" s="4720"/>
      <c r="AM130" s="4720"/>
      <c r="AN130" s="4720"/>
      <c r="AO130" s="4719"/>
      <c r="AP130" s="4720"/>
      <c r="AQ130" s="4720"/>
      <c r="AR130" s="4720"/>
      <c r="AS130" s="4720"/>
      <c r="AT130" s="4720"/>
      <c r="AU130" s="4720"/>
      <c r="AV130" s="4720"/>
      <c r="AW130" s="4720"/>
      <c r="AX130" s="4720"/>
      <c r="AY130" s="4720"/>
      <c r="AZ130" s="4720"/>
      <c r="BA130" s="4720"/>
      <c r="BB130" s="4720"/>
      <c r="BC130" s="4720"/>
      <c r="BD130" s="4720"/>
      <c r="BE130" s="4720"/>
      <c r="BF130" s="4720"/>
      <c r="BG130" s="4720"/>
      <c r="BH130" s="4720"/>
      <c r="BP130" s="4720"/>
      <c r="BQ130" s="4720"/>
      <c r="BY130" s="4720"/>
      <c r="BZ130" s="4720"/>
      <c r="CB130" s="4714"/>
      <c r="CC130" s="4714"/>
      <c r="CD130" s="4714"/>
      <c r="CE130" s="4714"/>
      <c r="CF130" s="4714"/>
      <c r="CG130" s="4726"/>
    </row>
    <row r="131" spans="1:85" s="4714" customFormat="1" ht="12">
      <c r="A131" s="4670"/>
      <c r="C131" s="4744"/>
      <c r="D131" s="4744"/>
      <c r="E131" s="4744"/>
      <c r="F131" s="4744"/>
      <c r="G131" s="4744"/>
      <c r="H131" s="4744"/>
      <c r="I131" s="4664"/>
      <c r="J131" s="4664"/>
      <c r="K131" s="4744"/>
      <c r="L131" s="4744"/>
      <c r="M131" s="4744"/>
      <c r="N131" s="4744"/>
      <c r="O131" s="4744"/>
      <c r="P131" s="4744"/>
      <c r="Q131" s="4664"/>
      <c r="R131" s="4664"/>
      <c r="S131" s="4744"/>
      <c r="T131" s="4744"/>
      <c r="U131" s="4744"/>
      <c r="V131" s="4744"/>
      <c r="W131" s="4744"/>
      <c r="X131" s="4744"/>
      <c r="Y131" s="4664"/>
      <c r="Z131" s="4664"/>
      <c r="AA131" s="4745"/>
      <c r="AB131" s="4745"/>
      <c r="AC131" s="4745"/>
      <c r="AD131" s="4745"/>
      <c r="AE131" s="4745"/>
      <c r="AF131" s="4745"/>
      <c r="AG131" s="4746"/>
      <c r="AH131" s="4745"/>
      <c r="AI131" s="4744"/>
      <c r="AJ131" s="4744"/>
      <c r="AK131" s="4744"/>
      <c r="AL131" s="4744"/>
      <c r="AM131" s="4744"/>
      <c r="AN131" s="4744"/>
      <c r="AO131" s="4664"/>
      <c r="AP131" s="4664"/>
      <c r="AQ131" s="4744"/>
      <c r="AR131" s="4744"/>
      <c r="AS131" s="4744"/>
      <c r="AT131" s="4744"/>
      <c r="AU131" s="4744"/>
      <c r="AV131" s="4744"/>
      <c r="AW131" s="4664"/>
      <c r="AX131" s="4664"/>
      <c r="AY131" s="4745"/>
      <c r="AZ131" s="4745"/>
      <c r="BA131" s="4745"/>
      <c r="BB131" s="4745"/>
      <c r="BC131" s="4745"/>
      <c r="BD131" s="4745"/>
      <c r="BE131" s="4745"/>
      <c r="BF131" s="4745"/>
      <c r="BG131" s="4745"/>
      <c r="BH131" s="4745"/>
      <c r="BJ131" s="4744"/>
      <c r="BK131" s="4744"/>
      <c r="BL131" s="4744"/>
      <c r="BM131" s="4744"/>
      <c r="BN131" s="4744"/>
      <c r="BO131" s="4744"/>
      <c r="BP131" s="4664"/>
      <c r="BQ131" s="4664"/>
      <c r="BY131" s="4745"/>
      <c r="BZ131" s="4745"/>
      <c r="CG131" s="4726"/>
    </row>
    <row r="132" spans="1:85" s="4705" customFormat="1">
      <c r="A132" s="4743"/>
      <c r="B132" s="4666"/>
      <c r="C132" s="4632"/>
      <c r="D132" s="4632"/>
      <c r="E132" s="4632"/>
      <c r="F132" s="4632"/>
      <c r="G132" s="4632"/>
      <c r="H132" s="4632"/>
      <c r="I132" s="4632"/>
      <c r="J132" s="4632"/>
      <c r="K132" s="4632"/>
      <c r="L132" s="4632"/>
      <c r="M132" s="4632"/>
      <c r="N132" s="4632"/>
      <c r="O132" s="4632"/>
      <c r="P132" s="4632"/>
      <c r="Q132" s="4632"/>
      <c r="R132" s="4632"/>
      <c r="S132" s="4632"/>
      <c r="T132" s="4632"/>
      <c r="U132" s="4632"/>
      <c r="V132" s="4632"/>
      <c r="W132" s="4632"/>
      <c r="X132" s="4632"/>
      <c r="Y132" s="4632"/>
      <c r="Z132" s="4632"/>
      <c r="AA132" s="4720"/>
      <c r="AB132" s="4720"/>
      <c r="AC132" s="4720"/>
      <c r="AD132" s="4720"/>
      <c r="AE132" s="4720"/>
      <c r="AF132" s="4720"/>
      <c r="AG132" s="4719"/>
      <c r="AH132" s="4720"/>
      <c r="AI132" s="4632"/>
      <c r="AJ132" s="4632"/>
      <c r="AK132" s="4632"/>
      <c r="AL132" s="4632"/>
      <c r="AM132" s="4632"/>
      <c r="AN132" s="4632"/>
      <c r="AO132" s="4632"/>
      <c r="AP132" s="4632"/>
      <c r="AQ132" s="4632"/>
      <c r="AR132" s="4632"/>
      <c r="AS132" s="4632"/>
      <c r="AT132" s="4632"/>
      <c r="AU132" s="4632"/>
      <c r="AV132" s="4632"/>
      <c r="AW132" s="4632"/>
      <c r="AX132" s="4632"/>
      <c r="AY132" s="4720"/>
      <c r="AZ132" s="4720"/>
      <c r="BA132" s="4720"/>
      <c r="BB132" s="4720"/>
      <c r="BC132" s="4720"/>
      <c r="BD132" s="4720"/>
      <c r="BE132" s="4720"/>
      <c r="BF132" s="4720"/>
      <c r="BG132" s="4720"/>
      <c r="BH132" s="4720"/>
      <c r="BJ132" s="4632"/>
      <c r="BK132" s="4632"/>
      <c r="BL132" s="4632"/>
      <c r="BM132" s="4632"/>
      <c r="BN132" s="4632"/>
      <c r="BO132" s="4632"/>
      <c r="BP132" s="4632"/>
      <c r="BQ132" s="4632"/>
      <c r="BY132" s="4720"/>
      <c r="BZ132" s="4720"/>
      <c r="CB132" s="4714"/>
      <c r="CC132" s="4714"/>
      <c r="CD132" s="4714"/>
      <c r="CE132" s="4714"/>
      <c r="CF132" s="4714"/>
      <c r="CG132" s="4726"/>
    </row>
    <row r="133" spans="1:85" s="4705" customFormat="1">
      <c r="A133" s="4743"/>
      <c r="B133" s="4666"/>
      <c r="C133" s="4632"/>
      <c r="D133" s="4632"/>
      <c r="E133" s="4632"/>
      <c r="F133" s="4632"/>
      <c r="G133" s="4632"/>
      <c r="H133" s="4632"/>
      <c r="I133" s="4632"/>
      <c r="J133" s="4632"/>
      <c r="K133" s="4632"/>
      <c r="L133" s="4632"/>
      <c r="M133" s="4632"/>
      <c r="N133" s="4632"/>
      <c r="O133" s="4632"/>
      <c r="P133" s="4632"/>
      <c r="Q133" s="4632"/>
      <c r="R133" s="4632"/>
      <c r="S133" s="4632"/>
      <c r="T133" s="4632"/>
      <c r="U133" s="4632"/>
      <c r="V133" s="4632"/>
      <c r="W133" s="4632"/>
      <c r="X133" s="4632"/>
      <c r="Y133" s="4632"/>
      <c r="Z133" s="4632"/>
      <c r="AA133" s="4720"/>
      <c r="AB133" s="4720"/>
      <c r="AC133" s="4720"/>
      <c r="AD133" s="4720"/>
      <c r="AE133" s="4720"/>
      <c r="AF133" s="4720"/>
      <c r="AG133" s="4719"/>
      <c r="AH133" s="4720"/>
      <c r="AI133" s="4632"/>
      <c r="AJ133" s="4632"/>
      <c r="AK133" s="4632"/>
      <c r="AL133" s="4632"/>
      <c r="AM133" s="4632"/>
      <c r="AN133" s="4632"/>
      <c r="AO133" s="4632"/>
      <c r="AP133" s="4632"/>
      <c r="AQ133" s="4632"/>
      <c r="AR133" s="4632"/>
      <c r="AS133" s="4632"/>
      <c r="AT133" s="4632"/>
      <c r="AU133" s="4632"/>
      <c r="AV133" s="4632"/>
      <c r="AW133" s="4632"/>
      <c r="AX133" s="4632"/>
      <c r="AY133" s="4720"/>
      <c r="AZ133" s="4720"/>
      <c r="BA133" s="4720"/>
      <c r="BB133" s="4720"/>
      <c r="BC133" s="4720"/>
      <c r="BD133" s="4720"/>
      <c r="BE133" s="4720"/>
      <c r="BF133" s="4720"/>
      <c r="BG133" s="4720"/>
      <c r="BH133" s="4720"/>
      <c r="BJ133" s="4632"/>
      <c r="BK133" s="4632"/>
      <c r="BL133" s="4632"/>
      <c r="BM133" s="4632"/>
      <c r="BN133" s="4632"/>
      <c r="BO133" s="4632"/>
      <c r="BP133" s="4632"/>
      <c r="BQ133" s="4632"/>
      <c r="BY133" s="4720"/>
      <c r="BZ133" s="4720"/>
      <c r="CB133" s="4714"/>
      <c r="CC133" s="4714"/>
      <c r="CD133" s="4714"/>
      <c r="CE133" s="4714"/>
      <c r="CF133" s="4714"/>
      <c r="CG133" s="4726"/>
    </row>
    <row r="134" spans="1:85" s="4705" customFormat="1">
      <c r="A134" s="4743"/>
      <c r="B134" s="4666"/>
      <c r="C134" s="4632"/>
      <c r="D134" s="4632"/>
      <c r="E134" s="4632"/>
      <c r="F134" s="4632"/>
      <c r="G134" s="4632"/>
      <c r="H134" s="4632"/>
      <c r="I134" s="4632"/>
      <c r="J134" s="4632"/>
      <c r="K134" s="4632"/>
      <c r="L134" s="4632"/>
      <c r="M134" s="4632"/>
      <c r="N134" s="4632"/>
      <c r="O134" s="4632"/>
      <c r="P134" s="4632"/>
      <c r="Q134" s="4632"/>
      <c r="R134" s="4632"/>
      <c r="S134" s="4632"/>
      <c r="T134" s="4632"/>
      <c r="U134" s="4632"/>
      <c r="V134" s="4632"/>
      <c r="W134" s="4632"/>
      <c r="X134" s="4632"/>
      <c r="Y134" s="4632"/>
      <c r="Z134" s="4632"/>
      <c r="AA134" s="4720"/>
      <c r="AB134" s="4720"/>
      <c r="AC134" s="4720"/>
      <c r="AD134" s="4720"/>
      <c r="AE134" s="4720"/>
      <c r="AF134" s="4720"/>
      <c r="AG134" s="4719"/>
      <c r="AH134" s="4720"/>
      <c r="AI134" s="4632"/>
      <c r="AJ134" s="4632"/>
      <c r="AK134" s="4632"/>
      <c r="AL134" s="4632"/>
      <c r="AM134" s="4632"/>
      <c r="AN134" s="4632"/>
      <c r="AO134" s="4632"/>
      <c r="AP134" s="4632"/>
      <c r="AQ134" s="4632"/>
      <c r="AR134" s="4632"/>
      <c r="AS134" s="4632"/>
      <c r="AT134" s="4632"/>
      <c r="AU134" s="4632"/>
      <c r="AV134" s="4632"/>
      <c r="AW134" s="4632"/>
      <c r="AX134" s="4632"/>
      <c r="AY134" s="4720"/>
      <c r="AZ134" s="4720"/>
      <c r="BA134" s="4720"/>
      <c r="BB134" s="4720"/>
      <c r="BC134" s="4720"/>
      <c r="BD134" s="4720"/>
      <c r="BE134" s="4720"/>
      <c r="BF134" s="4720"/>
      <c r="BG134" s="4720"/>
      <c r="BH134" s="4720"/>
      <c r="BJ134" s="4632"/>
      <c r="BK134" s="4632"/>
      <c r="BL134" s="4632"/>
      <c r="BM134" s="4632"/>
      <c r="BN134" s="4632"/>
      <c r="BO134" s="4632"/>
      <c r="BP134" s="4632"/>
      <c r="BQ134" s="4632"/>
      <c r="BY134" s="4720"/>
      <c r="BZ134" s="4720"/>
      <c r="CB134" s="4714"/>
      <c r="CC134" s="4714"/>
      <c r="CD134" s="4714"/>
      <c r="CE134" s="4714"/>
      <c r="CF134" s="4714"/>
      <c r="CG134" s="4726"/>
    </row>
    <row r="135" spans="1:85" s="4705" customFormat="1">
      <c r="A135" s="4743"/>
      <c r="B135" s="4666"/>
      <c r="C135" s="4632"/>
      <c r="D135" s="4632"/>
      <c r="E135" s="4632"/>
      <c r="F135" s="4632"/>
      <c r="G135" s="4632"/>
      <c r="H135" s="4632"/>
      <c r="I135" s="4632"/>
      <c r="J135" s="4632"/>
      <c r="K135" s="4632"/>
      <c r="L135" s="4632"/>
      <c r="M135" s="4632"/>
      <c r="N135" s="4632"/>
      <c r="O135" s="4632"/>
      <c r="P135" s="4632"/>
      <c r="Q135" s="4632"/>
      <c r="R135" s="4632"/>
      <c r="S135" s="4632"/>
      <c r="T135" s="4632"/>
      <c r="U135" s="4632"/>
      <c r="V135" s="4632"/>
      <c r="W135" s="4632"/>
      <c r="X135" s="4632"/>
      <c r="Y135" s="4632"/>
      <c r="Z135" s="4632"/>
      <c r="AA135" s="4720"/>
      <c r="AB135" s="4720"/>
      <c r="AC135" s="4720"/>
      <c r="AD135" s="4720"/>
      <c r="AE135" s="4720"/>
      <c r="AF135" s="4720"/>
      <c r="AG135" s="4719"/>
      <c r="AH135" s="4720"/>
      <c r="AI135" s="4632"/>
      <c r="AJ135" s="4632"/>
      <c r="AK135" s="4632"/>
      <c r="AL135" s="4632"/>
      <c r="AM135" s="4632"/>
      <c r="AN135" s="4632"/>
      <c r="AO135" s="4632"/>
      <c r="AP135" s="4632"/>
      <c r="AQ135" s="4632"/>
      <c r="AR135" s="4632"/>
      <c r="AS135" s="4632"/>
      <c r="AT135" s="4632"/>
      <c r="AU135" s="4632"/>
      <c r="AV135" s="4632"/>
      <c r="AW135" s="4632"/>
      <c r="AX135" s="4632"/>
      <c r="AY135" s="4720"/>
      <c r="AZ135" s="4720"/>
      <c r="BA135" s="4720"/>
      <c r="BB135" s="4720"/>
      <c r="BC135" s="4720"/>
      <c r="BD135" s="4720"/>
      <c r="BE135" s="4720"/>
      <c r="BF135" s="4720"/>
      <c r="BG135" s="4720"/>
      <c r="BH135" s="4720"/>
      <c r="BJ135" s="4632"/>
      <c r="BK135" s="4632"/>
      <c r="BL135" s="4632"/>
      <c r="BM135" s="4632"/>
      <c r="BN135" s="4632"/>
      <c r="BO135" s="4632"/>
      <c r="BP135" s="4632"/>
      <c r="BQ135" s="4632"/>
      <c r="BY135" s="4720"/>
      <c r="BZ135" s="4720"/>
      <c r="CB135" s="4714"/>
      <c r="CC135" s="4714"/>
      <c r="CD135" s="4714"/>
      <c r="CE135" s="4714"/>
      <c r="CF135" s="4714"/>
      <c r="CG135" s="4726"/>
    </row>
    <row r="136" spans="1:85" s="4705" customFormat="1">
      <c r="A136" s="4743"/>
      <c r="B136" s="4666"/>
      <c r="C136" s="4632"/>
      <c r="D136" s="4632"/>
      <c r="E136" s="4632"/>
      <c r="F136" s="4632"/>
      <c r="G136" s="4632"/>
      <c r="H136" s="4632"/>
      <c r="I136" s="4632"/>
      <c r="J136" s="4632"/>
      <c r="K136" s="4632"/>
      <c r="L136" s="4632"/>
      <c r="M136" s="4632"/>
      <c r="N136" s="4632"/>
      <c r="O136" s="4632"/>
      <c r="P136" s="4632"/>
      <c r="Q136" s="4632"/>
      <c r="R136" s="4632"/>
      <c r="S136" s="4632"/>
      <c r="T136" s="4632"/>
      <c r="U136" s="4632"/>
      <c r="V136" s="4632"/>
      <c r="W136" s="4632"/>
      <c r="X136" s="4632"/>
      <c r="Y136" s="4632"/>
      <c r="Z136" s="4632"/>
      <c r="AA136" s="4720"/>
      <c r="AB136" s="4720"/>
      <c r="AC136" s="4720"/>
      <c r="AD136" s="4720"/>
      <c r="AE136" s="4720"/>
      <c r="AF136" s="4720"/>
      <c r="AG136" s="4719"/>
      <c r="AH136" s="4720"/>
      <c r="AI136" s="4632"/>
      <c r="AJ136" s="4632"/>
      <c r="AK136" s="4632"/>
      <c r="AL136" s="4632"/>
      <c r="AM136" s="4632"/>
      <c r="AN136" s="4632"/>
      <c r="AO136" s="4632"/>
      <c r="AP136" s="4632"/>
      <c r="AQ136" s="4632"/>
      <c r="AR136" s="4632"/>
      <c r="AS136" s="4632"/>
      <c r="AT136" s="4632"/>
      <c r="AU136" s="4632"/>
      <c r="AV136" s="4632"/>
      <c r="AW136" s="4632"/>
      <c r="AX136" s="4632"/>
      <c r="AY136" s="4720"/>
      <c r="AZ136" s="4720"/>
      <c r="BA136" s="4720"/>
      <c r="BB136" s="4720"/>
      <c r="BC136" s="4720"/>
      <c r="BD136" s="4720"/>
      <c r="BE136" s="4720"/>
      <c r="BF136" s="4720"/>
      <c r="BG136" s="4720"/>
      <c r="BH136" s="4720"/>
      <c r="BJ136" s="4632"/>
      <c r="BK136" s="4632"/>
      <c r="BL136" s="4632"/>
      <c r="BM136" s="4632"/>
      <c r="BN136" s="4632"/>
      <c r="BO136" s="4632"/>
      <c r="BP136" s="4632"/>
      <c r="BQ136" s="4632"/>
      <c r="BY136" s="4720"/>
      <c r="BZ136" s="4720"/>
      <c r="CB136" s="4714"/>
      <c r="CC136" s="4714"/>
      <c r="CD136" s="4714"/>
      <c r="CE136" s="4714"/>
      <c r="CF136" s="4714"/>
      <c r="CG136" s="4726"/>
    </row>
    <row r="137" spans="1:85" s="4705" customFormat="1">
      <c r="A137" s="4743"/>
      <c r="B137" s="4666"/>
      <c r="C137" s="4632"/>
      <c r="D137" s="4632"/>
      <c r="E137" s="4632"/>
      <c r="F137" s="4632"/>
      <c r="G137" s="4632"/>
      <c r="H137" s="4632"/>
      <c r="I137" s="4632"/>
      <c r="J137" s="4632"/>
      <c r="K137" s="4632"/>
      <c r="L137" s="4632"/>
      <c r="M137" s="4632"/>
      <c r="N137" s="4632"/>
      <c r="O137" s="4632"/>
      <c r="P137" s="4632"/>
      <c r="Q137" s="4632"/>
      <c r="R137" s="4632"/>
      <c r="S137" s="4632"/>
      <c r="T137" s="4632"/>
      <c r="U137" s="4632"/>
      <c r="V137" s="4632"/>
      <c r="W137" s="4632"/>
      <c r="X137" s="4632"/>
      <c r="Y137" s="4632"/>
      <c r="Z137" s="4632"/>
      <c r="AA137" s="4720"/>
      <c r="AB137" s="4720"/>
      <c r="AC137" s="4720"/>
      <c r="AD137" s="4720"/>
      <c r="AE137" s="4720"/>
      <c r="AF137" s="4720"/>
      <c r="AG137" s="4719"/>
      <c r="AH137" s="4720"/>
      <c r="AI137" s="4632"/>
      <c r="AJ137" s="4632"/>
      <c r="AK137" s="4632"/>
      <c r="AL137" s="4632"/>
      <c r="AM137" s="4632"/>
      <c r="AN137" s="4632"/>
      <c r="AO137" s="4632"/>
      <c r="AP137" s="4632"/>
      <c r="AQ137" s="4632"/>
      <c r="AR137" s="4632"/>
      <c r="AS137" s="4632"/>
      <c r="AT137" s="4632"/>
      <c r="AU137" s="4632"/>
      <c r="AV137" s="4632"/>
      <c r="AW137" s="4632"/>
      <c r="AX137" s="4632"/>
      <c r="AY137" s="4720"/>
      <c r="AZ137" s="4720"/>
      <c r="BA137" s="4720"/>
      <c r="BB137" s="4720"/>
      <c r="BC137" s="4720"/>
      <c r="BD137" s="4720"/>
      <c r="BE137" s="4720"/>
      <c r="BF137" s="4720"/>
      <c r="BG137" s="4720"/>
      <c r="BH137" s="4720"/>
      <c r="BJ137" s="4632"/>
      <c r="BK137" s="4632"/>
      <c r="BL137" s="4632"/>
      <c r="BM137" s="4632"/>
      <c r="BN137" s="4632"/>
      <c r="BO137" s="4632"/>
      <c r="BP137" s="4632"/>
      <c r="BQ137" s="4632"/>
      <c r="BY137" s="4720"/>
      <c r="BZ137" s="4720"/>
      <c r="CB137" s="4714"/>
      <c r="CC137" s="4714"/>
      <c r="CD137" s="4714"/>
      <c r="CE137" s="4714"/>
      <c r="CF137" s="4714"/>
      <c r="CG137" s="4726"/>
    </row>
    <row r="138" spans="1:85" s="4705" customFormat="1">
      <c r="A138" s="4743"/>
      <c r="B138" s="4666"/>
      <c r="C138" s="4632"/>
      <c r="D138" s="4632"/>
      <c r="E138" s="4632"/>
      <c r="F138" s="4632"/>
      <c r="G138" s="4632"/>
      <c r="H138" s="4632"/>
      <c r="I138" s="4632"/>
      <c r="J138" s="4632"/>
      <c r="K138" s="4632"/>
      <c r="L138" s="4632"/>
      <c r="M138" s="4632"/>
      <c r="N138" s="4632"/>
      <c r="O138" s="4632"/>
      <c r="P138" s="4632"/>
      <c r="Q138" s="4632"/>
      <c r="R138" s="4632"/>
      <c r="S138" s="4632"/>
      <c r="T138" s="4632"/>
      <c r="U138" s="4632"/>
      <c r="V138" s="4632"/>
      <c r="W138" s="4632"/>
      <c r="X138" s="4632"/>
      <c r="Y138" s="4632"/>
      <c r="Z138" s="4632"/>
      <c r="AA138" s="4720"/>
      <c r="AB138" s="4720"/>
      <c r="AC138" s="4720"/>
      <c r="AD138" s="4720"/>
      <c r="AE138" s="4720"/>
      <c r="AF138" s="4720"/>
      <c r="AG138" s="4719"/>
      <c r="AH138" s="4720"/>
      <c r="AI138" s="4632"/>
      <c r="AJ138" s="4632"/>
      <c r="AK138" s="4632"/>
      <c r="AL138" s="4632"/>
      <c r="AM138" s="4632"/>
      <c r="AN138" s="4632"/>
      <c r="AO138" s="4632"/>
      <c r="AP138" s="4632"/>
      <c r="AQ138" s="4632"/>
      <c r="AR138" s="4632"/>
      <c r="AS138" s="4632"/>
      <c r="AT138" s="4632"/>
      <c r="AU138" s="4632"/>
      <c r="AV138" s="4632"/>
      <c r="AW138" s="4632"/>
      <c r="AX138" s="4632"/>
      <c r="AY138" s="4720"/>
      <c r="AZ138" s="4720"/>
      <c r="BA138" s="4720"/>
      <c r="BB138" s="4720"/>
      <c r="BC138" s="4720"/>
      <c r="BD138" s="4720"/>
      <c r="BE138" s="4720"/>
      <c r="BF138" s="4720"/>
      <c r="BG138" s="4720"/>
      <c r="BH138" s="4720"/>
      <c r="BJ138" s="4632"/>
      <c r="BK138" s="4632"/>
      <c r="BL138" s="4632"/>
      <c r="BM138" s="4632"/>
      <c r="BN138" s="4632"/>
      <c r="BO138" s="4632"/>
      <c r="BP138" s="4632"/>
      <c r="BQ138" s="4632"/>
      <c r="BY138" s="4720"/>
      <c r="BZ138" s="4720"/>
      <c r="CB138" s="4714"/>
      <c r="CC138" s="4714"/>
      <c r="CD138" s="4714"/>
      <c r="CE138" s="4714"/>
      <c r="CF138" s="4714"/>
      <c r="CG138" s="4726"/>
    </row>
    <row r="139" spans="1:85" s="4705" customFormat="1">
      <c r="A139" s="4743"/>
      <c r="B139" s="4699"/>
      <c r="C139" s="4632"/>
      <c r="D139" s="4632"/>
      <c r="E139" s="4632"/>
      <c r="F139" s="4632"/>
      <c r="G139" s="4632"/>
      <c r="H139" s="4632"/>
      <c r="I139" s="4632"/>
      <c r="J139" s="4632"/>
      <c r="K139" s="4632"/>
      <c r="L139" s="4632"/>
      <c r="M139" s="4632"/>
      <c r="N139" s="4632"/>
      <c r="O139" s="4632"/>
      <c r="P139" s="4632"/>
      <c r="Q139" s="4632"/>
      <c r="R139" s="4632"/>
      <c r="S139" s="4632"/>
      <c r="T139" s="4632"/>
      <c r="U139" s="4632"/>
      <c r="V139" s="4632"/>
      <c r="W139" s="4632"/>
      <c r="X139" s="4632"/>
      <c r="Y139" s="4632"/>
      <c r="Z139" s="4632"/>
      <c r="AA139" s="4720"/>
      <c r="AB139" s="4720"/>
      <c r="AC139" s="4720"/>
      <c r="AD139" s="4720"/>
      <c r="AE139" s="4720"/>
      <c r="AF139" s="4720"/>
      <c r="AG139" s="4719"/>
      <c r="AH139" s="4720"/>
      <c r="AI139" s="4632"/>
      <c r="AJ139" s="4632"/>
      <c r="AK139" s="4632"/>
      <c r="AL139" s="4632"/>
      <c r="AM139" s="4632"/>
      <c r="AN139" s="4632"/>
      <c r="AO139" s="4632"/>
      <c r="AP139" s="4632"/>
      <c r="AQ139" s="4632"/>
      <c r="AR139" s="4632"/>
      <c r="AS139" s="4632"/>
      <c r="AT139" s="4632"/>
      <c r="AU139" s="4632"/>
      <c r="AV139" s="4632"/>
      <c r="AW139" s="4632"/>
      <c r="AX139" s="4632"/>
      <c r="AY139" s="4720"/>
      <c r="AZ139" s="4720"/>
      <c r="BA139" s="4720"/>
      <c r="BB139" s="4720"/>
      <c r="BC139" s="4720"/>
      <c r="BD139" s="4720"/>
      <c r="BE139" s="4720"/>
      <c r="BF139" s="4720"/>
      <c r="BG139" s="4720"/>
      <c r="BH139" s="4720"/>
      <c r="BJ139" s="4632"/>
      <c r="BK139" s="4632"/>
      <c r="BL139" s="4632"/>
      <c r="BM139" s="4632"/>
      <c r="BN139" s="4632"/>
      <c r="BO139" s="4632"/>
      <c r="BP139" s="4632"/>
      <c r="BQ139" s="4632"/>
      <c r="BY139" s="4720"/>
      <c r="BZ139" s="4720"/>
      <c r="CB139" s="4714"/>
      <c r="CC139" s="4714"/>
      <c r="CD139" s="4714"/>
      <c r="CE139" s="4714"/>
      <c r="CF139" s="4714"/>
      <c r="CG139" s="4726"/>
    </row>
    <row r="140" spans="1:85" s="4705" customFormat="1">
      <c r="A140" s="4743"/>
      <c r="B140" s="4734"/>
      <c r="C140" s="4632"/>
      <c r="D140" s="4632"/>
      <c r="E140" s="4632"/>
      <c r="F140" s="4632"/>
      <c r="G140" s="4632"/>
      <c r="H140" s="4632"/>
      <c r="I140" s="4632"/>
      <c r="J140" s="4632"/>
      <c r="K140" s="4632"/>
      <c r="L140" s="4632"/>
      <c r="M140" s="4632"/>
      <c r="N140" s="4632"/>
      <c r="O140" s="4632"/>
      <c r="P140" s="4632"/>
      <c r="Q140" s="4632"/>
      <c r="R140" s="4632"/>
      <c r="S140" s="4632"/>
      <c r="T140" s="4632"/>
      <c r="U140" s="4632"/>
      <c r="V140" s="4632"/>
      <c r="W140" s="4632"/>
      <c r="X140" s="4632"/>
      <c r="Y140" s="4632"/>
      <c r="Z140" s="4632"/>
      <c r="AA140" s="4720"/>
      <c r="AB140" s="4720"/>
      <c r="AC140" s="4720"/>
      <c r="AD140" s="4720"/>
      <c r="AE140" s="4720"/>
      <c r="AF140" s="4720"/>
      <c r="AG140" s="4719"/>
      <c r="AH140" s="4720"/>
      <c r="AI140" s="4632"/>
      <c r="AJ140" s="4632"/>
      <c r="AK140" s="4632"/>
      <c r="AL140" s="4632"/>
      <c r="AM140" s="4632"/>
      <c r="AN140" s="4632"/>
      <c r="AO140" s="4632"/>
      <c r="AP140" s="4632"/>
      <c r="AQ140" s="4632"/>
      <c r="AR140" s="4632"/>
      <c r="AS140" s="4632"/>
      <c r="AT140" s="4632"/>
      <c r="AU140" s="4632"/>
      <c r="AV140" s="4632"/>
      <c r="AW140" s="4632"/>
      <c r="AX140" s="4632"/>
      <c r="AY140" s="4720"/>
      <c r="AZ140" s="4720"/>
      <c r="BA140" s="4720"/>
      <c r="BB140" s="4720"/>
      <c r="BC140" s="4720"/>
      <c r="BD140" s="4720"/>
      <c r="BE140" s="4720"/>
      <c r="BF140" s="4720"/>
      <c r="BG140" s="4720"/>
      <c r="BH140" s="4720"/>
      <c r="BJ140" s="4632"/>
      <c r="BK140" s="4632"/>
      <c r="BL140" s="4632"/>
      <c r="BM140" s="4632"/>
      <c r="BN140" s="4632"/>
      <c r="BO140" s="4632"/>
      <c r="BP140" s="4632"/>
      <c r="BQ140" s="4632"/>
      <c r="BY140" s="4720"/>
      <c r="BZ140" s="4720"/>
      <c r="CB140" s="4714"/>
      <c r="CC140" s="4714"/>
      <c r="CD140" s="4714"/>
      <c r="CE140" s="4714"/>
      <c r="CF140" s="4714"/>
      <c r="CG140" s="4726"/>
    </row>
    <row r="141" spans="1:85" s="4705" customFormat="1">
      <c r="A141" s="4743"/>
      <c r="B141" s="4734"/>
      <c r="C141" s="4632"/>
      <c r="D141" s="4632"/>
      <c r="E141" s="4632"/>
      <c r="F141" s="4632"/>
      <c r="G141" s="4632"/>
      <c r="H141" s="4632"/>
      <c r="I141" s="4632"/>
      <c r="J141" s="4632"/>
      <c r="K141" s="4632"/>
      <c r="L141" s="4632"/>
      <c r="M141" s="4632"/>
      <c r="N141" s="4632"/>
      <c r="O141" s="4632"/>
      <c r="P141" s="4632"/>
      <c r="Q141" s="4632"/>
      <c r="R141" s="4632"/>
      <c r="S141" s="4632"/>
      <c r="T141" s="4632"/>
      <c r="U141" s="4632"/>
      <c r="V141" s="4632"/>
      <c r="W141" s="4632"/>
      <c r="X141" s="4632"/>
      <c r="Y141" s="4632"/>
      <c r="Z141" s="4632"/>
      <c r="AA141" s="4720"/>
      <c r="AB141" s="4720"/>
      <c r="AC141" s="4720"/>
      <c r="AD141" s="4720"/>
      <c r="AE141" s="4720"/>
      <c r="AF141" s="4720"/>
      <c r="AG141" s="4719"/>
      <c r="AH141" s="4720"/>
      <c r="AI141" s="4632"/>
      <c r="AJ141" s="4632"/>
      <c r="AK141" s="4632"/>
      <c r="AL141" s="4632"/>
      <c r="AM141" s="4632"/>
      <c r="AN141" s="4632"/>
      <c r="AO141" s="4632"/>
      <c r="AP141" s="4632"/>
      <c r="AQ141" s="4632"/>
      <c r="AR141" s="4632"/>
      <c r="AS141" s="4632"/>
      <c r="AT141" s="4632"/>
      <c r="AU141" s="4632"/>
      <c r="AV141" s="4632"/>
      <c r="AW141" s="4632"/>
      <c r="AX141" s="4632"/>
      <c r="AY141" s="4720"/>
      <c r="AZ141" s="4720"/>
      <c r="BA141" s="4720"/>
      <c r="BB141" s="4720"/>
      <c r="BC141" s="4720"/>
      <c r="BD141" s="4720"/>
      <c r="BE141" s="4720"/>
      <c r="BF141" s="4720"/>
      <c r="BG141" s="4720"/>
      <c r="BH141" s="4720"/>
      <c r="BJ141" s="4632"/>
      <c r="BK141" s="4632"/>
      <c r="BL141" s="4632"/>
      <c r="BM141" s="4632"/>
      <c r="BN141" s="4632"/>
      <c r="BO141" s="4632"/>
      <c r="BP141" s="4632"/>
      <c r="BQ141" s="4632"/>
      <c r="BY141" s="4720"/>
      <c r="BZ141" s="4720"/>
      <c r="CB141" s="4714"/>
      <c r="CC141" s="4714"/>
      <c r="CD141" s="4714"/>
      <c r="CE141" s="4714"/>
      <c r="CF141" s="4714"/>
      <c r="CG141" s="4726"/>
    </row>
    <row r="142" spans="1:85" s="4705" customFormat="1">
      <c r="A142" s="4743"/>
      <c r="B142" s="4734"/>
      <c r="C142" s="4632"/>
      <c r="D142" s="4632"/>
      <c r="E142" s="4632"/>
      <c r="F142" s="4632"/>
      <c r="G142" s="4632"/>
      <c r="H142" s="4632"/>
      <c r="I142" s="4632"/>
      <c r="J142" s="4632"/>
      <c r="K142" s="4632"/>
      <c r="L142" s="4632"/>
      <c r="M142" s="4632"/>
      <c r="N142" s="4632"/>
      <c r="O142" s="4632"/>
      <c r="P142" s="4632"/>
      <c r="Q142" s="4632"/>
      <c r="R142" s="4632"/>
      <c r="S142" s="4632"/>
      <c r="T142" s="4632"/>
      <c r="U142" s="4632"/>
      <c r="V142" s="4632"/>
      <c r="W142" s="4632"/>
      <c r="X142" s="4632"/>
      <c r="Y142" s="4632"/>
      <c r="Z142" s="4632"/>
      <c r="AA142" s="4720"/>
      <c r="AB142" s="4720"/>
      <c r="AC142" s="4720"/>
      <c r="AD142" s="4720"/>
      <c r="AE142" s="4720"/>
      <c r="AF142" s="4720"/>
      <c r="AG142" s="4719"/>
      <c r="AH142" s="4720"/>
      <c r="AI142" s="4632"/>
      <c r="AJ142" s="4632"/>
      <c r="AK142" s="4632"/>
      <c r="AL142" s="4632"/>
      <c r="AM142" s="4632"/>
      <c r="AN142" s="4632"/>
      <c r="AO142" s="4632"/>
      <c r="AP142" s="4632"/>
      <c r="AQ142" s="4632"/>
      <c r="AR142" s="4632"/>
      <c r="AS142" s="4632"/>
      <c r="AT142" s="4632"/>
      <c r="AU142" s="4632"/>
      <c r="AV142" s="4632"/>
      <c r="AW142" s="4632"/>
      <c r="AX142" s="4632"/>
      <c r="AY142" s="4720"/>
      <c r="AZ142" s="4720"/>
      <c r="BA142" s="4720"/>
      <c r="BB142" s="4720"/>
      <c r="BC142" s="4720"/>
      <c r="BD142" s="4720"/>
      <c r="BE142" s="4720"/>
      <c r="BF142" s="4720"/>
      <c r="BG142" s="4720"/>
      <c r="BH142" s="4720"/>
      <c r="BJ142" s="4632"/>
      <c r="BK142" s="4632"/>
      <c r="BL142" s="4632"/>
      <c r="BM142" s="4632"/>
      <c r="BN142" s="4632"/>
      <c r="BO142" s="4632"/>
      <c r="BP142" s="4632"/>
      <c r="BQ142" s="4632"/>
      <c r="BY142" s="4720"/>
      <c r="BZ142" s="4720"/>
      <c r="CB142" s="4714"/>
      <c r="CC142" s="4714"/>
      <c r="CD142" s="4714"/>
      <c r="CE142" s="4714"/>
      <c r="CF142" s="4714"/>
      <c r="CG142" s="4726"/>
    </row>
    <row r="143" spans="1:85" s="4705" customFormat="1">
      <c r="A143" s="4743"/>
      <c r="B143" s="4743"/>
      <c r="C143" s="4720"/>
      <c r="D143" s="4720"/>
      <c r="E143" s="4720"/>
      <c r="F143" s="4720"/>
      <c r="G143" s="4720"/>
      <c r="H143" s="4720"/>
      <c r="I143" s="4719"/>
      <c r="J143" s="4720"/>
      <c r="K143" s="4720"/>
      <c r="L143" s="4720"/>
      <c r="M143" s="4720"/>
      <c r="N143" s="4720"/>
      <c r="O143" s="4720"/>
      <c r="P143" s="4720"/>
      <c r="Q143" s="4719"/>
      <c r="R143" s="4720"/>
      <c r="S143" s="4720"/>
      <c r="T143" s="4720"/>
      <c r="U143" s="4720"/>
      <c r="V143" s="4720"/>
      <c r="W143" s="4720"/>
      <c r="X143" s="4720"/>
      <c r="Y143" s="4719"/>
      <c r="Z143" s="4720"/>
      <c r="AA143" s="4720"/>
      <c r="AB143" s="4720"/>
      <c r="AC143" s="4720"/>
      <c r="AD143" s="4720"/>
      <c r="AE143" s="4720"/>
      <c r="AF143" s="4720"/>
      <c r="AG143" s="4719"/>
      <c r="AH143" s="4720"/>
      <c r="AI143" s="4720"/>
      <c r="AJ143" s="4720"/>
      <c r="AK143" s="4720"/>
      <c r="AL143" s="4720"/>
      <c r="AM143" s="4720"/>
      <c r="AN143" s="4720"/>
      <c r="AO143" s="4719"/>
      <c r="AP143" s="4720"/>
      <c r="AQ143" s="4720"/>
      <c r="AR143" s="4720"/>
      <c r="AS143" s="4720"/>
      <c r="AT143" s="4720"/>
      <c r="AU143" s="4720"/>
      <c r="AV143" s="4720"/>
      <c r="AW143" s="4720"/>
      <c r="AX143" s="4720"/>
      <c r="AY143" s="4720"/>
      <c r="AZ143" s="4720"/>
      <c r="BA143" s="4720"/>
      <c r="BB143" s="4720"/>
      <c r="BC143" s="4720"/>
      <c r="BD143" s="4720"/>
      <c r="BE143" s="4720"/>
      <c r="BF143" s="4720"/>
      <c r="BG143" s="4720"/>
      <c r="BH143" s="4720"/>
      <c r="BP143" s="4720"/>
      <c r="BQ143" s="4720"/>
      <c r="BY143" s="4720"/>
      <c r="BZ143" s="4720"/>
      <c r="CB143" s="4714"/>
      <c r="CC143" s="4714"/>
      <c r="CD143" s="4714"/>
      <c r="CE143" s="4714"/>
      <c r="CF143" s="4714"/>
      <c r="CG143" s="4726"/>
    </row>
    <row r="144" spans="1:85" s="4705" customFormat="1">
      <c r="A144" s="4743"/>
      <c r="B144" s="4743"/>
      <c r="C144" s="4720"/>
      <c r="D144" s="4720"/>
      <c r="E144" s="4720"/>
      <c r="F144" s="4720"/>
      <c r="G144" s="4720"/>
      <c r="H144" s="4720"/>
      <c r="I144" s="4719"/>
      <c r="J144" s="4720"/>
      <c r="K144" s="4720"/>
      <c r="L144" s="4720"/>
      <c r="M144" s="4720"/>
      <c r="N144" s="4720"/>
      <c r="O144" s="4720"/>
      <c r="P144" s="4720"/>
      <c r="Q144" s="4719"/>
      <c r="R144" s="4720"/>
      <c r="S144" s="4720"/>
      <c r="T144" s="4720"/>
      <c r="U144" s="4720"/>
      <c r="V144" s="4720"/>
      <c r="W144" s="4720"/>
      <c r="X144" s="4720"/>
      <c r="Y144" s="4719"/>
      <c r="Z144" s="4720"/>
      <c r="AA144" s="4720"/>
      <c r="AB144" s="4720"/>
      <c r="AC144" s="4720"/>
      <c r="AD144" s="4720"/>
      <c r="AE144" s="4720"/>
      <c r="AF144" s="4720"/>
      <c r="AG144" s="4719"/>
      <c r="AH144" s="4720"/>
      <c r="AI144" s="4720"/>
      <c r="AJ144" s="4720"/>
      <c r="AK144" s="4720"/>
      <c r="AL144" s="4720"/>
      <c r="AM144" s="4720"/>
      <c r="AN144" s="4720"/>
      <c r="AO144" s="4719"/>
      <c r="AP144" s="4720"/>
      <c r="AQ144" s="4720"/>
      <c r="AR144" s="4720"/>
      <c r="AS144" s="4720"/>
      <c r="AT144" s="4720"/>
      <c r="AU144" s="4720"/>
      <c r="AV144" s="4720"/>
      <c r="AW144" s="4720"/>
      <c r="AX144" s="4720"/>
      <c r="AY144" s="4720"/>
      <c r="AZ144" s="4720"/>
      <c r="BA144" s="4720"/>
      <c r="BB144" s="4720"/>
      <c r="BC144" s="4720"/>
      <c r="BD144" s="4720"/>
      <c r="BE144" s="4720"/>
      <c r="BF144" s="4720"/>
      <c r="BG144" s="4720"/>
      <c r="BH144" s="4720"/>
      <c r="BP144" s="4720"/>
      <c r="BQ144" s="4720"/>
      <c r="BY144" s="4720"/>
      <c r="BZ144" s="4720"/>
      <c r="CB144" s="4714"/>
      <c r="CC144" s="4714"/>
      <c r="CD144" s="4714"/>
      <c r="CE144" s="4714"/>
      <c r="CF144" s="4714"/>
      <c r="CG144" s="4726"/>
    </row>
    <row r="145" spans="1:85" s="4705" customFormat="1">
      <c r="C145" s="4727"/>
      <c r="D145" s="4727"/>
      <c r="E145" s="4727"/>
      <c r="F145" s="4727"/>
      <c r="G145" s="4727"/>
      <c r="H145" s="4727"/>
      <c r="K145" s="4727"/>
      <c r="L145" s="4727"/>
      <c r="M145" s="4727"/>
      <c r="N145" s="4727"/>
      <c r="O145" s="4727"/>
      <c r="P145" s="4727"/>
      <c r="S145" s="4727"/>
      <c r="T145" s="4727"/>
      <c r="U145" s="4727"/>
      <c r="V145" s="4727"/>
      <c r="W145" s="4727"/>
      <c r="X145" s="4727"/>
      <c r="Z145" s="4728"/>
      <c r="AA145" s="4728"/>
      <c r="AB145" s="4728"/>
      <c r="AC145" s="4728"/>
      <c r="AD145" s="4728"/>
      <c r="AE145" s="4728"/>
      <c r="AI145" s="4727"/>
      <c r="AJ145" s="4727"/>
      <c r="AK145" s="4727"/>
      <c r="AL145" s="4727"/>
      <c r="AM145" s="4727"/>
      <c r="AN145" s="4727"/>
      <c r="AQ145" s="4727"/>
      <c r="AR145" s="4727"/>
      <c r="AS145" s="4727"/>
      <c r="AT145" s="4727"/>
      <c r="AU145" s="4727"/>
      <c r="AV145" s="4727"/>
      <c r="BJ145" s="4727"/>
      <c r="BK145" s="4727"/>
      <c r="BL145" s="4727"/>
      <c r="BM145" s="4727"/>
      <c r="BN145" s="4727"/>
      <c r="BO145" s="4727"/>
      <c r="CB145" s="4714"/>
      <c r="CC145" s="4714"/>
      <c r="CD145" s="4714"/>
      <c r="CE145" s="4714"/>
      <c r="CF145" s="4714"/>
      <c r="CG145" s="4726"/>
    </row>
    <row r="146" spans="1:85" s="4705" customFormat="1">
      <c r="B146" s="4666"/>
      <c r="C146" s="4729"/>
      <c r="D146" s="4729"/>
      <c r="E146" s="4729"/>
      <c r="F146" s="4729"/>
      <c r="G146" s="4729"/>
      <c r="H146" s="4729"/>
      <c r="K146" s="4729"/>
      <c r="L146" s="4729"/>
      <c r="M146" s="4729"/>
      <c r="N146" s="4729"/>
      <c r="O146" s="4729"/>
      <c r="P146" s="4729"/>
      <c r="S146" s="4729"/>
      <c r="T146" s="4729"/>
      <c r="U146" s="4729"/>
      <c r="V146" s="4729"/>
      <c r="W146" s="4729"/>
      <c r="X146" s="4729"/>
      <c r="Z146" s="4730"/>
      <c r="AA146" s="4730"/>
      <c r="AB146" s="4730"/>
      <c r="AC146" s="4730"/>
      <c r="AD146" s="4730"/>
      <c r="AE146" s="4730"/>
      <c r="AI146" s="4729"/>
      <c r="AJ146" s="4729"/>
      <c r="AK146" s="4729"/>
      <c r="AL146" s="4729"/>
      <c r="AM146" s="4729"/>
      <c r="AN146" s="4729"/>
      <c r="AQ146" s="4729"/>
      <c r="AR146" s="4729"/>
      <c r="AS146" s="4729"/>
      <c r="AT146" s="4729"/>
      <c r="AU146" s="4729"/>
      <c r="AV146" s="4729"/>
      <c r="BJ146" s="4729"/>
      <c r="BK146" s="4729"/>
      <c r="BL146" s="4729"/>
      <c r="BM146" s="4729"/>
      <c r="BN146" s="4729"/>
      <c r="BO146" s="4729"/>
      <c r="CB146" s="4714"/>
      <c r="CC146" s="4714"/>
      <c r="CD146" s="4714"/>
      <c r="CE146" s="4714"/>
      <c r="CF146" s="4714"/>
      <c r="CG146" s="4726"/>
    </row>
    <row r="147" spans="1:85" s="4705" customFormat="1">
      <c r="B147" s="4666"/>
      <c r="C147" s="4729"/>
      <c r="D147" s="4729"/>
      <c r="E147" s="4729"/>
      <c r="F147" s="4729"/>
      <c r="G147" s="4729"/>
      <c r="H147" s="4729"/>
      <c r="K147" s="4729"/>
      <c r="L147" s="4729"/>
      <c r="M147" s="4729"/>
      <c r="N147" s="4729"/>
      <c r="O147" s="4729"/>
      <c r="P147" s="4729"/>
      <c r="S147" s="4729"/>
      <c r="T147" s="4729"/>
      <c r="U147" s="4729"/>
      <c r="V147" s="4729"/>
      <c r="W147" s="4729"/>
      <c r="X147" s="4729"/>
      <c r="Z147" s="4730"/>
      <c r="AA147" s="4730"/>
      <c r="AB147" s="4730"/>
      <c r="AC147" s="4730"/>
      <c r="AD147" s="4730"/>
      <c r="AE147" s="4730"/>
      <c r="AI147" s="4729"/>
      <c r="AJ147" s="4729"/>
      <c r="AK147" s="4729"/>
      <c r="AL147" s="4729"/>
      <c r="AM147" s="4729"/>
      <c r="AN147" s="4729"/>
      <c r="AQ147" s="4729"/>
      <c r="AR147" s="4729"/>
      <c r="AS147" s="4729"/>
      <c r="AT147" s="4729"/>
      <c r="AU147" s="4729"/>
      <c r="AV147" s="4729"/>
      <c r="BJ147" s="4729"/>
      <c r="BK147" s="4729"/>
      <c r="BL147" s="4729"/>
      <c r="BM147" s="4729"/>
      <c r="BN147" s="4729"/>
      <c r="BO147" s="4729"/>
      <c r="CB147" s="4714"/>
      <c r="CC147" s="4714"/>
      <c r="CD147" s="4714"/>
      <c r="CE147" s="4714"/>
      <c r="CF147" s="4714"/>
      <c r="CG147" s="4726"/>
    </row>
    <row r="148" spans="1:85" s="4705" customFormat="1">
      <c r="B148" s="4666"/>
      <c r="C148" s="4729"/>
      <c r="D148" s="4729"/>
      <c r="E148" s="4729"/>
      <c r="F148" s="4729"/>
      <c r="G148" s="4729"/>
      <c r="H148" s="4729"/>
      <c r="K148" s="4729"/>
      <c r="L148" s="4729"/>
      <c r="M148" s="4729"/>
      <c r="N148" s="4729"/>
      <c r="O148" s="4729"/>
      <c r="P148" s="4729"/>
      <c r="S148" s="4729"/>
      <c r="T148" s="4729"/>
      <c r="U148" s="4729"/>
      <c r="V148" s="4729"/>
      <c r="W148" s="4729"/>
      <c r="X148" s="4729"/>
      <c r="Z148" s="4730"/>
      <c r="AA148" s="4730"/>
      <c r="AB148" s="4730"/>
      <c r="AC148" s="4730"/>
      <c r="AD148" s="4730"/>
      <c r="AE148" s="4730"/>
      <c r="AI148" s="4729"/>
      <c r="AJ148" s="4729"/>
      <c r="AK148" s="4729"/>
      <c r="AL148" s="4729"/>
      <c r="AM148" s="4729"/>
      <c r="AN148" s="4729"/>
      <c r="AQ148" s="4729"/>
      <c r="AR148" s="4729"/>
      <c r="AS148" s="4729"/>
      <c r="AT148" s="4729"/>
      <c r="AU148" s="4729"/>
      <c r="AV148" s="4729"/>
      <c r="BJ148" s="4729"/>
      <c r="BK148" s="4729"/>
      <c r="BL148" s="4729"/>
      <c r="BM148" s="4729"/>
      <c r="BN148" s="4729"/>
      <c r="BO148" s="4729"/>
      <c r="CB148" s="4714"/>
      <c r="CC148" s="4714"/>
      <c r="CD148" s="4714"/>
      <c r="CE148" s="4714"/>
      <c r="CF148" s="4714"/>
      <c r="CG148" s="4726"/>
    </row>
    <row r="149" spans="1:85" s="4705" customFormat="1">
      <c r="B149" s="4666"/>
      <c r="C149" s="4729"/>
      <c r="D149" s="4729"/>
      <c r="E149" s="4729"/>
      <c r="F149" s="4729"/>
      <c r="G149" s="4729"/>
      <c r="H149" s="4729"/>
      <c r="K149" s="4729"/>
      <c r="L149" s="4729"/>
      <c r="M149" s="4729"/>
      <c r="N149" s="4729"/>
      <c r="O149" s="4729"/>
      <c r="P149" s="4729"/>
      <c r="S149" s="4729"/>
      <c r="T149" s="4729"/>
      <c r="U149" s="4729"/>
      <c r="V149" s="4729"/>
      <c r="W149" s="4729"/>
      <c r="X149" s="4729"/>
      <c r="Z149" s="4730"/>
      <c r="AA149" s="4730"/>
      <c r="AB149" s="4730"/>
      <c r="AC149" s="4730"/>
      <c r="AD149" s="4730"/>
      <c r="AE149" s="4730"/>
      <c r="AI149" s="4729"/>
      <c r="AJ149" s="4729"/>
      <c r="AK149" s="4729"/>
      <c r="AL149" s="4729"/>
      <c r="AM149" s="4729"/>
      <c r="AN149" s="4729"/>
      <c r="AQ149" s="4729"/>
      <c r="AR149" s="4729"/>
      <c r="AS149" s="4729"/>
      <c r="AT149" s="4729"/>
      <c r="AU149" s="4729"/>
      <c r="AV149" s="4729"/>
      <c r="BJ149" s="4729"/>
      <c r="BK149" s="4729"/>
      <c r="BL149" s="4729"/>
      <c r="BM149" s="4729"/>
      <c r="BN149" s="4729"/>
      <c r="BO149" s="4729"/>
      <c r="CB149" s="4714"/>
      <c r="CC149" s="4714"/>
      <c r="CD149" s="4714"/>
      <c r="CE149" s="4714"/>
      <c r="CF149" s="4714"/>
      <c r="CG149" s="4726"/>
    </row>
    <row r="150" spans="1:85" s="4705" customFormat="1">
      <c r="B150" s="4666"/>
      <c r="C150" s="4729"/>
      <c r="D150" s="4729"/>
      <c r="E150" s="4729"/>
      <c r="F150" s="4729"/>
      <c r="G150" s="4729"/>
      <c r="H150" s="4729"/>
      <c r="K150" s="4729"/>
      <c r="L150" s="4729"/>
      <c r="M150" s="4729"/>
      <c r="N150" s="4729"/>
      <c r="O150" s="4729"/>
      <c r="P150" s="4729"/>
      <c r="S150" s="4729"/>
      <c r="T150" s="4729"/>
      <c r="U150" s="4729"/>
      <c r="V150" s="4729"/>
      <c r="W150" s="4729"/>
      <c r="X150" s="4729"/>
      <c r="Z150" s="4730"/>
      <c r="AA150" s="4730"/>
      <c r="AB150" s="4730"/>
      <c r="AC150" s="4730"/>
      <c r="AD150" s="4730"/>
      <c r="AE150" s="4730"/>
      <c r="AI150" s="4729"/>
      <c r="AJ150" s="4729"/>
      <c r="AK150" s="4729"/>
      <c r="AL150" s="4729"/>
      <c r="AM150" s="4729"/>
      <c r="AN150" s="4729"/>
      <c r="AQ150" s="4729"/>
      <c r="AR150" s="4729"/>
      <c r="AS150" s="4729"/>
      <c r="AT150" s="4729"/>
      <c r="AU150" s="4729"/>
      <c r="AV150" s="4729"/>
      <c r="BJ150" s="4729"/>
      <c r="BK150" s="4729"/>
      <c r="BL150" s="4729"/>
      <c r="BM150" s="4729"/>
      <c r="BN150" s="4729"/>
      <c r="BO150" s="4729"/>
      <c r="CB150" s="4714"/>
      <c r="CC150" s="4714"/>
      <c r="CD150" s="4714"/>
      <c r="CE150" s="4714"/>
      <c r="CF150" s="4714"/>
      <c r="CG150" s="4726"/>
    </row>
    <row r="151" spans="1:85" s="4705" customFormat="1">
      <c r="B151" s="4666"/>
      <c r="C151" s="4729"/>
      <c r="D151" s="4729"/>
      <c r="E151" s="4729"/>
      <c r="F151" s="4729"/>
      <c r="G151" s="4729"/>
      <c r="H151" s="4729"/>
      <c r="K151" s="4729"/>
      <c r="L151" s="4729"/>
      <c r="M151" s="4729"/>
      <c r="N151" s="4729"/>
      <c r="O151" s="4729"/>
      <c r="P151" s="4729"/>
      <c r="S151" s="4729"/>
      <c r="T151" s="4729"/>
      <c r="U151" s="4729"/>
      <c r="V151" s="4729"/>
      <c r="W151" s="4729"/>
      <c r="X151" s="4729"/>
      <c r="Z151" s="4730"/>
      <c r="AA151" s="4730"/>
      <c r="AB151" s="4730"/>
      <c r="AC151" s="4730"/>
      <c r="AD151" s="4730"/>
      <c r="AE151" s="4730"/>
      <c r="AI151" s="4729"/>
      <c r="AJ151" s="4729"/>
      <c r="AK151" s="4729"/>
      <c r="AL151" s="4729"/>
      <c r="AM151" s="4729"/>
      <c r="AN151" s="4729"/>
      <c r="AQ151" s="4729"/>
      <c r="AR151" s="4729"/>
      <c r="AS151" s="4729"/>
      <c r="AT151" s="4729"/>
      <c r="AU151" s="4729"/>
      <c r="AV151" s="4729"/>
      <c r="BJ151" s="4729"/>
      <c r="BK151" s="4729"/>
      <c r="BL151" s="4729"/>
      <c r="BM151" s="4729"/>
      <c r="BN151" s="4729"/>
      <c r="BO151" s="4729"/>
      <c r="CB151" s="4714"/>
      <c r="CC151" s="4714"/>
      <c r="CD151" s="4714"/>
      <c r="CE151" s="4714"/>
      <c r="CF151" s="4714"/>
      <c r="CG151" s="4726"/>
    </row>
    <row r="152" spans="1:85" s="4705" customFormat="1">
      <c r="B152" s="4666"/>
      <c r="C152" s="4729"/>
      <c r="D152" s="4729"/>
      <c r="E152" s="4729"/>
      <c r="F152" s="4729"/>
      <c r="G152" s="4729"/>
      <c r="H152" s="4729"/>
      <c r="K152" s="4729"/>
      <c r="L152" s="4729"/>
      <c r="M152" s="4729"/>
      <c r="N152" s="4729"/>
      <c r="O152" s="4729"/>
      <c r="P152" s="4729"/>
      <c r="S152" s="4729"/>
      <c r="T152" s="4729"/>
      <c r="U152" s="4729"/>
      <c r="V152" s="4729"/>
      <c r="W152" s="4729"/>
      <c r="X152" s="4729"/>
      <c r="Z152" s="4730"/>
      <c r="AA152" s="4730"/>
      <c r="AB152" s="4730"/>
      <c r="AC152" s="4730"/>
      <c r="AD152" s="4730"/>
      <c r="AE152" s="4730"/>
      <c r="AI152" s="4729"/>
      <c r="AJ152" s="4729"/>
      <c r="AK152" s="4729"/>
      <c r="AL152" s="4729"/>
      <c r="AM152" s="4729"/>
      <c r="AN152" s="4729"/>
      <c r="AQ152" s="4729"/>
      <c r="AR152" s="4729"/>
      <c r="AS152" s="4729"/>
      <c r="AT152" s="4729"/>
      <c r="AU152" s="4729"/>
      <c r="AV152" s="4729"/>
      <c r="BJ152" s="4729"/>
      <c r="BK152" s="4729"/>
      <c r="BL152" s="4729"/>
      <c r="BM152" s="4729"/>
      <c r="BN152" s="4729"/>
      <c r="BO152" s="4729"/>
      <c r="CB152" s="4714"/>
      <c r="CC152" s="4714"/>
      <c r="CD152" s="4714"/>
      <c r="CE152" s="4714"/>
      <c r="CF152" s="4714"/>
      <c r="CG152" s="4726"/>
    </row>
    <row r="153" spans="1:85" s="4705" customFormat="1">
      <c r="B153" s="4661"/>
      <c r="C153" s="4731"/>
      <c r="D153" s="4731"/>
      <c r="E153" s="4731"/>
      <c r="F153" s="4731"/>
      <c r="G153" s="4731"/>
      <c r="H153" s="4731"/>
      <c r="K153" s="4731"/>
      <c r="L153" s="4731"/>
      <c r="M153" s="4731"/>
      <c r="N153" s="4731"/>
      <c r="O153" s="4731"/>
      <c r="P153" s="4731"/>
      <c r="S153" s="4731"/>
      <c r="T153" s="4731"/>
      <c r="U153" s="4731"/>
      <c r="V153" s="4731"/>
      <c r="W153" s="4731"/>
      <c r="X153" s="4731"/>
      <c r="Z153" s="4732"/>
      <c r="AA153" s="4732"/>
      <c r="AB153" s="4732"/>
      <c r="AC153" s="4732"/>
      <c r="AD153" s="4732"/>
      <c r="AE153" s="4732"/>
      <c r="AI153" s="4731"/>
      <c r="AJ153" s="4731"/>
      <c r="AK153" s="4731"/>
      <c r="AL153" s="4731"/>
      <c r="AM153" s="4731"/>
      <c r="AN153" s="4731"/>
      <c r="AQ153" s="4731"/>
      <c r="AR153" s="4731"/>
      <c r="AS153" s="4731"/>
      <c r="AT153" s="4731"/>
      <c r="AU153" s="4731"/>
      <c r="AV153" s="4731"/>
      <c r="BJ153" s="4731"/>
      <c r="BK153" s="4731"/>
      <c r="BL153" s="4731"/>
      <c r="BM153" s="4731"/>
      <c r="BN153" s="4731"/>
      <c r="BO153" s="4731"/>
      <c r="CB153" s="4714"/>
      <c r="CC153" s="4714"/>
      <c r="CD153" s="4714"/>
      <c r="CE153" s="4714"/>
      <c r="CF153" s="4714"/>
      <c r="CG153" s="4726"/>
    </row>
    <row r="154" spans="1:85" s="4733" customFormat="1">
      <c r="B154" s="4700"/>
      <c r="C154" s="4747"/>
      <c r="D154" s="4747"/>
      <c r="E154" s="4747"/>
      <c r="F154" s="4747"/>
      <c r="G154" s="4747"/>
      <c r="H154" s="4747"/>
      <c r="K154" s="4747"/>
      <c r="L154" s="4747"/>
      <c r="M154" s="4747"/>
      <c r="N154" s="4747"/>
      <c r="O154" s="4747"/>
      <c r="P154" s="4747"/>
      <c r="S154" s="4747"/>
      <c r="T154" s="4747"/>
      <c r="U154" s="4747"/>
      <c r="V154" s="4747"/>
      <c r="W154" s="4747"/>
      <c r="X154" s="4747"/>
      <c r="Z154" s="4730"/>
      <c r="AA154" s="4730"/>
      <c r="AB154" s="4730"/>
      <c r="AC154" s="4730"/>
      <c r="AD154" s="4730"/>
      <c r="AE154" s="4730"/>
      <c r="AI154" s="4747"/>
      <c r="AJ154" s="4747"/>
      <c r="AK154" s="4747"/>
      <c r="AL154" s="4747"/>
      <c r="AM154" s="4747"/>
      <c r="AN154" s="4747"/>
      <c r="AQ154" s="4747"/>
      <c r="AR154" s="4747"/>
      <c r="AS154" s="4747"/>
      <c r="AT154" s="4747"/>
      <c r="AU154" s="4747"/>
      <c r="AV154" s="4747"/>
      <c r="BJ154" s="4747"/>
      <c r="BK154" s="4747"/>
      <c r="BL154" s="4747"/>
      <c r="BM154" s="4747"/>
      <c r="BN154" s="4747"/>
      <c r="BO154" s="4747"/>
      <c r="CB154" s="4736"/>
      <c r="CC154" s="4736"/>
      <c r="CD154" s="4736"/>
      <c r="CE154" s="4736"/>
      <c r="CF154" s="4736"/>
      <c r="CG154" s="4737"/>
    </row>
    <row r="155" spans="1:85" s="4733" customFormat="1">
      <c r="A155" s="4738"/>
      <c r="B155" s="4700"/>
      <c r="C155" s="4748"/>
      <c r="D155" s="4748"/>
      <c r="E155" s="4748"/>
      <c r="F155" s="4748"/>
      <c r="G155" s="4748"/>
      <c r="H155" s="4748"/>
      <c r="I155" s="4740"/>
      <c r="J155" s="4741"/>
      <c r="K155" s="4748"/>
      <c r="L155" s="4748"/>
      <c r="M155" s="4748"/>
      <c r="N155" s="4748"/>
      <c r="O155" s="4748"/>
      <c r="P155" s="4748"/>
      <c r="Q155" s="4740"/>
      <c r="R155" s="4741"/>
      <c r="S155" s="4748"/>
      <c r="T155" s="4748"/>
      <c r="U155" s="4748"/>
      <c r="V155" s="4748"/>
      <c r="W155" s="4748"/>
      <c r="X155" s="4748"/>
      <c r="Y155" s="4742"/>
      <c r="Z155" s="4742"/>
      <c r="AA155" s="4742"/>
      <c r="AB155" s="4742"/>
      <c r="AC155" s="4742"/>
      <c r="AD155" s="4742"/>
      <c r="AE155" s="4742"/>
      <c r="AF155" s="4741"/>
      <c r="AG155" s="4740"/>
      <c r="AH155" s="4741"/>
      <c r="AI155" s="4748"/>
      <c r="AJ155" s="4748"/>
      <c r="AK155" s="4748"/>
      <c r="AL155" s="4748"/>
      <c r="AM155" s="4748"/>
      <c r="AN155" s="4748"/>
      <c r="AO155" s="4740"/>
      <c r="AP155" s="4741"/>
      <c r="AQ155" s="4748"/>
      <c r="AR155" s="4748"/>
      <c r="AS155" s="4748"/>
      <c r="AT155" s="4748"/>
      <c r="AU155" s="4748"/>
      <c r="AV155" s="4748"/>
      <c r="AW155" s="4741"/>
      <c r="AX155" s="4741"/>
      <c r="AY155" s="4741"/>
      <c r="AZ155" s="4741"/>
      <c r="BA155" s="4741"/>
      <c r="BB155" s="4741"/>
      <c r="BC155" s="4741"/>
      <c r="BD155" s="4741"/>
      <c r="BE155" s="4741"/>
      <c r="BF155" s="4741"/>
      <c r="BG155" s="4741"/>
      <c r="BH155" s="4741"/>
      <c r="BJ155" s="4748"/>
      <c r="BK155" s="4748"/>
      <c r="BL155" s="4748"/>
      <c r="BM155" s="4748"/>
      <c r="BN155" s="4748"/>
      <c r="BO155" s="4748"/>
      <c r="BP155" s="4741"/>
      <c r="BQ155" s="4741"/>
      <c r="BY155" s="4741"/>
      <c r="BZ155" s="4741"/>
      <c r="CB155" s="4736"/>
      <c r="CC155" s="4736"/>
      <c r="CD155" s="4736"/>
      <c r="CE155" s="4736"/>
      <c r="CF155" s="4736"/>
      <c r="CG155" s="4737"/>
    </row>
    <row r="156" spans="1:85" s="4733" customFormat="1">
      <c r="A156" s="4738"/>
      <c r="B156" s="4700"/>
      <c r="C156" s="4748"/>
      <c r="D156" s="4748"/>
      <c r="E156" s="4748"/>
      <c r="F156" s="4748"/>
      <c r="G156" s="4748"/>
      <c r="H156" s="4748"/>
      <c r="I156" s="4740"/>
      <c r="J156" s="4741"/>
      <c r="K156" s="4748"/>
      <c r="L156" s="4748"/>
      <c r="M156" s="4748"/>
      <c r="N156" s="4748"/>
      <c r="O156" s="4748"/>
      <c r="P156" s="4748"/>
      <c r="Q156" s="4740"/>
      <c r="R156" s="4741"/>
      <c r="S156" s="4748"/>
      <c r="T156" s="4748"/>
      <c r="U156" s="4748"/>
      <c r="V156" s="4748"/>
      <c r="W156" s="4748"/>
      <c r="X156" s="4748"/>
      <c r="Y156" s="4742"/>
      <c r="Z156" s="4742"/>
      <c r="AA156" s="4730"/>
      <c r="AB156" s="4730"/>
      <c r="AC156" s="4730"/>
      <c r="AD156" s="4730"/>
      <c r="AE156" s="4730"/>
      <c r="AF156" s="4741"/>
      <c r="AG156" s="4740"/>
      <c r="AH156" s="4741"/>
      <c r="AI156" s="4748"/>
      <c r="AJ156" s="4748"/>
      <c r="AK156" s="4748"/>
      <c r="AL156" s="4748"/>
      <c r="AM156" s="4748"/>
      <c r="AN156" s="4748"/>
      <c r="AO156" s="4740"/>
      <c r="AP156" s="4741"/>
      <c r="AQ156" s="4748"/>
      <c r="AR156" s="4748"/>
      <c r="AS156" s="4748"/>
      <c r="AT156" s="4748"/>
      <c r="AU156" s="4748"/>
      <c r="AV156" s="4748"/>
      <c r="AW156" s="4741"/>
      <c r="AX156" s="4741"/>
      <c r="AY156" s="4741"/>
      <c r="AZ156" s="4741"/>
      <c r="BA156" s="4741"/>
      <c r="BB156" s="4741"/>
      <c r="BC156" s="4741"/>
      <c r="BD156" s="4741"/>
      <c r="BE156" s="4741"/>
      <c r="BF156" s="4741"/>
      <c r="BG156" s="4741"/>
      <c r="BH156" s="4741"/>
      <c r="BJ156" s="4748"/>
      <c r="BK156" s="4748"/>
      <c r="BL156" s="4748"/>
      <c r="BM156" s="4748"/>
      <c r="BN156" s="4748"/>
      <c r="BO156" s="4748"/>
      <c r="BP156" s="4741"/>
      <c r="BQ156" s="4741"/>
      <c r="BY156" s="4741"/>
      <c r="BZ156" s="4741"/>
      <c r="CB156" s="4736"/>
      <c r="CC156" s="4736"/>
      <c r="CD156" s="4736"/>
      <c r="CE156" s="4736"/>
      <c r="CF156" s="4736"/>
      <c r="CG156" s="4737"/>
    </row>
    <row r="157" spans="1:85" s="4705" customFormat="1">
      <c r="A157" s="4743"/>
      <c r="B157" s="4700"/>
      <c r="C157" s="4749"/>
      <c r="D157" s="4749"/>
      <c r="E157" s="4749"/>
      <c r="F157" s="4749"/>
      <c r="G157" s="4749"/>
      <c r="H157" s="4749"/>
      <c r="I157" s="4719"/>
      <c r="J157" s="4720"/>
      <c r="K157" s="4749"/>
      <c r="L157" s="4749"/>
      <c r="M157" s="4749"/>
      <c r="N157" s="4749"/>
      <c r="O157" s="4749"/>
      <c r="P157" s="4749"/>
      <c r="Q157" s="4719"/>
      <c r="R157" s="4720"/>
      <c r="S157" s="4749"/>
      <c r="T157" s="4749"/>
      <c r="U157" s="4749"/>
      <c r="V157" s="4749"/>
      <c r="W157" s="4749"/>
      <c r="X157" s="4749"/>
      <c r="Y157" s="4719"/>
      <c r="Z157" s="4742"/>
      <c r="AA157" s="4720"/>
      <c r="AB157" s="4720"/>
      <c r="AC157" s="4720"/>
      <c r="AD157" s="4720"/>
      <c r="AE157" s="4720"/>
      <c r="AF157" s="4720"/>
      <c r="AG157" s="4719"/>
      <c r="AH157" s="4720"/>
      <c r="AI157" s="4749"/>
      <c r="AJ157" s="4749"/>
      <c r="AK157" s="4749"/>
      <c r="AL157" s="4749"/>
      <c r="AM157" s="4749"/>
      <c r="AN157" s="4749"/>
      <c r="AO157" s="4719"/>
      <c r="AP157" s="4720"/>
      <c r="AQ157" s="4749"/>
      <c r="AR157" s="4749"/>
      <c r="AS157" s="4749"/>
      <c r="AT157" s="4749"/>
      <c r="AU157" s="4749"/>
      <c r="AV157" s="4749"/>
      <c r="AW157" s="4720"/>
      <c r="AX157" s="4720"/>
      <c r="AY157" s="4720"/>
      <c r="AZ157" s="4720"/>
      <c r="BA157" s="4720"/>
      <c r="BB157" s="4720"/>
      <c r="BC157" s="4720"/>
      <c r="BD157" s="4720"/>
      <c r="BE157" s="4720"/>
      <c r="BF157" s="4720"/>
      <c r="BG157" s="4720"/>
      <c r="BH157" s="4720"/>
      <c r="BJ157" s="4749"/>
      <c r="BK157" s="4749"/>
      <c r="BL157" s="4749"/>
      <c r="BM157" s="4749"/>
      <c r="BN157" s="4749"/>
      <c r="BO157" s="4749"/>
      <c r="BP157" s="4720"/>
      <c r="BQ157" s="4720"/>
      <c r="BY157" s="4720"/>
      <c r="BZ157" s="4720"/>
      <c r="CB157" s="4714"/>
      <c r="CC157" s="4714"/>
      <c r="CD157" s="4714"/>
      <c r="CE157" s="4714"/>
      <c r="CF157" s="4714"/>
      <c r="CG157" s="4726"/>
    </row>
    <row r="158" spans="1:85" s="4705" customFormat="1">
      <c r="A158" s="4743"/>
      <c r="B158" s="4700"/>
      <c r="C158" s="4747"/>
      <c r="D158" s="4747"/>
      <c r="E158" s="4747"/>
      <c r="F158" s="4747"/>
      <c r="G158" s="4747"/>
      <c r="H158" s="4747"/>
      <c r="I158" s="4719"/>
      <c r="J158" s="4720"/>
      <c r="K158" s="4747"/>
      <c r="L158" s="4747"/>
      <c r="M158" s="4747"/>
      <c r="N158" s="4747"/>
      <c r="O158" s="4747"/>
      <c r="P158" s="4747"/>
      <c r="Q158" s="4719"/>
      <c r="R158" s="4720"/>
      <c r="S158" s="4747"/>
      <c r="T158" s="4747"/>
      <c r="U158" s="4747"/>
      <c r="V158" s="4747"/>
      <c r="W158" s="4747"/>
      <c r="X158" s="4747"/>
      <c r="Y158" s="4719"/>
      <c r="Z158" s="4742"/>
      <c r="AA158" s="4750"/>
      <c r="AB158" s="4750"/>
      <c r="AC158" s="4750"/>
      <c r="AD158" s="4750"/>
      <c r="AE158" s="4750"/>
      <c r="AF158" s="4720"/>
      <c r="AG158" s="4719"/>
      <c r="AH158" s="4720"/>
      <c r="AI158" s="4747"/>
      <c r="AJ158" s="4747"/>
      <c r="AK158" s="4747"/>
      <c r="AL158" s="4747"/>
      <c r="AM158" s="4747"/>
      <c r="AN158" s="4747"/>
      <c r="AO158" s="4719"/>
      <c r="AP158" s="4720"/>
      <c r="AQ158" s="4747"/>
      <c r="AR158" s="4747"/>
      <c r="AS158" s="4747"/>
      <c r="AT158" s="4747"/>
      <c r="AU158" s="4747"/>
      <c r="AV158" s="4747"/>
      <c r="AW158" s="4720"/>
      <c r="AX158" s="4720"/>
      <c r="AY158" s="4720"/>
      <c r="AZ158" s="4720"/>
      <c r="BA158" s="4720"/>
      <c r="BB158" s="4720"/>
      <c r="BC158" s="4720"/>
      <c r="BD158" s="4720"/>
      <c r="BE158" s="4720"/>
      <c r="BF158" s="4720"/>
      <c r="BG158" s="4720"/>
      <c r="BH158" s="4720"/>
      <c r="BJ158" s="4747"/>
      <c r="BK158" s="4747"/>
      <c r="BL158" s="4747"/>
      <c r="BM158" s="4747"/>
      <c r="BN158" s="4747"/>
      <c r="BO158" s="4747"/>
      <c r="BP158" s="4720"/>
      <c r="BQ158" s="4720"/>
      <c r="BY158" s="4720"/>
      <c r="BZ158" s="4720"/>
      <c r="CB158" s="4714"/>
      <c r="CC158" s="4714"/>
      <c r="CD158" s="4714"/>
      <c r="CE158" s="4714"/>
      <c r="CF158" s="4714"/>
      <c r="CG158" s="4726"/>
    </row>
    <row r="159" spans="1:85" s="4705" customFormat="1">
      <c r="A159" s="4743"/>
      <c r="B159" s="4700"/>
      <c r="C159" s="4747"/>
      <c r="D159" s="4747"/>
      <c r="E159" s="4747"/>
      <c r="F159" s="4747"/>
      <c r="G159" s="4747"/>
      <c r="H159" s="4747"/>
      <c r="I159" s="4719"/>
      <c r="J159" s="4720"/>
      <c r="K159" s="4747"/>
      <c r="L159" s="4747"/>
      <c r="M159" s="4747"/>
      <c r="N159" s="4747"/>
      <c r="O159" s="4747"/>
      <c r="P159" s="4747"/>
      <c r="Q159" s="4719"/>
      <c r="R159" s="4720"/>
      <c r="S159" s="4747"/>
      <c r="T159" s="4747"/>
      <c r="U159" s="4747"/>
      <c r="V159" s="4747"/>
      <c r="W159" s="4747"/>
      <c r="X159" s="4747"/>
      <c r="Y159" s="4719"/>
      <c r="Z159" s="4742"/>
      <c r="AA159" s="4750"/>
      <c r="AB159" s="4750"/>
      <c r="AC159" s="4750"/>
      <c r="AD159" s="4750"/>
      <c r="AE159" s="4750"/>
      <c r="AF159" s="4720"/>
      <c r="AG159" s="4719"/>
      <c r="AH159" s="4720"/>
      <c r="AI159" s="4747"/>
      <c r="AJ159" s="4747"/>
      <c r="AK159" s="4747"/>
      <c r="AL159" s="4747"/>
      <c r="AM159" s="4747"/>
      <c r="AN159" s="4747"/>
      <c r="AO159" s="4719"/>
      <c r="AP159" s="4720"/>
      <c r="AQ159" s="4747"/>
      <c r="AR159" s="4747"/>
      <c r="AS159" s="4747"/>
      <c r="AT159" s="4747"/>
      <c r="AU159" s="4747"/>
      <c r="AV159" s="4747"/>
      <c r="AW159" s="4720"/>
      <c r="AX159" s="4720"/>
      <c r="AY159" s="4720"/>
      <c r="AZ159" s="4720"/>
      <c r="BA159" s="4720"/>
      <c r="BB159" s="4720"/>
      <c r="BC159" s="4720"/>
      <c r="BD159" s="4720"/>
      <c r="BE159" s="4720"/>
      <c r="BF159" s="4720"/>
      <c r="BG159" s="4720"/>
      <c r="BH159" s="4720"/>
      <c r="BJ159" s="4747"/>
      <c r="BK159" s="4747"/>
      <c r="BL159" s="4747"/>
      <c r="BM159" s="4747"/>
      <c r="BN159" s="4747"/>
      <c r="BO159" s="4747"/>
      <c r="BP159" s="4720"/>
      <c r="BQ159" s="4720"/>
      <c r="BY159" s="4720"/>
      <c r="BZ159" s="4720"/>
      <c r="CB159" s="4714"/>
      <c r="CC159" s="4714"/>
      <c r="CD159" s="4714"/>
      <c r="CE159" s="4714"/>
      <c r="CF159" s="4714"/>
      <c r="CG159" s="4726"/>
    </row>
    <row r="160" spans="1:85" s="4705" customFormat="1">
      <c r="A160" s="4743"/>
      <c r="B160" s="4700"/>
      <c r="C160" s="4751"/>
      <c r="D160" s="4751"/>
      <c r="E160" s="4751"/>
      <c r="F160" s="4751"/>
      <c r="G160" s="4751"/>
      <c r="H160" s="4751"/>
      <c r="I160" s="4719"/>
      <c r="J160" s="4720"/>
      <c r="K160" s="4751"/>
      <c r="L160" s="4751"/>
      <c r="M160" s="4751"/>
      <c r="N160" s="4751"/>
      <c r="O160" s="4751"/>
      <c r="P160" s="4751"/>
      <c r="Q160" s="4719"/>
      <c r="R160" s="4720"/>
      <c r="S160" s="4751"/>
      <c r="T160" s="4751"/>
      <c r="U160" s="4751"/>
      <c r="V160" s="4751"/>
      <c r="W160" s="4751"/>
      <c r="X160" s="4751"/>
      <c r="Y160" s="4719"/>
      <c r="Z160" s="4742"/>
      <c r="AA160" s="4720"/>
      <c r="AB160" s="4720"/>
      <c r="AC160" s="4720"/>
      <c r="AD160" s="4720"/>
      <c r="AE160" s="4720"/>
      <c r="AF160" s="4720"/>
      <c r="AG160" s="4719"/>
      <c r="AH160" s="4720"/>
      <c r="AI160" s="4751"/>
      <c r="AJ160" s="4751"/>
      <c r="AK160" s="4751"/>
      <c r="AL160" s="4751"/>
      <c r="AM160" s="4751"/>
      <c r="AN160" s="4751"/>
      <c r="AO160" s="4719"/>
      <c r="AP160" s="4720"/>
      <c r="AQ160" s="4751"/>
      <c r="AR160" s="4751"/>
      <c r="AS160" s="4751"/>
      <c r="AT160" s="4751"/>
      <c r="AU160" s="4751"/>
      <c r="AV160" s="4751"/>
      <c r="AW160" s="4720"/>
      <c r="AX160" s="4720"/>
      <c r="AY160" s="4720"/>
      <c r="AZ160" s="4720"/>
      <c r="BA160" s="4720"/>
      <c r="BB160" s="4720"/>
      <c r="BC160" s="4720"/>
      <c r="BD160" s="4720"/>
      <c r="BE160" s="4720"/>
      <c r="BF160" s="4720"/>
      <c r="BG160" s="4720"/>
      <c r="BH160" s="4720"/>
      <c r="BJ160" s="4751"/>
      <c r="BK160" s="4751"/>
      <c r="BL160" s="4751"/>
      <c r="BM160" s="4751"/>
      <c r="BN160" s="4751"/>
      <c r="BO160" s="4751"/>
      <c r="BP160" s="4720"/>
      <c r="BQ160" s="4720"/>
      <c r="BY160" s="4720"/>
      <c r="BZ160" s="4720"/>
      <c r="CB160" s="4714"/>
      <c r="CC160" s="4714"/>
      <c r="CD160" s="4714"/>
      <c r="CE160" s="4714"/>
      <c r="CF160" s="4714"/>
      <c r="CG160" s="4726"/>
    </row>
    <row r="161" spans="1:85" s="4705" customFormat="1">
      <c r="A161" s="4743"/>
      <c r="B161" s="4743"/>
      <c r="C161" s="4720"/>
      <c r="D161" s="4720"/>
      <c r="E161" s="4720"/>
      <c r="F161" s="4720"/>
      <c r="G161" s="4720"/>
      <c r="H161" s="4720"/>
      <c r="I161" s="4719"/>
      <c r="J161" s="4720"/>
      <c r="K161" s="4720"/>
      <c r="L161" s="4720"/>
      <c r="M161" s="4720"/>
      <c r="N161" s="4720"/>
      <c r="O161" s="4720"/>
      <c r="P161" s="4720"/>
      <c r="Q161" s="4719"/>
      <c r="R161" s="4720"/>
      <c r="S161" s="4720"/>
      <c r="T161" s="4720"/>
      <c r="U161" s="4720"/>
      <c r="V161" s="4720"/>
      <c r="W161" s="4720"/>
      <c r="X161" s="4720"/>
      <c r="Y161" s="4719"/>
      <c r="Z161" s="4720"/>
      <c r="AA161" s="4720"/>
      <c r="AB161" s="4720"/>
      <c r="AC161" s="4720"/>
      <c r="AD161" s="4720"/>
      <c r="AE161" s="4720"/>
      <c r="AF161" s="4720"/>
      <c r="AG161" s="4719"/>
      <c r="AH161" s="4720"/>
      <c r="AI161" s="4720"/>
      <c r="AJ161" s="4720"/>
      <c r="AK161" s="4720"/>
      <c r="AL161" s="4720"/>
      <c r="AM161" s="4720"/>
      <c r="AN161" s="4720"/>
      <c r="AO161" s="4719"/>
      <c r="AP161" s="4720"/>
      <c r="AQ161" s="4720"/>
      <c r="AR161" s="4720"/>
      <c r="AS161" s="4720"/>
      <c r="AT161" s="4720"/>
      <c r="AU161" s="4720"/>
      <c r="AV161" s="4720"/>
      <c r="AW161" s="4720"/>
      <c r="AX161" s="4720"/>
      <c r="AY161" s="4720"/>
      <c r="AZ161" s="4720"/>
      <c r="BA161" s="4720"/>
      <c r="BB161" s="4720"/>
      <c r="BC161" s="4720"/>
      <c r="BD161" s="4720"/>
      <c r="BE161" s="4720"/>
      <c r="BF161" s="4720"/>
      <c r="BG161" s="4720"/>
      <c r="BH161" s="4720"/>
      <c r="BP161" s="4720"/>
      <c r="BQ161" s="4720"/>
      <c r="BY161" s="4720"/>
      <c r="BZ161" s="4720"/>
      <c r="CB161" s="4714"/>
      <c r="CC161" s="4714"/>
      <c r="CD161" s="4714"/>
      <c r="CE161" s="4714"/>
      <c r="CF161" s="4714"/>
      <c r="CG161" s="4726"/>
    </row>
    <row r="162" spans="1:85" s="4705" customFormat="1">
      <c r="A162" s="4743"/>
      <c r="B162" s="4743"/>
      <c r="C162" s="4720"/>
      <c r="D162" s="4720"/>
      <c r="E162" s="4720"/>
      <c r="F162" s="4720"/>
      <c r="G162" s="4720"/>
      <c r="H162" s="4720"/>
      <c r="I162" s="4719"/>
      <c r="J162" s="4720"/>
      <c r="K162" s="4720"/>
      <c r="L162" s="4720"/>
      <c r="M162" s="4720"/>
      <c r="N162" s="4720"/>
      <c r="O162" s="4720"/>
      <c r="P162" s="4720"/>
      <c r="Q162" s="4719"/>
      <c r="R162" s="4720"/>
      <c r="S162" s="4720"/>
      <c r="T162" s="4720"/>
      <c r="U162" s="4720"/>
      <c r="V162" s="4720"/>
      <c r="W162" s="4720"/>
      <c r="X162" s="4720"/>
      <c r="Y162" s="4719"/>
      <c r="Z162" s="4720"/>
      <c r="AA162" s="4720"/>
      <c r="AB162" s="4720"/>
      <c r="AC162" s="4720"/>
      <c r="AD162" s="4720"/>
      <c r="AE162" s="4720"/>
      <c r="AF162" s="4720"/>
      <c r="AG162" s="4719"/>
      <c r="AH162" s="4720"/>
      <c r="AI162" s="4720"/>
      <c r="AJ162" s="4720"/>
      <c r="AK162" s="4720"/>
      <c r="AL162" s="4720"/>
      <c r="AM162" s="4720"/>
      <c r="AN162" s="4720"/>
      <c r="AO162" s="4719"/>
      <c r="AP162" s="4720"/>
      <c r="AQ162" s="4720"/>
      <c r="AR162" s="4720"/>
      <c r="AS162" s="4720"/>
      <c r="AT162" s="4720"/>
      <c r="AU162" s="4720"/>
      <c r="AV162" s="4720"/>
      <c r="AW162" s="4720"/>
      <c r="AX162" s="4720"/>
      <c r="AY162" s="4720"/>
      <c r="AZ162" s="4720"/>
      <c r="BA162" s="4720"/>
      <c r="BB162" s="4720"/>
      <c r="BC162" s="4720"/>
      <c r="BD162" s="4720"/>
      <c r="BE162" s="4720"/>
      <c r="BF162" s="4720"/>
      <c r="BG162" s="4720"/>
      <c r="BH162" s="4720"/>
      <c r="BP162" s="4720"/>
      <c r="BQ162" s="4720"/>
      <c r="BY162" s="4720"/>
      <c r="BZ162" s="4720"/>
      <c r="CB162" s="4714"/>
      <c r="CC162" s="4714"/>
      <c r="CD162" s="4714"/>
      <c r="CE162" s="4714"/>
      <c r="CF162" s="4714"/>
      <c r="CG162" s="4726"/>
    </row>
    <row r="163" spans="1:85" s="4705" customFormat="1">
      <c r="A163" s="4743"/>
      <c r="B163" s="4743"/>
      <c r="C163" s="4727"/>
      <c r="D163" s="4727"/>
      <c r="E163" s="4727"/>
      <c r="F163" s="4727"/>
      <c r="G163" s="4727"/>
      <c r="H163" s="4727"/>
      <c r="I163" s="4719"/>
      <c r="J163" s="4720"/>
      <c r="K163" s="4727"/>
      <c r="L163" s="4727"/>
      <c r="M163" s="4727"/>
      <c r="N163" s="4727"/>
      <c r="O163" s="4727"/>
      <c r="P163" s="4727"/>
      <c r="Q163" s="4719"/>
      <c r="R163" s="4720"/>
      <c r="S163" s="4727"/>
      <c r="T163" s="4727"/>
      <c r="U163" s="4727"/>
      <c r="V163" s="4727"/>
      <c r="W163" s="4727"/>
      <c r="X163" s="4727"/>
      <c r="Y163" s="4719"/>
      <c r="Z163" s="4720"/>
      <c r="AA163" s="4720"/>
      <c r="AB163" s="4720"/>
      <c r="AC163" s="4720"/>
      <c r="AD163" s="4720"/>
      <c r="AE163" s="4720"/>
      <c r="AF163" s="4720"/>
      <c r="AG163" s="4719"/>
      <c r="AH163" s="4720"/>
      <c r="AI163" s="4727"/>
      <c r="AJ163" s="4727"/>
      <c r="AK163" s="4727"/>
      <c r="AL163" s="4727"/>
      <c r="AM163" s="4727"/>
      <c r="AN163" s="4727"/>
      <c r="AO163" s="4719"/>
      <c r="AP163" s="4720"/>
      <c r="AQ163" s="4727"/>
      <c r="AR163" s="4727"/>
      <c r="AS163" s="4727"/>
      <c r="AT163" s="4727"/>
      <c r="AU163" s="4727"/>
      <c r="AV163" s="4727"/>
      <c r="AW163" s="4720"/>
      <c r="AX163" s="4720"/>
      <c r="AY163" s="4720"/>
      <c r="AZ163" s="4720"/>
      <c r="BA163" s="4720"/>
      <c r="BB163" s="4720"/>
      <c r="BC163" s="4720"/>
      <c r="BD163" s="4720"/>
      <c r="BE163" s="4720"/>
      <c r="BF163" s="4720"/>
      <c r="BG163" s="4720"/>
      <c r="BH163" s="4720"/>
      <c r="BJ163" s="4727"/>
      <c r="BK163" s="4727"/>
      <c r="BL163" s="4727"/>
      <c r="BM163" s="4727"/>
      <c r="BN163" s="4727"/>
      <c r="BO163" s="4727"/>
      <c r="BP163" s="4720"/>
      <c r="BQ163" s="4720"/>
      <c r="BY163" s="4720"/>
      <c r="BZ163" s="4720"/>
      <c r="CB163" s="4714"/>
      <c r="CC163" s="4714"/>
      <c r="CD163" s="4714"/>
      <c r="CE163" s="4714"/>
      <c r="CF163" s="4714"/>
      <c r="CG163" s="4726"/>
    </row>
    <row r="164" spans="1:85" s="4705" customFormat="1">
      <c r="A164" s="4743"/>
      <c r="B164" s="4666"/>
      <c r="C164" s="4752"/>
      <c r="D164" s="4752"/>
      <c r="E164" s="4752"/>
      <c r="F164" s="4752"/>
      <c r="G164" s="4752"/>
      <c r="H164" s="4752"/>
      <c r="I164" s="4719"/>
      <c r="J164" s="4720"/>
      <c r="K164" s="4752"/>
      <c r="L164" s="4752"/>
      <c r="M164" s="4752"/>
      <c r="N164" s="4752"/>
      <c r="O164" s="4752"/>
      <c r="P164" s="4752"/>
      <c r="Q164" s="4719"/>
      <c r="R164" s="4720"/>
      <c r="S164" s="4752"/>
      <c r="T164" s="4752"/>
      <c r="U164" s="4752"/>
      <c r="V164" s="4752"/>
      <c r="W164" s="4752"/>
      <c r="X164" s="4752"/>
      <c r="Y164" s="4719"/>
      <c r="Z164" s="4720"/>
      <c r="AA164" s="4720"/>
      <c r="AB164" s="4720"/>
      <c r="AC164" s="4720"/>
      <c r="AD164" s="4720"/>
      <c r="AE164" s="4720"/>
      <c r="AF164" s="4720"/>
      <c r="AG164" s="4719"/>
      <c r="AH164" s="4720"/>
      <c r="AI164" s="4752"/>
      <c r="AJ164" s="4752"/>
      <c r="AK164" s="4752"/>
      <c r="AL164" s="4752"/>
      <c r="AM164" s="4752"/>
      <c r="AN164" s="4752"/>
      <c r="AO164" s="4719"/>
      <c r="AP164" s="4720"/>
      <c r="AQ164" s="4752"/>
      <c r="AR164" s="4752"/>
      <c r="AS164" s="4752"/>
      <c r="AT164" s="4752"/>
      <c r="AU164" s="4752"/>
      <c r="AV164" s="4752"/>
      <c r="AW164" s="4720"/>
      <c r="AX164" s="4720"/>
      <c r="AY164" s="4720"/>
      <c r="AZ164" s="4720"/>
      <c r="BA164" s="4720"/>
      <c r="BB164" s="4720"/>
      <c r="BC164" s="4720"/>
      <c r="BD164" s="4720"/>
      <c r="BE164" s="4720"/>
      <c r="BF164" s="4720"/>
      <c r="BG164" s="4720"/>
      <c r="BH164" s="4720"/>
      <c r="BJ164" s="4752"/>
      <c r="BK164" s="4752"/>
      <c r="BL164" s="4752"/>
      <c r="BM164" s="4752"/>
      <c r="BN164" s="4752"/>
      <c r="BO164" s="4752"/>
      <c r="BP164" s="4720"/>
      <c r="BQ164" s="4720"/>
      <c r="BY164" s="4720"/>
      <c r="BZ164" s="4720"/>
      <c r="CB164" s="4714"/>
      <c r="CC164" s="4714"/>
      <c r="CD164" s="4714"/>
      <c r="CE164" s="4714"/>
      <c r="CF164" s="4714"/>
      <c r="CG164" s="4726"/>
    </row>
    <row r="165" spans="1:85" s="4705" customFormat="1">
      <c r="A165" s="4743"/>
      <c r="B165" s="4666"/>
      <c r="C165" s="4752"/>
      <c r="D165" s="4752"/>
      <c r="E165" s="4752"/>
      <c r="F165" s="4752"/>
      <c r="G165" s="4752"/>
      <c r="H165" s="4752"/>
      <c r="I165" s="4719"/>
      <c r="J165" s="4720"/>
      <c r="K165" s="4752"/>
      <c r="L165" s="4752"/>
      <c r="M165" s="4752"/>
      <c r="N165" s="4752"/>
      <c r="O165" s="4752"/>
      <c r="P165" s="4752"/>
      <c r="Q165" s="4719"/>
      <c r="R165" s="4720"/>
      <c r="S165" s="4752"/>
      <c r="T165" s="4752"/>
      <c r="U165" s="4752"/>
      <c r="V165" s="4752"/>
      <c r="W165" s="4752"/>
      <c r="X165" s="4752"/>
      <c r="Y165" s="4719"/>
      <c r="Z165" s="4720"/>
      <c r="AA165" s="4720"/>
      <c r="AB165" s="4720"/>
      <c r="AC165" s="4720"/>
      <c r="AD165" s="4720"/>
      <c r="AE165" s="4720"/>
      <c r="AF165" s="4720"/>
      <c r="AG165" s="4719"/>
      <c r="AH165" s="4720"/>
      <c r="AI165" s="4752"/>
      <c r="AJ165" s="4752"/>
      <c r="AK165" s="4752"/>
      <c r="AL165" s="4752"/>
      <c r="AM165" s="4752"/>
      <c r="AN165" s="4752"/>
      <c r="AO165" s="4719"/>
      <c r="AP165" s="4720"/>
      <c r="AQ165" s="4752"/>
      <c r="AR165" s="4752"/>
      <c r="AS165" s="4752"/>
      <c r="AT165" s="4752"/>
      <c r="AU165" s="4752"/>
      <c r="AV165" s="4752"/>
      <c r="AW165" s="4720"/>
      <c r="AX165" s="4720"/>
      <c r="AY165" s="4720"/>
      <c r="AZ165" s="4720"/>
      <c r="BA165" s="4720"/>
      <c r="BB165" s="4720"/>
      <c r="BC165" s="4720"/>
      <c r="BD165" s="4720"/>
      <c r="BE165" s="4720"/>
      <c r="BF165" s="4720"/>
      <c r="BG165" s="4720"/>
      <c r="BH165" s="4720"/>
      <c r="BJ165" s="4752"/>
      <c r="BK165" s="4752"/>
      <c r="BL165" s="4752"/>
      <c r="BM165" s="4752"/>
      <c r="BN165" s="4752"/>
      <c r="BO165" s="4752"/>
      <c r="BP165" s="4720"/>
      <c r="BQ165" s="4720"/>
      <c r="BY165" s="4720"/>
      <c r="BZ165" s="4720"/>
      <c r="CB165" s="4714"/>
      <c r="CC165" s="4714"/>
      <c r="CD165" s="4714"/>
      <c r="CE165" s="4714"/>
      <c r="CF165" s="4714"/>
      <c r="CG165" s="4726"/>
    </row>
    <row r="166" spans="1:85" s="4705" customFormat="1">
      <c r="A166" s="4743"/>
      <c r="B166" s="4666"/>
      <c r="C166" s="4752"/>
      <c r="D166" s="4752"/>
      <c r="E166" s="4752"/>
      <c r="F166" s="4752"/>
      <c r="G166" s="4752"/>
      <c r="H166" s="4752"/>
      <c r="I166" s="4719"/>
      <c r="J166" s="4720"/>
      <c r="K166" s="4752"/>
      <c r="L166" s="4752"/>
      <c r="M166" s="4752"/>
      <c r="N166" s="4752"/>
      <c r="O166" s="4752"/>
      <c r="P166" s="4752"/>
      <c r="Q166" s="4719"/>
      <c r="R166" s="4720"/>
      <c r="S166" s="4752"/>
      <c r="T166" s="4752"/>
      <c r="U166" s="4752"/>
      <c r="V166" s="4752"/>
      <c r="W166" s="4752"/>
      <c r="X166" s="4752"/>
      <c r="Y166" s="4719"/>
      <c r="Z166" s="4720"/>
      <c r="AA166" s="4720"/>
      <c r="AB166" s="4720"/>
      <c r="AC166" s="4720"/>
      <c r="AD166" s="4720"/>
      <c r="AE166" s="4720"/>
      <c r="AF166" s="4720"/>
      <c r="AG166" s="4719"/>
      <c r="AH166" s="4720"/>
      <c r="AI166" s="4752"/>
      <c r="AJ166" s="4752"/>
      <c r="AK166" s="4752"/>
      <c r="AL166" s="4752"/>
      <c r="AM166" s="4752"/>
      <c r="AN166" s="4752"/>
      <c r="AO166" s="4719"/>
      <c r="AP166" s="4720"/>
      <c r="AQ166" s="4752"/>
      <c r="AR166" s="4752"/>
      <c r="AS166" s="4752"/>
      <c r="AT166" s="4752"/>
      <c r="AU166" s="4752"/>
      <c r="AV166" s="4752"/>
      <c r="AW166" s="4720"/>
      <c r="AX166" s="4720"/>
      <c r="AY166" s="4720"/>
      <c r="AZ166" s="4720"/>
      <c r="BA166" s="4720"/>
      <c r="BB166" s="4720"/>
      <c r="BC166" s="4720"/>
      <c r="BD166" s="4720"/>
      <c r="BE166" s="4720"/>
      <c r="BF166" s="4720"/>
      <c r="BG166" s="4720"/>
      <c r="BH166" s="4720"/>
      <c r="BJ166" s="4752"/>
      <c r="BK166" s="4752"/>
      <c r="BL166" s="4752"/>
      <c r="BM166" s="4752"/>
      <c r="BN166" s="4752"/>
      <c r="BO166" s="4752"/>
      <c r="BP166" s="4720"/>
      <c r="BQ166" s="4720"/>
      <c r="BY166" s="4720"/>
      <c r="BZ166" s="4720"/>
      <c r="CB166" s="4714"/>
      <c r="CC166" s="4714"/>
      <c r="CD166" s="4714"/>
      <c r="CE166" s="4714"/>
      <c r="CF166" s="4714"/>
      <c r="CG166" s="4726"/>
    </row>
    <row r="167" spans="1:85" s="4705" customFormat="1">
      <c r="A167" s="4743"/>
      <c r="B167" s="4666"/>
      <c r="C167" s="4752"/>
      <c r="D167" s="4752"/>
      <c r="E167" s="4752"/>
      <c r="F167" s="4752"/>
      <c r="G167" s="4752"/>
      <c r="H167" s="4752"/>
      <c r="I167" s="4719"/>
      <c r="J167" s="4720"/>
      <c r="K167" s="4752"/>
      <c r="L167" s="4752"/>
      <c r="M167" s="4752"/>
      <c r="N167" s="4752"/>
      <c r="O167" s="4752"/>
      <c r="P167" s="4752"/>
      <c r="Q167" s="4719"/>
      <c r="R167" s="4720"/>
      <c r="S167" s="4752"/>
      <c r="T167" s="4752"/>
      <c r="U167" s="4752"/>
      <c r="V167" s="4752"/>
      <c r="W167" s="4752"/>
      <c r="X167" s="4752"/>
      <c r="Y167" s="4719"/>
      <c r="Z167" s="4720"/>
      <c r="AA167" s="4720"/>
      <c r="AB167" s="4720"/>
      <c r="AC167" s="4720"/>
      <c r="AD167" s="4720"/>
      <c r="AE167" s="4720"/>
      <c r="AF167" s="4720"/>
      <c r="AG167" s="4719"/>
      <c r="AH167" s="4720"/>
      <c r="AI167" s="4752"/>
      <c r="AJ167" s="4752"/>
      <c r="AK167" s="4752"/>
      <c r="AL167" s="4752"/>
      <c r="AM167" s="4752"/>
      <c r="AN167" s="4752"/>
      <c r="AO167" s="4719"/>
      <c r="AP167" s="4720"/>
      <c r="AQ167" s="4752"/>
      <c r="AR167" s="4752"/>
      <c r="AS167" s="4752"/>
      <c r="AT167" s="4752"/>
      <c r="AU167" s="4752"/>
      <c r="AV167" s="4752"/>
      <c r="AW167" s="4720"/>
      <c r="AX167" s="4720"/>
      <c r="AY167" s="4720"/>
      <c r="AZ167" s="4720"/>
      <c r="BA167" s="4720"/>
      <c r="BB167" s="4720"/>
      <c r="BC167" s="4720"/>
      <c r="BD167" s="4720"/>
      <c r="BE167" s="4720"/>
      <c r="BF167" s="4720"/>
      <c r="BG167" s="4720"/>
      <c r="BH167" s="4720"/>
      <c r="BJ167" s="4752"/>
      <c r="BK167" s="4752"/>
      <c r="BL167" s="4752"/>
      <c r="BM167" s="4752"/>
      <c r="BN167" s="4752"/>
      <c r="BO167" s="4752"/>
      <c r="BP167" s="4720"/>
      <c r="BQ167" s="4720"/>
      <c r="BY167" s="4720"/>
      <c r="BZ167" s="4720"/>
      <c r="CB167" s="4714"/>
      <c r="CC167" s="4714"/>
      <c r="CD167" s="4714"/>
      <c r="CE167" s="4714"/>
      <c r="CF167" s="4714"/>
      <c r="CG167" s="4726"/>
    </row>
    <row r="168" spans="1:85" s="4705" customFormat="1">
      <c r="A168" s="4743"/>
      <c r="B168" s="4666"/>
      <c r="C168" s="4752"/>
      <c r="D168" s="4752"/>
      <c r="E168" s="4752"/>
      <c r="F168" s="4752"/>
      <c r="G168" s="4752"/>
      <c r="H168" s="4752"/>
      <c r="I168" s="4719"/>
      <c r="J168" s="4720"/>
      <c r="K168" s="4752"/>
      <c r="L168" s="4752"/>
      <c r="M168" s="4752"/>
      <c r="N168" s="4752"/>
      <c r="O168" s="4752"/>
      <c r="P168" s="4752"/>
      <c r="Q168" s="4719"/>
      <c r="R168" s="4720"/>
      <c r="S168" s="4752"/>
      <c r="T168" s="4752"/>
      <c r="U168" s="4752"/>
      <c r="V168" s="4752"/>
      <c r="W168" s="4752"/>
      <c r="X168" s="4752"/>
      <c r="Y168" s="4719"/>
      <c r="Z168" s="4720"/>
      <c r="AA168" s="4720"/>
      <c r="AB168" s="4720"/>
      <c r="AC168" s="4720"/>
      <c r="AD168" s="4720"/>
      <c r="AE168" s="4720"/>
      <c r="AF168" s="4720"/>
      <c r="AG168" s="4719"/>
      <c r="AH168" s="4720"/>
      <c r="AI168" s="4752"/>
      <c r="AJ168" s="4752"/>
      <c r="AK168" s="4752"/>
      <c r="AL168" s="4752"/>
      <c r="AM168" s="4752"/>
      <c r="AN168" s="4752"/>
      <c r="AO168" s="4719"/>
      <c r="AP168" s="4720"/>
      <c r="AQ168" s="4752"/>
      <c r="AR168" s="4752"/>
      <c r="AS168" s="4752"/>
      <c r="AT168" s="4752"/>
      <c r="AU168" s="4752"/>
      <c r="AV168" s="4752"/>
      <c r="AW168" s="4720"/>
      <c r="AX168" s="4720"/>
      <c r="AY168" s="4720"/>
      <c r="AZ168" s="4720"/>
      <c r="BA168" s="4720"/>
      <c r="BB168" s="4720"/>
      <c r="BC168" s="4720"/>
      <c r="BD168" s="4720"/>
      <c r="BE168" s="4720"/>
      <c r="BF168" s="4720"/>
      <c r="BG168" s="4720"/>
      <c r="BH168" s="4720"/>
      <c r="BJ168" s="4752"/>
      <c r="BK168" s="4752"/>
      <c r="BL168" s="4752"/>
      <c r="BM168" s="4752"/>
      <c r="BN168" s="4752"/>
      <c r="BO168" s="4752"/>
      <c r="BP168" s="4720"/>
      <c r="BQ168" s="4720"/>
      <c r="BY168" s="4720"/>
      <c r="BZ168" s="4720"/>
      <c r="CB168" s="4714"/>
      <c r="CC168" s="4714"/>
      <c r="CD168" s="4714"/>
      <c r="CE168" s="4714"/>
      <c r="CF168" s="4714"/>
      <c r="CG168" s="4726"/>
    </row>
    <row r="169" spans="1:85" s="4705" customFormat="1">
      <c r="A169" s="4743"/>
      <c r="B169" s="4666"/>
      <c r="C169" s="4752"/>
      <c r="D169" s="4752"/>
      <c r="E169" s="4752"/>
      <c r="F169" s="4752"/>
      <c r="G169" s="4752"/>
      <c r="H169" s="4752"/>
      <c r="I169" s="4719"/>
      <c r="J169" s="4720"/>
      <c r="K169" s="4752"/>
      <c r="L169" s="4752"/>
      <c r="M169" s="4752"/>
      <c r="N169" s="4752"/>
      <c r="O169" s="4752"/>
      <c r="P169" s="4752"/>
      <c r="Q169" s="4719"/>
      <c r="R169" s="4720"/>
      <c r="S169" s="4752"/>
      <c r="T169" s="4752"/>
      <c r="U169" s="4752"/>
      <c r="V169" s="4752"/>
      <c r="W169" s="4752"/>
      <c r="X169" s="4752"/>
      <c r="Y169" s="4719"/>
      <c r="Z169" s="4720"/>
      <c r="AA169" s="4720"/>
      <c r="AB169" s="4720"/>
      <c r="AC169" s="4720"/>
      <c r="AD169" s="4720"/>
      <c r="AE169" s="4720"/>
      <c r="AF169" s="4720"/>
      <c r="AG169" s="4719"/>
      <c r="AH169" s="4720"/>
      <c r="AI169" s="4752"/>
      <c r="AJ169" s="4752"/>
      <c r="AK169" s="4752"/>
      <c r="AL169" s="4752"/>
      <c r="AM169" s="4752"/>
      <c r="AN169" s="4752"/>
      <c r="AO169" s="4719"/>
      <c r="AP169" s="4720"/>
      <c r="AQ169" s="4752"/>
      <c r="AR169" s="4752"/>
      <c r="AS169" s="4752"/>
      <c r="AT169" s="4752"/>
      <c r="AU169" s="4752"/>
      <c r="AV169" s="4752"/>
      <c r="AW169" s="4720"/>
      <c r="AX169" s="4720"/>
      <c r="AY169" s="4720"/>
      <c r="AZ169" s="4720"/>
      <c r="BA169" s="4720"/>
      <c r="BB169" s="4720"/>
      <c r="BC169" s="4720"/>
      <c r="BD169" s="4720"/>
      <c r="BE169" s="4720"/>
      <c r="BF169" s="4720"/>
      <c r="BG169" s="4720"/>
      <c r="BH169" s="4720"/>
      <c r="BJ169" s="4752"/>
      <c r="BK169" s="4752"/>
      <c r="BL169" s="4752"/>
      <c r="BM169" s="4752"/>
      <c r="BN169" s="4752"/>
      <c r="BO169" s="4752"/>
      <c r="BP169" s="4720"/>
      <c r="BQ169" s="4720"/>
      <c r="BY169" s="4720"/>
      <c r="BZ169" s="4720"/>
      <c r="CB169" s="4714"/>
      <c r="CC169" s="4714"/>
      <c r="CD169" s="4714"/>
      <c r="CE169" s="4714"/>
      <c r="CF169" s="4714"/>
      <c r="CG169" s="4726"/>
    </row>
    <row r="170" spans="1:85" s="4705" customFormat="1">
      <c r="A170" s="4743"/>
      <c r="B170" s="4666"/>
      <c r="C170" s="4752"/>
      <c r="D170" s="4752"/>
      <c r="E170" s="4752"/>
      <c r="F170" s="4752"/>
      <c r="G170" s="4752"/>
      <c r="H170" s="4752"/>
      <c r="I170" s="4719"/>
      <c r="J170" s="4720"/>
      <c r="K170" s="4752"/>
      <c r="L170" s="4752"/>
      <c r="M170" s="4752"/>
      <c r="N170" s="4752"/>
      <c r="O170" s="4752"/>
      <c r="P170" s="4752"/>
      <c r="Q170" s="4719"/>
      <c r="R170" s="4720"/>
      <c r="S170" s="4752"/>
      <c r="T170" s="4752"/>
      <c r="U170" s="4752"/>
      <c r="V170" s="4752"/>
      <c r="W170" s="4752"/>
      <c r="X170" s="4752"/>
      <c r="Y170" s="4719"/>
      <c r="Z170" s="4720"/>
      <c r="AA170" s="4720"/>
      <c r="AB170" s="4720"/>
      <c r="AC170" s="4720"/>
      <c r="AD170" s="4720"/>
      <c r="AE170" s="4720"/>
      <c r="AF170" s="4720"/>
      <c r="AG170" s="4719"/>
      <c r="AH170" s="4720"/>
      <c r="AI170" s="4752"/>
      <c r="AJ170" s="4752"/>
      <c r="AK170" s="4752"/>
      <c r="AL170" s="4752"/>
      <c r="AM170" s="4752"/>
      <c r="AN170" s="4752"/>
      <c r="AO170" s="4719"/>
      <c r="AP170" s="4720"/>
      <c r="AQ170" s="4752"/>
      <c r="AR170" s="4752"/>
      <c r="AS170" s="4752"/>
      <c r="AT170" s="4752"/>
      <c r="AU170" s="4752"/>
      <c r="AV170" s="4752"/>
      <c r="AW170" s="4720"/>
      <c r="AX170" s="4720"/>
      <c r="AY170" s="4720"/>
      <c r="AZ170" s="4720"/>
      <c r="BA170" s="4720"/>
      <c r="BB170" s="4720"/>
      <c r="BC170" s="4720"/>
      <c r="BD170" s="4720"/>
      <c r="BE170" s="4720"/>
      <c r="BF170" s="4720"/>
      <c r="BG170" s="4720"/>
      <c r="BH170" s="4720"/>
      <c r="BJ170" s="4752"/>
      <c r="BK170" s="4752"/>
      <c r="BL170" s="4752"/>
      <c r="BM170" s="4752"/>
      <c r="BN170" s="4752"/>
      <c r="BO170" s="4752"/>
      <c r="BP170" s="4720"/>
      <c r="BQ170" s="4720"/>
      <c r="BY170" s="4720"/>
      <c r="BZ170" s="4720"/>
      <c r="CB170" s="4714"/>
      <c r="CC170" s="4714"/>
      <c r="CD170" s="4714"/>
      <c r="CE170" s="4714"/>
      <c r="CF170" s="4714"/>
      <c r="CG170" s="4726"/>
    </row>
    <row r="171" spans="1:85" s="4705" customFormat="1">
      <c r="A171" s="4743"/>
      <c r="B171" s="4661"/>
      <c r="C171" s="4753"/>
      <c r="D171" s="4753"/>
      <c r="E171" s="4753"/>
      <c r="F171" s="4753"/>
      <c r="G171" s="4753"/>
      <c r="H171" s="4753"/>
      <c r="I171" s="4719"/>
      <c r="J171" s="4720"/>
      <c r="K171" s="4753"/>
      <c r="L171" s="4753"/>
      <c r="M171" s="4753"/>
      <c r="N171" s="4753"/>
      <c r="O171" s="4753"/>
      <c r="P171" s="4753"/>
      <c r="Q171" s="4719"/>
      <c r="R171" s="4720"/>
      <c r="S171" s="4753"/>
      <c r="T171" s="4753"/>
      <c r="U171" s="4753"/>
      <c r="V171" s="4753"/>
      <c r="W171" s="4753"/>
      <c r="X171" s="4753"/>
      <c r="Y171" s="4719"/>
      <c r="Z171" s="4720"/>
      <c r="AA171" s="4720"/>
      <c r="AB171" s="4720"/>
      <c r="AC171" s="4720"/>
      <c r="AD171" s="4720"/>
      <c r="AE171" s="4720"/>
      <c r="AF171" s="4720"/>
      <c r="AG171" s="4719"/>
      <c r="AH171" s="4720"/>
      <c r="AI171" s="4753"/>
      <c r="AJ171" s="4753"/>
      <c r="AK171" s="4753"/>
      <c r="AL171" s="4753"/>
      <c r="AM171" s="4753"/>
      <c r="AN171" s="4753"/>
      <c r="AO171" s="4719"/>
      <c r="AP171" s="4720"/>
      <c r="AQ171" s="4753"/>
      <c r="AR171" s="4753"/>
      <c r="AS171" s="4753"/>
      <c r="AT171" s="4753"/>
      <c r="AU171" s="4753"/>
      <c r="AV171" s="4753"/>
      <c r="AW171" s="4720"/>
      <c r="AX171" s="4720"/>
      <c r="AY171" s="4720"/>
      <c r="AZ171" s="4720"/>
      <c r="BA171" s="4720"/>
      <c r="BB171" s="4720"/>
      <c r="BC171" s="4720"/>
      <c r="BD171" s="4720"/>
      <c r="BE171" s="4720"/>
      <c r="BF171" s="4720"/>
      <c r="BG171" s="4720"/>
      <c r="BH171" s="4720"/>
      <c r="BJ171" s="4753"/>
      <c r="BK171" s="4753"/>
      <c r="BL171" s="4753"/>
      <c r="BM171" s="4753"/>
      <c r="BN171" s="4753"/>
      <c r="BO171" s="4753"/>
      <c r="BP171" s="4720"/>
      <c r="BQ171" s="4720"/>
      <c r="BY171" s="4720"/>
      <c r="BZ171" s="4720"/>
      <c r="CB171" s="4714"/>
      <c r="CC171" s="4714"/>
      <c r="CD171" s="4714"/>
      <c r="CE171" s="4714"/>
      <c r="CF171" s="4714"/>
      <c r="CG171" s="4726"/>
    </row>
    <row r="172" spans="1:85" s="4705" customFormat="1">
      <c r="A172" s="4743"/>
      <c r="B172" s="4700"/>
      <c r="C172" s="4754"/>
      <c r="D172" s="4754"/>
      <c r="E172" s="4754"/>
      <c r="F172" s="4754"/>
      <c r="G172" s="4754"/>
      <c r="H172" s="4754"/>
      <c r="I172" s="4719"/>
      <c r="J172" s="4720"/>
      <c r="K172" s="4754"/>
      <c r="L172" s="4754"/>
      <c r="M172" s="4754"/>
      <c r="N172" s="4754"/>
      <c r="O172" s="4754"/>
      <c r="P172" s="4754"/>
      <c r="Q172" s="4719"/>
      <c r="R172" s="4720"/>
      <c r="S172" s="4754"/>
      <c r="T172" s="4754"/>
      <c r="U172" s="4754"/>
      <c r="V172" s="4754"/>
      <c r="W172" s="4754"/>
      <c r="X172" s="4754"/>
      <c r="Y172" s="4719"/>
      <c r="Z172" s="4720"/>
      <c r="AA172" s="4720"/>
      <c r="AB172" s="4720"/>
      <c r="AC172" s="4720"/>
      <c r="AD172" s="4720"/>
      <c r="AE172" s="4720"/>
      <c r="AF172" s="4720"/>
      <c r="AG172" s="4719"/>
      <c r="AH172" s="4720"/>
      <c r="AI172" s="4754"/>
      <c r="AJ172" s="4754"/>
      <c r="AK172" s="4754"/>
      <c r="AL172" s="4754"/>
      <c r="AM172" s="4754"/>
      <c r="AN172" s="4754"/>
      <c r="AO172" s="4719"/>
      <c r="AP172" s="4720"/>
      <c r="AQ172" s="4754"/>
      <c r="AR172" s="4754"/>
      <c r="AS172" s="4754"/>
      <c r="AT172" s="4754"/>
      <c r="AU172" s="4754"/>
      <c r="AV172" s="4754"/>
      <c r="AW172" s="4720"/>
      <c r="AX172" s="4720"/>
      <c r="AY172" s="4720"/>
      <c r="AZ172" s="4720"/>
      <c r="BA172" s="4720"/>
      <c r="BB172" s="4720"/>
      <c r="BC172" s="4720"/>
      <c r="BD172" s="4720"/>
      <c r="BE172" s="4720"/>
      <c r="BF172" s="4720"/>
      <c r="BG172" s="4720"/>
      <c r="BH172" s="4720"/>
      <c r="BJ172" s="4754"/>
      <c r="BK172" s="4754"/>
      <c r="BL172" s="4754"/>
      <c r="BM172" s="4754"/>
      <c r="BN172" s="4754"/>
      <c r="BO172" s="4754"/>
      <c r="BP172" s="4720"/>
      <c r="BQ172" s="4720"/>
      <c r="BY172" s="4720"/>
      <c r="BZ172" s="4720"/>
      <c r="CB172" s="4714"/>
      <c r="CC172" s="4714"/>
      <c r="CD172" s="4714"/>
      <c r="CE172" s="4714"/>
      <c r="CF172" s="4714"/>
      <c r="CG172" s="4726"/>
    </row>
    <row r="173" spans="1:85" s="4705" customFormat="1">
      <c r="A173" s="4743"/>
      <c r="B173" s="4700"/>
      <c r="C173" s="4755"/>
      <c r="D173" s="4755"/>
      <c r="E173" s="4755"/>
      <c r="F173" s="4755"/>
      <c r="G173" s="4755"/>
      <c r="H173" s="4755"/>
      <c r="I173" s="4719"/>
      <c r="J173" s="4720"/>
      <c r="K173" s="4755"/>
      <c r="L173" s="4755"/>
      <c r="M173" s="4755"/>
      <c r="N173" s="4755"/>
      <c r="O173" s="4755"/>
      <c r="P173" s="4755"/>
      <c r="Q173" s="4719"/>
      <c r="R173" s="4720"/>
      <c r="S173" s="4755"/>
      <c r="T173" s="4755"/>
      <c r="U173" s="4755"/>
      <c r="V173" s="4755"/>
      <c r="W173" s="4755"/>
      <c r="X173" s="4755"/>
      <c r="Y173" s="4719"/>
      <c r="Z173" s="4720"/>
      <c r="AA173" s="4720"/>
      <c r="AB173" s="4720"/>
      <c r="AC173" s="4720"/>
      <c r="AD173" s="4720"/>
      <c r="AE173" s="4720"/>
      <c r="AF173" s="4720"/>
      <c r="AG173" s="4719"/>
      <c r="AH173" s="4720"/>
      <c r="AI173" s="4755"/>
      <c r="AJ173" s="4755"/>
      <c r="AK173" s="4755"/>
      <c r="AL173" s="4755"/>
      <c r="AM173" s="4755"/>
      <c r="AN173" s="4755"/>
      <c r="AO173" s="4719"/>
      <c r="AP173" s="4720"/>
      <c r="AQ173" s="4755"/>
      <c r="AR173" s="4755"/>
      <c r="AS173" s="4755"/>
      <c r="AT173" s="4755"/>
      <c r="AU173" s="4755"/>
      <c r="AV173" s="4755"/>
      <c r="AW173" s="4720"/>
      <c r="AX173" s="4720"/>
      <c r="AY173" s="4720"/>
      <c r="AZ173" s="4720"/>
      <c r="BA173" s="4720"/>
      <c r="BB173" s="4720"/>
      <c r="BC173" s="4720"/>
      <c r="BD173" s="4720"/>
      <c r="BE173" s="4720"/>
      <c r="BF173" s="4720"/>
      <c r="BG173" s="4720"/>
      <c r="BH173" s="4720"/>
      <c r="BJ173" s="4755"/>
      <c r="BK173" s="4755"/>
      <c r="BL173" s="4755"/>
      <c r="BM173" s="4755"/>
      <c r="BN173" s="4755"/>
      <c r="BO173" s="4755"/>
      <c r="BP173" s="4720"/>
      <c r="BQ173" s="4720"/>
      <c r="BY173" s="4720"/>
      <c r="BZ173" s="4720"/>
      <c r="CB173" s="4714"/>
      <c r="CC173" s="4714"/>
      <c r="CD173" s="4714"/>
      <c r="CE173" s="4714"/>
      <c r="CF173" s="4714"/>
      <c r="CG173" s="4726"/>
    </row>
    <row r="174" spans="1:85" s="4705" customFormat="1">
      <c r="A174" s="4743"/>
      <c r="B174" s="4700"/>
      <c r="C174" s="4755"/>
      <c r="D174" s="4755"/>
      <c r="E174" s="4755"/>
      <c r="F174" s="4755"/>
      <c r="G174" s="4755"/>
      <c r="H174" s="4755"/>
      <c r="I174" s="4719"/>
      <c r="J174" s="4720"/>
      <c r="K174" s="4755"/>
      <c r="L174" s="4755"/>
      <c r="M174" s="4755"/>
      <c r="N174" s="4755"/>
      <c r="O174" s="4755"/>
      <c r="P174" s="4755"/>
      <c r="Q174" s="4719"/>
      <c r="R174" s="4720"/>
      <c r="S174" s="4755"/>
      <c r="T174" s="4755"/>
      <c r="U174" s="4755"/>
      <c r="V174" s="4755"/>
      <c r="W174" s="4755"/>
      <c r="X174" s="4755"/>
      <c r="Y174" s="4719"/>
      <c r="Z174" s="4720"/>
      <c r="AA174" s="4720"/>
      <c r="AB174" s="4720"/>
      <c r="AC174" s="4720"/>
      <c r="AD174" s="4720"/>
      <c r="AE174" s="4720"/>
      <c r="AF174" s="4720"/>
      <c r="AG174" s="4719"/>
      <c r="AH174" s="4720"/>
      <c r="AI174" s="4755"/>
      <c r="AJ174" s="4755"/>
      <c r="AK174" s="4755"/>
      <c r="AL174" s="4755"/>
      <c r="AM174" s="4755"/>
      <c r="AN174" s="4755"/>
      <c r="AO174" s="4719"/>
      <c r="AP174" s="4720"/>
      <c r="AQ174" s="4755"/>
      <c r="AR174" s="4755"/>
      <c r="AS174" s="4755"/>
      <c r="AT174" s="4755"/>
      <c r="AU174" s="4755"/>
      <c r="AV174" s="4755"/>
      <c r="AW174" s="4720"/>
      <c r="AX174" s="4720"/>
      <c r="AY174" s="4720"/>
      <c r="AZ174" s="4720"/>
      <c r="BA174" s="4720"/>
      <c r="BB174" s="4720"/>
      <c r="BC174" s="4720"/>
      <c r="BD174" s="4720"/>
      <c r="BE174" s="4720"/>
      <c r="BF174" s="4720"/>
      <c r="BG174" s="4720"/>
      <c r="BH174" s="4720"/>
      <c r="BJ174" s="4755"/>
      <c r="BK174" s="4755"/>
      <c r="BL174" s="4755"/>
      <c r="BM174" s="4755"/>
      <c r="BN174" s="4755"/>
      <c r="BO174" s="4755"/>
      <c r="BP174" s="4720"/>
      <c r="BQ174" s="4720"/>
      <c r="BY174" s="4720"/>
      <c r="BZ174" s="4720"/>
      <c r="CB174" s="4714"/>
      <c r="CC174" s="4714"/>
      <c r="CD174" s="4714"/>
      <c r="CE174" s="4714"/>
      <c r="CF174" s="4714"/>
      <c r="CG174" s="4726"/>
    </row>
    <row r="175" spans="1:85" s="4705" customFormat="1">
      <c r="A175" s="4743"/>
      <c r="B175" s="4700"/>
      <c r="C175" s="4756"/>
      <c r="D175" s="4756"/>
      <c r="E175" s="4756"/>
      <c r="F175" s="4756"/>
      <c r="G175" s="4756"/>
      <c r="H175" s="4756"/>
      <c r="I175" s="4719"/>
      <c r="J175" s="4720"/>
      <c r="K175" s="4756"/>
      <c r="L175" s="4756"/>
      <c r="M175" s="4756"/>
      <c r="N175" s="4756"/>
      <c r="O175" s="4756"/>
      <c r="P175" s="4756"/>
      <c r="Q175" s="4719"/>
      <c r="R175" s="4720"/>
      <c r="S175" s="4756"/>
      <c r="T175" s="4756"/>
      <c r="U175" s="4756"/>
      <c r="V175" s="4756"/>
      <c r="W175" s="4756"/>
      <c r="X175" s="4756"/>
      <c r="Y175" s="4719"/>
      <c r="Z175" s="4720"/>
      <c r="AA175" s="4720"/>
      <c r="AB175" s="4720"/>
      <c r="AC175" s="4720"/>
      <c r="AD175" s="4720"/>
      <c r="AE175" s="4720"/>
      <c r="AF175" s="4720"/>
      <c r="AG175" s="4719"/>
      <c r="AH175" s="4720"/>
      <c r="AI175" s="4756"/>
      <c r="AJ175" s="4756"/>
      <c r="AK175" s="4756"/>
      <c r="AL175" s="4756"/>
      <c r="AM175" s="4756"/>
      <c r="AN175" s="4756"/>
      <c r="AO175" s="4719"/>
      <c r="AP175" s="4720"/>
      <c r="AQ175" s="4756"/>
      <c r="AR175" s="4756"/>
      <c r="AS175" s="4756"/>
      <c r="AT175" s="4756"/>
      <c r="AU175" s="4756"/>
      <c r="AV175" s="4756"/>
      <c r="AW175" s="4720"/>
      <c r="AX175" s="4720"/>
      <c r="AY175" s="4720"/>
      <c r="AZ175" s="4720"/>
      <c r="BA175" s="4720"/>
      <c r="BB175" s="4720"/>
      <c r="BC175" s="4720"/>
      <c r="BD175" s="4720"/>
      <c r="BE175" s="4720"/>
      <c r="BF175" s="4720"/>
      <c r="BG175" s="4720"/>
      <c r="BH175" s="4720"/>
      <c r="BJ175" s="4756"/>
      <c r="BK175" s="4756"/>
      <c r="BL175" s="4756"/>
      <c r="BM175" s="4756"/>
      <c r="BN175" s="4756"/>
      <c r="BO175" s="4756"/>
      <c r="BP175" s="4720"/>
      <c r="BQ175" s="4720"/>
      <c r="BY175" s="4720"/>
      <c r="BZ175" s="4720"/>
      <c r="CB175" s="4714"/>
      <c r="CC175" s="4714"/>
      <c r="CD175" s="4714"/>
      <c r="CE175" s="4714"/>
      <c r="CF175" s="4714"/>
      <c r="CG175" s="4726"/>
    </row>
    <row r="176" spans="1:85" s="4705" customFormat="1">
      <c r="A176" s="4743"/>
      <c r="B176" s="4700"/>
      <c r="C176" s="4754"/>
      <c r="D176" s="4754"/>
      <c r="E176" s="4754"/>
      <c r="F176" s="4754"/>
      <c r="G176" s="4754"/>
      <c r="H176" s="4754"/>
      <c r="I176" s="4719"/>
      <c r="J176" s="4720"/>
      <c r="K176" s="4754"/>
      <c r="L176" s="4754"/>
      <c r="M176" s="4754"/>
      <c r="N176" s="4754"/>
      <c r="O176" s="4754"/>
      <c r="P176" s="4754"/>
      <c r="Q176" s="4719"/>
      <c r="R176" s="4720"/>
      <c r="S176" s="4754"/>
      <c r="T176" s="4754"/>
      <c r="U176" s="4754"/>
      <c r="V176" s="4754"/>
      <c r="W176" s="4754"/>
      <c r="X176" s="4754"/>
      <c r="Y176" s="4719"/>
      <c r="Z176" s="4720"/>
      <c r="AA176" s="4720"/>
      <c r="AB176" s="4720"/>
      <c r="AC176" s="4720"/>
      <c r="AD176" s="4720"/>
      <c r="AE176" s="4720"/>
      <c r="AF176" s="4720"/>
      <c r="AG176" s="4719"/>
      <c r="AH176" s="4720"/>
      <c r="AI176" s="4754"/>
      <c r="AJ176" s="4754"/>
      <c r="AK176" s="4754"/>
      <c r="AL176" s="4754"/>
      <c r="AM176" s="4754"/>
      <c r="AN176" s="4754"/>
      <c r="AO176" s="4719"/>
      <c r="AP176" s="4720"/>
      <c r="AQ176" s="4754"/>
      <c r="AR176" s="4754"/>
      <c r="AS176" s="4754"/>
      <c r="AT176" s="4754"/>
      <c r="AU176" s="4754"/>
      <c r="AV176" s="4754"/>
      <c r="AW176" s="4720"/>
      <c r="AX176" s="4720"/>
      <c r="AY176" s="4720"/>
      <c r="AZ176" s="4720"/>
      <c r="BA176" s="4720"/>
      <c r="BB176" s="4720"/>
      <c r="BC176" s="4720"/>
      <c r="BD176" s="4720"/>
      <c r="BE176" s="4720"/>
      <c r="BF176" s="4720"/>
      <c r="BG176" s="4720"/>
      <c r="BH176" s="4720"/>
      <c r="BJ176" s="4754"/>
      <c r="BK176" s="4754"/>
      <c r="BL176" s="4754"/>
      <c r="BM176" s="4754"/>
      <c r="BN176" s="4754"/>
      <c r="BO176" s="4754"/>
      <c r="BP176" s="4720"/>
      <c r="BQ176" s="4720"/>
      <c r="BY176" s="4720"/>
      <c r="BZ176" s="4720"/>
      <c r="CB176" s="4714"/>
      <c r="CC176" s="4714"/>
      <c r="CD176" s="4714"/>
      <c r="CE176" s="4714"/>
      <c r="CF176" s="4714"/>
      <c r="CG176" s="4726"/>
    </row>
    <row r="177" spans="1:85" s="4705" customFormat="1">
      <c r="A177" s="4743"/>
      <c r="B177" s="4700"/>
      <c r="C177" s="4754"/>
      <c r="D177" s="4754"/>
      <c r="E177" s="4754"/>
      <c r="F177" s="4754"/>
      <c r="G177" s="4754"/>
      <c r="H177" s="4754"/>
      <c r="I177" s="4719"/>
      <c r="J177" s="4720"/>
      <c r="K177" s="4754"/>
      <c r="L177" s="4754"/>
      <c r="M177" s="4754"/>
      <c r="N177" s="4754"/>
      <c r="O177" s="4754"/>
      <c r="P177" s="4754"/>
      <c r="Q177" s="4719"/>
      <c r="R177" s="4720"/>
      <c r="S177" s="4754"/>
      <c r="T177" s="4754"/>
      <c r="U177" s="4754"/>
      <c r="V177" s="4754"/>
      <c r="W177" s="4754"/>
      <c r="X177" s="4754"/>
      <c r="Y177" s="4719"/>
      <c r="Z177" s="4720"/>
      <c r="AA177" s="4720"/>
      <c r="AB177" s="4720"/>
      <c r="AC177" s="4720"/>
      <c r="AD177" s="4720"/>
      <c r="AE177" s="4720"/>
      <c r="AF177" s="4720"/>
      <c r="AG177" s="4719"/>
      <c r="AH177" s="4720"/>
      <c r="AI177" s="4754"/>
      <c r="AJ177" s="4754"/>
      <c r="AK177" s="4754"/>
      <c r="AL177" s="4754"/>
      <c r="AM177" s="4754"/>
      <c r="AN177" s="4754"/>
      <c r="AO177" s="4719"/>
      <c r="AP177" s="4720"/>
      <c r="AQ177" s="4754"/>
      <c r="AR177" s="4754"/>
      <c r="AS177" s="4754"/>
      <c r="AT177" s="4754"/>
      <c r="AU177" s="4754"/>
      <c r="AV177" s="4754"/>
      <c r="AW177" s="4720"/>
      <c r="AX177" s="4720"/>
      <c r="AY177" s="4720"/>
      <c r="AZ177" s="4720"/>
      <c r="BA177" s="4720"/>
      <c r="BB177" s="4720"/>
      <c r="BC177" s="4720"/>
      <c r="BD177" s="4720"/>
      <c r="BE177" s="4720"/>
      <c r="BF177" s="4720"/>
      <c r="BG177" s="4720"/>
      <c r="BH177" s="4720"/>
      <c r="BJ177" s="4754"/>
      <c r="BK177" s="4754"/>
      <c r="BL177" s="4754"/>
      <c r="BM177" s="4754"/>
      <c r="BN177" s="4754"/>
      <c r="BO177" s="4754"/>
      <c r="BP177" s="4720"/>
      <c r="BQ177" s="4720"/>
      <c r="BY177" s="4720"/>
      <c r="BZ177" s="4720"/>
      <c r="CB177" s="4714"/>
      <c r="CC177" s="4714"/>
      <c r="CD177" s="4714"/>
      <c r="CE177" s="4714"/>
      <c r="CF177" s="4714"/>
      <c r="CG177" s="4726"/>
    </row>
    <row r="178" spans="1:85" s="4705" customFormat="1">
      <c r="A178" s="4743"/>
      <c r="B178" s="4700"/>
      <c r="C178" s="4757"/>
      <c r="D178" s="4757"/>
      <c r="E178" s="4757"/>
      <c r="F178" s="4757"/>
      <c r="G178" s="4757"/>
      <c r="H178" s="4757"/>
      <c r="I178" s="4719"/>
      <c r="J178" s="4720"/>
      <c r="K178" s="4757"/>
      <c r="L178" s="4757"/>
      <c r="M178" s="4757"/>
      <c r="N178" s="4757"/>
      <c r="O178" s="4757"/>
      <c r="P178" s="4757"/>
      <c r="Q178" s="4719"/>
      <c r="R178" s="4720"/>
      <c r="S178" s="4757"/>
      <c r="T178" s="4757"/>
      <c r="U178" s="4757"/>
      <c r="V178" s="4757"/>
      <c r="W178" s="4757"/>
      <c r="X178" s="4757"/>
      <c r="Y178" s="4719"/>
      <c r="Z178" s="4720"/>
      <c r="AA178" s="4720"/>
      <c r="AB178" s="4720"/>
      <c r="AC178" s="4720"/>
      <c r="AD178" s="4720"/>
      <c r="AE178" s="4720"/>
      <c r="AF178" s="4720"/>
      <c r="AG178" s="4719"/>
      <c r="AH178" s="4720"/>
      <c r="AI178" s="4757"/>
      <c r="AJ178" s="4757"/>
      <c r="AK178" s="4757"/>
      <c r="AL178" s="4757"/>
      <c r="AM178" s="4757"/>
      <c r="AN178" s="4757"/>
      <c r="AO178" s="4719"/>
      <c r="AP178" s="4720"/>
      <c r="AQ178" s="4757"/>
      <c r="AR178" s="4757"/>
      <c r="AS178" s="4757"/>
      <c r="AT178" s="4757"/>
      <c r="AU178" s="4757"/>
      <c r="AV178" s="4757"/>
      <c r="AW178" s="4720"/>
      <c r="AX178" s="4720"/>
      <c r="AY178" s="4720"/>
      <c r="AZ178" s="4720"/>
      <c r="BA178" s="4720"/>
      <c r="BB178" s="4720"/>
      <c r="BC178" s="4720"/>
      <c r="BD178" s="4720"/>
      <c r="BE178" s="4720"/>
      <c r="BF178" s="4720"/>
      <c r="BG178" s="4720"/>
      <c r="BH178" s="4720"/>
      <c r="BJ178" s="4757"/>
      <c r="BK178" s="4757"/>
      <c r="BL178" s="4757"/>
      <c r="BM178" s="4757"/>
      <c r="BN178" s="4757"/>
      <c r="BO178" s="4757"/>
      <c r="BP178" s="4720"/>
      <c r="BQ178" s="4720"/>
      <c r="BY178" s="4720"/>
      <c r="BZ178" s="4720"/>
      <c r="CB178" s="4714"/>
      <c r="CC178" s="4714"/>
      <c r="CD178" s="4714"/>
      <c r="CE178" s="4714"/>
      <c r="CF178" s="4714"/>
      <c r="CG178" s="4726"/>
    </row>
    <row r="179" spans="1:85" s="4705" customFormat="1">
      <c r="A179" s="4743"/>
      <c r="B179" s="4743"/>
      <c r="C179" s="4720"/>
      <c r="D179" s="4720"/>
      <c r="E179" s="4720"/>
      <c r="F179" s="4720"/>
      <c r="G179" s="4720"/>
      <c r="H179" s="4720"/>
      <c r="I179" s="4719"/>
      <c r="J179" s="4720"/>
      <c r="K179" s="4720"/>
      <c r="L179" s="4720"/>
      <c r="M179" s="4720"/>
      <c r="N179" s="4720"/>
      <c r="O179" s="4720"/>
      <c r="P179" s="4720"/>
      <c r="Q179" s="4719"/>
      <c r="R179" s="4720"/>
      <c r="S179" s="4720"/>
      <c r="T179" s="4720"/>
      <c r="U179" s="4720"/>
      <c r="V179" s="4720"/>
      <c r="W179" s="4720"/>
      <c r="X179" s="4720"/>
      <c r="Y179" s="4719"/>
      <c r="Z179" s="4720"/>
      <c r="AA179" s="4720"/>
      <c r="AB179" s="4720"/>
      <c r="AC179" s="4720"/>
      <c r="AD179" s="4720"/>
      <c r="AE179" s="4720"/>
      <c r="AF179" s="4720"/>
      <c r="AG179" s="4719"/>
      <c r="AH179" s="4720"/>
      <c r="AI179" s="4720"/>
      <c r="AJ179" s="4720"/>
      <c r="AK179" s="4720"/>
      <c r="AL179" s="4720"/>
      <c r="AM179" s="4720"/>
      <c r="AN179" s="4720"/>
      <c r="AO179" s="4719"/>
      <c r="AP179" s="4720"/>
      <c r="AQ179" s="4720"/>
      <c r="AR179" s="4720"/>
      <c r="AS179" s="4720"/>
      <c r="AT179" s="4720"/>
      <c r="AU179" s="4720"/>
      <c r="AV179" s="4720"/>
      <c r="AW179" s="4720"/>
      <c r="AX179" s="4720"/>
      <c r="AY179" s="4720"/>
      <c r="AZ179" s="4720"/>
      <c r="BA179" s="4720"/>
      <c r="BB179" s="4720"/>
      <c r="BC179" s="4720"/>
      <c r="BD179" s="4720"/>
      <c r="BE179" s="4720"/>
      <c r="BF179" s="4720"/>
      <c r="BG179" s="4720"/>
      <c r="BH179" s="4720"/>
      <c r="BP179" s="4720"/>
      <c r="BQ179" s="4720"/>
      <c r="BY179" s="4720"/>
      <c r="BZ179" s="4720"/>
      <c r="CB179" s="4714"/>
      <c r="CC179" s="4714"/>
      <c r="CD179" s="4714"/>
      <c r="CE179" s="4714"/>
      <c r="CF179" s="4714"/>
      <c r="CG179" s="4726"/>
    </row>
    <row r="180" spans="1:85" s="4705" customFormat="1">
      <c r="A180" s="4743"/>
      <c r="B180" s="4743"/>
      <c r="C180" s="4720"/>
      <c r="D180" s="4720"/>
      <c r="E180" s="4720"/>
      <c r="F180" s="4720"/>
      <c r="G180" s="4720"/>
      <c r="H180" s="4720"/>
      <c r="I180" s="4719"/>
      <c r="J180" s="4720"/>
      <c r="K180" s="4720"/>
      <c r="L180" s="4720"/>
      <c r="M180" s="4720"/>
      <c r="N180" s="4720"/>
      <c r="O180" s="4720"/>
      <c r="P180" s="4720"/>
      <c r="Q180" s="4719"/>
      <c r="R180" s="4720"/>
      <c r="S180" s="4720"/>
      <c r="T180" s="4720"/>
      <c r="U180" s="4720"/>
      <c r="V180" s="4720"/>
      <c r="W180" s="4720"/>
      <c r="X180" s="4720"/>
      <c r="Y180" s="4719"/>
      <c r="Z180" s="4720"/>
      <c r="AA180" s="4720"/>
      <c r="AB180" s="4720"/>
      <c r="AC180" s="4720"/>
      <c r="AD180" s="4720"/>
      <c r="AE180" s="4720"/>
      <c r="AF180" s="4720"/>
      <c r="AG180" s="4719"/>
      <c r="AH180" s="4720"/>
      <c r="AI180" s="4720"/>
      <c r="AJ180" s="4720"/>
      <c r="AK180" s="4720"/>
      <c r="AL180" s="4720"/>
      <c r="AM180" s="4720"/>
      <c r="AN180" s="4720"/>
      <c r="AO180" s="4719"/>
      <c r="AP180" s="4720"/>
      <c r="AQ180" s="4720"/>
      <c r="AR180" s="4720"/>
      <c r="AS180" s="4720"/>
      <c r="AT180" s="4720"/>
      <c r="AU180" s="4720"/>
      <c r="AV180" s="4720"/>
      <c r="AW180" s="4720"/>
      <c r="AX180" s="4720"/>
      <c r="AY180" s="4720"/>
      <c r="AZ180" s="4720"/>
      <c r="BA180" s="4720"/>
      <c r="BB180" s="4720"/>
      <c r="BC180" s="4720"/>
      <c r="BD180" s="4720"/>
      <c r="BE180" s="4720"/>
      <c r="BF180" s="4720"/>
      <c r="BG180" s="4720"/>
      <c r="BH180" s="4720"/>
      <c r="BP180" s="4720"/>
      <c r="BQ180" s="4720"/>
      <c r="BY180" s="4720"/>
      <c r="BZ180" s="4720"/>
      <c r="CB180" s="4714"/>
      <c r="CC180" s="4714"/>
      <c r="CD180" s="4714"/>
      <c r="CE180" s="4714"/>
      <c r="CF180" s="4714"/>
      <c r="CG180" s="4726"/>
    </row>
    <row r="181" spans="1:85" s="4705" customFormat="1">
      <c r="A181" s="4743"/>
      <c r="B181" s="4743"/>
      <c r="C181" s="4720"/>
      <c r="D181" s="4720"/>
      <c r="E181" s="4720"/>
      <c r="F181" s="4720"/>
      <c r="G181" s="4720"/>
      <c r="H181" s="4720"/>
      <c r="I181" s="4719"/>
      <c r="J181" s="4720"/>
      <c r="K181" s="4720"/>
      <c r="L181" s="4720"/>
      <c r="M181" s="4720"/>
      <c r="N181" s="4720"/>
      <c r="O181" s="4720"/>
      <c r="P181" s="4720"/>
      <c r="Q181" s="4719"/>
      <c r="R181" s="4720"/>
      <c r="S181" s="4720"/>
      <c r="T181" s="4720"/>
      <c r="U181" s="4720"/>
      <c r="V181" s="4720"/>
      <c r="W181" s="4720"/>
      <c r="X181" s="4720"/>
      <c r="Y181" s="4719"/>
      <c r="Z181" s="4720"/>
      <c r="AA181" s="4720"/>
      <c r="AB181" s="4720"/>
      <c r="AC181" s="4720"/>
      <c r="AD181" s="4720"/>
      <c r="AE181" s="4720"/>
      <c r="AF181" s="4720"/>
      <c r="AG181" s="4719"/>
      <c r="AH181" s="4720"/>
      <c r="AI181" s="4720"/>
      <c r="AJ181" s="4720"/>
      <c r="AK181" s="4720"/>
      <c r="AL181" s="4720"/>
      <c r="AM181" s="4720"/>
      <c r="AN181" s="4720"/>
      <c r="AO181" s="4719"/>
      <c r="AP181" s="4720"/>
      <c r="AQ181" s="4720"/>
      <c r="AR181" s="4720"/>
      <c r="AS181" s="4720"/>
      <c r="AT181" s="4720"/>
      <c r="AU181" s="4720"/>
      <c r="AV181" s="4720"/>
      <c r="AW181" s="4720"/>
      <c r="AX181" s="4720"/>
      <c r="AY181" s="4720"/>
      <c r="AZ181" s="4720"/>
      <c r="BA181" s="4720"/>
      <c r="BB181" s="4720"/>
      <c r="BC181" s="4720"/>
      <c r="BD181" s="4720"/>
      <c r="BE181" s="4720"/>
      <c r="BF181" s="4720"/>
      <c r="BG181" s="4720"/>
      <c r="BH181" s="4720"/>
      <c r="BP181" s="4720"/>
      <c r="BQ181" s="4720"/>
      <c r="BY181" s="4720"/>
      <c r="BZ181" s="4720"/>
      <c r="CB181" s="4714"/>
      <c r="CC181" s="4714"/>
      <c r="CD181" s="4714"/>
      <c r="CE181" s="4714"/>
      <c r="CF181" s="4714"/>
      <c r="CG181" s="4726"/>
    </row>
    <row r="182" spans="1:85" s="4705" customFormat="1">
      <c r="A182" s="4743"/>
      <c r="B182" s="4743"/>
      <c r="C182" s="4720"/>
      <c r="D182" s="4720"/>
      <c r="E182" s="4720"/>
      <c r="F182" s="4720"/>
      <c r="G182" s="4720"/>
      <c r="H182" s="4720"/>
      <c r="I182" s="4719"/>
      <c r="J182" s="4720"/>
      <c r="K182" s="4720"/>
      <c r="L182" s="4720"/>
      <c r="M182" s="4720"/>
      <c r="N182" s="4720"/>
      <c r="O182" s="4720"/>
      <c r="P182" s="4720"/>
      <c r="Q182" s="4719"/>
      <c r="R182" s="4720"/>
      <c r="S182" s="4720"/>
      <c r="T182" s="4720"/>
      <c r="U182" s="4720"/>
      <c r="V182" s="4720"/>
      <c r="W182" s="4720"/>
      <c r="X182" s="4720"/>
      <c r="Y182" s="4719"/>
      <c r="Z182" s="4720"/>
      <c r="AA182" s="4720"/>
      <c r="AB182" s="4720"/>
      <c r="AC182" s="4720"/>
      <c r="AD182" s="4720"/>
      <c r="AE182" s="4720"/>
      <c r="AF182" s="4720"/>
      <c r="AG182" s="4719"/>
      <c r="AH182" s="4720"/>
      <c r="AI182" s="4720"/>
      <c r="AJ182" s="4720"/>
      <c r="AK182" s="4720"/>
      <c r="AL182" s="4720"/>
      <c r="AM182" s="4720"/>
      <c r="AN182" s="4720"/>
      <c r="AO182" s="4719"/>
      <c r="AP182" s="4720"/>
      <c r="AQ182" s="4720"/>
      <c r="AR182" s="4720"/>
      <c r="AS182" s="4720"/>
      <c r="AT182" s="4720"/>
      <c r="AU182" s="4720"/>
      <c r="AV182" s="4720"/>
      <c r="AW182" s="4720"/>
      <c r="AX182" s="4720"/>
      <c r="AY182" s="4720"/>
      <c r="AZ182" s="4720"/>
      <c r="BA182" s="4720"/>
      <c r="BB182" s="4720"/>
      <c r="BC182" s="4720"/>
      <c r="BD182" s="4720"/>
      <c r="BE182" s="4720"/>
      <c r="BF182" s="4720"/>
      <c r="BG182" s="4720"/>
      <c r="BH182" s="4720"/>
      <c r="BP182" s="4720"/>
      <c r="BQ182" s="4720"/>
      <c r="BY182" s="4720"/>
      <c r="BZ182" s="4720"/>
      <c r="CB182" s="4714"/>
      <c r="CC182" s="4714"/>
      <c r="CD182" s="4714"/>
      <c r="CE182" s="4714"/>
      <c r="CF182" s="4714"/>
      <c r="CG182" s="4726"/>
    </row>
    <row r="183" spans="1:85" s="4705" customFormat="1">
      <c r="A183" s="4743"/>
      <c r="B183" s="4743"/>
      <c r="C183" s="4720"/>
      <c r="D183" s="4720"/>
      <c r="E183" s="4720"/>
      <c r="F183" s="4720"/>
      <c r="G183" s="4720"/>
      <c r="H183" s="4720"/>
      <c r="I183" s="4719"/>
      <c r="J183" s="4720"/>
      <c r="K183" s="4720"/>
      <c r="L183" s="4720"/>
      <c r="M183" s="4720"/>
      <c r="N183" s="4720"/>
      <c r="O183" s="4720"/>
      <c r="P183" s="4720"/>
      <c r="Q183" s="4719"/>
      <c r="R183" s="4720"/>
      <c r="S183" s="4720"/>
      <c r="T183" s="4720"/>
      <c r="U183" s="4720"/>
      <c r="V183" s="4720"/>
      <c r="W183" s="4720"/>
      <c r="X183" s="4720"/>
      <c r="Y183" s="4719"/>
      <c r="Z183" s="4720"/>
      <c r="AA183" s="4720"/>
      <c r="AB183" s="4720"/>
      <c r="AC183" s="4720"/>
      <c r="AD183" s="4720"/>
      <c r="AE183" s="4720"/>
      <c r="AF183" s="4720"/>
      <c r="AG183" s="4719"/>
      <c r="AH183" s="4720"/>
      <c r="AI183" s="4720"/>
      <c r="AJ183" s="4720"/>
      <c r="AK183" s="4720"/>
      <c r="AL183" s="4720"/>
      <c r="AM183" s="4720"/>
      <c r="AN183" s="4720"/>
      <c r="AO183" s="4719"/>
      <c r="AP183" s="4720"/>
      <c r="AQ183" s="4720"/>
      <c r="AR183" s="4720"/>
      <c r="AS183" s="4720"/>
      <c r="AT183" s="4720"/>
      <c r="AU183" s="4720"/>
      <c r="AV183" s="4720"/>
      <c r="AW183" s="4720"/>
      <c r="AX183" s="4720"/>
      <c r="AY183" s="4720"/>
      <c r="AZ183" s="4720"/>
      <c r="BA183" s="4720"/>
      <c r="BB183" s="4720"/>
      <c r="BC183" s="4720"/>
      <c r="BD183" s="4720"/>
      <c r="BE183" s="4720"/>
      <c r="BF183" s="4720"/>
      <c r="BG183" s="4720"/>
      <c r="BH183" s="4720"/>
      <c r="BP183" s="4720"/>
      <c r="BQ183" s="4720"/>
      <c r="BY183" s="4720"/>
      <c r="BZ183" s="4720"/>
      <c r="CB183" s="4714"/>
      <c r="CC183" s="4714"/>
      <c r="CD183" s="4714"/>
      <c r="CE183" s="4714"/>
      <c r="CF183" s="4714"/>
      <c r="CG183" s="4726"/>
    </row>
    <row r="184" spans="1:85" s="4705" customFormat="1">
      <c r="A184" s="4743"/>
      <c r="B184" s="4743"/>
      <c r="C184" s="4720"/>
      <c r="D184" s="4720"/>
      <c r="E184" s="4720"/>
      <c r="F184" s="4720"/>
      <c r="G184" s="4720"/>
      <c r="H184" s="4720"/>
      <c r="I184" s="4719"/>
      <c r="J184" s="4720"/>
      <c r="K184" s="4720"/>
      <c r="L184" s="4720"/>
      <c r="M184" s="4720"/>
      <c r="N184" s="4720"/>
      <c r="O184" s="4720"/>
      <c r="P184" s="4720"/>
      <c r="Q184" s="4719"/>
      <c r="R184" s="4720"/>
      <c r="S184" s="4720"/>
      <c r="T184" s="4720"/>
      <c r="U184" s="4720"/>
      <c r="V184" s="4720"/>
      <c r="W184" s="4720"/>
      <c r="X184" s="4720"/>
      <c r="Y184" s="4719"/>
      <c r="Z184" s="4720"/>
      <c r="AA184" s="4720"/>
      <c r="AB184" s="4720"/>
      <c r="AC184" s="4720"/>
      <c r="AD184" s="4720"/>
      <c r="AE184" s="4720"/>
      <c r="AF184" s="4720"/>
      <c r="AG184" s="4719"/>
      <c r="AH184" s="4720"/>
      <c r="AI184" s="4720"/>
      <c r="AJ184" s="4720"/>
      <c r="AK184" s="4720"/>
      <c r="AL184" s="4720"/>
      <c r="AM184" s="4720"/>
      <c r="AN184" s="4720"/>
      <c r="AO184" s="4719"/>
      <c r="AP184" s="4720"/>
      <c r="AQ184" s="4720"/>
      <c r="AR184" s="4720"/>
      <c r="AS184" s="4720"/>
      <c r="AT184" s="4720"/>
      <c r="AU184" s="4720"/>
      <c r="AV184" s="4720"/>
      <c r="AW184" s="4720"/>
      <c r="AX184" s="4720"/>
      <c r="AY184" s="4720"/>
      <c r="AZ184" s="4720"/>
      <c r="BA184" s="4720"/>
      <c r="BB184" s="4720"/>
      <c r="BC184" s="4720"/>
      <c r="BD184" s="4720"/>
      <c r="BE184" s="4720"/>
      <c r="BF184" s="4720"/>
      <c r="BG184" s="4720"/>
      <c r="BH184" s="4720"/>
      <c r="BP184" s="4720"/>
      <c r="BQ184" s="4720"/>
      <c r="BY184" s="4720"/>
      <c r="BZ184" s="4720"/>
      <c r="CB184" s="4714"/>
      <c r="CC184" s="4714"/>
      <c r="CD184" s="4714"/>
      <c r="CE184" s="4714"/>
      <c r="CF184" s="4714"/>
      <c r="CG184" s="4726"/>
    </row>
    <row r="185" spans="1:85" s="4705" customFormat="1">
      <c r="A185" s="4743"/>
      <c r="B185" s="4743"/>
      <c r="C185" s="4720"/>
      <c r="D185" s="4720"/>
      <c r="E185" s="4720"/>
      <c r="F185" s="4720"/>
      <c r="G185" s="4720"/>
      <c r="H185" s="4720"/>
      <c r="I185" s="4719"/>
      <c r="J185" s="4720"/>
      <c r="K185" s="4720"/>
      <c r="L185" s="4720"/>
      <c r="M185" s="4720"/>
      <c r="N185" s="4720"/>
      <c r="O185" s="4720"/>
      <c r="P185" s="4720"/>
      <c r="Q185" s="4719"/>
      <c r="R185" s="4720"/>
      <c r="S185" s="4720"/>
      <c r="T185" s="4720"/>
      <c r="U185" s="4720"/>
      <c r="V185" s="4720"/>
      <c r="W185" s="4720"/>
      <c r="X185" s="4720"/>
      <c r="Y185" s="4719"/>
      <c r="Z185" s="4720"/>
      <c r="AA185" s="4720"/>
      <c r="AB185" s="4720"/>
      <c r="AC185" s="4720"/>
      <c r="AD185" s="4720"/>
      <c r="AE185" s="4720"/>
      <c r="AF185" s="4720"/>
      <c r="AG185" s="4719"/>
      <c r="AH185" s="4720"/>
      <c r="AI185" s="4720"/>
      <c r="AJ185" s="4720"/>
      <c r="AK185" s="4720"/>
      <c r="AL185" s="4720"/>
      <c r="AM185" s="4720"/>
      <c r="AN185" s="4720"/>
      <c r="AO185" s="4719"/>
      <c r="AP185" s="4720"/>
      <c r="AQ185" s="4720"/>
      <c r="AR185" s="4720"/>
      <c r="AS185" s="4720"/>
      <c r="AT185" s="4720"/>
      <c r="AU185" s="4720"/>
      <c r="AV185" s="4720"/>
      <c r="AW185" s="4720"/>
      <c r="AX185" s="4720"/>
      <c r="AY185" s="4720"/>
      <c r="AZ185" s="4720"/>
      <c r="BA185" s="4720"/>
      <c r="BB185" s="4720"/>
      <c r="BC185" s="4720"/>
      <c r="BD185" s="4720"/>
      <c r="BE185" s="4720"/>
      <c r="BF185" s="4720"/>
      <c r="BG185" s="4720"/>
      <c r="BH185" s="4720"/>
      <c r="BP185" s="4720"/>
      <c r="BQ185" s="4720"/>
      <c r="BY185" s="4720"/>
      <c r="BZ185" s="4720"/>
      <c r="CB185" s="4714"/>
      <c r="CC185" s="4714"/>
      <c r="CD185" s="4714"/>
      <c r="CE185" s="4714"/>
      <c r="CF185" s="4714"/>
      <c r="CG185" s="4726"/>
    </row>
    <row r="186" spans="1:85" s="4705" customFormat="1">
      <c r="A186" s="4743"/>
      <c r="B186" s="4743"/>
      <c r="C186" s="4720"/>
      <c r="D186" s="4720"/>
      <c r="E186" s="4720"/>
      <c r="F186" s="4720"/>
      <c r="G186" s="4720"/>
      <c r="H186" s="4720"/>
      <c r="I186" s="4719"/>
      <c r="J186" s="4720"/>
      <c r="K186" s="4720"/>
      <c r="L186" s="4720"/>
      <c r="M186" s="4720"/>
      <c r="N186" s="4720"/>
      <c r="O186" s="4720"/>
      <c r="P186" s="4720"/>
      <c r="Q186" s="4719"/>
      <c r="R186" s="4720"/>
      <c r="S186" s="4720"/>
      <c r="T186" s="4720"/>
      <c r="U186" s="4720"/>
      <c r="V186" s="4720"/>
      <c r="W186" s="4720"/>
      <c r="X186" s="4720"/>
      <c r="Y186" s="4719"/>
      <c r="Z186" s="4720"/>
      <c r="AA186" s="4720"/>
      <c r="AB186" s="4720"/>
      <c r="AC186" s="4720"/>
      <c r="AD186" s="4720"/>
      <c r="AE186" s="4720"/>
      <c r="AF186" s="4720"/>
      <c r="AG186" s="4719"/>
      <c r="AH186" s="4720"/>
      <c r="AI186" s="4720"/>
      <c r="AJ186" s="4720"/>
      <c r="AK186" s="4720"/>
      <c r="AL186" s="4720"/>
      <c r="AM186" s="4720"/>
      <c r="AN186" s="4720"/>
      <c r="AO186" s="4719"/>
      <c r="AP186" s="4720"/>
      <c r="AQ186" s="4720"/>
      <c r="AR186" s="4720"/>
      <c r="AS186" s="4720"/>
      <c r="AT186" s="4720"/>
      <c r="AU186" s="4720"/>
      <c r="AV186" s="4720"/>
      <c r="AW186" s="4720"/>
      <c r="AX186" s="4720"/>
      <c r="AY186" s="4720"/>
      <c r="AZ186" s="4720"/>
      <c r="BA186" s="4720"/>
      <c r="BB186" s="4720"/>
      <c r="BC186" s="4720"/>
      <c r="BD186" s="4720"/>
      <c r="BE186" s="4720"/>
      <c r="BF186" s="4720"/>
      <c r="BG186" s="4720"/>
      <c r="BH186" s="4720"/>
      <c r="BP186" s="4720"/>
      <c r="BQ186" s="4720"/>
      <c r="BY186" s="4720"/>
      <c r="BZ186" s="4720"/>
      <c r="CB186" s="4714"/>
      <c r="CC186" s="4714"/>
      <c r="CD186" s="4714"/>
      <c r="CE186" s="4714"/>
      <c r="CF186" s="4714"/>
      <c r="CG186" s="4726"/>
    </row>
    <row r="187" spans="1:85" s="4705" customFormat="1">
      <c r="A187" s="4743"/>
      <c r="B187" s="4743"/>
      <c r="C187" s="4720"/>
      <c r="D187" s="4720"/>
      <c r="E187" s="4720"/>
      <c r="F187" s="4720"/>
      <c r="G187" s="4720"/>
      <c r="H187" s="4720"/>
      <c r="I187" s="4719"/>
      <c r="J187" s="4720"/>
      <c r="K187" s="4720"/>
      <c r="L187" s="4720"/>
      <c r="M187" s="4720"/>
      <c r="N187" s="4720"/>
      <c r="O187" s="4720"/>
      <c r="P187" s="4720"/>
      <c r="Q187" s="4719"/>
      <c r="R187" s="4720"/>
      <c r="S187" s="4720"/>
      <c r="T187" s="4720"/>
      <c r="U187" s="4720"/>
      <c r="V187" s="4720"/>
      <c r="W187" s="4720"/>
      <c r="X187" s="4720"/>
      <c r="Y187" s="4719"/>
      <c r="Z187" s="4720"/>
      <c r="AA187" s="4720"/>
      <c r="AB187" s="4720"/>
      <c r="AC187" s="4720"/>
      <c r="AD187" s="4720"/>
      <c r="AE187" s="4720"/>
      <c r="AF187" s="4720"/>
      <c r="AG187" s="4719"/>
      <c r="AH187" s="4720"/>
      <c r="AI187" s="4720"/>
      <c r="AJ187" s="4720"/>
      <c r="AK187" s="4720"/>
      <c r="AL187" s="4720"/>
      <c r="AM187" s="4720"/>
      <c r="AN187" s="4720"/>
      <c r="AO187" s="4719"/>
      <c r="AP187" s="4720"/>
      <c r="AQ187" s="4720"/>
      <c r="AR187" s="4720"/>
      <c r="AS187" s="4720"/>
      <c r="AT187" s="4720"/>
      <c r="AU187" s="4720"/>
      <c r="AV187" s="4720"/>
      <c r="AW187" s="4720"/>
      <c r="AX187" s="4720"/>
      <c r="AY187" s="4720"/>
      <c r="AZ187" s="4720"/>
      <c r="BA187" s="4720"/>
      <c r="BB187" s="4720"/>
      <c r="BC187" s="4720"/>
      <c r="BD187" s="4720"/>
      <c r="BE187" s="4720"/>
      <c r="BF187" s="4720"/>
      <c r="BG187" s="4720"/>
      <c r="BH187" s="4720"/>
      <c r="BP187" s="4720"/>
      <c r="BQ187" s="4720"/>
      <c r="BY187" s="4720"/>
      <c r="BZ187" s="4720"/>
      <c r="CB187" s="4714"/>
      <c r="CC187" s="4714"/>
      <c r="CD187" s="4714"/>
      <c r="CE187" s="4714"/>
      <c r="CF187" s="4714"/>
      <c r="CG187" s="4726"/>
    </row>
    <row r="188" spans="1:85" s="4705" customFormat="1">
      <c r="A188" s="4743"/>
      <c r="B188" s="4743"/>
      <c r="C188" s="4720"/>
      <c r="D188" s="4720"/>
      <c r="E188" s="4720"/>
      <c r="F188" s="4720"/>
      <c r="G188" s="4720"/>
      <c r="H188" s="4720"/>
      <c r="I188" s="4719"/>
      <c r="J188" s="4720"/>
      <c r="K188" s="4720"/>
      <c r="L188" s="4720"/>
      <c r="M188" s="4720"/>
      <c r="N188" s="4720"/>
      <c r="O188" s="4720"/>
      <c r="P188" s="4720"/>
      <c r="Q188" s="4719"/>
      <c r="R188" s="4720"/>
      <c r="S188" s="4720"/>
      <c r="T188" s="4720"/>
      <c r="U188" s="4720"/>
      <c r="V188" s="4720"/>
      <c r="W188" s="4720"/>
      <c r="X188" s="4720"/>
      <c r="Y188" s="4719"/>
      <c r="Z188" s="4720"/>
      <c r="AA188" s="4720"/>
      <c r="AB188" s="4720"/>
      <c r="AC188" s="4720"/>
      <c r="AD188" s="4720"/>
      <c r="AE188" s="4720"/>
      <c r="AF188" s="4720"/>
      <c r="AG188" s="4719"/>
      <c r="AH188" s="4720"/>
      <c r="AI188" s="4720"/>
      <c r="AJ188" s="4720"/>
      <c r="AK188" s="4720"/>
      <c r="AL188" s="4720"/>
      <c r="AM188" s="4720"/>
      <c r="AN188" s="4720"/>
      <c r="AO188" s="4719"/>
      <c r="AP188" s="4720"/>
      <c r="AQ188" s="4720"/>
      <c r="AR188" s="4720"/>
      <c r="AS188" s="4720"/>
      <c r="AT188" s="4720"/>
      <c r="AU188" s="4720"/>
      <c r="AV188" s="4720"/>
      <c r="AW188" s="4720"/>
      <c r="AX188" s="4720"/>
      <c r="AY188" s="4720"/>
      <c r="AZ188" s="4720"/>
      <c r="BA188" s="4720"/>
      <c r="BB188" s="4720"/>
      <c r="BC188" s="4720"/>
      <c r="BD188" s="4720"/>
      <c r="BE188" s="4720"/>
      <c r="BF188" s="4720"/>
      <c r="BG188" s="4720"/>
      <c r="BH188" s="4720"/>
      <c r="BP188" s="4720"/>
      <c r="BQ188" s="4720"/>
      <c r="BY188" s="4720"/>
      <c r="BZ188" s="4720"/>
      <c r="CB188" s="4714"/>
      <c r="CC188" s="4714"/>
      <c r="CD188" s="4714"/>
      <c r="CE188" s="4714"/>
      <c r="CF188" s="4714"/>
      <c r="CG188" s="4726"/>
    </row>
    <row r="189" spans="1:85" s="4705" customFormat="1">
      <c r="A189" s="4743"/>
      <c r="B189" s="4743"/>
      <c r="C189" s="4720"/>
      <c r="D189" s="4720"/>
      <c r="E189" s="4720"/>
      <c r="F189" s="4720"/>
      <c r="G189" s="4720"/>
      <c r="H189" s="4720"/>
      <c r="I189" s="4719"/>
      <c r="J189" s="4720"/>
      <c r="K189" s="4720"/>
      <c r="L189" s="4720"/>
      <c r="M189" s="4720"/>
      <c r="N189" s="4720"/>
      <c r="O189" s="4720"/>
      <c r="P189" s="4720"/>
      <c r="Q189" s="4719"/>
      <c r="R189" s="4720"/>
      <c r="S189" s="4720"/>
      <c r="T189" s="4720"/>
      <c r="U189" s="4720"/>
      <c r="V189" s="4720"/>
      <c r="W189" s="4720"/>
      <c r="X189" s="4720"/>
      <c r="Y189" s="4719"/>
      <c r="Z189" s="4720"/>
      <c r="AA189" s="4720"/>
      <c r="AB189" s="4720"/>
      <c r="AC189" s="4720"/>
      <c r="AD189" s="4720"/>
      <c r="AE189" s="4720"/>
      <c r="AF189" s="4720"/>
      <c r="AG189" s="4719"/>
      <c r="AH189" s="4720"/>
      <c r="AI189" s="4720"/>
      <c r="AJ189" s="4720"/>
      <c r="AK189" s="4720"/>
      <c r="AL189" s="4720"/>
      <c r="AM189" s="4720"/>
      <c r="AN189" s="4720"/>
      <c r="AO189" s="4719"/>
      <c r="AP189" s="4720"/>
      <c r="AQ189" s="4720"/>
      <c r="AR189" s="4720"/>
      <c r="AS189" s="4720"/>
      <c r="AT189" s="4720"/>
      <c r="AU189" s="4720"/>
      <c r="AV189" s="4720"/>
      <c r="AW189" s="4720"/>
      <c r="AX189" s="4720"/>
      <c r="AY189" s="4720"/>
      <c r="AZ189" s="4720"/>
      <c r="BA189" s="4720"/>
      <c r="BB189" s="4720"/>
      <c r="BC189" s="4720"/>
      <c r="BD189" s="4720"/>
      <c r="BE189" s="4720"/>
      <c r="BF189" s="4720"/>
      <c r="BG189" s="4720"/>
      <c r="BH189" s="4720"/>
      <c r="BP189" s="4720"/>
      <c r="BQ189" s="4720"/>
      <c r="BY189" s="4720"/>
      <c r="BZ189" s="4720"/>
      <c r="CB189" s="4714"/>
      <c r="CC189" s="4714"/>
      <c r="CD189" s="4714"/>
      <c r="CE189" s="4714"/>
      <c r="CF189" s="4714"/>
      <c r="CG189" s="4726"/>
    </row>
    <row r="190" spans="1:85" s="4705" customFormat="1">
      <c r="A190" s="4743"/>
      <c r="B190" s="4743"/>
      <c r="C190" s="4720"/>
      <c r="D190" s="4720"/>
      <c r="E190" s="4720"/>
      <c r="F190" s="4720"/>
      <c r="G190" s="4720"/>
      <c r="H190" s="4720"/>
      <c r="I190" s="4719"/>
      <c r="J190" s="4720"/>
      <c r="K190" s="4720"/>
      <c r="L190" s="4720"/>
      <c r="M190" s="4720"/>
      <c r="N190" s="4720"/>
      <c r="O190" s="4720"/>
      <c r="P190" s="4720"/>
      <c r="Q190" s="4719"/>
      <c r="R190" s="4720"/>
      <c r="S190" s="4720"/>
      <c r="T190" s="4720"/>
      <c r="U190" s="4720"/>
      <c r="V190" s="4720"/>
      <c r="W190" s="4720"/>
      <c r="X190" s="4720"/>
      <c r="Y190" s="4719"/>
      <c r="Z190" s="4720"/>
      <c r="AA190" s="4720"/>
      <c r="AB190" s="4720"/>
      <c r="AC190" s="4720"/>
      <c r="AD190" s="4720"/>
      <c r="AE190" s="4720"/>
      <c r="AF190" s="4720"/>
      <c r="AG190" s="4719"/>
      <c r="AH190" s="4720"/>
      <c r="AI190" s="4720"/>
      <c r="AJ190" s="4720"/>
      <c r="AK190" s="4720"/>
      <c r="AL190" s="4720"/>
      <c r="AM190" s="4720"/>
      <c r="AN190" s="4720"/>
      <c r="AO190" s="4719"/>
      <c r="AP190" s="4720"/>
      <c r="AQ190" s="4720"/>
      <c r="AR190" s="4720"/>
      <c r="AS190" s="4720"/>
      <c r="AT190" s="4720"/>
      <c r="AU190" s="4720"/>
      <c r="AV190" s="4720"/>
      <c r="AW190" s="4720"/>
      <c r="AX190" s="4720"/>
      <c r="AY190" s="4720"/>
      <c r="AZ190" s="4720"/>
      <c r="BA190" s="4720"/>
      <c r="BB190" s="4720"/>
      <c r="BC190" s="4720"/>
      <c r="BD190" s="4720"/>
      <c r="BE190" s="4720"/>
      <c r="BF190" s="4720"/>
      <c r="BG190" s="4720"/>
      <c r="BH190" s="4720"/>
      <c r="BP190" s="4720"/>
      <c r="BQ190" s="4720"/>
      <c r="BY190" s="4720"/>
      <c r="BZ190" s="4720"/>
      <c r="CB190" s="4714"/>
      <c r="CC190" s="4714"/>
      <c r="CD190" s="4714"/>
      <c r="CE190" s="4714"/>
      <c r="CF190" s="4714"/>
      <c r="CG190" s="4726"/>
    </row>
    <row r="191" spans="1:85" s="4705" customFormat="1">
      <c r="A191" s="4743"/>
      <c r="B191" s="4743"/>
      <c r="C191" s="4720"/>
      <c r="D191" s="4720"/>
      <c r="E191" s="4720"/>
      <c r="F191" s="4720"/>
      <c r="G191" s="4720"/>
      <c r="H191" s="4720"/>
      <c r="I191" s="4719"/>
      <c r="J191" s="4720"/>
      <c r="K191" s="4720"/>
      <c r="L191" s="4720"/>
      <c r="M191" s="4720"/>
      <c r="N191" s="4720"/>
      <c r="O191" s="4720"/>
      <c r="P191" s="4720"/>
      <c r="Q191" s="4719"/>
      <c r="R191" s="4720"/>
      <c r="S191" s="4720"/>
      <c r="T191" s="4720"/>
      <c r="U191" s="4720"/>
      <c r="V191" s="4720"/>
      <c r="W191" s="4720"/>
      <c r="X191" s="4720"/>
      <c r="Y191" s="4719"/>
      <c r="Z191" s="4720"/>
      <c r="AA191" s="4720"/>
      <c r="AB191" s="4720"/>
      <c r="AC191" s="4720"/>
      <c r="AD191" s="4720"/>
      <c r="AE191" s="4720"/>
      <c r="AF191" s="4720"/>
      <c r="AG191" s="4719"/>
      <c r="AH191" s="4720"/>
      <c r="AI191" s="4720"/>
      <c r="AJ191" s="4720"/>
      <c r="AK191" s="4720"/>
      <c r="AL191" s="4720"/>
      <c r="AM191" s="4720"/>
      <c r="AN191" s="4720"/>
      <c r="AO191" s="4719"/>
      <c r="AP191" s="4720"/>
      <c r="AQ191" s="4720"/>
      <c r="AR191" s="4720"/>
      <c r="AS191" s="4720"/>
      <c r="AT191" s="4720"/>
      <c r="AU191" s="4720"/>
      <c r="AV191" s="4720"/>
      <c r="AW191" s="4720"/>
      <c r="AX191" s="4720"/>
      <c r="AY191" s="4720"/>
      <c r="AZ191" s="4720"/>
      <c r="BA191" s="4720"/>
      <c r="BB191" s="4720"/>
      <c r="BC191" s="4720"/>
      <c r="BD191" s="4720"/>
      <c r="BE191" s="4720"/>
      <c r="BF191" s="4720"/>
      <c r="BG191" s="4720"/>
      <c r="BH191" s="4720"/>
      <c r="BP191" s="4720"/>
      <c r="BQ191" s="4720"/>
      <c r="BY191" s="4720"/>
      <c r="BZ191" s="4720"/>
      <c r="CB191" s="4714"/>
      <c r="CC191" s="4714"/>
      <c r="CD191" s="4714"/>
      <c r="CE191" s="4714"/>
      <c r="CF191" s="4714"/>
      <c r="CG191" s="4726"/>
    </row>
    <row r="192" spans="1:85" s="4705" customFormat="1">
      <c r="A192" s="4743"/>
      <c r="B192" s="4743"/>
      <c r="C192" s="4720"/>
      <c r="D192" s="4720"/>
      <c r="E192" s="4720"/>
      <c r="F192" s="4720"/>
      <c r="G192" s="4720"/>
      <c r="H192" s="4720"/>
      <c r="I192" s="4719"/>
      <c r="J192" s="4720"/>
      <c r="K192" s="4720"/>
      <c r="L192" s="4720"/>
      <c r="M192" s="4720"/>
      <c r="N192" s="4720"/>
      <c r="O192" s="4720"/>
      <c r="P192" s="4720"/>
      <c r="Q192" s="4719"/>
      <c r="R192" s="4720"/>
      <c r="S192" s="4720"/>
      <c r="T192" s="4720"/>
      <c r="U192" s="4720"/>
      <c r="V192" s="4720"/>
      <c r="W192" s="4720"/>
      <c r="X192" s="4720"/>
      <c r="Y192" s="4719"/>
      <c r="Z192" s="4720"/>
      <c r="AA192" s="4720"/>
      <c r="AB192" s="4720"/>
      <c r="AC192" s="4720"/>
      <c r="AD192" s="4720"/>
      <c r="AE192" s="4720"/>
      <c r="AF192" s="4720"/>
      <c r="AG192" s="4719"/>
      <c r="AH192" s="4720"/>
      <c r="AI192" s="4720"/>
      <c r="AJ192" s="4720"/>
      <c r="AK192" s="4720"/>
      <c r="AL192" s="4720"/>
      <c r="AM192" s="4720"/>
      <c r="AN192" s="4720"/>
      <c r="AO192" s="4719"/>
      <c r="AP192" s="4720"/>
      <c r="AQ192" s="4720"/>
      <c r="AR192" s="4720"/>
      <c r="AS192" s="4720"/>
      <c r="AT192" s="4720"/>
      <c r="AU192" s="4720"/>
      <c r="AV192" s="4720"/>
      <c r="AW192" s="4720"/>
      <c r="AX192" s="4720"/>
      <c r="AY192" s="4720"/>
      <c r="AZ192" s="4720"/>
      <c r="BA192" s="4720"/>
      <c r="BB192" s="4720"/>
      <c r="BC192" s="4720"/>
      <c r="BD192" s="4720"/>
      <c r="BE192" s="4720"/>
      <c r="BF192" s="4720"/>
      <c r="BG192" s="4720"/>
      <c r="BH192" s="4720"/>
      <c r="BP192" s="4720"/>
      <c r="BQ192" s="4720"/>
      <c r="BY192" s="4720"/>
      <c r="BZ192" s="4720"/>
      <c r="CB192" s="4714"/>
      <c r="CC192" s="4714"/>
      <c r="CD192" s="4714"/>
      <c r="CE192" s="4714"/>
      <c r="CF192" s="4714"/>
      <c r="CG192" s="4726"/>
    </row>
    <row r="193" spans="1:85" s="4705" customFormat="1">
      <c r="A193" s="4743"/>
      <c r="B193" s="4743"/>
      <c r="C193" s="4720"/>
      <c r="D193" s="4720"/>
      <c r="E193" s="4720"/>
      <c r="F193" s="4720"/>
      <c r="G193" s="4720"/>
      <c r="H193" s="4720"/>
      <c r="I193" s="4719"/>
      <c r="J193" s="4720"/>
      <c r="K193" s="4720"/>
      <c r="L193" s="4720"/>
      <c r="M193" s="4720"/>
      <c r="N193" s="4720"/>
      <c r="O193" s="4720"/>
      <c r="P193" s="4720"/>
      <c r="Q193" s="4719"/>
      <c r="R193" s="4720"/>
      <c r="S193" s="4720"/>
      <c r="T193" s="4720"/>
      <c r="U193" s="4720"/>
      <c r="V193" s="4720"/>
      <c r="W193" s="4720"/>
      <c r="X193" s="4720"/>
      <c r="Y193" s="4719"/>
      <c r="Z193" s="4720"/>
      <c r="AA193" s="4720"/>
      <c r="AB193" s="4720"/>
      <c r="AC193" s="4720"/>
      <c r="AD193" s="4720"/>
      <c r="AE193" s="4720"/>
      <c r="AF193" s="4720"/>
      <c r="AG193" s="4719"/>
      <c r="AH193" s="4720"/>
      <c r="AI193" s="4720"/>
      <c r="AJ193" s="4720"/>
      <c r="AK193" s="4720"/>
      <c r="AL193" s="4720"/>
      <c r="AM193" s="4720"/>
      <c r="AN193" s="4720"/>
      <c r="AO193" s="4719"/>
      <c r="AP193" s="4720"/>
      <c r="AQ193" s="4720"/>
      <c r="AR193" s="4720"/>
      <c r="AS193" s="4720"/>
      <c r="AT193" s="4720"/>
      <c r="AU193" s="4720"/>
      <c r="AV193" s="4720"/>
      <c r="AW193" s="4720"/>
      <c r="AX193" s="4720"/>
      <c r="AY193" s="4720"/>
      <c r="AZ193" s="4720"/>
      <c r="BA193" s="4720"/>
      <c r="BB193" s="4720"/>
      <c r="BC193" s="4720"/>
      <c r="BD193" s="4720"/>
      <c r="BE193" s="4720"/>
      <c r="BF193" s="4720"/>
      <c r="BG193" s="4720"/>
      <c r="BH193" s="4720"/>
      <c r="BP193" s="4720"/>
      <c r="BQ193" s="4720"/>
      <c r="BY193" s="4720"/>
      <c r="BZ193" s="4720"/>
      <c r="CB193" s="4714"/>
      <c r="CC193" s="4714"/>
      <c r="CD193" s="4714"/>
      <c r="CE193" s="4714"/>
      <c r="CF193" s="4714"/>
      <c r="CG193" s="4726"/>
    </row>
    <row r="194" spans="1:85" s="4705" customFormat="1">
      <c r="A194" s="4743"/>
      <c r="B194" s="4743"/>
      <c r="C194" s="4720"/>
      <c r="D194" s="4720"/>
      <c r="E194" s="4720"/>
      <c r="F194" s="4720"/>
      <c r="G194" s="4720"/>
      <c r="H194" s="4720"/>
      <c r="I194" s="4719"/>
      <c r="J194" s="4720"/>
      <c r="K194" s="4720"/>
      <c r="L194" s="4720"/>
      <c r="M194" s="4720"/>
      <c r="N194" s="4720"/>
      <c r="O194" s="4720"/>
      <c r="P194" s="4720"/>
      <c r="Q194" s="4719"/>
      <c r="R194" s="4720"/>
      <c r="S194" s="4720"/>
      <c r="T194" s="4720"/>
      <c r="U194" s="4720"/>
      <c r="V194" s="4720"/>
      <c r="W194" s="4720"/>
      <c r="X194" s="4720"/>
      <c r="Y194" s="4719"/>
      <c r="Z194" s="4720"/>
      <c r="AA194" s="4720"/>
      <c r="AB194" s="4720"/>
      <c r="AC194" s="4720"/>
      <c r="AD194" s="4720"/>
      <c r="AE194" s="4720"/>
      <c r="AF194" s="4720"/>
      <c r="AG194" s="4719"/>
      <c r="AH194" s="4720"/>
      <c r="AI194" s="4720"/>
      <c r="AJ194" s="4720"/>
      <c r="AK194" s="4720"/>
      <c r="AL194" s="4720"/>
      <c r="AM194" s="4720"/>
      <c r="AN194" s="4720"/>
      <c r="AO194" s="4719"/>
      <c r="AP194" s="4720"/>
      <c r="AQ194" s="4720"/>
      <c r="AR194" s="4720"/>
      <c r="AS194" s="4720"/>
      <c r="AT194" s="4720"/>
      <c r="AU194" s="4720"/>
      <c r="AV194" s="4720"/>
      <c r="AW194" s="4720"/>
      <c r="AX194" s="4720"/>
      <c r="AY194" s="4720"/>
      <c r="AZ194" s="4720"/>
      <c r="BA194" s="4720"/>
      <c r="BB194" s="4720"/>
      <c r="BC194" s="4720"/>
      <c r="BD194" s="4720"/>
      <c r="BE194" s="4720"/>
      <c r="BF194" s="4720"/>
      <c r="BG194" s="4720"/>
      <c r="BH194" s="4720"/>
      <c r="BP194" s="4720"/>
      <c r="BQ194" s="4720"/>
      <c r="BY194" s="4720"/>
      <c r="BZ194" s="4720"/>
      <c r="CB194" s="4714"/>
      <c r="CC194" s="4714"/>
      <c r="CD194" s="4714"/>
      <c r="CE194" s="4714"/>
      <c r="CF194" s="4714"/>
      <c r="CG194" s="4726"/>
    </row>
    <row r="195" spans="1:85" s="4705" customFormat="1">
      <c r="A195" s="4743"/>
      <c r="B195" s="4743"/>
      <c r="C195" s="4720"/>
      <c r="D195" s="4720"/>
      <c r="E195" s="4720"/>
      <c r="F195" s="4720"/>
      <c r="G195" s="4720"/>
      <c r="H195" s="4720"/>
      <c r="I195" s="4719"/>
      <c r="J195" s="4720"/>
      <c r="K195" s="4720"/>
      <c r="L195" s="4720"/>
      <c r="M195" s="4720"/>
      <c r="N195" s="4720"/>
      <c r="O195" s="4720"/>
      <c r="P195" s="4720"/>
      <c r="Q195" s="4719"/>
      <c r="R195" s="4720"/>
      <c r="S195" s="4720"/>
      <c r="T195" s="4720"/>
      <c r="U195" s="4720"/>
      <c r="V195" s="4720"/>
      <c r="W195" s="4720"/>
      <c r="X195" s="4720"/>
      <c r="Y195" s="4719"/>
      <c r="Z195" s="4720"/>
      <c r="AA195" s="4720"/>
      <c r="AB195" s="4720"/>
      <c r="AC195" s="4720"/>
      <c r="AD195" s="4720"/>
      <c r="AE195" s="4720"/>
      <c r="AF195" s="4720"/>
      <c r="AG195" s="4719"/>
      <c r="AH195" s="4720"/>
      <c r="AI195" s="4720"/>
      <c r="AJ195" s="4720"/>
      <c r="AK195" s="4720"/>
      <c r="AL195" s="4720"/>
      <c r="AM195" s="4720"/>
      <c r="AN195" s="4720"/>
      <c r="AO195" s="4719"/>
      <c r="AP195" s="4720"/>
      <c r="AQ195" s="4720"/>
      <c r="AR195" s="4720"/>
      <c r="AS195" s="4720"/>
      <c r="AT195" s="4720"/>
      <c r="AU195" s="4720"/>
      <c r="AV195" s="4720"/>
      <c r="AW195" s="4720"/>
      <c r="AX195" s="4720"/>
      <c r="AY195" s="4720"/>
      <c r="AZ195" s="4720"/>
      <c r="BA195" s="4720"/>
      <c r="BB195" s="4720"/>
      <c r="BC195" s="4720"/>
      <c r="BD195" s="4720"/>
      <c r="BE195" s="4720"/>
      <c r="BF195" s="4720"/>
      <c r="BG195" s="4720"/>
      <c r="BH195" s="4720"/>
      <c r="BP195" s="4720"/>
      <c r="BQ195" s="4720"/>
      <c r="BY195" s="4720"/>
      <c r="BZ195" s="4720"/>
      <c r="CB195" s="4714"/>
      <c r="CC195" s="4714"/>
      <c r="CD195" s="4714"/>
      <c r="CE195" s="4714"/>
      <c r="CF195" s="4714"/>
      <c r="CG195" s="4726"/>
    </row>
    <row r="196" spans="1:85" s="4705" customFormat="1">
      <c r="A196" s="4743"/>
      <c r="B196" s="4743"/>
      <c r="C196" s="4720"/>
      <c r="D196" s="4720"/>
      <c r="E196" s="4720"/>
      <c r="F196" s="4720"/>
      <c r="G196" s="4720"/>
      <c r="H196" s="4720"/>
      <c r="I196" s="4719"/>
      <c r="J196" s="4720"/>
      <c r="K196" s="4720"/>
      <c r="L196" s="4720"/>
      <c r="M196" s="4720"/>
      <c r="N196" s="4720"/>
      <c r="O196" s="4720"/>
      <c r="P196" s="4720"/>
      <c r="Q196" s="4719"/>
      <c r="R196" s="4720"/>
      <c r="S196" s="4720"/>
      <c r="T196" s="4720"/>
      <c r="U196" s="4720"/>
      <c r="V196" s="4720"/>
      <c r="W196" s="4720"/>
      <c r="X196" s="4720"/>
      <c r="Y196" s="4719"/>
      <c r="Z196" s="4720"/>
      <c r="AA196" s="4720"/>
      <c r="AB196" s="4720"/>
      <c r="AC196" s="4720"/>
      <c r="AD196" s="4720"/>
      <c r="AE196" s="4720"/>
      <c r="AF196" s="4720"/>
      <c r="AG196" s="4719"/>
      <c r="AH196" s="4720"/>
      <c r="AI196" s="4720"/>
      <c r="AJ196" s="4720"/>
      <c r="AK196" s="4720"/>
      <c r="AL196" s="4720"/>
      <c r="AM196" s="4720"/>
      <c r="AN196" s="4720"/>
      <c r="AO196" s="4719"/>
      <c r="AP196" s="4720"/>
      <c r="AQ196" s="4720"/>
      <c r="AR196" s="4720"/>
      <c r="AS196" s="4720"/>
      <c r="AT196" s="4720"/>
      <c r="AU196" s="4720"/>
      <c r="AV196" s="4720"/>
      <c r="AW196" s="4720"/>
      <c r="AX196" s="4720"/>
      <c r="AY196" s="4720"/>
      <c r="AZ196" s="4720"/>
      <c r="BA196" s="4720"/>
      <c r="BB196" s="4720"/>
      <c r="BC196" s="4720"/>
      <c r="BD196" s="4720"/>
      <c r="BE196" s="4720"/>
      <c r="BF196" s="4720"/>
      <c r="BG196" s="4720"/>
      <c r="BH196" s="4720"/>
      <c r="BP196" s="4720"/>
      <c r="BQ196" s="4720"/>
      <c r="BY196" s="4720"/>
      <c r="BZ196" s="4720"/>
      <c r="CB196" s="4714"/>
      <c r="CC196" s="4714"/>
      <c r="CD196" s="4714"/>
      <c r="CE196" s="4714"/>
      <c r="CF196" s="4714"/>
      <c r="CG196" s="4726"/>
    </row>
    <row r="197" spans="1:85" s="4705" customFormat="1">
      <c r="A197" s="4743"/>
      <c r="B197" s="4743"/>
      <c r="C197" s="4720"/>
      <c r="D197" s="4720"/>
      <c r="E197" s="4720"/>
      <c r="F197" s="4720"/>
      <c r="G197" s="4720"/>
      <c r="H197" s="4720"/>
      <c r="I197" s="4719"/>
      <c r="J197" s="4720"/>
      <c r="K197" s="4720"/>
      <c r="L197" s="4720"/>
      <c r="M197" s="4720"/>
      <c r="N197" s="4720"/>
      <c r="O197" s="4720"/>
      <c r="P197" s="4720"/>
      <c r="Q197" s="4719"/>
      <c r="R197" s="4720"/>
      <c r="S197" s="4720"/>
      <c r="T197" s="4720"/>
      <c r="U197" s="4720"/>
      <c r="V197" s="4720"/>
      <c r="W197" s="4720"/>
      <c r="X197" s="4720"/>
      <c r="Y197" s="4719"/>
      <c r="Z197" s="4720"/>
      <c r="AA197" s="4720"/>
      <c r="AB197" s="4720"/>
      <c r="AC197" s="4720"/>
      <c r="AD197" s="4720"/>
      <c r="AE197" s="4720"/>
      <c r="AF197" s="4720"/>
      <c r="AG197" s="4719"/>
      <c r="AH197" s="4720"/>
      <c r="AI197" s="4720"/>
      <c r="AJ197" s="4720"/>
      <c r="AK197" s="4720"/>
      <c r="AL197" s="4720"/>
      <c r="AM197" s="4720"/>
      <c r="AN197" s="4720"/>
      <c r="AO197" s="4719"/>
      <c r="AP197" s="4720"/>
      <c r="AQ197" s="4720"/>
      <c r="AR197" s="4720"/>
      <c r="AS197" s="4720"/>
      <c r="AT197" s="4720"/>
      <c r="AU197" s="4720"/>
      <c r="AV197" s="4720"/>
      <c r="AW197" s="4720"/>
      <c r="AX197" s="4720"/>
      <c r="AY197" s="4720"/>
      <c r="AZ197" s="4720"/>
      <c r="BA197" s="4720"/>
      <c r="BB197" s="4720"/>
      <c r="BC197" s="4720"/>
      <c r="BD197" s="4720"/>
      <c r="BE197" s="4720"/>
      <c r="BF197" s="4720"/>
      <c r="BG197" s="4720"/>
      <c r="BH197" s="4720"/>
      <c r="BP197" s="4720"/>
      <c r="BQ197" s="4720"/>
      <c r="BY197" s="4720"/>
      <c r="BZ197" s="4720"/>
      <c r="CB197" s="4714"/>
      <c r="CC197" s="4714"/>
      <c r="CD197" s="4714"/>
      <c r="CE197" s="4714"/>
      <c r="CF197" s="4714"/>
      <c r="CG197" s="4726"/>
    </row>
    <row r="198" spans="1:85" s="4705" customFormat="1">
      <c r="A198" s="4743"/>
      <c r="B198" s="4743"/>
      <c r="C198" s="4720"/>
      <c r="D198" s="4720"/>
      <c r="E198" s="4720"/>
      <c r="F198" s="4720"/>
      <c r="G198" s="4720"/>
      <c r="H198" s="4720"/>
      <c r="I198" s="4719"/>
      <c r="J198" s="4720"/>
      <c r="K198" s="4720"/>
      <c r="L198" s="4720"/>
      <c r="M198" s="4720"/>
      <c r="N198" s="4720"/>
      <c r="O198" s="4720"/>
      <c r="P198" s="4720"/>
      <c r="Q198" s="4719"/>
      <c r="R198" s="4720"/>
      <c r="S198" s="4720"/>
      <c r="T198" s="4720"/>
      <c r="U198" s="4720"/>
      <c r="V198" s="4720"/>
      <c r="W198" s="4720"/>
      <c r="X198" s="4720"/>
      <c r="Y198" s="4719"/>
      <c r="Z198" s="4720"/>
      <c r="AA198" s="4720"/>
      <c r="AB198" s="4720"/>
      <c r="AC198" s="4720"/>
      <c r="AD198" s="4720"/>
      <c r="AE198" s="4720"/>
      <c r="AF198" s="4720"/>
      <c r="AG198" s="4719"/>
      <c r="AH198" s="4720"/>
      <c r="AI198" s="4720"/>
      <c r="AJ198" s="4720"/>
      <c r="AK198" s="4720"/>
      <c r="AL198" s="4720"/>
      <c r="AM198" s="4720"/>
      <c r="AN198" s="4720"/>
      <c r="AO198" s="4719"/>
      <c r="AP198" s="4720"/>
      <c r="AQ198" s="4720"/>
      <c r="AR198" s="4720"/>
      <c r="AS198" s="4720"/>
      <c r="AT198" s="4720"/>
      <c r="AU198" s="4720"/>
      <c r="AV198" s="4720"/>
      <c r="AW198" s="4720"/>
      <c r="AX198" s="4720"/>
      <c r="AY198" s="4720"/>
      <c r="AZ198" s="4720"/>
      <c r="BA198" s="4720"/>
      <c r="BB198" s="4720"/>
      <c r="BC198" s="4720"/>
      <c r="BD198" s="4720"/>
      <c r="BE198" s="4720"/>
      <c r="BF198" s="4720"/>
      <c r="BG198" s="4720"/>
      <c r="BH198" s="4720"/>
      <c r="BP198" s="4720"/>
      <c r="BQ198" s="4720"/>
      <c r="BY198" s="4720"/>
      <c r="BZ198" s="4720"/>
      <c r="CB198" s="4714"/>
      <c r="CC198" s="4714"/>
      <c r="CD198" s="4714"/>
      <c r="CE198" s="4714"/>
      <c r="CF198" s="4714"/>
      <c r="CG198" s="4726"/>
    </row>
    <row r="199" spans="1:85" s="4705" customFormat="1">
      <c r="A199" s="4743"/>
      <c r="B199" s="4743"/>
      <c r="C199" s="4720"/>
      <c r="D199" s="4720"/>
      <c r="E199" s="4720"/>
      <c r="F199" s="4720"/>
      <c r="G199" s="4720"/>
      <c r="H199" s="4720"/>
      <c r="I199" s="4719"/>
      <c r="J199" s="4720"/>
      <c r="K199" s="4720"/>
      <c r="L199" s="4720"/>
      <c r="M199" s="4720"/>
      <c r="N199" s="4720"/>
      <c r="O199" s="4720"/>
      <c r="P199" s="4720"/>
      <c r="Q199" s="4719"/>
      <c r="R199" s="4720"/>
      <c r="S199" s="4720"/>
      <c r="T199" s="4720"/>
      <c r="U199" s="4720"/>
      <c r="V199" s="4720"/>
      <c r="W199" s="4720"/>
      <c r="X199" s="4720"/>
      <c r="Y199" s="4719"/>
      <c r="Z199" s="4720"/>
      <c r="AA199" s="4720"/>
      <c r="AB199" s="4720"/>
      <c r="AC199" s="4720"/>
      <c r="AD199" s="4720"/>
      <c r="AE199" s="4720"/>
      <c r="AF199" s="4720"/>
      <c r="AG199" s="4719"/>
      <c r="AH199" s="4720"/>
      <c r="AI199" s="4720"/>
      <c r="AJ199" s="4720"/>
      <c r="AK199" s="4720"/>
      <c r="AL199" s="4720"/>
      <c r="AM199" s="4720"/>
      <c r="AN199" s="4720"/>
      <c r="AO199" s="4719"/>
      <c r="AP199" s="4720"/>
      <c r="AQ199" s="4720"/>
      <c r="AR199" s="4720"/>
      <c r="AS199" s="4720"/>
      <c r="AT199" s="4720"/>
      <c r="AU199" s="4720"/>
      <c r="AV199" s="4720"/>
      <c r="AW199" s="4720"/>
      <c r="AX199" s="4720"/>
      <c r="AY199" s="4720"/>
      <c r="AZ199" s="4720"/>
      <c r="BA199" s="4720"/>
      <c r="BB199" s="4720"/>
      <c r="BC199" s="4720"/>
      <c r="BD199" s="4720"/>
      <c r="BE199" s="4720"/>
      <c r="BF199" s="4720"/>
      <c r="BG199" s="4720"/>
      <c r="BH199" s="4720"/>
      <c r="BP199" s="4720"/>
      <c r="BQ199" s="4720"/>
      <c r="BY199" s="4720"/>
      <c r="BZ199" s="4720"/>
      <c r="CB199" s="4714"/>
      <c r="CC199" s="4714"/>
      <c r="CD199" s="4714"/>
      <c r="CE199" s="4714"/>
      <c r="CF199" s="4714"/>
      <c r="CG199" s="4726"/>
    </row>
    <row r="200" spans="1:85" s="4705" customFormat="1">
      <c r="A200" s="4743"/>
      <c r="B200" s="4743"/>
      <c r="C200" s="4720"/>
      <c r="D200" s="4720"/>
      <c r="E200" s="4720"/>
      <c r="F200" s="4720"/>
      <c r="G200" s="4720"/>
      <c r="H200" s="4720"/>
      <c r="I200" s="4719"/>
      <c r="J200" s="4720"/>
      <c r="K200" s="4720"/>
      <c r="L200" s="4720"/>
      <c r="M200" s="4720"/>
      <c r="N200" s="4720"/>
      <c r="O200" s="4720"/>
      <c r="P200" s="4720"/>
      <c r="Q200" s="4719"/>
      <c r="R200" s="4720"/>
      <c r="S200" s="4720"/>
      <c r="T200" s="4720"/>
      <c r="U200" s="4720"/>
      <c r="V200" s="4720"/>
      <c r="W200" s="4720"/>
      <c r="X200" s="4720"/>
      <c r="Y200" s="4719"/>
      <c r="Z200" s="4720"/>
      <c r="AA200" s="4720"/>
      <c r="AB200" s="4720"/>
      <c r="AC200" s="4720"/>
      <c r="AD200" s="4720"/>
      <c r="AE200" s="4720"/>
      <c r="AF200" s="4720"/>
      <c r="AG200" s="4719"/>
      <c r="AH200" s="4720"/>
      <c r="AI200" s="4720"/>
      <c r="AJ200" s="4720"/>
      <c r="AK200" s="4720"/>
      <c r="AL200" s="4720"/>
      <c r="AM200" s="4720"/>
      <c r="AN200" s="4720"/>
      <c r="AO200" s="4719"/>
      <c r="AP200" s="4720"/>
      <c r="AQ200" s="4720"/>
      <c r="AR200" s="4720"/>
      <c r="AS200" s="4720"/>
      <c r="AT200" s="4720"/>
      <c r="AU200" s="4720"/>
      <c r="AV200" s="4720"/>
      <c r="AW200" s="4720"/>
      <c r="AX200" s="4720"/>
      <c r="AY200" s="4720"/>
      <c r="AZ200" s="4720"/>
      <c r="BA200" s="4720"/>
      <c r="BB200" s="4720"/>
      <c r="BC200" s="4720"/>
      <c r="BD200" s="4720"/>
      <c r="BE200" s="4720"/>
      <c r="BF200" s="4720"/>
      <c r="BG200" s="4720"/>
      <c r="BH200" s="4720"/>
      <c r="BP200" s="4720"/>
      <c r="BQ200" s="4720"/>
      <c r="BY200" s="4720"/>
      <c r="BZ200" s="4720"/>
      <c r="CB200" s="4714"/>
      <c r="CC200" s="4714"/>
      <c r="CD200" s="4714"/>
      <c r="CE200" s="4714"/>
      <c r="CF200" s="4714"/>
      <c r="CG200" s="4726"/>
    </row>
    <row r="201" spans="1:85" s="4705" customFormat="1">
      <c r="A201" s="4743"/>
      <c r="B201" s="4743"/>
      <c r="C201" s="4720"/>
      <c r="D201" s="4720"/>
      <c r="E201" s="4720"/>
      <c r="F201" s="4720"/>
      <c r="G201" s="4720"/>
      <c r="H201" s="4720"/>
      <c r="I201" s="4719"/>
      <c r="J201" s="4720"/>
      <c r="K201" s="4720"/>
      <c r="L201" s="4720"/>
      <c r="M201" s="4720"/>
      <c r="N201" s="4720"/>
      <c r="O201" s="4720"/>
      <c r="P201" s="4720"/>
      <c r="Q201" s="4719"/>
      <c r="R201" s="4720"/>
      <c r="S201" s="4720"/>
      <c r="T201" s="4720"/>
      <c r="U201" s="4720"/>
      <c r="V201" s="4720"/>
      <c r="W201" s="4720"/>
      <c r="X201" s="4720"/>
      <c r="Y201" s="4719"/>
      <c r="Z201" s="4720"/>
      <c r="AA201" s="4720"/>
      <c r="AB201" s="4720"/>
      <c r="AC201" s="4720"/>
      <c r="AD201" s="4720"/>
      <c r="AE201" s="4720"/>
      <c r="AF201" s="4720"/>
      <c r="AG201" s="4719"/>
      <c r="AH201" s="4720"/>
      <c r="AI201" s="4720"/>
      <c r="AJ201" s="4720"/>
      <c r="AK201" s="4720"/>
      <c r="AL201" s="4720"/>
      <c r="AM201" s="4720"/>
      <c r="AN201" s="4720"/>
      <c r="AO201" s="4719"/>
      <c r="AP201" s="4720"/>
      <c r="AQ201" s="4720"/>
      <c r="AR201" s="4720"/>
      <c r="AS201" s="4720"/>
      <c r="AT201" s="4720"/>
      <c r="AU201" s="4720"/>
      <c r="AV201" s="4720"/>
      <c r="AW201" s="4720"/>
      <c r="AX201" s="4720"/>
      <c r="AY201" s="4720"/>
      <c r="AZ201" s="4720"/>
      <c r="BA201" s="4720"/>
      <c r="BB201" s="4720"/>
      <c r="BC201" s="4720"/>
      <c r="BD201" s="4720"/>
      <c r="BE201" s="4720"/>
      <c r="BF201" s="4720"/>
      <c r="BG201" s="4720"/>
      <c r="BH201" s="4720"/>
      <c r="BP201" s="4720"/>
      <c r="BQ201" s="4720"/>
      <c r="BY201" s="4720"/>
      <c r="BZ201" s="4720"/>
      <c r="CB201" s="4714"/>
      <c r="CC201" s="4714"/>
      <c r="CD201" s="4714"/>
      <c r="CE201" s="4714"/>
      <c r="CF201" s="4714"/>
      <c r="CG201" s="4726"/>
    </row>
    <row r="202" spans="1:85" s="4705" customFormat="1">
      <c r="A202" s="4743"/>
      <c r="B202" s="4743"/>
      <c r="C202" s="4720"/>
      <c r="D202" s="4720"/>
      <c r="E202" s="4720"/>
      <c r="F202" s="4720"/>
      <c r="G202" s="4720"/>
      <c r="H202" s="4720"/>
      <c r="I202" s="4719"/>
      <c r="J202" s="4720"/>
      <c r="K202" s="4720"/>
      <c r="L202" s="4720"/>
      <c r="M202" s="4720"/>
      <c r="N202" s="4720"/>
      <c r="O202" s="4720"/>
      <c r="P202" s="4720"/>
      <c r="Q202" s="4719"/>
      <c r="R202" s="4720"/>
      <c r="S202" s="4720"/>
      <c r="T202" s="4720"/>
      <c r="U202" s="4720"/>
      <c r="V202" s="4720"/>
      <c r="W202" s="4720"/>
      <c r="X202" s="4720"/>
      <c r="Y202" s="4719"/>
      <c r="Z202" s="4720"/>
      <c r="AA202" s="4720"/>
      <c r="AB202" s="4720"/>
      <c r="AC202" s="4720"/>
      <c r="AD202" s="4720"/>
      <c r="AE202" s="4720"/>
      <c r="AF202" s="4720"/>
      <c r="AG202" s="4719"/>
      <c r="AH202" s="4720"/>
      <c r="AI202" s="4720"/>
      <c r="AJ202" s="4720"/>
      <c r="AK202" s="4720"/>
      <c r="AL202" s="4720"/>
      <c r="AM202" s="4720"/>
      <c r="AN202" s="4720"/>
      <c r="AO202" s="4719"/>
      <c r="AP202" s="4720"/>
      <c r="AQ202" s="4720"/>
      <c r="AR202" s="4720"/>
      <c r="AS202" s="4720"/>
      <c r="AT202" s="4720"/>
      <c r="AU202" s="4720"/>
      <c r="AV202" s="4720"/>
      <c r="AW202" s="4720"/>
      <c r="AX202" s="4720"/>
      <c r="AY202" s="4720"/>
      <c r="AZ202" s="4720"/>
      <c r="BA202" s="4720"/>
      <c r="BB202" s="4720"/>
      <c r="BC202" s="4720"/>
      <c r="BD202" s="4720"/>
      <c r="BE202" s="4720"/>
      <c r="BF202" s="4720"/>
      <c r="BG202" s="4720"/>
      <c r="BH202" s="4720"/>
      <c r="BP202" s="4720"/>
      <c r="BQ202" s="4720"/>
      <c r="BY202" s="4720"/>
      <c r="BZ202" s="4720"/>
      <c r="CB202" s="4714"/>
      <c r="CC202" s="4714"/>
      <c r="CD202" s="4714"/>
      <c r="CE202" s="4714"/>
      <c r="CF202" s="4714"/>
      <c r="CG202" s="4726"/>
    </row>
    <row r="203" spans="1:85" s="4705" customFormat="1">
      <c r="A203" s="4743"/>
      <c r="B203" s="4743"/>
      <c r="C203" s="4720"/>
      <c r="D203" s="4720"/>
      <c r="E203" s="4720"/>
      <c r="F203" s="4720"/>
      <c r="G203" s="4720"/>
      <c r="H203" s="4720"/>
      <c r="I203" s="4719"/>
      <c r="J203" s="4720"/>
      <c r="K203" s="4720"/>
      <c r="L203" s="4720"/>
      <c r="M203" s="4720"/>
      <c r="N203" s="4720"/>
      <c r="O203" s="4720"/>
      <c r="P203" s="4720"/>
      <c r="Q203" s="4719"/>
      <c r="R203" s="4720"/>
      <c r="S203" s="4720"/>
      <c r="T203" s="4720"/>
      <c r="U203" s="4720"/>
      <c r="V203" s="4720"/>
      <c r="W203" s="4720"/>
      <c r="X203" s="4720"/>
      <c r="Y203" s="4719"/>
      <c r="Z203" s="4720"/>
      <c r="AA203" s="4720"/>
      <c r="AB203" s="4720"/>
      <c r="AC203" s="4720"/>
      <c r="AD203" s="4720"/>
      <c r="AE203" s="4720"/>
      <c r="AF203" s="4720"/>
      <c r="AG203" s="4719"/>
      <c r="AH203" s="4720"/>
      <c r="AI203" s="4720"/>
      <c r="AJ203" s="4720"/>
      <c r="AK203" s="4720"/>
      <c r="AL203" s="4720"/>
      <c r="AM203" s="4720"/>
      <c r="AN203" s="4720"/>
      <c r="AO203" s="4719"/>
      <c r="AP203" s="4720"/>
      <c r="AQ203" s="4720"/>
      <c r="AR203" s="4720"/>
      <c r="AS203" s="4720"/>
      <c r="AT203" s="4720"/>
      <c r="AU203" s="4720"/>
      <c r="AV203" s="4720"/>
      <c r="AW203" s="4720"/>
      <c r="AX203" s="4720"/>
      <c r="AY203" s="4720"/>
      <c r="AZ203" s="4720"/>
      <c r="BA203" s="4720"/>
      <c r="BB203" s="4720"/>
      <c r="BC203" s="4720"/>
      <c r="BD203" s="4720"/>
      <c r="BE203" s="4720"/>
      <c r="BF203" s="4720"/>
      <c r="BG203" s="4720"/>
      <c r="BH203" s="4720"/>
      <c r="BP203" s="4720"/>
      <c r="BQ203" s="4720"/>
      <c r="BY203" s="4720"/>
      <c r="BZ203" s="4720"/>
      <c r="CB203" s="4714"/>
      <c r="CC203" s="4714"/>
      <c r="CD203" s="4714"/>
      <c r="CE203" s="4714"/>
      <c r="CF203" s="4714"/>
      <c r="CG203" s="4726"/>
    </row>
    <row r="204" spans="1:85" s="4705" customFormat="1">
      <c r="A204" s="4743"/>
      <c r="B204" s="4743"/>
      <c r="C204" s="4720"/>
      <c r="D204" s="4720"/>
      <c r="E204" s="4720"/>
      <c r="F204" s="4720"/>
      <c r="G204" s="4720"/>
      <c r="H204" s="4720"/>
      <c r="I204" s="4719"/>
      <c r="J204" s="4720"/>
      <c r="K204" s="4720"/>
      <c r="L204" s="4720"/>
      <c r="M204" s="4720"/>
      <c r="N204" s="4720"/>
      <c r="O204" s="4720"/>
      <c r="P204" s="4720"/>
      <c r="Q204" s="4719"/>
      <c r="R204" s="4720"/>
      <c r="S204" s="4720"/>
      <c r="T204" s="4720"/>
      <c r="U204" s="4720"/>
      <c r="V204" s="4720"/>
      <c r="W204" s="4720"/>
      <c r="X204" s="4720"/>
      <c r="Y204" s="4719"/>
      <c r="Z204" s="4720"/>
      <c r="AA204" s="4720"/>
      <c r="AB204" s="4720"/>
      <c r="AC204" s="4720"/>
      <c r="AD204" s="4720"/>
      <c r="AE204" s="4720"/>
      <c r="AF204" s="4720"/>
      <c r="AG204" s="4719"/>
      <c r="AH204" s="4720"/>
      <c r="AI204" s="4720"/>
      <c r="AJ204" s="4720"/>
      <c r="AK204" s="4720"/>
      <c r="AL204" s="4720"/>
      <c r="AM204" s="4720"/>
      <c r="AN204" s="4720"/>
      <c r="AO204" s="4719"/>
      <c r="AP204" s="4720"/>
      <c r="AQ204" s="4720"/>
      <c r="AR204" s="4720"/>
      <c r="AS204" s="4720"/>
      <c r="AT204" s="4720"/>
      <c r="AU204" s="4720"/>
      <c r="AV204" s="4720"/>
      <c r="AW204" s="4720"/>
      <c r="AX204" s="4720"/>
      <c r="AY204" s="4720"/>
      <c r="AZ204" s="4720"/>
      <c r="BA204" s="4720"/>
      <c r="BB204" s="4720"/>
      <c r="BC204" s="4720"/>
      <c r="BD204" s="4720"/>
      <c r="BE204" s="4720"/>
      <c r="BF204" s="4720"/>
      <c r="BG204" s="4720"/>
      <c r="BH204" s="4720"/>
      <c r="BP204" s="4720"/>
      <c r="BQ204" s="4720"/>
      <c r="BY204" s="4720"/>
      <c r="BZ204" s="4720"/>
      <c r="CB204" s="4714"/>
      <c r="CC204" s="4714"/>
      <c r="CD204" s="4714"/>
      <c r="CE204" s="4714"/>
      <c r="CF204" s="4714"/>
      <c r="CG204" s="4726"/>
    </row>
    <row r="205" spans="1:85" s="4705" customFormat="1">
      <c r="A205" s="4743"/>
      <c r="B205" s="4743"/>
      <c r="C205" s="4720"/>
      <c r="D205" s="4720"/>
      <c r="E205" s="4720"/>
      <c r="F205" s="4720"/>
      <c r="G205" s="4720"/>
      <c r="H205" s="4720"/>
      <c r="I205" s="4719"/>
      <c r="J205" s="4720"/>
      <c r="K205" s="4720"/>
      <c r="L205" s="4720"/>
      <c r="M205" s="4720"/>
      <c r="N205" s="4720"/>
      <c r="O205" s="4720"/>
      <c r="P205" s="4720"/>
      <c r="Q205" s="4719"/>
      <c r="R205" s="4720"/>
      <c r="S205" s="4720"/>
      <c r="T205" s="4720"/>
      <c r="U205" s="4720"/>
      <c r="V205" s="4720"/>
      <c r="W205" s="4720"/>
      <c r="X205" s="4720"/>
      <c r="Y205" s="4719"/>
      <c r="Z205" s="4720"/>
      <c r="AA205" s="4720"/>
      <c r="AB205" s="4720"/>
      <c r="AC205" s="4720"/>
      <c r="AD205" s="4720"/>
      <c r="AE205" s="4720"/>
      <c r="AF205" s="4720"/>
      <c r="AG205" s="4719"/>
      <c r="AH205" s="4720"/>
      <c r="AI205" s="4720"/>
      <c r="AJ205" s="4720"/>
      <c r="AK205" s="4720"/>
      <c r="AL205" s="4720"/>
      <c r="AM205" s="4720"/>
      <c r="AN205" s="4720"/>
      <c r="AO205" s="4719"/>
      <c r="AP205" s="4720"/>
      <c r="AQ205" s="4720"/>
      <c r="AR205" s="4720"/>
      <c r="AS205" s="4720"/>
      <c r="AT205" s="4720"/>
      <c r="AU205" s="4720"/>
      <c r="AV205" s="4720"/>
      <c r="AW205" s="4720"/>
      <c r="AX205" s="4720"/>
      <c r="AY205" s="4720"/>
      <c r="AZ205" s="4720"/>
      <c r="BA205" s="4720"/>
      <c r="BB205" s="4720"/>
      <c r="BC205" s="4720"/>
      <c r="BD205" s="4720"/>
      <c r="BE205" s="4720"/>
      <c r="BF205" s="4720"/>
      <c r="BG205" s="4720"/>
      <c r="BH205" s="4720"/>
      <c r="BP205" s="4720"/>
      <c r="BQ205" s="4720"/>
      <c r="BY205" s="4720"/>
      <c r="BZ205" s="4720"/>
      <c r="CB205" s="4714"/>
      <c r="CC205" s="4714"/>
      <c r="CD205" s="4714"/>
      <c r="CE205" s="4714"/>
      <c r="CF205" s="4714"/>
      <c r="CG205" s="4726"/>
    </row>
    <row r="206" spans="1:85" s="4705" customFormat="1">
      <c r="A206" s="4743"/>
      <c r="B206" s="4743"/>
      <c r="C206" s="4720"/>
      <c r="D206" s="4720"/>
      <c r="E206" s="4720"/>
      <c r="F206" s="4720"/>
      <c r="G206" s="4720"/>
      <c r="H206" s="4720"/>
      <c r="I206" s="4719"/>
      <c r="J206" s="4720"/>
      <c r="K206" s="4720"/>
      <c r="L206" s="4720"/>
      <c r="M206" s="4720"/>
      <c r="N206" s="4720"/>
      <c r="O206" s="4720"/>
      <c r="P206" s="4720"/>
      <c r="Q206" s="4719"/>
      <c r="R206" s="4720"/>
      <c r="S206" s="4720"/>
      <c r="T206" s="4720"/>
      <c r="U206" s="4720"/>
      <c r="V206" s="4720"/>
      <c r="W206" s="4720"/>
      <c r="X206" s="4720"/>
      <c r="Y206" s="4719"/>
      <c r="Z206" s="4720"/>
      <c r="AA206" s="4720"/>
      <c r="AB206" s="4720"/>
      <c r="AC206" s="4720"/>
      <c r="AD206" s="4720"/>
      <c r="AE206" s="4720"/>
      <c r="AF206" s="4720"/>
      <c r="AG206" s="4719"/>
      <c r="AH206" s="4720"/>
      <c r="AI206" s="4720"/>
      <c r="AJ206" s="4720"/>
      <c r="AK206" s="4720"/>
      <c r="AL206" s="4720"/>
      <c r="AM206" s="4720"/>
      <c r="AN206" s="4720"/>
      <c r="AO206" s="4719"/>
      <c r="AP206" s="4720"/>
      <c r="AQ206" s="4720"/>
      <c r="AR206" s="4720"/>
      <c r="AS206" s="4720"/>
      <c r="AT206" s="4720"/>
      <c r="AU206" s="4720"/>
      <c r="AV206" s="4720"/>
      <c r="AW206" s="4720"/>
      <c r="AX206" s="4720"/>
      <c r="AY206" s="4720"/>
      <c r="AZ206" s="4720"/>
      <c r="BA206" s="4720"/>
      <c r="BB206" s="4720"/>
      <c r="BC206" s="4720"/>
      <c r="BD206" s="4720"/>
      <c r="BE206" s="4720"/>
      <c r="BF206" s="4720"/>
      <c r="BG206" s="4720"/>
      <c r="BH206" s="4720"/>
      <c r="BP206" s="4720"/>
      <c r="BQ206" s="4720"/>
      <c r="BY206" s="4720"/>
      <c r="BZ206" s="4720"/>
      <c r="CB206" s="4714"/>
      <c r="CC206" s="4714"/>
      <c r="CD206" s="4714"/>
      <c r="CE206" s="4714"/>
      <c r="CF206" s="4714"/>
      <c r="CG206" s="4726"/>
    </row>
    <row r="207" spans="1:85" s="4705" customFormat="1">
      <c r="A207" s="4743"/>
      <c r="B207" s="4743"/>
      <c r="C207" s="4720"/>
      <c r="D207" s="4720"/>
      <c r="E207" s="4720"/>
      <c r="F207" s="4720"/>
      <c r="G207" s="4720"/>
      <c r="H207" s="4720"/>
      <c r="I207" s="4719"/>
      <c r="J207" s="4720"/>
      <c r="K207" s="4720"/>
      <c r="L207" s="4720"/>
      <c r="M207" s="4720"/>
      <c r="N207" s="4720"/>
      <c r="O207" s="4720"/>
      <c r="P207" s="4720"/>
      <c r="Q207" s="4719"/>
      <c r="R207" s="4720"/>
      <c r="S207" s="4720"/>
      <c r="T207" s="4720"/>
      <c r="U207" s="4720"/>
      <c r="V207" s="4720"/>
      <c r="W207" s="4720"/>
      <c r="X207" s="4720"/>
      <c r="Y207" s="4719"/>
      <c r="Z207" s="4720"/>
      <c r="AA207" s="4720"/>
      <c r="AB207" s="4720"/>
      <c r="AC207" s="4720"/>
      <c r="AD207" s="4720"/>
      <c r="AE207" s="4720"/>
      <c r="AF207" s="4720"/>
      <c r="AG207" s="4719"/>
      <c r="AH207" s="4720"/>
      <c r="AI207" s="4720"/>
      <c r="AJ207" s="4720"/>
      <c r="AK207" s="4720"/>
      <c r="AL207" s="4720"/>
      <c r="AM207" s="4720"/>
      <c r="AN207" s="4720"/>
      <c r="AO207" s="4719"/>
      <c r="AP207" s="4720"/>
      <c r="AQ207" s="4720"/>
      <c r="AR207" s="4720"/>
      <c r="AS207" s="4720"/>
      <c r="AT207" s="4720"/>
      <c r="AU207" s="4720"/>
      <c r="AV207" s="4720"/>
      <c r="AW207" s="4720"/>
      <c r="AX207" s="4720"/>
      <c r="AY207" s="4720"/>
      <c r="AZ207" s="4720"/>
      <c r="BA207" s="4720"/>
      <c r="BB207" s="4720"/>
      <c r="BC207" s="4720"/>
      <c r="BD207" s="4720"/>
      <c r="BE207" s="4720"/>
      <c r="BF207" s="4720"/>
      <c r="BG207" s="4720"/>
      <c r="BH207" s="4720"/>
      <c r="BP207" s="4720"/>
      <c r="BQ207" s="4720"/>
      <c r="BY207" s="4720"/>
      <c r="BZ207" s="4720"/>
      <c r="CB207" s="4714"/>
      <c r="CC207" s="4714"/>
      <c r="CD207" s="4714"/>
      <c r="CE207" s="4714"/>
      <c r="CF207" s="4714"/>
      <c r="CG207" s="4726"/>
    </row>
    <row r="208" spans="1:85" s="4705" customFormat="1">
      <c r="A208" s="4743"/>
      <c r="B208" s="4743"/>
      <c r="C208" s="4720"/>
      <c r="D208" s="4720"/>
      <c r="E208" s="4720"/>
      <c r="F208" s="4720"/>
      <c r="G208" s="4720"/>
      <c r="H208" s="4720"/>
      <c r="I208" s="4719"/>
      <c r="J208" s="4720"/>
      <c r="K208" s="4720"/>
      <c r="L208" s="4720"/>
      <c r="M208" s="4720"/>
      <c r="N208" s="4720"/>
      <c r="O208" s="4720"/>
      <c r="P208" s="4720"/>
      <c r="Q208" s="4719"/>
      <c r="R208" s="4720"/>
      <c r="S208" s="4720"/>
      <c r="T208" s="4720"/>
      <c r="U208" s="4720"/>
      <c r="V208" s="4720"/>
      <c r="W208" s="4720"/>
      <c r="X208" s="4720"/>
      <c r="Y208" s="4719"/>
      <c r="Z208" s="4720"/>
      <c r="AA208" s="4720"/>
      <c r="AB208" s="4720"/>
      <c r="AC208" s="4720"/>
      <c r="AD208" s="4720"/>
      <c r="AE208" s="4720"/>
      <c r="AF208" s="4720"/>
      <c r="AG208" s="4719"/>
      <c r="AH208" s="4720"/>
      <c r="AI208" s="4720"/>
      <c r="AJ208" s="4720"/>
      <c r="AK208" s="4720"/>
      <c r="AL208" s="4720"/>
      <c r="AM208" s="4720"/>
      <c r="AN208" s="4720"/>
      <c r="AO208" s="4719"/>
      <c r="AP208" s="4720"/>
      <c r="AQ208" s="4720"/>
      <c r="AR208" s="4720"/>
      <c r="AS208" s="4720"/>
      <c r="AT208" s="4720"/>
      <c r="AU208" s="4720"/>
      <c r="AV208" s="4720"/>
      <c r="AW208" s="4720"/>
      <c r="AX208" s="4720"/>
      <c r="AY208" s="4720"/>
      <c r="AZ208" s="4720"/>
      <c r="BA208" s="4720"/>
      <c r="BB208" s="4720"/>
      <c r="BC208" s="4720"/>
      <c r="BD208" s="4720"/>
      <c r="BE208" s="4720"/>
      <c r="BF208" s="4720"/>
      <c r="BG208" s="4720"/>
      <c r="BH208" s="4720"/>
      <c r="BP208" s="4720"/>
      <c r="BQ208" s="4720"/>
      <c r="BY208" s="4720"/>
      <c r="BZ208" s="4720"/>
      <c r="CB208" s="4714"/>
      <c r="CC208" s="4714"/>
      <c r="CD208" s="4714"/>
      <c r="CE208" s="4714"/>
      <c r="CF208" s="4714"/>
      <c r="CG208" s="4726"/>
    </row>
    <row r="209" spans="1:85" s="4705" customFormat="1">
      <c r="A209" s="4743"/>
      <c r="B209" s="4743"/>
      <c r="C209" s="4720"/>
      <c r="D209" s="4720"/>
      <c r="E209" s="4720"/>
      <c r="F209" s="4720"/>
      <c r="G209" s="4720"/>
      <c r="H209" s="4720"/>
      <c r="I209" s="4719"/>
      <c r="J209" s="4720"/>
      <c r="K209" s="4720"/>
      <c r="L209" s="4720"/>
      <c r="M209" s="4720"/>
      <c r="N209" s="4720"/>
      <c r="O209" s="4720"/>
      <c r="P209" s="4720"/>
      <c r="Q209" s="4719"/>
      <c r="R209" s="4720"/>
      <c r="S209" s="4720"/>
      <c r="T209" s="4720"/>
      <c r="U209" s="4720"/>
      <c r="V209" s="4720"/>
      <c r="W209" s="4720"/>
      <c r="X209" s="4720"/>
      <c r="Y209" s="4719"/>
      <c r="Z209" s="4720"/>
      <c r="AA209" s="4720"/>
      <c r="AB209" s="4720"/>
      <c r="AC209" s="4720"/>
      <c r="AD209" s="4720"/>
      <c r="AE209" s="4720"/>
      <c r="AF209" s="4720"/>
      <c r="AG209" s="4719"/>
      <c r="AH209" s="4720"/>
      <c r="AI209" s="4720"/>
      <c r="AJ209" s="4720"/>
      <c r="AK209" s="4720"/>
      <c r="AL209" s="4720"/>
      <c r="AM209" s="4720"/>
      <c r="AN209" s="4720"/>
      <c r="AO209" s="4719"/>
      <c r="AP209" s="4720"/>
      <c r="AQ209" s="4720"/>
      <c r="AR209" s="4720"/>
      <c r="AS209" s="4720"/>
      <c r="AT209" s="4720"/>
      <c r="AU209" s="4720"/>
      <c r="AV209" s="4720"/>
      <c r="AW209" s="4720"/>
      <c r="AX209" s="4720"/>
      <c r="AY209" s="4720"/>
      <c r="AZ209" s="4720"/>
      <c r="BA209" s="4720"/>
      <c r="BB209" s="4720"/>
      <c r="BC209" s="4720"/>
      <c r="BD209" s="4720"/>
      <c r="BE209" s="4720"/>
      <c r="BF209" s="4720"/>
      <c r="BG209" s="4720"/>
      <c r="BH209" s="4720"/>
      <c r="BP209" s="4720"/>
      <c r="BQ209" s="4720"/>
      <c r="BY209" s="4720"/>
      <c r="BZ209" s="4720"/>
      <c r="CB209" s="4714"/>
      <c r="CC209" s="4714"/>
      <c r="CD209" s="4714"/>
      <c r="CE209" s="4714"/>
      <c r="CF209" s="4714"/>
      <c r="CG209" s="4726"/>
    </row>
    <row r="210" spans="1:85" s="4705" customFormat="1">
      <c r="A210" s="4743"/>
      <c r="B210" s="4743"/>
      <c r="C210" s="4720"/>
      <c r="D210" s="4720"/>
      <c r="E210" s="4720"/>
      <c r="F210" s="4720"/>
      <c r="G210" s="4720"/>
      <c r="H210" s="4720"/>
      <c r="I210" s="4719"/>
      <c r="J210" s="4720"/>
      <c r="K210" s="4720"/>
      <c r="L210" s="4720"/>
      <c r="M210" s="4720"/>
      <c r="N210" s="4720"/>
      <c r="O210" s="4720"/>
      <c r="P210" s="4720"/>
      <c r="Q210" s="4719"/>
      <c r="R210" s="4720"/>
      <c r="S210" s="4720"/>
      <c r="T210" s="4720"/>
      <c r="U210" s="4720"/>
      <c r="V210" s="4720"/>
      <c r="W210" s="4720"/>
      <c r="X210" s="4720"/>
      <c r="Y210" s="4719"/>
      <c r="Z210" s="4720"/>
      <c r="AA210" s="4720"/>
      <c r="AB210" s="4720"/>
      <c r="AC210" s="4720"/>
      <c r="AD210" s="4720"/>
      <c r="AE210" s="4720"/>
      <c r="AF210" s="4720"/>
      <c r="AG210" s="4719"/>
      <c r="AH210" s="4720"/>
      <c r="AI210" s="4720"/>
      <c r="AJ210" s="4720"/>
      <c r="AK210" s="4720"/>
      <c r="AL210" s="4720"/>
      <c r="AM210" s="4720"/>
      <c r="AN210" s="4720"/>
      <c r="AO210" s="4719"/>
      <c r="AP210" s="4720"/>
      <c r="AQ210" s="4720"/>
      <c r="AR210" s="4720"/>
      <c r="AS210" s="4720"/>
      <c r="AT210" s="4720"/>
      <c r="AU210" s="4720"/>
      <c r="AV210" s="4720"/>
      <c r="AW210" s="4720"/>
      <c r="AX210" s="4720"/>
      <c r="AY210" s="4720"/>
      <c r="AZ210" s="4720"/>
      <c r="BA210" s="4720"/>
      <c r="BB210" s="4720"/>
      <c r="BC210" s="4720"/>
      <c r="BD210" s="4720"/>
      <c r="BE210" s="4720"/>
      <c r="BF210" s="4720"/>
      <c r="BG210" s="4720"/>
      <c r="BH210" s="4720"/>
      <c r="BP210" s="4720"/>
      <c r="BQ210" s="4720"/>
      <c r="BY210" s="4720"/>
      <c r="BZ210" s="4720"/>
      <c r="CB210" s="4714"/>
      <c r="CC210" s="4714"/>
      <c r="CD210" s="4714"/>
      <c r="CE210" s="4714"/>
      <c r="CF210" s="4714"/>
      <c r="CG210" s="4726"/>
    </row>
    <row r="211" spans="1:85" s="4705" customFormat="1">
      <c r="A211" s="4743"/>
      <c r="B211" s="4743"/>
      <c r="C211" s="4720"/>
      <c r="D211" s="4720"/>
      <c r="E211" s="4720"/>
      <c r="F211" s="4720"/>
      <c r="G211" s="4720"/>
      <c r="H211" s="4720"/>
      <c r="I211" s="4719"/>
      <c r="J211" s="4720"/>
      <c r="K211" s="4720"/>
      <c r="L211" s="4720"/>
      <c r="M211" s="4720"/>
      <c r="N211" s="4720"/>
      <c r="O211" s="4720"/>
      <c r="P211" s="4720"/>
      <c r="Q211" s="4719"/>
      <c r="R211" s="4720"/>
      <c r="S211" s="4720"/>
      <c r="T211" s="4720"/>
      <c r="U211" s="4720"/>
      <c r="V211" s="4720"/>
      <c r="W211" s="4720"/>
      <c r="X211" s="4720"/>
      <c r="Y211" s="4719"/>
      <c r="Z211" s="4720"/>
      <c r="AA211" s="4720"/>
      <c r="AB211" s="4720"/>
      <c r="AC211" s="4720"/>
      <c r="AD211" s="4720"/>
      <c r="AE211" s="4720"/>
      <c r="AF211" s="4720"/>
      <c r="AG211" s="4719"/>
      <c r="AH211" s="4720"/>
      <c r="AI211" s="4720"/>
      <c r="AJ211" s="4720"/>
      <c r="AK211" s="4720"/>
      <c r="AL211" s="4720"/>
      <c r="AM211" s="4720"/>
      <c r="AN211" s="4720"/>
      <c r="AO211" s="4719"/>
      <c r="AP211" s="4720"/>
      <c r="AQ211" s="4720"/>
      <c r="AR211" s="4720"/>
      <c r="AS211" s="4720"/>
      <c r="AT211" s="4720"/>
      <c r="AU211" s="4720"/>
      <c r="AV211" s="4720"/>
      <c r="AW211" s="4720"/>
      <c r="AX211" s="4720"/>
      <c r="AY211" s="4720"/>
      <c r="AZ211" s="4720"/>
      <c r="BA211" s="4720"/>
      <c r="BB211" s="4720"/>
      <c r="BC211" s="4720"/>
      <c r="BD211" s="4720"/>
      <c r="BE211" s="4720"/>
      <c r="BF211" s="4720"/>
      <c r="BG211" s="4720"/>
      <c r="BH211" s="4720"/>
      <c r="BP211" s="4720"/>
      <c r="BQ211" s="4720"/>
      <c r="BY211" s="4720"/>
      <c r="BZ211" s="4720"/>
      <c r="CB211" s="4714"/>
      <c r="CC211" s="4714"/>
      <c r="CD211" s="4714"/>
      <c r="CE211" s="4714"/>
      <c r="CF211" s="4714"/>
      <c r="CG211" s="4726"/>
    </row>
    <row r="212" spans="1:85" s="4705" customFormat="1">
      <c r="A212" s="4743"/>
      <c r="B212" s="4743"/>
      <c r="C212" s="4720"/>
      <c r="D212" s="4720"/>
      <c r="E212" s="4720"/>
      <c r="F212" s="4720"/>
      <c r="G212" s="4720"/>
      <c r="H212" s="4720"/>
      <c r="I212" s="4719"/>
      <c r="J212" s="4720"/>
      <c r="K212" s="4720"/>
      <c r="L212" s="4720"/>
      <c r="M212" s="4720"/>
      <c r="N212" s="4720"/>
      <c r="O212" s="4720"/>
      <c r="P212" s="4720"/>
      <c r="Q212" s="4719"/>
      <c r="R212" s="4720"/>
      <c r="S212" s="4720"/>
      <c r="T212" s="4720"/>
      <c r="U212" s="4720"/>
      <c r="V212" s="4720"/>
      <c r="W212" s="4720"/>
      <c r="X212" s="4720"/>
      <c r="Y212" s="4719"/>
      <c r="Z212" s="4720"/>
      <c r="AA212" s="4720"/>
      <c r="AB212" s="4720"/>
      <c r="AC212" s="4720"/>
      <c r="AD212" s="4720"/>
      <c r="AE212" s="4720"/>
      <c r="AF212" s="4720"/>
      <c r="AG212" s="4719"/>
      <c r="AH212" s="4720"/>
      <c r="AI212" s="4720"/>
      <c r="AJ212" s="4720"/>
      <c r="AK212" s="4720"/>
      <c r="AL212" s="4720"/>
      <c r="AM212" s="4720"/>
      <c r="AN212" s="4720"/>
      <c r="AO212" s="4719"/>
      <c r="AP212" s="4720"/>
      <c r="AQ212" s="4720"/>
      <c r="AR212" s="4720"/>
      <c r="AS212" s="4720"/>
      <c r="AT212" s="4720"/>
      <c r="AU212" s="4720"/>
      <c r="AV212" s="4720"/>
      <c r="AW212" s="4720"/>
      <c r="AX212" s="4720"/>
      <c r="AY212" s="4720"/>
      <c r="AZ212" s="4720"/>
      <c r="BA212" s="4720"/>
      <c r="BB212" s="4720"/>
      <c r="BC212" s="4720"/>
      <c r="BD212" s="4720"/>
      <c r="BE212" s="4720"/>
      <c r="BF212" s="4720"/>
      <c r="BG212" s="4720"/>
      <c r="BH212" s="4720"/>
      <c r="BP212" s="4720"/>
      <c r="BQ212" s="4720"/>
      <c r="BY212" s="4720"/>
      <c r="BZ212" s="4720"/>
      <c r="CB212" s="4714"/>
      <c r="CC212" s="4714"/>
      <c r="CD212" s="4714"/>
      <c r="CE212" s="4714"/>
      <c r="CF212" s="4714"/>
      <c r="CG212" s="4726"/>
    </row>
    <row r="213" spans="1:85" s="4705" customFormat="1">
      <c r="A213" s="4743"/>
      <c r="B213" s="4743"/>
      <c r="C213" s="4720"/>
      <c r="D213" s="4720"/>
      <c r="E213" s="4720"/>
      <c r="F213" s="4720"/>
      <c r="G213" s="4720"/>
      <c r="H213" s="4720"/>
      <c r="I213" s="4719"/>
      <c r="J213" s="4720"/>
      <c r="K213" s="4720"/>
      <c r="L213" s="4720"/>
      <c r="M213" s="4720"/>
      <c r="N213" s="4720"/>
      <c r="O213" s="4720"/>
      <c r="P213" s="4720"/>
      <c r="Q213" s="4719"/>
      <c r="R213" s="4720"/>
      <c r="S213" s="4720"/>
      <c r="T213" s="4720"/>
      <c r="U213" s="4720"/>
      <c r="V213" s="4720"/>
      <c r="W213" s="4720"/>
      <c r="X213" s="4720"/>
      <c r="Y213" s="4719"/>
      <c r="Z213" s="4720"/>
      <c r="AA213" s="4720"/>
      <c r="AB213" s="4720"/>
      <c r="AC213" s="4720"/>
      <c r="AD213" s="4720"/>
      <c r="AE213" s="4720"/>
      <c r="AF213" s="4720"/>
      <c r="AG213" s="4719"/>
      <c r="AH213" s="4720"/>
      <c r="AI213" s="4720"/>
      <c r="AJ213" s="4720"/>
      <c r="AK213" s="4720"/>
      <c r="AL213" s="4720"/>
      <c r="AM213" s="4720"/>
      <c r="AN213" s="4720"/>
      <c r="AO213" s="4719"/>
      <c r="AP213" s="4720"/>
      <c r="AQ213" s="4720"/>
      <c r="AR213" s="4720"/>
      <c r="AS213" s="4720"/>
      <c r="AT213" s="4720"/>
      <c r="AU213" s="4720"/>
      <c r="AV213" s="4720"/>
      <c r="AW213" s="4720"/>
      <c r="AX213" s="4720"/>
      <c r="AY213" s="4720"/>
      <c r="AZ213" s="4720"/>
      <c r="BA213" s="4720"/>
      <c r="BB213" s="4720"/>
      <c r="BC213" s="4720"/>
      <c r="BD213" s="4720"/>
      <c r="BE213" s="4720"/>
      <c r="BF213" s="4720"/>
      <c r="BG213" s="4720"/>
      <c r="BH213" s="4720"/>
      <c r="BP213" s="4720"/>
      <c r="BQ213" s="4720"/>
      <c r="BY213" s="4720"/>
      <c r="BZ213" s="4720"/>
      <c r="CB213" s="4714"/>
      <c r="CC213" s="4714"/>
      <c r="CD213" s="4714"/>
      <c r="CE213" s="4714"/>
      <c r="CF213" s="4714"/>
      <c r="CG213" s="4726"/>
    </row>
    <row r="214" spans="1:85" s="4705" customFormat="1">
      <c r="A214" s="4743"/>
      <c r="B214" s="4743"/>
      <c r="C214" s="4720"/>
      <c r="D214" s="4720"/>
      <c r="E214" s="4720"/>
      <c r="F214" s="4720"/>
      <c r="G214" s="4720"/>
      <c r="H214" s="4720"/>
      <c r="I214" s="4719"/>
      <c r="J214" s="4720"/>
      <c r="K214" s="4720"/>
      <c r="L214" s="4720"/>
      <c r="M214" s="4720"/>
      <c r="N214" s="4720"/>
      <c r="O214" s="4720"/>
      <c r="P214" s="4720"/>
      <c r="Q214" s="4719"/>
      <c r="R214" s="4720"/>
      <c r="S214" s="4720"/>
      <c r="T214" s="4720"/>
      <c r="U214" s="4720"/>
      <c r="V214" s="4720"/>
      <c r="W214" s="4720"/>
      <c r="X214" s="4720"/>
      <c r="Y214" s="4719"/>
      <c r="Z214" s="4720"/>
      <c r="AA214" s="4720"/>
      <c r="AB214" s="4720"/>
      <c r="AC214" s="4720"/>
      <c r="AD214" s="4720"/>
      <c r="AE214" s="4720"/>
      <c r="AF214" s="4720"/>
      <c r="AG214" s="4719"/>
      <c r="AH214" s="4720"/>
      <c r="AI214" s="4720"/>
      <c r="AJ214" s="4720"/>
      <c r="AK214" s="4720"/>
      <c r="AL214" s="4720"/>
      <c r="AM214" s="4720"/>
      <c r="AN214" s="4720"/>
      <c r="AO214" s="4719"/>
      <c r="AP214" s="4720"/>
      <c r="AQ214" s="4720"/>
      <c r="AR214" s="4720"/>
      <c r="AS214" s="4720"/>
      <c r="AT214" s="4720"/>
      <c r="AU214" s="4720"/>
      <c r="AV214" s="4720"/>
      <c r="AW214" s="4720"/>
      <c r="AX214" s="4720"/>
      <c r="AY214" s="4720"/>
      <c r="AZ214" s="4720"/>
      <c r="BA214" s="4720"/>
      <c r="BB214" s="4720"/>
      <c r="BC214" s="4720"/>
      <c r="BD214" s="4720"/>
      <c r="BE214" s="4720"/>
      <c r="BF214" s="4720"/>
      <c r="BG214" s="4720"/>
      <c r="BH214" s="4720"/>
      <c r="BP214" s="4720"/>
      <c r="BQ214" s="4720"/>
      <c r="BY214" s="4720"/>
      <c r="BZ214" s="4720"/>
      <c r="CB214" s="4714"/>
      <c r="CC214" s="4714"/>
      <c r="CD214" s="4714"/>
      <c r="CE214" s="4714"/>
      <c r="CF214" s="4714"/>
      <c r="CG214" s="4726"/>
    </row>
    <row r="215" spans="1:85" s="4705" customFormat="1">
      <c r="A215" s="4743"/>
      <c r="B215" s="4743"/>
      <c r="C215" s="4720"/>
      <c r="D215" s="4720"/>
      <c r="E215" s="4720"/>
      <c r="F215" s="4720"/>
      <c r="G215" s="4720"/>
      <c r="H215" s="4720"/>
      <c r="I215" s="4719"/>
      <c r="J215" s="4720"/>
      <c r="K215" s="4720"/>
      <c r="L215" s="4720"/>
      <c r="M215" s="4720"/>
      <c r="N215" s="4720"/>
      <c r="O215" s="4720"/>
      <c r="P215" s="4720"/>
      <c r="Q215" s="4719"/>
      <c r="R215" s="4720"/>
      <c r="S215" s="4720"/>
      <c r="T215" s="4720"/>
      <c r="U215" s="4720"/>
      <c r="V215" s="4720"/>
      <c r="W215" s="4720"/>
      <c r="X215" s="4720"/>
      <c r="Y215" s="4719"/>
      <c r="Z215" s="4720"/>
      <c r="AA215" s="4720"/>
      <c r="AB215" s="4720"/>
      <c r="AC215" s="4720"/>
      <c r="AD215" s="4720"/>
      <c r="AE215" s="4720"/>
      <c r="AF215" s="4720"/>
      <c r="AG215" s="4719"/>
      <c r="AH215" s="4720"/>
      <c r="AI215" s="4720"/>
      <c r="AJ215" s="4720"/>
      <c r="AK215" s="4720"/>
      <c r="AL215" s="4720"/>
      <c r="AM215" s="4720"/>
      <c r="AN215" s="4720"/>
      <c r="AO215" s="4719"/>
      <c r="AP215" s="4720"/>
      <c r="AQ215" s="4720"/>
      <c r="AR215" s="4720"/>
      <c r="AS215" s="4720"/>
      <c r="AT215" s="4720"/>
      <c r="AU215" s="4720"/>
      <c r="AV215" s="4720"/>
      <c r="AW215" s="4720"/>
      <c r="AX215" s="4720"/>
      <c r="AY215" s="4720"/>
      <c r="AZ215" s="4720"/>
      <c r="BA215" s="4720"/>
      <c r="BB215" s="4720"/>
      <c r="BC215" s="4720"/>
      <c r="BD215" s="4720"/>
      <c r="BE215" s="4720"/>
      <c r="BF215" s="4720"/>
      <c r="BG215" s="4720"/>
      <c r="BH215" s="4720"/>
      <c r="BP215" s="4720"/>
      <c r="BQ215" s="4720"/>
      <c r="BY215" s="4720"/>
      <c r="BZ215" s="4720"/>
      <c r="CB215" s="4714"/>
      <c r="CC215" s="4714"/>
      <c r="CD215" s="4714"/>
      <c r="CE215" s="4714"/>
      <c r="CF215" s="4714"/>
      <c r="CG215" s="4726"/>
    </row>
    <row r="216" spans="1:85" s="4705" customFormat="1">
      <c r="A216" s="4743"/>
      <c r="B216" s="4743"/>
      <c r="C216" s="4720"/>
      <c r="D216" s="4720"/>
      <c r="E216" s="4720"/>
      <c r="F216" s="4720"/>
      <c r="G216" s="4720"/>
      <c r="H216" s="4720"/>
      <c r="I216" s="4719"/>
      <c r="J216" s="4720"/>
      <c r="K216" s="4720"/>
      <c r="L216" s="4720"/>
      <c r="M216" s="4720"/>
      <c r="N216" s="4720"/>
      <c r="O216" s="4720"/>
      <c r="P216" s="4720"/>
      <c r="Q216" s="4719"/>
      <c r="R216" s="4720"/>
      <c r="S216" s="4720"/>
      <c r="T216" s="4720"/>
      <c r="U216" s="4720"/>
      <c r="V216" s="4720"/>
      <c r="W216" s="4720"/>
      <c r="X216" s="4720"/>
      <c r="Y216" s="4719"/>
      <c r="Z216" s="4720"/>
      <c r="AA216" s="4720"/>
      <c r="AB216" s="4720"/>
      <c r="AC216" s="4720"/>
      <c r="AD216" s="4720"/>
      <c r="AE216" s="4720"/>
      <c r="AF216" s="4720"/>
      <c r="AG216" s="4719"/>
      <c r="AH216" s="4720"/>
      <c r="AI216" s="4720"/>
      <c r="AJ216" s="4720"/>
      <c r="AK216" s="4720"/>
      <c r="AL216" s="4720"/>
      <c r="AM216" s="4720"/>
      <c r="AN216" s="4720"/>
      <c r="AO216" s="4719"/>
      <c r="AP216" s="4720"/>
      <c r="AQ216" s="4720"/>
      <c r="AR216" s="4720"/>
      <c r="AS216" s="4720"/>
      <c r="AT216" s="4720"/>
      <c r="AU216" s="4720"/>
      <c r="AV216" s="4720"/>
      <c r="AW216" s="4720"/>
      <c r="AX216" s="4720"/>
      <c r="AY216" s="4720"/>
      <c r="AZ216" s="4720"/>
      <c r="BA216" s="4720"/>
      <c r="BB216" s="4720"/>
      <c r="BC216" s="4720"/>
      <c r="BD216" s="4720"/>
      <c r="BE216" s="4720"/>
      <c r="BF216" s="4720"/>
      <c r="BG216" s="4720"/>
      <c r="BH216" s="4720"/>
      <c r="BP216" s="4720"/>
      <c r="BQ216" s="4720"/>
      <c r="BY216" s="4720"/>
      <c r="BZ216" s="4720"/>
      <c r="CB216" s="4714"/>
      <c r="CC216" s="4714"/>
      <c r="CD216" s="4714"/>
      <c r="CE216" s="4714"/>
      <c r="CF216" s="4714"/>
      <c r="CG216" s="4726"/>
    </row>
    <row r="217" spans="1:85" s="4705" customFormat="1">
      <c r="A217" s="4743"/>
      <c r="B217" s="4743"/>
      <c r="C217" s="4720"/>
      <c r="D217" s="4720"/>
      <c r="E217" s="4720"/>
      <c r="F217" s="4720"/>
      <c r="G217" s="4720"/>
      <c r="H217" s="4720"/>
      <c r="I217" s="4719"/>
      <c r="J217" s="4720"/>
      <c r="K217" s="4720"/>
      <c r="L217" s="4720"/>
      <c r="M217" s="4720"/>
      <c r="N217" s="4720"/>
      <c r="O217" s="4720"/>
      <c r="P217" s="4720"/>
      <c r="Q217" s="4719"/>
      <c r="R217" s="4720"/>
      <c r="S217" s="4720"/>
      <c r="T217" s="4720"/>
      <c r="U217" s="4720"/>
      <c r="V217" s="4720"/>
      <c r="W217" s="4720"/>
      <c r="X217" s="4720"/>
      <c r="Y217" s="4719"/>
      <c r="Z217" s="4720"/>
      <c r="AA217" s="4720"/>
      <c r="AB217" s="4720"/>
      <c r="AC217" s="4720"/>
      <c r="AD217" s="4720"/>
      <c r="AE217" s="4720"/>
      <c r="AF217" s="4720"/>
      <c r="AG217" s="4719"/>
      <c r="AH217" s="4720"/>
      <c r="AI217" s="4720"/>
      <c r="AJ217" s="4720"/>
      <c r="AK217" s="4720"/>
      <c r="AL217" s="4720"/>
      <c r="AM217" s="4720"/>
      <c r="AN217" s="4720"/>
      <c r="AO217" s="4719"/>
      <c r="AP217" s="4720"/>
      <c r="AQ217" s="4720"/>
      <c r="AR217" s="4720"/>
      <c r="AS217" s="4720"/>
      <c r="AT217" s="4720"/>
      <c r="AU217" s="4720"/>
      <c r="AV217" s="4720"/>
      <c r="AW217" s="4720"/>
      <c r="AX217" s="4720"/>
      <c r="AY217" s="4720"/>
      <c r="AZ217" s="4720"/>
      <c r="BA217" s="4720"/>
      <c r="BB217" s="4720"/>
      <c r="BC217" s="4720"/>
      <c r="BD217" s="4720"/>
      <c r="BE217" s="4720"/>
      <c r="BF217" s="4720"/>
      <c r="BG217" s="4720"/>
      <c r="BH217" s="4720"/>
      <c r="BP217" s="4720"/>
      <c r="BQ217" s="4720"/>
      <c r="BY217" s="4720"/>
      <c r="BZ217" s="4720"/>
      <c r="CB217" s="4714"/>
      <c r="CC217" s="4714"/>
      <c r="CD217" s="4714"/>
      <c r="CE217" s="4714"/>
      <c r="CF217" s="4714"/>
      <c r="CG217" s="4726"/>
    </row>
    <row r="218" spans="1:85" s="4705" customFormat="1">
      <c r="A218" s="4743"/>
      <c r="B218" s="4743"/>
      <c r="C218" s="4720"/>
      <c r="D218" s="4720"/>
      <c r="E218" s="4720"/>
      <c r="F218" s="4720"/>
      <c r="G218" s="4720"/>
      <c r="H218" s="4720"/>
      <c r="I218" s="4719"/>
      <c r="J218" s="4720"/>
      <c r="K218" s="4720"/>
      <c r="L218" s="4720"/>
      <c r="M218" s="4720"/>
      <c r="N218" s="4720"/>
      <c r="O218" s="4720"/>
      <c r="P218" s="4720"/>
      <c r="Q218" s="4719"/>
      <c r="R218" s="4720"/>
      <c r="S218" s="4720"/>
      <c r="T218" s="4720"/>
      <c r="U218" s="4720"/>
      <c r="V218" s="4720"/>
      <c r="W218" s="4720"/>
      <c r="X218" s="4720"/>
      <c r="Y218" s="4719"/>
      <c r="Z218" s="4720"/>
      <c r="AA218" s="4720"/>
      <c r="AB218" s="4720"/>
      <c r="AC218" s="4720"/>
      <c r="AD218" s="4720"/>
      <c r="AE218" s="4720"/>
      <c r="AF218" s="4720"/>
      <c r="AG218" s="4719"/>
      <c r="AH218" s="4720"/>
      <c r="AI218" s="4720"/>
      <c r="AJ218" s="4720"/>
      <c r="AK218" s="4720"/>
      <c r="AL218" s="4720"/>
      <c r="AM218" s="4720"/>
      <c r="AN218" s="4720"/>
      <c r="AO218" s="4719"/>
      <c r="AP218" s="4720"/>
      <c r="AQ218" s="4720"/>
      <c r="AR218" s="4720"/>
      <c r="AS218" s="4720"/>
      <c r="AT218" s="4720"/>
      <c r="AU218" s="4720"/>
      <c r="AV218" s="4720"/>
      <c r="AW218" s="4720"/>
      <c r="AX218" s="4720"/>
      <c r="AY218" s="4720"/>
      <c r="AZ218" s="4720"/>
      <c r="BA218" s="4720"/>
      <c r="BB218" s="4720"/>
      <c r="BC218" s="4720"/>
      <c r="BD218" s="4720"/>
      <c r="BE218" s="4720"/>
      <c r="BF218" s="4720"/>
      <c r="BG218" s="4720"/>
      <c r="BH218" s="4720"/>
      <c r="BP218" s="4720"/>
      <c r="BQ218" s="4720"/>
      <c r="BY218" s="4720"/>
      <c r="BZ218" s="4720"/>
      <c r="CB218" s="4714"/>
      <c r="CC218" s="4714"/>
      <c r="CD218" s="4714"/>
      <c r="CE218" s="4714"/>
      <c r="CF218" s="4714"/>
      <c r="CG218" s="4726"/>
    </row>
    <row r="219" spans="1:85" s="4705" customFormat="1">
      <c r="A219" s="4743"/>
      <c r="B219" s="4743"/>
      <c r="C219" s="4720"/>
      <c r="D219" s="4720"/>
      <c r="E219" s="4720"/>
      <c r="F219" s="4720"/>
      <c r="G219" s="4720"/>
      <c r="H219" s="4720"/>
      <c r="I219" s="4719"/>
      <c r="J219" s="4720"/>
      <c r="K219" s="4720"/>
      <c r="L219" s="4720"/>
      <c r="M219" s="4720"/>
      <c r="N219" s="4720"/>
      <c r="O219" s="4720"/>
      <c r="P219" s="4720"/>
      <c r="Q219" s="4719"/>
      <c r="R219" s="4720"/>
      <c r="S219" s="4720"/>
      <c r="T219" s="4720"/>
      <c r="U219" s="4720"/>
      <c r="V219" s="4720"/>
      <c r="W219" s="4720"/>
      <c r="X219" s="4720"/>
      <c r="Y219" s="4719"/>
      <c r="Z219" s="4720"/>
      <c r="AA219" s="4720"/>
      <c r="AB219" s="4720"/>
      <c r="AC219" s="4720"/>
      <c r="AD219" s="4720"/>
      <c r="AE219" s="4720"/>
      <c r="AF219" s="4720"/>
      <c r="AG219" s="4719"/>
      <c r="AH219" s="4720"/>
      <c r="AI219" s="4720"/>
      <c r="AJ219" s="4720"/>
      <c r="AK219" s="4720"/>
      <c r="AL219" s="4720"/>
      <c r="AM219" s="4720"/>
      <c r="AN219" s="4720"/>
      <c r="AO219" s="4719"/>
      <c r="AP219" s="4720"/>
      <c r="AQ219" s="4720"/>
      <c r="AR219" s="4720"/>
      <c r="AS219" s="4720"/>
      <c r="AT219" s="4720"/>
      <c r="AU219" s="4720"/>
      <c r="AV219" s="4720"/>
      <c r="AW219" s="4720"/>
      <c r="AX219" s="4720"/>
      <c r="AY219" s="4720"/>
      <c r="AZ219" s="4720"/>
      <c r="BA219" s="4720"/>
      <c r="BB219" s="4720"/>
      <c r="BC219" s="4720"/>
      <c r="BD219" s="4720"/>
      <c r="BE219" s="4720"/>
      <c r="BF219" s="4720"/>
      <c r="BG219" s="4720"/>
      <c r="BH219" s="4720"/>
      <c r="BP219" s="4720"/>
      <c r="BQ219" s="4720"/>
      <c r="BY219" s="4720"/>
      <c r="BZ219" s="4720"/>
      <c r="CB219" s="4714"/>
      <c r="CC219" s="4714"/>
      <c r="CD219" s="4714"/>
      <c r="CE219" s="4714"/>
      <c r="CF219" s="4714"/>
      <c r="CG219" s="4726"/>
    </row>
    <row r="220" spans="1:85" s="4705" customFormat="1">
      <c r="C220" s="4720"/>
      <c r="D220" s="4720"/>
      <c r="E220" s="4720"/>
      <c r="F220" s="4720"/>
      <c r="G220" s="4720"/>
      <c r="H220" s="4720"/>
      <c r="I220" s="4719"/>
      <c r="J220" s="4720"/>
      <c r="K220" s="4720"/>
      <c r="L220" s="4720"/>
      <c r="M220" s="4720"/>
      <c r="N220" s="4720"/>
      <c r="O220" s="4720"/>
      <c r="P220" s="4720"/>
      <c r="Q220" s="4719"/>
      <c r="R220" s="4720"/>
      <c r="S220" s="4720"/>
      <c r="T220" s="4720"/>
      <c r="U220" s="4720"/>
      <c r="V220" s="4720"/>
      <c r="W220" s="4720"/>
      <c r="X220" s="4720"/>
      <c r="Y220" s="4719"/>
      <c r="Z220" s="4720"/>
      <c r="AA220" s="4720"/>
      <c r="AB220" s="4720"/>
      <c r="AC220" s="4720"/>
      <c r="AD220" s="4720"/>
      <c r="AE220" s="4720"/>
      <c r="AF220" s="4720"/>
      <c r="AG220" s="4719"/>
      <c r="AH220" s="4720"/>
      <c r="AI220" s="4720"/>
      <c r="AJ220" s="4720"/>
      <c r="AK220" s="4720"/>
      <c r="AL220" s="4720"/>
      <c r="AM220" s="4720"/>
      <c r="AN220" s="4720"/>
      <c r="AO220" s="4719"/>
      <c r="AP220" s="4720"/>
      <c r="AQ220" s="4720"/>
      <c r="AR220" s="4720"/>
      <c r="AS220" s="4720"/>
      <c r="AT220" s="4720"/>
      <c r="AU220" s="4720"/>
      <c r="AV220" s="4720"/>
      <c r="AW220" s="4720"/>
      <c r="AX220" s="4720"/>
      <c r="AY220" s="4720"/>
      <c r="AZ220" s="4720"/>
      <c r="BA220" s="4720"/>
      <c r="BB220" s="4720"/>
      <c r="BC220" s="4720"/>
      <c r="BD220" s="4720"/>
      <c r="BE220" s="4720"/>
      <c r="BF220" s="4720"/>
      <c r="BG220" s="4720"/>
      <c r="BH220" s="4720"/>
      <c r="BP220" s="4720"/>
      <c r="BQ220" s="4720"/>
      <c r="BY220" s="4720"/>
      <c r="BZ220" s="4720"/>
      <c r="CB220" s="4714"/>
      <c r="CC220" s="4714"/>
      <c r="CD220" s="4714"/>
      <c r="CE220" s="4714"/>
      <c r="CF220" s="4714"/>
      <c r="CG220" s="4726"/>
    </row>
    <row r="221" spans="1:85" s="4705" customFormat="1">
      <c r="C221" s="4720"/>
      <c r="D221" s="4720"/>
      <c r="E221" s="4720"/>
      <c r="F221" s="4720"/>
      <c r="G221" s="4720"/>
      <c r="H221" s="4720"/>
      <c r="I221" s="4719"/>
      <c r="J221" s="4720"/>
      <c r="K221" s="4720"/>
      <c r="L221" s="4720"/>
      <c r="M221" s="4720"/>
      <c r="N221" s="4720"/>
      <c r="O221" s="4720"/>
      <c r="P221" s="4720"/>
      <c r="Q221" s="4719"/>
      <c r="R221" s="4720"/>
      <c r="S221" s="4720"/>
      <c r="T221" s="4720"/>
      <c r="U221" s="4720"/>
      <c r="V221" s="4720"/>
      <c r="W221" s="4720"/>
      <c r="X221" s="4720"/>
      <c r="Y221" s="4719"/>
      <c r="Z221" s="4720"/>
      <c r="AA221" s="4720"/>
      <c r="AB221" s="4720"/>
      <c r="AC221" s="4720"/>
      <c r="AD221" s="4720"/>
      <c r="AE221" s="4720"/>
      <c r="AF221" s="4720"/>
      <c r="AG221" s="4719"/>
      <c r="AH221" s="4720"/>
      <c r="AI221" s="4720"/>
      <c r="AJ221" s="4720"/>
      <c r="AK221" s="4720"/>
      <c r="AL221" s="4720"/>
      <c r="AM221" s="4720"/>
      <c r="AN221" s="4720"/>
      <c r="AO221" s="4719"/>
      <c r="AP221" s="4720"/>
      <c r="AQ221" s="4720"/>
      <c r="AR221" s="4720"/>
      <c r="AS221" s="4720"/>
      <c r="AT221" s="4720"/>
      <c r="AU221" s="4720"/>
      <c r="AV221" s="4720"/>
      <c r="AW221" s="4720"/>
      <c r="AX221" s="4720"/>
      <c r="AY221" s="4720"/>
      <c r="AZ221" s="4720"/>
      <c r="BA221" s="4720"/>
      <c r="BB221" s="4720"/>
      <c r="BC221" s="4720"/>
      <c r="BD221" s="4720"/>
      <c r="BE221" s="4720"/>
      <c r="BF221" s="4720"/>
      <c r="BG221" s="4720"/>
      <c r="BH221" s="4720"/>
      <c r="BP221" s="4720"/>
      <c r="BQ221" s="4720"/>
      <c r="BY221" s="4720"/>
      <c r="BZ221" s="4720"/>
      <c r="CB221" s="4714"/>
      <c r="CC221" s="4714"/>
      <c r="CD221" s="4714"/>
      <c r="CE221" s="4714"/>
      <c r="CF221" s="4714"/>
      <c r="CG221" s="4726"/>
    </row>
    <row r="222" spans="1:85" s="4705" customFormat="1">
      <c r="C222" s="4720"/>
      <c r="D222" s="4720"/>
      <c r="E222" s="4720"/>
      <c r="F222" s="4720"/>
      <c r="G222" s="4720"/>
      <c r="H222" s="4720"/>
      <c r="I222" s="4719"/>
      <c r="J222" s="4720"/>
      <c r="K222" s="4720"/>
      <c r="L222" s="4720"/>
      <c r="M222" s="4720"/>
      <c r="N222" s="4720"/>
      <c r="O222" s="4720"/>
      <c r="P222" s="4720"/>
      <c r="Q222" s="4719"/>
      <c r="R222" s="4720"/>
      <c r="S222" s="4720"/>
      <c r="T222" s="4720"/>
      <c r="U222" s="4720"/>
      <c r="V222" s="4720"/>
      <c r="W222" s="4720"/>
      <c r="X222" s="4720"/>
      <c r="Y222" s="4719"/>
      <c r="Z222" s="4720"/>
      <c r="AA222" s="4720"/>
      <c r="AB222" s="4720"/>
      <c r="AC222" s="4720"/>
      <c r="AD222" s="4720"/>
      <c r="AE222" s="4720"/>
      <c r="AF222" s="4720"/>
      <c r="AG222" s="4719"/>
      <c r="AH222" s="4720"/>
      <c r="AI222" s="4720"/>
      <c r="AJ222" s="4720"/>
      <c r="AK222" s="4720"/>
      <c r="AL222" s="4720"/>
      <c r="AM222" s="4720"/>
      <c r="AN222" s="4720"/>
      <c r="AO222" s="4719"/>
      <c r="AP222" s="4720"/>
      <c r="AQ222" s="4720"/>
      <c r="AR222" s="4720"/>
      <c r="AS222" s="4720"/>
      <c r="AT222" s="4720"/>
      <c r="AU222" s="4720"/>
      <c r="AV222" s="4720"/>
      <c r="AW222" s="4720"/>
      <c r="AX222" s="4720"/>
      <c r="AY222" s="4720"/>
      <c r="AZ222" s="4720"/>
      <c r="BA222" s="4720"/>
      <c r="BB222" s="4720"/>
      <c r="BC222" s="4720"/>
      <c r="BD222" s="4720"/>
      <c r="BE222" s="4720"/>
      <c r="BF222" s="4720"/>
      <c r="BG222" s="4720"/>
      <c r="BH222" s="4720"/>
      <c r="BP222" s="4720"/>
      <c r="BQ222" s="4720"/>
      <c r="BY222" s="4720"/>
      <c r="BZ222" s="4720"/>
      <c r="CB222" s="4714"/>
      <c r="CC222" s="4714"/>
      <c r="CD222" s="4714"/>
      <c r="CE222" s="4714"/>
      <c r="CF222" s="4714"/>
      <c r="CG222" s="4726"/>
    </row>
    <row r="223" spans="1:85" s="4705" customFormat="1">
      <c r="C223" s="4720"/>
      <c r="D223" s="4720"/>
      <c r="E223" s="4720"/>
      <c r="F223" s="4720"/>
      <c r="G223" s="4720"/>
      <c r="H223" s="4720"/>
      <c r="I223" s="4719"/>
      <c r="J223" s="4720"/>
      <c r="K223" s="4720"/>
      <c r="L223" s="4720"/>
      <c r="M223" s="4720"/>
      <c r="N223" s="4720"/>
      <c r="O223" s="4720"/>
      <c r="P223" s="4720"/>
      <c r="Q223" s="4719"/>
      <c r="R223" s="4720"/>
      <c r="S223" s="4720"/>
      <c r="T223" s="4720"/>
      <c r="U223" s="4720"/>
      <c r="V223" s="4720"/>
      <c r="W223" s="4720"/>
      <c r="X223" s="4720"/>
      <c r="Y223" s="4719"/>
      <c r="Z223" s="4720"/>
      <c r="AA223" s="4720"/>
      <c r="AB223" s="4720"/>
      <c r="AC223" s="4720"/>
      <c r="AD223" s="4720"/>
      <c r="AE223" s="4720"/>
      <c r="AF223" s="4720"/>
      <c r="AG223" s="4719"/>
      <c r="AH223" s="4720"/>
      <c r="AI223" s="4720"/>
      <c r="AJ223" s="4720"/>
      <c r="AK223" s="4720"/>
      <c r="AL223" s="4720"/>
      <c r="AM223" s="4720"/>
      <c r="AN223" s="4720"/>
      <c r="AO223" s="4719"/>
      <c r="AP223" s="4720"/>
      <c r="AQ223" s="4720"/>
      <c r="AR223" s="4720"/>
      <c r="AS223" s="4720"/>
      <c r="AT223" s="4720"/>
      <c r="AU223" s="4720"/>
      <c r="AV223" s="4720"/>
      <c r="AW223" s="4720"/>
      <c r="AX223" s="4720"/>
      <c r="AY223" s="4720"/>
      <c r="AZ223" s="4720"/>
      <c r="BA223" s="4720"/>
      <c r="BB223" s="4720"/>
      <c r="BC223" s="4720"/>
      <c r="BD223" s="4720"/>
      <c r="BE223" s="4720"/>
      <c r="BF223" s="4720"/>
      <c r="BG223" s="4720"/>
      <c r="BH223" s="4720"/>
      <c r="BP223" s="4720"/>
      <c r="BQ223" s="4720"/>
      <c r="BY223" s="4720"/>
      <c r="BZ223" s="4720"/>
      <c r="CB223" s="4714"/>
      <c r="CC223" s="4714"/>
      <c r="CD223" s="4714"/>
      <c r="CE223" s="4714"/>
      <c r="CF223" s="4714"/>
      <c r="CG223" s="4726"/>
    </row>
    <row r="224" spans="1:85" s="4705" customFormat="1">
      <c r="C224" s="4720"/>
      <c r="D224" s="4720"/>
      <c r="E224" s="4720"/>
      <c r="F224" s="4720"/>
      <c r="G224" s="4720"/>
      <c r="H224" s="4720"/>
      <c r="I224" s="4719"/>
      <c r="J224" s="4720"/>
      <c r="K224" s="4720"/>
      <c r="L224" s="4720"/>
      <c r="M224" s="4720"/>
      <c r="N224" s="4720"/>
      <c r="O224" s="4720"/>
      <c r="P224" s="4720"/>
      <c r="Q224" s="4719"/>
      <c r="R224" s="4720"/>
      <c r="S224" s="4720"/>
      <c r="T224" s="4720"/>
      <c r="U224" s="4720"/>
      <c r="V224" s="4720"/>
      <c r="W224" s="4720"/>
      <c r="X224" s="4720"/>
      <c r="Y224" s="4719"/>
      <c r="Z224" s="4720"/>
      <c r="AA224" s="4720"/>
      <c r="AB224" s="4720"/>
      <c r="AC224" s="4720"/>
      <c r="AD224" s="4720"/>
      <c r="AE224" s="4720"/>
      <c r="AF224" s="4720"/>
      <c r="AG224" s="4719"/>
      <c r="AH224" s="4720"/>
      <c r="AI224" s="4720"/>
      <c r="AJ224" s="4720"/>
      <c r="AK224" s="4720"/>
      <c r="AL224" s="4720"/>
      <c r="AM224" s="4720"/>
      <c r="AN224" s="4720"/>
      <c r="AO224" s="4719"/>
      <c r="AP224" s="4720"/>
      <c r="AQ224" s="4720"/>
      <c r="AR224" s="4720"/>
      <c r="AS224" s="4720"/>
      <c r="AT224" s="4720"/>
      <c r="AU224" s="4720"/>
      <c r="AV224" s="4720"/>
      <c r="AW224" s="4720"/>
      <c r="AX224" s="4720"/>
      <c r="AY224" s="4720"/>
      <c r="AZ224" s="4720"/>
      <c r="BA224" s="4720"/>
      <c r="BB224" s="4720"/>
      <c r="BC224" s="4720"/>
      <c r="BD224" s="4720"/>
      <c r="BE224" s="4720"/>
      <c r="BF224" s="4720"/>
      <c r="BG224" s="4720"/>
      <c r="BH224" s="4720"/>
      <c r="BP224" s="4720"/>
      <c r="BQ224" s="4720"/>
      <c r="BY224" s="4720"/>
      <c r="BZ224" s="4720"/>
      <c r="CB224" s="4714"/>
      <c r="CC224" s="4714"/>
      <c r="CD224" s="4714"/>
      <c r="CE224" s="4714"/>
      <c r="CF224" s="4714"/>
      <c r="CG224" s="4726"/>
    </row>
    <row r="225" spans="3:85" s="4705" customFormat="1">
      <c r="C225" s="4720"/>
      <c r="D225" s="4720"/>
      <c r="E225" s="4720"/>
      <c r="F225" s="4720"/>
      <c r="G225" s="4720"/>
      <c r="H225" s="4720"/>
      <c r="I225" s="4719"/>
      <c r="J225" s="4720"/>
      <c r="K225" s="4720"/>
      <c r="L225" s="4720"/>
      <c r="M225" s="4720"/>
      <c r="N225" s="4720"/>
      <c r="O225" s="4720"/>
      <c r="P225" s="4720"/>
      <c r="Q225" s="4719"/>
      <c r="R225" s="4720"/>
      <c r="S225" s="4720"/>
      <c r="T225" s="4720"/>
      <c r="U225" s="4720"/>
      <c r="V225" s="4720"/>
      <c r="W225" s="4720"/>
      <c r="X225" s="4720"/>
      <c r="Y225" s="4719"/>
      <c r="Z225" s="4720"/>
      <c r="AA225" s="4720"/>
      <c r="AB225" s="4720"/>
      <c r="AC225" s="4720"/>
      <c r="AD225" s="4720"/>
      <c r="AE225" s="4720"/>
      <c r="AF225" s="4720"/>
      <c r="AG225" s="4719"/>
      <c r="AH225" s="4720"/>
      <c r="AI225" s="4720"/>
      <c r="AJ225" s="4720"/>
      <c r="AK225" s="4720"/>
      <c r="AL225" s="4720"/>
      <c r="AM225" s="4720"/>
      <c r="AN225" s="4720"/>
      <c r="AO225" s="4719"/>
      <c r="AP225" s="4720"/>
      <c r="AQ225" s="4720"/>
      <c r="AR225" s="4720"/>
      <c r="AS225" s="4720"/>
      <c r="AT225" s="4720"/>
      <c r="AU225" s="4720"/>
      <c r="AV225" s="4720"/>
      <c r="AW225" s="4720"/>
      <c r="AX225" s="4720"/>
      <c r="AY225" s="4720"/>
      <c r="AZ225" s="4720"/>
      <c r="BA225" s="4720"/>
      <c r="BB225" s="4720"/>
      <c r="BC225" s="4720"/>
      <c r="BD225" s="4720"/>
      <c r="BE225" s="4720"/>
      <c r="BF225" s="4720"/>
      <c r="BG225" s="4720"/>
      <c r="BH225" s="4720"/>
      <c r="BP225" s="4720"/>
      <c r="BQ225" s="4720"/>
      <c r="BY225" s="4720"/>
      <c r="BZ225" s="4720"/>
      <c r="CB225" s="4714"/>
      <c r="CC225" s="4714"/>
      <c r="CD225" s="4714"/>
      <c r="CE225" s="4714"/>
      <c r="CF225" s="4714"/>
      <c r="CG225" s="4726"/>
    </row>
    <row r="226" spans="3:85" s="4705" customFormat="1">
      <c r="C226" s="4720"/>
      <c r="D226" s="4720"/>
      <c r="E226" s="4720"/>
      <c r="F226" s="4720"/>
      <c r="G226" s="4720"/>
      <c r="H226" s="4720"/>
      <c r="I226" s="4719"/>
      <c r="J226" s="4720"/>
      <c r="K226" s="4720"/>
      <c r="L226" s="4720"/>
      <c r="M226" s="4720"/>
      <c r="N226" s="4720"/>
      <c r="O226" s="4720"/>
      <c r="P226" s="4720"/>
      <c r="Q226" s="4719"/>
      <c r="R226" s="4720"/>
      <c r="S226" s="4720"/>
      <c r="T226" s="4720"/>
      <c r="U226" s="4720"/>
      <c r="V226" s="4720"/>
      <c r="W226" s="4720"/>
      <c r="X226" s="4720"/>
      <c r="Y226" s="4719"/>
      <c r="Z226" s="4720"/>
      <c r="AA226" s="4720"/>
      <c r="AB226" s="4720"/>
      <c r="AC226" s="4720"/>
      <c r="AD226" s="4720"/>
      <c r="AE226" s="4720"/>
      <c r="AF226" s="4720"/>
      <c r="AG226" s="4719"/>
      <c r="AH226" s="4720"/>
      <c r="AI226" s="4720"/>
      <c r="AJ226" s="4720"/>
      <c r="AK226" s="4720"/>
      <c r="AL226" s="4720"/>
      <c r="AM226" s="4720"/>
      <c r="AN226" s="4720"/>
      <c r="AO226" s="4719"/>
      <c r="AP226" s="4720"/>
      <c r="AQ226" s="4720"/>
      <c r="AR226" s="4720"/>
      <c r="AS226" s="4720"/>
      <c r="AT226" s="4720"/>
      <c r="AU226" s="4720"/>
      <c r="AV226" s="4720"/>
      <c r="AW226" s="4720"/>
      <c r="AX226" s="4720"/>
      <c r="AY226" s="4720"/>
      <c r="AZ226" s="4720"/>
      <c r="BA226" s="4720"/>
      <c r="BB226" s="4720"/>
      <c r="BC226" s="4720"/>
      <c r="BD226" s="4720"/>
      <c r="BE226" s="4720"/>
      <c r="BF226" s="4720"/>
      <c r="BG226" s="4720"/>
      <c r="BH226" s="4720"/>
      <c r="BP226" s="4720"/>
      <c r="BQ226" s="4720"/>
      <c r="BY226" s="4720"/>
      <c r="BZ226" s="4720"/>
      <c r="CB226" s="4714"/>
      <c r="CC226" s="4714"/>
      <c r="CD226" s="4714"/>
      <c r="CE226" s="4714"/>
      <c r="CF226" s="4714"/>
      <c r="CG226" s="4726"/>
    </row>
    <row r="227" spans="3:85" s="4705" customFormat="1">
      <c r="C227" s="4720"/>
      <c r="D227" s="4720"/>
      <c r="E227" s="4720"/>
      <c r="F227" s="4720"/>
      <c r="G227" s="4720"/>
      <c r="H227" s="4720"/>
      <c r="I227" s="4719"/>
      <c r="J227" s="4720"/>
      <c r="K227" s="4720"/>
      <c r="L227" s="4720"/>
      <c r="M227" s="4720"/>
      <c r="N227" s="4720"/>
      <c r="O227" s="4720"/>
      <c r="P227" s="4720"/>
      <c r="Q227" s="4719"/>
      <c r="R227" s="4720"/>
      <c r="S227" s="4720"/>
      <c r="T227" s="4720"/>
      <c r="U227" s="4720"/>
      <c r="V227" s="4720"/>
      <c r="W227" s="4720"/>
      <c r="X227" s="4720"/>
      <c r="Y227" s="4719"/>
      <c r="Z227" s="4720"/>
      <c r="AA227" s="4720"/>
      <c r="AB227" s="4720"/>
      <c r="AC227" s="4720"/>
      <c r="AD227" s="4720"/>
      <c r="AE227" s="4720"/>
      <c r="AF227" s="4720"/>
      <c r="AG227" s="4719"/>
      <c r="AH227" s="4720"/>
      <c r="AI227" s="4720"/>
      <c r="AJ227" s="4720"/>
      <c r="AK227" s="4720"/>
      <c r="AL227" s="4720"/>
      <c r="AM227" s="4720"/>
      <c r="AN227" s="4720"/>
      <c r="AO227" s="4719"/>
      <c r="AP227" s="4720"/>
      <c r="AQ227" s="4720"/>
      <c r="AR227" s="4720"/>
      <c r="AS227" s="4720"/>
      <c r="AT227" s="4720"/>
      <c r="AU227" s="4720"/>
      <c r="AV227" s="4720"/>
      <c r="AW227" s="4720"/>
      <c r="AX227" s="4720"/>
      <c r="AY227" s="4720"/>
      <c r="AZ227" s="4720"/>
      <c r="BA227" s="4720"/>
      <c r="BB227" s="4720"/>
      <c r="BC227" s="4720"/>
      <c r="BD227" s="4720"/>
      <c r="BE227" s="4720"/>
      <c r="BF227" s="4720"/>
      <c r="BG227" s="4720"/>
      <c r="BH227" s="4720"/>
      <c r="BP227" s="4720"/>
      <c r="BQ227" s="4720"/>
      <c r="BY227" s="4720"/>
      <c r="BZ227" s="4720"/>
      <c r="CB227" s="4714"/>
      <c r="CC227" s="4714"/>
      <c r="CD227" s="4714"/>
      <c r="CE227" s="4714"/>
      <c r="CF227" s="4714"/>
      <c r="CG227" s="4726"/>
    </row>
    <row r="228" spans="3:85" s="4705" customFormat="1">
      <c r="C228" s="4720"/>
      <c r="D228" s="4720"/>
      <c r="E228" s="4720"/>
      <c r="F228" s="4720"/>
      <c r="G228" s="4720"/>
      <c r="H228" s="4720"/>
      <c r="I228" s="4719"/>
      <c r="J228" s="4720"/>
      <c r="K228" s="4720"/>
      <c r="L228" s="4720"/>
      <c r="M228" s="4720"/>
      <c r="N228" s="4720"/>
      <c r="O228" s="4720"/>
      <c r="P228" s="4720"/>
      <c r="Q228" s="4719"/>
      <c r="R228" s="4720"/>
      <c r="S228" s="4720"/>
      <c r="T228" s="4720"/>
      <c r="U228" s="4720"/>
      <c r="V228" s="4720"/>
      <c r="W228" s="4720"/>
      <c r="X228" s="4720"/>
      <c r="Y228" s="4719"/>
      <c r="Z228" s="4720"/>
      <c r="AA228" s="4720"/>
      <c r="AB228" s="4720"/>
      <c r="AC228" s="4720"/>
      <c r="AD228" s="4720"/>
      <c r="AE228" s="4720"/>
      <c r="AF228" s="4720"/>
      <c r="AG228" s="4719"/>
      <c r="AH228" s="4720"/>
      <c r="AI228" s="4720"/>
      <c r="AJ228" s="4720"/>
      <c r="AK228" s="4720"/>
      <c r="AL228" s="4720"/>
      <c r="AM228" s="4720"/>
      <c r="AN228" s="4720"/>
      <c r="AO228" s="4719"/>
      <c r="AP228" s="4720"/>
      <c r="AQ228" s="4720"/>
      <c r="AR228" s="4720"/>
      <c r="AS228" s="4720"/>
      <c r="AT228" s="4720"/>
      <c r="AU228" s="4720"/>
      <c r="AV228" s="4720"/>
      <c r="AW228" s="4720"/>
      <c r="AX228" s="4720"/>
      <c r="AY228" s="4720"/>
      <c r="AZ228" s="4720"/>
      <c r="BA228" s="4720"/>
      <c r="BB228" s="4720"/>
      <c r="BC228" s="4720"/>
      <c r="BD228" s="4720"/>
      <c r="BE228" s="4720"/>
      <c r="BF228" s="4720"/>
      <c r="BG228" s="4720"/>
      <c r="BH228" s="4720"/>
      <c r="BP228" s="4720"/>
      <c r="BQ228" s="4720"/>
      <c r="BY228" s="4720"/>
      <c r="BZ228" s="4720"/>
      <c r="CB228" s="4714"/>
      <c r="CC228" s="4714"/>
      <c r="CD228" s="4714"/>
      <c r="CE228" s="4714"/>
      <c r="CF228" s="4714"/>
      <c r="CG228" s="4726"/>
    </row>
    <row r="229" spans="3:85" s="4705" customFormat="1">
      <c r="C229" s="4720"/>
      <c r="D229" s="4720"/>
      <c r="E229" s="4720"/>
      <c r="F229" s="4720"/>
      <c r="G229" s="4720"/>
      <c r="H229" s="4720"/>
      <c r="I229" s="4719"/>
      <c r="J229" s="4720"/>
      <c r="K229" s="4720"/>
      <c r="L229" s="4720"/>
      <c r="M229" s="4720"/>
      <c r="N229" s="4720"/>
      <c r="O229" s="4720"/>
      <c r="P229" s="4720"/>
      <c r="Q229" s="4719"/>
      <c r="R229" s="4720"/>
      <c r="S229" s="4720"/>
      <c r="T229" s="4720"/>
      <c r="U229" s="4720"/>
      <c r="V229" s="4720"/>
      <c r="W229" s="4720"/>
      <c r="X229" s="4720"/>
      <c r="Y229" s="4719"/>
      <c r="Z229" s="4720"/>
      <c r="AA229" s="4720"/>
      <c r="AB229" s="4720"/>
      <c r="AC229" s="4720"/>
      <c r="AD229" s="4720"/>
      <c r="AE229" s="4720"/>
      <c r="AF229" s="4720"/>
      <c r="AG229" s="4719"/>
      <c r="AH229" s="4720"/>
      <c r="AI229" s="4720"/>
      <c r="AJ229" s="4720"/>
      <c r="AK229" s="4720"/>
      <c r="AL229" s="4720"/>
      <c r="AM229" s="4720"/>
      <c r="AN229" s="4720"/>
      <c r="AO229" s="4719"/>
      <c r="AP229" s="4720"/>
      <c r="AQ229" s="4720"/>
      <c r="AR229" s="4720"/>
      <c r="AS229" s="4720"/>
      <c r="AT229" s="4720"/>
      <c r="AU229" s="4720"/>
      <c r="AV229" s="4720"/>
      <c r="AW229" s="4720"/>
      <c r="AX229" s="4720"/>
      <c r="AY229" s="4720"/>
      <c r="AZ229" s="4720"/>
      <c r="BA229" s="4720"/>
      <c r="BB229" s="4720"/>
      <c r="BC229" s="4720"/>
      <c r="BD229" s="4720"/>
      <c r="BE229" s="4720"/>
      <c r="BF229" s="4720"/>
      <c r="BG229" s="4720"/>
      <c r="BH229" s="4720"/>
      <c r="BP229" s="4720"/>
      <c r="BQ229" s="4720"/>
      <c r="BY229" s="4720"/>
      <c r="BZ229" s="4720"/>
      <c r="CB229" s="4714"/>
      <c r="CC229" s="4714"/>
      <c r="CD229" s="4714"/>
      <c r="CE229" s="4714"/>
      <c r="CF229" s="4714"/>
      <c r="CG229" s="4726"/>
    </row>
    <row r="230" spans="3:85" s="4705" customFormat="1">
      <c r="C230" s="4720"/>
      <c r="D230" s="4720"/>
      <c r="E230" s="4720"/>
      <c r="F230" s="4720"/>
      <c r="G230" s="4720"/>
      <c r="H230" s="4720"/>
      <c r="I230" s="4719"/>
      <c r="J230" s="4720"/>
      <c r="K230" s="4720"/>
      <c r="L230" s="4720"/>
      <c r="M230" s="4720"/>
      <c r="N230" s="4720"/>
      <c r="O230" s="4720"/>
      <c r="P230" s="4720"/>
      <c r="Q230" s="4719"/>
      <c r="R230" s="4720"/>
      <c r="S230" s="4720"/>
      <c r="T230" s="4720"/>
      <c r="U230" s="4720"/>
      <c r="V230" s="4720"/>
      <c r="W230" s="4720"/>
      <c r="X230" s="4720"/>
      <c r="Y230" s="4719"/>
      <c r="Z230" s="4720"/>
      <c r="AA230" s="4720"/>
      <c r="AB230" s="4720"/>
      <c r="AC230" s="4720"/>
      <c r="AD230" s="4720"/>
      <c r="AE230" s="4720"/>
      <c r="AF230" s="4720"/>
      <c r="AG230" s="4719"/>
      <c r="AH230" s="4720"/>
      <c r="AI230" s="4720"/>
      <c r="AJ230" s="4720"/>
      <c r="AK230" s="4720"/>
      <c r="AL230" s="4720"/>
      <c r="AM230" s="4720"/>
      <c r="AN230" s="4720"/>
      <c r="AO230" s="4719"/>
      <c r="AP230" s="4720"/>
      <c r="AQ230" s="4720"/>
      <c r="AR230" s="4720"/>
      <c r="AS230" s="4720"/>
      <c r="AT230" s="4720"/>
      <c r="AU230" s="4720"/>
      <c r="AV230" s="4720"/>
      <c r="AW230" s="4720"/>
      <c r="AX230" s="4720"/>
      <c r="AY230" s="4720"/>
      <c r="AZ230" s="4720"/>
      <c r="BA230" s="4720"/>
      <c r="BB230" s="4720"/>
      <c r="BC230" s="4720"/>
      <c r="BD230" s="4720"/>
      <c r="BE230" s="4720"/>
      <c r="BF230" s="4720"/>
      <c r="BG230" s="4720"/>
      <c r="BH230" s="4720"/>
      <c r="BP230" s="4720"/>
      <c r="BQ230" s="4720"/>
      <c r="BY230" s="4720"/>
      <c r="BZ230" s="4720"/>
      <c r="CB230" s="4714"/>
      <c r="CC230" s="4714"/>
      <c r="CD230" s="4714"/>
      <c r="CE230" s="4714"/>
      <c r="CF230" s="4714"/>
      <c r="CG230" s="4726"/>
    </row>
    <row r="231" spans="3:85" s="4705" customFormat="1">
      <c r="C231" s="4720"/>
      <c r="D231" s="4720"/>
      <c r="E231" s="4720"/>
      <c r="F231" s="4720"/>
      <c r="G231" s="4720"/>
      <c r="H231" s="4720"/>
      <c r="I231" s="4719"/>
      <c r="J231" s="4720"/>
      <c r="K231" s="4720"/>
      <c r="L231" s="4720"/>
      <c r="M231" s="4720"/>
      <c r="N231" s="4720"/>
      <c r="O231" s="4720"/>
      <c r="P231" s="4720"/>
      <c r="Q231" s="4719"/>
      <c r="R231" s="4720"/>
      <c r="S231" s="4720"/>
      <c r="T231" s="4720"/>
      <c r="U231" s="4720"/>
      <c r="V231" s="4720"/>
      <c r="W231" s="4720"/>
      <c r="X231" s="4720"/>
      <c r="Y231" s="4719"/>
      <c r="Z231" s="4720"/>
      <c r="AA231" s="4720"/>
      <c r="AB231" s="4720"/>
      <c r="AC231" s="4720"/>
      <c r="AD231" s="4720"/>
      <c r="AE231" s="4720"/>
      <c r="AF231" s="4720"/>
      <c r="AG231" s="4719"/>
      <c r="AH231" s="4720"/>
      <c r="AI231" s="4720"/>
      <c r="AJ231" s="4720"/>
      <c r="AK231" s="4720"/>
      <c r="AL231" s="4720"/>
      <c r="AM231" s="4720"/>
      <c r="AN231" s="4720"/>
      <c r="AO231" s="4719"/>
      <c r="AP231" s="4720"/>
      <c r="AQ231" s="4720"/>
      <c r="AR231" s="4720"/>
      <c r="AS231" s="4720"/>
      <c r="AT231" s="4720"/>
      <c r="AU231" s="4720"/>
      <c r="AV231" s="4720"/>
      <c r="AW231" s="4720"/>
      <c r="AX231" s="4720"/>
      <c r="AY231" s="4720"/>
      <c r="AZ231" s="4720"/>
      <c r="BA231" s="4720"/>
      <c r="BB231" s="4720"/>
      <c r="BC231" s="4720"/>
      <c r="BD231" s="4720"/>
      <c r="BE231" s="4720"/>
      <c r="BF231" s="4720"/>
      <c r="BG231" s="4720"/>
      <c r="BH231" s="4720"/>
      <c r="BP231" s="4720"/>
      <c r="BQ231" s="4720"/>
      <c r="BY231" s="4720"/>
      <c r="BZ231" s="4720"/>
      <c r="CB231" s="4714"/>
      <c r="CC231" s="4714"/>
      <c r="CD231" s="4714"/>
      <c r="CE231" s="4714"/>
      <c r="CF231" s="4714"/>
      <c r="CG231" s="4726"/>
    </row>
    <row r="232" spans="3:85" s="4705" customFormat="1">
      <c r="C232" s="4720"/>
      <c r="D232" s="4720"/>
      <c r="E232" s="4720"/>
      <c r="F232" s="4720"/>
      <c r="G232" s="4720"/>
      <c r="H232" s="4720"/>
      <c r="I232" s="4719"/>
      <c r="J232" s="4720"/>
      <c r="K232" s="4720"/>
      <c r="L232" s="4720"/>
      <c r="M232" s="4720"/>
      <c r="N232" s="4720"/>
      <c r="O232" s="4720"/>
      <c r="P232" s="4720"/>
      <c r="Q232" s="4719"/>
      <c r="R232" s="4720"/>
      <c r="S232" s="4720"/>
      <c r="T232" s="4720"/>
      <c r="U232" s="4720"/>
      <c r="V232" s="4720"/>
      <c r="W232" s="4720"/>
      <c r="X232" s="4720"/>
      <c r="Y232" s="4719"/>
      <c r="Z232" s="4720"/>
      <c r="AA232" s="4720"/>
      <c r="AB232" s="4720"/>
      <c r="AC232" s="4720"/>
      <c r="AD232" s="4720"/>
      <c r="AE232" s="4720"/>
      <c r="AF232" s="4720"/>
      <c r="AG232" s="4719"/>
      <c r="AH232" s="4720"/>
      <c r="AI232" s="4720"/>
      <c r="AJ232" s="4720"/>
      <c r="AK232" s="4720"/>
      <c r="AL232" s="4720"/>
      <c r="AM232" s="4720"/>
      <c r="AN232" s="4720"/>
      <c r="AO232" s="4719"/>
      <c r="AP232" s="4720"/>
      <c r="AQ232" s="4720"/>
      <c r="AR232" s="4720"/>
      <c r="AS232" s="4720"/>
      <c r="AT232" s="4720"/>
      <c r="AU232" s="4720"/>
      <c r="AV232" s="4720"/>
      <c r="AW232" s="4720"/>
      <c r="AX232" s="4720"/>
      <c r="AY232" s="4720"/>
      <c r="AZ232" s="4720"/>
      <c r="BA232" s="4720"/>
      <c r="BB232" s="4720"/>
      <c r="BC232" s="4720"/>
      <c r="BD232" s="4720"/>
      <c r="BE232" s="4720"/>
      <c r="BF232" s="4720"/>
      <c r="BG232" s="4720"/>
      <c r="BH232" s="4720"/>
      <c r="BP232" s="4720"/>
      <c r="BQ232" s="4720"/>
      <c r="BY232" s="4720"/>
      <c r="BZ232" s="4720"/>
      <c r="CB232" s="4714"/>
      <c r="CC232" s="4714"/>
      <c r="CD232" s="4714"/>
      <c r="CE232" s="4714"/>
      <c r="CF232" s="4714"/>
      <c r="CG232" s="4726"/>
    </row>
    <row r="233" spans="3:85" s="4705" customFormat="1">
      <c r="C233" s="4720"/>
      <c r="D233" s="4720"/>
      <c r="E233" s="4720"/>
      <c r="F233" s="4720"/>
      <c r="G233" s="4720"/>
      <c r="H233" s="4720"/>
      <c r="I233" s="4719"/>
      <c r="J233" s="4720"/>
      <c r="K233" s="4720"/>
      <c r="L233" s="4720"/>
      <c r="M233" s="4720"/>
      <c r="N233" s="4720"/>
      <c r="O233" s="4720"/>
      <c r="P233" s="4720"/>
      <c r="Q233" s="4719"/>
      <c r="R233" s="4720"/>
      <c r="S233" s="4720"/>
      <c r="T233" s="4720"/>
      <c r="U233" s="4720"/>
      <c r="V233" s="4720"/>
      <c r="W233" s="4720"/>
      <c r="X233" s="4720"/>
      <c r="Y233" s="4719"/>
      <c r="Z233" s="4720"/>
      <c r="AA233" s="4720"/>
      <c r="AB233" s="4720"/>
      <c r="AC233" s="4720"/>
      <c r="AD233" s="4720"/>
      <c r="AE233" s="4720"/>
      <c r="AF233" s="4720"/>
      <c r="AG233" s="4719"/>
      <c r="AH233" s="4720"/>
      <c r="AI233" s="4720"/>
      <c r="AJ233" s="4720"/>
      <c r="AK233" s="4720"/>
      <c r="AL233" s="4720"/>
      <c r="AM233" s="4720"/>
      <c r="AN233" s="4720"/>
      <c r="AO233" s="4719"/>
      <c r="AP233" s="4720"/>
      <c r="AQ233" s="4720"/>
      <c r="AR233" s="4720"/>
      <c r="AS233" s="4720"/>
      <c r="AT233" s="4720"/>
      <c r="AU233" s="4720"/>
      <c r="AV233" s="4720"/>
      <c r="AW233" s="4720"/>
      <c r="AX233" s="4720"/>
      <c r="AY233" s="4720"/>
      <c r="AZ233" s="4720"/>
      <c r="BA233" s="4720"/>
      <c r="BB233" s="4720"/>
      <c r="BC233" s="4720"/>
      <c r="BD233" s="4720"/>
      <c r="BE233" s="4720"/>
      <c r="BF233" s="4720"/>
      <c r="BG233" s="4720"/>
      <c r="BH233" s="4720"/>
      <c r="BP233" s="4720"/>
      <c r="BQ233" s="4720"/>
      <c r="BY233" s="4720"/>
      <c r="BZ233" s="4720"/>
      <c r="CB233" s="4714"/>
      <c r="CC233" s="4714"/>
      <c r="CD233" s="4714"/>
      <c r="CE233" s="4714"/>
      <c r="CF233" s="4714"/>
      <c r="CG233" s="4726"/>
    </row>
    <row r="234" spans="3:85" s="4705" customFormat="1">
      <c r="C234" s="4720"/>
      <c r="D234" s="4720"/>
      <c r="E234" s="4720"/>
      <c r="F234" s="4720"/>
      <c r="G234" s="4720"/>
      <c r="H234" s="4720"/>
      <c r="I234" s="4719"/>
      <c r="J234" s="4720"/>
      <c r="K234" s="4720"/>
      <c r="L234" s="4720"/>
      <c r="M234" s="4720"/>
      <c r="N234" s="4720"/>
      <c r="O234" s="4720"/>
      <c r="P234" s="4720"/>
      <c r="Q234" s="4719"/>
      <c r="R234" s="4720"/>
      <c r="S234" s="4720"/>
      <c r="T234" s="4720"/>
      <c r="U234" s="4720"/>
      <c r="V234" s="4720"/>
      <c r="W234" s="4720"/>
      <c r="X234" s="4720"/>
      <c r="Y234" s="4719"/>
      <c r="Z234" s="4720"/>
      <c r="AA234" s="4720"/>
      <c r="AB234" s="4720"/>
      <c r="AC234" s="4720"/>
      <c r="AD234" s="4720"/>
      <c r="AE234" s="4720"/>
      <c r="AF234" s="4720"/>
      <c r="AG234" s="4719"/>
      <c r="AH234" s="4720"/>
      <c r="AI234" s="4720"/>
      <c r="AJ234" s="4720"/>
      <c r="AK234" s="4720"/>
      <c r="AL234" s="4720"/>
      <c r="AM234" s="4720"/>
      <c r="AN234" s="4720"/>
      <c r="AO234" s="4719"/>
      <c r="AP234" s="4720"/>
      <c r="AQ234" s="4720"/>
      <c r="AR234" s="4720"/>
      <c r="AS234" s="4720"/>
      <c r="AT234" s="4720"/>
      <c r="AU234" s="4720"/>
      <c r="AV234" s="4720"/>
      <c r="AW234" s="4720"/>
      <c r="AX234" s="4720"/>
      <c r="AY234" s="4720"/>
      <c r="AZ234" s="4720"/>
      <c r="BA234" s="4720"/>
      <c r="BB234" s="4720"/>
      <c r="BC234" s="4720"/>
      <c r="BD234" s="4720"/>
      <c r="BE234" s="4720"/>
      <c r="BF234" s="4720"/>
      <c r="BG234" s="4720"/>
      <c r="BH234" s="4720"/>
      <c r="BP234" s="4720"/>
      <c r="BQ234" s="4720"/>
      <c r="BY234" s="4720"/>
      <c r="BZ234" s="4720"/>
      <c r="CB234" s="4714"/>
      <c r="CC234" s="4714"/>
      <c r="CD234" s="4714"/>
      <c r="CE234" s="4714"/>
      <c r="CF234" s="4714"/>
      <c r="CG234" s="4726"/>
    </row>
    <row r="235" spans="3:85" s="4705" customFormat="1">
      <c r="C235" s="4720"/>
      <c r="D235" s="4720"/>
      <c r="E235" s="4720"/>
      <c r="F235" s="4720"/>
      <c r="G235" s="4720"/>
      <c r="H235" s="4720"/>
      <c r="I235" s="4719"/>
      <c r="J235" s="4720"/>
      <c r="K235" s="4720"/>
      <c r="L235" s="4720"/>
      <c r="M235" s="4720"/>
      <c r="N235" s="4720"/>
      <c r="O235" s="4720"/>
      <c r="P235" s="4720"/>
      <c r="Q235" s="4719"/>
      <c r="R235" s="4720"/>
      <c r="S235" s="4720"/>
      <c r="T235" s="4720"/>
      <c r="U235" s="4720"/>
      <c r="V235" s="4720"/>
      <c r="W235" s="4720"/>
      <c r="X235" s="4720"/>
      <c r="Y235" s="4719"/>
      <c r="Z235" s="4720"/>
      <c r="AA235" s="4720"/>
      <c r="AB235" s="4720"/>
      <c r="AC235" s="4720"/>
      <c r="AD235" s="4720"/>
      <c r="AE235" s="4720"/>
      <c r="AF235" s="4720"/>
      <c r="AG235" s="4719"/>
      <c r="AH235" s="4720"/>
      <c r="AI235" s="4720"/>
      <c r="AJ235" s="4720"/>
      <c r="AK235" s="4720"/>
      <c r="AL235" s="4720"/>
      <c r="AM235" s="4720"/>
      <c r="AN235" s="4720"/>
      <c r="AO235" s="4719"/>
      <c r="AP235" s="4720"/>
      <c r="AQ235" s="4720"/>
      <c r="AR235" s="4720"/>
      <c r="AS235" s="4720"/>
      <c r="AT235" s="4720"/>
      <c r="AU235" s="4720"/>
      <c r="AV235" s="4720"/>
      <c r="AW235" s="4720"/>
      <c r="AX235" s="4720"/>
      <c r="AY235" s="4720"/>
      <c r="AZ235" s="4720"/>
      <c r="BA235" s="4720"/>
      <c r="BB235" s="4720"/>
      <c r="BC235" s="4720"/>
      <c r="BD235" s="4720"/>
      <c r="BE235" s="4720"/>
      <c r="BF235" s="4720"/>
      <c r="BG235" s="4720"/>
      <c r="BH235" s="4720"/>
      <c r="BP235" s="4720"/>
      <c r="BQ235" s="4720"/>
      <c r="BY235" s="4720"/>
      <c r="BZ235" s="4720"/>
      <c r="CB235" s="4714"/>
      <c r="CC235" s="4714"/>
      <c r="CD235" s="4714"/>
      <c r="CE235" s="4714"/>
      <c r="CF235" s="4714"/>
      <c r="CG235" s="4726"/>
    </row>
    <row r="236" spans="3:85" s="4705" customFormat="1">
      <c r="C236" s="4720"/>
      <c r="D236" s="4720"/>
      <c r="E236" s="4720"/>
      <c r="F236" s="4720"/>
      <c r="G236" s="4720"/>
      <c r="H236" s="4720"/>
      <c r="I236" s="4719"/>
      <c r="J236" s="4720"/>
      <c r="K236" s="4720"/>
      <c r="L236" s="4720"/>
      <c r="M236" s="4720"/>
      <c r="N236" s="4720"/>
      <c r="O236" s="4720"/>
      <c r="P236" s="4720"/>
      <c r="Q236" s="4719"/>
      <c r="R236" s="4720"/>
      <c r="S236" s="4720"/>
      <c r="T236" s="4720"/>
      <c r="U236" s="4720"/>
      <c r="V236" s="4720"/>
      <c r="W236" s="4720"/>
      <c r="X236" s="4720"/>
      <c r="Y236" s="4719"/>
      <c r="Z236" s="4720"/>
      <c r="AA236" s="4720"/>
      <c r="AB236" s="4720"/>
      <c r="AC236" s="4720"/>
      <c r="AD236" s="4720"/>
      <c r="AE236" s="4720"/>
      <c r="AF236" s="4720"/>
      <c r="AG236" s="4719"/>
      <c r="AH236" s="4720"/>
      <c r="AI236" s="4720"/>
      <c r="AJ236" s="4720"/>
      <c r="AK236" s="4720"/>
      <c r="AL236" s="4720"/>
      <c r="AM236" s="4720"/>
      <c r="AN236" s="4720"/>
      <c r="AO236" s="4719"/>
      <c r="AP236" s="4720"/>
      <c r="AQ236" s="4720"/>
      <c r="AR236" s="4720"/>
      <c r="AS236" s="4720"/>
      <c r="AT236" s="4720"/>
      <c r="AU236" s="4720"/>
      <c r="AV236" s="4720"/>
      <c r="AW236" s="4720"/>
      <c r="AX236" s="4720"/>
      <c r="AY236" s="4720"/>
      <c r="AZ236" s="4720"/>
      <c r="BA236" s="4720"/>
      <c r="BB236" s="4720"/>
      <c r="BC236" s="4720"/>
      <c r="BD236" s="4720"/>
      <c r="BE236" s="4720"/>
      <c r="BF236" s="4720"/>
      <c r="BG236" s="4720"/>
      <c r="BH236" s="4720"/>
      <c r="BP236" s="4720"/>
      <c r="BQ236" s="4720"/>
      <c r="BY236" s="4720"/>
      <c r="BZ236" s="4720"/>
      <c r="CB236" s="4714"/>
      <c r="CC236" s="4714"/>
      <c r="CD236" s="4714"/>
      <c r="CE236" s="4714"/>
      <c r="CF236" s="4714"/>
      <c r="CG236" s="4726"/>
    </row>
    <row r="237" spans="3:85" s="4705" customFormat="1">
      <c r="C237" s="4720"/>
      <c r="D237" s="4720"/>
      <c r="E237" s="4720"/>
      <c r="F237" s="4720"/>
      <c r="G237" s="4720"/>
      <c r="H237" s="4720"/>
      <c r="I237" s="4719"/>
      <c r="J237" s="4720"/>
      <c r="K237" s="4720"/>
      <c r="L237" s="4720"/>
      <c r="M237" s="4720"/>
      <c r="N237" s="4720"/>
      <c r="O237" s="4720"/>
      <c r="P237" s="4720"/>
      <c r="Q237" s="4719"/>
      <c r="R237" s="4720"/>
      <c r="S237" s="4720"/>
      <c r="T237" s="4720"/>
      <c r="U237" s="4720"/>
      <c r="V237" s="4720"/>
      <c r="W237" s="4720"/>
      <c r="X237" s="4720"/>
      <c r="Y237" s="4719"/>
      <c r="Z237" s="4720"/>
      <c r="AA237" s="4720"/>
      <c r="AB237" s="4720"/>
      <c r="AC237" s="4720"/>
      <c r="AD237" s="4720"/>
      <c r="AE237" s="4720"/>
      <c r="AF237" s="4720"/>
      <c r="AG237" s="4719"/>
      <c r="AH237" s="4720"/>
      <c r="AI237" s="4720"/>
      <c r="AJ237" s="4720"/>
      <c r="AK237" s="4720"/>
      <c r="AL237" s="4720"/>
      <c r="AM237" s="4720"/>
      <c r="AN237" s="4720"/>
      <c r="AO237" s="4719"/>
      <c r="AP237" s="4720"/>
      <c r="AQ237" s="4720"/>
      <c r="AR237" s="4720"/>
      <c r="AS237" s="4720"/>
      <c r="AT237" s="4720"/>
      <c r="AU237" s="4720"/>
      <c r="AV237" s="4720"/>
      <c r="AW237" s="4720"/>
      <c r="AX237" s="4720"/>
      <c r="AY237" s="4720"/>
      <c r="AZ237" s="4720"/>
      <c r="BA237" s="4720"/>
      <c r="BB237" s="4720"/>
      <c r="BC237" s="4720"/>
      <c r="BD237" s="4720"/>
      <c r="BE237" s="4720"/>
      <c r="BF237" s="4720"/>
      <c r="BG237" s="4720"/>
      <c r="BH237" s="4720"/>
      <c r="BP237" s="4720"/>
      <c r="BQ237" s="4720"/>
      <c r="BY237" s="4720"/>
      <c r="BZ237" s="4720"/>
      <c r="CB237" s="4714"/>
      <c r="CC237" s="4714"/>
      <c r="CD237" s="4714"/>
      <c r="CE237" s="4714"/>
      <c r="CF237" s="4714"/>
      <c r="CG237" s="4726"/>
    </row>
    <row r="238" spans="3:85" s="4705" customFormat="1">
      <c r="C238" s="4720"/>
      <c r="D238" s="4720"/>
      <c r="E238" s="4720"/>
      <c r="F238" s="4720"/>
      <c r="G238" s="4720"/>
      <c r="H238" s="4720"/>
      <c r="I238" s="4719"/>
      <c r="J238" s="4720"/>
      <c r="K238" s="4720"/>
      <c r="L238" s="4720"/>
      <c r="M238" s="4720"/>
      <c r="N238" s="4720"/>
      <c r="O238" s="4720"/>
      <c r="P238" s="4720"/>
      <c r="Q238" s="4719"/>
      <c r="R238" s="4720"/>
      <c r="S238" s="4720"/>
      <c r="T238" s="4720"/>
      <c r="U238" s="4720"/>
      <c r="V238" s="4720"/>
      <c r="W238" s="4720"/>
      <c r="X238" s="4720"/>
      <c r="Y238" s="4719"/>
      <c r="Z238" s="4720"/>
      <c r="AA238" s="4720"/>
      <c r="AB238" s="4720"/>
      <c r="AC238" s="4720"/>
      <c r="AD238" s="4720"/>
      <c r="AE238" s="4720"/>
      <c r="AF238" s="4720"/>
      <c r="AG238" s="4719"/>
      <c r="AH238" s="4720"/>
      <c r="AI238" s="4720"/>
      <c r="AJ238" s="4720"/>
      <c r="AK238" s="4720"/>
      <c r="AL238" s="4720"/>
      <c r="AM238" s="4720"/>
      <c r="AN238" s="4720"/>
      <c r="AO238" s="4719"/>
      <c r="AP238" s="4720"/>
      <c r="AQ238" s="4720"/>
      <c r="AR238" s="4720"/>
      <c r="AS238" s="4720"/>
      <c r="AT238" s="4720"/>
      <c r="AU238" s="4720"/>
      <c r="AV238" s="4720"/>
      <c r="AW238" s="4720"/>
      <c r="AX238" s="4720"/>
      <c r="AY238" s="4720"/>
      <c r="AZ238" s="4720"/>
      <c r="BA238" s="4720"/>
      <c r="BB238" s="4720"/>
      <c r="BC238" s="4720"/>
      <c r="BD238" s="4720"/>
      <c r="BE238" s="4720"/>
      <c r="BF238" s="4720"/>
      <c r="BG238" s="4720"/>
      <c r="BH238" s="4720"/>
      <c r="BP238" s="4720"/>
      <c r="BQ238" s="4720"/>
      <c r="BY238" s="4720"/>
      <c r="BZ238" s="4720"/>
      <c r="CB238" s="4714"/>
      <c r="CC238" s="4714"/>
      <c r="CD238" s="4714"/>
      <c r="CE238" s="4714"/>
      <c r="CF238" s="4714"/>
      <c r="CG238" s="4726"/>
    </row>
    <row r="239" spans="3:85" s="4705" customFormat="1">
      <c r="C239" s="4720"/>
      <c r="D239" s="4720"/>
      <c r="E239" s="4720"/>
      <c r="F239" s="4720"/>
      <c r="G239" s="4720"/>
      <c r="H239" s="4720"/>
      <c r="I239" s="4719"/>
      <c r="J239" s="4720"/>
      <c r="K239" s="4720"/>
      <c r="L239" s="4720"/>
      <c r="M239" s="4720"/>
      <c r="N239" s="4720"/>
      <c r="O239" s="4720"/>
      <c r="P239" s="4720"/>
      <c r="Q239" s="4719"/>
      <c r="R239" s="4720"/>
      <c r="S239" s="4720"/>
      <c r="T239" s="4720"/>
      <c r="U239" s="4720"/>
      <c r="V239" s="4720"/>
      <c r="W239" s="4720"/>
      <c r="X239" s="4720"/>
      <c r="Y239" s="4719"/>
      <c r="Z239" s="4720"/>
      <c r="AA239" s="4720"/>
      <c r="AB239" s="4720"/>
      <c r="AC239" s="4720"/>
      <c r="AD239" s="4720"/>
      <c r="AE239" s="4720"/>
      <c r="AF239" s="4720"/>
      <c r="AG239" s="4719"/>
      <c r="AH239" s="4720"/>
      <c r="AI239" s="4720"/>
      <c r="AJ239" s="4720"/>
      <c r="AK239" s="4720"/>
      <c r="AL239" s="4720"/>
      <c r="AM239" s="4720"/>
      <c r="AN239" s="4720"/>
      <c r="AO239" s="4719"/>
      <c r="AP239" s="4720"/>
      <c r="AQ239" s="4720"/>
      <c r="AR239" s="4720"/>
      <c r="AS239" s="4720"/>
      <c r="AT239" s="4720"/>
      <c r="AU239" s="4720"/>
      <c r="AV239" s="4720"/>
      <c r="AW239" s="4720"/>
      <c r="AX239" s="4720"/>
      <c r="AY239" s="4720"/>
      <c r="AZ239" s="4720"/>
      <c r="BA239" s="4720"/>
      <c r="BB239" s="4720"/>
      <c r="BC239" s="4720"/>
      <c r="BD239" s="4720"/>
      <c r="BE239" s="4720"/>
      <c r="BF239" s="4720"/>
      <c r="BG239" s="4720"/>
      <c r="BH239" s="4720"/>
      <c r="BP239" s="4720"/>
      <c r="BQ239" s="4720"/>
      <c r="BY239" s="4720"/>
      <c r="BZ239" s="4720"/>
      <c r="CB239" s="4714"/>
      <c r="CC239" s="4714"/>
      <c r="CD239" s="4714"/>
      <c r="CE239" s="4714"/>
      <c r="CF239" s="4714"/>
      <c r="CG239" s="4726"/>
    </row>
    <row r="240" spans="3:85" s="4705" customFormat="1">
      <c r="C240" s="4720"/>
      <c r="D240" s="4720"/>
      <c r="E240" s="4720"/>
      <c r="F240" s="4720"/>
      <c r="G240" s="4720"/>
      <c r="H240" s="4720"/>
      <c r="I240" s="4719"/>
      <c r="J240" s="4720"/>
      <c r="K240" s="4720"/>
      <c r="L240" s="4720"/>
      <c r="M240" s="4720"/>
      <c r="N240" s="4720"/>
      <c r="O240" s="4720"/>
      <c r="P240" s="4720"/>
      <c r="Q240" s="4719"/>
      <c r="R240" s="4720"/>
      <c r="S240" s="4720"/>
      <c r="T240" s="4720"/>
      <c r="U240" s="4720"/>
      <c r="V240" s="4720"/>
      <c r="W240" s="4720"/>
      <c r="X240" s="4720"/>
      <c r="Y240" s="4719"/>
      <c r="Z240" s="4720"/>
      <c r="AA240" s="4720"/>
      <c r="AB240" s="4720"/>
      <c r="AC240" s="4720"/>
      <c r="AD240" s="4720"/>
      <c r="AE240" s="4720"/>
      <c r="AF240" s="4720"/>
      <c r="AG240" s="4719"/>
      <c r="AH240" s="4720"/>
      <c r="AI240" s="4720"/>
      <c r="AJ240" s="4720"/>
      <c r="AK240" s="4720"/>
      <c r="AL240" s="4720"/>
      <c r="AM240" s="4720"/>
      <c r="AN240" s="4720"/>
      <c r="AO240" s="4719"/>
      <c r="AP240" s="4720"/>
      <c r="AQ240" s="4720"/>
      <c r="AR240" s="4720"/>
      <c r="AS240" s="4720"/>
      <c r="AT240" s="4720"/>
      <c r="AU240" s="4720"/>
      <c r="AV240" s="4720"/>
      <c r="AW240" s="4720"/>
      <c r="AX240" s="4720"/>
      <c r="AY240" s="4720"/>
      <c r="AZ240" s="4720"/>
      <c r="BA240" s="4720"/>
      <c r="BB240" s="4720"/>
      <c r="BC240" s="4720"/>
      <c r="BD240" s="4720"/>
      <c r="BE240" s="4720"/>
      <c r="BF240" s="4720"/>
      <c r="BG240" s="4720"/>
      <c r="BH240" s="4720"/>
      <c r="BP240" s="4720"/>
      <c r="BQ240" s="4720"/>
      <c r="BY240" s="4720"/>
      <c r="BZ240" s="4720"/>
      <c r="CB240" s="4714"/>
      <c r="CC240" s="4714"/>
      <c r="CD240" s="4714"/>
      <c r="CE240" s="4714"/>
      <c r="CF240" s="4714"/>
      <c r="CG240" s="4726"/>
    </row>
    <row r="241" spans="3:85" s="4705" customFormat="1">
      <c r="C241" s="4720"/>
      <c r="D241" s="4720"/>
      <c r="E241" s="4720"/>
      <c r="F241" s="4720"/>
      <c r="G241" s="4720"/>
      <c r="H241" s="4720"/>
      <c r="I241" s="4719"/>
      <c r="J241" s="4720"/>
      <c r="K241" s="4720"/>
      <c r="L241" s="4720"/>
      <c r="M241" s="4720"/>
      <c r="N241" s="4720"/>
      <c r="O241" s="4720"/>
      <c r="P241" s="4720"/>
      <c r="Q241" s="4719"/>
      <c r="R241" s="4720"/>
      <c r="S241" s="4720"/>
      <c r="T241" s="4720"/>
      <c r="U241" s="4720"/>
      <c r="V241" s="4720"/>
      <c r="W241" s="4720"/>
      <c r="X241" s="4720"/>
      <c r="Y241" s="4719"/>
      <c r="Z241" s="4720"/>
      <c r="AA241" s="4720"/>
      <c r="AB241" s="4720"/>
      <c r="AC241" s="4720"/>
      <c r="AD241" s="4720"/>
      <c r="AE241" s="4720"/>
      <c r="AF241" s="4720"/>
      <c r="AG241" s="4719"/>
      <c r="AH241" s="4720"/>
      <c r="AI241" s="4720"/>
      <c r="AJ241" s="4720"/>
      <c r="AK241" s="4720"/>
      <c r="AL241" s="4720"/>
      <c r="AM241" s="4720"/>
      <c r="AN241" s="4720"/>
      <c r="AO241" s="4719"/>
      <c r="AP241" s="4720"/>
      <c r="AQ241" s="4720"/>
      <c r="AR241" s="4720"/>
      <c r="AS241" s="4720"/>
      <c r="AT241" s="4720"/>
      <c r="AU241" s="4720"/>
      <c r="AV241" s="4720"/>
      <c r="AW241" s="4720"/>
      <c r="AX241" s="4720"/>
      <c r="AY241" s="4720"/>
      <c r="AZ241" s="4720"/>
      <c r="BA241" s="4720"/>
      <c r="BB241" s="4720"/>
      <c r="BC241" s="4720"/>
      <c r="BD241" s="4720"/>
      <c r="BE241" s="4720"/>
      <c r="BF241" s="4720"/>
      <c r="BG241" s="4720"/>
      <c r="BH241" s="4720"/>
      <c r="BP241" s="4720"/>
      <c r="BQ241" s="4720"/>
      <c r="BY241" s="4720"/>
      <c r="BZ241" s="4720"/>
      <c r="CB241" s="4714"/>
      <c r="CC241" s="4714"/>
      <c r="CD241" s="4714"/>
      <c r="CE241" s="4714"/>
      <c r="CF241" s="4714"/>
      <c r="CG241" s="4726"/>
    </row>
    <row r="242" spans="3:85" s="4705" customFormat="1">
      <c r="C242" s="4720"/>
      <c r="D242" s="4720"/>
      <c r="E242" s="4720"/>
      <c r="F242" s="4720"/>
      <c r="G242" s="4720"/>
      <c r="H242" s="4720"/>
      <c r="I242" s="4719"/>
      <c r="J242" s="4720"/>
      <c r="K242" s="4720"/>
      <c r="L242" s="4720"/>
      <c r="M242" s="4720"/>
      <c r="N242" s="4720"/>
      <c r="O242" s="4720"/>
      <c r="P242" s="4720"/>
      <c r="Q242" s="4719"/>
      <c r="R242" s="4720"/>
      <c r="S242" s="4720"/>
      <c r="T242" s="4720"/>
      <c r="U242" s="4720"/>
      <c r="V242" s="4720"/>
      <c r="W242" s="4720"/>
      <c r="X242" s="4720"/>
      <c r="Y242" s="4719"/>
      <c r="Z242" s="4720"/>
      <c r="AA242" s="4720"/>
      <c r="AB242" s="4720"/>
      <c r="AC242" s="4720"/>
      <c r="AD242" s="4720"/>
      <c r="AE242" s="4720"/>
      <c r="AF242" s="4720"/>
      <c r="AG242" s="4719"/>
      <c r="AH242" s="4720"/>
      <c r="AI242" s="4720"/>
      <c r="AJ242" s="4720"/>
      <c r="AK242" s="4720"/>
      <c r="AL242" s="4720"/>
      <c r="AM242" s="4720"/>
      <c r="AN242" s="4720"/>
      <c r="AO242" s="4719"/>
      <c r="AP242" s="4720"/>
      <c r="AQ242" s="4720"/>
      <c r="AR242" s="4720"/>
      <c r="AS242" s="4720"/>
      <c r="AT242" s="4720"/>
      <c r="AU242" s="4720"/>
      <c r="AV242" s="4720"/>
      <c r="AW242" s="4720"/>
      <c r="AX242" s="4720"/>
      <c r="AY242" s="4720"/>
      <c r="AZ242" s="4720"/>
      <c r="BA242" s="4720"/>
      <c r="BB242" s="4720"/>
      <c r="BC242" s="4720"/>
      <c r="BD242" s="4720"/>
      <c r="BE242" s="4720"/>
      <c r="BF242" s="4720"/>
      <c r="BG242" s="4720"/>
      <c r="BH242" s="4720"/>
      <c r="BP242" s="4720"/>
      <c r="BQ242" s="4720"/>
      <c r="BY242" s="4720"/>
      <c r="BZ242" s="4720"/>
      <c r="CB242" s="4714"/>
      <c r="CC242" s="4714"/>
      <c r="CD242" s="4714"/>
      <c r="CE242" s="4714"/>
      <c r="CF242" s="4714"/>
      <c r="CG242" s="4726"/>
    </row>
    <row r="243" spans="3:85" s="4705" customFormat="1">
      <c r="C243" s="4720"/>
      <c r="D243" s="4720"/>
      <c r="E243" s="4720"/>
      <c r="F243" s="4720"/>
      <c r="G243" s="4720"/>
      <c r="H243" s="4720"/>
      <c r="I243" s="4719"/>
      <c r="J243" s="4720"/>
      <c r="K243" s="4720"/>
      <c r="L243" s="4720"/>
      <c r="M243" s="4720"/>
      <c r="N243" s="4720"/>
      <c r="O243" s="4720"/>
      <c r="P243" s="4720"/>
      <c r="Q243" s="4719"/>
      <c r="R243" s="4720"/>
      <c r="S243" s="4720"/>
      <c r="T243" s="4720"/>
      <c r="U243" s="4720"/>
      <c r="V243" s="4720"/>
      <c r="W243" s="4720"/>
      <c r="X243" s="4720"/>
      <c r="Y243" s="4719"/>
      <c r="Z243" s="4720"/>
      <c r="AA243" s="4720"/>
      <c r="AB243" s="4720"/>
      <c r="AC243" s="4720"/>
      <c r="AD243" s="4720"/>
      <c r="AE243" s="4720"/>
      <c r="AF243" s="4720"/>
      <c r="AG243" s="4719"/>
      <c r="AH243" s="4720"/>
      <c r="AI243" s="4720"/>
      <c r="AJ243" s="4720"/>
      <c r="AK243" s="4720"/>
      <c r="AL243" s="4720"/>
      <c r="AM243" s="4720"/>
      <c r="AN243" s="4720"/>
      <c r="AO243" s="4719"/>
      <c r="AP243" s="4720"/>
      <c r="AQ243" s="4720"/>
      <c r="AR243" s="4720"/>
      <c r="AS243" s="4720"/>
      <c r="AT243" s="4720"/>
      <c r="AU243" s="4720"/>
      <c r="AV243" s="4720"/>
      <c r="AW243" s="4720"/>
      <c r="AX243" s="4720"/>
      <c r="AY243" s="4720"/>
      <c r="AZ243" s="4720"/>
      <c r="BA243" s="4720"/>
      <c r="BB243" s="4720"/>
      <c r="BC243" s="4720"/>
      <c r="BD243" s="4720"/>
      <c r="BE243" s="4720"/>
      <c r="BF243" s="4720"/>
      <c r="BG243" s="4720"/>
      <c r="BH243" s="4720"/>
      <c r="BP243" s="4720"/>
      <c r="BQ243" s="4720"/>
      <c r="BY243" s="4720"/>
      <c r="BZ243" s="4720"/>
      <c r="CB243" s="4714"/>
      <c r="CC243" s="4714"/>
      <c r="CD243" s="4714"/>
      <c r="CE243" s="4714"/>
      <c r="CF243" s="4714"/>
      <c r="CG243" s="4726"/>
    </row>
    <row r="244" spans="3:85" s="4705" customFormat="1">
      <c r="C244" s="4720"/>
      <c r="D244" s="4720"/>
      <c r="E244" s="4720"/>
      <c r="F244" s="4720"/>
      <c r="G244" s="4720"/>
      <c r="H244" s="4720"/>
      <c r="I244" s="4719"/>
      <c r="J244" s="4720"/>
      <c r="K244" s="4720"/>
      <c r="L244" s="4720"/>
      <c r="M244" s="4720"/>
      <c r="N244" s="4720"/>
      <c r="O244" s="4720"/>
      <c r="P244" s="4720"/>
      <c r="Q244" s="4719"/>
      <c r="R244" s="4720"/>
      <c r="S244" s="4720"/>
      <c r="T244" s="4720"/>
      <c r="U244" s="4720"/>
      <c r="V244" s="4720"/>
      <c r="W244" s="4720"/>
      <c r="X244" s="4720"/>
      <c r="Y244" s="4719"/>
      <c r="Z244" s="4720"/>
      <c r="AA244" s="4720"/>
      <c r="AB244" s="4720"/>
      <c r="AC244" s="4720"/>
      <c r="AD244" s="4720"/>
      <c r="AE244" s="4720"/>
      <c r="AF244" s="4720"/>
      <c r="AG244" s="4719"/>
      <c r="AH244" s="4720"/>
      <c r="AI244" s="4720"/>
      <c r="AJ244" s="4720"/>
      <c r="AK244" s="4720"/>
      <c r="AL244" s="4720"/>
      <c r="AM244" s="4720"/>
      <c r="AN244" s="4720"/>
      <c r="AO244" s="4719"/>
      <c r="AP244" s="4720"/>
      <c r="AQ244" s="4720"/>
      <c r="AR244" s="4720"/>
      <c r="AS244" s="4720"/>
      <c r="AT244" s="4720"/>
      <c r="AU244" s="4720"/>
      <c r="AV244" s="4720"/>
      <c r="AW244" s="4720"/>
      <c r="AX244" s="4720"/>
      <c r="AY244" s="4720"/>
      <c r="AZ244" s="4720"/>
      <c r="BA244" s="4720"/>
      <c r="BB244" s="4720"/>
      <c r="BC244" s="4720"/>
      <c r="BD244" s="4720"/>
      <c r="BE244" s="4720"/>
      <c r="BF244" s="4720"/>
      <c r="BG244" s="4720"/>
      <c r="BH244" s="4720"/>
      <c r="BP244" s="4720"/>
      <c r="BQ244" s="4720"/>
      <c r="BY244" s="4720"/>
      <c r="BZ244" s="4720"/>
      <c r="CB244" s="4714"/>
      <c r="CC244" s="4714"/>
      <c r="CD244" s="4714"/>
      <c r="CE244" s="4714"/>
      <c r="CF244" s="4714"/>
      <c r="CG244" s="4726"/>
    </row>
    <row r="245" spans="3:85" s="4705" customFormat="1">
      <c r="C245" s="4720"/>
      <c r="D245" s="4720"/>
      <c r="E245" s="4720"/>
      <c r="F245" s="4720"/>
      <c r="G245" s="4720"/>
      <c r="H245" s="4720"/>
      <c r="I245" s="4719"/>
      <c r="J245" s="4720"/>
      <c r="K245" s="4720"/>
      <c r="L245" s="4720"/>
      <c r="M245" s="4720"/>
      <c r="N245" s="4720"/>
      <c r="O245" s="4720"/>
      <c r="P245" s="4720"/>
      <c r="Q245" s="4719"/>
      <c r="R245" s="4720"/>
      <c r="S245" s="4720"/>
      <c r="T245" s="4720"/>
      <c r="U245" s="4720"/>
      <c r="V245" s="4720"/>
      <c r="W245" s="4720"/>
      <c r="X245" s="4720"/>
      <c r="Y245" s="4719"/>
      <c r="Z245" s="4720"/>
      <c r="AA245" s="4720"/>
      <c r="AB245" s="4720"/>
      <c r="AC245" s="4720"/>
      <c r="AD245" s="4720"/>
      <c r="AE245" s="4720"/>
      <c r="AF245" s="4720"/>
      <c r="AG245" s="4719"/>
      <c r="AH245" s="4720"/>
      <c r="AI245" s="4720"/>
      <c r="AJ245" s="4720"/>
      <c r="AK245" s="4720"/>
      <c r="AL245" s="4720"/>
      <c r="AM245" s="4720"/>
      <c r="AN245" s="4720"/>
      <c r="AO245" s="4719"/>
      <c r="AP245" s="4720"/>
      <c r="AQ245" s="4720"/>
      <c r="AR245" s="4720"/>
      <c r="AS245" s="4720"/>
      <c r="AT245" s="4720"/>
      <c r="AU245" s="4720"/>
      <c r="AV245" s="4720"/>
      <c r="AW245" s="4720"/>
      <c r="AX245" s="4720"/>
      <c r="AY245" s="4720"/>
      <c r="AZ245" s="4720"/>
      <c r="BA245" s="4720"/>
      <c r="BB245" s="4720"/>
      <c r="BC245" s="4720"/>
      <c r="BD245" s="4720"/>
      <c r="BE245" s="4720"/>
      <c r="BF245" s="4720"/>
      <c r="BG245" s="4720"/>
      <c r="BH245" s="4720"/>
      <c r="BP245" s="4720"/>
      <c r="BQ245" s="4720"/>
      <c r="BY245" s="4720"/>
      <c r="BZ245" s="4720"/>
      <c r="CB245" s="4714"/>
      <c r="CC245" s="4714"/>
      <c r="CD245" s="4714"/>
      <c r="CE245" s="4714"/>
      <c r="CF245" s="4714"/>
      <c r="CG245" s="4726"/>
    </row>
    <row r="246" spans="3:85" s="4705" customFormat="1">
      <c r="C246" s="4720"/>
      <c r="D246" s="4720"/>
      <c r="E246" s="4720"/>
      <c r="F246" s="4720"/>
      <c r="G246" s="4720"/>
      <c r="H246" s="4720"/>
      <c r="I246" s="4719"/>
      <c r="J246" s="4720"/>
      <c r="K246" s="4720"/>
      <c r="L246" s="4720"/>
      <c r="M246" s="4720"/>
      <c r="N246" s="4720"/>
      <c r="O246" s="4720"/>
      <c r="P246" s="4720"/>
      <c r="Q246" s="4719"/>
      <c r="R246" s="4720"/>
      <c r="S246" s="4720"/>
      <c r="T246" s="4720"/>
      <c r="U246" s="4720"/>
      <c r="V246" s="4720"/>
      <c r="W246" s="4720"/>
      <c r="X246" s="4720"/>
      <c r="Y246" s="4719"/>
      <c r="Z246" s="4720"/>
      <c r="AA246" s="4720"/>
      <c r="AB246" s="4720"/>
      <c r="AC246" s="4720"/>
      <c r="AD246" s="4720"/>
      <c r="AE246" s="4720"/>
      <c r="AF246" s="4720"/>
      <c r="AG246" s="4719"/>
      <c r="AH246" s="4720"/>
      <c r="AI246" s="4720"/>
      <c r="AJ246" s="4720"/>
      <c r="AK246" s="4720"/>
      <c r="AL246" s="4720"/>
      <c r="AM246" s="4720"/>
      <c r="AN246" s="4720"/>
      <c r="AO246" s="4719"/>
      <c r="AP246" s="4720"/>
      <c r="AQ246" s="4720"/>
      <c r="AR246" s="4720"/>
      <c r="AS246" s="4720"/>
      <c r="AT246" s="4720"/>
      <c r="AU246" s="4720"/>
      <c r="AV246" s="4720"/>
      <c r="AW246" s="4720"/>
      <c r="AX246" s="4720"/>
      <c r="AY246" s="4720"/>
      <c r="AZ246" s="4720"/>
      <c r="BA246" s="4720"/>
      <c r="BB246" s="4720"/>
      <c r="BC246" s="4720"/>
      <c r="BD246" s="4720"/>
      <c r="BE246" s="4720"/>
      <c r="BF246" s="4720"/>
      <c r="BG246" s="4720"/>
      <c r="BH246" s="4720"/>
      <c r="BP246" s="4720"/>
      <c r="BQ246" s="4720"/>
      <c r="BY246" s="4720"/>
      <c r="BZ246" s="4720"/>
      <c r="CB246" s="4714"/>
      <c r="CC246" s="4714"/>
      <c r="CD246" s="4714"/>
      <c r="CE246" s="4714"/>
      <c r="CF246" s="4714"/>
      <c r="CG246" s="4726"/>
    </row>
    <row r="247" spans="3:85" s="4705" customFormat="1">
      <c r="C247" s="4720"/>
      <c r="D247" s="4720"/>
      <c r="E247" s="4720"/>
      <c r="F247" s="4720"/>
      <c r="G247" s="4720"/>
      <c r="H247" s="4720"/>
      <c r="I247" s="4719"/>
      <c r="J247" s="4720"/>
      <c r="K247" s="4720"/>
      <c r="L247" s="4720"/>
      <c r="M247" s="4720"/>
      <c r="N247" s="4720"/>
      <c r="O247" s="4720"/>
      <c r="P247" s="4720"/>
      <c r="Q247" s="4719"/>
      <c r="R247" s="4720"/>
      <c r="S247" s="4720"/>
      <c r="T247" s="4720"/>
      <c r="U247" s="4720"/>
      <c r="V247" s="4720"/>
      <c r="W247" s="4720"/>
      <c r="X247" s="4720"/>
      <c r="Y247" s="4719"/>
      <c r="Z247" s="4720"/>
      <c r="AA247" s="4720"/>
      <c r="AB247" s="4720"/>
      <c r="AC247" s="4720"/>
      <c r="AD247" s="4720"/>
      <c r="AE247" s="4720"/>
      <c r="AF247" s="4720"/>
      <c r="AG247" s="4719"/>
      <c r="AH247" s="4720"/>
      <c r="AI247" s="4720"/>
      <c r="AJ247" s="4720"/>
      <c r="AK247" s="4720"/>
      <c r="AL247" s="4720"/>
      <c r="AM247" s="4720"/>
      <c r="AN247" s="4720"/>
      <c r="AO247" s="4719"/>
      <c r="AP247" s="4720"/>
      <c r="AQ247" s="4720"/>
      <c r="AR247" s="4720"/>
      <c r="AS247" s="4720"/>
      <c r="AT247" s="4720"/>
      <c r="AU247" s="4720"/>
      <c r="AV247" s="4720"/>
      <c r="AW247" s="4720"/>
      <c r="AX247" s="4720"/>
      <c r="AY247" s="4720"/>
      <c r="AZ247" s="4720"/>
      <c r="BA247" s="4720"/>
      <c r="BB247" s="4720"/>
      <c r="BC247" s="4720"/>
      <c r="BD247" s="4720"/>
      <c r="BE247" s="4720"/>
      <c r="BF247" s="4720"/>
      <c r="BG247" s="4720"/>
      <c r="BH247" s="4720"/>
      <c r="BP247" s="4720"/>
      <c r="BQ247" s="4720"/>
      <c r="BY247" s="4720"/>
      <c r="BZ247" s="4720"/>
      <c r="CB247" s="4714"/>
      <c r="CC247" s="4714"/>
      <c r="CD247" s="4714"/>
      <c r="CE247" s="4714"/>
      <c r="CF247" s="4714"/>
      <c r="CG247" s="4726"/>
    </row>
    <row r="248" spans="3:85" s="4705" customFormat="1">
      <c r="C248" s="4720"/>
      <c r="D248" s="4720"/>
      <c r="E248" s="4720"/>
      <c r="F248" s="4720"/>
      <c r="G248" s="4720"/>
      <c r="H248" s="4720"/>
      <c r="I248" s="4719"/>
      <c r="J248" s="4720"/>
      <c r="K248" s="4720"/>
      <c r="L248" s="4720"/>
      <c r="M248" s="4720"/>
      <c r="N248" s="4720"/>
      <c r="O248" s="4720"/>
      <c r="P248" s="4720"/>
      <c r="Q248" s="4719"/>
      <c r="R248" s="4720"/>
      <c r="S248" s="4720"/>
      <c r="T248" s="4720"/>
      <c r="U248" s="4720"/>
      <c r="V248" s="4720"/>
      <c r="W248" s="4720"/>
      <c r="X248" s="4720"/>
      <c r="Y248" s="4719"/>
      <c r="Z248" s="4720"/>
      <c r="AA248" s="4720"/>
      <c r="AB248" s="4720"/>
      <c r="AC248" s="4720"/>
      <c r="AD248" s="4720"/>
      <c r="AE248" s="4720"/>
      <c r="AF248" s="4720"/>
      <c r="AG248" s="4719"/>
      <c r="AH248" s="4720"/>
      <c r="AI248" s="4720"/>
      <c r="AJ248" s="4720"/>
      <c r="AK248" s="4720"/>
      <c r="AL248" s="4720"/>
      <c r="AM248" s="4720"/>
      <c r="AN248" s="4720"/>
      <c r="AO248" s="4719"/>
      <c r="AP248" s="4720"/>
      <c r="AQ248" s="4720"/>
      <c r="AR248" s="4720"/>
      <c r="AS248" s="4720"/>
      <c r="AT248" s="4720"/>
      <c r="AU248" s="4720"/>
      <c r="AV248" s="4720"/>
      <c r="AW248" s="4720"/>
      <c r="AX248" s="4720"/>
      <c r="AY248" s="4720"/>
      <c r="AZ248" s="4720"/>
      <c r="BA248" s="4720"/>
      <c r="BB248" s="4720"/>
      <c r="BC248" s="4720"/>
      <c r="BD248" s="4720"/>
      <c r="BE248" s="4720"/>
      <c r="BF248" s="4720"/>
      <c r="BG248" s="4720"/>
      <c r="BH248" s="4720"/>
      <c r="BP248" s="4720"/>
      <c r="BQ248" s="4720"/>
      <c r="BY248" s="4720"/>
      <c r="BZ248" s="4720"/>
      <c r="CB248" s="4714"/>
      <c r="CC248" s="4714"/>
      <c r="CD248" s="4714"/>
      <c r="CE248" s="4714"/>
      <c r="CF248" s="4714"/>
      <c r="CG248" s="4726"/>
    </row>
    <row r="249" spans="3:85" s="4705" customFormat="1">
      <c r="C249" s="4720"/>
      <c r="D249" s="4720"/>
      <c r="E249" s="4720"/>
      <c r="F249" s="4720"/>
      <c r="G249" s="4720"/>
      <c r="H249" s="4720"/>
      <c r="I249" s="4719"/>
      <c r="J249" s="4720"/>
      <c r="K249" s="4720"/>
      <c r="L249" s="4720"/>
      <c r="M249" s="4720"/>
      <c r="N249" s="4720"/>
      <c r="O249" s="4720"/>
      <c r="P249" s="4720"/>
      <c r="Q249" s="4719"/>
      <c r="R249" s="4720"/>
      <c r="S249" s="4720"/>
      <c r="T249" s="4720"/>
      <c r="U249" s="4720"/>
      <c r="V249" s="4720"/>
      <c r="W249" s="4720"/>
      <c r="X249" s="4720"/>
      <c r="Y249" s="4719"/>
      <c r="Z249" s="4720"/>
      <c r="AA249" s="4720"/>
      <c r="AB249" s="4720"/>
      <c r="AC249" s="4720"/>
      <c r="AD249" s="4720"/>
      <c r="AE249" s="4720"/>
      <c r="AF249" s="4720"/>
      <c r="AG249" s="4719"/>
      <c r="AH249" s="4720"/>
      <c r="AI249" s="4720"/>
      <c r="AJ249" s="4720"/>
      <c r="AK249" s="4720"/>
      <c r="AL249" s="4720"/>
      <c r="AM249" s="4720"/>
      <c r="AN249" s="4720"/>
      <c r="AO249" s="4719"/>
      <c r="AP249" s="4720"/>
      <c r="AQ249" s="4720"/>
      <c r="AR249" s="4720"/>
      <c r="AS249" s="4720"/>
      <c r="AT249" s="4720"/>
      <c r="AU249" s="4720"/>
      <c r="AV249" s="4720"/>
      <c r="AW249" s="4720"/>
      <c r="AX249" s="4720"/>
      <c r="AY249" s="4720"/>
      <c r="AZ249" s="4720"/>
      <c r="BA249" s="4720"/>
      <c r="BB249" s="4720"/>
      <c r="BC249" s="4720"/>
      <c r="BD249" s="4720"/>
      <c r="BE249" s="4720"/>
      <c r="BF249" s="4720"/>
      <c r="BG249" s="4720"/>
      <c r="BH249" s="4720"/>
      <c r="BP249" s="4720"/>
      <c r="BQ249" s="4720"/>
      <c r="BY249" s="4720"/>
      <c r="BZ249" s="4720"/>
      <c r="CB249" s="4714"/>
      <c r="CC249" s="4714"/>
      <c r="CD249" s="4714"/>
      <c r="CE249" s="4714"/>
      <c r="CF249" s="4714"/>
      <c r="CG249" s="4726"/>
    </row>
    <row r="250" spans="3:85" s="4705" customFormat="1">
      <c r="C250" s="4720"/>
      <c r="D250" s="4720"/>
      <c r="E250" s="4720"/>
      <c r="F250" s="4720"/>
      <c r="G250" s="4720"/>
      <c r="H250" s="4720"/>
      <c r="I250" s="4719"/>
      <c r="J250" s="4720"/>
      <c r="K250" s="4720"/>
      <c r="L250" s="4720"/>
      <c r="M250" s="4720"/>
      <c r="N250" s="4720"/>
      <c r="O250" s="4720"/>
      <c r="P250" s="4720"/>
      <c r="Q250" s="4719"/>
      <c r="R250" s="4720"/>
      <c r="S250" s="4720"/>
      <c r="T250" s="4720"/>
      <c r="U250" s="4720"/>
      <c r="V250" s="4720"/>
      <c r="W250" s="4720"/>
      <c r="X250" s="4720"/>
      <c r="Y250" s="4719"/>
      <c r="Z250" s="4720"/>
      <c r="AA250" s="4720"/>
      <c r="AB250" s="4720"/>
      <c r="AC250" s="4720"/>
      <c r="AD250" s="4720"/>
      <c r="AE250" s="4720"/>
      <c r="AF250" s="4720"/>
      <c r="AG250" s="4719"/>
      <c r="AH250" s="4720"/>
      <c r="AI250" s="4720"/>
      <c r="AJ250" s="4720"/>
      <c r="AK250" s="4720"/>
      <c r="AL250" s="4720"/>
      <c r="AM250" s="4720"/>
      <c r="AN250" s="4720"/>
      <c r="AO250" s="4719"/>
      <c r="AP250" s="4720"/>
      <c r="AQ250" s="4720"/>
      <c r="AR250" s="4720"/>
      <c r="AS250" s="4720"/>
      <c r="AT250" s="4720"/>
      <c r="AU250" s="4720"/>
      <c r="AV250" s="4720"/>
      <c r="AW250" s="4720"/>
      <c r="AX250" s="4720"/>
      <c r="AY250" s="4720"/>
      <c r="AZ250" s="4720"/>
      <c r="BA250" s="4720"/>
      <c r="BB250" s="4720"/>
      <c r="BC250" s="4720"/>
      <c r="BD250" s="4720"/>
      <c r="BE250" s="4720"/>
      <c r="BF250" s="4720"/>
      <c r="BG250" s="4720"/>
      <c r="BH250" s="4720"/>
      <c r="BP250" s="4720"/>
      <c r="BQ250" s="4720"/>
      <c r="BY250" s="4720"/>
      <c r="BZ250" s="4720"/>
      <c r="CB250" s="4714"/>
      <c r="CC250" s="4714"/>
      <c r="CD250" s="4714"/>
      <c r="CE250" s="4714"/>
      <c r="CF250" s="4714"/>
      <c r="CG250" s="4726"/>
    </row>
    <row r="251" spans="3:85" s="4705" customFormat="1">
      <c r="C251" s="4720"/>
      <c r="D251" s="4720"/>
      <c r="E251" s="4720"/>
      <c r="F251" s="4720"/>
      <c r="G251" s="4720"/>
      <c r="H251" s="4720"/>
      <c r="I251" s="4719"/>
      <c r="J251" s="4720"/>
      <c r="K251" s="4720"/>
      <c r="L251" s="4720"/>
      <c r="M251" s="4720"/>
      <c r="N251" s="4720"/>
      <c r="O251" s="4720"/>
      <c r="P251" s="4720"/>
      <c r="Q251" s="4719"/>
      <c r="R251" s="4720"/>
      <c r="S251" s="4720"/>
      <c r="T251" s="4720"/>
      <c r="U251" s="4720"/>
      <c r="V251" s="4720"/>
      <c r="W251" s="4720"/>
      <c r="X251" s="4720"/>
      <c r="Y251" s="4719"/>
      <c r="Z251" s="4720"/>
      <c r="AA251" s="4720"/>
      <c r="AB251" s="4720"/>
      <c r="AC251" s="4720"/>
      <c r="AD251" s="4720"/>
      <c r="AE251" s="4720"/>
      <c r="AF251" s="4720"/>
      <c r="AG251" s="4719"/>
      <c r="AH251" s="4720"/>
      <c r="AI251" s="4720"/>
      <c r="AJ251" s="4720"/>
      <c r="AK251" s="4720"/>
      <c r="AL251" s="4720"/>
      <c r="AM251" s="4720"/>
      <c r="AN251" s="4720"/>
      <c r="AO251" s="4719"/>
      <c r="AP251" s="4720"/>
      <c r="AQ251" s="4720"/>
      <c r="AR251" s="4720"/>
      <c r="AS251" s="4720"/>
      <c r="AT251" s="4720"/>
      <c r="AU251" s="4720"/>
      <c r="AV251" s="4720"/>
      <c r="AW251" s="4720"/>
      <c r="AX251" s="4720"/>
      <c r="AY251" s="4720"/>
      <c r="AZ251" s="4720"/>
      <c r="BA251" s="4720"/>
      <c r="BB251" s="4720"/>
      <c r="BC251" s="4720"/>
      <c r="BD251" s="4720"/>
      <c r="BE251" s="4720"/>
      <c r="BF251" s="4720"/>
      <c r="BG251" s="4720"/>
      <c r="BH251" s="4720"/>
      <c r="BP251" s="4720"/>
      <c r="BQ251" s="4720"/>
      <c r="BY251" s="4720"/>
      <c r="BZ251" s="4720"/>
      <c r="CB251" s="4714"/>
      <c r="CC251" s="4714"/>
      <c r="CD251" s="4714"/>
      <c r="CE251" s="4714"/>
      <c r="CF251" s="4714"/>
      <c r="CG251" s="4726"/>
    </row>
    <row r="252" spans="3:85" s="4705" customFormat="1">
      <c r="C252" s="4720"/>
      <c r="D252" s="4720"/>
      <c r="E252" s="4720"/>
      <c r="F252" s="4720"/>
      <c r="G252" s="4720"/>
      <c r="H252" s="4720"/>
      <c r="I252" s="4719"/>
      <c r="J252" s="4720"/>
      <c r="K252" s="4720"/>
      <c r="L252" s="4720"/>
      <c r="M252" s="4720"/>
      <c r="N252" s="4720"/>
      <c r="O252" s="4720"/>
      <c r="P252" s="4720"/>
      <c r="Q252" s="4719"/>
      <c r="R252" s="4720"/>
      <c r="S252" s="4720"/>
      <c r="T252" s="4720"/>
      <c r="U252" s="4720"/>
      <c r="V252" s="4720"/>
      <c r="W252" s="4720"/>
      <c r="X252" s="4720"/>
      <c r="Y252" s="4719"/>
      <c r="Z252" s="4720"/>
      <c r="AA252" s="4720"/>
      <c r="AB252" s="4720"/>
      <c r="AC252" s="4720"/>
      <c r="AD252" s="4720"/>
      <c r="AE252" s="4720"/>
      <c r="AF252" s="4720"/>
      <c r="AG252" s="4719"/>
      <c r="AH252" s="4720"/>
      <c r="AI252" s="4720"/>
      <c r="AJ252" s="4720"/>
      <c r="AK252" s="4720"/>
      <c r="AL252" s="4720"/>
      <c r="AM252" s="4720"/>
      <c r="AN252" s="4720"/>
      <c r="AO252" s="4719"/>
      <c r="AP252" s="4720"/>
      <c r="AQ252" s="4720"/>
      <c r="AR252" s="4720"/>
      <c r="AS252" s="4720"/>
      <c r="AT252" s="4720"/>
      <c r="AU252" s="4720"/>
      <c r="AV252" s="4720"/>
      <c r="AW252" s="4720"/>
      <c r="AX252" s="4720"/>
      <c r="AY252" s="4720"/>
      <c r="AZ252" s="4720"/>
      <c r="BA252" s="4720"/>
      <c r="BB252" s="4720"/>
      <c r="BC252" s="4720"/>
      <c r="BD252" s="4720"/>
      <c r="BE252" s="4720"/>
      <c r="BF252" s="4720"/>
      <c r="BG252" s="4720"/>
      <c r="BH252" s="4720"/>
      <c r="BP252" s="4720"/>
      <c r="BQ252" s="4720"/>
      <c r="BY252" s="4720"/>
      <c r="BZ252" s="4720"/>
      <c r="CB252" s="4714"/>
      <c r="CC252" s="4714"/>
      <c r="CD252" s="4714"/>
      <c r="CE252" s="4714"/>
      <c r="CF252" s="4714"/>
      <c r="CG252" s="4726"/>
    </row>
    <row r="253" spans="3:85" s="4705" customFormat="1">
      <c r="C253" s="4720"/>
      <c r="D253" s="4720"/>
      <c r="E253" s="4720"/>
      <c r="F253" s="4720"/>
      <c r="G253" s="4720"/>
      <c r="H253" s="4720"/>
      <c r="I253" s="4719"/>
      <c r="J253" s="4720"/>
      <c r="K253" s="4720"/>
      <c r="L253" s="4720"/>
      <c r="M253" s="4720"/>
      <c r="N253" s="4720"/>
      <c r="O253" s="4720"/>
      <c r="P253" s="4720"/>
      <c r="Q253" s="4719"/>
      <c r="R253" s="4720"/>
      <c r="S253" s="4720"/>
      <c r="T253" s="4720"/>
      <c r="U253" s="4720"/>
      <c r="V253" s="4720"/>
      <c r="W253" s="4720"/>
      <c r="X253" s="4720"/>
      <c r="Y253" s="4719"/>
      <c r="Z253" s="4720"/>
      <c r="AA253" s="4720"/>
      <c r="AB253" s="4720"/>
      <c r="AC253" s="4720"/>
      <c r="AD253" s="4720"/>
      <c r="AE253" s="4720"/>
      <c r="AF253" s="4720"/>
      <c r="AG253" s="4719"/>
      <c r="AH253" s="4720"/>
      <c r="AI253" s="4720"/>
      <c r="AJ253" s="4720"/>
      <c r="AK253" s="4720"/>
      <c r="AL253" s="4720"/>
      <c r="AM253" s="4720"/>
      <c r="AN253" s="4720"/>
      <c r="AO253" s="4719"/>
      <c r="AP253" s="4720"/>
      <c r="AQ253" s="4720"/>
      <c r="AR253" s="4720"/>
      <c r="AS253" s="4720"/>
      <c r="AT253" s="4720"/>
      <c r="AU253" s="4720"/>
      <c r="AV253" s="4720"/>
      <c r="AW253" s="4720"/>
      <c r="AX253" s="4720"/>
      <c r="AY253" s="4720"/>
      <c r="AZ253" s="4720"/>
      <c r="BA253" s="4720"/>
      <c r="BB253" s="4720"/>
      <c r="BC253" s="4720"/>
      <c r="BD253" s="4720"/>
      <c r="BE253" s="4720"/>
      <c r="BF253" s="4720"/>
      <c r="BG253" s="4720"/>
      <c r="BH253" s="4720"/>
      <c r="BP253" s="4720"/>
      <c r="BQ253" s="4720"/>
      <c r="BY253" s="4720"/>
      <c r="BZ253" s="4720"/>
      <c r="CB253" s="4714"/>
      <c r="CC253" s="4714"/>
      <c r="CD253" s="4714"/>
      <c r="CE253" s="4714"/>
      <c r="CF253" s="4714"/>
      <c r="CG253" s="4726"/>
    </row>
    <row r="254" spans="3:85" s="4705" customFormat="1">
      <c r="C254" s="4720"/>
      <c r="D254" s="4720"/>
      <c r="E254" s="4720"/>
      <c r="F254" s="4720"/>
      <c r="G254" s="4720"/>
      <c r="H254" s="4720"/>
      <c r="I254" s="4719"/>
      <c r="J254" s="4720"/>
      <c r="K254" s="4720"/>
      <c r="L254" s="4720"/>
      <c r="M254" s="4720"/>
      <c r="N254" s="4720"/>
      <c r="O254" s="4720"/>
      <c r="P254" s="4720"/>
      <c r="Q254" s="4719"/>
      <c r="R254" s="4720"/>
      <c r="S254" s="4720"/>
      <c r="T254" s="4720"/>
      <c r="U254" s="4720"/>
      <c r="V254" s="4720"/>
      <c r="W254" s="4720"/>
      <c r="X254" s="4720"/>
      <c r="Y254" s="4719"/>
      <c r="Z254" s="4720"/>
      <c r="AA254" s="4720"/>
      <c r="AB254" s="4720"/>
      <c r="AC254" s="4720"/>
      <c r="AD254" s="4720"/>
      <c r="AE254" s="4720"/>
      <c r="AF254" s="4720"/>
      <c r="AG254" s="4719"/>
      <c r="AH254" s="4720"/>
      <c r="AI254" s="4720"/>
      <c r="AJ254" s="4720"/>
      <c r="AK254" s="4720"/>
      <c r="AL254" s="4720"/>
      <c r="AM254" s="4720"/>
      <c r="AN254" s="4720"/>
      <c r="AO254" s="4719"/>
      <c r="AP254" s="4720"/>
      <c r="AQ254" s="4720"/>
      <c r="AR254" s="4720"/>
      <c r="AS254" s="4720"/>
      <c r="AT254" s="4720"/>
      <c r="AU254" s="4720"/>
      <c r="AV254" s="4720"/>
      <c r="AW254" s="4720"/>
      <c r="AX254" s="4720"/>
      <c r="AY254" s="4720"/>
      <c r="AZ254" s="4720"/>
      <c r="BA254" s="4720"/>
      <c r="BB254" s="4720"/>
      <c r="BC254" s="4720"/>
      <c r="BD254" s="4720"/>
      <c r="BE254" s="4720"/>
      <c r="BF254" s="4720"/>
      <c r="BG254" s="4720"/>
      <c r="BH254" s="4720"/>
      <c r="BP254" s="4720"/>
      <c r="BQ254" s="4720"/>
      <c r="BY254" s="4720"/>
      <c r="BZ254" s="4720"/>
      <c r="CB254" s="4714"/>
      <c r="CC254" s="4714"/>
      <c r="CD254" s="4714"/>
      <c r="CE254" s="4714"/>
      <c r="CF254" s="4714"/>
      <c r="CG254" s="4726"/>
    </row>
    <row r="255" spans="3:85" s="4705" customFormat="1">
      <c r="C255" s="4720"/>
      <c r="D255" s="4720"/>
      <c r="E255" s="4720"/>
      <c r="F255" s="4720"/>
      <c r="G255" s="4720"/>
      <c r="H255" s="4720"/>
      <c r="I255" s="4719"/>
      <c r="J255" s="4720"/>
      <c r="K255" s="4720"/>
      <c r="L255" s="4720"/>
      <c r="M255" s="4720"/>
      <c r="N255" s="4720"/>
      <c r="O255" s="4720"/>
      <c r="P255" s="4720"/>
      <c r="Q255" s="4719"/>
      <c r="R255" s="4720"/>
      <c r="S255" s="4720"/>
      <c r="T255" s="4720"/>
      <c r="U255" s="4720"/>
      <c r="V255" s="4720"/>
      <c r="W255" s="4720"/>
      <c r="X255" s="4720"/>
      <c r="Y255" s="4719"/>
      <c r="Z255" s="4720"/>
      <c r="AA255" s="4720"/>
      <c r="AB255" s="4720"/>
      <c r="AC255" s="4720"/>
      <c r="AD255" s="4720"/>
      <c r="AE255" s="4720"/>
      <c r="AF255" s="4720"/>
      <c r="AG255" s="4719"/>
      <c r="AH255" s="4720"/>
      <c r="AI255" s="4720"/>
      <c r="AJ255" s="4720"/>
      <c r="AK255" s="4720"/>
      <c r="AL255" s="4720"/>
      <c r="AM255" s="4720"/>
      <c r="AN255" s="4720"/>
      <c r="AO255" s="4719"/>
      <c r="AP255" s="4720"/>
      <c r="AQ255" s="4720"/>
      <c r="AR255" s="4720"/>
      <c r="AS255" s="4720"/>
      <c r="AT255" s="4720"/>
      <c r="AU255" s="4720"/>
      <c r="AV255" s="4720"/>
      <c r="AW255" s="4720"/>
      <c r="AX255" s="4720"/>
      <c r="AY255" s="4720"/>
      <c r="AZ255" s="4720"/>
      <c r="BA255" s="4720"/>
      <c r="BB255" s="4720"/>
      <c r="BC255" s="4720"/>
      <c r="BD255" s="4720"/>
      <c r="BE255" s="4720"/>
      <c r="BF255" s="4720"/>
      <c r="BG255" s="4720"/>
      <c r="BH255" s="4720"/>
      <c r="BP255" s="4720"/>
      <c r="BQ255" s="4720"/>
      <c r="BY255" s="4720"/>
      <c r="BZ255" s="4720"/>
      <c r="CB255" s="4714"/>
      <c r="CC255" s="4714"/>
      <c r="CD255" s="4714"/>
      <c r="CE255" s="4714"/>
      <c r="CF255" s="4714"/>
      <c r="CG255" s="4726"/>
    </row>
    <row r="256" spans="3:85" s="4705" customFormat="1">
      <c r="C256" s="4720"/>
      <c r="D256" s="4720"/>
      <c r="E256" s="4720"/>
      <c r="F256" s="4720"/>
      <c r="G256" s="4720"/>
      <c r="H256" s="4720"/>
      <c r="I256" s="4719"/>
      <c r="J256" s="4720"/>
      <c r="K256" s="4720"/>
      <c r="L256" s="4720"/>
      <c r="M256" s="4720"/>
      <c r="N256" s="4720"/>
      <c r="O256" s="4720"/>
      <c r="P256" s="4720"/>
      <c r="Q256" s="4719"/>
      <c r="R256" s="4720"/>
      <c r="S256" s="4720"/>
      <c r="T256" s="4720"/>
      <c r="U256" s="4720"/>
      <c r="V256" s="4720"/>
      <c r="W256" s="4720"/>
      <c r="X256" s="4720"/>
      <c r="Y256" s="4719"/>
      <c r="Z256" s="4720"/>
      <c r="AA256" s="4720"/>
      <c r="AB256" s="4720"/>
      <c r="AC256" s="4720"/>
      <c r="AD256" s="4720"/>
      <c r="AE256" s="4720"/>
      <c r="AF256" s="4720"/>
      <c r="AG256" s="4719"/>
      <c r="AH256" s="4720"/>
      <c r="AI256" s="4720"/>
      <c r="AJ256" s="4720"/>
      <c r="AK256" s="4720"/>
      <c r="AL256" s="4720"/>
      <c r="AM256" s="4720"/>
      <c r="AN256" s="4720"/>
      <c r="AO256" s="4719"/>
      <c r="AP256" s="4720"/>
      <c r="AQ256" s="4720"/>
      <c r="AR256" s="4720"/>
      <c r="AS256" s="4720"/>
      <c r="AT256" s="4720"/>
      <c r="AU256" s="4720"/>
      <c r="AV256" s="4720"/>
      <c r="AW256" s="4634"/>
      <c r="AX256" s="4634"/>
      <c r="AY256" s="4634"/>
      <c r="AZ256" s="4634"/>
      <c r="BA256" s="4634"/>
      <c r="BB256" s="4634"/>
      <c r="BC256" s="4634"/>
      <c r="BD256" s="4634"/>
      <c r="BE256" s="4634"/>
      <c r="BF256" s="4634"/>
      <c r="BG256" s="4634"/>
      <c r="BH256" s="4634"/>
      <c r="BP256" s="4720"/>
      <c r="BQ256" s="4720"/>
      <c r="BY256" s="4720"/>
      <c r="BZ256" s="4720"/>
      <c r="CB256" s="4714"/>
      <c r="CC256" s="4714"/>
      <c r="CD256" s="4714"/>
      <c r="CE256" s="4714"/>
      <c r="CF256" s="4714"/>
      <c r="CG256" s="4726"/>
    </row>
    <row r="257" spans="3:85" s="4705" customFormat="1">
      <c r="C257" s="4720"/>
      <c r="D257" s="4720"/>
      <c r="E257" s="4720"/>
      <c r="F257" s="4720"/>
      <c r="G257" s="4720"/>
      <c r="H257" s="4720"/>
      <c r="I257" s="4719"/>
      <c r="J257" s="4720"/>
      <c r="K257" s="4720"/>
      <c r="L257" s="4720"/>
      <c r="M257" s="4720"/>
      <c r="N257" s="4720"/>
      <c r="O257" s="4720"/>
      <c r="P257" s="4720"/>
      <c r="Q257" s="4719"/>
      <c r="R257" s="4720"/>
      <c r="S257" s="4720"/>
      <c r="T257" s="4720"/>
      <c r="U257" s="4720"/>
      <c r="V257" s="4720"/>
      <c r="W257" s="4720"/>
      <c r="X257" s="4720"/>
      <c r="Y257" s="4719"/>
      <c r="Z257" s="4720"/>
      <c r="AA257" s="4720"/>
      <c r="AB257" s="4720"/>
      <c r="AC257" s="4720"/>
      <c r="AD257" s="4720"/>
      <c r="AE257" s="4720"/>
      <c r="AF257" s="4720"/>
      <c r="AG257" s="4719"/>
      <c r="AH257" s="4720"/>
      <c r="AI257" s="4720"/>
      <c r="AJ257" s="4720"/>
      <c r="AK257" s="4720"/>
      <c r="AL257" s="4720"/>
      <c r="AM257" s="4720"/>
      <c r="AN257" s="4720"/>
      <c r="AO257" s="4719"/>
      <c r="AP257" s="4720"/>
      <c r="AQ257" s="4720"/>
      <c r="AR257" s="4720"/>
      <c r="AS257" s="4720"/>
      <c r="AT257" s="4720"/>
      <c r="AU257" s="4720"/>
      <c r="AV257" s="4720"/>
      <c r="AW257" s="4634"/>
      <c r="AX257" s="4634"/>
      <c r="AY257" s="4634"/>
      <c r="AZ257" s="4634"/>
      <c r="BA257" s="4634"/>
      <c r="BB257" s="4634"/>
      <c r="BC257" s="4634"/>
      <c r="BD257" s="4634"/>
      <c r="BE257" s="4634"/>
      <c r="BF257" s="4634"/>
      <c r="BG257" s="4634"/>
      <c r="BH257" s="4634"/>
      <c r="BP257" s="4720"/>
      <c r="BQ257" s="4720"/>
      <c r="BY257" s="4720"/>
      <c r="BZ257" s="4720"/>
      <c r="CB257" s="4714"/>
      <c r="CC257" s="4714"/>
      <c r="CD257" s="4714"/>
      <c r="CE257" s="4714"/>
      <c r="CF257" s="4714"/>
      <c r="CG257" s="4726"/>
    </row>
    <row r="258" spans="3:85" s="4705" customFormat="1">
      <c r="C258" s="4720"/>
      <c r="D258" s="4720"/>
      <c r="E258" s="4720"/>
      <c r="F258" s="4720"/>
      <c r="G258" s="4720"/>
      <c r="H258" s="4720"/>
      <c r="I258" s="4719"/>
      <c r="J258" s="4720"/>
      <c r="K258" s="4720"/>
      <c r="L258" s="4720"/>
      <c r="M258" s="4720"/>
      <c r="N258" s="4720"/>
      <c r="O258" s="4720"/>
      <c r="P258" s="4720"/>
      <c r="Q258" s="4719"/>
      <c r="R258" s="4720"/>
      <c r="S258" s="4720"/>
      <c r="T258" s="4720"/>
      <c r="U258" s="4720"/>
      <c r="V258" s="4720"/>
      <c r="W258" s="4720"/>
      <c r="X258" s="4720"/>
      <c r="Y258" s="4719"/>
      <c r="Z258" s="4720"/>
      <c r="AA258" s="4720"/>
      <c r="AB258" s="4720"/>
      <c r="AC258" s="4720"/>
      <c r="AD258" s="4720"/>
      <c r="AE258" s="4720"/>
      <c r="AF258" s="4720"/>
      <c r="AG258" s="4719"/>
      <c r="AH258" s="4720"/>
      <c r="AI258" s="4720"/>
      <c r="AJ258" s="4720"/>
      <c r="AK258" s="4720"/>
      <c r="AL258" s="4720"/>
      <c r="AM258" s="4720"/>
      <c r="AN258" s="4720"/>
      <c r="AO258" s="4719"/>
      <c r="AP258" s="4720"/>
      <c r="AQ258" s="4720"/>
      <c r="AR258" s="4720"/>
      <c r="AS258" s="4720"/>
      <c r="AT258" s="4720"/>
      <c r="AU258" s="4720"/>
      <c r="AV258" s="4720"/>
      <c r="AW258" s="4634"/>
      <c r="AX258" s="4634"/>
      <c r="AY258" s="4634"/>
      <c r="AZ258" s="4634"/>
      <c r="BA258" s="4634"/>
      <c r="BB258" s="4634"/>
      <c r="BC258" s="4634"/>
      <c r="BD258" s="4634"/>
      <c r="BE258" s="4634"/>
      <c r="BF258" s="4634"/>
      <c r="BG258" s="4634"/>
      <c r="BH258" s="4634"/>
      <c r="BP258" s="4720"/>
      <c r="BQ258" s="4720"/>
      <c r="BY258" s="4720"/>
      <c r="BZ258" s="4720"/>
      <c r="CB258" s="4714"/>
      <c r="CC258" s="4714"/>
      <c r="CD258" s="4714"/>
      <c r="CE258" s="4714"/>
      <c r="CF258" s="4714"/>
      <c r="CG258" s="4726"/>
    </row>
    <row r="259" spans="3:85" s="4705" customFormat="1">
      <c r="C259" s="4720"/>
      <c r="D259" s="4720"/>
      <c r="E259" s="4720"/>
      <c r="F259" s="4720"/>
      <c r="G259" s="4720"/>
      <c r="H259" s="4720"/>
      <c r="I259" s="4719"/>
      <c r="J259" s="4720"/>
      <c r="K259" s="4720"/>
      <c r="L259" s="4720"/>
      <c r="M259" s="4720"/>
      <c r="N259" s="4720"/>
      <c r="O259" s="4720"/>
      <c r="P259" s="4720"/>
      <c r="Q259" s="4719"/>
      <c r="R259" s="4720"/>
      <c r="S259" s="4720"/>
      <c r="T259" s="4720"/>
      <c r="U259" s="4720"/>
      <c r="V259" s="4720"/>
      <c r="W259" s="4720"/>
      <c r="X259" s="4720"/>
      <c r="Y259" s="4719"/>
      <c r="Z259" s="4720"/>
      <c r="AA259" s="4720"/>
      <c r="AB259" s="4720"/>
      <c r="AC259" s="4720"/>
      <c r="AD259" s="4720"/>
      <c r="AE259" s="4720"/>
      <c r="AF259" s="4720"/>
      <c r="AG259" s="4719"/>
      <c r="AH259" s="4720"/>
      <c r="AI259" s="4720"/>
      <c r="AJ259" s="4720"/>
      <c r="AK259" s="4720"/>
      <c r="AL259" s="4720"/>
      <c r="AM259" s="4720"/>
      <c r="AN259" s="4720"/>
      <c r="AO259" s="4719"/>
      <c r="AP259" s="4720"/>
      <c r="AQ259" s="4720"/>
      <c r="AR259" s="4720"/>
      <c r="AS259" s="4720"/>
      <c r="AT259" s="4720"/>
      <c r="AU259" s="4720"/>
      <c r="AV259" s="4720"/>
      <c r="AW259" s="4634"/>
      <c r="AX259" s="4634"/>
      <c r="AY259" s="4634"/>
      <c r="AZ259" s="4634"/>
      <c r="BA259" s="4634"/>
      <c r="BB259" s="4634"/>
      <c r="BC259" s="4634"/>
      <c r="BD259" s="4634"/>
      <c r="BE259" s="4634"/>
      <c r="BF259" s="4634"/>
      <c r="BG259" s="4634"/>
      <c r="BH259" s="4634"/>
      <c r="BP259" s="4720"/>
      <c r="BQ259" s="4720"/>
      <c r="BY259" s="4720"/>
      <c r="BZ259" s="4720"/>
      <c r="CB259" s="4714"/>
      <c r="CC259" s="4714"/>
      <c r="CD259" s="4714"/>
      <c r="CE259" s="4714"/>
      <c r="CF259" s="4714"/>
      <c r="CG259" s="4726"/>
    </row>
    <row r="260" spans="3:85" s="4705" customFormat="1">
      <c r="C260" s="4720"/>
      <c r="D260" s="4720"/>
      <c r="E260" s="4720"/>
      <c r="F260" s="4720"/>
      <c r="G260" s="4720"/>
      <c r="H260" s="4720"/>
      <c r="I260" s="4719"/>
      <c r="J260" s="4720"/>
      <c r="K260" s="4720"/>
      <c r="L260" s="4720"/>
      <c r="M260" s="4720"/>
      <c r="N260" s="4720"/>
      <c r="O260" s="4720"/>
      <c r="P260" s="4720"/>
      <c r="Q260" s="4719"/>
      <c r="R260" s="4720"/>
      <c r="S260" s="4720"/>
      <c r="T260" s="4720"/>
      <c r="U260" s="4720"/>
      <c r="V260" s="4720"/>
      <c r="W260" s="4720"/>
      <c r="X260" s="4720"/>
      <c r="Y260" s="4719"/>
      <c r="Z260" s="4720"/>
      <c r="AA260" s="4720"/>
      <c r="AB260" s="4720"/>
      <c r="AC260" s="4720"/>
      <c r="AD260" s="4720"/>
      <c r="AE260" s="4720"/>
      <c r="AF260" s="4720"/>
      <c r="AG260" s="4719"/>
      <c r="AH260" s="4720"/>
      <c r="AI260" s="4720"/>
      <c r="AJ260" s="4720"/>
      <c r="AK260" s="4720"/>
      <c r="AL260" s="4720"/>
      <c r="AM260" s="4720"/>
      <c r="AN260" s="4720"/>
      <c r="AO260" s="4719"/>
      <c r="AP260" s="4720"/>
      <c r="AQ260" s="4720"/>
      <c r="AR260" s="4720"/>
      <c r="AS260" s="4720"/>
      <c r="AT260" s="4720"/>
      <c r="AU260" s="4720"/>
      <c r="AV260" s="4720"/>
      <c r="AW260" s="4634"/>
      <c r="AX260" s="4634"/>
      <c r="AY260" s="4634"/>
      <c r="AZ260" s="4634"/>
      <c r="BA260" s="4634"/>
      <c r="BB260" s="4634"/>
      <c r="BC260" s="4634"/>
      <c r="BD260" s="4634"/>
      <c r="BE260" s="4634"/>
      <c r="BF260" s="4634"/>
      <c r="BG260" s="4634"/>
      <c r="BH260" s="4634"/>
      <c r="BP260" s="4720"/>
      <c r="BQ260" s="4720"/>
      <c r="BY260" s="4720"/>
      <c r="BZ260" s="4720"/>
      <c r="CB260" s="4714"/>
      <c r="CC260" s="4714"/>
      <c r="CD260" s="4714"/>
      <c r="CE260" s="4714"/>
      <c r="CF260" s="4714"/>
      <c r="CG260" s="4726"/>
    </row>
    <row r="261" spans="3:85" s="4705" customFormat="1">
      <c r="C261" s="4720"/>
      <c r="D261" s="4720"/>
      <c r="E261" s="4720"/>
      <c r="F261" s="4720"/>
      <c r="G261" s="4720"/>
      <c r="H261" s="4720"/>
      <c r="I261" s="4719"/>
      <c r="J261" s="4720"/>
      <c r="K261" s="4720"/>
      <c r="L261" s="4720"/>
      <c r="M261" s="4720"/>
      <c r="N261" s="4720"/>
      <c r="O261" s="4720"/>
      <c r="P261" s="4720"/>
      <c r="Q261" s="4719"/>
      <c r="R261" s="4720"/>
      <c r="S261" s="4720"/>
      <c r="T261" s="4720"/>
      <c r="U261" s="4720"/>
      <c r="V261" s="4720"/>
      <c r="W261" s="4720"/>
      <c r="X261" s="4720"/>
      <c r="Y261" s="4719"/>
      <c r="Z261" s="4720"/>
      <c r="AA261" s="4720"/>
      <c r="AB261" s="4720"/>
      <c r="AC261" s="4720"/>
      <c r="AD261" s="4720"/>
      <c r="AE261" s="4720"/>
      <c r="AF261" s="4720"/>
      <c r="AG261" s="4719"/>
      <c r="AH261" s="4720"/>
      <c r="AI261" s="4720"/>
      <c r="AJ261" s="4720"/>
      <c r="AK261" s="4720"/>
      <c r="AL261" s="4720"/>
      <c r="AM261" s="4720"/>
      <c r="AN261" s="4720"/>
      <c r="AO261" s="4719"/>
      <c r="AP261" s="4720"/>
      <c r="AQ261" s="4720"/>
      <c r="AR261" s="4720"/>
      <c r="AS261" s="4720"/>
      <c r="AT261" s="4720"/>
      <c r="AU261" s="4720"/>
      <c r="AV261" s="4720"/>
      <c r="AW261" s="4634"/>
      <c r="AX261" s="4634"/>
      <c r="AY261" s="4634"/>
      <c r="AZ261" s="4634"/>
      <c r="BA261" s="4634"/>
      <c r="BB261" s="4634"/>
      <c r="BC261" s="4634"/>
      <c r="BD261" s="4634"/>
      <c r="BE261" s="4634"/>
      <c r="BF261" s="4634"/>
      <c r="BG261" s="4634"/>
      <c r="BH261" s="4634"/>
      <c r="BP261" s="4720"/>
      <c r="BQ261" s="4720"/>
      <c r="BY261" s="4720"/>
      <c r="BZ261" s="4720"/>
      <c r="CB261" s="4714"/>
      <c r="CC261" s="4714"/>
      <c r="CD261" s="4714"/>
      <c r="CE261" s="4714"/>
      <c r="CF261" s="4714"/>
      <c r="CG261" s="4726"/>
    </row>
    <row r="262" spans="3:85" s="4705" customFormat="1">
      <c r="C262" s="4720"/>
      <c r="D262" s="4720"/>
      <c r="E262" s="4720"/>
      <c r="F262" s="4720"/>
      <c r="G262" s="4720"/>
      <c r="H262" s="4720"/>
      <c r="I262" s="4719"/>
      <c r="J262" s="4720"/>
      <c r="K262" s="4720"/>
      <c r="L262" s="4720"/>
      <c r="M262" s="4720"/>
      <c r="N262" s="4720"/>
      <c r="O262" s="4720"/>
      <c r="P262" s="4720"/>
      <c r="Q262" s="4719"/>
      <c r="R262" s="4720"/>
      <c r="S262" s="4720"/>
      <c r="T262" s="4720"/>
      <c r="U262" s="4720"/>
      <c r="V262" s="4720"/>
      <c r="W262" s="4720"/>
      <c r="X262" s="4720"/>
      <c r="Y262" s="4719"/>
      <c r="Z262" s="4720"/>
      <c r="AA262" s="4720"/>
      <c r="AB262" s="4720"/>
      <c r="AC262" s="4720"/>
      <c r="AD262" s="4720"/>
      <c r="AE262" s="4720"/>
      <c r="AF262" s="4720"/>
      <c r="AG262" s="4719"/>
      <c r="AH262" s="4720"/>
      <c r="AI262" s="4720"/>
      <c r="AJ262" s="4720"/>
      <c r="AK262" s="4720"/>
      <c r="AL262" s="4720"/>
      <c r="AM262" s="4720"/>
      <c r="AN262" s="4720"/>
      <c r="AO262" s="4719"/>
      <c r="AP262" s="4720"/>
      <c r="AQ262" s="4720"/>
      <c r="AR262" s="4720"/>
      <c r="AS262" s="4720"/>
      <c r="AT262" s="4720"/>
      <c r="AU262" s="4720"/>
      <c r="AV262" s="4720"/>
      <c r="AW262" s="4634"/>
      <c r="AX262" s="4634"/>
      <c r="AY262" s="4634"/>
      <c r="AZ262" s="4634"/>
      <c r="BA262" s="4634"/>
      <c r="BB262" s="4634"/>
      <c r="BC262" s="4634"/>
      <c r="BD262" s="4634"/>
      <c r="BE262" s="4634"/>
      <c r="BF262" s="4634"/>
      <c r="BG262" s="4634"/>
      <c r="BH262" s="4634"/>
      <c r="BP262" s="4720"/>
      <c r="BQ262" s="4720"/>
      <c r="BY262" s="4720"/>
      <c r="BZ262" s="4720"/>
      <c r="CB262" s="4714"/>
      <c r="CC262" s="4714"/>
      <c r="CD262" s="4714"/>
      <c r="CE262" s="4714"/>
      <c r="CF262" s="4714"/>
      <c r="CG262" s="4726"/>
    </row>
    <row r="263" spans="3:85" s="4705" customFormat="1">
      <c r="C263" s="4720"/>
      <c r="D263" s="4720"/>
      <c r="E263" s="4720"/>
      <c r="F263" s="4720"/>
      <c r="G263" s="4720"/>
      <c r="H263" s="4720"/>
      <c r="I263" s="4719"/>
      <c r="J263" s="4720"/>
      <c r="K263" s="4720"/>
      <c r="L263" s="4720"/>
      <c r="M263" s="4720"/>
      <c r="N263" s="4720"/>
      <c r="O263" s="4720"/>
      <c r="P263" s="4720"/>
      <c r="Q263" s="4719"/>
      <c r="R263" s="4720"/>
      <c r="S263" s="4720"/>
      <c r="T263" s="4720"/>
      <c r="U263" s="4720"/>
      <c r="V263" s="4720"/>
      <c r="W263" s="4720"/>
      <c r="X263" s="4720"/>
      <c r="Y263" s="4719"/>
      <c r="Z263" s="4720"/>
      <c r="AA263" s="4720"/>
      <c r="AB263" s="4720"/>
      <c r="AC263" s="4720"/>
      <c r="AD263" s="4720"/>
      <c r="AE263" s="4720"/>
      <c r="AF263" s="4720"/>
      <c r="AG263" s="4719"/>
      <c r="AH263" s="4720"/>
      <c r="AI263" s="4720"/>
      <c r="AJ263" s="4720"/>
      <c r="AK263" s="4720"/>
      <c r="AL263" s="4720"/>
      <c r="AM263" s="4720"/>
      <c r="AN263" s="4720"/>
      <c r="AO263" s="4719"/>
      <c r="AP263" s="4720"/>
      <c r="AQ263" s="4720"/>
      <c r="AR263" s="4720"/>
      <c r="AS263" s="4720"/>
      <c r="AT263" s="4720"/>
      <c r="AU263" s="4720"/>
      <c r="AV263" s="4720"/>
      <c r="AW263" s="4634"/>
      <c r="AX263" s="4634"/>
      <c r="AY263" s="4634"/>
      <c r="AZ263" s="4634"/>
      <c r="BA263" s="4634"/>
      <c r="BB263" s="4634"/>
      <c r="BC263" s="4634"/>
      <c r="BD263" s="4634"/>
      <c r="BE263" s="4634"/>
      <c r="BF263" s="4634"/>
      <c r="BG263" s="4634"/>
      <c r="BH263" s="4634"/>
      <c r="BP263" s="4720"/>
      <c r="BQ263" s="4720"/>
      <c r="BY263" s="4720"/>
      <c r="BZ263" s="4720"/>
      <c r="CB263" s="4714"/>
      <c r="CC263" s="4714"/>
      <c r="CD263" s="4714"/>
      <c r="CE263" s="4714"/>
      <c r="CF263" s="4714"/>
      <c r="CG263" s="4726"/>
    </row>
    <row r="264" spans="3:85" s="4705" customFormat="1">
      <c r="C264" s="4720"/>
      <c r="D264" s="4720"/>
      <c r="E264" s="4720"/>
      <c r="F264" s="4720"/>
      <c r="G264" s="4720"/>
      <c r="H264" s="4720"/>
      <c r="I264" s="4719"/>
      <c r="J264" s="4720"/>
      <c r="K264" s="4720"/>
      <c r="L264" s="4720"/>
      <c r="M264" s="4720"/>
      <c r="N264" s="4720"/>
      <c r="O264" s="4720"/>
      <c r="P264" s="4720"/>
      <c r="Q264" s="4719"/>
      <c r="R264" s="4720"/>
      <c r="S264" s="4720"/>
      <c r="T264" s="4720"/>
      <c r="U264" s="4720"/>
      <c r="V264" s="4720"/>
      <c r="W264" s="4720"/>
      <c r="X264" s="4720"/>
      <c r="Y264" s="4719"/>
      <c r="Z264" s="4720"/>
      <c r="AA264" s="4720"/>
      <c r="AB264" s="4720"/>
      <c r="AC264" s="4720"/>
      <c r="AD264" s="4720"/>
      <c r="AE264" s="4720"/>
      <c r="AF264" s="4720"/>
      <c r="AG264" s="4719"/>
      <c r="AH264" s="4720"/>
      <c r="AI264" s="4720"/>
      <c r="AJ264" s="4720"/>
      <c r="AK264" s="4720"/>
      <c r="AL264" s="4720"/>
      <c r="AM264" s="4720"/>
      <c r="AN264" s="4720"/>
      <c r="AO264" s="4719"/>
      <c r="AP264" s="4720"/>
      <c r="AQ264" s="4720"/>
      <c r="AR264" s="4720"/>
      <c r="AS264" s="4720"/>
      <c r="AT264" s="4720"/>
      <c r="AU264" s="4720"/>
      <c r="AV264" s="4720"/>
      <c r="AW264" s="4634"/>
      <c r="AX264" s="4634"/>
      <c r="AY264" s="4634"/>
      <c r="AZ264" s="4634"/>
      <c r="BA264" s="4634"/>
      <c r="BB264" s="4634"/>
      <c r="BC264" s="4634"/>
      <c r="BD264" s="4634"/>
      <c r="BE264" s="4634"/>
      <c r="BF264" s="4634"/>
      <c r="BG264" s="4634"/>
      <c r="BH264" s="4634"/>
      <c r="BP264" s="4720"/>
      <c r="BQ264" s="4720"/>
      <c r="BY264" s="4720"/>
      <c r="BZ264" s="4720"/>
      <c r="CB264" s="4714"/>
      <c r="CC264" s="4714"/>
      <c r="CD264" s="4714"/>
      <c r="CE264" s="4714"/>
      <c r="CF264" s="4714"/>
      <c r="CG264" s="4726"/>
    </row>
    <row r="265" spans="3:85" s="4705" customFormat="1">
      <c r="C265" s="4720"/>
      <c r="D265" s="4720"/>
      <c r="E265" s="4720"/>
      <c r="F265" s="4720"/>
      <c r="G265" s="4720"/>
      <c r="H265" s="4720"/>
      <c r="I265" s="4719"/>
      <c r="J265" s="4720"/>
      <c r="K265" s="4720"/>
      <c r="L265" s="4720"/>
      <c r="M265" s="4720"/>
      <c r="N265" s="4720"/>
      <c r="O265" s="4720"/>
      <c r="P265" s="4720"/>
      <c r="Q265" s="4719"/>
      <c r="R265" s="4720"/>
      <c r="S265" s="4720"/>
      <c r="T265" s="4720"/>
      <c r="U265" s="4720"/>
      <c r="V265" s="4720"/>
      <c r="W265" s="4720"/>
      <c r="X265" s="4720"/>
      <c r="Y265" s="4719"/>
      <c r="Z265" s="4720"/>
      <c r="AA265" s="4720"/>
      <c r="AB265" s="4720"/>
      <c r="AC265" s="4720"/>
      <c r="AD265" s="4720"/>
      <c r="AE265" s="4720"/>
      <c r="AF265" s="4720"/>
      <c r="AG265" s="4719"/>
      <c r="AH265" s="4720"/>
      <c r="AI265" s="4720"/>
      <c r="AJ265" s="4720"/>
      <c r="AK265" s="4720"/>
      <c r="AL265" s="4720"/>
      <c r="AM265" s="4720"/>
      <c r="AN265" s="4720"/>
      <c r="AO265" s="4719"/>
      <c r="AP265" s="4720"/>
      <c r="AQ265" s="4720"/>
      <c r="AR265" s="4720"/>
      <c r="AS265" s="4720"/>
      <c r="AT265" s="4720"/>
      <c r="AU265" s="4720"/>
      <c r="AV265" s="4720"/>
      <c r="AW265" s="4634"/>
      <c r="AX265" s="4634"/>
      <c r="AY265" s="4634"/>
      <c r="AZ265" s="4634"/>
      <c r="BA265" s="4634"/>
      <c r="BB265" s="4634"/>
      <c r="BC265" s="4634"/>
      <c r="BD265" s="4634"/>
      <c r="BE265" s="4634"/>
      <c r="BF265" s="4634"/>
      <c r="BG265" s="4634"/>
      <c r="BH265" s="4634"/>
      <c r="BP265" s="4720"/>
      <c r="BQ265" s="4720"/>
      <c r="BY265" s="4720"/>
      <c r="BZ265" s="4720"/>
      <c r="CB265" s="4714"/>
      <c r="CC265" s="4714"/>
      <c r="CD265" s="4714"/>
      <c r="CE265" s="4714"/>
      <c r="CF265" s="4714"/>
      <c r="CG265" s="4726"/>
    </row>
    <row r="266" spans="3:85" s="4705" customFormat="1">
      <c r="C266" s="4720"/>
      <c r="D266" s="4720"/>
      <c r="E266" s="4720"/>
      <c r="F266" s="4720"/>
      <c r="G266" s="4720"/>
      <c r="H266" s="4720"/>
      <c r="I266" s="4719"/>
      <c r="J266" s="4720"/>
      <c r="K266" s="4720"/>
      <c r="L266" s="4720"/>
      <c r="M266" s="4720"/>
      <c r="N266" s="4720"/>
      <c r="O266" s="4720"/>
      <c r="P266" s="4720"/>
      <c r="Q266" s="4719"/>
      <c r="R266" s="4720"/>
      <c r="S266" s="4720"/>
      <c r="T266" s="4720"/>
      <c r="U266" s="4720"/>
      <c r="V266" s="4720"/>
      <c r="W266" s="4720"/>
      <c r="X266" s="4720"/>
      <c r="Y266" s="4719"/>
      <c r="Z266" s="4720"/>
      <c r="AA266" s="4720"/>
      <c r="AB266" s="4720"/>
      <c r="AC266" s="4720"/>
      <c r="AD266" s="4720"/>
      <c r="AE266" s="4720"/>
      <c r="AF266" s="4720"/>
      <c r="AG266" s="4719"/>
      <c r="AH266" s="4720"/>
      <c r="AI266" s="4720"/>
      <c r="AJ266" s="4720"/>
      <c r="AK266" s="4720"/>
      <c r="AL266" s="4720"/>
      <c r="AM266" s="4720"/>
      <c r="AN266" s="4720"/>
      <c r="AO266" s="4719"/>
      <c r="AP266" s="4720"/>
      <c r="AQ266" s="4720"/>
      <c r="AR266" s="4720"/>
      <c r="AS266" s="4720"/>
      <c r="AT266" s="4720"/>
      <c r="AU266" s="4720"/>
      <c r="AV266" s="4720"/>
      <c r="AW266" s="4634"/>
      <c r="AX266" s="4634"/>
      <c r="AY266" s="4634"/>
      <c r="AZ266" s="4634"/>
      <c r="BA266" s="4634"/>
      <c r="BB266" s="4634"/>
      <c r="BC266" s="4634"/>
      <c r="BD266" s="4634"/>
      <c r="BE266" s="4634"/>
      <c r="BF266" s="4634"/>
      <c r="BG266" s="4634"/>
      <c r="BH266" s="4634"/>
      <c r="BP266" s="4720"/>
      <c r="BQ266" s="4720"/>
      <c r="BY266" s="4720"/>
      <c r="BZ266" s="4720"/>
      <c r="CB266" s="4714"/>
      <c r="CC266" s="4714"/>
      <c r="CD266" s="4714"/>
      <c r="CE266" s="4714"/>
      <c r="CF266" s="4714"/>
      <c r="CG266" s="4726"/>
    </row>
    <row r="267" spans="3:85" s="4705" customFormat="1">
      <c r="C267" s="4720"/>
      <c r="D267" s="4720"/>
      <c r="E267" s="4720"/>
      <c r="F267" s="4720"/>
      <c r="G267" s="4720"/>
      <c r="H267" s="4720"/>
      <c r="I267" s="4719"/>
      <c r="J267" s="4720"/>
      <c r="K267" s="4720"/>
      <c r="L267" s="4720"/>
      <c r="M267" s="4720"/>
      <c r="N267" s="4720"/>
      <c r="O267" s="4720"/>
      <c r="P267" s="4720"/>
      <c r="Q267" s="4719"/>
      <c r="R267" s="4720"/>
      <c r="S267" s="4720"/>
      <c r="T267" s="4720"/>
      <c r="U267" s="4720"/>
      <c r="V267" s="4720"/>
      <c r="W267" s="4720"/>
      <c r="X267" s="4720"/>
      <c r="Y267" s="4719"/>
      <c r="Z267" s="4720"/>
      <c r="AA267" s="4720"/>
      <c r="AB267" s="4720"/>
      <c r="AC267" s="4720"/>
      <c r="AD267" s="4720"/>
      <c r="AE267" s="4720"/>
      <c r="AF267" s="4720"/>
      <c r="AG267" s="4719"/>
      <c r="AH267" s="4720"/>
      <c r="AI267" s="4720"/>
      <c r="AJ267" s="4720"/>
      <c r="AK267" s="4720"/>
      <c r="AL267" s="4720"/>
      <c r="AM267" s="4720"/>
      <c r="AN267" s="4720"/>
      <c r="AO267" s="4719"/>
      <c r="AP267" s="4720"/>
      <c r="AQ267" s="4720"/>
      <c r="AR267" s="4720"/>
      <c r="AS267" s="4720"/>
      <c r="AT267" s="4720"/>
      <c r="AU267" s="4720"/>
      <c r="AV267" s="4720"/>
      <c r="AW267" s="4634"/>
      <c r="AX267" s="4634"/>
      <c r="AY267" s="4634"/>
      <c r="AZ267" s="4634"/>
      <c r="BA267" s="4634"/>
      <c r="BB267" s="4634"/>
      <c r="BC267" s="4634"/>
      <c r="BD267" s="4634"/>
      <c r="BE267" s="4634"/>
      <c r="BF267" s="4634"/>
      <c r="BG267" s="4634"/>
      <c r="BH267" s="4634"/>
      <c r="BP267" s="4720"/>
      <c r="BQ267" s="4720"/>
      <c r="BY267" s="4720"/>
      <c r="BZ267" s="4720"/>
      <c r="CB267" s="4714"/>
      <c r="CC267" s="4714"/>
      <c r="CD267" s="4714"/>
      <c r="CE267" s="4714"/>
      <c r="CF267" s="4714"/>
      <c r="CG267" s="4726"/>
    </row>
    <row r="268" spans="3:85" s="4705" customFormat="1">
      <c r="C268" s="4720"/>
      <c r="D268" s="4720"/>
      <c r="E268" s="4720"/>
      <c r="F268" s="4720"/>
      <c r="G268" s="4720"/>
      <c r="H268" s="4720"/>
      <c r="I268" s="4719"/>
      <c r="J268" s="4720"/>
      <c r="K268" s="4720"/>
      <c r="L268" s="4720"/>
      <c r="M268" s="4720"/>
      <c r="N268" s="4720"/>
      <c r="O268" s="4720"/>
      <c r="P268" s="4720"/>
      <c r="Q268" s="4719"/>
      <c r="R268" s="4720"/>
      <c r="S268" s="4720"/>
      <c r="T268" s="4720"/>
      <c r="U268" s="4720"/>
      <c r="V268" s="4720"/>
      <c r="W268" s="4720"/>
      <c r="X268" s="4720"/>
      <c r="Y268" s="4719"/>
      <c r="Z268" s="4720"/>
      <c r="AA268" s="4720"/>
      <c r="AB268" s="4720"/>
      <c r="AC268" s="4720"/>
      <c r="AD268" s="4720"/>
      <c r="AE268" s="4720"/>
      <c r="AF268" s="4720"/>
      <c r="AG268" s="4719"/>
      <c r="AH268" s="4720"/>
      <c r="AI268" s="4720"/>
      <c r="AJ268" s="4720"/>
      <c r="AK268" s="4720"/>
      <c r="AL268" s="4720"/>
      <c r="AM268" s="4720"/>
      <c r="AN268" s="4720"/>
      <c r="AO268" s="4719"/>
      <c r="AP268" s="4720"/>
      <c r="AQ268" s="4720"/>
      <c r="AR268" s="4720"/>
      <c r="AS268" s="4720"/>
      <c r="AT268" s="4720"/>
      <c r="AU268" s="4720"/>
      <c r="AV268" s="4720"/>
      <c r="AW268" s="4634"/>
      <c r="AX268" s="4634"/>
      <c r="AY268" s="4634"/>
      <c r="AZ268" s="4634"/>
      <c r="BA268" s="4634"/>
      <c r="BB268" s="4634"/>
      <c r="BC268" s="4634"/>
      <c r="BD268" s="4634"/>
      <c r="BE268" s="4634"/>
      <c r="BF268" s="4634"/>
      <c r="BG268" s="4634"/>
      <c r="BH268" s="4634"/>
      <c r="BP268" s="4720"/>
      <c r="BQ268" s="4720"/>
      <c r="BY268" s="4720"/>
      <c r="BZ268" s="4720"/>
      <c r="CB268" s="4714"/>
      <c r="CC268" s="4714"/>
      <c r="CD268" s="4714"/>
      <c r="CE268" s="4714"/>
      <c r="CF268" s="4714"/>
      <c r="CG268" s="4726"/>
    </row>
    <row r="269" spans="3:85" s="4705" customFormat="1">
      <c r="C269" s="4720"/>
      <c r="D269" s="4720"/>
      <c r="E269" s="4720"/>
      <c r="F269" s="4720"/>
      <c r="G269" s="4720"/>
      <c r="H269" s="4720"/>
      <c r="I269" s="4719"/>
      <c r="J269" s="4720"/>
      <c r="K269" s="4720"/>
      <c r="L269" s="4720"/>
      <c r="M269" s="4720"/>
      <c r="N269" s="4720"/>
      <c r="O269" s="4720"/>
      <c r="P269" s="4720"/>
      <c r="Q269" s="4719"/>
      <c r="R269" s="4720"/>
      <c r="S269" s="4720"/>
      <c r="T269" s="4720"/>
      <c r="U269" s="4720"/>
      <c r="V269" s="4720"/>
      <c r="W269" s="4720"/>
      <c r="X269" s="4720"/>
      <c r="Y269" s="4719"/>
      <c r="Z269" s="4720"/>
      <c r="AA269" s="4720"/>
      <c r="AB269" s="4720"/>
      <c r="AC269" s="4720"/>
      <c r="AD269" s="4720"/>
      <c r="AE269" s="4720"/>
      <c r="AF269" s="4720"/>
      <c r="AG269" s="4719"/>
      <c r="AH269" s="4720"/>
      <c r="AI269" s="4720"/>
      <c r="AJ269" s="4720"/>
      <c r="AK269" s="4720"/>
      <c r="AL269" s="4720"/>
      <c r="AM269" s="4720"/>
      <c r="AN269" s="4720"/>
      <c r="AO269" s="4719"/>
      <c r="AP269" s="4720"/>
      <c r="AQ269" s="4720"/>
      <c r="AR269" s="4720"/>
      <c r="AS269" s="4720"/>
      <c r="AT269" s="4720"/>
      <c r="AU269" s="4720"/>
      <c r="AV269" s="4720"/>
      <c r="AW269" s="4634"/>
      <c r="AX269" s="4634"/>
      <c r="AY269" s="4634"/>
      <c r="AZ269" s="4634"/>
      <c r="BA269" s="4634"/>
      <c r="BB269" s="4634"/>
      <c r="BC269" s="4634"/>
      <c r="BD269" s="4634"/>
      <c r="BE269" s="4634"/>
      <c r="BF269" s="4634"/>
      <c r="BG269" s="4634"/>
      <c r="BH269" s="4634"/>
      <c r="BP269" s="4720"/>
      <c r="BQ269" s="4720"/>
      <c r="BY269" s="4720"/>
      <c r="BZ269" s="4720"/>
      <c r="CB269" s="4714"/>
      <c r="CC269" s="4714"/>
      <c r="CD269" s="4714"/>
      <c r="CE269" s="4714"/>
      <c r="CF269" s="4714"/>
      <c r="CG269" s="4726"/>
    </row>
    <row r="270" spans="3:85" s="4705" customFormat="1">
      <c r="C270" s="4720"/>
      <c r="D270" s="4720"/>
      <c r="E270" s="4720"/>
      <c r="F270" s="4720"/>
      <c r="G270" s="4720"/>
      <c r="H270" s="4720"/>
      <c r="I270" s="4719"/>
      <c r="J270" s="4720"/>
      <c r="K270" s="4720"/>
      <c r="L270" s="4720"/>
      <c r="M270" s="4720"/>
      <c r="N270" s="4720"/>
      <c r="O270" s="4720"/>
      <c r="P270" s="4720"/>
      <c r="Q270" s="4719"/>
      <c r="R270" s="4720"/>
      <c r="S270" s="4720"/>
      <c r="T270" s="4720"/>
      <c r="U270" s="4720"/>
      <c r="V270" s="4720"/>
      <c r="W270" s="4720"/>
      <c r="X270" s="4720"/>
      <c r="Y270" s="4719"/>
      <c r="Z270" s="4720"/>
      <c r="AA270" s="4720"/>
      <c r="AB270" s="4720"/>
      <c r="AC270" s="4720"/>
      <c r="AD270" s="4720"/>
      <c r="AE270" s="4720"/>
      <c r="AF270" s="4720"/>
      <c r="AG270" s="4719"/>
      <c r="AH270" s="4720"/>
      <c r="AI270" s="4720"/>
      <c r="AJ270" s="4720"/>
      <c r="AK270" s="4720"/>
      <c r="AL270" s="4720"/>
      <c r="AM270" s="4720"/>
      <c r="AN270" s="4720"/>
      <c r="AO270" s="4719"/>
      <c r="AP270" s="4720"/>
      <c r="AQ270" s="4720"/>
      <c r="AR270" s="4720"/>
      <c r="AS270" s="4720"/>
      <c r="AT270" s="4720"/>
      <c r="AU270" s="4720"/>
      <c r="AV270" s="4720"/>
      <c r="AW270" s="4634"/>
      <c r="AX270" s="4634"/>
      <c r="AY270" s="4634"/>
      <c r="AZ270" s="4634"/>
      <c r="BA270" s="4634"/>
      <c r="BB270" s="4634"/>
      <c r="BC270" s="4634"/>
      <c r="BD270" s="4634"/>
      <c r="BE270" s="4634"/>
      <c r="BF270" s="4634"/>
      <c r="BG270" s="4634"/>
      <c r="BH270" s="4634"/>
      <c r="BP270" s="4720"/>
      <c r="BQ270" s="4720"/>
      <c r="BY270" s="4720"/>
      <c r="BZ270" s="4720"/>
      <c r="CB270" s="4714"/>
      <c r="CC270" s="4714"/>
      <c r="CD270" s="4714"/>
      <c r="CE270" s="4714"/>
      <c r="CF270" s="4714"/>
      <c r="CG270" s="4726"/>
    </row>
    <row r="271" spans="3:85" s="4705" customFormat="1">
      <c r="C271" s="4720"/>
      <c r="D271" s="4720"/>
      <c r="E271" s="4720"/>
      <c r="F271" s="4720"/>
      <c r="G271" s="4720"/>
      <c r="H271" s="4720"/>
      <c r="I271" s="4719"/>
      <c r="J271" s="4720"/>
      <c r="K271" s="4720"/>
      <c r="L271" s="4720"/>
      <c r="M271" s="4720"/>
      <c r="N271" s="4720"/>
      <c r="O271" s="4720"/>
      <c r="P271" s="4720"/>
      <c r="Q271" s="4719"/>
      <c r="R271" s="4720"/>
      <c r="S271" s="4720"/>
      <c r="T271" s="4720"/>
      <c r="U271" s="4720"/>
      <c r="V271" s="4720"/>
      <c r="W271" s="4720"/>
      <c r="X271" s="4720"/>
      <c r="Y271" s="4719"/>
      <c r="Z271" s="4720"/>
      <c r="AA271" s="4720"/>
      <c r="AB271" s="4720"/>
      <c r="AC271" s="4720"/>
      <c r="AD271" s="4720"/>
      <c r="AE271" s="4720"/>
      <c r="AF271" s="4720"/>
      <c r="AG271" s="4719"/>
      <c r="AH271" s="4720"/>
      <c r="AI271" s="4720"/>
      <c r="AJ271" s="4720"/>
      <c r="AK271" s="4720"/>
      <c r="AL271" s="4720"/>
      <c r="AM271" s="4720"/>
      <c r="AN271" s="4720"/>
      <c r="AO271" s="4719"/>
      <c r="AP271" s="4720"/>
      <c r="AQ271" s="4720"/>
      <c r="AR271" s="4720"/>
      <c r="AS271" s="4720"/>
      <c r="AT271" s="4720"/>
      <c r="AU271" s="4720"/>
      <c r="AV271" s="4720"/>
      <c r="AW271" s="4634"/>
      <c r="AX271" s="4634"/>
      <c r="AY271" s="4634"/>
      <c r="AZ271" s="4634"/>
      <c r="BA271" s="4634"/>
      <c r="BB271" s="4634"/>
      <c r="BC271" s="4634"/>
      <c r="BD271" s="4634"/>
      <c r="BE271" s="4634"/>
      <c r="BF271" s="4634"/>
      <c r="BG271" s="4634"/>
      <c r="BH271" s="4634"/>
      <c r="BP271" s="4720"/>
      <c r="BQ271" s="4720"/>
      <c r="BY271" s="4720"/>
      <c r="BZ271" s="4720"/>
      <c r="CB271" s="4714"/>
      <c r="CC271" s="4714"/>
      <c r="CD271" s="4714"/>
      <c r="CE271" s="4714"/>
      <c r="CF271" s="4714"/>
      <c r="CG271" s="4726"/>
    </row>
    <row r="272" spans="3:85" s="4705" customFormat="1">
      <c r="C272" s="4720"/>
      <c r="D272" s="4720"/>
      <c r="E272" s="4720"/>
      <c r="F272" s="4720"/>
      <c r="G272" s="4720"/>
      <c r="H272" s="4720"/>
      <c r="I272" s="4719"/>
      <c r="J272" s="4720"/>
      <c r="K272" s="4720"/>
      <c r="L272" s="4720"/>
      <c r="M272" s="4720"/>
      <c r="N272" s="4720"/>
      <c r="O272" s="4720"/>
      <c r="P272" s="4720"/>
      <c r="Q272" s="4719"/>
      <c r="R272" s="4720"/>
      <c r="S272" s="4720"/>
      <c r="T272" s="4720"/>
      <c r="U272" s="4720"/>
      <c r="V272" s="4720"/>
      <c r="W272" s="4720"/>
      <c r="X272" s="4720"/>
      <c r="Y272" s="4719"/>
      <c r="Z272" s="4720"/>
      <c r="AA272" s="4720"/>
      <c r="AB272" s="4720"/>
      <c r="AC272" s="4720"/>
      <c r="AD272" s="4720"/>
      <c r="AE272" s="4720"/>
      <c r="AF272" s="4720"/>
      <c r="AG272" s="4719"/>
      <c r="AH272" s="4720"/>
      <c r="AI272" s="4720"/>
      <c r="AJ272" s="4720"/>
      <c r="AK272" s="4720"/>
      <c r="AL272" s="4720"/>
      <c r="AM272" s="4720"/>
      <c r="AN272" s="4720"/>
      <c r="AO272" s="4719"/>
      <c r="AP272" s="4720"/>
      <c r="AQ272" s="4720"/>
      <c r="AR272" s="4720"/>
      <c r="AS272" s="4720"/>
      <c r="AT272" s="4720"/>
      <c r="AU272" s="4720"/>
      <c r="AV272" s="4720"/>
      <c r="AW272" s="4634"/>
      <c r="AX272" s="4634"/>
      <c r="AY272" s="4634"/>
      <c r="AZ272" s="4634"/>
      <c r="BA272" s="4634"/>
      <c r="BB272" s="4634"/>
      <c r="BC272" s="4634"/>
      <c r="BD272" s="4634"/>
      <c r="BE272" s="4634"/>
      <c r="BF272" s="4634"/>
      <c r="BG272" s="4634"/>
      <c r="BH272" s="4634"/>
      <c r="BP272" s="4720"/>
      <c r="BQ272" s="4720"/>
      <c r="BY272" s="4720"/>
      <c r="BZ272" s="4720"/>
      <c r="CB272" s="4714"/>
      <c r="CC272" s="4714"/>
      <c r="CD272" s="4714"/>
      <c r="CE272" s="4714"/>
      <c r="CF272" s="4714"/>
      <c r="CG272" s="4726"/>
    </row>
    <row r="273" spans="3:85" s="4705" customFormat="1">
      <c r="C273" s="4720"/>
      <c r="D273" s="4720"/>
      <c r="E273" s="4720"/>
      <c r="F273" s="4720"/>
      <c r="G273" s="4720"/>
      <c r="H273" s="4720"/>
      <c r="I273" s="4719"/>
      <c r="J273" s="4720"/>
      <c r="K273" s="4720"/>
      <c r="L273" s="4720"/>
      <c r="M273" s="4720"/>
      <c r="N273" s="4720"/>
      <c r="O273" s="4720"/>
      <c r="P273" s="4720"/>
      <c r="Q273" s="4719"/>
      <c r="R273" s="4720"/>
      <c r="S273" s="4720"/>
      <c r="T273" s="4720"/>
      <c r="U273" s="4720"/>
      <c r="V273" s="4720"/>
      <c r="W273" s="4720"/>
      <c r="X273" s="4720"/>
      <c r="Y273" s="4719"/>
      <c r="Z273" s="4720"/>
      <c r="AA273" s="4720"/>
      <c r="AB273" s="4720"/>
      <c r="AC273" s="4720"/>
      <c r="AD273" s="4720"/>
      <c r="AE273" s="4720"/>
      <c r="AF273" s="4720"/>
      <c r="AG273" s="4719"/>
      <c r="AH273" s="4720"/>
      <c r="AI273" s="4720"/>
      <c r="AJ273" s="4720"/>
      <c r="AK273" s="4720"/>
      <c r="AL273" s="4720"/>
      <c r="AM273" s="4720"/>
      <c r="AN273" s="4720"/>
      <c r="AO273" s="4719"/>
      <c r="AP273" s="4720"/>
      <c r="AQ273" s="4720"/>
      <c r="AR273" s="4720"/>
      <c r="AS273" s="4720"/>
      <c r="AT273" s="4720"/>
      <c r="AU273" s="4720"/>
      <c r="AV273" s="4720"/>
      <c r="AW273" s="4634"/>
      <c r="AX273" s="4634"/>
      <c r="AY273" s="4634"/>
      <c r="AZ273" s="4634"/>
      <c r="BA273" s="4634"/>
      <c r="BB273" s="4634"/>
      <c r="BC273" s="4634"/>
      <c r="BD273" s="4634"/>
      <c r="BE273" s="4634"/>
      <c r="BF273" s="4634"/>
      <c r="BG273" s="4634"/>
      <c r="BH273" s="4634"/>
      <c r="BP273" s="4720"/>
      <c r="BQ273" s="4720"/>
      <c r="BY273" s="4720"/>
      <c r="BZ273" s="4720"/>
      <c r="CB273" s="4714"/>
      <c r="CC273" s="4714"/>
      <c r="CD273" s="4714"/>
      <c r="CE273" s="4714"/>
      <c r="CF273" s="4714"/>
      <c r="CG273" s="4726"/>
    </row>
    <row r="274" spans="3:85" s="4705" customFormat="1">
      <c r="C274" s="4720"/>
      <c r="D274" s="4720"/>
      <c r="E274" s="4720"/>
      <c r="F274" s="4720"/>
      <c r="G274" s="4720"/>
      <c r="H274" s="4720"/>
      <c r="I274" s="4719"/>
      <c r="J274" s="4720"/>
      <c r="K274" s="4720"/>
      <c r="L274" s="4720"/>
      <c r="M274" s="4720"/>
      <c r="N274" s="4720"/>
      <c r="O274" s="4720"/>
      <c r="P274" s="4720"/>
      <c r="Q274" s="4719"/>
      <c r="R274" s="4720"/>
      <c r="S274" s="4720"/>
      <c r="T274" s="4720"/>
      <c r="U274" s="4720"/>
      <c r="V274" s="4720"/>
      <c r="W274" s="4720"/>
      <c r="X274" s="4720"/>
      <c r="Y274" s="4719"/>
      <c r="Z274" s="4720"/>
      <c r="AA274" s="4720"/>
      <c r="AB274" s="4720"/>
      <c r="AC274" s="4720"/>
      <c r="AD274" s="4720"/>
      <c r="AE274" s="4720"/>
      <c r="AF274" s="4720"/>
      <c r="AG274" s="4719"/>
      <c r="AH274" s="4720"/>
      <c r="AI274" s="4720"/>
      <c r="AJ274" s="4720"/>
      <c r="AK274" s="4720"/>
      <c r="AL274" s="4720"/>
      <c r="AM274" s="4720"/>
      <c r="AN274" s="4720"/>
      <c r="AO274" s="4719"/>
      <c r="AP274" s="4720"/>
      <c r="AQ274" s="4720"/>
      <c r="AR274" s="4720"/>
      <c r="AS274" s="4720"/>
      <c r="AT274" s="4720"/>
      <c r="AU274" s="4720"/>
      <c r="AV274" s="4720"/>
      <c r="AW274" s="4634"/>
      <c r="AX274" s="4634"/>
      <c r="AY274" s="4634"/>
      <c r="AZ274" s="4634"/>
      <c r="BA274" s="4634"/>
      <c r="BB274" s="4634"/>
      <c r="BC274" s="4634"/>
      <c r="BD274" s="4634"/>
      <c r="BE274" s="4634"/>
      <c r="BF274" s="4634"/>
      <c r="BG274" s="4634"/>
      <c r="BH274" s="4634"/>
      <c r="BP274" s="4720"/>
      <c r="BQ274" s="4720"/>
      <c r="BY274" s="4720"/>
      <c r="BZ274" s="4720"/>
      <c r="CB274" s="4714"/>
      <c r="CC274" s="4714"/>
      <c r="CD274" s="4714"/>
      <c r="CE274" s="4714"/>
      <c r="CF274" s="4714"/>
      <c r="CG274" s="4726"/>
    </row>
    <row r="275" spans="3:85" s="4705" customFormat="1">
      <c r="C275" s="4720"/>
      <c r="D275" s="4720"/>
      <c r="E275" s="4720"/>
      <c r="F275" s="4720"/>
      <c r="G275" s="4720"/>
      <c r="H275" s="4720"/>
      <c r="I275" s="4719"/>
      <c r="J275" s="4720"/>
      <c r="K275" s="4720"/>
      <c r="L275" s="4720"/>
      <c r="M275" s="4720"/>
      <c r="N275" s="4720"/>
      <c r="O275" s="4720"/>
      <c r="P275" s="4720"/>
      <c r="Q275" s="4719"/>
      <c r="R275" s="4720"/>
      <c r="S275" s="4720"/>
      <c r="T275" s="4720"/>
      <c r="U275" s="4720"/>
      <c r="V275" s="4720"/>
      <c r="W275" s="4720"/>
      <c r="X275" s="4720"/>
      <c r="Y275" s="4719"/>
      <c r="Z275" s="4720"/>
      <c r="AA275" s="4720"/>
      <c r="AB275" s="4720"/>
      <c r="AC275" s="4720"/>
      <c r="AD275" s="4720"/>
      <c r="AE275" s="4720"/>
      <c r="AF275" s="4720"/>
      <c r="AG275" s="4719"/>
      <c r="AH275" s="4720"/>
      <c r="AI275" s="4720"/>
      <c r="AJ275" s="4720"/>
      <c r="AK275" s="4720"/>
      <c r="AL275" s="4720"/>
      <c r="AM275" s="4720"/>
      <c r="AN275" s="4720"/>
      <c r="AO275" s="4719"/>
      <c r="AP275" s="4720"/>
      <c r="AQ275" s="4720"/>
      <c r="AR275" s="4720"/>
      <c r="AS275" s="4720"/>
      <c r="AT275" s="4720"/>
      <c r="AU275" s="4720"/>
      <c r="AV275" s="4720"/>
      <c r="AW275" s="4634"/>
      <c r="AX275" s="4634"/>
      <c r="AY275" s="4634"/>
      <c r="AZ275" s="4634"/>
      <c r="BA275" s="4634"/>
      <c r="BB275" s="4634"/>
      <c r="BC275" s="4634"/>
      <c r="BD275" s="4634"/>
      <c r="BE275" s="4634"/>
      <c r="BF275" s="4634"/>
      <c r="BG275" s="4634"/>
      <c r="BH275" s="4634"/>
      <c r="BP275" s="4720"/>
      <c r="BQ275" s="4720"/>
      <c r="BY275" s="4720"/>
      <c r="BZ275" s="4720"/>
      <c r="CB275" s="4714"/>
      <c r="CC275" s="4714"/>
      <c r="CD275" s="4714"/>
      <c r="CE275" s="4714"/>
      <c r="CF275" s="4714"/>
      <c r="CG275" s="4726"/>
    </row>
    <row r="276" spans="3:85" s="4705" customFormat="1">
      <c r="C276" s="4720"/>
      <c r="D276" s="4720"/>
      <c r="E276" s="4720"/>
      <c r="F276" s="4720"/>
      <c r="G276" s="4720"/>
      <c r="H276" s="4720"/>
      <c r="I276" s="4719"/>
      <c r="J276" s="4720"/>
      <c r="K276" s="4720"/>
      <c r="L276" s="4720"/>
      <c r="M276" s="4720"/>
      <c r="N276" s="4720"/>
      <c r="O276" s="4720"/>
      <c r="P276" s="4720"/>
      <c r="Q276" s="4719"/>
      <c r="R276" s="4720"/>
      <c r="S276" s="4720"/>
      <c r="T276" s="4720"/>
      <c r="U276" s="4720"/>
      <c r="V276" s="4720"/>
      <c r="W276" s="4720"/>
      <c r="X276" s="4720"/>
      <c r="Y276" s="4719"/>
      <c r="Z276" s="4720"/>
      <c r="AA276" s="4720"/>
      <c r="AB276" s="4720"/>
      <c r="AC276" s="4720"/>
      <c r="AD276" s="4720"/>
      <c r="AE276" s="4720"/>
      <c r="AF276" s="4720"/>
      <c r="AG276" s="4719"/>
      <c r="AH276" s="4720"/>
      <c r="AI276" s="4720"/>
      <c r="AJ276" s="4720"/>
      <c r="AK276" s="4720"/>
      <c r="AL276" s="4720"/>
      <c r="AM276" s="4720"/>
      <c r="AN276" s="4720"/>
      <c r="AO276" s="4719"/>
      <c r="AP276" s="4720"/>
      <c r="AQ276" s="4720"/>
      <c r="AR276" s="4720"/>
      <c r="AS276" s="4720"/>
      <c r="AT276" s="4720"/>
      <c r="AU276" s="4720"/>
      <c r="AV276" s="4720"/>
      <c r="AW276" s="4634"/>
      <c r="AX276" s="4634"/>
      <c r="AY276" s="4634"/>
      <c r="AZ276" s="4634"/>
      <c r="BA276" s="4634"/>
      <c r="BB276" s="4634"/>
      <c r="BC276" s="4634"/>
      <c r="BD276" s="4634"/>
      <c r="BE276" s="4634"/>
      <c r="BF276" s="4634"/>
      <c r="BG276" s="4634"/>
      <c r="BH276" s="4634"/>
      <c r="BP276" s="4720"/>
      <c r="BQ276" s="4720"/>
      <c r="BY276" s="4720"/>
      <c r="BZ276" s="4720"/>
      <c r="CB276" s="4714"/>
      <c r="CC276" s="4714"/>
      <c r="CD276" s="4714"/>
      <c r="CE276" s="4714"/>
      <c r="CF276" s="4714"/>
      <c r="CG276" s="4726"/>
    </row>
    <row r="277" spans="3:85" s="4705" customFormat="1">
      <c r="C277" s="4720"/>
      <c r="D277" s="4720"/>
      <c r="E277" s="4720"/>
      <c r="F277" s="4720"/>
      <c r="G277" s="4720"/>
      <c r="H277" s="4720"/>
      <c r="I277" s="4719"/>
      <c r="J277" s="4720"/>
      <c r="K277" s="4720"/>
      <c r="L277" s="4720"/>
      <c r="M277" s="4720"/>
      <c r="N277" s="4720"/>
      <c r="O277" s="4720"/>
      <c r="P277" s="4720"/>
      <c r="Q277" s="4719"/>
      <c r="R277" s="4720"/>
      <c r="S277" s="4720"/>
      <c r="T277" s="4720"/>
      <c r="U277" s="4720"/>
      <c r="V277" s="4720"/>
      <c r="W277" s="4720"/>
      <c r="X277" s="4720"/>
      <c r="Y277" s="4719"/>
      <c r="Z277" s="4720"/>
      <c r="AA277" s="4720"/>
      <c r="AB277" s="4720"/>
      <c r="AC277" s="4720"/>
      <c r="AD277" s="4720"/>
      <c r="AE277" s="4720"/>
      <c r="AF277" s="4720"/>
      <c r="AG277" s="4719"/>
      <c r="AH277" s="4720"/>
      <c r="AI277" s="4720"/>
      <c r="AJ277" s="4720"/>
      <c r="AK277" s="4720"/>
      <c r="AL277" s="4720"/>
      <c r="AM277" s="4720"/>
      <c r="AN277" s="4720"/>
      <c r="AO277" s="4719"/>
      <c r="AP277" s="4720"/>
      <c r="AQ277" s="4720"/>
      <c r="AR277" s="4720"/>
      <c r="AS277" s="4720"/>
      <c r="AT277" s="4720"/>
      <c r="AU277" s="4720"/>
      <c r="AV277" s="4720"/>
      <c r="AW277" s="4634"/>
      <c r="AX277" s="4634"/>
      <c r="AY277" s="4634"/>
      <c r="AZ277" s="4634"/>
      <c r="BA277" s="4634"/>
      <c r="BB277" s="4634"/>
      <c r="BC277" s="4634"/>
      <c r="BD277" s="4634"/>
      <c r="BE277" s="4634"/>
      <c r="BF277" s="4634"/>
      <c r="BG277" s="4634"/>
      <c r="BH277" s="4634"/>
      <c r="BP277" s="4720"/>
      <c r="BQ277" s="4720"/>
      <c r="BY277" s="4720"/>
      <c r="BZ277" s="4720"/>
      <c r="CB277" s="4714"/>
      <c r="CC277" s="4714"/>
      <c r="CD277" s="4714"/>
      <c r="CE277" s="4714"/>
      <c r="CF277" s="4714"/>
      <c r="CG277" s="4726"/>
    </row>
  </sheetData>
  <conditionalFormatting sqref="C132:Z142">
    <cfRule type="cellIs" dxfId="31" priority="31" operator="lessThan">
      <formula>0</formula>
    </cfRule>
    <cfRule type="cellIs" dxfId="30" priority="32" operator="greaterThan">
      <formula>0.1</formula>
    </cfRule>
  </conditionalFormatting>
  <conditionalFormatting sqref="J11:J95">
    <cfRule type="cellIs" dxfId="29" priority="231" operator="lessThan">
      <formula>0</formula>
    </cfRule>
    <cfRule type="cellIs" dxfId="28" priority="232" operator="greaterThan">
      <formula>0.1</formula>
    </cfRule>
  </conditionalFormatting>
  <conditionalFormatting sqref="Q49:Q50">
    <cfRule type="cellIs" dxfId="27" priority="219" operator="lessThan">
      <formula>0</formula>
    </cfRule>
    <cfRule type="cellIs" dxfId="26" priority="220" operator="greaterThan">
      <formula>0.1</formula>
    </cfRule>
  </conditionalFormatting>
  <conditionalFormatting sqref="R11:R30 R32:R95">
    <cfRule type="cellIs" dxfId="25" priority="221" operator="lessThan">
      <formula>0</formula>
    </cfRule>
    <cfRule type="cellIs" dxfId="24" priority="222" operator="greaterThan">
      <formula>0.1</formula>
    </cfRule>
  </conditionalFormatting>
  <conditionalFormatting sqref="Z11:Z30 Z32:Z95">
    <cfRule type="cellIs" dxfId="23" priority="217" operator="lessThan">
      <formula>0</formula>
    </cfRule>
    <cfRule type="cellIs" dxfId="22" priority="218" operator="greaterThan">
      <formula>0.1</formula>
    </cfRule>
  </conditionalFormatting>
  <conditionalFormatting sqref="AG49:AG50">
    <cfRule type="cellIs" dxfId="21" priority="213" operator="lessThan">
      <formula>0</formula>
    </cfRule>
    <cfRule type="cellIs" dxfId="20" priority="214" operator="greaterThan">
      <formula>0.1</formula>
    </cfRule>
  </conditionalFormatting>
  <conditionalFormatting sqref="AH11:AH71">
    <cfRule type="cellIs" dxfId="19" priority="211" operator="lessThan">
      <formula>0</formula>
    </cfRule>
    <cfRule type="cellIs" dxfId="18" priority="212" operator="greaterThan">
      <formula>0.1</formula>
    </cfRule>
  </conditionalFormatting>
  <conditionalFormatting sqref="AH73:AH95">
    <cfRule type="cellIs" dxfId="17" priority="215" operator="lessThan">
      <formula>0</formula>
    </cfRule>
    <cfRule type="cellIs" dxfId="16" priority="216" operator="greaterThan">
      <formula>0.1</formula>
    </cfRule>
  </conditionalFormatting>
  <conditionalFormatting sqref="AI132:AX142">
    <cfRule type="cellIs" dxfId="15" priority="11" operator="lessThan">
      <formula>0</formula>
    </cfRule>
    <cfRule type="cellIs" dxfId="14" priority="12" operator="greaterThan">
      <formula>0.1</formula>
    </cfRule>
  </conditionalFormatting>
  <conditionalFormatting sqref="AO49:AO50">
    <cfRule type="cellIs" dxfId="13" priority="207" operator="lessThan">
      <formula>0</formula>
    </cfRule>
    <cfRule type="cellIs" dxfId="12" priority="208" operator="greaterThan">
      <formula>0.1</formula>
    </cfRule>
  </conditionalFormatting>
  <conditionalFormatting sqref="AP11:AP71">
    <cfRule type="cellIs" dxfId="11" priority="205" operator="lessThan">
      <formula>0</formula>
    </cfRule>
    <cfRule type="cellIs" dxfId="10" priority="206" operator="greaterThan">
      <formula>0.1</formula>
    </cfRule>
  </conditionalFormatting>
  <conditionalFormatting sqref="AP73:AP95">
    <cfRule type="cellIs" dxfId="9" priority="209" operator="lessThan">
      <formula>0</formula>
    </cfRule>
    <cfRule type="cellIs" dxfId="8" priority="210" operator="greaterThan">
      <formula>0.1</formula>
    </cfRule>
  </conditionalFormatting>
  <conditionalFormatting sqref="BJ132:BQ142">
    <cfRule type="cellIs" dxfId="7" priority="1" operator="lessThan">
      <formula>0</formula>
    </cfRule>
    <cfRule type="cellIs" dxfId="6" priority="2" operator="greaterThan">
      <formula>0.1</formula>
    </cfRule>
  </conditionalFormatting>
  <conditionalFormatting sqref="BP11:BQ95">
    <cfRule type="cellIs" dxfId="5" priority="181" operator="lessThan">
      <formula>0</formula>
    </cfRule>
    <cfRule type="cellIs" dxfId="4" priority="182" operator="greaterThan">
      <formula>0.1</formula>
    </cfRule>
  </conditionalFormatting>
  <conditionalFormatting sqref="BY11:BZ71">
    <cfRule type="cellIs" dxfId="3" priority="223" operator="lessThan">
      <formula>0</formula>
    </cfRule>
    <cfRule type="cellIs" dxfId="2" priority="224" operator="greaterThan">
      <formula>0.1</formula>
    </cfRule>
  </conditionalFormatting>
  <conditionalFormatting sqref="BY73:BZ95">
    <cfRule type="cellIs" dxfId="1" priority="225" operator="lessThan">
      <formula>0</formula>
    </cfRule>
    <cfRule type="cellIs" dxfId="0" priority="226" operator="greaterThan">
      <formula>0.1</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tabColor rgb="FFFFFFCC"/>
    <pageSetUpPr fitToPage="1"/>
  </sheetPr>
  <dimension ref="A1:AA56"/>
  <sheetViews>
    <sheetView showGridLines="0" tabSelected="1" topLeftCell="A19" zoomScale="90" zoomScaleNormal="90" zoomScaleSheetLayoutView="100" workbookViewId="0">
      <selection activeCell="A31" sqref="A31:XFD31"/>
    </sheetView>
  </sheetViews>
  <sheetFormatPr defaultColWidth="9.109375" defaultRowHeight="13.2"/>
  <cols>
    <col min="1" max="1" width="4.6640625" style="1779" customWidth="1"/>
    <col min="2" max="2" width="7.6640625" style="1779" customWidth="1"/>
    <col min="3" max="3" width="62.5546875" style="1" customWidth="1"/>
    <col min="4" max="4" width="11.6640625" style="1" customWidth="1"/>
    <col min="5" max="10" width="8.6640625" style="1" customWidth="1"/>
    <col min="11" max="12" width="9.33203125" style="1" customWidth="1"/>
    <col min="13" max="13" width="8.5546875" style="1" customWidth="1"/>
    <col min="14" max="14" width="8" style="1" customWidth="1"/>
    <col min="15" max="15" width="5" style="1" customWidth="1"/>
    <col min="16" max="16" width="12" style="1" customWidth="1"/>
    <col min="17" max="21" width="8.6640625" style="1" customWidth="1"/>
    <col min="22" max="22" width="13.6640625" style="1" customWidth="1"/>
    <col min="23" max="16384" width="9.109375" style="1"/>
  </cols>
  <sheetData>
    <row r="1" spans="1:27" ht="13.8">
      <c r="A1" s="1739"/>
      <c r="B1" s="1739"/>
      <c r="J1" s="3182"/>
      <c r="L1" s="3182"/>
      <c r="M1" s="5011"/>
      <c r="N1" s="5011"/>
      <c r="O1" s="659"/>
      <c r="V1" s="3182" t="str">
        <f>'2. Променливи'!R1</f>
        <v>Приложение № 2</v>
      </c>
      <c r="W1" s="3266"/>
    </row>
    <row r="2" spans="1:27" s="1365" customFormat="1" ht="24" customHeight="1">
      <c r="A2" s="5006" t="s">
        <v>1292</v>
      </c>
      <c r="B2" s="5006"/>
      <c r="C2" s="5006"/>
      <c r="D2" s="5006"/>
      <c r="E2" s="5006"/>
      <c r="F2" s="5006"/>
      <c r="G2" s="5006"/>
      <c r="H2" s="5006"/>
      <c r="I2" s="5006"/>
      <c r="J2" s="5006"/>
      <c r="K2" s="5006"/>
      <c r="L2" s="5006"/>
      <c r="M2" s="5006"/>
      <c r="N2" s="5006"/>
      <c r="O2" s="659"/>
      <c r="V2" s="1717"/>
    </row>
    <row r="3" spans="1:27" s="1365" customFormat="1" ht="18" customHeight="1">
      <c r="A3" s="5006" t="s">
        <v>1291</v>
      </c>
      <c r="B3" s="5006"/>
      <c r="C3" s="5006"/>
      <c r="D3" s="5006"/>
      <c r="E3" s="5006"/>
      <c r="F3" s="5006"/>
      <c r="G3" s="5006"/>
      <c r="H3" s="5006"/>
      <c r="I3" s="5006"/>
      <c r="J3" s="5006"/>
      <c r="K3" s="5006"/>
      <c r="L3" s="5006"/>
      <c r="M3" s="5006"/>
      <c r="N3" s="5006"/>
      <c r="O3" s="659"/>
    </row>
    <row r="4" spans="1:27" s="1365" customFormat="1" ht="24.75" customHeight="1">
      <c r="A4" s="5007" t="str">
        <f>'1. Обща информация'!A4:D4</f>
        <v>на "В И К" АД, гр. Ловеч</v>
      </c>
      <c r="B4" s="5007"/>
      <c r="C4" s="5007"/>
      <c r="D4" s="5007"/>
      <c r="E4" s="5007"/>
      <c r="F4" s="5007"/>
      <c r="G4" s="5007"/>
      <c r="H4" s="5007"/>
      <c r="I4" s="5007"/>
      <c r="J4" s="5007"/>
      <c r="K4" s="5007"/>
      <c r="L4" s="5007"/>
      <c r="M4" s="5007"/>
      <c r="N4" s="5007"/>
      <c r="O4" s="659"/>
    </row>
    <row r="5" spans="1:27" s="1365" customFormat="1" ht="20.25" customHeight="1">
      <c r="A5" s="5007" t="str">
        <f>'1. Обща информация'!A5:D5</f>
        <v>ЕИК по БУЛСТАТ: 110549443</v>
      </c>
      <c r="B5" s="5007"/>
      <c r="C5" s="5007"/>
      <c r="D5" s="5007"/>
      <c r="E5" s="5007"/>
      <c r="F5" s="5007"/>
      <c r="G5" s="5007"/>
      <c r="H5" s="5007"/>
      <c r="I5" s="5007"/>
      <c r="J5" s="5007"/>
      <c r="K5" s="5007"/>
      <c r="L5" s="5007"/>
      <c r="M5" s="5007"/>
      <c r="N5" s="5007"/>
      <c r="O5" s="659"/>
      <c r="Q5" s="1740"/>
      <c r="R5" s="1740"/>
      <c r="S5" s="1740"/>
      <c r="T5" s="1740"/>
      <c r="U5" s="1740"/>
      <c r="V5" s="1740"/>
    </row>
    <row r="6" spans="1:27" s="1365" customFormat="1" ht="11.25" customHeight="1" thickBot="1">
      <c r="A6" s="1741"/>
      <c r="B6" s="1741"/>
      <c r="D6" s="1742"/>
      <c r="K6" s="658"/>
      <c r="L6" s="658"/>
      <c r="M6" s="659"/>
      <c r="N6" s="659"/>
      <c r="O6" s="659"/>
      <c r="Q6" s="1740"/>
      <c r="R6" s="1740"/>
      <c r="S6" s="1740"/>
      <c r="T6" s="1740"/>
      <c r="U6" s="1740"/>
      <c r="V6" s="1740"/>
    </row>
    <row r="7" spans="1:27" ht="63.75" customHeight="1" thickBot="1">
      <c r="A7" s="328" t="s">
        <v>1</v>
      </c>
      <c r="B7" s="329" t="s">
        <v>773</v>
      </c>
      <c r="C7" s="330" t="s">
        <v>82</v>
      </c>
      <c r="D7" s="331" t="s">
        <v>746</v>
      </c>
      <c r="E7" s="332" t="str">
        <f>'Приложение '!$C12</f>
        <v>2024 г.</v>
      </c>
      <c r="F7" s="331" t="str">
        <f>'Приложение '!$C14</f>
        <v>2027 г.</v>
      </c>
      <c r="G7" s="331" t="str">
        <f>'Приложение '!$C15</f>
        <v>2028 г.</v>
      </c>
      <c r="H7" s="331" t="str">
        <f>'Приложение '!$C16</f>
        <v>2029 г.</v>
      </c>
      <c r="I7" s="331" t="str">
        <f>'Приложение '!$C17</f>
        <v>2030 г.</v>
      </c>
      <c r="J7" s="4244" t="str">
        <f>'Приложение '!$C18</f>
        <v>2031 г.</v>
      </c>
      <c r="K7" s="331" t="str">
        <f>"Качество на информацията за "
&amp;'Приложение '!C12</f>
        <v>Качество на информацията за 2024 г.</v>
      </c>
      <c r="L7" s="331" t="str">
        <f>"Качество на информацията за "
&amp;'Приложение '!C18</f>
        <v>Качество на информацията за 2031 г.</v>
      </c>
      <c r="M7" s="331" t="str">
        <f>CONCATENATE("Индивидуална цел за ",J7)</f>
        <v>Индивидуална цел за 2031 г.</v>
      </c>
      <c r="N7" s="332" t="s">
        <v>780</v>
      </c>
      <c r="O7" s="861"/>
      <c r="P7" s="3728" t="s">
        <v>1312</v>
      </c>
      <c r="Q7" s="4244" t="str">
        <f>CONCATENATE("Разлика ",F7," спрямо ",E7)</f>
        <v>Разлика 2027 г. спрямо 2024 г.</v>
      </c>
      <c r="R7" s="4244" t="str">
        <f t="shared" ref="R7:U7" si="0">CONCATENATE("Разлика ",G7," спрямо ",F7)</f>
        <v>Разлика 2028 г. спрямо 2027 г.</v>
      </c>
      <c r="S7" s="4244" t="str">
        <f t="shared" si="0"/>
        <v>Разлика 2029 г. спрямо 2028 г.</v>
      </c>
      <c r="T7" s="4244" t="str">
        <f t="shared" si="0"/>
        <v>Разлика 2030 г. спрямо 2029 г.</v>
      </c>
      <c r="U7" s="331" t="str">
        <f t="shared" si="0"/>
        <v>Разлика 2031 г. спрямо 2030 г.</v>
      </c>
      <c r="V7" s="4245" t="str">
        <f>CONCATENATE("Отклонение ", J7, " спрямо ", M7)</f>
        <v>Отклонение 2031 г. спрямо Индивидуална цел за 2031 г.</v>
      </c>
    </row>
    <row r="8" spans="1:27" ht="14.4" thickBot="1">
      <c r="A8" s="5013" t="s">
        <v>1113</v>
      </c>
      <c r="B8" s="5014"/>
      <c r="C8" s="5014"/>
      <c r="D8" s="5014"/>
      <c r="E8" s="5014"/>
      <c r="F8" s="5014"/>
      <c r="G8" s="5014"/>
      <c r="H8" s="5014"/>
      <c r="I8" s="5014"/>
      <c r="J8" s="5014"/>
      <c r="K8" s="5014"/>
      <c r="L8" s="5014"/>
      <c r="M8" s="5014"/>
      <c r="N8" s="5015"/>
      <c r="O8" s="862"/>
      <c r="P8" s="796"/>
      <c r="Q8" s="796"/>
      <c r="R8" s="798"/>
      <c r="S8" s="798"/>
      <c r="T8" s="798"/>
      <c r="U8" s="798"/>
      <c r="V8" s="797"/>
      <c r="X8" s="5016"/>
      <c r="Y8" s="5016"/>
      <c r="Z8" s="5016"/>
      <c r="AA8" s="5016"/>
    </row>
    <row r="9" spans="1:27" ht="13.8">
      <c r="A9" s="1743">
        <v>1</v>
      </c>
      <c r="B9" s="1744" t="s">
        <v>116</v>
      </c>
      <c r="C9" s="1745" t="s">
        <v>751</v>
      </c>
      <c r="D9" s="770" t="s">
        <v>170</v>
      </c>
      <c r="E9" s="3772">
        <f>IFERROR(ROUND('2. Променливи'!E10/'2. Променливи'!E13,4),0)</f>
        <v>0.97660000000000002</v>
      </c>
      <c r="F9" s="3773">
        <f>IFERROR(ROUND('2. Променливи'!F10/'2. Променливи'!F13,4),0)</f>
        <v>0.98860000000000003</v>
      </c>
      <c r="G9" s="3773">
        <f>IFERROR(ROUND('2. Променливи'!G10/'2. Променливи'!G13,4),0)</f>
        <v>0.98870000000000002</v>
      </c>
      <c r="H9" s="3773">
        <f>IFERROR(ROUND('2. Променливи'!H10/'2. Променливи'!H13,4),0)</f>
        <v>0.98880000000000001</v>
      </c>
      <c r="I9" s="3773">
        <f>IFERROR(ROUND('2. Променливи'!I10/'2. Променливи'!I13,4),0)</f>
        <v>0.98919999999999997</v>
      </c>
      <c r="J9" s="3773">
        <f>IFERROR(ROUND('2. Променливи'!J10/'2. Променливи'!J13,4),0)</f>
        <v>0.99029999999999996</v>
      </c>
      <c r="K9" s="915">
        <f>'2. Променливи'!K10</f>
        <v>1</v>
      </c>
      <c r="L9" s="915">
        <f>'2. Променливи'!P10</f>
        <v>1</v>
      </c>
      <c r="M9" s="4600">
        <v>0.99029999999999996</v>
      </c>
      <c r="N9" s="1746">
        <v>0.99</v>
      </c>
      <c r="O9" s="1747"/>
      <c r="P9" s="864" t="s">
        <v>1326</v>
      </c>
      <c r="Q9" s="789">
        <f>F9-E9</f>
        <v>1.2000000000000011E-2</v>
      </c>
      <c r="R9" s="790">
        <f t="shared" ref="R9:U11" si="1">G9-F9</f>
        <v>9.9999999999988987E-5</v>
      </c>
      <c r="S9" s="790">
        <f t="shared" si="1"/>
        <v>9.9999999999988987E-5</v>
      </c>
      <c r="T9" s="790">
        <f t="shared" si="1"/>
        <v>3.9999999999995595E-4</v>
      </c>
      <c r="U9" s="790">
        <f t="shared" si="1"/>
        <v>1.0999999999999899E-3</v>
      </c>
      <c r="V9" s="793">
        <f t="shared" ref="V9:V37" si="2">J9-M9</f>
        <v>0</v>
      </c>
      <c r="W9" s="3774"/>
      <c r="Z9" s="3382"/>
      <c r="AA9" s="3382"/>
    </row>
    <row r="10" spans="1:27" ht="13.8">
      <c r="A10" s="1743">
        <v>2</v>
      </c>
      <c r="B10" s="1748" t="s">
        <v>117</v>
      </c>
      <c r="C10" s="1749" t="s">
        <v>752</v>
      </c>
      <c r="D10" s="770" t="s">
        <v>170</v>
      </c>
      <c r="E10" s="1764">
        <f>IFERROR(ROUND('2. Променливи'!E34/'2. Променливи'!E39,4),"-")</f>
        <v>1</v>
      </c>
      <c r="F10" s="3773">
        <f>IFERROR(ROUND('2. Променливи'!F34/'2. Променливи'!F39,4),"-")</f>
        <v>0.99629999999999996</v>
      </c>
      <c r="G10" s="3773">
        <f>IFERROR(ROUND('2. Променливи'!G34/'2. Променливи'!G39,4),"-")</f>
        <v>0.99719999999999998</v>
      </c>
      <c r="H10" s="3773">
        <f>IFERROR(ROUND('2. Променливи'!H34/'2. Променливи'!H39,4),"-")</f>
        <v>0.99809999999999999</v>
      </c>
      <c r="I10" s="3773">
        <f>IFERROR(ROUND('2. Променливи'!I34/'2. Променливи'!I39,4),"-")</f>
        <v>0.99909999999999999</v>
      </c>
      <c r="J10" s="3773">
        <f>IFERROR(ROUND('2. Променливи'!J34/'2. Променливи'!J39,4),"-")</f>
        <v>1</v>
      </c>
      <c r="K10" s="915">
        <f>ROUND(AVERAGE('2. Променливи'!K34,'2. Променливи'!K39),0)</f>
        <v>1</v>
      </c>
      <c r="L10" s="915">
        <f>ROUND(AVERAGE('2. Променливи'!P34,'2. Променливи'!P39),0)</f>
        <v>1</v>
      </c>
      <c r="M10" s="399">
        <v>1</v>
      </c>
      <c r="N10" s="1750">
        <v>0.99</v>
      </c>
      <c r="O10" s="1747"/>
      <c r="P10" s="866" t="s">
        <v>1326</v>
      </c>
      <c r="Q10" s="791">
        <f>IFERROR(F10-E10,"-")</f>
        <v>-3.7000000000000366E-3</v>
      </c>
      <c r="R10" s="792">
        <f>IFERROR(G10-F10,"-")</f>
        <v>9.000000000000119E-4</v>
      </c>
      <c r="S10" s="792">
        <f>IFERROR(H10-G10,"-")</f>
        <v>9.000000000000119E-4</v>
      </c>
      <c r="T10" s="792">
        <f>IFERROR(I10-H10,"-")</f>
        <v>1.0000000000000009E-3</v>
      </c>
      <c r="U10" s="792">
        <f>IFERROR(J10-I10,"-")</f>
        <v>9.000000000000119E-4</v>
      </c>
      <c r="V10" s="794">
        <f>IFERROR(J10-M10,"-")</f>
        <v>0</v>
      </c>
      <c r="Z10" s="3382"/>
      <c r="AA10" s="3382"/>
    </row>
    <row r="11" spans="1:27" ht="13.8">
      <c r="A11" s="1743">
        <v>3</v>
      </c>
      <c r="B11" s="1748" t="s">
        <v>118</v>
      </c>
      <c r="C11" s="1749" t="s">
        <v>753</v>
      </c>
      <c r="D11" s="770" t="s">
        <v>170</v>
      </c>
      <c r="E11" s="1764">
        <f>IFERROR(ROUND('2. Променливи'!E44/'2. Променливи'!E49,4),0)</f>
        <v>0.99929999999999997</v>
      </c>
      <c r="F11" s="3773">
        <f>IFERROR(ROUND('2. Променливи'!F44/'2. Променливи'!F49,4),0)</f>
        <v>0.99439999999999995</v>
      </c>
      <c r="G11" s="3773">
        <f>IFERROR(ROUND('2. Променливи'!G44/'2. Променливи'!G49,4),0)</f>
        <v>0.995</v>
      </c>
      <c r="H11" s="3773">
        <f>IFERROR(ROUND('2. Променливи'!H44/'2. Променливи'!H49,4),0)</f>
        <v>0.99529999999999996</v>
      </c>
      <c r="I11" s="3773">
        <f>IFERROR(ROUND('2. Променливи'!I44/'2. Променливи'!I49,4),0)</f>
        <v>0.996</v>
      </c>
      <c r="J11" s="3773">
        <f>IFERROR(ROUND('2. Променливи'!J44/'2. Променливи'!J49,4),0)</f>
        <v>0.99690000000000001</v>
      </c>
      <c r="K11" s="915">
        <f>ROUND(AVERAGE('2. Променливи'!K44,'2. Променливи'!K49),0)</f>
        <v>1</v>
      </c>
      <c r="L11" s="915">
        <f>ROUND(AVERAGE('2. Променливи'!P44,'2. Променливи'!P49),0)</f>
        <v>1</v>
      </c>
      <c r="M11" s="399">
        <v>0.99690000000000001</v>
      </c>
      <c r="N11" s="1750">
        <v>0.98</v>
      </c>
      <c r="O11" s="1747"/>
      <c r="P11" s="867" t="s">
        <v>1326</v>
      </c>
      <c r="Q11" s="791">
        <f t="shared" ref="Q11" si="3">F11-E11</f>
        <v>-4.9000000000000155E-3</v>
      </c>
      <c r="R11" s="792">
        <f t="shared" si="1"/>
        <v>6.0000000000004494E-4</v>
      </c>
      <c r="S11" s="792">
        <f t="shared" si="1"/>
        <v>2.9999999999996696E-4</v>
      </c>
      <c r="T11" s="792">
        <f t="shared" si="1"/>
        <v>7.0000000000003393E-4</v>
      </c>
      <c r="U11" s="792">
        <f t="shared" si="1"/>
        <v>9.000000000000119E-4</v>
      </c>
      <c r="V11" s="794">
        <f t="shared" si="2"/>
        <v>0</v>
      </c>
      <c r="Z11" s="3382"/>
      <c r="AA11" s="3382"/>
    </row>
    <row r="12" spans="1:27" ht="13.8">
      <c r="A12" s="1743">
        <v>4</v>
      </c>
      <c r="B12" s="1748" t="s">
        <v>119</v>
      </c>
      <c r="C12" s="1749" t="s">
        <v>754</v>
      </c>
      <c r="D12" s="770" t="s">
        <v>170</v>
      </c>
      <c r="E12" s="1764">
        <f>IFERROR(ROUND('2. Променливи'!E54/'2. Променливи'!E55,4),0)</f>
        <v>1</v>
      </c>
      <c r="F12" s="3773">
        <f>IFERROR(ROUND('2. Променливи'!F54/'2. Променливи'!F55,4),0)</f>
        <v>1</v>
      </c>
      <c r="G12" s="3773">
        <f>IFERROR(ROUND('2. Променливи'!G54/'2. Променливи'!G55,4),0)</f>
        <v>1</v>
      </c>
      <c r="H12" s="3773">
        <f>IFERROR(ROUND('2. Променливи'!H54/'2. Променливи'!H55,4),0)</f>
        <v>1</v>
      </c>
      <c r="I12" s="3773">
        <f>IFERROR(ROUND('2. Променливи'!I54/'2. Променливи'!I55,4),0)</f>
        <v>1</v>
      </c>
      <c r="J12" s="3773">
        <f>IFERROR(ROUND('2. Променливи'!J54/'2. Променливи'!J55,4),0)</f>
        <v>1</v>
      </c>
      <c r="K12" s="915">
        <f>IFERROR(ROUND(AVERAGE('2. Променливи'!K54,'2. Променливи'!K55),0),0)</f>
        <v>1</v>
      </c>
      <c r="L12" s="915">
        <f>IFERROR(ROUND(AVERAGE('2. Променливи'!P54,'2. Променливи'!P55),0),0)</f>
        <v>1</v>
      </c>
      <c r="M12" s="399">
        <v>1</v>
      </c>
      <c r="N12" s="1750">
        <v>1</v>
      </c>
      <c r="O12" s="1747"/>
      <c r="P12" s="866" t="s">
        <v>1326</v>
      </c>
      <c r="Q12" s="791">
        <f t="shared" ref="Q12:Q37" si="4">F12-E12</f>
        <v>0</v>
      </c>
      <c r="R12" s="792">
        <f t="shared" ref="R12:R37" si="5">G12-F12</f>
        <v>0</v>
      </c>
      <c r="S12" s="792">
        <f t="shared" ref="S12:S37" si="6">H12-G12</f>
        <v>0</v>
      </c>
      <c r="T12" s="792">
        <f t="shared" ref="T12:T37" si="7">I12-H12</f>
        <v>0</v>
      </c>
      <c r="U12" s="792">
        <f t="shared" ref="U12:U37" si="8">J12-I12</f>
        <v>0</v>
      </c>
      <c r="V12" s="794">
        <f t="shared" si="2"/>
        <v>0</v>
      </c>
      <c r="Z12" s="3382"/>
      <c r="AA12" s="3382"/>
    </row>
    <row r="13" spans="1:27" ht="13.8">
      <c r="A13" s="1743">
        <v>5</v>
      </c>
      <c r="B13" s="1748" t="s">
        <v>120</v>
      </c>
      <c r="C13" s="1749" t="s">
        <v>755</v>
      </c>
      <c r="D13" s="770" t="s">
        <v>1033</v>
      </c>
      <c r="E13" s="3775">
        <f>IFERROR(ROUND('2. Променливи'!E58/('2. Променливи'!E10*24*365)*1000,3),0)</f>
        <v>1.173</v>
      </c>
      <c r="F13" s="3775">
        <f>IFERROR(ROUND('2. Променливи'!F58/('2. Променливи'!F10*24*365)*1000,3),0)</f>
        <v>1.1579999999999999</v>
      </c>
      <c r="G13" s="3775">
        <f>IFERROR(ROUND('2. Променливи'!G58/('2. Променливи'!G10*24*365)*1000,3),0)</f>
        <v>1.1559999999999999</v>
      </c>
      <c r="H13" s="3775">
        <f>IFERROR(ROUND('2. Променливи'!H58/('2. Променливи'!H10*24*365)*1000,3),0)</f>
        <v>1.153</v>
      </c>
      <c r="I13" s="3775">
        <f>IFERROR(ROUND('2. Променливи'!I58/('2. Променливи'!I10*24*365)*1000,3),0)</f>
        <v>1.1519999999999999</v>
      </c>
      <c r="J13" s="3775">
        <f>IFERROR(ROUND('2. Променливи'!J58/('2. Променливи'!J10*24*365)*1000,3),0)</f>
        <v>1.151</v>
      </c>
      <c r="K13" s="915">
        <f>IFERROR(ROUND(AVERAGE('2. Променливи'!K58,'2. Променливи'!K10),0),0)</f>
        <v>1</v>
      </c>
      <c r="L13" s="915">
        <f>IFERROR(ROUND(AVERAGE('2. Променливи'!P58,'2. Променливи'!P10),0),0)</f>
        <v>1</v>
      </c>
      <c r="M13" s="79">
        <v>1.151</v>
      </c>
      <c r="N13" s="1751">
        <v>8</v>
      </c>
      <c r="O13" s="1752"/>
      <c r="P13" s="863" t="s">
        <v>1327</v>
      </c>
      <c r="Q13" s="1429">
        <f t="shared" si="4"/>
        <v>-1.5000000000000124E-2</v>
      </c>
      <c r="R13" s="1430">
        <f t="shared" si="5"/>
        <v>-2.0000000000000018E-3</v>
      </c>
      <c r="S13" s="1430">
        <f t="shared" si="6"/>
        <v>-2.9999999999998916E-3</v>
      </c>
      <c r="T13" s="1430">
        <f t="shared" si="7"/>
        <v>-1.0000000000001119E-3</v>
      </c>
      <c r="U13" s="3411">
        <f t="shared" si="8"/>
        <v>-9.9999999999988987E-4</v>
      </c>
      <c r="V13" s="1430">
        <f t="shared" si="2"/>
        <v>0</v>
      </c>
      <c r="Z13" s="3382"/>
      <c r="AA13" s="3382"/>
    </row>
    <row r="14" spans="1:27" ht="13.8">
      <c r="A14" s="1743">
        <v>6</v>
      </c>
      <c r="B14" s="1748" t="s">
        <v>744</v>
      </c>
      <c r="C14" s="1749" t="s">
        <v>756</v>
      </c>
      <c r="D14" s="770" t="s">
        <v>1040</v>
      </c>
      <c r="E14" s="1760">
        <f>IFERROR(ROUND('2. Променливи'!E65/'2. Променливи'!E26/365,2),0)</f>
        <v>8.68</v>
      </c>
      <c r="F14" s="1760">
        <f>IFERROR(ROUND('2. Променливи'!F65/'2. Променливи'!F26/365,2),0)</f>
        <v>8.51</v>
      </c>
      <c r="G14" s="1760">
        <f>IFERROR(ROUND('2. Променливи'!G65/'2. Променливи'!G26/365,2),0)</f>
        <v>8.3000000000000007</v>
      </c>
      <c r="H14" s="1760">
        <f>IFERROR(ROUND('2. Променливи'!H65/'2. Променливи'!H26/365,2),0)</f>
        <v>8.06</v>
      </c>
      <c r="I14" s="1760">
        <f>IFERROR(ROUND('2. Променливи'!I65/'2. Променливи'!I26/365,2),0)</f>
        <v>7.73</v>
      </c>
      <c r="J14" s="1760">
        <f>IFERROR(ROUND('2. Променливи'!J65/'2. Променливи'!J26/365,2),0)</f>
        <v>7.28</v>
      </c>
      <c r="K14" s="916">
        <f>IFERROR(ROUND(AVERAGE('2. Променливи'!K65,'2. Променливи'!K26),0),0)</f>
        <v>1</v>
      </c>
      <c r="L14" s="917">
        <f>IFERROR(ROUND(AVERAGE('2. Променливи'!P65,'2. Променливи'!P26),0),0)</f>
        <v>1</v>
      </c>
      <c r="M14" s="79">
        <v>7.28</v>
      </c>
      <c r="N14" s="1751">
        <v>15</v>
      </c>
      <c r="O14" s="1752"/>
      <c r="P14" s="863" t="s">
        <v>1327</v>
      </c>
      <c r="Q14" s="1427">
        <f t="shared" si="4"/>
        <v>-0.16999999999999993</v>
      </c>
      <c r="R14" s="1428">
        <f t="shared" si="5"/>
        <v>-0.20999999999999908</v>
      </c>
      <c r="S14" s="1428">
        <f t="shared" si="6"/>
        <v>-0.24000000000000021</v>
      </c>
      <c r="T14" s="1428">
        <f t="shared" si="7"/>
        <v>-0.33000000000000007</v>
      </c>
      <c r="U14" s="1428">
        <f t="shared" si="8"/>
        <v>-0.45000000000000018</v>
      </c>
      <c r="V14" s="3776">
        <f t="shared" si="2"/>
        <v>0</v>
      </c>
      <c r="Z14" s="3382"/>
      <c r="AA14" s="3382"/>
    </row>
    <row r="15" spans="1:27" ht="13.8">
      <c r="A15" s="1743">
        <v>7</v>
      </c>
      <c r="B15" s="1748" t="s">
        <v>745</v>
      </c>
      <c r="C15" s="1749" t="s">
        <v>756</v>
      </c>
      <c r="D15" s="770" t="s">
        <v>170</v>
      </c>
      <c r="E15" s="1764">
        <f>IFERROR(ROUND('2. Променливи'!E65/'2. Променливи'!E63,4),0)</f>
        <v>0.5988</v>
      </c>
      <c r="F15" s="1764">
        <f>IFERROR(ROUND('2. Променливи'!F65/'2. Променливи'!F63,4),0)</f>
        <v>0.59660000000000002</v>
      </c>
      <c r="G15" s="1764">
        <f>IFERROR(ROUND('2. Променливи'!G65/'2. Променливи'!G63,4),0)</f>
        <v>0.59009999999999996</v>
      </c>
      <c r="H15" s="1764">
        <f>IFERROR(ROUND('2. Променливи'!H65/'2. Променливи'!H63,4),0)</f>
        <v>0.58230000000000004</v>
      </c>
      <c r="I15" s="1764">
        <f>IFERROR(ROUND('2. Променливи'!I65/'2. Променливи'!I63,4),0)</f>
        <v>0.5716</v>
      </c>
      <c r="J15" s="1764">
        <f>IFERROR(ROUND('2. Променливи'!J65/'2. Променливи'!J63,4),0)</f>
        <v>0.55549999999999999</v>
      </c>
      <c r="K15" s="916">
        <f>IFERROR(ROUND(AVERAGE('2. Променливи'!K65,'2. Променливи'!K63),0),0)</f>
        <v>1</v>
      </c>
      <c r="L15" s="916">
        <f>IFERROR(ROUND(AVERAGE('2. Променливи'!P65,'2. Променливи'!P63),0),0)</f>
        <v>1</v>
      </c>
      <c r="M15" s="399">
        <v>0.55549999999999999</v>
      </c>
      <c r="N15" s="1750">
        <v>0.49</v>
      </c>
      <c r="O15" s="1747"/>
      <c r="P15" s="863" t="s">
        <v>1327</v>
      </c>
      <c r="Q15" s="791">
        <f t="shared" si="4"/>
        <v>-2.1999999999999797E-3</v>
      </c>
      <c r="R15" s="792">
        <f t="shared" si="5"/>
        <v>-6.5000000000000613E-3</v>
      </c>
      <c r="S15" s="792">
        <f t="shared" si="6"/>
        <v>-7.7999999999999181E-3</v>
      </c>
      <c r="T15" s="792">
        <f t="shared" si="7"/>
        <v>-1.0700000000000043E-2</v>
      </c>
      <c r="U15" s="792">
        <f t="shared" si="8"/>
        <v>-1.6100000000000003E-2</v>
      </c>
      <c r="V15" s="794">
        <f t="shared" si="2"/>
        <v>0</v>
      </c>
      <c r="Z15" s="3382"/>
      <c r="AA15" s="3382"/>
    </row>
    <row r="16" spans="1:27" ht="13.8">
      <c r="A16" s="1743">
        <v>8</v>
      </c>
      <c r="B16" s="1748" t="s">
        <v>121</v>
      </c>
      <c r="C16" s="1749" t="s">
        <v>757</v>
      </c>
      <c r="D16" s="770" t="s">
        <v>749</v>
      </c>
      <c r="E16" s="1760">
        <f>IFERROR(ROUND('2. Променливи'!E59/'2. Променливи'!E25*100,2),0)</f>
        <v>116.49</v>
      </c>
      <c r="F16" s="1760">
        <f>IFERROR(ROUND('2. Променливи'!F59/'2. Променливи'!F25*100,2),0)</f>
        <v>89.92</v>
      </c>
      <c r="G16" s="1760">
        <f>IFERROR(ROUND('2. Променливи'!G59/'2. Променливи'!G25*100,2),0)</f>
        <v>89.62</v>
      </c>
      <c r="H16" s="1760">
        <f>IFERROR(ROUND('2. Променливи'!H59/'2. Променливи'!H25*100,2),0)</f>
        <v>89.51</v>
      </c>
      <c r="I16" s="1760">
        <f>IFERROR(ROUND('2. Променливи'!I59/'2. Променливи'!I25*100,2),0)</f>
        <v>89.24</v>
      </c>
      <c r="J16" s="1760">
        <f>IFERROR(ROUND('2. Променливи'!J59/'2. Променливи'!J25*100,2),0)</f>
        <v>88.95</v>
      </c>
      <c r="K16" s="916">
        <f>IFERROR(ROUND(AVERAGE('2. Променливи'!K59,'2. Променливи'!K25),0),0)</f>
        <v>1</v>
      </c>
      <c r="L16" s="916">
        <f>IFERROR(ROUND(AVERAGE('2. Променливи'!P59,'2. Променливи'!P25),0),0)</f>
        <v>1</v>
      </c>
      <c r="M16" s="79">
        <v>88.95</v>
      </c>
      <c r="N16" s="1751">
        <v>60</v>
      </c>
      <c r="O16" s="1752"/>
      <c r="P16" s="863" t="s">
        <v>1327</v>
      </c>
      <c r="Q16" s="1427">
        <f t="shared" si="4"/>
        <v>-26.569999999999993</v>
      </c>
      <c r="R16" s="1428">
        <f t="shared" si="5"/>
        <v>-0.29999999999999716</v>
      </c>
      <c r="S16" s="1428">
        <f t="shared" si="6"/>
        <v>-0.10999999999999943</v>
      </c>
      <c r="T16" s="1428">
        <f t="shared" si="7"/>
        <v>-0.27000000000001023</v>
      </c>
      <c r="U16" s="1428">
        <f t="shared" si="8"/>
        <v>-0.28999999999999204</v>
      </c>
      <c r="V16" s="1434">
        <f t="shared" si="2"/>
        <v>0</v>
      </c>
      <c r="Z16" s="3382"/>
      <c r="AA16" s="3382"/>
    </row>
    <row r="17" spans="1:27" ht="13.8">
      <c r="A17" s="1743">
        <v>9</v>
      </c>
      <c r="B17" s="1748" t="s">
        <v>1247</v>
      </c>
      <c r="C17" s="1753" t="s">
        <v>758</v>
      </c>
      <c r="D17" s="770" t="s">
        <v>170</v>
      </c>
      <c r="E17" s="1764">
        <f>IFERROR(ROUND('2. Променливи'!E73/'2. Променливи'!E27,4),0)</f>
        <v>4.9000000000000002E-2</v>
      </c>
      <c r="F17" s="1764">
        <f>IFERROR(ROUND('2. Променливи'!F73/'2. Променливи'!F27,4),0)</f>
        <v>0.14749999999999999</v>
      </c>
      <c r="G17" s="1764">
        <f>IFERROR(ROUND('2. Променливи'!G73/'2. Променливи'!G27,4),0)</f>
        <v>0.192</v>
      </c>
      <c r="H17" s="1764">
        <f>IFERROR(ROUND('2. Променливи'!H73/'2. Променливи'!H27,4),0)</f>
        <v>0.3</v>
      </c>
      <c r="I17" s="1764">
        <f>IFERROR(ROUND('2. Променливи'!I73/'2. Променливи'!I27,4),0)</f>
        <v>0.43380000000000002</v>
      </c>
      <c r="J17" s="1764">
        <f>IFERROR(ROUND('2. Променливи'!J73/'2. Променливи'!J27,4),0)</f>
        <v>0.56520000000000004</v>
      </c>
      <c r="K17" s="916">
        <f>IFERROR(ROUND(AVERAGE('2. Променливи'!K73,'2. Променливи'!K27),0),0)</f>
        <v>1</v>
      </c>
      <c r="L17" s="916">
        <f>IFERROR(ROUND(AVERAGE('2. Променливи'!P73,'2. Променливи'!P27),0),0)</f>
        <v>1</v>
      </c>
      <c r="M17" s="399">
        <v>0.5645</v>
      </c>
      <c r="N17" s="1750">
        <v>1</v>
      </c>
      <c r="O17" s="1747"/>
      <c r="P17" s="863" t="s">
        <v>1326</v>
      </c>
      <c r="Q17" s="791">
        <f t="shared" si="4"/>
        <v>9.849999999999999E-2</v>
      </c>
      <c r="R17" s="792">
        <f t="shared" si="5"/>
        <v>4.4500000000000012E-2</v>
      </c>
      <c r="S17" s="792">
        <f t="shared" si="6"/>
        <v>0.10799999999999998</v>
      </c>
      <c r="T17" s="792">
        <f t="shared" si="7"/>
        <v>0.13380000000000003</v>
      </c>
      <c r="U17" s="792">
        <f t="shared" si="8"/>
        <v>0.13140000000000002</v>
      </c>
      <c r="V17" s="794">
        <f t="shared" si="2"/>
        <v>7.0000000000003393E-4</v>
      </c>
      <c r="Z17" s="3382"/>
      <c r="AA17" s="3382"/>
    </row>
    <row r="18" spans="1:27" ht="13.8">
      <c r="A18" s="1743">
        <v>10</v>
      </c>
      <c r="B18" s="1748" t="s">
        <v>122</v>
      </c>
      <c r="C18" s="1749" t="s">
        <v>759</v>
      </c>
      <c r="D18" s="770" t="s">
        <v>170</v>
      </c>
      <c r="E18" s="1764">
        <f>IFERROR(ROUND('2. Променливи'!E11/'2. Променливи'!E13,4),"-")</f>
        <v>0.45469999999999999</v>
      </c>
      <c r="F18" s="1764">
        <f>IFERROR(ROUND('2. Променливи'!F11/'2. Променливи'!F13,4),"-")</f>
        <v>0.4577</v>
      </c>
      <c r="G18" s="1764">
        <f>IFERROR(ROUND('2. Променливи'!G11/'2. Променливи'!G13,4),"-")</f>
        <v>0.4587</v>
      </c>
      <c r="H18" s="1764">
        <f>IFERROR(ROUND('2. Променливи'!H11/'2. Променливи'!H13,4),"-")</f>
        <v>0.46150000000000002</v>
      </c>
      <c r="I18" s="1764">
        <f>IFERROR(ROUND('2. Променливи'!I11/'2. Променливи'!I13,4),"-")</f>
        <v>0.46650000000000003</v>
      </c>
      <c r="J18" s="1764">
        <f>IFERROR(ROUND('2. Променливи'!J11/'2. Променливи'!J13,4),"-")</f>
        <v>0.4738</v>
      </c>
      <c r="K18" s="916">
        <f>'2. Променливи'!K11</f>
        <v>1</v>
      </c>
      <c r="L18" s="916">
        <f>'2. Променливи'!P11</f>
        <v>1</v>
      </c>
      <c r="M18" s="399">
        <v>0.4738</v>
      </c>
      <c r="N18" s="1750">
        <v>0.75</v>
      </c>
      <c r="O18" s="1747"/>
      <c r="P18" s="863" t="s">
        <v>1326</v>
      </c>
      <c r="Q18" s="791">
        <f t="shared" ref="Q18:U21" si="9">IFERROR(F18-E18,"-")</f>
        <v>3.0000000000000027E-3</v>
      </c>
      <c r="R18" s="792">
        <f t="shared" si="9"/>
        <v>1.0000000000000009E-3</v>
      </c>
      <c r="S18" s="792">
        <f t="shared" si="9"/>
        <v>2.8000000000000247E-3</v>
      </c>
      <c r="T18" s="792">
        <f t="shared" si="9"/>
        <v>5.0000000000000044E-3</v>
      </c>
      <c r="U18" s="792">
        <f t="shared" si="9"/>
        <v>7.2999999999999732E-3</v>
      </c>
      <c r="V18" s="794">
        <f>IFERROR(J18-M18,"-")</f>
        <v>0</v>
      </c>
      <c r="Z18" s="3382"/>
      <c r="AA18" s="3382"/>
    </row>
    <row r="19" spans="1:27" ht="13.8">
      <c r="A19" s="1743">
        <v>11</v>
      </c>
      <c r="B19" s="1748" t="s">
        <v>123</v>
      </c>
      <c r="C19" s="1749" t="s">
        <v>760</v>
      </c>
      <c r="D19" s="770" t="s">
        <v>170</v>
      </c>
      <c r="E19" s="1764">
        <f>IFERROR(ROUND('2. Променливи'!E12/'2. Променливи'!E13,4),"-")</f>
        <v>0.39860000000000001</v>
      </c>
      <c r="F19" s="1764">
        <f>IFERROR(ROUND('2. Променливи'!F12/'2. Променливи'!F13,4),"-")</f>
        <v>0.42659999999999998</v>
      </c>
      <c r="G19" s="1764">
        <f>IFERROR(ROUND('2. Променливи'!G12/'2. Променливи'!G13,4),"-")</f>
        <v>0.42759999999999998</v>
      </c>
      <c r="H19" s="1764">
        <f>IFERROR(ROUND('2. Променливи'!H12/'2. Променливи'!H13,4),"-")</f>
        <v>0.4304</v>
      </c>
      <c r="I19" s="1764">
        <f>IFERROR(ROUND('2. Променливи'!I12/'2. Променливи'!I13,4),"-")</f>
        <v>0.43540000000000001</v>
      </c>
      <c r="J19" s="3777">
        <f>IFERROR(ROUND('2. Променливи'!J12/'2. Променливи'!J13,4),"-")</f>
        <v>0.44269999999999998</v>
      </c>
      <c r="K19" s="916">
        <f>'2. Променливи'!K12</f>
        <v>1</v>
      </c>
      <c r="L19" s="916">
        <f>'2. Променливи'!P12</f>
        <v>1</v>
      </c>
      <c r="M19" s="399">
        <v>0.44269999999999998</v>
      </c>
      <c r="N19" s="1750">
        <v>0.75</v>
      </c>
      <c r="O19" s="1747"/>
      <c r="P19" s="863" t="s">
        <v>1326</v>
      </c>
      <c r="Q19" s="791">
        <f t="shared" si="9"/>
        <v>2.7999999999999969E-2</v>
      </c>
      <c r="R19" s="792">
        <f t="shared" si="9"/>
        <v>1.0000000000000009E-3</v>
      </c>
      <c r="S19" s="792">
        <f t="shared" si="9"/>
        <v>2.8000000000000247E-3</v>
      </c>
      <c r="T19" s="792">
        <f t="shared" si="9"/>
        <v>5.0000000000000044E-3</v>
      </c>
      <c r="U19" s="792">
        <f t="shared" si="9"/>
        <v>7.2999999999999732E-3</v>
      </c>
      <c r="V19" s="794">
        <f>IFERROR(J19-M19,"-")</f>
        <v>0</v>
      </c>
      <c r="Z19" s="3382"/>
      <c r="AA19" s="3382"/>
    </row>
    <row r="20" spans="1:27" ht="13.8">
      <c r="A20" s="1743">
        <v>12</v>
      </c>
      <c r="B20" s="1748" t="s">
        <v>124</v>
      </c>
      <c r="C20" s="1749" t="s">
        <v>761</v>
      </c>
      <c r="D20" s="770" t="s">
        <v>170</v>
      </c>
      <c r="E20" s="1764">
        <f>IFERROR(ROUND('2. Променливи'!E56/'2. Променливи'!E57,4),"-")</f>
        <v>0.97919999999999996</v>
      </c>
      <c r="F20" s="1764">
        <f>IFERROR(ROUND('2. Променливи'!F56/'2. Променливи'!F57,4),"-")</f>
        <v>0.93100000000000005</v>
      </c>
      <c r="G20" s="1764">
        <f>IFERROR(ROUND('2. Променливи'!G56/'2. Променливи'!G57,4),"-")</f>
        <v>0.93100000000000005</v>
      </c>
      <c r="H20" s="1764">
        <f>IFERROR(ROUND('2. Променливи'!H56/'2. Променливи'!H57,4),"-")</f>
        <v>0.93100000000000005</v>
      </c>
      <c r="I20" s="1764">
        <f>IFERROR(ROUND('2. Променливи'!I56/'2. Променливи'!I57,4),"-")</f>
        <v>0.93100000000000005</v>
      </c>
      <c r="J20" s="1764">
        <f>IFERROR(ROUND('2. Променливи'!J56/'2. Променливи'!J57,4),"-")</f>
        <v>0.94830000000000003</v>
      </c>
      <c r="K20" s="916">
        <f>IFERROR(ROUND(AVERAGE('2. Променливи'!K56,'2. Променливи'!K57),0),0)</f>
        <v>1</v>
      </c>
      <c r="L20" s="916">
        <f>IFERROR(ROUND(AVERAGE('2. Променливи'!P56,'2. Променливи'!P57),0),0)</f>
        <v>1</v>
      </c>
      <c r="M20" s="399">
        <v>0.94</v>
      </c>
      <c r="N20" s="1750">
        <v>0.93</v>
      </c>
      <c r="O20" s="1747"/>
      <c r="P20" s="863" t="s">
        <v>1326</v>
      </c>
      <c r="Q20" s="791">
        <f t="shared" si="9"/>
        <v>-4.819999999999991E-2</v>
      </c>
      <c r="R20" s="792">
        <f t="shared" si="9"/>
        <v>0</v>
      </c>
      <c r="S20" s="792">
        <f t="shared" si="9"/>
        <v>0</v>
      </c>
      <c r="T20" s="792">
        <f t="shared" si="9"/>
        <v>0</v>
      </c>
      <c r="U20" s="792">
        <f t="shared" si="9"/>
        <v>1.7299999999999982E-2</v>
      </c>
      <c r="V20" s="794">
        <f>IFERROR(J20-M20,"-")</f>
        <v>8.3000000000000851E-3</v>
      </c>
      <c r="Z20" s="3382"/>
      <c r="AA20" s="3382"/>
    </row>
    <row r="21" spans="1:27" ht="13.8">
      <c r="A21" s="1743">
        <v>13</v>
      </c>
      <c r="B21" s="1748" t="s">
        <v>125</v>
      </c>
      <c r="C21" s="1749" t="s">
        <v>762</v>
      </c>
      <c r="D21" s="770" t="s">
        <v>749</v>
      </c>
      <c r="E21" s="3778">
        <f>IFERROR(ROUND(('2. Променливи'!E60+'2. Променливи'!E61+'2. Променливи'!E62)/'2. Променливи'!E31*100,2),"-")</f>
        <v>40.28</v>
      </c>
      <c r="F21" s="3778">
        <f>IFERROR(ROUND(('2. Променливи'!F60+'2. Променливи'!F61+'2. Променливи'!F62)/'2. Променливи'!F31*100,2),"-")</f>
        <v>39.799999999999997</v>
      </c>
      <c r="G21" s="3778">
        <f>IFERROR(ROUND(('2. Променливи'!G60+'2. Променливи'!G61+'2. Променливи'!G62)/'2. Променливи'!G31*100,2),"-")</f>
        <v>39.54</v>
      </c>
      <c r="H21" s="3778">
        <f>IFERROR(ROUND(('2. Променливи'!H60+'2. Променливи'!H61+'2. Променливи'!H62)/'2. Променливи'!H31*100,2),"-")</f>
        <v>38.26</v>
      </c>
      <c r="I21" s="3778">
        <f>IFERROR(ROUND(('2. Променливи'!I60+'2. Променливи'!I61+'2. Променливи'!I62)/'2. Променливи'!I31*100,2),"-")</f>
        <v>37.619999999999997</v>
      </c>
      <c r="J21" s="3778">
        <f>IFERROR(ROUND(('2. Променливи'!J60+'2. Променливи'!J61+'2. Променливи'!J62)/'2. Променливи'!J31*100,2),"-")</f>
        <v>35.07</v>
      </c>
      <c r="K21" s="916">
        <f>IFERROR(ROUND(AVERAGE('2. Променливи'!K60,'2. Променливи'!K61,'2. Променливи'!K62,'2. Променливи'!K31),0),0)</f>
        <v>1</v>
      </c>
      <c r="L21" s="916">
        <f>IFERROR(ROUND(AVERAGE('2. Променливи'!P60,'2. Променливи'!P61,'2. Променливи'!P62,'2. Променливи'!P31),0),0)</f>
        <v>1</v>
      </c>
      <c r="M21" s="4601">
        <v>35.07</v>
      </c>
      <c r="N21" s="1751">
        <v>120</v>
      </c>
      <c r="O21" s="1752"/>
      <c r="P21" s="863" t="s">
        <v>1327</v>
      </c>
      <c r="Q21" s="1427">
        <f t="shared" si="9"/>
        <v>-0.48000000000000398</v>
      </c>
      <c r="R21" s="1428">
        <f t="shared" si="9"/>
        <v>-0.25999999999999801</v>
      </c>
      <c r="S21" s="1428">
        <f t="shared" si="9"/>
        <v>-1.2800000000000011</v>
      </c>
      <c r="T21" s="1428">
        <f t="shared" si="9"/>
        <v>-0.64000000000000057</v>
      </c>
      <c r="U21" s="1428">
        <f t="shared" si="9"/>
        <v>-2.5499999999999972</v>
      </c>
      <c r="V21" s="795">
        <f>IFERROR(J21-M21,"-")</f>
        <v>0</v>
      </c>
      <c r="Z21" s="3382"/>
      <c r="AA21" s="3382"/>
    </row>
    <row r="22" spans="1:27" ht="18" customHeight="1">
      <c r="A22" s="1743">
        <v>14</v>
      </c>
      <c r="B22" s="1748" t="s">
        <v>126</v>
      </c>
      <c r="C22" s="1753" t="s">
        <v>763</v>
      </c>
      <c r="D22" s="770" t="s">
        <v>750</v>
      </c>
      <c r="E22" s="3779">
        <f>IFERROR(ROUND('2. Променливи'!E105/'2. Променливи'!E14*10000,3),0)</f>
        <v>0</v>
      </c>
      <c r="F22" s="3779">
        <f>IFERROR(ROUND('2. Променливи'!F105/'2. Променливи'!F14*10000,3),0)</f>
        <v>0</v>
      </c>
      <c r="G22" s="3780">
        <f>IFERROR(ROUND('2. Променливи'!G105/'2. Променливи'!G14*10000,3),0)</f>
        <v>0.153</v>
      </c>
      <c r="H22" s="3780">
        <f>IFERROR(ROUND('2. Променливи'!H105/'2. Променливи'!H14*10000,3),0)</f>
        <v>0</v>
      </c>
      <c r="I22" s="3780">
        <f>IFERROR(ROUND('2. Променливи'!I105/'2. Променливи'!I14*10000,3),0)</f>
        <v>0.153</v>
      </c>
      <c r="J22" s="3780">
        <f>IFERROR(ROUND('2. Променливи'!J105/'2. Променливи'!J14*10000,3),0)</f>
        <v>0</v>
      </c>
      <c r="K22" s="916">
        <f>IFERROR(ROUND(AVERAGE('2. Променливи'!K105,'2. Променливи'!K14),0),0)</f>
        <v>1</v>
      </c>
      <c r="L22" s="916">
        <f>IFERROR(ROUND(AVERAGE('2. Променливи'!P105,'2. Променливи'!P14),0),0)</f>
        <v>1</v>
      </c>
      <c r="M22" s="4602">
        <v>0</v>
      </c>
      <c r="N22" s="1751">
        <v>0.5</v>
      </c>
      <c r="O22" s="1752"/>
      <c r="P22" s="863" t="s">
        <v>1327</v>
      </c>
      <c r="Q22" s="1429">
        <f t="shared" si="4"/>
        <v>0</v>
      </c>
      <c r="R22" s="1430">
        <f t="shared" si="5"/>
        <v>0.153</v>
      </c>
      <c r="S22" s="1430">
        <f t="shared" si="6"/>
        <v>-0.153</v>
      </c>
      <c r="T22" s="1430">
        <f t="shared" si="7"/>
        <v>0.153</v>
      </c>
      <c r="U22" s="1430">
        <f t="shared" si="8"/>
        <v>-0.153</v>
      </c>
      <c r="V22" s="1433">
        <f t="shared" si="2"/>
        <v>0</v>
      </c>
      <c r="Z22" s="3382"/>
      <c r="AA22" s="3382"/>
    </row>
    <row r="23" spans="1:27" ht="26.4">
      <c r="A23" s="1743">
        <v>15</v>
      </c>
      <c r="B23" s="1748" t="s">
        <v>127</v>
      </c>
      <c r="C23" s="1753" t="s">
        <v>1311</v>
      </c>
      <c r="D23" s="770" t="s">
        <v>1852</v>
      </c>
      <c r="E23" s="3775">
        <f>IFERROR(ROUND('2. Променливи'!E80/'2. Променливи'!E63,3),0)</f>
        <v>0.81599999999999995</v>
      </c>
      <c r="F23" s="3775">
        <f>IFERROR(ROUND('2. Променливи'!F80/'2. Променливи'!F63,3),0)</f>
        <v>0.81599999999999995</v>
      </c>
      <c r="G23" s="3775">
        <f>IFERROR(ROUND('2. Променливи'!G80/'2. Променливи'!G63,3),0)</f>
        <v>0.81399999999999995</v>
      </c>
      <c r="H23" s="3775">
        <f>IFERROR(ROUND('2. Променливи'!H80/'2. Променливи'!H63,3),0)</f>
        <v>0.81</v>
      </c>
      <c r="I23" s="3775">
        <f>IFERROR(ROUND('2. Променливи'!I80/'2. Променливи'!I63,3),0)</f>
        <v>0.80200000000000005</v>
      </c>
      <c r="J23" s="3775">
        <f>IFERROR(ROUND('2. Променливи'!J80/'2. Променливи'!J63,3),0)</f>
        <v>0.79200000000000004</v>
      </c>
      <c r="K23" s="916">
        <f>IFERROR(ROUND(AVERAGE('2. Променливи'!K80,'2. Променливи'!K63),0),0)</f>
        <v>1</v>
      </c>
      <c r="L23" s="916">
        <f>IFERROR(ROUND(AVERAGE('2. Променливи'!P80,'2. Променливи'!P63),0),0)</f>
        <v>1</v>
      </c>
      <c r="M23" s="79">
        <v>0.79200000000000004</v>
      </c>
      <c r="N23" s="1751">
        <v>0.45</v>
      </c>
      <c r="O23" s="1752"/>
      <c r="P23" s="863" t="s">
        <v>1327</v>
      </c>
      <c r="Q23" s="1429">
        <f t="shared" si="4"/>
        <v>0</v>
      </c>
      <c r="R23" s="1430">
        <f t="shared" si="5"/>
        <v>-2.0000000000000018E-3</v>
      </c>
      <c r="S23" s="1430">
        <f t="shared" si="6"/>
        <v>-3.9999999999998925E-3</v>
      </c>
      <c r="T23" s="1430">
        <f t="shared" si="7"/>
        <v>-8.0000000000000071E-3</v>
      </c>
      <c r="U23" s="1430">
        <f t="shared" si="8"/>
        <v>-1.0000000000000009E-2</v>
      </c>
      <c r="V23" s="1433">
        <f t="shared" si="2"/>
        <v>0</v>
      </c>
      <c r="Z23" s="3382"/>
      <c r="AA23" s="3382"/>
    </row>
    <row r="24" spans="1:27" ht="29.25" customHeight="1">
      <c r="A24" s="1743">
        <v>16</v>
      </c>
      <c r="B24" s="1748" t="s">
        <v>128</v>
      </c>
      <c r="C24" s="1753" t="s">
        <v>764</v>
      </c>
      <c r="D24" s="770" t="s">
        <v>1852</v>
      </c>
      <c r="E24" s="3775">
        <f>IFERROR(ROUND('2. Променливи'!E81/'2. Променливи'!E66,3),"-")</f>
        <v>0.29799999999999999</v>
      </c>
      <c r="F24" s="3775">
        <f>IFERROR(ROUND('2. Променливи'!F81/'2. Променливи'!F66,3),"-")</f>
        <v>0.29199999999999998</v>
      </c>
      <c r="G24" s="3781">
        <f>IFERROR(ROUND('2. Променливи'!G81/'2. Променливи'!G66,3),"-")</f>
        <v>0.28999999999999998</v>
      </c>
      <c r="H24" s="3775">
        <f>IFERROR(ROUND('2. Променливи'!H81/'2. Променливи'!H66,3),"-")</f>
        <v>0.28799999999999998</v>
      </c>
      <c r="I24" s="3781">
        <f>IFERROR(ROUND('2. Променливи'!I81/'2. Променливи'!I66,3),"-")</f>
        <v>0.28599999999999998</v>
      </c>
      <c r="J24" s="3775">
        <f>IFERROR(ROUND('2. Променливи'!J81/'2. Променливи'!J66,3),"-")</f>
        <v>0.28499999999999998</v>
      </c>
      <c r="K24" s="916">
        <f>IFERROR(ROUND(AVERAGE('2. Променливи'!K81,'2. Променливи'!K66),0),0)</f>
        <v>1</v>
      </c>
      <c r="L24" s="916">
        <f>IFERROR(ROUND(AVERAGE('2. Променливи'!P81,'2. Променливи'!P66),0),0)</f>
        <v>1</v>
      </c>
      <c r="M24" s="79">
        <v>0.28499999999999998</v>
      </c>
      <c r="N24" s="1751">
        <v>0.25</v>
      </c>
      <c r="O24" s="1752"/>
      <c r="P24" s="863" t="s">
        <v>1327</v>
      </c>
      <c r="Q24" s="1429">
        <f>IFERROR(F24-E24,"-")</f>
        <v>-6.0000000000000053E-3</v>
      </c>
      <c r="R24" s="1430">
        <f>IFERROR(G24-F24,"-")</f>
        <v>-2.0000000000000018E-3</v>
      </c>
      <c r="S24" s="1430">
        <f>IFERROR(H24-G24,"-")</f>
        <v>-2.0000000000000018E-3</v>
      </c>
      <c r="T24" s="1430">
        <f>IFERROR(I24-H24,"-")</f>
        <v>-2.0000000000000018E-3</v>
      </c>
      <c r="U24" s="1430">
        <f>IFERROR(J24-I24,"-")</f>
        <v>-1.0000000000000009E-3</v>
      </c>
      <c r="V24" s="1433">
        <f>IFERROR(J24-M24,"-")</f>
        <v>0</v>
      </c>
      <c r="Z24" s="3382"/>
      <c r="AA24" s="3382"/>
    </row>
    <row r="25" spans="1:27" ht="13.8">
      <c r="A25" s="1743">
        <v>17</v>
      </c>
      <c r="B25" s="1748" t="s">
        <v>129</v>
      </c>
      <c r="C25" s="1749" t="s">
        <v>765</v>
      </c>
      <c r="D25" s="770" t="s">
        <v>170</v>
      </c>
      <c r="E25" s="1764">
        <f>IFERROR(ROUND('2. Променливи'!E82/'2. Променливи'!E83,4),0)</f>
        <v>0.97909999999999997</v>
      </c>
      <c r="F25" s="1764">
        <f>IFERROR(ROUND('2. Променливи'!F82/'2. Променливи'!F83,4),0)</f>
        <v>0.98280000000000001</v>
      </c>
      <c r="G25" s="1764">
        <f>IFERROR(ROUND('2. Променливи'!G82/'2. Променливи'!G83,4),0)</f>
        <v>0.98280000000000001</v>
      </c>
      <c r="H25" s="1764">
        <f>IFERROR(ROUND('2. Променливи'!H82/'2. Променливи'!H83,4),0)</f>
        <v>0.98280000000000001</v>
      </c>
      <c r="I25" s="1764">
        <f>IFERROR(ROUND('2. Променливи'!I82/'2. Променливи'!I83,4),0)</f>
        <v>0.98280000000000001</v>
      </c>
      <c r="J25" s="1764">
        <f>IFERROR(ROUND('2. Променливи'!J82/'2. Променливи'!J83,4),0)</f>
        <v>0.98280000000000001</v>
      </c>
      <c r="K25" s="916">
        <f>IFERROR(ROUND(AVERAGE('2. Променливи'!K82,'2. Променливи'!K83),0),0)</f>
        <v>1</v>
      </c>
      <c r="L25" s="916">
        <f>IFERROR(ROUND(AVERAGE('2. Променливи'!P82,'2. Променливи'!P83),0),0)</f>
        <v>1</v>
      </c>
      <c r="M25" s="399">
        <v>0.98260000000000003</v>
      </c>
      <c r="N25" s="1750">
        <v>1</v>
      </c>
      <c r="O25" s="1747"/>
      <c r="P25" s="863" t="s">
        <v>1326</v>
      </c>
      <c r="Q25" s="791">
        <f t="shared" si="4"/>
        <v>3.7000000000000366E-3</v>
      </c>
      <c r="R25" s="792">
        <f t="shared" si="5"/>
        <v>0</v>
      </c>
      <c r="S25" s="792">
        <f t="shared" si="6"/>
        <v>0</v>
      </c>
      <c r="T25" s="792">
        <f t="shared" si="7"/>
        <v>0</v>
      </c>
      <c r="U25" s="792">
        <f t="shared" si="8"/>
        <v>0</v>
      </c>
      <c r="V25" s="794">
        <f t="shared" si="2"/>
        <v>1.9999999999997797E-4</v>
      </c>
      <c r="Z25" s="3382"/>
      <c r="AA25" s="3382"/>
    </row>
    <row r="26" spans="1:27" ht="13.8">
      <c r="A26" s="1743">
        <v>18</v>
      </c>
      <c r="B26" s="1748" t="s">
        <v>130</v>
      </c>
      <c r="C26" s="1749" t="s">
        <v>766</v>
      </c>
      <c r="D26" s="770" t="s">
        <v>170</v>
      </c>
      <c r="E26" s="1764">
        <f>IFERROR(ROUND('2. Променливи'!E78/'2. Променливи'!E25,4),0)</f>
        <v>4.3E-3</v>
      </c>
      <c r="F26" s="3773">
        <f>IFERROR(ROUND('2. Променливи'!F78/'2. Променливи'!F25,4),0)</f>
        <v>4.5999999999999999E-3</v>
      </c>
      <c r="G26" s="3773">
        <f>IFERROR(ROUND('2. Променливи'!G78/'2. Променливи'!G25,4),0)</f>
        <v>5.1999999999999998E-3</v>
      </c>
      <c r="H26" s="3773">
        <f>IFERROR(ROUND('2. Променливи'!H78/'2. Променливи'!H25,4),0)</f>
        <v>5.7999999999999996E-3</v>
      </c>
      <c r="I26" s="1764">
        <f>IFERROR(ROUND('2. Променливи'!I78/'2. Променливи'!I25,4),0)</f>
        <v>6.4000000000000003E-3</v>
      </c>
      <c r="J26" s="1764">
        <f>IFERROR(ROUND('2. Променливи'!J78/'2. Променливи'!J25,4),0)</f>
        <v>7.0000000000000001E-3</v>
      </c>
      <c r="K26" s="916">
        <f>IFERROR(ROUND(AVERAGE('2. Променливи'!K78,'2. Променливи'!K25),0),0)</f>
        <v>1</v>
      </c>
      <c r="L26" s="917">
        <f>IFERROR(ROUND(AVERAGE('2. Променливи'!P78,'2. Променливи'!P25),0),0)</f>
        <v>1</v>
      </c>
      <c r="M26" s="399">
        <v>7.0000000000000001E-3</v>
      </c>
      <c r="N26" s="1754">
        <v>1.2500000000000001E-2</v>
      </c>
      <c r="O26" s="1755"/>
      <c r="P26" s="863" t="s">
        <v>1326</v>
      </c>
      <c r="Q26" s="791">
        <f t="shared" si="4"/>
        <v>2.9999999999999992E-4</v>
      </c>
      <c r="R26" s="792">
        <f t="shared" si="5"/>
        <v>5.9999999999999984E-4</v>
      </c>
      <c r="S26" s="792">
        <f t="shared" si="6"/>
        <v>5.9999999999999984E-4</v>
      </c>
      <c r="T26" s="792">
        <f t="shared" si="7"/>
        <v>6.0000000000000071E-4</v>
      </c>
      <c r="U26" s="792">
        <f t="shared" si="8"/>
        <v>5.9999999999999984E-4</v>
      </c>
      <c r="V26" s="794">
        <f t="shared" si="2"/>
        <v>0</v>
      </c>
      <c r="Z26" s="3382"/>
      <c r="AA26" s="3382"/>
    </row>
    <row r="27" spans="1:27" ht="13.8">
      <c r="A27" s="1743">
        <v>19</v>
      </c>
      <c r="B27" s="1748" t="s">
        <v>774</v>
      </c>
      <c r="C27" s="1749" t="s">
        <v>775</v>
      </c>
      <c r="D27" s="770" t="s">
        <v>170</v>
      </c>
      <c r="E27" s="1764">
        <f>IFERROR(ROUND('2. Променливи'!E79/'2. Променливи'!E25,4),0)</f>
        <v>5.1400000000000001E-2</v>
      </c>
      <c r="F27" s="1764">
        <f>IFERROR(ROUND('2. Променливи'!F79/'2. Променливи'!F25,4),0)</f>
        <v>5.1700000000000003E-2</v>
      </c>
      <c r="G27" s="1764">
        <f>IFERROR(ROUND('2. Променливи'!G79/'2. Променливи'!G25,4),0)</f>
        <v>5.1900000000000002E-2</v>
      </c>
      <c r="H27" s="1764">
        <f>IFERROR(ROUND('2. Променливи'!H79/'2. Променливи'!H25,4),0)</f>
        <v>5.21E-2</v>
      </c>
      <c r="I27" s="1764">
        <f>IFERROR(ROUND('2. Променливи'!I79/'2. Променливи'!I25,4),0)</f>
        <v>5.2200000000000003E-2</v>
      </c>
      <c r="J27" s="1764">
        <f>IFERROR(ROUND('2. Променливи'!J79/'2. Променливи'!J25,4),0)</f>
        <v>5.2299999999999999E-2</v>
      </c>
      <c r="K27" s="916">
        <f>IFERROR(ROUND(AVERAGE('2. Променливи'!K79,'2. Променливи'!K25),0),0)</f>
        <v>1</v>
      </c>
      <c r="L27" s="916">
        <f>IFERROR(ROUND(AVERAGE('2. Променливи'!P79,'2. Променливи'!P25),0),0)</f>
        <v>1</v>
      </c>
      <c r="M27" s="399">
        <v>5.2299999999999999E-2</v>
      </c>
      <c r="N27" s="1754">
        <v>1.2500000000000001E-2</v>
      </c>
      <c r="O27" s="1755"/>
      <c r="P27" s="863" t="s">
        <v>1326</v>
      </c>
      <c r="Q27" s="791">
        <f t="shared" si="4"/>
        <v>3.0000000000000165E-4</v>
      </c>
      <c r="R27" s="792">
        <f t="shared" si="5"/>
        <v>1.9999999999999879E-4</v>
      </c>
      <c r="S27" s="792">
        <f t="shared" si="6"/>
        <v>1.9999999999999879E-4</v>
      </c>
      <c r="T27" s="792">
        <f t="shared" si="7"/>
        <v>1.0000000000000286E-4</v>
      </c>
      <c r="U27" s="792">
        <f t="shared" si="8"/>
        <v>9.9999999999995925E-5</v>
      </c>
      <c r="V27" s="794">
        <f t="shared" si="2"/>
        <v>0</v>
      </c>
      <c r="Z27" s="3382"/>
      <c r="AA27" s="3382"/>
    </row>
    <row r="28" spans="1:27" ht="13.8">
      <c r="A28" s="1743">
        <v>20</v>
      </c>
      <c r="B28" s="1748" t="s">
        <v>131</v>
      </c>
      <c r="C28" s="1749" t="s">
        <v>47</v>
      </c>
      <c r="D28" s="770" t="s">
        <v>1033</v>
      </c>
      <c r="E28" s="1760">
        <f>IFERROR(ROUND('2. Променливи'!E84/'2. Променливи'!E85,2),0)</f>
        <v>1.05</v>
      </c>
      <c r="F28" s="3782">
        <f>IFERROR(ROUND('2. Променливи'!F84/'2. Променливи'!F85,2),0)</f>
        <v>1.06</v>
      </c>
      <c r="G28" s="1760">
        <f>IFERROR(ROUND('2. Променливи'!G84/'2. Променливи'!G85,2),0)</f>
        <v>1.06</v>
      </c>
      <c r="H28" s="1760">
        <f>IFERROR(ROUND('2. Променливи'!H84/'2. Променливи'!H85,2),0)</f>
        <v>1.06</v>
      </c>
      <c r="I28" s="1760">
        <f>IFERROR(ROUND('2. Променливи'!I84/'2. Променливи'!I85,2),0)</f>
        <v>1.05</v>
      </c>
      <c r="J28" s="1760">
        <f>IFERROR(ROUND('2. Променливи'!J84/'2. Променливи'!J85,2),0)</f>
        <v>1.05</v>
      </c>
      <c r="K28" s="916">
        <f>IFERROR(ROUND(AVERAGE('2. Променливи'!K84,'2. Променливи'!K85),0),0)</f>
        <v>1</v>
      </c>
      <c r="L28" s="916">
        <f>IFERROR(ROUND(AVERAGE('2. Променливи'!P84,'2. Променливи'!P85),0),0)</f>
        <v>1</v>
      </c>
      <c r="M28" s="4602">
        <v>1.1000000000000001</v>
      </c>
      <c r="N28" s="1751">
        <v>1.1000000000000001</v>
      </c>
      <c r="O28" s="1752"/>
      <c r="P28" s="863" t="s">
        <v>1326</v>
      </c>
      <c r="Q28" s="1427">
        <f t="shared" si="4"/>
        <v>1.0000000000000009E-2</v>
      </c>
      <c r="R28" s="1428">
        <f t="shared" si="5"/>
        <v>0</v>
      </c>
      <c r="S28" s="1428">
        <f t="shared" si="6"/>
        <v>0</v>
      </c>
      <c r="T28" s="1428">
        <f t="shared" si="7"/>
        <v>-1.0000000000000009E-2</v>
      </c>
      <c r="U28" s="1428">
        <f t="shared" si="8"/>
        <v>0</v>
      </c>
      <c r="V28" s="795">
        <f t="shared" si="2"/>
        <v>-5.0000000000000044E-2</v>
      </c>
      <c r="Z28" s="3382"/>
      <c r="AA28" s="3382"/>
    </row>
    <row r="29" spans="1:27" ht="13.8">
      <c r="A29" s="1743">
        <v>21</v>
      </c>
      <c r="B29" s="1748" t="s">
        <v>132</v>
      </c>
      <c r="C29" s="1749" t="s">
        <v>50</v>
      </c>
      <c r="D29" s="770" t="s">
        <v>1033</v>
      </c>
      <c r="E29" s="1760">
        <f>IFERROR(ROUND('2. Променливи'!E86/'2. Променливи'!E87,2),"-")</f>
        <v>0.97</v>
      </c>
      <c r="F29" s="3782">
        <f>IFERROR(ROUND('2. Променливи'!F86/'2. Променливи'!F87,2),"-")</f>
        <v>1.0900000000000001</v>
      </c>
      <c r="G29" s="1760">
        <f>IFERROR(ROUND('2. Променливи'!G86/'2. Променливи'!G87,2),"-")</f>
        <v>1.0900000000000001</v>
      </c>
      <c r="H29" s="3782">
        <f>IFERROR(ROUND('2. Променливи'!H86/'2. Променливи'!H87,2),"-")</f>
        <v>1.0900000000000001</v>
      </c>
      <c r="I29" s="1760">
        <f>IFERROR(ROUND('2. Променливи'!I86/'2. Променливи'!I87,2),"-")</f>
        <v>1.0900000000000001</v>
      </c>
      <c r="J29" s="3782">
        <f>IFERROR(ROUND('2. Променливи'!J86/'2. Променливи'!J87,2),"-")</f>
        <v>1.08</v>
      </c>
      <c r="K29" s="916">
        <f>IFERROR(ROUND(AVERAGE('2. Променливи'!K86,'2. Променливи'!K87),0),0)</f>
        <v>1</v>
      </c>
      <c r="L29" s="916">
        <f>IFERROR(ROUND(AVERAGE('2. Променливи'!P86,'2. Променливи'!P87),0),0)</f>
        <v>1</v>
      </c>
      <c r="M29" s="4602">
        <v>1.1000000000000001</v>
      </c>
      <c r="N29" s="1751">
        <v>1.1000000000000001</v>
      </c>
      <c r="O29" s="1752"/>
      <c r="P29" s="863" t="s">
        <v>1326</v>
      </c>
      <c r="Q29" s="1427">
        <f t="shared" ref="Q29:U30" si="10">IFERROR(F29-E29,"-")</f>
        <v>0.12000000000000011</v>
      </c>
      <c r="R29" s="1428">
        <f t="shared" si="10"/>
        <v>0</v>
      </c>
      <c r="S29" s="1428">
        <f t="shared" si="10"/>
        <v>0</v>
      </c>
      <c r="T29" s="1428">
        <f t="shared" si="10"/>
        <v>0</v>
      </c>
      <c r="U29" s="1428">
        <f t="shared" si="10"/>
        <v>-1.0000000000000009E-2</v>
      </c>
      <c r="V29" s="795">
        <f>IFERROR(J29-M29,"-")</f>
        <v>-2.0000000000000018E-2</v>
      </c>
      <c r="Z29" s="3382"/>
      <c r="AA29" s="3382"/>
    </row>
    <row r="30" spans="1:27" ht="13.8">
      <c r="A30" s="1743">
        <v>22</v>
      </c>
      <c r="B30" s="1748" t="s">
        <v>133</v>
      </c>
      <c r="C30" s="1749" t="s">
        <v>53</v>
      </c>
      <c r="D30" s="770" t="s">
        <v>1033</v>
      </c>
      <c r="E30" s="1760">
        <f>IFERROR(ROUND('2. Променливи'!E88/'2. Променливи'!E89,2),"-")</f>
        <v>1.08</v>
      </c>
      <c r="F30" s="1760">
        <f>IFERROR(ROUND('2. Променливи'!F88/'2. Променливи'!F89,2),"-")</f>
        <v>1.03</v>
      </c>
      <c r="G30" s="1760">
        <f>IFERROR(ROUND('2. Променливи'!G88/'2. Променливи'!G89,2),"-")</f>
        <v>1.03</v>
      </c>
      <c r="H30" s="1760">
        <f>IFERROR(ROUND('2. Променливи'!H88/'2. Променливи'!H89,2),"-")</f>
        <v>1.03</v>
      </c>
      <c r="I30" s="1760">
        <f>IFERROR(ROUND('2. Променливи'!I88/'2. Променливи'!I89,2),"-")</f>
        <v>1.03</v>
      </c>
      <c r="J30" s="1760">
        <f>IFERROR(ROUND('2. Променливи'!J88/'2. Променливи'!J89,2),"-")</f>
        <v>1.03</v>
      </c>
      <c r="K30" s="916">
        <f>IFERROR(ROUND(AVERAGE('2. Променливи'!K88,'2. Променливи'!K89),0),0)</f>
        <v>1</v>
      </c>
      <c r="L30" s="916">
        <f>IFERROR(ROUND(AVERAGE('2. Променливи'!P88,'2. Променливи'!P89),0),0)</f>
        <v>1</v>
      </c>
      <c r="M30" s="4602">
        <v>1.1000000000000001</v>
      </c>
      <c r="N30" s="1751">
        <v>1.1000000000000001</v>
      </c>
      <c r="O30" s="1752"/>
      <c r="P30" s="863" t="s">
        <v>1326</v>
      </c>
      <c r="Q30" s="1427">
        <f t="shared" si="10"/>
        <v>-5.0000000000000044E-2</v>
      </c>
      <c r="R30" s="1428">
        <f t="shared" si="10"/>
        <v>0</v>
      </c>
      <c r="S30" s="1428">
        <f t="shared" si="10"/>
        <v>0</v>
      </c>
      <c r="T30" s="1428">
        <f t="shared" si="10"/>
        <v>0</v>
      </c>
      <c r="U30" s="1428">
        <f t="shared" si="10"/>
        <v>0</v>
      </c>
      <c r="V30" s="795">
        <f>IFERROR(J30-M30,"-")</f>
        <v>-7.0000000000000062E-2</v>
      </c>
      <c r="Z30" s="3382"/>
      <c r="AA30" s="3382"/>
    </row>
    <row r="31" spans="1:27" ht="15" customHeight="1">
      <c r="A31" s="1743">
        <v>23</v>
      </c>
      <c r="B31" s="1748" t="s">
        <v>134</v>
      </c>
      <c r="C31" s="1749" t="s">
        <v>767</v>
      </c>
      <c r="D31" s="770" t="s">
        <v>170</v>
      </c>
      <c r="E31" s="1764">
        <f>IFERROR(ROUND(('2. Променливи'!E90-('2. Променливи'!E91-'2. Променливи'!E92))/('2. Променливи'!E90+'2. Променливи'!E92),4),0)</f>
        <v>0.88600000000000001</v>
      </c>
      <c r="F31" s="3773">
        <f>IFERROR(ROUND(('2. Променливи'!F90-('2. Променливи'!F91-'2. Променливи'!F92))/('2. Променливи'!F90+'2. Променливи'!F92),4),0)</f>
        <v>0.89219999999999999</v>
      </c>
      <c r="G31" s="1764">
        <f>IFERROR(ROUND(('2. Променливи'!G90-('2. Променливи'!G91-'2. Променливи'!G92))/('2. Променливи'!G90+'2. Променливи'!G92),4),0)</f>
        <v>0.89800000000000002</v>
      </c>
      <c r="H31" s="1764">
        <f>IFERROR(ROUND(('2. Променливи'!H90-('2. Променливи'!H91-'2. Променливи'!H92))/('2. Променливи'!H90+'2. Променливи'!H92),4),0)</f>
        <v>0.90159999999999996</v>
      </c>
      <c r="I31" s="1764">
        <f>IFERROR(ROUND(('2. Променливи'!I90-('2. Променливи'!I91-'2. Променливи'!I92))/('2. Променливи'!I90+'2. Променливи'!I92),4),0)</f>
        <v>0.90759999999999996</v>
      </c>
      <c r="J31" s="3773">
        <f>IFERROR(ROUND(('2. Променливи'!J90-('2. Променливи'!J91-'2. Променливи'!J92))/('2. Променливи'!J90+'2. Променливи'!J92),4),0)</f>
        <v>0.91720000000000002</v>
      </c>
      <c r="K31" s="916">
        <f>IFERROR(ROUND(AVERAGE('2. Променливи'!K90,'2. Променливи'!K91,'2. Променливи'!K92),0),0)</f>
        <v>1</v>
      </c>
      <c r="L31" s="916">
        <f>IFERROR(ROUND(AVERAGE('2. Променливи'!P90,'2. Променливи'!P91,'2. Променливи'!P92),0),0)</f>
        <v>1</v>
      </c>
      <c r="M31" s="399">
        <v>0.91710000000000003</v>
      </c>
      <c r="N31" s="1750">
        <v>0.95</v>
      </c>
      <c r="O31" s="1747"/>
      <c r="P31" s="863" t="s">
        <v>1326</v>
      </c>
      <c r="Q31" s="791">
        <f t="shared" si="4"/>
        <v>6.1999999999999833E-3</v>
      </c>
      <c r="R31" s="792">
        <f t="shared" si="5"/>
        <v>5.8000000000000274E-3</v>
      </c>
      <c r="S31" s="792">
        <f t="shared" si="6"/>
        <v>3.5999999999999366E-3</v>
      </c>
      <c r="T31" s="792">
        <f t="shared" si="7"/>
        <v>6.0000000000000053E-3</v>
      </c>
      <c r="U31" s="792">
        <f t="shared" si="8"/>
        <v>9.6000000000000529E-3</v>
      </c>
      <c r="V31" s="794">
        <f t="shared" si="2"/>
        <v>9.9999999999988987E-5</v>
      </c>
      <c r="Z31" s="3382"/>
      <c r="AA31" s="3382"/>
    </row>
    <row r="32" spans="1:27" ht="13.8">
      <c r="A32" s="1743">
        <v>24</v>
      </c>
      <c r="B32" s="1748" t="s">
        <v>776</v>
      </c>
      <c r="C32" s="1749" t="s">
        <v>778</v>
      </c>
      <c r="D32" s="770" t="s">
        <v>170</v>
      </c>
      <c r="E32" s="1764">
        <f>IFERROR(ROUND('2. Променливи'!E74/'2. Променливи'!E29,4),0)</f>
        <v>4.99E-2</v>
      </c>
      <c r="F32" s="1764">
        <f>IFERROR(ROUND('2. Променливи'!F74/'2. Променливи'!F29,4),0)</f>
        <v>0.1341</v>
      </c>
      <c r="G32" s="1764">
        <f>IFERROR(ROUND('2. Променливи'!G74/'2. Променливи'!G29,4),0)</f>
        <v>0.13600000000000001</v>
      </c>
      <c r="H32" s="1764">
        <f>IFERROR(ROUND('2. Променливи'!H74/'2. Променливи'!H29,4),0)</f>
        <v>0.14130000000000001</v>
      </c>
      <c r="I32" s="1764">
        <f>IFERROR(ROUND('2. Променливи'!I74/'2. Променливи'!I29,4),0)</f>
        <v>0.14779999999999999</v>
      </c>
      <c r="J32" s="1764">
        <f>IFERROR(ROUND('2. Променливи'!J74/'2. Променливи'!J29,4),0)</f>
        <v>0.16470000000000001</v>
      </c>
      <c r="K32" s="916">
        <f>IFERROR(ROUND(AVERAGE('2. Променливи'!K74,'2. Променливи'!K29),0),0)</f>
        <v>1</v>
      </c>
      <c r="L32" s="916">
        <f>IFERROR(ROUND(AVERAGE('2. Променливи'!P74,'2. Променливи'!P29),0),0)</f>
        <v>1</v>
      </c>
      <c r="M32" s="399">
        <v>0.16470000000000001</v>
      </c>
      <c r="N32" s="1750">
        <v>0.2</v>
      </c>
      <c r="O32" s="1747"/>
      <c r="P32" s="863" t="s">
        <v>1326</v>
      </c>
      <c r="Q32" s="791">
        <f t="shared" si="4"/>
        <v>8.4199999999999997E-2</v>
      </c>
      <c r="R32" s="792">
        <f t="shared" si="5"/>
        <v>1.9000000000000128E-3</v>
      </c>
      <c r="S32" s="792">
        <f t="shared" si="6"/>
        <v>5.2999999999999992E-3</v>
      </c>
      <c r="T32" s="792">
        <f t="shared" si="7"/>
        <v>6.499999999999978E-3</v>
      </c>
      <c r="U32" s="792">
        <f t="shared" si="8"/>
        <v>1.6900000000000026E-2</v>
      </c>
      <c r="V32" s="794">
        <f t="shared" si="2"/>
        <v>0</v>
      </c>
      <c r="Z32" s="3382"/>
      <c r="AA32" s="3382"/>
    </row>
    <row r="33" spans="1:27" ht="13.8">
      <c r="A33" s="1743">
        <v>25</v>
      </c>
      <c r="B33" s="1748" t="s">
        <v>777</v>
      </c>
      <c r="C33" s="1749" t="s">
        <v>779</v>
      </c>
      <c r="D33" s="770" t="s">
        <v>170</v>
      </c>
      <c r="E33" s="1764">
        <f>IFERROR(ROUND('2. Променливи'!E75/'2. Променливи'!E29,4),0)</f>
        <v>0.2049</v>
      </c>
      <c r="F33" s="1764">
        <f>IFERROR(ROUND('2. Променливи'!F75/'2. Променливи'!F29,4),0)</f>
        <v>0.41880000000000001</v>
      </c>
      <c r="G33" s="1764">
        <f>IFERROR(ROUND('2. Променливи'!G75/'2. Променливи'!G29,4),0)</f>
        <v>0.5121</v>
      </c>
      <c r="H33" s="1764">
        <f>IFERROR(ROUND('2. Променливи'!H75/'2. Променливи'!H29,4),0)</f>
        <v>0.6179</v>
      </c>
      <c r="I33" s="1764">
        <f>IFERROR(ROUND('2. Променливи'!I75/'2. Променливи'!I29,4),0)</f>
        <v>0.73019999999999996</v>
      </c>
      <c r="J33" s="1764">
        <f>IFERROR(ROUND('2. Променливи'!J75/'2. Променливи'!J29,4),0)</f>
        <v>0.87439999999999996</v>
      </c>
      <c r="K33" s="916">
        <f>IFERROR(ROUND(AVERAGE('2. Променливи'!K75,'2. Променливи'!K29),0),0)</f>
        <v>1</v>
      </c>
      <c r="L33" s="916">
        <f>IFERROR(ROUND(AVERAGE('2. Променливи'!P75,'2. Променливи'!P29),0),0)</f>
        <v>1</v>
      </c>
      <c r="M33" s="399">
        <v>0.87439999999999996</v>
      </c>
      <c r="N33" s="1750">
        <v>0.9</v>
      </c>
      <c r="O33" s="1747"/>
      <c r="P33" s="863" t="s">
        <v>1326</v>
      </c>
      <c r="Q33" s="791">
        <f t="shared" si="4"/>
        <v>0.21390000000000001</v>
      </c>
      <c r="R33" s="792">
        <f t="shared" si="5"/>
        <v>9.3299999999999994E-2</v>
      </c>
      <c r="S33" s="792">
        <f t="shared" si="6"/>
        <v>0.10580000000000001</v>
      </c>
      <c r="T33" s="792">
        <f t="shared" si="7"/>
        <v>0.11229999999999996</v>
      </c>
      <c r="U33" s="792">
        <f t="shared" si="8"/>
        <v>0.14419999999999999</v>
      </c>
      <c r="V33" s="794">
        <f t="shared" si="2"/>
        <v>0</v>
      </c>
      <c r="Z33" s="3382"/>
      <c r="AA33" s="3382"/>
    </row>
    <row r="34" spans="1:27" ht="13.8">
      <c r="A34" s="1743">
        <v>26</v>
      </c>
      <c r="B34" s="1748" t="s">
        <v>135</v>
      </c>
      <c r="C34" s="1753" t="s">
        <v>768</v>
      </c>
      <c r="D34" s="770" t="s">
        <v>170</v>
      </c>
      <c r="E34" s="1764">
        <f>IFERROR(ROUND('2. Променливи'!E93/'2. Променливи'!E97,4),0)</f>
        <v>0.98209999999999997</v>
      </c>
      <c r="F34" s="1764">
        <f>IFERROR(ROUND('2. Променливи'!F93/'2. Променливи'!F97,4),0)</f>
        <v>1</v>
      </c>
      <c r="G34" s="1764">
        <f>IFERROR(ROUND('2. Променливи'!G93/'2. Променливи'!G97,4),0)</f>
        <v>1</v>
      </c>
      <c r="H34" s="1764">
        <f>IFERROR(ROUND('2. Променливи'!H93/'2. Променливи'!H97,4),0)</f>
        <v>1</v>
      </c>
      <c r="I34" s="1764">
        <f>IFERROR(ROUND('2. Променливи'!I93/'2. Променливи'!I97,4),0)</f>
        <v>1</v>
      </c>
      <c r="J34" s="1764">
        <f>IFERROR(ROUND('2. Променливи'!J93/'2. Променливи'!J97,4),0)</f>
        <v>1</v>
      </c>
      <c r="K34" s="916">
        <f>IFERROR(ROUND(AVERAGE('2. Променливи'!K93,'2. Променливи'!K97),0),0)</f>
        <v>1</v>
      </c>
      <c r="L34" s="916">
        <f>IFERROR(ROUND(AVERAGE('2. Променливи'!P93,'2. Променливи'!P97),0),0)</f>
        <v>1</v>
      </c>
      <c r="M34" s="399">
        <v>1</v>
      </c>
      <c r="N34" s="1750">
        <v>1</v>
      </c>
      <c r="O34" s="1747"/>
      <c r="P34" s="863" t="s">
        <v>1326</v>
      </c>
      <c r="Q34" s="791">
        <f t="shared" si="4"/>
        <v>1.7900000000000027E-2</v>
      </c>
      <c r="R34" s="792">
        <f t="shared" si="5"/>
        <v>0</v>
      </c>
      <c r="S34" s="792">
        <f t="shared" si="6"/>
        <v>0</v>
      </c>
      <c r="T34" s="792">
        <f t="shared" si="7"/>
        <v>0</v>
      </c>
      <c r="U34" s="792">
        <f t="shared" si="8"/>
        <v>0</v>
      </c>
      <c r="V34" s="794">
        <f t="shared" si="2"/>
        <v>0</v>
      </c>
      <c r="Z34" s="3382"/>
      <c r="AA34" s="3382"/>
    </row>
    <row r="35" spans="1:27" ht="15" customHeight="1">
      <c r="A35" s="1743">
        <v>27</v>
      </c>
      <c r="B35" s="1748" t="s">
        <v>136</v>
      </c>
      <c r="C35" s="1753" t="s">
        <v>769</v>
      </c>
      <c r="D35" s="770" t="s">
        <v>170</v>
      </c>
      <c r="E35" s="1764">
        <f>IFERROR(ROUND('2. Променливи'!E109/'2. Променливи'!E110,4),0)</f>
        <v>1</v>
      </c>
      <c r="F35" s="1764">
        <f>IFERROR(ROUND('2. Променливи'!F109/'2. Променливи'!F110,4),0)</f>
        <v>1</v>
      </c>
      <c r="G35" s="1764">
        <f>IFERROR(ROUND('2. Променливи'!G109/'2. Променливи'!G110,4),0)</f>
        <v>1</v>
      </c>
      <c r="H35" s="1764">
        <f>IFERROR(ROUND('2. Променливи'!H109/'2. Променливи'!H110,4),0)</f>
        <v>1</v>
      </c>
      <c r="I35" s="1764">
        <f>IFERROR(ROUND('2. Променливи'!I109/'2. Променливи'!I110,4),0)</f>
        <v>1</v>
      </c>
      <c r="J35" s="1764">
        <f>IFERROR(ROUND('2. Променливи'!J109/'2. Променливи'!J110,4),0)</f>
        <v>1</v>
      </c>
      <c r="K35" s="916">
        <f>IFERROR(ROUND(AVERAGE('2. Променливи'!K109,'2. Променливи'!K110),0),0)</f>
        <v>1</v>
      </c>
      <c r="L35" s="916">
        <f>IFERROR(ROUND(AVERAGE('2. Променливи'!P109,'2. Променливи'!P110),0),0)</f>
        <v>1</v>
      </c>
      <c r="M35" s="399">
        <v>1</v>
      </c>
      <c r="N35" s="1750">
        <v>1</v>
      </c>
      <c r="O35" s="1747"/>
      <c r="P35" s="863" t="s">
        <v>1326</v>
      </c>
      <c r="Q35" s="791">
        <f t="shared" si="4"/>
        <v>0</v>
      </c>
      <c r="R35" s="792">
        <f t="shared" si="5"/>
        <v>0</v>
      </c>
      <c r="S35" s="792">
        <f t="shared" si="6"/>
        <v>0</v>
      </c>
      <c r="T35" s="792">
        <f t="shared" si="7"/>
        <v>0</v>
      </c>
      <c r="U35" s="792">
        <f t="shared" si="8"/>
        <v>0</v>
      </c>
      <c r="V35" s="794">
        <f t="shared" si="2"/>
        <v>0</v>
      </c>
      <c r="Z35" s="3382"/>
      <c r="AA35" s="3382"/>
    </row>
    <row r="36" spans="1:27" ht="18" customHeight="1">
      <c r="A36" s="1743">
        <v>28</v>
      </c>
      <c r="B36" s="1748" t="s">
        <v>137</v>
      </c>
      <c r="C36" s="1749" t="s">
        <v>770</v>
      </c>
      <c r="D36" s="770" t="s">
        <v>170</v>
      </c>
      <c r="E36" s="1764">
        <f>IFERROR(ROUND('2. Променливи'!E111/'2. Променливи'!E112,4),"-")</f>
        <v>1</v>
      </c>
      <c r="F36" s="1764">
        <f>IFERROR(ROUND('2. Променливи'!F111/'2. Променливи'!F112,4),"-")</f>
        <v>1</v>
      </c>
      <c r="G36" s="1764">
        <f>IFERROR(ROUND('2. Променливи'!G111/'2. Променливи'!G112,4),"-")</f>
        <v>1</v>
      </c>
      <c r="H36" s="1764">
        <f>IFERROR(ROUND('2. Променливи'!H111/'2. Променливи'!H112,4),"-")</f>
        <v>1</v>
      </c>
      <c r="I36" s="1764">
        <f>IFERROR(ROUND('2. Променливи'!I111/'2. Променливи'!I112,4),"-")</f>
        <v>1</v>
      </c>
      <c r="J36" s="1764">
        <f>IFERROR(ROUND('2. Променливи'!J111/'2. Променливи'!J112,4),"-")</f>
        <v>1</v>
      </c>
      <c r="K36" s="916">
        <f>IFERROR(ROUND(AVERAGE('2. Променливи'!K111,'2. Променливи'!K112),0),0)</f>
        <v>1</v>
      </c>
      <c r="L36" s="916">
        <f>IFERROR(ROUND(AVERAGE('2. Променливи'!P111,'2. Променливи'!P112),0),0)</f>
        <v>1</v>
      </c>
      <c r="M36" s="399">
        <v>1</v>
      </c>
      <c r="N36" s="1750">
        <v>1</v>
      </c>
      <c r="O36" s="1747"/>
      <c r="P36" s="863" t="s">
        <v>1326</v>
      </c>
      <c r="Q36" s="791">
        <f>IFERROR(F36-E36,"-")</f>
        <v>0</v>
      </c>
      <c r="R36" s="792">
        <f>IFERROR(G36-F36,"-")</f>
        <v>0</v>
      </c>
      <c r="S36" s="792">
        <f>IFERROR(H36-G36,"-")</f>
        <v>0</v>
      </c>
      <c r="T36" s="792">
        <f>IFERROR(I36-H36,"-")</f>
        <v>0</v>
      </c>
      <c r="U36" s="792">
        <f>IFERROR(J36-I36,"-")</f>
        <v>0</v>
      </c>
      <c r="V36" s="794">
        <f>IFERROR(J36-M36,"-")</f>
        <v>0</v>
      </c>
      <c r="Z36" s="3382"/>
      <c r="AA36" s="3382"/>
    </row>
    <row r="37" spans="1:27" ht="24.9" customHeight="1">
      <c r="A37" s="1743">
        <v>29</v>
      </c>
      <c r="B37" s="1748" t="s">
        <v>138</v>
      </c>
      <c r="C37" s="1753" t="s">
        <v>771</v>
      </c>
      <c r="D37" s="770" t="s">
        <v>747</v>
      </c>
      <c r="E37" s="1760">
        <f>IFERROR(ROUND('2. Променливи'!E113/'2. Променливи'!E28*1000,2),0)</f>
        <v>5.18</v>
      </c>
      <c r="F37" s="1760">
        <f>IFERROR(ROUND('2. Променливи'!F113/'2. Променливи'!F28*1000,2),0)</f>
        <v>5.27</v>
      </c>
      <c r="G37" s="1760">
        <f>IFERROR(ROUND('2. Променливи'!G113/'2. Променливи'!G28*1000,2),0)</f>
        <v>5.21</v>
      </c>
      <c r="H37" s="3782">
        <f>IFERROR(ROUND('2. Променливи'!H113/'2. Променливи'!H28*1000,2),0)</f>
        <v>5.16</v>
      </c>
      <c r="I37" s="1760">
        <f>IFERROR(ROUND('2. Променливи'!I113/'2. Променливи'!I28*1000,2),0)</f>
        <v>5.1100000000000003</v>
      </c>
      <c r="J37" s="1760">
        <f>IFERROR(ROUND('2. Променливи'!J113/'2. Променливи'!J28*1000,2),0)</f>
        <v>5.0599999999999996</v>
      </c>
      <c r="K37" s="916">
        <f>IFERROR(ROUND(AVERAGE('2. Променливи'!K113,'2. Променливи'!K28),0),0)</f>
        <v>1</v>
      </c>
      <c r="L37" s="916">
        <f>IFERROR(ROUND(AVERAGE('2. Променливи'!P113,'2. Променливи'!P28),0),0)</f>
        <v>1</v>
      </c>
      <c r="M37" s="79">
        <v>5.0599999999999996</v>
      </c>
      <c r="N37" s="1751">
        <v>4</v>
      </c>
      <c r="O37" s="1752"/>
      <c r="P37" s="863" t="s">
        <v>1327</v>
      </c>
      <c r="Q37" s="1427">
        <f t="shared" si="4"/>
        <v>8.9999999999999858E-2</v>
      </c>
      <c r="R37" s="1428">
        <f t="shared" si="5"/>
        <v>-5.9999999999999609E-2</v>
      </c>
      <c r="S37" s="1428">
        <f t="shared" si="6"/>
        <v>-4.9999999999999822E-2</v>
      </c>
      <c r="T37" s="1428">
        <f t="shared" si="7"/>
        <v>-4.9999999999999822E-2</v>
      </c>
      <c r="U37" s="1428">
        <f t="shared" si="8"/>
        <v>-5.0000000000000711E-2</v>
      </c>
      <c r="V37" s="1434">
        <f t="shared" si="2"/>
        <v>0</v>
      </c>
      <c r="Z37" s="3382"/>
      <c r="AA37" s="3382"/>
    </row>
    <row r="38" spans="1:27" ht="14.4" thickBot="1">
      <c r="A38" s="1756">
        <v>30</v>
      </c>
      <c r="B38" s="1757" t="s">
        <v>139</v>
      </c>
      <c r="C38" s="1758" t="s">
        <v>772</v>
      </c>
      <c r="D38" s="771" t="s">
        <v>748</v>
      </c>
      <c r="E38" s="3783">
        <f>IFERROR(ROUND('2. Променливи'!E114/'2. Променливи'!E30*1000,2),"-")</f>
        <v>5.33</v>
      </c>
      <c r="F38" s="1760">
        <f>IFERROR(ROUND('2. Променливи'!F114/'2. Променливи'!F30*1000,2),"-")</f>
        <v>6.55</v>
      </c>
      <c r="G38" s="1760">
        <f>IFERROR(ROUND('2. Променливи'!G114/'2. Променливи'!G30*1000,2),"-")</f>
        <v>6.44</v>
      </c>
      <c r="H38" s="1760">
        <f>IFERROR(ROUND('2. Променливи'!H114/'2. Променливи'!H30*1000,2),"-")</f>
        <v>6.33</v>
      </c>
      <c r="I38" s="1760">
        <f>IFERROR(ROUND('2. Променливи'!I114/'2. Променливи'!I30*1000,2),"-")</f>
        <v>6.23</v>
      </c>
      <c r="J38" s="1760">
        <f>IFERROR(ROUND('2. Променливи'!J114/'2. Променливи'!J30*1000,2),"-")</f>
        <v>6.13</v>
      </c>
      <c r="K38" s="918">
        <f>IFERROR(ROUND(AVERAGE('2. Променливи'!K114,'2. Променливи'!K30),0),0)</f>
        <v>1</v>
      </c>
      <c r="L38" s="918">
        <f>IFERROR(ROUND(AVERAGE('2. Променливи'!P114,'2. Променливи'!P30),0),0)</f>
        <v>1</v>
      </c>
      <c r="M38" s="409">
        <v>6.15</v>
      </c>
      <c r="N38" s="1759">
        <v>3</v>
      </c>
      <c r="O38" s="1752"/>
      <c r="P38" s="865" t="s">
        <v>1327</v>
      </c>
      <c r="Q38" s="1431">
        <f>IFERROR(F38-E38,"-")</f>
        <v>1.2199999999999998</v>
      </c>
      <c r="R38" s="1431">
        <f>IFERROR(G38-F38,"-")</f>
        <v>-0.10999999999999943</v>
      </c>
      <c r="S38" s="1431">
        <f>IFERROR(H38-G38,"-")</f>
        <v>-0.11000000000000032</v>
      </c>
      <c r="T38" s="1431">
        <f>IFERROR(I38-H38,"-")</f>
        <v>-9.9999999999999645E-2</v>
      </c>
      <c r="U38" s="1431">
        <f>IFERROR(J38-I38,"-")</f>
        <v>-0.10000000000000053</v>
      </c>
      <c r="V38" s="1435">
        <f>IFERROR(J38-M38,"-")</f>
        <v>-2.0000000000000462E-2</v>
      </c>
      <c r="Z38" s="3382"/>
      <c r="AA38" s="3382"/>
    </row>
    <row r="39" spans="1:27" ht="13.8" thickBot="1">
      <c r="A39" s="5013" t="s">
        <v>1107</v>
      </c>
      <c r="B39" s="5014"/>
      <c r="C39" s="5014"/>
      <c r="D39" s="5014"/>
      <c r="E39" s="5014"/>
      <c r="F39" s="5014"/>
      <c r="G39" s="5014"/>
      <c r="H39" s="5014"/>
      <c r="I39" s="5014"/>
      <c r="J39" s="5014"/>
      <c r="K39" s="5014"/>
      <c r="L39" s="5014"/>
      <c r="M39" s="5014"/>
      <c r="N39" s="5015"/>
      <c r="O39" s="862"/>
    </row>
    <row r="40" spans="1:27" ht="13.8">
      <c r="A40" s="1743">
        <v>1</v>
      </c>
      <c r="B40" s="1748" t="s">
        <v>744</v>
      </c>
      <c r="C40" s="1749" t="s">
        <v>756</v>
      </c>
      <c r="D40" s="770" t="s">
        <v>1040</v>
      </c>
      <c r="E40" s="1760">
        <f>IFERROR(ROUND('2. Променливи'!E129/'2. Променливи'!E123/365,2),0)</f>
        <v>0</v>
      </c>
      <c r="F40" s="1760">
        <f>IFERROR(ROUND('2. Променливи'!F129/'2. Променливи'!F123/365,2),0)</f>
        <v>0</v>
      </c>
      <c r="G40" s="1760">
        <f>IFERROR(ROUND('2. Променливи'!G129/'2. Променливи'!G123/365,2),0)</f>
        <v>0</v>
      </c>
      <c r="H40" s="1760">
        <f>IFERROR(ROUND('2. Променливи'!H129/'2. Променливи'!H123/365,2),0)</f>
        <v>0</v>
      </c>
      <c r="I40" s="1760">
        <f>IFERROR(ROUND('2. Променливи'!I129/'2. Променливи'!I123/365,2),0)</f>
        <v>0</v>
      </c>
      <c r="J40" s="1760">
        <f>IFERROR(ROUND('2. Променливи'!J129/'2. Променливи'!J123/365,2),0)</f>
        <v>0</v>
      </c>
      <c r="K40" s="919">
        <f>IFERROR(ROUND(AVERAGE('2. Променливи'!K129,'2. Променливи'!K123),0),0)</f>
        <v>0</v>
      </c>
      <c r="L40" s="919">
        <f>IFERROR(ROUND(AVERAGE('2. Променливи'!P129,'2. Променливи'!P123),0),0)</f>
        <v>0</v>
      </c>
      <c r="M40" s="1761"/>
      <c r="N40" s="1762"/>
      <c r="O40" s="1720"/>
      <c r="P40" s="960" t="s">
        <v>1327</v>
      </c>
      <c r="Q40" s="1436">
        <f t="shared" ref="Q40:Q44" si="11">F40-E40</f>
        <v>0</v>
      </c>
      <c r="R40" s="1432">
        <f t="shared" ref="R40:R44" si="12">G40-F40</f>
        <v>0</v>
      </c>
      <c r="S40" s="1432">
        <f t="shared" ref="S40:S44" si="13">H40-G40</f>
        <v>0</v>
      </c>
      <c r="T40" s="1432">
        <f t="shared" ref="T40:T44" si="14">I40-H40</f>
        <v>0</v>
      </c>
      <c r="U40" s="1432">
        <f t="shared" ref="U40:U44" si="15">J40-I40</f>
        <v>0</v>
      </c>
      <c r="V40" s="1763"/>
    </row>
    <row r="41" spans="1:27" ht="13.8">
      <c r="A41" s="1743">
        <v>2</v>
      </c>
      <c r="B41" s="1748" t="s">
        <v>745</v>
      </c>
      <c r="C41" s="1749" t="s">
        <v>756</v>
      </c>
      <c r="D41" s="770" t="s">
        <v>170</v>
      </c>
      <c r="E41" s="1764">
        <f>IFERROR(ROUND('2. Променливи'!E129/'2. Променливи'!E127,4),0)</f>
        <v>0</v>
      </c>
      <c r="F41" s="1764">
        <f>IFERROR(ROUND('2. Променливи'!F129/'2. Променливи'!F127,4),0)</f>
        <v>0</v>
      </c>
      <c r="G41" s="1764">
        <f>IFERROR(ROUND('2. Променливи'!G129/'2. Променливи'!G127,4),0)</f>
        <v>0</v>
      </c>
      <c r="H41" s="1764">
        <f>IFERROR(ROUND('2. Променливи'!H129/'2. Променливи'!H127,4),0)</f>
        <v>0</v>
      </c>
      <c r="I41" s="1764">
        <f>IFERROR(ROUND('2. Променливи'!I129/'2. Променливи'!I127,4),0)</f>
        <v>0</v>
      </c>
      <c r="J41" s="1764">
        <f>IFERROR(ROUND('2. Променливи'!J129/'2. Променливи'!J127,4),0)</f>
        <v>0</v>
      </c>
      <c r="K41" s="919">
        <f>IFERROR(ROUND(AVERAGE('2. Променливи'!K129,'2. Променливи'!K127),0),0)</f>
        <v>0</v>
      </c>
      <c r="L41" s="919">
        <f>IFERROR(ROUND(AVERAGE('2. Променливи'!P129,'2. Променливи'!P127),0),0)</f>
        <v>0</v>
      </c>
      <c r="M41" s="1765"/>
      <c r="N41" s="1766"/>
      <c r="O41" s="1767"/>
      <c r="P41" s="961" t="s">
        <v>1327</v>
      </c>
      <c r="Q41" s="791">
        <f t="shared" si="11"/>
        <v>0</v>
      </c>
      <c r="R41" s="792">
        <f t="shared" si="12"/>
        <v>0</v>
      </c>
      <c r="S41" s="792">
        <f t="shared" si="13"/>
        <v>0</v>
      </c>
      <c r="T41" s="792">
        <f t="shared" si="14"/>
        <v>0</v>
      </c>
      <c r="U41" s="792">
        <f t="shared" si="15"/>
        <v>0</v>
      </c>
      <c r="V41" s="1768"/>
    </row>
    <row r="42" spans="1:27" ht="15" customHeight="1">
      <c r="A42" s="1743">
        <v>3</v>
      </c>
      <c r="B42" s="1748" t="s">
        <v>121</v>
      </c>
      <c r="C42" s="1749" t="s">
        <v>757</v>
      </c>
      <c r="D42" s="770" t="s">
        <v>749</v>
      </c>
      <c r="E42" s="1760">
        <f>IFERROR(ROUND('2. Променливи'!E126/'2. Променливи'!E122*100,2),0)</f>
        <v>0</v>
      </c>
      <c r="F42" s="1760">
        <f>IFERROR(ROUND('2. Променливи'!F126/'2. Променливи'!F122*100,2),0)</f>
        <v>0</v>
      </c>
      <c r="G42" s="1760">
        <f>IFERROR(ROUND('2. Променливи'!G126/'2. Променливи'!G122*100,2),0)</f>
        <v>0</v>
      </c>
      <c r="H42" s="1760">
        <f>IFERROR(ROUND('2. Променливи'!H126/'2. Променливи'!H122*100,2),0)</f>
        <v>0</v>
      </c>
      <c r="I42" s="1760">
        <f>IFERROR(ROUND('2. Променливи'!I126/'2. Променливи'!I122*100,2),0)</f>
        <v>0</v>
      </c>
      <c r="J42" s="1760">
        <f>IFERROR(ROUND('2. Променливи'!J126/'2. Променливи'!J122*100,2),0)</f>
        <v>0</v>
      </c>
      <c r="K42" s="919">
        <f>IFERROR(ROUND(AVERAGE('2. Променливи'!K126,'2. Променливи'!K122),0),0)</f>
        <v>0</v>
      </c>
      <c r="L42" s="919">
        <f>IFERROR(ROUND(AVERAGE('2. Променливи'!P126,'2. Променливи'!P122),0),0)</f>
        <v>0</v>
      </c>
      <c r="M42" s="1769"/>
      <c r="N42" s="1770"/>
      <c r="O42" s="1720"/>
      <c r="P42" s="962" t="s">
        <v>1327</v>
      </c>
      <c r="Q42" s="1427">
        <f t="shared" si="11"/>
        <v>0</v>
      </c>
      <c r="R42" s="1428">
        <f t="shared" si="12"/>
        <v>0</v>
      </c>
      <c r="S42" s="1428">
        <f t="shared" si="13"/>
        <v>0</v>
      </c>
      <c r="T42" s="1428">
        <f t="shared" si="14"/>
        <v>0</v>
      </c>
      <c r="U42" s="1428">
        <f t="shared" si="15"/>
        <v>0</v>
      </c>
      <c r="V42" s="1771"/>
    </row>
    <row r="43" spans="1:27" ht="15" customHeight="1">
      <c r="A43" s="1743">
        <v>4</v>
      </c>
      <c r="B43" s="1748" t="s">
        <v>130</v>
      </c>
      <c r="C43" s="1749" t="s">
        <v>766</v>
      </c>
      <c r="D43" s="770" t="s">
        <v>170</v>
      </c>
      <c r="E43" s="1764">
        <f>IFERROR(ROUND('2. Променливи'!E130/'2. Променливи'!E122,4),0)</f>
        <v>0</v>
      </c>
      <c r="F43" s="1764">
        <f>IFERROR(ROUND('2. Променливи'!F130/'2. Променливи'!F122,4),0)</f>
        <v>0</v>
      </c>
      <c r="G43" s="1764">
        <f>IFERROR(ROUND('2. Променливи'!G130/'2. Променливи'!G122,4),0)</f>
        <v>0</v>
      </c>
      <c r="H43" s="1764">
        <f>IFERROR(ROUND('2. Променливи'!H130/'2. Променливи'!H122,4),0)</f>
        <v>0</v>
      </c>
      <c r="I43" s="1764">
        <f>IFERROR(ROUND('2. Променливи'!I130/'2. Променливи'!I122,4),0)</f>
        <v>0</v>
      </c>
      <c r="J43" s="1764">
        <f>IFERROR(ROUND('2. Променливи'!J130/'2. Променливи'!J122,4),0)</f>
        <v>0</v>
      </c>
      <c r="K43" s="919">
        <f>IFERROR(ROUND(AVERAGE('2. Променливи'!K130,'2. Променливи'!K122),0),0)</f>
        <v>0</v>
      </c>
      <c r="L43" s="919">
        <f>IFERROR(ROUND(AVERAGE('2. Променливи'!P130,'2. Променливи'!P122),0),0)</f>
        <v>0</v>
      </c>
      <c r="M43" s="1769"/>
      <c r="N43" s="1772"/>
      <c r="O43" s="1773"/>
      <c r="P43" s="963" t="s">
        <v>1326</v>
      </c>
      <c r="Q43" s="791">
        <f t="shared" si="11"/>
        <v>0</v>
      </c>
      <c r="R43" s="792">
        <f t="shared" si="12"/>
        <v>0</v>
      </c>
      <c r="S43" s="792">
        <f t="shared" si="13"/>
        <v>0</v>
      </c>
      <c r="T43" s="792">
        <f t="shared" si="14"/>
        <v>0</v>
      </c>
      <c r="U43" s="792">
        <f t="shared" si="15"/>
        <v>0</v>
      </c>
      <c r="V43" s="1771"/>
    </row>
    <row r="44" spans="1:27" ht="29.25" customHeight="1" thickBot="1">
      <c r="A44" s="1756">
        <v>5</v>
      </c>
      <c r="B44" s="1757" t="s">
        <v>131</v>
      </c>
      <c r="C44" s="1774" t="s">
        <v>47</v>
      </c>
      <c r="D44" s="771" t="s">
        <v>1033</v>
      </c>
      <c r="E44" s="1775">
        <f>IFERROR(ROUND('2. Променливи'!E132/'2. Променливи'!E133,2),0)</f>
        <v>0</v>
      </c>
      <c r="F44" s="1775">
        <f>IFERROR(ROUND('2. Променливи'!F132/'2. Променливи'!F133,2),0)</f>
        <v>0</v>
      </c>
      <c r="G44" s="1775">
        <f>IFERROR(ROUND('2. Променливи'!G132/'2. Променливи'!G133,2),0)</f>
        <v>0</v>
      </c>
      <c r="H44" s="1775">
        <f>IFERROR(ROUND('2. Променливи'!H132/'2. Променливи'!H133,2),0)</f>
        <v>0</v>
      </c>
      <c r="I44" s="1775">
        <f>IFERROR(ROUND('2. Променливи'!I132/'2. Променливи'!I133,2),0)</f>
        <v>0</v>
      </c>
      <c r="J44" s="1775">
        <f>IFERROR(ROUND('2. Променливи'!J132/'2. Променливи'!J133,2),0)</f>
        <v>0</v>
      </c>
      <c r="K44" s="344">
        <f>IFERROR(ROUND(AVERAGE('2. Променливи'!K132,'2. Променливи'!K133),0),0)</f>
        <v>0</v>
      </c>
      <c r="L44" s="920">
        <f>IFERROR(ROUND(AVERAGE('2. Променливи'!P132,'2. Променливи'!P133),0),0)</f>
        <v>0</v>
      </c>
      <c r="M44" s="1776"/>
      <c r="N44" s="1777"/>
      <c r="O44" s="1720"/>
      <c r="P44" s="964" t="s">
        <v>1326</v>
      </c>
      <c r="Q44" s="1437">
        <f t="shared" si="11"/>
        <v>0</v>
      </c>
      <c r="R44" s="1431">
        <f t="shared" si="12"/>
        <v>0</v>
      </c>
      <c r="S44" s="1431">
        <f t="shared" si="13"/>
        <v>0</v>
      </c>
      <c r="T44" s="1431">
        <f t="shared" si="14"/>
        <v>0</v>
      </c>
      <c r="U44" s="1431">
        <f t="shared" si="15"/>
        <v>0</v>
      </c>
      <c r="V44" s="1778"/>
    </row>
    <row r="45" spans="1:27">
      <c r="F45" s="1780"/>
      <c r="G45" s="1780"/>
      <c r="L45" s="1781"/>
    </row>
    <row r="46" spans="1:27" hidden="1">
      <c r="E46" s="1780"/>
    </row>
    <row r="47" spans="1:27" hidden="1">
      <c r="E47" s="1780"/>
      <c r="F47" s="1780"/>
      <c r="G47" s="1780"/>
    </row>
    <row r="48" spans="1:27">
      <c r="E48" s="1780"/>
      <c r="F48" s="1780"/>
      <c r="G48" s="1780"/>
    </row>
    <row r="49" spans="1:14">
      <c r="C49" s="1719" t="str">
        <f>'Приложение '!B82</f>
        <v>Дата: 16.03.2026</v>
      </c>
      <c r="M49" s="1717"/>
    </row>
    <row r="50" spans="1:14">
      <c r="D50" s="5012"/>
      <c r="E50" s="5012"/>
      <c r="M50" s="1717"/>
      <c r="N50" s="1782"/>
    </row>
    <row r="51" spans="1:14">
      <c r="M51" s="1717"/>
    </row>
    <row r="52" spans="1:14">
      <c r="A52" s="1721" t="s">
        <v>555</v>
      </c>
    </row>
    <row r="53" spans="1:14">
      <c r="A53" s="3021" t="str">
        <f>CONCATENATE("1. Попълват се само клетките в жълт цвят съгласно определените с решение на КЕВР индивидуални цели на дружеството за ",J7)</f>
        <v>1. Попълват се само клетките в жълт цвят съгласно определените с решение на КЕВР индивидуални цели на дружеството за 2031 г.</v>
      </c>
    </row>
    <row r="54" spans="1:14">
      <c r="A54" s="3730" t="s">
        <v>1435</v>
      </c>
    </row>
    <row r="55" spans="1:14">
      <c r="A55" s="3730" t="s">
        <v>1471</v>
      </c>
      <c r="B55" s="3730"/>
    </row>
    <row r="56" spans="1:14">
      <c r="A56" s="3730" t="str">
        <f>CONCATENATE("4. В случай, че дружеството планира за ",J7," различна цел от определената с решение на КЕВР индивидуална цел по даден показател, в колона ""Отклонение ",J7," спрямо индивидуалната цел за ",J7,"""ще сепояви червена маркировка.")</f>
        <v>4. В случай, че дружеството планира за 2031 г. различна цел от определената с решение на КЕВР индивидуална цел по даден показател, в колона "Отклонение 2031 г. спрямо индивидуалната цел за 2031 г."ще сепояви червена маркировка.</v>
      </c>
    </row>
  </sheetData>
  <sheetProtection algorithmName="SHA-512" hashValue="+7gxySq4zGAFK3wVIKjIDCUK3M5sLSxxpR7OF7NKtnaGaBxJcSEFCec3pE6e8PXT3Fq1S6EBqzVSSA37RQ/Xug==" saltValue="I+rRXrZLOZvy6OH3IWYU2g==" spinCount="100000" sheet="1" formatCells="0" formatColumns="0" formatRows="0"/>
  <mergeCells count="9">
    <mergeCell ref="M1:N1"/>
    <mergeCell ref="D50:E50"/>
    <mergeCell ref="A39:N39"/>
    <mergeCell ref="X8:AA8"/>
    <mergeCell ref="A8:N8"/>
    <mergeCell ref="A3:N3"/>
    <mergeCell ref="A4:N4"/>
    <mergeCell ref="A5:N5"/>
    <mergeCell ref="A2:N2"/>
  </mergeCells>
  <conditionalFormatting sqref="F9">
    <cfRule type="cellIs" dxfId="265" priority="194" operator="lessThan">
      <formula>$E$9</formula>
    </cfRule>
  </conditionalFormatting>
  <conditionalFormatting sqref="F10">
    <cfRule type="cellIs" dxfId="264" priority="189" operator="lessThan">
      <formula>$E$10</formula>
    </cfRule>
  </conditionalFormatting>
  <conditionalFormatting sqref="F11">
    <cfRule type="cellIs" dxfId="263" priority="184" operator="lessThan">
      <formula>$E$11</formula>
    </cfRule>
  </conditionalFormatting>
  <conditionalFormatting sqref="F12">
    <cfRule type="cellIs" dxfId="262" priority="179" operator="lessThan">
      <formula>$E$12</formula>
    </cfRule>
  </conditionalFormatting>
  <conditionalFormatting sqref="F13">
    <cfRule type="cellIs" dxfId="261" priority="174" operator="greaterThan">
      <formula>$E$13</formula>
    </cfRule>
  </conditionalFormatting>
  <conditionalFormatting sqref="F14">
    <cfRule type="cellIs" dxfId="260" priority="151" operator="greaterThan">
      <formula>$E$14</formula>
    </cfRule>
  </conditionalFormatting>
  <conditionalFormatting sqref="F15">
    <cfRule type="cellIs" dxfId="259" priority="146" operator="greaterThan">
      <formula>$E$15</formula>
    </cfRule>
  </conditionalFormatting>
  <conditionalFormatting sqref="F16">
    <cfRule type="cellIs" dxfId="258" priority="141" operator="greaterThan">
      <formula>$E$16</formula>
    </cfRule>
  </conditionalFormatting>
  <conditionalFormatting sqref="F17 I17">
    <cfRule type="cellIs" dxfId="257" priority="136" operator="lessThan">
      <formula>$E$17</formula>
    </cfRule>
  </conditionalFormatting>
  <conditionalFormatting sqref="F18">
    <cfRule type="cellIs" dxfId="256" priority="133" operator="lessThan">
      <formula>$E$18</formula>
    </cfRule>
  </conditionalFormatting>
  <conditionalFormatting sqref="F19">
    <cfRule type="cellIs" dxfId="255" priority="128" operator="lessThan">
      <formula>$E$19</formula>
    </cfRule>
  </conditionalFormatting>
  <conditionalFormatting sqref="F20">
    <cfRule type="cellIs" dxfId="254" priority="123" operator="lessThan">
      <formula>$E$20</formula>
    </cfRule>
  </conditionalFormatting>
  <conditionalFormatting sqref="F21">
    <cfRule type="cellIs" dxfId="253" priority="118" operator="greaterThan">
      <formula>$E$21</formula>
    </cfRule>
  </conditionalFormatting>
  <conditionalFormatting sqref="F22">
    <cfRule type="cellIs" dxfId="252" priority="113" operator="greaterThan">
      <formula>$E$22</formula>
    </cfRule>
  </conditionalFormatting>
  <conditionalFormatting sqref="F23">
    <cfRule type="cellIs" dxfId="251" priority="108" operator="greaterThan">
      <formula>$E$23</formula>
    </cfRule>
  </conditionalFormatting>
  <conditionalFormatting sqref="F24">
    <cfRule type="cellIs" dxfId="250" priority="103" operator="greaterThan">
      <formula>$E$24</formula>
    </cfRule>
  </conditionalFormatting>
  <conditionalFormatting sqref="F26">
    <cfRule type="cellIs" dxfId="249" priority="94" operator="lessThan">
      <formula>$E$26</formula>
    </cfRule>
  </conditionalFormatting>
  <conditionalFormatting sqref="F27">
    <cfRule type="cellIs" dxfId="248" priority="88" operator="lessThan">
      <formula>$E$27</formula>
    </cfRule>
  </conditionalFormatting>
  <conditionalFormatting sqref="F28">
    <cfRule type="cellIs" dxfId="247" priority="83" operator="lessThan">
      <formula>$E$28</formula>
    </cfRule>
  </conditionalFormatting>
  <conditionalFormatting sqref="F29">
    <cfRule type="cellIs" dxfId="246" priority="78" operator="lessThan">
      <formula>$E$29</formula>
    </cfRule>
  </conditionalFormatting>
  <conditionalFormatting sqref="F30">
    <cfRule type="cellIs" dxfId="245" priority="73" operator="lessThan">
      <formula>$E$30</formula>
    </cfRule>
  </conditionalFormatting>
  <conditionalFormatting sqref="F31">
    <cfRule type="cellIs" dxfId="244" priority="68" operator="lessThan">
      <formula>$E$31</formula>
    </cfRule>
  </conditionalFormatting>
  <conditionalFormatting sqref="F32">
    <cfRule type="cellIs" dxfId="243" priority="63" operator="lessThan">
      <formula>$E$32</formula>
    </cfRule>
  </conditionalFormatting>
  <conditionalFormatting sqref="F33">
    <cfRule type="cellIs" dxfId="242" priority="58" operator="lessThan">
      <formula>$E$33</formula>
    </cfRule>
  </conditionalFormatting>
  <conditionalFormatting sqref="F34">
    <cfRule type="cellIs" dxfId="241" priority="53" operator="lessThan">
      <formula>$E$34</formula>
    </cfRule>
  </conditionalFormatting>
  <conditionalFormatting sqref="F35">
    <cfRule type="cellIs" dxfId="240" priority="52" operator="lessThan">
      <formula>$E$35</formula>
    </cfRule>
  </conditionalFormatting>
  <conditionalFormatting sqref="F36">
    <cfRule type="cellIs" dxfId="239" priority="51" operator="lessThan">
      <formula>$E$36</formula>
    </cfRule>
  </conditionalFormatting>
  <conditionalFormatting sqref="F37">
    <cfRule type="cellIs" dxfId="238" priority="38" operator="greaterThan">
      <formula>$E$37</formula>
    </cfRule>
  </conditionalFormatting>
  <conditionalFormatting sqref="F38">
    <cfRule type="cellIs" dxfId="237" priority="37" operator="greaterThan">
      <formula>$E$38</formula>
    </cfRule>
  </conditionalFormatting>
  <conditionalFormatting sqref="F40">
    <cfRule type="cellIs" dxfId="236" priority="28" operator="greaterThan">
      <formula>$E$40</formula>
    </cfRule>
  </conditionalFormatting>
  <conditionalFormatting sqref="F41">
    <cfRule type="cellIs" dxfId="235" priority="23" operator="greaterThan">
      <formula>$E$41</formula>
    </cfRule>
  </conditionalFormatting>
  <conditionalFormatting sqref="F42">
    <cfRule type="cellIs" dxfId="234" priority="18" operator="greaterThan">
      <formula>$E$42</formula>
    </cfRule>
  </conditionalFormatting>
  <conditionalFormatting sqref="F43">
    <cfRule type="cellIs" dxfId="233" priority="13" operator="lessThan">
      <formula>$E$43</formula>
    </cfRule>
  </conditionalFormatting>
  <conditionalFormatting sqref="F44">
    <cfRule type="cellIs" dxfId="232" priority="8" operator="lessThan">
      <formula>$E$44</formula>
    </cfRule>
  </conditionalFormatting>
  <conditionalFormatting sqref="G9">
    <cfRule type="cellIs" dxfId="231" priority="193" operator="lessThan">
      <formula>$F$9</formula>
    </cfRule>
  </conditionalFormatting>
  <conditionalFormatting sqref="G10">
    <cfRule type="cellIs" dxfId="230" priority="188" operator="lessThan">
      <formula>$F$10</formula>
    </cfRule>
  </conditionalFormatting>
  <conditionalFormatting sqref="G11">
    <cfRule type="cellIs" dxfId="229" priority="183" operator="lessThan">
      <formula>$F$11</formula>
    </cfRule>
  </conditionalFormatting>
  <conditionalFormatting sqref="G12">
    <cfRule type="cellIs" dxfId="228" priority="178" operator="lessThan">
      <formula>$F$12</formula>
    </cfRule>
  </conditionalFormatting>
  <conditionalFormatting sqref="G13">
    <cfRule type="cellIs" dxfId="227" priority="173" operator="greaterThan">
      <formula>$F$13</formula>
    </cfRule>
  </conditionalFormatting>
  <conditionalFormatting sqref="G14">
    <cfRule type="cellIs" dxfId="226" priority="150" operator="greaterThan">
      <formula>$F$14</formula>
    </cfRule>
  </conditionalFormatting>
  <conditionalFormatting sqref="G15">
    <cfRule type="cellIs" dxfId="225" priority="145" operator="greaterThan">
      <formula>$F$15</formula>
    </cfRule>
  </conditionalFormatting>
  <conditionalFormatting sqref="G16">
    <cfRule type="cellIs" dxfId="224" priority="140" operator="greaterThan">
      <formula>$F$16</formula>
    </cfRule>
  </conditionalFormatting>
  <conditionalFormatting sqref="G17 J17">
    <cfRule type="cellIs" dxfId="223" priority="135" operator="lessThan">
      <formula>$F$17</formula>
    </cfRule>
  </conditionalFormatting>
  <conditionalFormatting sqref="G18">
    <cfRule type="cellIs" dxfId="222" priority="132" operator="lessThan">
      <formula>$F$18</formula>
    </cfRule>
  </conditionalFormatting>
  <conditionalFormatting sqref="G19">
    <cfRule type="cellIs" dxfId="221" priority="127" operator="lessThan">
      <formula>$F$19</formula>
    </cfRule>
  </conditionalFormatting>
  <conditionalFormatting sqref="G20">
    <cfRule type="cellIs" dxfId="220" priority="122" operator="lessThan">
      <formula>$F$20</formula>
    </cfRule>
  </conditionalFormatting>
  <conditionalFormatting sqref="G21">
    <cfRule type="cellIs" dxfId="219" priority="117" operator="greaterThan">
      <formula>$F$21</formula>
    </cfRule>
  </conditionalFormatting>
  <conditionalFormatting sqref="G22">
    <cfRule type="cellIs" dxfId="218" priority="112" operator="greaterThan">
      <formula>$F$22</formula>
    </cfRule>
  </conditionalFormatting>
  <conditionalFormatting sqref="G23">
    <cfRule type="cellIs" dxfId="217" priority="107" operator="greaterThan">
      <formula>$F$23</formula>
    </cfRule>
  </conditionalFormatting>
  <conditionalFormatting sqref="G24">
    <cfRule type="cellIs" dxfId="216" priority="102" operator="greaterThan">
      <formula>$F$24</formula>
    </cfRule>
  </conditionalFormatting>
  <conditionalFormatting sqref="G25">
    <cfRule type="cellIs" dxfId="215" priority="98" operator="lessThan">
      <formula>$F$25</formula>
    </cfRule>
  </conditionalFormatting>
  <conditionalFormatting sqref="G26">
    <cfRule type="cellIs" dxfId="214" priority="93" operator="lessThan">
      <formula>$F$26</formula>
    </cfRule>
  </conditionalFormatting>
  <conditionalFormatting sqref="G27">
    <cfRule type="cellIs" dxfId="213" priority="87" operator="lessThan">
      <formula>$F$27</formula>
    </cfRule>
  </conditionalFormatting>
  <conditionalFormatting sqref="G28">
    <cfRule type="cellIs" dxfId="212" priority="82" operator="lessThan">
      <formula>$F$28</formula>
    </cfRule>
  </conditionalFormatting>
  <conditionalFormatting sqref="G29">
    <cfRule type="cellIs" dxfId="211" priority="77" operator="lessThan">
      <formula>$F$29</formula>
    </cfRule>
  </conditionalFormatting>
  <conditionalFormatting sqref="G30">
    <cfRule type="cellIs" dxfId="210" priority="72" operator="lessThan">
      <formula>$F$30</formula>
    </cfRule>
  </conditionalFormatting>
  <conditionalFormatting sqref="G31">
    <cfRule type="cellIs" dxfId="209" priority="67" operator="lessThan">
      <formula>$F$31</formula>
    </cfRule>
  </conditionalFormatting>
  <conditionalFormatting sqref="G32">
    <cfRule type="cellIs" dxfId="208" priority="62" operator="lessThan">
      <formula>$F$32</formula>
    </cfRule>
  </conditionalFormatting>
  <conditionalFormatting sqref="G33">
    <cfRule type="cellIs" dxfId="207" priority="57" operator="lessThan">
      <formula>$F$33</formula>
    </cfRule>
  </conditionalFormatting>
  <conditionalFormatting sqref="G34">
    <cfRule type="cellIs" dxfId="206" priority="50" operator="lessThan">
      <formula>$F$34</formula>
    </cfRule>
  </conditionalFormatting>
  <conditionalFormatting sqref="G35">
    <cfRule type="cellIs" dxfId="205" priority="46" operator="lessThan">
      <formula>$F$35</formula>
    </cfRule>
  </conditionalFormatting>
  <conditionalFormatting sqref="G36">
    <cfRule type="cellIs" dxfId="204" priority="42" operator="lessThan">
      <formula>$F$36</formula>
    </cfRule>
  </conditionalFormatting>
  <conditionalFormatting sqref="G37">
    <cfRule type="cellIs" dxfId="203" priority="36" operator="greaterThan">
      <formula>$F$37</formula>
    </cfRule>
  </conditionalFormatting>
  <conditionalFormatting sqref="G38">
    <cfRule type="cellIs" dxfId="202" priority="35" operator="greaterThan">
      <formula>$F$38</formula>
    </cfRule>
  </conditionalFormatting>
  <conditionalFormatting sqref="G40">
    <cfRule type="cellIs" dxfId="201" priority="27" operator="greaterThan">
      <formula>$F$40</formula>
    </cfRule>
  </conditionalFormatting>
  <conditionalFormatting sqref="G41">
    <cfRule type="cellIs" dxfId="200" priority="22" operator="greaterThan">
      <formula>$F$41</formula>
    </cfRule>
  </conditionalFormatting>
  <conditionalFormatting sqref="G42">
    <cfRule type="cellIs" dxfId="199" priority="17" operator="greaterThan">
      <formula>$F$42</formula>
    </cfRule>
  </conditionalFormatting>
  <conditionalFormatting sqref="G43">
    <cfRule type="cellIs" dxfId="198" priority="12" operator="lessThan">
      <formula>$F$43</formula>
    </cfRule>
  </conditionalFormatting>
  <conditionalFormatting sqref="G44">
    <cfRule type="cellIs" dxfId="197" priority="7" operator="lessThan">
      <formula>$F$44</formula>
    </cfRule>
  </conditionalFormatting>
  <conditionalFormatting sqref="H9">
    <cfRule type="cellIs" dxfId="196" priority="192" operator="lessThan">
      <formula>$G$9</formula>
    </cfRule>
  </conditionalFormatting>
  <conditionalFormatting sqref="H10">
    <cfRule type="cellIs" dxfId="195" priority="187" operator="lessThan">
      <formula>$G$10</formula>
    </cfRule>
  </conditionalFormatting>
  <conditionalFormatting sqref="H11">
    <cfRule type="cellIs" dxfId="194" priority="182" operator="lessThan">
      <formula>$G$11</formula>
    </cfRule>
  </conditionalFormatting>
  <conditionalFormatting sqref="H12">
    <cfRule type="cellIs" dxfId="193" priority="177" operator="lessThan">
      <formula>$G$12</formula>
    </cfRule>
  </conditionalFormatting>
  <conditionalFormatting sqref="H13">
    <cfRule type="cellIs" dxfId="192" priority="172" operator="greaterThan">
      <formula>$G$13</formula>
    </cfRule>
  </conditionalFormatting>
  <conditionalFormatting sqref="H14">
    <cfRule type="cellIs" dxfId="191" priority="149" operator="greaterThan">
      <formula>$G$14</formula>
    </cfRule>
  </conditionalFormatting>
  <conditionalFormatting sqref="H15">
    <cfRule type="cellIs" dxfId="190" priority="144" operator="greaterThan">
      <formula>$G$15</formula>
    </cfRule>
  </conditionalFormatting>
  <conditionalFormatting sqref="H16">
    <cfRule type="cellIs" dxfId="189" priority="139" operator="greaterThan">
      <formula>$G$16</formula>
    </cfRule>
  </conditionalFormatting>
  <conditionalFormatting sqref="H17">
    <cfRule type="cellIs" dxfId="188" priority="134" operator="lessThan">
      <formula>$G$17</formula>
    </cfRule>
  </conditionalFormatting>
  <conditionalFormatting sqref="H18">
    <cfRule type="cellIs" dxfId="187" priority="131" operator="lessThan">
      <formula>$G$18</formula>
    </cfRule>
  </conditionalFormatting>
  <conditionalFormatting sqref="H19">
    <cfRule type="cellIs" dxfId="186" priority="126" operator="lessThan">
      <formula>$G$19</formula>
    </cfRule>
  </conditionalFormatting>
  <conditionalFormatting sqref="H20">
    <cfRule type="cellIs" dxfId="185" priority="121" operator="lessThan">
      <formula>$G$20</formula>
    </cfRule>
  </conditionalFormatting>
  <conditionalFormatting sqref="H21">
    <cfRule type="cellIs" dxfId="184" priority="116" operator="greaterThan">
      <formula>$G$21</formula>
    </cfRule>
  </conditionalFormatting>
  <conditionalFormatting sqref="H22">
    <cfRule type="cellIs" dxfId="183" priority="111" operator="greaterThan">
      <formula>$G$22</formula>
    </cfRule>
  </conditionalFormatting>
  <conditionalFormatting sqref="H23">
    <cfRule type="cellIs" dxfId="182" priority="106" operator="greaterThan">
      <formula>$G$23</formula>
    </cfRule>
  </conditionalFormatting>
  <conditionalFormatting sqref="H24">
    <cfRule type="cellIs" dxfId="181" priority="101" operator="greaterThan">
      <formula>$G$24</formula>
    </cfRule>
  </conditionalFormatting>
  <conditionalFormatting sqref="H25">
    <cfRule type="cellIs" dxfId="180" priority="97" operator="lessThan">
      <formula>$G$25</formula>
    </cfRule>
  </conditionalFormatting>
  <conditionalFormatting sqref="H26">
    <cfRule type="cellIs" dxfId="179" priority="92" operator="lessThan">
      <formula>$G$26</formula>
    </cfRule>
  </conditionalFormatting>
  <conditionalFormatting sqref="H27">
    <cfRule type="cellIs" dxfId="178" priority="86" operator="lessThan">
      <formula>$G$27</formula>
    </cfRule>
  </conditionalFormatting>
  <conditionalFormatting sqref="H28">
    <cfRule type="cellIs" dxfId="177" priority="81" operator="lessThan">
      <formula>$G$28</formula>
    </cfRule>
  </conditionalFormatting>
  <conditionalFormatting sqref="H29">
    <cfRule type="cellIs" dxfId="176" priority="76" operator="lessThan">
      <formula>$G$29</formula>
    </cfRule>
  </conditionalFormatting>
  <conditionalFormatting sqref="H30">
    <cfRule type="cellIs" dxfId="175" priority="71" operator="lessThan">
      <formula>$G$30</formula>
    </cfRule>
  </conditionalFormatting>
  <conditionalFormatting sqref="H31">
    <cfRule type="cellIs" dxfId="174" priority="66" operator="lessThan">
      <formula>$G$31</formula>
    </cfRule>
  </conditionalFormatting>
  <conditionalFormatting sqref="H32">
    <cfRule type="cellIs" dxfId="173" priority="61" operator="lessThan">
      <formula>$G$32</formula>
    </cfRule>
  </conditionalFormatting>
  <conditionalFormatting sqref="H33">
    <cfRule type="cellIs" dxfId="172" priority="56" operator="lessThan">
      <formula>$G$33</formula>
    </cfRule>
  </conditionalFormatting>
  <conditionalFormatting sqref="H34">
    <cfRule type="cellIs" dxfId="171" priority="49" operator="lessThan">
      <formula>$G$34</formula>
    </cfRule>
  </conditionalFormatting>
  <conditionalFormatting sqref="H35">
    <cfRule type="cellIs" dxfId="170" priority="45" operator="lessThan">
      <formula>$G$35</formula>
    </cfRule>
  </conditionalFormatting>
  <conditionalFormatting sqref="H36">
    <cfRule type="cellIs" dxfId="169" priority="41" operator="lessThan">
      <formula>$G$36</formula>
    </cfRule>
  </conditionalFormatting>
  <conditionalFormatting sqref="H37">
    <cfRule type="cellIs" dxfId="168" priority="34" operator="greaterThan">
      <formula>$G$37</formula>
    </cfRule>
  </conditionalFormatting>
  <conditionalFormatting sqref="H38">
    <cfRule type="cellIs" dxfId="167" priority="31" operator="greaterThan">
      <formula>$G$38</formula>
    </cfRule>
  </conditionalFormatting>
  <conditionalFormatting sqref="H40">
    <cfRule type="cellIs" dxfId="166" priority="26" operator="greaterThan">
      <formula>$G$40</formula>
    </cfRule>
  </conditionalFormatting>
  <conditionalFormatting sqref="H41">
    <cfRule type="cellIs" dxfId="165" priority="21" operator="greaterThan">
      <formula>$G$41</formula>
    </cfRule>
  </conditionalFormatting>
  <conditionalFormatting sqref="H42">
    <cfRule type="cellIs" dxfId="164" priority="16" operator="greaterThan">
      <formula>$G$42</formula>
    </cfRule>
  </conditionalFormatting>
  <conditionalFormatting sqref="H43">
    <cfRule type="cellIs" dxfId="163" priority="11" operator="lessThan">
      <formula>$G$43</formula>
    </cfRule>
  </conditionalFormatting>
  <conditionalFormatting sqref="H44">
    <cfRule type="cellIs" dxfId="162" priority="6" operator="lessThan">
      <formula>$G$44</formula>
    </cfRule>
  </conditionalFormatting>
  <conditionalFormatting sqref="I9">
    <cfRule type="cellIs" dxfId="161" priority="191" operator="lessThan">
      <formula>$H$9</formula>
    </cfRule>
  </conditionalFormatting>
  <conditionalFormatting sqref="I10">
    <cfRule type="cellIs" dxfId="160" priority="186" operator="lessThan">
      <formula>$H$10</formula>
    </cfRule>
  </conditionalFormatting>
  <conditionalFormatting sqref="I11">
    <cfRule type="cellIs" dxfId="159" priority="181" operator="lessThan">
      <formula>$H$11</formula>
    </cfRule>
  </conditionalFormatting>
  <conditionalFormatting sqref="I12">
    <cfRule type="cellIs" dxfId="158" priority="176" operator="lessThan">
      <formula>$H$12</formula>
    </cfRule>
  </conditionalFormatting>
  <conditionalFormatting sqref="I13">
    <cfRule type="cellIs" dxfId="157" priority="171" operator="greaterThan">
      <formula>$H$13</formula>
    </cfRule>
  </conditionalFormatting>
  <conditionalFormatting sqref="I14">
    <cfRule type="cellIs" dxfId="156" priority="148" operator="greaterThan">
      <formula>$H$14</formula>
    </cfRule>
  </conditionalFormatting>
  <conditionalFormatting sqref="I15">
    <cfRule type="cellIs" dxfId="155" priority="143" operator="greaterThan">
      <formula>$H$15</formula>
    </cfRule>
  </conditionalFormatting>
  <conditionalFormatting sqref="I16">
    <cfRule type="cellIs" dxfId="154" priority="138" operator="greaterThan">
      <formula>$H$16</formula>
    </cfRule>
  </conditionalFormatting>
  <conditionalFormatting sqref="I18">
    <cfRule type="cellIs" dxfId="153" priority="130" operator="lessThan">
      <formula>$H$18</formula>
    </cfRule>
  </conditionalFormatting>
  <conditionalFormatting sqref="I19">
    <cfRule type="cellIs" dxfId="152" priority="125" operator="lessThan">
      <formula>$H$19</formula>
    </cfRule>
  </conditionalFormatting>
  <conditionalFormatting sqref="I20">
    <cfRule type="cellIs" dxfId="151" priority="120" operator="lessThan">
      <formula>$H$20</formula>
    </cfRule>
  </conditionalFormatting>
  <conditionalFormatting sqref="I21">
    <cfRule type="cellIs" dxfId="150" priority="115" operator="greaterThan">
      <formula>$H$21</formula>
    </cfRule>
  </conditionalFormatting>
  <conditionalFormatting sqref="I22">
    <cfRule type="cellIs" dxfId="149" priority="110" operator="greaterThan">
      <formula>$H$22</formula>
    </cfRule>
  </conditionalFormatting>
  <conditionalFormatting sqref="I23">
    <cfRule type="cellIs" dxfId="148" priority="105" operator="greaterThan">
      <formula>$H$23</formula>
    </cfRule>
  </conditionalFormatting>
  <conditionalFormatting sqref="I24">
    <cfRule type="cellIs" dxfId="147" priority="100" operator="greaterThan">
      <formula>$H$24</formula>
    </cfRule>
  </conditionalFormatting>
  <conditionalFormatting sqref="I25">
    <cfRule type="cellIs" dxfId="146" priority="96" operator="lessThan">
      <formula>$H$25</formula>
    </cfRule>
  </conditionalFormatting>
  <conditionalFormatting sqref="I26">
    <cfRule type="cellIs" dxfId="145" priority="90" operator="lessThan">
      <formula>$H$26</formula>
    </cfRule>
  </conditionalFormatting>
  <conditionalFormatting sqref="I27">
    <cfRule type="cellIs" dxfId="144" priority="85" operator="lessThan">
      <formula>$H$27</formula>
    </cfRule>
  </conditionalFormatting>
  <conditionalFormatting sqref="I28">
    <cfRule type="cellIs" dxfId="143" priority="80" operator="lessThan">
      <formula>$H$28</formula>
    </cfRule>
  </conditionalFormatting>
  <conditionalFormatting sqref="I29">
    <cfRule type="cellIs" dxfId="142" priority="75" operator="lessThan">
      <formula>$H$29</formula>
    </cfRule>
  </conditionalFormatting>
  <conditionalFormatting sqref="I30">
    <cfRule type="cellIs" dxfId="141" priority="70" operator="lessThan">
      <formula>$H$30</formula>
    </cfRule>
  </conditionalFormatting>
  <conditionalFormatting sqref="I31">
    <cfRule type="cellIs" dxfId="140" priority="65" operator="lessThan">
      <formula>$H$31</formula>
    </cfRule>
  </conditionalFormatting>
  <conditionalFormatting sqref="I32">
    <cfRule type="cellIs" dxfId="139" priority="60" operator="lessThan">
      <formula>$H$32</formula>
    </cfRule>
  </conditionalFormatting>
  <conditionalFormatting sqref="I33">
    <cfRule type="cellIs" dxfId="138" priority="55" operator="lessThan">
      <formula>$H$33</formula>
    </cfRule>
  </conditionalFormatting>
  <conditionalFormatting sqref="I34">
    <cfRule type="cellIs" dxfId="137" priority="48" operator="lessThan">
      <formula>$H$34</formula>
    </cfRule>
  </conditionalFormatting>
  <conditionalFormatting sqref="I35">
    <cfRule type="cellIs" dxfId="136" priority="44" operator="lessThan">
      <formula>$H$35</formula>
    </cfRule>
  </conditionalFormatting>
  <conditionalFormatting sqref="I36">
    <cfRule type="cellIs" dxfId="135" priority="40" operator="lessThan">
      <formula>$H$36</formula>
    </cfRule>
  </conditionalFormatting>
  <conditionalFormatting sqref="I37">
    <cfRule type="cellIs" dxfId="134" priority="33" operator="greaterThan">
      <formula>$H$37</formula>
    </cfRule>
  </conditionalFormatting>
  <conditionalFormatting sqref="I38">
    <cfRule type="cellIs" dxfId="133" priority="30" operator="greaterThan">
      <formula>$H$38</formula>
    </cfRule>
  </conditionalFormatting>
  <conditionalFormatting sqref="I40">
    <cfRule type="cellIs" dxfId="132" priority="25" operator="greaterThan">
      <formula>$H$40</formula>
    </cfRule>
  </conditionalFormatting>
  <conditionalFormatting sqref="I41">
    <cfRule type="cellIs" dxfId="131" priority="20" operator="greaterThan">
      <formula>$H$41</formula>
    </cfRule>
  </conditionalFormatting>
  <conditionalFormatting sqref="I42">
    <cfRule type="cellIs" dxfId="130" priority="15" operator="greaterThan">
      <formula>$H$42</formula>
    </cfRule>
  </conditionalFormatting>
  <conditionalFormatting sqref="I43">
    <cfRule type="cellIs" dxfId="129" priority="10" operator="lessThan">
      <formula>$H$43</formula>
    </cfRule>
  </conditionalFormatting>
  <conditionalFormatting sqref="I44">
    <cfRule type="cellIs" dxfId="128" priority="5" operator="lessThan">
      <formula>$H$44</formula>
    </cfRule>
  </conditionalFormatting>
  <conditionalFormatting sqref="J9">
    <cfRule type="cellIs" dxfId="127" priority="190" operator="lessThan">
      <formula>$I$9</formula>
    </cfRule>
  </conditionalFormatting>
  <conditionalFormatting sqref="J10">
    <cfRule type="cellIs" dxfId="126" priority="185" operator="lessThan">
      <formula>$I$10</formula>
    </cfRule>
  </conditionalFormatting>
  <conditionalFormatting sqref="J11">
    <cfRule type="cellIs" dxfId="125" priority="180" operator="lessThan">
      <formula>$I$11</formula>
    </cfRule>
  </conditionalFormatting>
  <conditionalFormatting sqref="J12">
    <cfRule type="cellIs" dxfId="124" priority="175" operator="lessThan">
      <formula>$I$12</formula>
    </cfRule>
  </conditionalFormatting>
  <conditionalFormatting sqref="J13">
    <cfRule type="cellIs" dxfId="123" priority="170" operator="greaterThan">
      <formula>$I$13</formula>
    </cfRule>
  </conditionalFormatting>
  <conditionalFormatting sqref="J14">
    <cfRule type="cellIs" dxfId="122" priority="147" operator="greaterThan">
      <formula>$I$14</formula>
    </cfRule>
  </conditionalFormatting>
  <conditionalFormatting sqref="J15">
    <cfRule type="cellIs" dxfId="121" priority="142" operator="greaterThan">
      <formula>$I$15</formula>
    </cfRule>
  </conditionalFormatting>
  <conditionalFormatting sqref="J16">
    <cfRule type="cellIs" dxfId="120" priority="137" operator="greaterThan">
      <formula>$I$16</formula>
    </cfRule>
  </conditionalFormatting>
  <conditionalFormatting sqref="J18">
    <cfRule type="cellIs" dxfId="119" priority="129" operator="lessThan">
      <formula>$I$18</formula>
    </cfRule>
  </conditionalFormatting>
  <conditionalFormatting sqref="J19">
    <cfRule type="cellIs" dxfId="118" priority="124" operator="lessThan">
      <formula>$I$19</formula>
    </cfRule>
  </conditionalFormatting>
  <conditionalFormatting sqref="J20">
    <cfRule type="cellIs" dxfId="117" priority="119" operator="lessThan">
      <formula>$I$20</formula>
    </cfRule>
  </conditionalFormatting>
  <conditionalFormatting sqref="J21">
    <cfRule type="cellIs" dxfId="116" priority="114" operator="greaterThan">
      <formula>$I$21</formula>
    </cfRule>
  </conditionalFormatting>
  <conditionalFormatting sqref="J22">
    <cfRule type="cellIs" dxfId="115" priority="109" operator="greaterThan">
      <formula>$I$22</formula>
    </cfRule>
  </conditionalFormatting>
  <conditionalFormatting sqref="J23">
    <cfRule type="cellIs" dxfId="114" priority="104" operator="greaterThan">
      <formula>$I$23</formula>
    </cfRule>
  </conditionalFormatting>
  <conditionalFormatting sqref="J24">
    <cfRule type="cellIs" dxfId="113" priority="99" operator="greaterThan">
      <formula>$I$24</formula>
    </cfRule>
  </conditionalFormatting>
  <conditionalFormatting sqref="J25">
    <cfRule type="cellIs" dxfId="112" priority="95" operator="lessThan">
      <formula>$I$25</formula>
    </cfRule>
  </conditionalFormatting>
  <conditionalFormatting sqref="J26">
    <cfRule type="cellIs" dxfId="111" priority="89" operator="lessThan">
      <formula>$I$26</formula>
    </cfRule>
  </conditionalFormatting>
  <conditionalFormatting sqref="J27">
    <cfRule type="cellIs" dxfId="110" priority="84" operator="lessThan">
      <formula>$I$27</formula>
    </cfRule>
  </conditionalFormatting>
  <conditionalFormatting sqref="J28">
    <cfRule type="cellIs" dxfId="109" priority="79" operator="lessThan">
      <formula>$I$28</formula>
    </cfRule>
  </conditionalFormatting>
  <conditionalFormatting sqref="J29">
    <cfRule type="cellIs" dxfId="108" priority="74" operator="lessThan">
      <formula>$I$29</formula>
    </cfRule>
  </conditionalFormatting>
  <conditionalFormatting sqref="J30">
    <cfRule type="cellIs" dxfId="107" priority="69" operator="lessThan">
      <formula>$I$30</formula>
    </cfRule>
  </conditionalFormatting>
  <conditionalFormatting sqref="J31">
    <cfRule type="cellIs" dxfId="106" priority="64" operator="lessThan">
      <formula>$I$31</formula>
    </cfRule>
  </conditionalFormatting>
  <conditionalFormatting sqref="J32">
    <cfRule type="cellIs" dxfId="105" priority="59" operator="lessThan">
      <formula>$I$32</formula>
    </cfRule>
  </conditionalFormatting>
  <conditionalFormatting sqref="J33">
    <cfRule type="cellIs" dxfId="104" priority="54" operator="lessThan">
      <formula>$I$33</formula>
    </cfRule>
  </conditionalFormatting>
  <conditionalFormatting sqref="J34">
    <cfRule type="cellIs" dxfId="103" priority="47" operator="lessThan">
      <formula>$I$34</formula>
    </cfRule>
  </conditionalFormatting>
  <conditionalFormatting sqref="J35">
    <cfRule type="cellIs" dxfId="102" priority="43" operator="lessThan">
      <formula>$I$35</formula>
    </cfRule>
  </conditionalFormatting>
  <conditionalFormatting sqref="J36">
    <cfRule type="cellIs" dxfId="101" priority="39" operator="lessThan">
      <formula>$I$36</formula>
    </cfRule>
  </conditionalFormatting>
  <conditionalFormatting sqref="J37">
    <cfRule type="cellIs" dxfId="100" priority="32" operator="greaterThan">
      <formula>$I$37</formula>
    </cfRule>
  </conditionalFormatting>
  <conditionalFormatting sqref="J38">
    <cfRule type="cellIs" dxfId="99" priority="29" operator="greaterThan">
      <formula>$I$38</formula>
    </cfRule>
  </conditionalFormatting>
  <conditionalFormatting sqref="J40">
    <cfRule type="cellIs" dxfId="98" priority="24" operator="greaterThan">
      <formula>$I$40</formula>
    </cfRule>
  </conditionalFormatting>
  <conditionalFormatting sqref="J41">
    <cfRule type="cellIs" dxfId="97" priority="19" operator="greaterThan">
      <formula>$I$41</formula>
    </cfRule>
  </conditionalFormatting>
  <conditionalFormatting sqref="J42">
    <cfRule type="cellIs" dxfId="96" priority="14" operator="greaterThan">
      <formula>$I$42</formula>
    </cfRule>
  </conditionalFormatting>
  <conditionalFormatting sqref="J43">
    <cfRule type="cellIs" dxfId="95" priority="9" operator="lessThan">
      <formula>$I$43</formula>
    </cfRule>
  </conditionalFormatting>
  <conditionalFormatting sqref="J44">
    <cfRule type="cellIs" dxfId="94" priority="4" operator="lessThan">
      <formula>$I$44</formula>
    </cfRule>
  </conditionalFormatting>
  <conditionalFormatting sqref="P9:P38">
    <cfRule type="cellIs" dxfId="93" priority="216" operator="lessThan">
      <formula>0</formula>
    </cfRule>
  </conditionalFormatting>
  <conditionalFormatting sqref="Q13:U16">
    <cfRule type="cellIs" dxfId="92" priority="205" operator="greaterThan">
      <formula>0</formula>
    </cfRule>
    <cfRule type="cellIs" priority="206" operator="greaterThan">
      <formula>0</formula>
    </cfRule>
  </conditionalFormatting>
  <conditionalFormatting sqref="Q40:U42">
    <cfRule type="cellIs" dxfId="91" priority="154" operator="greaterThan">
      <formula>0</formula>
    </cfRule>
  </conditionalFormatting>
  <conditionalFormatting sqref="Q41:U42">
    <cfRule type="cellIs" priority="155" operator="greaterThan">
      <formula>0</formula>
    </cfRule>
  </conditionalFormatting>
  <conditionalFormatting sqref="Q43:U44">
    <cfRule type="cellIs" dxfId="90" priority="152" operator="lessThan">
      <formula>0</formula>
    </cfRule>
  </conditionalFormatting>
  <conditionalFormatting sqref="Q9:V12">
    <cfRule type="cellIs" dxfId="89" priority="208" operator="lessThan">
      <formula>0</formula>
    </cfRule>
  </conditionalFormatting>
  <conditionalFormatting sqref="Q17:V20">
    <cfRule type="cellIs" dxfId="88" priority="204" operator="lessThan">
      <formula>0</formula>
    </cfRule>
  </conditionalFormatting>
  <conditionalFormatting sqref="Q21:V24">
    <cfRule type="cellIs" dxfId="87" priority="198" operator="greaterThan">
      <formula>0</formula>
    </cfRule>
  </conditionalFormatting>
  <conditionalFormatting sqref="Q25:V36">
    <cfRule type="cellIs" dxfId="86" priority="202" operator="lessThan">
      <formula>0</formula>
    </cfRule>
  </conditionalFormatting>
  <conditionalFormatting sqref="Q37:V38">
    <cfRule type="cellIs" dxfId="85" priority="195" operator="greaterThan">
      <formula>0</formula>
    </cfRule>
  </conditionalFormatting>
  <conditionalFormatting sqref="V13">
    <cfRule type="cellIs" priority="2" operator="greaterThan">
      <formula>0</formula>
    </cfRule>
    <cfRule type="cellIs" dxfId="84" priority="1" operator="greaterThan">
      <formula>0</formula>
    </cfRule>
  </conditionalFormatting>
  <conditionalFormatting sqref="V14">
    <cfRule type="cellIs" dxfId="83" priority="217" operator="greaterThan">
      <formula>$E$14</formula>
    </cfRule>
  </conditionalFormatting>
  <conditionalFormatting sqref="V15:V16">
    <cfRule type="cellIs" dxfId="82" priority="199" operator="greaterThan">
      <formula>0</formula>
    </cfRule>
  </conditionalFormatting>
  <conditionalFormatting sqref="V16">
    <cfRule type="cellIs" priority="200" operator="greaterThan">
      <formula>0</formula>
    </cfRule>
  </conditionalFormatting>
  <printOptions horizontalCentered="1"/>
  <pageMargins left="0" right="0" top="0.27559055118110237" bottom="0.35433070866141736" header="0.31496062992125984" footer="0.11811023622047245"/>
  <pageSetup paperSize="9" scale="59" orientation="landscape" r:id="rId1"/>
  <headerFooter alignWithMargins="0">
    <oddFooter>&amp;C&amp;A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CC"/>
  </sheetPr>
  <dimension ref="A1:N123"/>
  <sheetViews>
    <sheetView zoomScale="110" zoomScaleNormal="110" zoomScaleSheetLayoutView="100" workbookViewId="0">
      <selection activeCell="A106" sqref="A1:XFD1048576"/>
    </sheetView>
  </sheetViews>
  <sheetFormatPr defaultRowHeight="13.2"/>
  <cols>
    <col min="1" max="1" width="8.33203125" style="1783" customWidth="1"/>
    <col min="2" max="2" width="42" style="1783" customWidth="1"/>
    <col min="3" max="3" width="8.33203125" style="1783" customWidth="1"/>
    <col min="4" max="7" width="10.6640625" style="1783" customWidth="1"/>
    <col min="8" max="8" width="11" style="1783" customWidth="1"/>
    <col min="9" max="9" width="10.6640625" style="1783" customWidth="1"/>
    <col min="10" max="10" width="12.6640625" style="1783" customWidth="1"/>
    <col min="11" max="11" width="9.6640625" style="1783" bestFit="1" customWidth="1"/>
    <col min="12" max="254" width="9.109375" style="1783"/>
    <col min="255" max="255" width="5.33203125" style="1783" customWidth="1"/>
    <col min="256" max="256" width="56.44140625" style="1783" customWidth="1"/>
    <col min="257" max="257" width="10.33203125" style="1783" customWidth="1"/>
    <col min="258" max="264" width="10.6640625" style="1783" customWidth="1"/>
    <col min="265" max="265" width="9.109375" style="1783"/>
    <col min="266" max="266" width="11.33203125" style="1783" bestFit="1" customWidth="1"/>
    <col min="267" max="267" width="9.6640625" style="1783" bestFit="1" customWidth="1"/>
    <col min="268" max="510" width="9.109375" style="1783"/>
    <col min="511" max="511" width="5.33203125" style="1783" customWidth="1"/>
    <col min="512" max="512" width="56.44140625" style="1783" customWidth="1"/>
    <col min="513" max="513" width="10.33203125" style="1783" customWidth="1"/>
    <col min="514" max="520" width="10.6640625" style="1783" customWidth="1"/>
    <col min="521" max="521" width="9.109375" style="1783"/>
    <col min="522" max="522" width="11.33203125" style="1783" bestFit="1" customWidth="1"/>
    <col min="523" max="523" width="9.6640625" style="1783" bestFit="1" customWidth="1"/>
    <col min="524" max="766" width="9.109375" style="1783"/>
    <col min="767" max="767" width="5.33203125" style="1783" customWidth="1"/>
    <col min="768" max="768" width="56.44140625" style="1783" customWidth="1"/>
    <col min="769" max="769" width="10.33203125" style="1783" customWidth="1"/>
    <col min="770" max="776" width="10.6640625" style="1783" customWidth="1"/>
    <col min="777" max="777" width="9.109375" style="1783"/>
    <col min="778" max="778" width="11.33203125" style="1783" bestFit="1" customWidth="1"/>
    <col min="779" max="779" width="9.6640625" style="1783" bestFit="1" customWidth="1"/>
    <col min="780" max="1022" width="9.109375" style="1783"/>
    <col min="1023" max="1023" width="5.33203125" style="1783" customWidth="1"/>
    <col min="1024" max="1024" width="56.44140625" style="1783" customWidth="1"/>
    <col min="1025" max="1025" width="10.33203125" style="1783" customWidth="1"/>
    <col min="1026" max="1032" width="10.6640625" style="1783" customWidth="1"/>
    <col min="1033" max="1033" width="9.109375" style="1783"/>
    <col min="1034" max="1034" width="11.33203125" style="1783" bestFit="1" customWidth="1"/>
    <col min="1035" max="1035" width="9.6640625" style="1783" bestFit="1" customWidth="1"/>
    <col min="1036" max="1278" width="9.109375" style="1783"/>
    <col min="1279" max="1279" width="5.33203125" style="1783" customWidth="1"/>
    <col min="1280" max="1280" width="56.44140625" style="1783" customWidth="1"/>
    <col min="1281" max="1281" width="10.33203125" style="1783" customWidth="1"/>
    <col min="1282" max="1288" width="10.6640625" style="1783" customWidth="1"/>
    <col min="1289" max="1289" width="9.109375" style="1783"/>
    <col min="1290" max="1290" width="11.33203125" style="1783" bestFit="1" customWidth="1"/>
    <col min="1291" max="1291" width="9.6640625" style="1783" bestFit="1" customWidth="1"/>
    <col min="1292" max="1534" width="9.109375" style="1783"/>
    <col min="1535" max="1535" width="5.33203125" style="1783" customWidth="1"/>
    <col min="1536" max="1536" width="56.44140625" style="1783" customWidth="1"/>
    <col min="1537" max="1537" width="10.33203125" style="1783" customWidth="1"/>
    <col min="1538" max="1544" width="10.6640625" style="1783" customWidth="1"/>
    <col min="1545" max="1545" width="9.109375" style="1783"/>
    <col min="1546" max="1546" width="11.33203125" style="1783" bestFit="1" customWidth="1"/>
    <col min="1547" max="1547" width="9.6640625" style="1783" bestFit="1" customWidth="1"/>
    <col min="1548" max="1790" width="9.109375" style="1783"/>
    <col min="1791" max="1791" width="5.33203125" style="1783" customWidth="1"/>
    <col min="1792" max="1792" width="56.44140625" style="1783" customWidth="1"/>
    <col min="1793" max="1793" width="10.33203125" style="1783" customWidth="1"/>
    <col min="1794" max="1800" width="10.6640625" style="1783" customWidth="1"/>
    <col min="1801" max="1801" width="9.109375" style="1783"/>
    <col min="1802" max="1802" width="11.33203125" style="1783" bestFit="1" customWidth="1"/>
    <col min="1803" max="1803" width="9.6640625" style="1783" bestFit="1" customWidth="1"/>
    <col min="1804" max="2046" width="9.109375" style="1783"/>
    <col min="2047" max="2047" width="5.33203125" style="1783" customWidth="1"/>
    <col min="2048" max="2048" width="56.44140625" style="1783" customWidth="1"/>
    <col min="2049" max="2049" width="10.33203125" style="1783" customWidth="1"/>
    <col min="2050" max="2056" width="10.6640625" style="1783" customWidth="1"/>
    <col min="2057" max="2057" width="9.109375" style="1783"/>
    <col min="2058" max="2058" width="11.33203125" style="1783" bestFit="1" customWidth="1"/>
    <col min="2059" max="2059" width="9.6640625" style="1783" bestFit="1" customWidth="1"/>
    <col min="2060" max="2302" width="9.109375" style="1783"/>
    <col min="2303" max="2303" width="5.33203125" style="1783" customWidth="1"/>
    <col min="2304" max="2304" width="56.44140625" style="1783" customWidth="1"/>
    <col min="2305" max="2305" width="10.33203125" style="1783" customWidth="1"/>
    <col min="2306" max="2312" width="10.6640625" style="1783" customWidth="1"/>
    <col min="2313" max="2313" width="9.109375" style="1783"/>
    <col min="2314" max="2314" width="11.33203125" style="1783" bestFit="1" customWidth="1"/>
    <col min="2315" max="2315" width="9.6640625" style="1783" bestFit="1" customWidth="1"/>
    <col min="2316" max="2558" width="9.109375" style="1783"/>
    <col min="2559" max="2559" width="5.33203125" style="1783" customWidth="1"/>
    <col min="2560" max="2560" width="56.44140625" style="1783" customWidth="1"/>
    <col min="2561" max="2561" width="10.33203125" style="1783" customWidth="1"/>
    <col min="2562" max="2568" width="10.6640625" style="1783" customWidth="1"/>
    <col min="2569" max="2569" width="9.109375" style="1783"/>
    <col min="2570" max="2570" width="11.33203125" style="1783" bestFit="1" customWidth="1"/>
    <col min="2571" max="2571" width="9.6640625" style="1783" bestFit="1" customWidth="1"/>
    <col min="2572" max="2814" width="9.109375" style="1783"/>
    <col min="2815" max="2815" width="5.33203125" style="1783" customWidth="1"/>
    <col min="2816" max="2816" width="56.44140625" style="1783" customWidth="1"/>
    <col min="2817" max="2817" width="10.33203125" style="1783" customWidth="1"/>
    <col min="2818" max="2824" width="10.6640625" style="1783" customWidth="1"/>
    <col min="2825" max="2825" width="9.109375" style="1783"/>
    <col min="2826" max="2826" width="11.33203125" style="1783" bestFit="1" customWidth="1"/>
    <col min="2827" max="2827" width="9.6640625" style="1783" bestFit="1" customWidth="1"/>
    <col min="2828" max="3070" width="9.109375" style="1783"/>
    <col min="3071" max="3071" width="5.33203125" style="1783" customWidth="1"/>
    <col min="3072" max="3072" width="56.44140625" style="1783" customWidth="1"/>
    <col min="3073" max="3073" width="10.33203125" style="1783" customWidth="1"/>
    <col min="3074" max="3080" width="10.6640625" style="1783" customWidth="1"/>
    <col min="3081" max="3081" width="9.109375" style="1783"/>
    <col min="3082" max="3082" width="11.33203125" style="1783" bestFit="1" customWidth="1"/>
    <col min="3083" max="3083" width="9.6640625" style="1783" bestFit="1" customWidth="1"/>
    <col min="3084" max="3326" width="9.109375" style="1783"/>
    <col min="3327" max="3327" width="5.33203125" style="1783" customWidth="1"/>
    <col min="3328" max="3328" width="56.44140625" style="1783" customWidth="1"/>
    <col min="3329" max="3329" width="10.33203125" style="1783" customWidth="1"/>
    <col min="3330" max="3336" width="10.6640625" style="1783" customWidth="1"/>
    <col min="3337" max="3337" width="9.109375" style="1783"/>
    <col min="3338" max="3338" width="11.33203125" style="1783" bestFit="1" customWidth="1"/>
    <col min="3339" max="3339" width="9.6640625" style="1783" bestFit="1" customWidth="1"/>
    <col min="3340" max="3582" width="9.109375" style="1783"/>
    <col min="3583" max="3583" width="5.33203125" style="1783" customWidth="1"/>
    <col min="3584" max="3584" width="56.44140625" style="1783" customWidth="1"/>
    <col min="3585" max="3585" width="10.33203125" style="1783" customWidth="1"/>
    <col min="3586" max="3592" width="10.6640625" style="1783" customWidth="1"/>
    <col min="3593" max="3593" width="9.109375" style="1783"/>
    <col min="3594" max="3594" width="11.33203125" style="1783" bestFit="1" customWidth="1"/>
    <col min="3595" max="3595" width="9.6640625" style="1783" bestFit="1" customWidth="1"/>
    <col min="3596" max="3838" width="9.109375" style="1783"/>
    <col min="3839" max="3839" width="5.33203125" style="1783" customWidth="1"/>
    <col min="3840" max="3840" width="56.44140625" style="1783" customWidth="1"/>
    <col min="3841" max="3841" width="10.33203125" style="1783" customWidth="1"/>
    <col min="3842" max="3848" width="10.6640625" style="1783" customWidth="1"/>
    <col min="3849" max="3849" width="9.109375" style="1783"/>
    <col min="3850" max="3850" width="11.33203125" style="1783" bestFit="1" customWidth="1"/>
    <col min="3851" max="3851" width="9.6640625" style="1783" bestFit="1" customWidth="1"/>
    <col min="3852" max="4094" width="9.109375" style="1783"/>
    <col min="4095" max="4095" width="5.33203125" style="1783" customWidth="1"/>
    <col min="4096" max="4096" width="56.44140625" style="1783" customWidth="1"/>
    <col min="4097" max="4097" width="10.33203125" style="1783" customWidth="1"/>
    <col min="4098" max="4104" width="10.6640625" style="1783" customWidth="1"/>
    <col min="4105" max="4105" width="9.109375" style="1783"/>
    <col min="4106" max="4106" width="11.33203125" style="1783" bestFit="1" customWidth="1"/>
    <col min="4107" max="4107" width="9.6640625" style="1783" bestFit="1" customWidth="1"/>
    <col min="4108" max="4350" width="9.109375" style="1783"/>
    <col min="4351" max="4351" width="5.33203125" style="1783" customWidth="1"/>
    <col min="4352" max="4352" width="56.44140625" style="1783" customWidth="1"/>
    <col min="4353" max="4353" width="10.33203125" style="1783" customWidth="1"/>
    <col min="4354" max="4360" width="10.6640625" style="1783" customWidth="1"/>
    <col min="4361" max="4361" width="9.109375" style="1783"/>
    <col min="4362" max="4362" width="11.33203125" style="1783" bestFit="1" customWidth="1"/>
    <col min="4363" max="4363" width="9.6640625" style="1783" bestFit="1" customWidth="1"/>
    <col min="4364" max="4606" width="9.109375" style="1783"/>
    <col min="4607" max="4607" width="5.33203125" style="1783" customWidth="1"/>
    <col min="4608" max="4608" width="56.44140625" style="1783" customWidth="1"/>
    <col min="4609" max="4609" width="10.33203125" style="1783" customWidth="1"/>
    <col min="4610" max="4616" width="10.6640625" style="1783" customWidth="1"/>
    <col min="4617" max="4617" width="9.109375" style="1783"/>
    <col min="4618" max="4618" width="11.33203125" style="1783" bestFit="1" customWidth="1"/>
    <col min="4619" max="4619" width="9.6640625" style="1783" bestFit="1" customWidth="1"/>
    <col min="4620" max="4862" width="9.109375" style="1783"/>
    <col min="4863" max="4863" width="5.33203125" style="1783" customWidth="1"/>
    <col min="4864" max="4864" width="56.44140625" style="1783" customWidth="1"/>
    <col min="4865" max="4865" width="10.33203125" style="1783" customWidth="1"/>
    <col min="4866" max="4872" width="10.6640625" style="1783" customWidth="1"/>
    <col min="4873" max="4873" width="9.109375" style="1783"/>
    <col min="4874" max="4874" width="11.33203125" style="1783" bestFit="1" customWidth="1"/>
    <col min="4875" max="4875" width="9.6640625" style="1783" bestFit="1" customWidth="1"/>
    <col min="4876" max="5118" width="9.109375" style="1783"/>
    <col min="5119" max="5119" width="5.33203125" style="1783" customWidth="1"/>
    <col min="5120" max="5120" width="56.44140625" style="1783" customWidth="1"/>
    <col min="5121" max="5121" width="10.33203125" style="1783" customWidth="1"/>
    <col min="5122" max="5128" width="10.6640625" style="1783" customWidth="1"/>
    <col min="5129" max="5129" width="9.109375" style="1783"/>
    <col min="5130" max="5130" width="11.33203125" style="1783" bestFit="1" customWidth="1"/>
    <col min="5131" max="5131" width="9.6640625" style="1783" bestFit="1" customWidth="1"/>
    <col min="5132" max="5374" width="9.109375" style="1783"/>
    <col min="5375" max="5375" width="5.33203125" style="1783" customWidth="1"/>
    <col min="5376" max="5376" width="56.44140625" style="1783" customWidth="1"/>
    <col min="5377" max="5377" width="10.33203125" style="1783" customWidth="1"/>
    <col min="5378" max="5384" width="10.6640625" style="1783" customWidth="1"/>
    <col min="5385" max="5385" width="9.109375" style="1783"/>
    <col min="5386" max="5386" width="11.33203125" style="1783" bestFit="1" customWidth="1"/>
    <col min="5387" max="5387" width="9.6640625" style="1783" bestFit="1" customWidth="1"/>
    <col min="5388" max="5630" width="9.109375" style="1783"/>
    <col min="5631" max="5631" width="5.33203125" style="1783" customWidth="1"/>
    <col min="5632" max="5632" width="56.44140625" style="1783" customWidth="1"/>
    <col min="5633" max="5633" width="10.33203125" style="1783" customWidth="1"/>
    <col min="5634" max="5640" width="10.6640625" style="1783" customWidth="1"/>
    <col min="5641" max="5641" width="9.109375" style="1783"/>
    <col min="5642" max="5642" width="11.33203125" style="1783" bestFit="1" customWidth="1"/>
    <col min="5643" max="5643" width="9.6640625" style="1783" bestFit="1" customWidth="1"/>
    <col min="5644" max="5886" width="9.109375" style="1783"/>
    <col min="5887" max="5887" width="5.33203125" style="1783" customWidth="1"/>
    <col min="5888" max="5888" width="56.44140625" style="1783" customWidth="1"/>
    <col min="5889" max="5889" width="10.33203125" style="1783" customWidth="1"/>
    <col min="5890" max="5896" width="10.6640625" style="1783" customWidth="1"/>
    <col min="5897" max="5897" width="9.109375" style="1783"/>
    <col min="5898" max="5898" width="11.33203125" style="1783" bestFit="1" customWidth="1"/>
    <col min="5899" max="5899" width="9.6640625" style="1783" bestFit="1" customWidth="1"/>
    <col min="5900" max="6142" width="9.109375" style="1783"/>
    <col min="6143" max="6143" width="5.33203125" style="1783" customWidth="1"/>
    <col min="6144" max="6144" width="56.44140625" style="1783" customWidth="1"/>
    <col min="6145" max="6145" width="10.33203125" style="1783" customWidth="1"/>
    <col min="6146" max="6152" width="10.6640625" style="1783" customWidth="1"/>
    <col min="6153" max="6153" width="9.109375" style="1783"/>
    <col min="6154" max="6154" width="11.33203125" style="1783" bestFit="1" customWidth="1"/>
    <col min="6155" max="6155" width="9.6640625" style="1783" bestFit="1" customWidth="1"/>
    <col min="6156" max="6398" width="9.109375" style="1783"/>
    <col min="6399" max="6399" width="5.33203125" style="1783" customWidth="1"/>
    <col min="6400" max="6400" width="56.44140625" style="1783" customWidth="1"/>
    <col min="6401" max="6401" width="10.33203125" style="1783" customWidth="1"/>
    <col min="6402" max="6408" width="10.6640625" style="1783" customWidth="1"/>
    <col min="6409" max="6409" width="9.109375" style="1783"/>
    <col min="6410" max="6410" width="11.33203125" style="1783" bestFit="1" customWidth="1"/>
    <col min="6411" max="6411" width="9.6640625" style="1783" bestFit="1" customWidth="1"/>
    <col min="6412" max="6654" width="9.109375" style="1783"/>
    <col min="6655" max="6655" width="5.33203125" style="1783" customWidth="1"/>
    <col min="6656" max="6656" width="56.44140625" style="1783" customWidth="1"/>
    <col min="6657" max="6657" width="10.33203125" style="1783" customWidth="1"/>
    <col min="6658" max="6664" width="10.6640625" style="1783" customWidth="1"/>
    <col min="6665" max="6665" width="9.109375" style="1783"/>
    <col min="6666" max="6666" width="11.33203125" style="1783" bestFit="1" customWidth="1"/>
    <col min="6667" max="6667" width="9.6640625" style="1783" bestFit="1" customWidth="1"/>
    <col min="6668" max="6910" width="9.109375" style="1783"/>
    <col min="6911" max="6911" width="5.33203125" style="1783" customWidth="1"/>
    <col min="6912" max="6912" width="56.44140625" style="1783" customWidth="1"/>
    <col min="6913" max="6913" width="10.33203125" style="1783" customWidth="1"/>
    <col min="6914" max="6920" width="10.6640625" style="1783" customWidth="1"/>
    <col min="6921" max="6921" width="9.109375" style="1783"/>
    <col min="6922" max="6922" width="11.33203125" style="1783" bestFit="1" customWidth="1"/>
    <col min="6923" max="6923" width="9.6640625" style="1783" bestFit="1" customWidth="1"/>
    <col min="6924" max="7166" width="9.109375" style="1783"/>
    <col min="7167" max="7167" width="5.33203125" style="1783" customWidth="1"/>
    <col min="7168" max="7168" width="56.44140625" style="1783" customWidth="1"/>
    <col min="7169" max="7169" width="10.33203125" style="1783" customWidth="1"/>
    <col min="7170" max="7176" width="10.6640625" style="1783" customWidth="1"/>
    <col min="7177" max="7177" width="9.109375" style="1783"/>
    <col min="7178" max="7178" width="11.33203125" style="1783" bestFit="1" customWidth="1"/>
    <col min="7179" max="7179" width="9.6640625" style="1783" bestFit="1" customWidth="1"/>
    <col min="7180" max="7422" width="9.109375" style="1783"/>
    <col min="7423" max="7423" width="5.33203125" style="1783" customWidth="1"/>
    <col min="7424" max="7424" width="56.44140625" style="1783" customWidth="1"/>
    <col min="7425" max="7425" width="10.33203125" style="1783" customWidth="1"/>
    <col min="7426" max="7432" width="10.6640625" style="1783" customWidth="1"/>
    <col min="7433" max="7433" width="9.109375" style="1783"/>
    <col min="7434" max="7434" width="11.33203125" style="1783" bestFit="1" customWidth="1"/>
    <col min="7435" max="7435" width="9.6640625" style="1783" bestFit="1" customWidth="1"/>
    <col min="7436" max="7678" width="9.109375" style="1783"/>
    <col min="7679" max="7679" width="5.33203125" style="1783" customWidth="1"/>
    <col min="7680" max="7680" width="56.44140625" style="1783" customWidth="1"/>
    <col min="7681" max="7681" width="10.33203125" style="1783" customWidth="1"/>
    <col min="7682" max="7688" width="10.6640625" style="1783" customWidth="1"/>
    <col min="7689" max="7689" width="9.109375" style="1783"/>
    <col min="7690" max="7690" width="11.33203125" style="1783" bestFit="1" customWidth="1"/>
    <col min="7691" max="7691" width="9.6640625" style="1783" bestFit="1" customWidth="1"/>
    <col min="7692" max="7934" width="9.109375" style="1783"/>
    <col min="7935" max="7935" width="5.33203125" style="1783" customWidth="1"/>
    <col min="7936" max="7936" width="56.44140625" style="1783" customWidth="1"/>
    <col min="7937" max="7937" width="10.33203125" style="1783" customWidth="1"/>
    <col min="7938" max="7944" width="10.6640625" style="1783" customWidth="1"/>
    <col min="7945" max="7945" width="9.109375" style="1783"/>
    <col min="7946" max="7946" width="11.33203125" style="1783" bestFit="1" customWidth="1"/>
    <col min="7947" max="7947" width="9.6640625" style="1783" bestFit="1" customWidth="1"/>
    <col min="7948" max="8190" width="9.109375" style="1783"/>
    <col min="8191" max="8191" width="5.33203125" style="1783" customWidth="1"/>
    <col min="8192" max="8192" width="56.44140625" style="1783" customWidth="1"/>
    <col min="8193" max="8193" width="10.33203125" style="1783" customWidth="1"/>
    <col min="8194" max="8200" width="10.6640625" style="1783" customWidth="1"/>
    <col min="8201" max="8201" width="9.109375" style="1783"/>
    <col min="8202" max="8202" width="11.33203125" style="1783" bestFit="1" customWidth="1"/>
    <col min="8203" max="8203" width="9.6640625" style="1783" bestFit="1" customWidth="1"/>
    <col min="8204" max="8446" width="9.109375" style="1783"/>
    <col min="8447" max="8447" width="5.33203125" style="1783" customWidth="1"/>
    <col min="8448" max="8448" width="56.44140625" style="1783" customWidth="1"/>
    <col min="8449" max="8449" width="10.33203125" style="1783" customWidth="1"/>
    <col min="8450" max="8456" width="10.6640625" style="1783" customWidth="1"/>
    <col min="8457" max="8457" width="9.109375" style="1783"/>
    <col min="8458" max="8458" width="11.33203125" style="1783" bestFit="1" customWidth="1"/>
    <col min="8459" max="8459" width="9.6640625" style="1783" bestFit="1" customWidth="1"/>
    <col min="8460" max="8702" width="9.109375" style="1783"/>
    <col min="8703" max="8703" width="5.33203125" style="1783" customWidth="1"/>
    <col min="8704" max="8704" width="56.44140625" style="1783" customWidth="1"/>
    <col min="8705" max="8705" width="10.33203125" style="1783" customWidth="1"/>
    <col min="8706" max="8712" width="10.6640625" style="1783" customWidth="1"/>
    <col min="8713" max="8713" width="9.109375" style="1783"/>
    <col min="8714" max="8714" width="11.33203125" style="1783" bestFit="1" customWidth="1"/>
    <col min="8715" max="8715" width="9.6640625" style="1783" bestFit="1" customWidth="1"/>
    <col min="8716" max="8958" width="9.109375" style="1783"/>
    <col min="8959" max="8959" width="5.33203125" style="1783" customWidth="1"/>
    <col min="8960" max="8960" width="56.44140625" style="1783" customWidth="1"/>
    <col min="8961" max="8961" width="10.33203125" style="1783" customWidth="1"/>
    <col min="8962" max="8968" width="10.6640625" style="1783" customWidth="1"/>
    <col min="8969" max="8969" width="9.109375" style="1783"/>
    <col min="8970" max="8970" width="11.33203125" style="1783" bestFit="1" customWidth="1"/>
    <col min="8971" max="8971" width="9.6640625" style="1783" bestFit="1" customWidth="1"/>
    <col min="8972" max="9214" width="9.109375" style="1783"/>
    <col min="9215" max="9215" width="5.33203125" style="1783" customWidth="1"/>
    <col min="9216" max="9216" width="56.44140625" style="1783" customWidth="1"/>
    <col min="9217" max="9217" width="10.33203125" style="1783" customWidth="1"/>
    <col min="9218" max="9224" width="10.6640625" style="1783" customWidth="1"/>
    <col min="9225" max="9225" width="9.109375" style="1783"/>
    <col min="9226" max="9226" width="11.33203125" style="1783" bestFit="1" customWidth="1"/>
    <col min="9227" max="9227" width="9.6640625" style="1783" bestFit="1" customWidth="1"/>
    <col min="9228" max="9470" width="9.109375" style="1783"/>
    <col min="9471" max="9471" width="5.33203125" style="1783" customWidth="1"/>
    <col min="9472" max="9472" width="56.44140625" style="1783" customWidth="1"/>
    <col min="9473" max="9473" width="10.33203125" style="1783" customWidth="1"/>
    <col min="9474" max="9480" width="10.6640625" style="1783" customWidth="1"/>
    <col min="9481" max="9481" width="9.109375" style="1783"/>
    <col min="9482" max="9482" width="11.33203125" style="1783" bestFit="1" customWidth="1"/>
    <col min="9483" max="9483" width="9.6640625" style="1783" bestFit="1" customWidth="1"/>
    <col min="9484" max="9726" width="9.109375" style="1783"/>
    <col min="9727" max="9727" width="5.33203125" style="1783" customWidth="1"/>
    <col min="9728" max="9728" width="56.44140625" style="1783" customWidth="1"/>
    <col min="9729" max="9729" width="10.33203125" style="1783" customWidth="1"/>
    <col min="9730" max="9736" width="10.6640625" style="1783" customWidth="1"/>
    <col min="9737" max="9737" width="9.109375" style="1783"/>
    <col min="9738" max="9738" width="11.33203125" style="1783" bestFit="1" customWidth="1"/>
    <col min="9739" max="9739" width="9.6640625" style="1783" bestFit="1" customWidth="1"/>
    <col min="9740" max="9982" width="9.109375" style="1783"/>
    <col min="9983" max="9983" width="5.33203125" style="1783" customWidth="1"/>
    <col min="9984" max="9984" width="56.44140625" style="1783" customWidth="1"/>
    <col min="9985" max="9985" width="10.33203125" style="1783" customWidth="1"/>
    <col min="9986" max="9992" width="10.6640625" style="1783" customWidth="1"/>
    <col min="9993" max="9993" width="9.109375" style="1783"/>
    <col min="9994" max="9994" width="11.33203125" style="1783" bestFit="1" customWidth="1"/>
    <col min="9995" max="9995" width="9.6640625" style="1783" bestFit="1" customWidth="1"/>
    <col min="9996" max="10238" width="9.109375" style="1783"/>
    <col min="10239" max="10239" width="5.33203125" style="1783" customWidth="1"/>
    <col min="10240" max="10240" width="56.44140625" style="1783" customWidth="1"/>
    <col min="10241" max="10241" width="10.33203125" style="1783" customWidth="1"/>
    <col min="10242" max="10248" width="10.6640625" style="1783" customWidth="1"/>
    <col min="10249" max="10249" width="9.109375" style="1783"/>
    <col min="10250" max="10250" width="11.33203125" style="1783" bestFit="1" customWidth="1"/>
    <col min="10251" max="10251" width="9.6640625" style="1783" bestFit="1" customWidth="1"/>
    <col min="10252" max="10494" width="9.109375" style="1783"/>
    <col min="10495" max="10495" width="5.33203125" style="1783" customWidth="1"/>
    <col min="10496" max="10496" width="56.44140625" style="1783" customWidth="1"/>
    <col min="10497" max="10497" width="10.33203125" style="1783" customWidth="1"/>
    <col min="10498" max="10504" width="10.6640625" style="1783" customWidth="1"/>
    <col min="10505" max="10505" width="9.109375" style="1783"/>
    <col min="10506" max="10506" width="11.33203125" style="1783" bestFit="1" customWidth="1"/>
    <col min="10507" max="10507" width="9.6640625" style="1783" bestFit="1" customWidth="1"/>
    <col min="10508" max="10750" width="9.109375" style="1783"/>
    <col min="10751" max="10751" width="5.33203125" style="1783" customWidth="1"/>
    <col min="10752" max="10752" width="56.44140625" style="1783" customWidth="1"/>
    <col min="10753" max="10753" width="10.33203125" style="1783" customWidth="1"/>
    <col min="10754" max="10760" width="10.6640625" style="1783" customWidth="1"/>
    <col min="10761" max="10761" width="9.109375" style="1783"/>
    <col min="10762" max="10762" width="11.33203125" style="1783" bestFit="1" customWidth="1"/>
    <col min="10763" max="10763" width="9.6640625" style="1783" bestFit="1" customWidth="1"/>
    <col min="10764" max="11006" width="9.109375" style="1783"/>
    <col min="11007" max="11007" width="5.33203125" style="1783" customWidth="1"/>
    <col min="11008" max="11008" width="56.44140625" style="1783" customWidth="1"/>
    <col min="11009" max="11009" width="10.33203125" style="1783" customWidth="1"/>
    <col min="11010" max="11016" width="10.6640625" style="1783" customWidth="1"/>
    <col min="11017" max="11017" width="9.109375" style="1783"/>
    <col min="11018" max="11018" width="11.33203125" style="1783" bestFit="1" customWidth="1"/>
    <col min="11019" max="11019" width="9.6640625" style="1783" bestFit="1" customWidth="1"/>
    <col min="11020" max="11262" width="9.109375" style="1783"/>
    <col min="11263" max="11263" width="5.33203125" style="1783" customWidth="1"/>
    <col min="11264" max="11264" width="56.44140625" style="1783" customWidth="1"/>
    <col min="11265" max="11265" width="10.33203125" style="1783" customWidth="1"/>
    <col min="11266" max="11272" width="10.6640625" style="1783" customWidth="1"/>
    <col min="11273" max="11273" width="9.109375" style="1783"/>
    <col min="11274" max="11274" width="11.33203125" style="1783" bestFit="1" customWidth="1"/>
    <col min="11275" max="11275" width="9.6640625" style="1783" bestFit="1" customWidth="1"/>
    <col min="11276" max="11518" width="9.109375" style="1783"/>
    <col min="11519" max="11519" width="5.33203125" style="1783" customWidth="1"/>
    <col min="11520" max="11520" width="56.44140625" style="1783" customWidth="1"/>
    <col min="11521" max="11521" width="10.33203125" style="1783" customWidth="1"/>
    <col min="11522" max="11528" width="10.6640625" style="1783" customWidth="1"/>
    <col min="11529" max="11529" width="9.109375" style="1783"/>
    <col min="11530" max="11530" width="11.33203125" style="1783" bestFit="1" customWidth="1"/>
    <col min="11531" max="11531" width="9.6640625" style="1783" bestFit="1" customWidth="1"/>
    <col min="11532" max="11774" width="9.109375" style="1783"/>
    <col min="11775" max="11775" width="5.33203125" style="1783" customWidth="1"/>
    <col min="11776" max="11776" width="56.44140625" style="1783" customWidth="1"/>
    <col min="11777" max="11777" width="10.33203125" style="1783" customWidth="1"/>
    <col min="11778" max="11784" width="10.6640625" style="1783" customWidth="1"/>
    <col min="11785" max="11785" width="9.109375" style="1783"/>
    <col min="11786" max="11786" width="11.33203125" style="1783" bestFit="1" customWidth="1"/>
    <col min="11787" max="11787" width="9.6640625" style="1783" bestFit="1" customWidth="1"/>
    <col min="11788" max="12030" width="9.109375" style="1783"/>
    <col min="12031" max="12031" width="5.33203125" style="1783" customWidth="1"/>
    <col min="12032" max="12032" width="56.44140625" style="1783" customWidth="1"/>
    <col min="12033" max="12033" width="10.33203125" style="1783" customWidth="1"/>
    <col min="12034" max="12040" width="10.6640625" style="1783" customWidth="1"/>
    <col min="12041" max="12041" width="9.109375" style="1783"/>
    <col min="12042" max="12042" width="11.33203125" style="1783" bestFit="1" customWidth="1"/>
    <col min="12043" max="12043" width="9.6640625" style="1783" bestFit="1" customWidth="1"/>
    <col min="12044" max="12286" width="9.109375" style="1783"/>
    <col min="12287" max="12287" width="5.33203125" style="1783" customWidth="1"/>
    <col min="12288" max="12288" width="56.44140625" style="1783" customWidth="1"/>
    <col min="12289" max="12289" width="10.33203125" style="1783" customWidth="1"/>
    <col min="12290" max="12296" width="10.6640625" style="1783" customWidth="1"/>
    <col min="12297" max="12297" width="9.109375" style="1783"/>
    <col min="12298" max="12298" width="11.33203125" style="1783" bestFit="1" customWidth="1"/>
    <col min="12299" max="12299" width="9.6640625" style="1783" bestFit="1" customWidth="1"/>
    <col min="12300" max="12542" width="9.109375" style="1783"/>
    <col min="12543" max="12543" width="5.33203125" style="1783" customWidth="1"/>
    <col min="12544" max="12544" width="56.44140625" style="1783" customWidth="1"/>
    <col min="12545" max="12545" width="10.33203125" style="1783" customWidth="1"/>
    <col min="12546" max="12552" width="10.6640625" style="1783" customWidth="1"/>
    <col min="12553" max="12553" width="9.109375" style="1783"/>
    <col min="12554" max="12554" width="11.33203125" style="1783" bestFit="1" customWidth="1"/>
    <col min="12555" max="12555" width="9.6640625" style="1783" bestFit="1" customWidth="1"/>
    <col min="12556" max="12798" width="9.109375" style="1783"/>
    <col min="12799" max="12799" width="5.33203125" style="1783" customWidth="1"/>
    <col min="12800" max="12800" width="56.44140625" style="1783" customWidth="1"/>
    <col min="12801" max="12801" width="10.33203125" style="1783" customWidth="1"/>
    <col min="12802" max="12808" width="10.6640625" style="1783" customWidth="1"/>
    <col min="12809" max="12809" width="9.109375" style="1783"/>
    <col min="12810" max="12810" width="11.33203125" style="1783" bestFit="1" customWidth="1"/>
    <col min="12811" max="12811" width="9.6640625" style="1783" bestFit="1" customWidth="1"/>
    <col min="12812" max="13054" width="9.109375" style="1783"/>
    <col min="13055" max="13055" width="5.33203125" style="1783" customWidth="1"/>
    <col min="13056" max="13056" width="56.44140625" style="1783" customWidth="1"/>
    <col min="13057" max="13057" width="10.33203125" style="1783" customWidth="1"/>
    <col min="13058" max="13064" width="10.6640625" style="1783" customWidth="1"/>
    <col min="13065" max="13065" width="9.109375" style="1783"/>
    <col min="13066" max="13066" width="11.33203125" style="1783" bestFit="1" customWidth="1"/>
    <col min="13067" max="13067" width="9.6640625" style="1783" bestFit="1" customWidth="1"/>
    <col min="13068" max="13310" width="9.109375" style="1783"/>
    <col min="13311" max="13311" width="5.33203125" style="1783" customWidth="1"/>
    <col min="13312" max="13312" width="56.44140625" style="1783" customWidth="1"/>
    <col min="13313" max="13313" width="10.33203125" style="1783" customWidth="1"/>
    <col min="13314" max="13320" width="10.6640625" style="1783" customWidth="1"/>
    <col min="13321" max="13321" width="9.109375" style="1783"/>
    <col min="13322" max="13322" width="11.33203125" style="1783" bestFit="1" customWidth="1"/>
    <col min="13323" max="13323" width="9.6640625" style="1783" bestFit="1" customWidth="1"/>
    <col min="13324" max="13566" width="9.109375" style="1783"/>
    <col min="13567" max="13567" width="5.33203125" style="1783" customWidth="1"/>
    <col min="13568" max="13568" width="56.44140625" style="1783" customWidth="1"/>
    <col min="13569" max="13569" width="10.33203125" style="1783" customWidth="1"/>
    <col min="13570" max="13576" width="10.6640625" style="1783" customWidth="1"/>
    <col min="13577" max="13577" width="9.109375" style="1783"/>
    <col min="13578" max="13578" width="11.33203125" style="1783" bestFit="1" customWidth="1"/>
    <col min="13579" max="13579" width="9.6640625" style="1783" bestFit="1" customWidth="1"/>
    <col min="13580" max="13822" width="9.109375" style="1783"/>
    <col min="13823" max="13823" width="5.33203125" style="1783" customWidth="1"/>
    <col min="13824" max="13824" width="56.44140625" style="1783" customWidth="1"/>
    <col min="13825" max="13825" width="10.33203125" style="1783" customWidth="1"/>
    <col min="13826" max="13832" width="10.6640625" style="1783" customWidth="1"/>
    <col min="13833" max="13833" width="9.109375" style="1783"/>
    <col min="13834" max="13834" width="11.33203125" style="1783" bestFit="1" customWidth="1"/>
    <col min="13835" max="13835" width="9.6640625" style="1783" bestFit="1" customWidth="1"/>
    <col min="13836" max="14078" width="9.109375" style="1783"/>
    <col min="14079" max="14079" width="5.33203125" style="1783" customWidth="1"/>
    <col min="14080" max="14080" width="56.44140625" style="1783" customWidth="1"/>
    <col min="14081" max="14081" width="10.33203125" style="1783" customWidth="1"/>
    <col min="14082" max="14088" width="10.6640625" style="1783" customWidth="1"/>
    <col min="14089" max="14089" width="9.109375" style="1783"/>
    <col min="14090" max="14090" width="11.33203125" style="1783" bestFit="1" customWidth="1"/>
    <col min="14091" max="14091" width="9.6640625" style="1783" bestFit="1" customWidth="1"/>
    <col min="14092" max="14334" width="9.109375" style="1783"/>
    <col min="14335" max="14335" width="5.33203125" style="1783" customWidth="1"/>
    <col min="14336" max="14336" width="56.44140625" style="1783" customWidth="1"/>
    <col min="14337" max="14337" width="10.33203125" style="1783" customWidth="1"/>
    <col min="14338" max="14344" width="10.6640625" style="1783" customWidth="1"/>
    <col min="14345" max="14345" width="9.109375" style="1783"/>
    <col min="14346" max="14346" width="11.33203125" style="1783" bestFit="1" customWidth="1"/>
    <col min="14347" max="14347" width="9.6640625" style="1783" bestFit="1" customWidth="1"/>
    <col min="14348" max="14590" width="9.109375" style="1783"/>
    <col min="14591" max="14591" width="5.33203125" style="1783" customWidth="1"/>
    <col min="14592" max="14592" width="56.44140625" style="1783" customWidth="1"/>
    <col min="14593" max="14593" width="10.33203125" style="1783" customWidth="1"/>
    <col min="14594" max="14600" width="10.6640625" style="1783" customWidth="1"/>
    <col min="14601" max="14601" width="9.109375" style="1783"/>
    <col min="14602" max="14602" width="11.33203125" style="1783" bestFit="1" customWidth="1"/>
    <col min="14603" max="14603" width="9.6640625" style="1783" bestFit="1" customWidth="1"/>
    <col min="14604" max="14846" width="9.109375" style="1783"/>
    <col min="14847" max="14847" width="5.33203125" style="1783" customWidth="1"/>
    <col min="14848" max="14848" width="56.44140625" style="1783" customWidth="1"/>
    <col min="14849" max="14849" width="10.33203125" style="1783" customWidth="1"/>
    <col min="14850" max="14856" width="10.6640625" style="1783" customWidth="1"/>
    <col min="14857" max="14857" width="9.109375" style="1783"/>
    <col min="14858" max="14858" width="11.33203125" style="1783" bestFit="1" customWidth="1"/>
    <col min="14859" max="14859" width="9.6640625" style="1783" bestFit="1" customWidth="1"/>
    <col min="14860" max="15102" width="9.109375" style="1783"/>
    <col min="15103" max="15103" width="5.33203125" style="1783" customWidth="1"/>
    <col min="15104" max="15104" width="56.44140625" style="1783" customWidth="1"/>
    <col min="15105" max="15105" width="10.33203125" style="1783" customWidth="1"/>
    <col min="15106" max="15112" width="10.6640625" style="1783" customWidth="1"/>
    <col min="15113" max="15113" width="9.109375" style="1783"/>
    <col min="15114" max="15114" width="11.33203125" style="1783" bestFit="1" customWidth="1"/>
    <col min="15115" max="15115" width="9.6640625" style="1783" bestFit="1" customWidth="1"/>
    <col min="15116" max="15358" width="9.109375" style="1783"/>
    <col min="15359" max="15359" width="5.33203125" style="1783" customWidth="1"/>
    <col min="15360" max="15360" width="56.44140625" style="1783" customWidth="1"/>
    <col min="15361" max="15361" width="10.33203125" style="1783" customWidth="1"/>
    <col min="15362" max="15368" width="10.6640625" style="1783" customWidth="1"/>
    <col min="15369" max="15369" width="9.109375" style="1783"/>
    <col min="15370" max="15370" width="11.33203125" style="1783" bestFit="1" customWidth="1"/>
    <col min="15371" max="15371" width="9.6640625" style="1783" bestFit="1" customWidth="1"/>
    <col min="15372" max="15614" width="9.109375" style="1783"/>
    <col min="15615" max="15615" width="5.33203125" style="1783" customWidth="1"/>
    <col min="15616" max="15616" width="56.44140625" style="1783" customWidth="1"/>
    <col min="15617" max="15617" width="10.33203125" style="1783" customWidth="1"/>
    <col min="15618" max="15624" width="10.6640625" style="1783" customWidth="1"/>
    <col min="15625" max="15625" width="9.109375" style="1783"/>
    <col min="15626" max="15626" width="11.33203125" style="1783" bestFit="1" customWidth="1"/>
    <col min="15627" max="15627" width="9.6640625" style="1783" bestFit="1" customWidth="1"/>
    <col min="15628" max="15870" width="9.109375" style="1783"/>
    <col min="15871" max="15871" width="5.33203125" style="1783" customWidth="1"/>
    <col min="15872" max="15872" width="56.44140625" style="1783" customWidth="1"/>
    <col min="15873" max="15873" width="10.33203125" style="1783" customWidth="1"/>
    <col min="15874" max="15880" width="10.6640625" style="1783" customWidth="1"/>
    <col min="15881" max="15881" width="9.109375" style="1783"/>
    <col min="15882" max="15882" width="11.33203125" style="1783" bestFit="1" customWidth="1"/>
    <col min="15883" max="15883" width="9.6640625" style="1783" bestFit="1" customWidth="1"/>
    <col min="15884" max="16126" width="9.109375" style="1783"/>
    <col min="16127" max="16127" width="5.33203125" style="1783" customWidth="1"/>
    <col min="16128" max="16128" width="56.44140625" style="1783" customWidth="1"/>
    <col min="16129" max="16129" width="10.33203125" style="1783" customWidth="1"/>
    <col min="16130" max="16136" width="10.6640625" style="1783" customWidth="1"/>
    <col min="16137" max="16137" width="9.109375" style="1783"/>
    <col min="16138" max="16138" width="11.33203125" style="1783" bestFit="1" customWidth="1"/>
    <col min="16139" max="16139" width="9.6640625" style="1783" bestFit="1" customWidth="1"/>
    <col min="16140" max="16384" width="9.109375" style="1783"/>
  </cols>
  <sheetData>
    <row r="1" spans="1:11" ht="13.8">
      <c r="B1" s="1784"/>
      <c r="C1" s="1784"/>
      <c r="D1" s="1784"/>
      <c r="E1" s="1784"/>
      <c r="F1" s="1784"/>
      <c r="G1" s="1784"/>
      <c r="H1" s="1784"/>
      <c r="I1" s="1785" t="s">
        <v>0</v>
      </c>
    </row>
    <row r="2" spans="1:11" s="1269" customFormat="1" ht="17.399999999999999">
      <c r="A2" s="5067" t="s">
        <v>1294</v>
      </c>
      <c r="B2" s="5067"/>
      <c r="C2" s="5067"/>
      <c r="D2" s="5067"/>
      <c r="E2" s="5067"/>
      <c r="F2" s="5067"/>
      <c r="G2" s="5067"/>
      <c r="H2" s="5067"/>
      <c r="I2" s="5067"/>
    </row>
    <row r="3" spans="1:11" s="1269" customFormat="1" ht="17.399999999999999">
      <c r="A3" s="5067" t="s">
        <v>1295</v>
      </c>
      <c r="B3" s="5067"/>
      <c r="C3" s="5067"/>
      <c r="D3" s="5067"/>
      <c r="E3" s="5067"/>
      <c r="F3" s="5067"/>
      <c r="G3" s="5067"/>
      <c r="H3" s="5067"/>
      <c r="I3" s="5067"/>
    </row>
    <row r="4" spans="1:11" ht="15.6">
      <c r="A4" s="4961" t="str">
        <f>'1. Обща информация'!A4:D4</f>
        <v>на "В И К" АД, гр. Ловеч</v>
      </c>
      <c r="B4" s="4961"/>
      <c r="C4" s="4961"/>
      <c r="D4" s="4961"/>
      <c r="E4" s="4961"/>
      <c r="F4" s="4961"/>
      <c r="G4" s="4961"/>
      <c r="H4" s="4961"/>
      <c r="I4" s="4961"/>
    </row>
    <row r="5" spans="1:11" ht="15.6">
      <c r="A5" s="4961" t="str">
        <f>'1. Обща информация'!A5:D5</f>
        <v>ЕИК по БУЛСТАТ: 110549443</v>
      </c>
      <c r="B5" s="4961"/>
      <c r="C5" s="4961"/>
      <c r="D5" s="4961"/>
      <c r="E5" s="4961"/>
      <c r="F5" s="4961"/>
      <c r="G5" s="4961"/>
      <c r="H5" s="4961"/>
      <c r="I5" s="4961"/>
    </row>
    <row r="6" spans="1:11" ht="13.8" thickBot="1"/>
    <row r="7" spans="1:11" s="1269" customFormat="1" ht="13.8" thickBot="1">
      <c r="A7" s="176" t="s">
        <v>1</v>
      </c>
      <c r="B7" s="366" t="s">
        <v>87</v>
      </c>
      <c r="C7" s="367" t="s">
        <v>166</v>
      </c>
      <c r="D7" s="4246" t="str">
        <f>'Приложение '!$C12</f>
        <v>2024 г.</v>
      </c>
      <c r="E7" s="4246" t="str">
        <f>'Приложение '!$C14</f>
        <v>2027 г.</v>
      </c>
      <c r="F7" s="4246" t="str">
        <f>'Приложение '!$C15</f>
        <v>2028 г.</v>
      </c>
      <c r="G7" s="4246" t="str">
        <f>'Приложение '!$C16</f>
        <v>2029 г.</v>
      </c>
      <c r="H7" s="4246" t="str">
        <f>'Приложение '!$C17</f>
        <v>2030 г.</v>
      </c>
      <c r="I7" s="4247" t="str">
        <f>'Приложение '!$C18</f>
        <v>2031 г.</v>
      </c>
      <c r="J7" s="3784"/>
      <c r="K7" s="3784"/>
    </row>
    <row r="8" spans="1:11" ht="13.8" thickBot="1">
      <c r="A8" s="169" t="s">
        <v>167</v>
      </c>
      <c r="B8" s="1355" t="s">
        <v>168</v>
      </c>
      <c r="C8" s="368"/>
      <c r="D8" s="1500"/>
      <c r="E8" s="174"/>
      <c r="F8" s="174"/>
      <c r="G8" s="174"/>
      <c r="H8" s="174"/>
      <c r="I8" s="175"/>
    </row>
    <row r="9" spans="1:11" ht="28.5" customHeight="1">
      <c r="A9" s="170" t="s">
        <v>205</v>
      </c>
      <c r="B9" s="173" t="s">
        <v>570</v>
      </c>
      <c r="C9" s="369" t="s">
        <v>781</v>
      </c>
      <c r="D9" s="205">
        <f>D10+D11+D12+D13-D14-D15-D16-D17</f>
        <v>9507991</v>
      </c>
      <c r="E9" s="205">
        <f t="shared" ref="E9:I9" si="0">E10+E11+E12+E13-E14-E15-E16-E17</f>
        <v>9407000</v>
      </c>
      <c r="F9" s="205">
        <f t="shared" si="0"/>
        <v>9282000</v>
      </c>
      <c r="G9" s="205">
        <f t="shared" si="0"/>
        <v>9133000</v>
      </c>
      <c r="H9" s="205">
        <f t="shared" si="0"/>
        <v>8933000</v>
      </c>
      <c r="I9" s="206">
        <f t="shared" si="0"/>
        <v>8647500</v>
      </c>
    </row>
    <row r="10" spans="1:11" ht="15.6">
      <c r="A10" s="171" t="s">
        <v>90</v>
      </c>
      <c r="B10" s="370" t="s">
        <v>906</v>
      </c>
      <c r="C10" s="371" t="s">
        <v>781</v>
      </c>
      <c r="D10" s="207">
        <v>6226109</v>
      </c>
      <c r="E10" s="207">
        <v>6327051</v>
      </c>
      <c r="F10" s="207">
        <v>6303526</v>
      </c>
      <c r="G10" s="207">
        <v>6275540</v>
      </c>
      <c r="H10" s="207">
        <v>6238076</v>
      </c>
      <c r="I10" s="208">
        <v>6184715</v>
      </c>
    </row>
    <row r="11" spans="1:11" ht="15.6">
      <c r="A11" s="171" t="s">
        <v>91</v>
      </c>
      <c r="B11" s="370" t="s">
        <v>907</v>
      </c>
      <c r="C11" s="371" t="s">
        <v>781</v>
      </c>
      <c r="D11" s="207">
        <v>21195909</v>
      </c>
      <c r="E11" s="207">
        <v>22407035</v>
      </c>
      <c r="F11" s="207">
        <v>22311868</v>
      </c>
      <c r="G11" s="207">
        <v>22197177</v>
      </c>
      <c r="H11" s="207">
        <v>22040976</v>
      </c>
      <c r="I11" s="208">
        <v>21815190</v>
      </c>
      <c r="J11" s="3785"/>
    </row>
    <row r="12" spans="1:11" ht="15.6">
      <c r="A12" s="171" t="s">
        <v>93</v>
      </c>
      <c r="B12" s="370" t="s">
        <v>908</v>
      </c>
      <c r="C12" s="371" t="s">
        <v>781</v>
      </c>
      <c r="D12" s="935">
        <f>'4.2. Продад. и закупени кол-ва'!D103</f>
        <v>100511</v>
      </c>
      <c r="E12" s="935">
        <f>'4.2. Продад. и закупени кол-ва'!E103</f>
        <v>180000</v>
      </c>
      <c r="F12" s="935">
        <f>'4.2. Продад. и закупени кол-ва'!F103</f>
        <v>180000</v>
      </c>
      <c r="G12" s="935">
        <f>'4.2. Продад. и закупени кол-ва'!G103</f>
        <v>180000</v>
      </c>
      <c r="H12" s="935">
        <f>'4.2. Продад. и закупени кол-ва'!H103</f>
        <v>180000</v>
      </c>
      <c r="I12" s="3786">
        <f>'4.2. Продад. и закупени кол-ва'!I103</f>
        <v>180000</v>
      </c>
      <c r="J12" s="1356"/>
    </row>
    <row r="13" spans="1:11" ht="24">
      <c r="A13" s="171" t="s">
        <v>145</v>
      </c>
      <c r="B13" s="370" t="s">
        <v>909</v>
      </c>
      <c r="C13" s="371" t="s">
        <v>781</v>
      </c>
      <c r="D13" s="1408">
        <f>'4.2. Продад. и закупени кол-ва'!D105</f>
        <v>14273</v>
      </c>
      <c r="E13" s="1408">
        <f>'4.2. Продад. и закупени кол-ва'!E105</f>
        <v>15000</v>
      </c>
      <c r="F13" s="1408">
        <f>'4.2. Продад. и закупени кол-ва'!F105</f>
        <v>15000</v>
      </c>
      <c r="G13" s="1408">
        <f>'4.2. Продад. и закупени кол-ва'!G105</f>
        <v>15000</v>
      </c>
      <c r="H13" s="1408">
        <f>'4.2. Продад. и закупени кол-ва'!H105</f>
        <v>15000</v>
      </c>
      <c r="I13" s="1409">
        <f>'4.2. Продад. и закупени кол-ва'!I105</f>
        <v>15000</v>
      </c>
      <c r="J13" s="1356"/>
    </row>
    <row r="14" spans="1:11" ht="15.6">
      <c r="A14" s="171" t="s">
        <v>147</v>
      </c>
      <c r="B14" s="370" t="s">
        <v>995</v>
      </c>
      <c r="C14" s="371" t="s">
        <v>781</v>
      </c>
      <c r="D14" s="207">
        <v>0</v>
      </c>
      <c r="E14" s="209">
        <v>0</v>
      </c>
      <c r="F14" s="209">
        <v>0</v>
      </c>
      <c r="G14" s="209">
        <v>0</v>
      </c>
      <c r="H14" s="209">
        <v>0</v>
      </c>
      <c r="I14" s="210">
        <v>0</v>
      </c>
      <c r="J14" s="1356"/>
    </row>
    <row r="15" spans="1:11" ht="15.6">
      <c r="A15" s="171" t="s">
        <v>149</v>
      </c>
      <c r="B15" s="370" t="s">
        <v>1037</v>
      </c>
      <c r="C15" s="371" t="s">
        <v>781</v>
      </c>
      <c r="D15" s="207">
        <v>0</v>
      </c>
      <c r="E15" s="209">
        <v>0</v>
      </c>
      <c r="F15" s="209">
        <v>0</v>
      </c>
      <c r="G15" s="209">
        <v>0</v>
      </c>
      <c r="H15" s="209">
        <v>0</v>
      </c>
      <c r="I15" s="210">
        <v>0</v>
      </c>
      <c r="J15" s="1356"/>
    </row>
    <row r="16" spans="1:11" ht="15.6">
      <c r="A16" s="171" t="s">
        <v>151</v>
      </c>
      <c r="B16" s="370" t="s">
        <v>996</v>
      </c>
      <c r="C16" s="371" t="s">
        <v>781</v>
      </c>
      <c r="D16" s="207">
        <f>D100</f>
        <v>16915738</v>
      </c>
      <c r="E16" s="209">
        <f t="shared" ref="E16:I16" si="1">E100</f>
        <v>18322086</v>
      </c>
      <c r="F16" s="209">
        <f t="shared" si="1"/>
        <v>18321758</v>
      </c>
      <c r="G16" s="209">
        <f t="shared" si="1"/>
        <v>18321429</v>
      </c>
      <c r="H16" s="209">
        <f t="shared" si="1"/>
        <v>18321100</v>
      </c>
      <c r="I16" s="210">
        <f t="shared" si="1"/>
        <v>18320772</v>
      </c>
      <c r="J16" s="1356"/>
    </row>
    <row r="17" spans="1:10" ht="24.6" thickBot="1">
      <c r="A17" s="172" t="s">
        <v>153</v>
      </c>
      <c r="B17" s="610" t="s">
        <v>1038</v>
      </c>
      <c r="C17" s="375" t="s">
        <v>781</v>
      </c>
      <c r="D17" s="912">
        <f>D110</f>
        <v>1113073</v>
      </c>
      <c r="E17" s="212">
        <f t="shared" ref="E17:I17" si="2">E110</f>
        <v>1200000</v>
      </c>
      <c r="F17" s="803">
        <f t="shared" si="2"/>
        <v>1206636</v>
      </c>
      <c r="G17" s="803">
        <f t="shared" si="2"/>
        <v>1213288</v>
      </c>
      <c r="H17" s="803">
        <f t="shared" si="2"/>
        <v>1219952</v>
      </c>
      <c r="I17" s="804">
        <f t="shared" si="2"/>
        <v>1226633</v>
      </c>
      <c r="J17" s="1356"/>
    </row>
    <row r="18" spans="1:10" ht="15.6">
      <c r="A18" s="5020" t="s">
        <v>95</v>
      </c>
      <c r="B18" s="5022" t="s">
        <v>571</v>
      </c>
      <c r="C18" s="372" t="s">
        <v>781</v>
      </c>
      <c r="D18" s="806">
        <f t="shared" ref="D18:I18" si="3">D20+D26</f>
        <v>4202757.0209999997</v>
      </c>
      <c r="E18" s="214">
        <f t="shared" si="3"/>
        <v>4151003.2380000004</v>
      </c>
      <c r="F18" s="231">
        <f t="shared" si="3"/>
        <v>4138111.7833795347</v>
      </c>
      <c r="G18" s="231">
        <f t="shared" si="3"/>
        <v>4124040.2099647666</v>
      </c>
      <c r="H18" s="231">
        <f t="shared" si="3"/>
        <v>4111073.925592544</v>
      </c>
      <c r="I18" s="232">
        <f t="shared" si="3"/>
        <v>4101492.3642007206</v>
      </c>
      <c r="J18" s="1356"/>
    </row>
    <row r="19" spans="1:10" ht="13.8" thickBot="1">
      <c r="A19" s="5021"/>
      <c r="B19" s="5023"/>
      <c r="C19" s="373" t="s">
        <v>170</v>
      </c>
      <c r="D19" s="216">
        <f>IFERROR(D18/D9,0)</f>
        <v>0.44202366419993455</v>
      </c>
      <c r="E19" s="217">
        <f t="shared" ref="E19:I19" si="4">IFERROR(E18/E9,0)</f>
        <v>0.44126748570213675</v>
      </c>
      <c r="F19" s="217">
        <f t="shared" si="4"/>
        <v>0.44582113589523104</v>
      </c>
      <c r="G19" s="217">
        <f t="shared" si="4"/>
        <v>0.45155372932932952</v>
      </c>
      <c r="H19" s="217">
        <f t="shared" si="4"/>
        <v>0.46021201450716936</v>
      </c>
      <c r="I19" s="218">
        <f t="shared" si="4"/>
        <v>0.47429804732011804</v>
      </c>
      <c r="J19" s="1356"/>
    </row>
    <row r="20" spans="1:10" ht="15.6">
      <c r="A20" s="5024" t="s">
        <v>96</v>
      </c>
      <c r="B20" s="5026" t="s">
        <v>1773</v>
      </c>
      <c r="C20" s="374" t="s">
        <v>781</v>
      </c>
      <c r="D20" s="239">
        <f>'4.1. Фактурирани количества'!E39</f>
        <v>3814422.0210000002</v>
      </c>
      <c r="E20" s="219">
        <f>'4.1. Фактурирани количества'!G39</f>
        <v>3794968.2380000004</v>
      </c>
      <c r="F20" s="219">
        <f>'4.1. Фактурирани количества'!H39</f>
        <v>3805086.7833795347</v>
      </c>
      <c r="G20" s="219">
        <f>'4.1. Фактурирани количества'!I39</f>
        <v>3815024.2099647666</v>
      </c>
      <c r="H20" s="219">
        <f>'4.1. Фактурирани количества'!J39</f>
        <v>3827067.925592544</v>
      </c>
      <c r="I20" s="219">
        <f>'4.1. Фактурирани количества'!K39</f>
        <v>3843496.3642007206</v>
      </c>
      <c r="J20" s="1356"/>
    </row>
    <row r="21" spans="1:10">
      <c r="A21" s="5025"/>
      <c r="B21" s="5027"/>
      <c r="C21" s="371" t="s">
        <v>170</v>
      </c>
      <c r="D21" s="222">
        <f>IFERROR(D20/D9,0)</f>
        <v>0.40118065120171026</v>
      </c>
      <c r="E21" s="223">
        <f t="shared" ref="E21:I21" si="5">IFERROR(E20/E9,0)</f>
        <v>0.40341960646327207</v>
      </c>
      <c r="F21" s="223">
        <f t="shared" si="5"/>
        <v>0.40994255369311944</v>
      </c>
      <c r="G21" s="223">
        <f t="shared" si="5"/>
        <v>0.41771862585839992</v>
      </c>
      <c r="H21" s="223">
        <f t="shared" si="5"/>
        <v>0.4284191117869186</v>
      </c>
      <c r="I21" s="224">
        <f t="shared" si="5"/>
        <v>0.44446329739239326</v>
      </c>
      <c r="J21" s="1356"/>
    </row>
    <row r="22" spans="1:10" ht="15.6">
      <c r="A22" s="82" t="s">
        <v>573</v>
      </c>
      <c r="B22" s="92" t="s">
        <v>574</v>
      </c>
      <c r="C22" s="371" t="s">
        <v>781</v>
      </c>
      <c r="D22" s="1408">
        <f>'4.1. Фактурирани количества'!E26</f>
        <v>3015082.8940000003</v>
      </c>
      <c r="E22" s="935">
        <f>'4.1. Фактурирани количества'!G26</f>
        <v>2977872.4896666668</v>
      </c>
      <c r="F22" s="935">
        <f>'4.1. Фактурирани количества'!H26</f>
        <v>2927759.7833795347</v>
      </c>
      <c r="G22" s="935">
        <f>'4.1. Фактурирани количества'!I26</f>
        <v>2877738.2099647666</v>
      </c>
      <c r="H22" s="935">
        <f>'4.1. Фактурирани количества'!J26</f>
        <v>2828233.925592544</v>
      </c>
      <c r="I22" s="3786">
        <f>'4.1. Фактурирани количества'!K26</f>
        <v>2788136.3642007206</v>
      </c>
      <c r="J22" s="1356"/>
    </row>
    <row r="23" spans="1:10" ht="15.6">
      <c r="A23" s="82" t="s">
        <v>577</v>
      </c>
      <c r="B23" s="1357" t="s">
        <v>575</v>
      </c>
      <c r="C23" s="371" t="s">
        <v>781</v>
      </c>
      <c r="D23" s="1408">
        <f>'4.1. Фактурирани количества'!E30</f>
        <v>757155.02599999995</v>
      </c>
      <c r="E23" s="935">
        <f>'4.1. Фактурирани количества'!G30</f>
        <v>732889.69400000002</v>
      </c>
      <c r="F23" s="935">
        <f>'4.1. Фактурирани количества'!H30</f>
        <v>739515</v>
      </c>
      <c r="G23" s="935">
        <f>'4.1. Фактурирани количества'!I30</f>
        <v>777938</v>
      </c>
      <c r="H23" s="935">
        <f>'4.1. Фактурирани количества'!J30</f>
        <v>824447</v>
      </c>
      <c r="I23" s="3786">
        <f>'4.1. Фактурирани количества'!K30</f>
        <v>868935</v>
      </c>
      <c r="J23" s="1356"/>
    </row>
    <row r="24" spans="1:10" ht="15.6">
      <c r="A24" s="82" t="s">
        <v>1178</v>
      </c>
      <c r="B24" s="92" t="s">
        <v>576</v>
      </c>
      <c r="C24" s="371" t="s">
        <v>781</v>
      </c>
      <c r="D24" s="1408">
        <f>'4.1. Фактурирани количества'!E34</f>
        <v>42184.100999999995</v>
      </c>
      <c r="E24" s="935">
        <f>'4.1. Фактурирани количества'!G34</f>
        <v>58306.054333333333</v>
      </c>
      <c r="F24" s="935">
        <f>'4.1. Фактурирани количества'!H34</f>
        <v>58312</v>
      </c>
      <c r="G24" s="935">
        <f>'4.1. Фактурирани количества'!I34</f>
        <v>61848</v>
      </c>
      <c r="H24" s="935">
        <f>'4.1. Фактурирани количества'!J34</f>
        <v>65387</v>
      </c>
      <c r="I24" s="3786">
        <f>'4.1. Фактурирани количества'!K34</f>
        <v>68925</v>
      </c>
      <c r="J24" s="1356"/>
    </row>
    <row r="25" spans="1:10" ht="16.2" thickBot="1">
      <c r="A25" s="4078" t="s">
        <v>1205</v>
      </c>
      <c r="B25" s="4079" t="s">
        <v>1774</v>
      </c>
      <c r="C25" s="4080" t="s">
        <v>781</v>
      </c>
      <c r="D25" s="4083"/>
      <c r="E25" s="4081">
        <f>'4.1. Фактурирани количества'!G38</f>
        <v>25900</v>
      </c>
      <c r="F25" s="4081">
        <f>'4.1. Фактурирани количества'!H38</f>
        <v>79500</v>
      </c>
      <c r="G25" s="4081">
        <f>'4.1. Фактурирани количества'!I38</f>
        <v>97500</v>
      </c>
      <c r="H25" s="4081">
        <f>'4.1. Фактурирани количества'!J38</f>
        <v>109000</v>
      </c>
      <c r="I25" s="4082">
        <f>'4.1. Фактурирани количества'!K38</f>
        <v>117500</v>
      </c>
      <c r="J25" s="1356"/>
    </row>
    <row r="26" spans="1:10" ht="15.6">
      <c r="A26" s="5028" t="s">
        <v>97</v>
      </c>
      <c r="B26" s="5026" t="s">
        <v>688</v>
      </c>
      <c r="C26" s="374" t="s">
        <v>781</v>
      </c>
      <c r="D26" s="219">
        <f>D28+D29</f>
        <v>388335</v>
      </c>
      <c r="E26" s="220">
        <f t="shared" ref="E26:I26" si="6">E28+E29</f>
        <v>356035</v>
      </c>
      <c r="F26" s="220">
        <f t="shared" si="6"/>
        <v>333025</v>
      </c>
      <c r="G26" s="220">
        <f t="shared" si="6"/>
        <v>309016</v>
      </c>
      <c r="H26" s="220">
        <f t="shared" si="6"/>
        <v>284006</v>
      </c>
      <c r="I26" s="221">
        <f t="shared" si="6"/>
        <v>257996</v>
      </c>
      <c r="J26" s="1356"/>
    </row>
    <row r="27" spans="1:10">
      <c r="A27" s="5029"/>
      <c r="B27" s="5027"/>
      <c r="C27" s="371" t="s">
        <v>170</v>
      </c>
      <c r="D27" s="227">
        <f t="shared" ref="D27:I27" si="7">IFERROR(D26/D9,0)</f>
        <v>4.0843012998224335E-2</v>
      </c>
      <c r="E27" s="228">
        <f t="shared" si="7"/>
        <v>3.7847879238864672E-2</v>
      </c>
      <c r="F27" s="228">
        <f t="shared" si="7"/>
        <v>3.5878582202111611E-2</v>
      </c>
      <c r="G27" s="228">
        <f t="shared" si="7"/>
        <v>3.3835103470929599E-2</v>
      </c>
      <c r="H27" s="228">
        <f t="shared" si="7"/>
        <v>3.1792902720250753E-2</v>
      </c>
      <c r="I27" s="229">
        <f t="shared" si="7"/>
        <v>2.9834749927724776E-2</v>
      </c>
      <c r="J27" s="1356"/>
    </row>
    <row r="28" spans="1:10" ht="28.5" customHeight="1">
      <c r="A28" s="3975" t="s">
        <v>159</v>
      </c>
      <c r="B28" s="3974" t="s">
        <v>578</v>
      </c>
      <c r="C28" s="371" t="s">
        <v>781</v>
      </c>
      <c r="D28" s="207">
        <v>385000</v>
      </c>
      <c r="E28" s="207">
        <v>350000</v>
      </c>
      <c r="F28" s="207">
        <v>327000</v>
      </c>
      <c r="G28" s="207">
        <v>303000</v>
      </c>
      <c r="H28" s="207">
        <v>278000</v>
      </c>
      <c r="I28" s="208">
        <v>252000</v>
      </c>
      <c r="J28" s="1356"/>
    </row>
    <row r="29" spans="1:10" ht="27.75" customHeight="1" thickBot="1">
      <c r="A29" s="83" t="s">
        <v>164</v>
      </c>
      <c r="B29" s="93" t="s">
        <v>579</v>
      </c>
      <c r="C29" s="375" t="s">
        <v>781</v>
      </c>
      <c r="D29" s="211">
        <v>3335</v>
      </c>
      <c r="E29" s="211">
        <v>6035</v>
      </c>
      <c r="F29" s="211">
        <v>6025</v>
      </c>
      <c r="G29" s="211">
        <v>6016</v>
      </c>
      <c r="H29" s="211">
        <v>6006</v>
      </c>
      <c r="I29" s="230">
        <v>5996</v>
      </c>
      <c r="J29" s="1356"/>
    </row>
    <row r="30" spans="1:10" ht="15.6">
      <c r="A30" s="5030" t="s">
        <v>99</v>
      </c>
      <c r="B30" s="5022" t="s">
        <v>689</v>
      </c>
      <c r="C30" s="369" t="s">
        <v>781</v>
      </c>
      <c r="D30" s="205">
        <f>D33+D37</f>
        <v>5305233.9699999988</v>
      </c>
      <c r="E30" s="231">
        <f t="shared" ref="E30:I30" si="8">E33+E37</f>
        <v>5255996.7620000001</v>
      </c>
      <c r="F30" s="231">
        <f t="shared" si="8"/>
        <v>5143888.2166204657</v>
      </c>
      <c r="G30" s="231">
        <f t="shared" si="8"/>
        <v>5008959.7900352329</v>
      </c>
      <c r="H30" s="231">
        <f t="shared" si="8"/>
        <v>4821926.0744074564</v>
      </c>
      <c r="I30" s="232">
        <f t="shared" si="8"/>
        <v>4546007.6357992794</v>
      </c>
      <c r="J30" s="1356"/>
    </row>
    <row r="31" spans="1:10">
      <c r="A31" s="5031"/>
      <c r="B31" s="5032"/>
      <c r="C31" s="376" t="s">
        <v>170</v>
      </c>
      <c r="D31" s="233">
        <f t="shared" ref="D31:I31" si="9">IFERROR(D30/D9,0)</f>
        <v>0.55797633485349307</v>
      </c>
      <c r="E31" s="234">
        <f t="shared" si="9"/>
        <v>0.5587325142978633</v>
      </c>
      <c r="F31" s="234">
        <f t="shared" si="9"/>
        <v>0.55417886410476902</v>
      </c>
      <c r="G31" s="234">
        <f t="shared" si="9"/>
        <v>0.54844627067067042</v>
      </c>
      <c r="H31" s="234">
        <f t="shared" si="9"/>
        <v>0.53978798549283069</v>
      </c>
      <c r="I31" s="235">
        <f t="shared" si="9"/>
        <v>0.52570195267988196</v>
      </c>
      <c r="J31" s="1356"/>
    </row>
    <row r="32" spans="1:10" ht="29.4" thickBot="1">
      <c r="A32" s="5021"/>
      <c r="B32" s="5033"/>
      <c r="C32" s="373" t="s">
        <v>1041</v>
      </c>
      <c r="D32" s="236">
        <f>IFERROR(D30/'2. Променливи'!E26/365,0)</f>
        <v>8.0849160426795486</v>
      </c>
      <c r="E32" s="237">
        <f>IFERROR(E30/'2. Променливи'!F26/365,0)</f>
        <v>7.9684117403768591</v>
      </c>
      <c r="F32" s="237">
        <f>IFERROR(F30/'2. Променливи'!G26/365,0)</f>
        <v>7.7919806641173883</v>
      </c>
      <c r="G32" s="237">
        <f>IFERROR(G30/'2. Променливи'!H26/365,0)</f>
        <v>7.5873808361471067</v>
      </c>
      <c r="H32" s="237">
        <f>IFERROR(H30/'2. Променливи'!I26/365,0)</f>
        <v>7.3040087380796574</v>
      </c>
      <c r="I32" s="238">
        <f>IFERROR(I30/'2. Променливи'!J26/365,0)</f>
        <v>6.8853762737518309</v>
      </c>
      <c r="J32" s="1356"/>
    </row>
    <row r="33" spans="1:14" s="3788" customFormat="1" ht="15.6">
      <c r="A33" s="5024" t="s">
        <v>171</v>
      </c>
      <c r="B33" s="5034" t="s">
        <v>580</v>
      </c>
      <c r="C33" s="374" t="s">
        <v>781</v>
      </c>
      <c r="D33" s="239">
        <f>D35+D36</f>
        <v>908973</v>
      </c>
      <c r="E33" s="240">
        <f t="shared" ref="E33:I33" si="10">E35+E36</f>
        <v>866197</v>
      </c>
      <c r="F33" s="240">
        <f t="shared" si="10"/>
        <v>786697</v>
      </c>
      <c r="G33" s="240">
        <f t="shared" si="10"/>
        <v>689197</v>
      </c>
      <c r="H33" s="240">
        <f t="shared" si="10"/>
        <v>580197</v>
      </c>
      <c r="I33" s="241">
        <f t="shared" si="10"/>
        <v>462697</v>
      </c>
      <c r="J33" s="1358"/>
      <c r="K33" s="3787"/>
      <c r="L33" s="3787"/>
      <c r="M33" s="3787"/>
      <c r="N33" s="3787"/>
    </row>
    <row r="34" spans="1:14" s="3788" customFormat="1">
      <c r="A34" s="5025"/>
      <c r="B34" s="5035"/>
      <c r="C34" s="371" t="s">
        <v>170</v>
      </c>
      <c r="D34" s="242">
        <f t="shared" ref="D34:I34" si="11">IFERROR(D33/D9,0)</f>
        <v>9.5600952924755608E-2</v>
      </c>
      <c r="E34" s="243">
        <f t="shared" si="11"/>
        <v>9.2080046773679175E-2</v>
      </c>
      <c r="F34" s="243">
        <f t="shared" si="11"/>
        <v>8.475511743158802E-2</v>
      </c>
      <c r="G34" s="243">
        <f t="shared" si="11"/>
        <v>7.5462279645242533E-2</v>
      </c>
      <c r="H34" s="243">
        <f t="shared" si="11"/>
        <v>6.4949848874958027E-2</v>
      </c>
      <c r="I34" s="244">
        <f t="shared" si="11"/>
        <v>5.3506446949985548E-2</v>
      </c>
      <c r="J34" s="1358"/>
    </row>
    <row r="35" spans="1:14" s="3788" customFormat="1" ht="15.6">
      <c r="A35" s="84" t="s">
        <v>581</v>
      </c>
      <c r="B35" s="94" t="s">
        <v>582</v>
      </c>
      <c r="C35" s="371" t="s">
        <v>781</v>
      </c>
      <c r="D35" s="207">
        <v>2358</v>
      </c>
      <c r="E35" s="207">
        <v>2500</v>
      </c>
      <c r="F35" s="207">
        <v>2500</v>
      </c>
      <c r="G35" s="207">
        <v>2500</v>
      </c>
      <c r="H35" s="207">
        <v>2500</v>
      </c>
      <c r="I35" s="208">
        <v>2500</v>
      </c>
      <c r="J35" s="1358"/>
    </row>
    <row r="36" spans="1:14" s="3788" customFormat="1" ht="16.2" thickBot="1">
      <c r="A36" s="85" t="s">
        <v>583</v>
      </c>
      <c r="B36" s="95" t="s">
        <v>584</v>
      </c>
      <c r="C36" s="375" t="s">
        <v>781</v>
      </c>
      <c r="D36" s="211">
        <v>906615</v>
      </c>
      <c r="E36" s="211">
        <v>863697</v>
      </c>
      <c r="F36" s="211">
        <v>784197</v>
      </c>
      <c r="G36" s="211">
        <v>686697</v>
      </c>
      <c r="H36" s="211">
        <v>577697</v>
      </c>
      <c r="I36" s="230">
        <v>460197</v>
      </c>
      <c r="J36" s="1358"/>
    </row>
    <row r="37" spans="1:14" s="3788" customFormat="1" ht="15.6">
      <c r="A37" s="5024" t="s">
        <v>172</v>
      </c>
      <c r="B37" s="5040" t="s">
        <v>585</v>
      </c>
      <c r="C37" s="374" t="s">
        <v>781</v>
      </c>
      <c r="D37" s="239">
        <f>SUM(D39:D42)</f>
        <v>4396260.9699999988</v>
      </c>
      <c r="E37" s="240">
        <f t="shared" ref="E37:I37" si="12">SUM(E39:E42)</f>
        <v>4389799.7620000001</v>
      </c>
      <c r="F37" s="240">
        <f t="shared" si="12"/>
        <v>4357191.2166204657</v>
      </c>
      <c r="G37" s="240">
        <f t="shared" si="12"/>
        <v>4319762.7900352329</v>
      </c>
      <c r="H37" s="240">
        <f t="shared" si="12"/>
        <v>4241729.0744074564</v>
      </c>
      <c r="I37" s="241">
        <f t="shared" si="12"/>
        <v>4083310.6357992794</v>
      </c>
      <c r="J37" s="1358"/>
    </row>
    <row r="38" spans="1:14" s="3788" customFormat="1">
      <c r="A38" s="5025"/>
      <c r="B38" s="5041"/>
      <c r="C38" s="371" t="s">
        <v>170</v>
      </c>
      <c r="D38" s="242">
        <f t="shared" ref="D38:I38" si="13">IFERROR(D37/D9,0)</f>
        <v>0.46237538192873751</v>
      </c>
      <c r="E38" s="243">
        <f t="shared" si="13"/>
        <v>0.46665246752418416</v>
      </c>
      <c r="F38" s="243">
        <f t="shared" si="13"/>
        <v>0.46942374667318099</v>
      </c>
      <c r="G38" s="243">
        <f t="shared" si="13"/>
        <v>0.47298399102542787</v>
      </c>
      <c r="H38" s="243">
        <f t="shared" si="13"/>
        <v>0.47483813661787266</v>
      </c>
      <c r="I38" s="244">
        <f t="shared" si="13"/>
        <v>0.47219550572989644</v>
      </c>
      <c r="J38" s="1358"/>
    </row>
    <row r="39" spans="1:14" s="3788" customFormat="1" ht="26.4">
      <c r="A39" s="84" t="s">
        <v>586</v>
      </c>
      <c r="B39" s="96" t="s">
        <v>587</v>
      </c>
      <c r="C39" s="371" t="s">
        <v>781</v>
      </c>
      <c r="D39" s="207">
        <v>100000</v>
      </c>
      <c r="E39" s="207">
        <v>95000</v>
      </c>
      <c r="F39" s="207">
        <v>90000</v>
      </c>
      <c r="G39" s="207">
        <v>85000</v>
      </c>
      <c r="H39" s="207">
        <v>80000</v>
      </c>
      <c r="I39" s="208">
        <v>75000</v>
      </c>
      <c r="J39" s="1358"/>
    </row>
    <row r="40" spans="1:14" s="3788" customFormat="1" ht="15.6">
      <c r="A40" s="84" t="s">
        <v>588</v>
      </c>
      <c r="B40" s="94" t="s">
        <v>589</v>
      </c>
      <c r="C40" s="371" t="s">
        <v>781</v>
      </c>
      <c r="D40" s="207">
        <v>3686260.9699999993</v>
      </c>
      <c r="E40" s="207">
        <v>3679799.7620000001</v>
      </c>
      <c r="F40" s="207">
        <v>3647191.2166204657</v>
      </c>
      <c r="G40" s="207">
        <v>3609762.7900352329</v>
      </c>
      <c r="H40" s="207">
        <v>3531729.0744074564</v>
      </c>
      <c r="I40" s="208">
        <v>3373310.6357992794</v>
      </c>
      <c r="J40" s="1358"/>
    </row>
    <row r="41" spans="1:14" s="3788" customFormat="1" ht="15.6">
      <c r="A41" s="84" t="s">
        <v>590</v>
      </c>
      <c r="B41" s="94" t="s">
        <v>591</v>
      </c>
      <c r="C41" s="371" t="s">
        <v>781</v>
      </c>
      <c r="D41" s="207">
        <v>10000</v>
      </c>
      <c r="E41" s="207">
        <v>10000</v>
      </c>
      <c r="F41" s="207">
        <v>10000</v>
      </c>
      <c r="G41" s="207">
        <v>10000</v>
      </c>
      <c r="H41" s="207">
        <v>10000</v>
      </c>
      <c r="I41" s="208">
        <v>10000</v>
      </c>
      <c r="J41" s="1358"/>
    </row>
    <row r="42" spans="1:14" ht="16.2" thickBot="1">
      <c r="A42" s="85" t="s">
        <v>592</v>
      </c>
      <c r="B42" s="97" t="s">
        <v>593</v>
      </c>
      <c r="C42" s="375" t="s">
        <v>781</v>
      </c>
      <c r="D42" s="211">
        <v>600000</v>
      </c>
      <c r="E42" s="211">
        <v>605000</v>
      </c>
      <c r="F42" s="211">
        <v>610000</v>
      </c>
      <c r="G42" s="211">
        <v>615000</v>
      </c>
      <c r="H42" s="211">
        <v>620000</v>
      </c>
      <c r="I42" s="230">
        <v>625000</v>
      </c>
      <c r="J42" s="1356"/>
    </row>
    <row r="43" spans="1:14" ht="15.6">
      <c r="A43" s="5020" t="s">
        <v>100</v>
      </c>
      <c r="B43" s="5037" t="s">
        <v>594</v>
      </c>
      <c r="C43" s="372" t="s">
        <v>781</v>
      </c>
      <c r="D43" s="213">
        <f t="shared" ref="D43:I43" si="14">D30+D26</f>
        <v>5693568.9699999988</v>
      </c>
      <c r="E43" s="214">
        <f t="shared" si="14"/>
        <v>5612031.7620000001</v>
      </c>
      <c r="F43" s="214">
        <f t="shared" si="14"/>
        <v>5476913.2166204657</v>
      </c>
      <c r="G43" s="214">
        <f t="shared" si="14"/>
        <v>5317975.7900352329</v>
      </c>
      <c r="H43" s="214">
        <f t="shared" si="14"/>
        <v>5105932.0744074564</v>
      </c>
      <c r="I43" s="215">
        <f t="shared" si="14"/>
        <v>4804003.6357992794</v>
      </c>
      <c r="J43" s="1356"/>
      <c r="L43" s="1783" t="s">
        <v>202</v>
      </c>
    </row>
    <row r="44" spans="1:14">
      <c r="A44" s="5031"/>
      <c r="B44" s="5038"/>
      <c r="C44" s="376" t="s">
        <v>170</v>
      </c>
      <c r="D44" s="947">
        <f t="shared" ref="D44:I44" si="15">IFERROR(D43/D9,0)</f>
        <v>0.59881934785171742</v>
      </c>
      <c r="E44" s="948">
        <f t="shared" si="15"/>
        <v>0.59658039353672798</v>
      </c>
      <c r="F44" s="948">
        <f t="shared" si="15"/>
        <v>0.59005744630688062</v>
      </c>
      <c r="G44" s="948">
        <f t="shared" si="15"/>
        <v>0.58228137414159997</v>
      </c>
      <c r="H44" s="948">
        <f t="shared" si="15"/>
        <v>0.5715808882130814</v>
      </c>
      <c r="I44" s="949">
        <f t="shared" si="15"/>
        <v>0.55553670260760679</v>
      </c>
      <c r="J44" s="1356"/>
    </row>
    <row r="45" spans="1:14" ht="28.8">
      <c r="A45" s="5031"/>
      <c r="B45" s="5038"/>
      <c r="C45" s="376" t="s">
        <v>1041</v>
      </c>
      <c r="D45" s="245">
        <f>IFERROR(D43/'2. Променливи'!E26/365,0)</f>
        <v>8.6767195124582734</v>
      </c>
      <c r="E45" s="246">
        <f>IFERROR(E43/'2. Променливи'!F26/365,0)</f>
        <v>8.5081825207731416</v>
      </c>
      <c r="F45" s="246">
        <f>IFERROR(F43/'2. Променливи'!G26/365,0)</f>
        <v>8.2964481508491588</v>
      </c>
      <c r="G45" s="246">
        <f>IFERROR(G43/'2. Променливи'!H26/365,0)</f>
        <v>8.0554664616550617</v>
      </c>
      <c r="H45" s="246">
        <f>IFERROR(H43/'2. Променливи'!I26/365,0)</f>
        <v>7.7342066037576291</v>
      </c>
      <c r="I45" s="247">
        <f>IFERROR(I43/'2. Променливи'!J26/365,0)</f>
        <v>7.2761366242479308</v>
      </c>
      <c r="J45" s="1356"/>
    </row>
    <row r="46" spans="1:14" ht="13.8" thickBot="1">
      <c r="A46" s="5036"/>
      <c r="B46" s="5039"/>
      <c r="C46" s="377" t="s">
        <v>725</v>
      </c>
      <c r="D46" s="248">
        <f t="shared" ref="D46:I46" si="16">D9-D20-D43</f>
        <v>9.0000014752149582E-3</v>
      </c>
      <c r="E46" s="249">
        <f t="shared" si="16"/>
        <v>0</v>
      </c>
      <c r="F46" s="249">
        <f t="shared" si="16"/>
        <v>0</v>
      </c>
      <c r="G46" s="249">
        <f t="shared" si="16"/>
        <v>0</v>
      </c>
      <c r="H46" s="249">
        <f t="shared" si="16"/>
        <v>0</v>
      </c>
      <c r="I46" s="250">
        <f t="shared" si="16"/>
        <v>0</v>
      </c>
      <c r="J46" s="1356"/>
    </row>
    <row r="47" spans="1:14" ht="18.75" customHeight="1" thickBot="1">
      <c r="A47" s="86" t="s">
        <v>173</v>
      </c>
      <c r="B47" s="1359" t="s">
        <v>174</v>
      </c>
      <c r="C47" s="378"/>
      <c r="D47" s="1786"/>
      <c r="E47" s="1786"/>
      <c r="F47" s="1786"/>
      <c r="G47" s="1786"/>
      <c r="H47" s="1786"/>
      <c r="I47" s="1787"/>
      <c r="K47" s="3789"/>
    </row>
    <row r="48" spans="1:14" ht="15.6">
      <c r="A48" s="5042">
        <v>5</v>
      </c>
      <c r="B48" s="5044" t="s">
        <v>175</v>
      </c>
      <c r="C48" s="369" t="s">
        <v>781</v>
      </c>
      <c r="D48" s="199">
        <f t="shared" ref="D48:I48" si="17">D50+D51</f>
        <v>1881942.1539999999</v>
      </c>
      <c r="E48" s="200">
        <f t="shared" si="17"/>
        <v>1889565.2776666668</v>
      </c>
      <c r="F48" s="200">
        <f t="shared" si="17"/>
        <v>1895158.3957083928</v>
      </c>
      <c r="G48" s="200">
        <f t="shared" si="17"/>
        <v>1903295.8178917994</v>
      </c>
      <c r="H48" s="200">
        <f t="shared" si="17"/>
        <v>1914722.8651251784</v>
      </c>
      <c r="I48" s="201">
        <f t="shared" si="17"/>
        <v>1926773.2897072684</v>
      </c>
      <c r="J48" s="3790"/>
    </row>
    <row r="49" spans="1:10" ht="13.8" thickBot="1">
      <c r="A49" s="5043"/>
      <c r="B49" s="5045"/>
      <c r="C49" s="373" t="s">
        <v>170</v>
      </c>
      <c r="D49" s="202">
        <f t="shared" ref="D49:I49" si="18">IFERROR(D48/D20,0)</f>
        <v>0.49337544289517926</v>
      </c>
      <c r="E49" s="203">
        <f t="shared" si="18"/>
        <v>0.49791333132803589</v>
      </c>
      <c r="F49" s="203">
        <f t="shared" si="18"/>
        <v>0.4980591780419748</v>
      </c>
      <c r="G49" s="203">
        <f t="shared" si="18"/>
        <v>0.49889482035800164</v>
      </c>
      <c r="H49" s="203">
        <f t="shared" si="18"/>
        <v>0.50031065618693515</v>
      </c>
      <c r="I49" s="204">
        <f t="shared" si="18"/>
        <v>0.5013074313413467</v>
      </c>
      <c r="J49" s="3790"/>
    </row>
    <row r="50" spans="1:10" ht="33" customHeight="1">
      <c r="A50" s="87" t="s">
        <v>105</v>
      </c>
      <c r="B50" s="1360" t="s">
        <v>177</v>
      </c>
      <c r="C50" s="374" t="s">
        <v>781</v>
      </c>
      <c r="D50" s="1410">
        <f>'4.1. Фактурирани количества'!E62+'4.1. Фактурирани количества'!E66</f>
        <v>1589335.0529999998</v>
      </c>
      <c r="E50" s="1411">
        <f>'4.1. Фактурирани количества'!G62+'4.1. Фактурирани количества'!G66</f>
        <v>1586597.2233333334</v>
      </c>
      <c r="F50" s="1411">
        <f>'4.1. Фактурирани количества'!H62+'4.1. Фактурирани количества'!H66</f>
        <v>1592193.3957083928</v>
      </c>
      <c r="G50" s="1411">
        <f>'4.1. Фактурирани количества'!I62+'4.1. Фактурирани количества'!I66</f>
        <v>1591930.8178917994</v>
      </c>
      <c r="H50" s="1411">
        <f>'4.1. Фактурирани количества'!J62+'4.1. Фактурирани количества'!J66</f>
        <v>1594907.8651251784</v>
      </c>
      <c r="I50" s="1412">
        <f>'4.1. Фактурирани количества'!K62+'4.1. Фактурирани количества'!K66</f>
        <v>1598558.2897072684</v>
      </c>
    </row>
    <row r="51" spans="1:10" ht="16.2" thickBot="1">
      <c r="A51" s="88" t="s">
        <v>109</v>
      </c>
      <c r="B51" s="1361" t="s">
        <v>179</v>
      </c>
      <c r="C51" s="371" t="s">
        <v>781</v>
      </c>
      <c r="D51" s="1413">
        <f>'4.1. Фактурирани количества'!E70</f>
        <v>292607.10100000002</v>
      </c>
      <c r="E51" s="1414">
        <f>'4.1. Фактурирани количества'!G70</f>
        <v>302968.05433333333</v>
      </c>
      <c r="F51" s="1414">
        <f>'4.1. Фактурирани количества'!H70</f>
        <v>302965</v>
      </c>
      <c r="G51" s="1414">
        <f>'4.1. Фактурирани количества'!I70</f>
        <v>311365</v>
      </c>
      <c r="H51" s="1414">
        <f>'4.1. Фактурирани количества'!J70</f>
        <v>319815</v>
      </c>
      <c r="I51" s="1415">
        <f>'4.1. Фактурирани количества'!K70</f>
        <v>328215</v>
      </c>
    </row>
    <row r="52" spans="1:10" ht="18" customHeight="1" thickBot="1">
      <c r="A52" s="89" t="s">
        <v>183</v>
      </c>
      <c r="B52" s="1359" t="s">
        <v>184</v>
      </c>
      <c r="C52" s="378"/>
      <c r="D52" s="1788"/>
      <c r="E52" s="1788"/>
      <c r="F52" s="1788"/>
      <c r="G52" s="1788"/>
      <c r="H52" s="1788"/>
      <c r="I52" s="1789"/>
    </row>
    <row r="53" spans="1:10" ht="15.6">
      <c r="A53" s="5042">
        <v>6</v>
      </c>
      <c r="B53" s="5044" t="s">
        <v>185</v>
      </c>
      <c r="C53" s="369" t="s">
        <v>781</v>
      </c>
      <c r="D53" s="199">
        <f t="shared" ref="D53:I53" si="19">D55+D56</f>
        <v>1758030.1429999999</v>
      </c>
      <c r="E53" s="200">
        <f t="shared" si="19"/>
        <v>1809130.2706666666</v>
      </c>
      <c r="F53" s="200">
        <f t="shared" si="19"/>
        <v>1816085.8674087427</v>
      </c>
      <c r="G53" s="200">
        <f t="shared" si="19"/>
        <v>1823664.6078461222</v>
      </c>
      <c r="H53" s="200">
        <f t="shared" si="19"/>
        <v>1834032.4324627582</v>
      </c>
      <c r="I53" s="201">
        <f t="shared" si="19"/>
        <v>1844801.071139785</v>
      </c>
    </row>
    <row r="54" spans="1:10" ht="13.8" thickBot="1">
      <c r="A54" s="5043"/>
      <c r="B54" s="5045"/>
      <c r="C54" s="373" t="s">
        <v>170</v>
      </c>
      <c r="D54" s="202">
        <f t="shared" ref="D54:I54" si="20">IFERROR(D53/D20,0)</f>
        <v>0.46089030876009612</v>
      </c>
      <c r="E54" s="203">
        <f t="shared" si="20"/>
        <v>0.4767181586795316</v>
      </c>
      <c r="F54" s="203">
        <f t="shared" si="20"/>
        <v>0.47727843563025485</v>
      </c>
      <c r="G54" s="203">
        <f t="shared" si="20"/>
        <v>0.4780217653882109</v>
      </c>
      <c r="H54" s="203">
        <f t="shared" si="20"/>
        <v>0.47922651704144897</v>
      </c>
      <c r="I54" s="204">
        <f t="shared" si="20"/>
        <v>0.47997991836878529</v>
      </c>
    </row>
    <row r="55" spans="1:10" ht="32.25" customHeight="1">
      <c r="A55" s="90" t="s">
        <v>268</v>
      </c>
      <c r="B55" s="1360" t="s">
        <v>177</v>
      </c>
      <c r="C55" s="1416" t="s">
        <v>781</v>
      </c>
      <c r="D55" s="1410">
        <f>'4.1. Фактурирани количества'!E95+'4.1. Фактурирани количества'!E99</f>
        <v>1465423.0419999999</v>
      </c>
      <c r="E55" s="1411">
        <f>'4.1. Фактурирани количества'!G95+'4.1. Фактурирани количества'!G99</f>
        <v>1506162.2163333332</v>
      </c>
      <c r="F55" s="1411">
        <f>'4.1. Фактурирани количества'!H95+'4.1. Фактурирани количества'!H99</f>
        <v>1513120.8674087427</v>
      </c>
      <c r="G55" s="1411">
        <f>'4.1. Фактурирани количества'!I95+'4.1. Фактурирани количества'!I99</f>
        <v>1512299.6078461222</v>
      </c>
      <c r="H55" s="1411">
        <f>'4.1. Фактурирани количества'!J95+'4.1. Фактурирани количества'!J99</f>
        <v>1514217.4324627582</v>
      </c>
      <c r="I55" s="1412">
        <f>'4.1. Фактурирани количества'!K95+'4.1. Фактурирани количества'!K99</f>
        <v>1516586.071139785</v>
      </c>
    </row>
    <row r="56" spans="1:10" ht="15.6">
      <c r="A56" s="88" t="s">
        <v>270</v>
      </c>
      <c r="B56" s="1361" t="s">
        <v>179</v>
      </c>
      <c r="C56" s="1417" t="s">
        <v>781</v>
      </c>
      <c r="D56" s="4459">
        <f>'4.1. Фактурирани количества'!E103</f>
        <v>292607.10100000002</v>
      </c>
      <c r="E56" s="225">
        <f>'4.1. Фактурирани количества'!G103</f>
        <v>302968.05433333333</v>
      </c>
      <c r="F56" s="225">
        <f>'4.1. Фактурирани количества'!H103</f>
        <v>302965</v>
      </c>
      <c r="G56" s="225">
        <f>'4.1. Фактурирани количества'!I103</f>
        <v>311365</v>
      </c>
      <c r="H56" s="225">
        <f>'4.1. Фактурирани количества'!J103</f>
        <v>319815</v>
      </c>
      <c r="I56" s="226">
        <f>'4.1. Фактурирани количества'!K103</f>
        <v>328215</v>
      </c>
    </row>
    <row r="57" spans="1:10" ht="30" customHeight="1">
      <c r="A57" s="1362"/>
      <c r="B57" s="3791" t="s">
        <v>186</v>
      </c>
      <c r="C57" s="1417" t="s">
        <v>1433</v>
      </c>
      <c r="D57" s="1419">
        <f>D56-SUM(D58:D60)</f>
        <v>1.0000000474974513E-3</v>
      </c>
      <c r="E57" s="1420">
        <f t="shared" ref="E57:I57" si="21">E56-SUM(E58:E60)</f>
        <v>0</v>
      </c>
      <c r="F57" s="1420">
        <f t="shared" si="21"/>
        <v>0</v>
      </c>
      <c r="G57" s="1420">
        <f t="shared" si="21"/>
        <v>0</v>
      </c>
      <c r="H57" s="1420">
        <f t="shared" si="21"/>
        <v>0</v>
      </c>
      <c r="I57" s="1421">
        <f t="shared" si="21"/>
        <v>0</v>
      </c>
    </row>
    <row r="58" spans="1:10" ht="15.6">
      <c r="A58" s="88" t="s">
        <v>351</v>
      </c>
      <c r="B58" s="1363" t="s">
        <v>997</v>
      </c>
      <c r="C58" s="1417" t="s">
        <v>781</v>
      </c>
      <c r="D58" s="207">
        <v>51802.1</v>
      </c>
      <c r="E58" s="209">
        <v>62153.054333333333</v>
      </c>
      <c r="F58" s="209">
        <v>62150</v>
      </c>
      <c r="G58" s="209">
        <v>70550</v>
      </c>
      <c r="H58" s="209">
        <v>79000</v>
      </c>
      <c r="I58" s="210">
        <v>87400</v>
      </c>
    </row>
    <row r="59" spans="1:10" ht="15.6">
      <c r="A59" s="88" t="s">
        <v>718</v>
      </c>
      <c r="B59" s="1363" t="s">
        <v>998</v>
      </c>
      <c r="C59" s="1417" t="s">
        <v>781</v>
      </c>
      <c r="D59" s="207">
        <v>129782</v>
      </c>
      <c r="E59" s="207">
        <v>213250</v>
      </c>
      <c r="F59" s="209">
        <v>213250</v>
      </c>
      <c r="G59" s="207">
        <v>213250</v>
      </c>
      <c r="H59" s="209">
        <v>213250</v>
      </c>
      <c r="I59" s="208">
        <v>213250</v>
      </c>
    </row>
    <row r="60" spans="1:10" ht="16.2" thickBot="1">
      <c r="A60" s="91" t="s">
        <v>719</v>
      </c>
      <c r="B60" s="1364" t="s">
        <v>999</v>
      </c>
      <c r="C60" s="1418" t="s">
        <v>781</v>
      </c>
      <c r="D60" s="211">
        <v>111023</v>
      </c>
      <c r="E60" s="211">
        <v>27565</v>
      </c>
      <c r="F60" s="212">
        <v>27565</v>
      </c>
      <c r="G60" s="211">
        <v>27565</v>
      </c>
      <c r="H60" s="212">
        <v>27565</v>
      </c>
      <c r="I60" s="230">
        <v>27565</v>
      </c>
    </row>
    <row r="61" spans="1:10" s="3792" customFormat="1" ht="16.5" customHeight="1" thickBot="1">
      <c r="A61" s="518" t="s">
        <v>1115</v>
      </c>
      <c r="B61" s="1790" t="s">
        <v>1029</v>
      </c>
      <c r="C61" s="934"/>
      <c r="D61" s="519"/>
      <c r="E61" s="520"/>
      <c r="F61" s="520"/>
      <c r="G61" s="520"/>
      <c r="H61" s="520"/>
      <c r="I61" s="521"/>
    </row>
    <row r="62" spans="1:10" s="3792" customFormat="1" ht="27" customHeight="1" thickBot="1">
      <c r="A62" s="522" t="s">
        <v>205</v>
      </c>
      <c r="B62" s="523" t="s">
        <v>570</v>
      </c>
      <c r="C62" s="524" t="s">
        <v>781</v>
      </c>
      <c r="D62" s="525">
        <f>D63+D64+D65+D66</f>
        <v>0</v>
      </c>
      <c r="E62" s="526">
        <f t="shared" ref="E62:I62" si="22">E63+E64+E65+E66</f>
        <v>0</v>
      </c>
      <c r="F62" s="526">
        <f t="shared" si="22"/>
        <v>0</v>
      </c>
      <c r="G62" s="526">
        <f t="shared" si="22"/>
        <v>0</v>
      </c>
      <c r="H62" s="526">
        <f t="shared" si="22"/>
        <v>0</v>
      </c>
      <c r="I62" s="527">
        <f t="shared" si="22"/>
        <v>0</v>
      </c>
    </row>
    <row r="63" spans="1:10" s="3793" customFormat="1" ht="30" customHeight="1">
      <c r="A63" s="528" t="s">
        <v>90</v>
      </c>
      <c r="B63" s="1360" t="s">
        <v>906</v>
      </c>
      <c r="C63" s="529" t="s">
        <v>781</v>
      </c>
      <c r="D63" s="530"/>
      <c r="E63" s="531"/>
      <c r="F63" s="531"/>
      <c r="G63" s="531"/>
      <c r="H63" s="531"/>
      <c r="I63" s="532"/>
    </row>
    <row r="64" spans="1:10" s="3793" customFormat="1" ht="27" customHeight="1">
      <c r="A64" s="528" t="s">
        <v>91</v>
      </c>
      <c r="B64" s="1361" t="s">
        <v>907</v>
      </c>
      <c r="C64" s="529" t="s">
        <v>781</v>
      </c>
      <c r="D64" s="530"/>
      <c r="E64" s="531"/>
      <c r="F64" s="531"/>
      <c r="G64" s="531"/>
      <c r="H64" s="531"/>
      <c r="I64" s="532"/>
    </row>
    <row r="65" spans="1:9" s="3793" customFormat="1" ht="34.5" customHeight="1">
      <c r="A65" s="528" t="s">
        <v>93</v>
      </c>
      <c r="B65" s="1361" t="s">
        <v>908</v>
      </c>
      <c r="C65" s="529" t="s">
        <v>781</v>
      </c>
      <c r="D65" s="4471">
        <f>'4.2. Продад. и закупени кол-ва'!D109</f>
        <v>0</v>
      </c>
      <c r="E65" s="4472">
        <f>'4.2. Продад. и закупени кол-ва'!E109</f>
        <v>0</v>
      </c>
      <c r="F65" s="4472">
        <f>'4.2. Продад. и закупени кол-ва'!F109</f>
        <v>0</v>
      </c>
      <c r="G65" s="4472">
        <f>'4.2. Продад. и закупени кол-ва'!G109</f>
        <v>0</v>
      </c>
      <c r="H65" s="4472">
        <f>'4.2. Продад. и закупени кол-ва'!H109</f>
        <v>0</v>
      </c>
      <c r="I65" s="4473">
        <f>'4.2. Продад. и закупени кол-ва'!I109</f>
        <v>0</v>
      </c>
    </row>
    <row r="66" spans="1:9" s="3793" customFormat="1" ht="38.25" customHeight="1" thickBot="1">
      <c r="A66" s="533" t="s">
        <v>145</v>
      </c>
      <c r="B66" s="3794" t="s">
        <v>909</v>
      </c>
      <c r="C66" s="529" t="s">
        <v>781</v>
      </c>
      <c r="D66" s="530"/>
      <c r="E66" s="531"/>
      <c r="F66" s="531"/>
      <c r="G66" s="531"/>
      <c r="H66" s="531"/>
      <c r="I66" s="532"/>
    </row>
    <row r="67" spans="1:9" s="3792" customFormat="1" ht="15.6">
      <c r="A67" s="5046" t="s">
        <v>95</v>
      </c>
      <c r="B67" s="5048" t="s">
        <v>571</v>
      </c>
      <c r="C67" s="524" t="s">
        <v>781</v>
      </c>
      <c r="D67" s="534">
        <f t="shared" ref="D67:I67" si="23">D69+D71</f>
        <v>0</v>
      </c>
      <c r="E67" s="535">
        <f t="shared" si="23"/>
        <v>0</v>
      </c>
      <c r="F67" s="535">
        <f t="shared" si="23"/>
        <v>0</v>
      </c>
      <c r="G67" s="535">
        <f t="shared" si="23"/>
        <v>0</v>
      </c>
      <c r="H67" s="535">
        <f t="shared" si="23"/>
        <v>0</v>
      </c>
      <c r="I67" s="536">
        <f t="shared" si="23"/>
        <v>0</v>
      </c>
    </row>
    <row r="68" spans="1:9" s="3792" customFormat="1">
      <c r="A68" s="5047"/>
      <c r="B68" s="5049"/>
      <c r="C68" s="537" t="s">
        <v>170</v>
      </c>
      <c r="D68" s="538">
        <f>IFERROR(D67/D62,0)</f>
        <v>0</v>
      </c>
      <c r="E68" s="539">
        <f t="shared" ref="E68:I68" si="24">IFERROR(E67/E62,0)</f>
        <v>0</v>
      </c>
      <c r="F68" s="539">
        <f t="shared" si="24"/>
        <v>0</v>
      </c>
      <c r="G68" s="539">
        <f t="shared" si="24"/>
        <v>0</v>
      </c>
      <c r="H68" s="539">
        <f t="shared" si="24"/>
        <v>0</v>
      </c>
      <c r="I68" s="540">
        <f t="shared" si="24"/>
        <v>0</v>
      </c>
    </row>
    <row r="69" spans="1:9" s="3792" customFormat="1" ht="15.6">
      <c r="A69" s="5050" t="s">
        <v>96</v>
      </c>
      <c r="B69" s="5052" t="s">
        <v>572</v>
      </c>
      <c r="C69" s="541" t="s">
        <v>781</v>
      </c>
      <c r="D69" s="1799"/>
      <c r="E69" s="1800"/>
      <c r="F69" s="1800"/>
      <c r="G69" s="1800"/>
      <c r="H69" s="1800"/>
      <c r="I69" s="3977"/>
    </row>
    <row r="70" spans="1:9" s="3792" customFormat="1">
      <c r="A70" s="5051"/>
      <c r="B70" s="5053"/>
      <c r="C70" s="529" t="s">
        <v>170</v>
      </c>
      <c r="D70" s="545">
        <f t="shared" ref="D70:I70" si="25">IFERROR(D69/D62,0)</f>
        <v>0</v>
      </c>
      <c r="E70" s="546">
        <f t="shared" si="25"/>
        <v>0</v>
      </c>
      <c r="F70" s="546">
        <f t="shared" si="25"/>
        <v>0</v>
      </c>
      <c r="G70" s="546">
        <f t="shared" si="25"/>
        <v>0</v>
      </c>
      <c r="H70" s="546">
        <f t="shared" si="25"/>
        <v>0</v>
      </c>
      <c r="I70" s="547">
        <f t="shared" si="25"/>
        <v>0</v>
      </c>
    </row>
    <row r="71" spans="1:9" s="3792" customFormat="1" ht="15.6">
      <c r="A71" s="5054" t="s">
        <v>97</v>
      </c>
      <c r="B71" s="5056" t="s">
        <v>688</v>
      </c>
      <c r="C71" s="541" t="s">
        <v>781</v>
      </c>
      <c r="D71" s="542">
        <f>D73+D74</f>
        <v>0</v>
      </c>
      <c r="E71" s="543">
        <f t="shared" ref="E71:I71" si="26">E73+E74</f>
        <v>0</v>
      </c>
      <c r="F71" s="543">
        <f t="shared" si="26"/>
        <v>0</v>
      </c>
      <c r="G71" s="543">
        <f t="shared" si="26"/>
        <v>0</v>
      </c>
      <c r="H71" s="543">
        <f t="shared" si="26"/>
        <v>0</v>
      </c>
      <c r="I71" s="544">
        <f t="shared" si="26"/>
        <v>0</v>
      </c>
    </row>
    <row r="72" spans="1:9" s="3792" customFormat="1">
      <c r="A72" s="5055"/>
      <c r="B72" s="5057"/>
      <c r="C72" s="529" t="s">
        <v>170</v>
      </c>
      <c r="D72" s="545">
        <f t="shared" ref="D72:I72" si="27">IFERROR(D71/D62,0)</f>
        <v>0</v>
      </c>
      <c r="E72" s="546">
        <f t="shared" si="27"/>
        <v>0</v>
      </c>
      <c r="F72" s="546">
        <f t="shared" si="27"/>
        <v>0</v>
      </c>
      <c r="G72" s="546">
        <f t="shared" si="27"/>
        <v>0</v>
      </c>
      <c r="H72" s="546">
        <f t="shared" si="27"/>
        <v>0</v>
      </c>
      <c r="I72" s="547">
        <f t="shared" si="27"/>
        <v>0</v>
      </c>
    </row>
    <row r="73" spans="1:9" s="3792" customFormat="1" ht="27" customHeight="1">
      <c r="A73" s="549" t="s">
        <v>159</v>
      </c>
      <c r="B73" s="550" t="s">
        <v>578</v>
      </c>
      <c r="C73" s="529" t="s">
        <v>781</v>
      </c>
      <c r="D73" s="530"/>
      <c r="E73" s="531"/>
      <c r="F73" s="531"/>
      <c r="G73" s="531"/>
      <c r="H73" s="531"/>
      <c r="I73" s="532"/>
    </row>
    <row r="74" spans="1:9" s="3792" customFormat="1" ht="27.75" customHeight="1" thickBot="1">
      <c r="A74" s="551" t="s">
        <v>164</v>
      </c>
      <c r="B74" s="552" t="s">
        <v>579</v>
      </c>
      <c r="C74" s="548" t="s">
        <v>781</v>
      </c>
      <c r="D74" s="553"/>
      <c r="E74" s="554"/>
      <c r="F74" s="554"/>
      <c r="G74" s="554"/>
      <c r="H74" s="554"/>
      <c r="I74" s="555"/>
    </row>
    <row r="75" spans="1:9" s="3792" customFormat="1" ht="15.6">
      <c r="A75" s="5046" t="s">
        <v>99</v>
      </c>
      <c r="B75" s="5048" t="s">
        <v>689</v>
      </c>
      <c r="C75" s="524" t="s">
        <v>781</v>
      </c>
      <c r="D75" s="534">
        <f>D78+D82</f>
        <v>0</v>
      </c>
      <c r="E75" s="535">
        <f t="shared" ref="E75:I75" si="28">E78+E82</f>
        <v>0</v>
      </c>
      <c r="F75" s="535">
        <f t="shared" si="28"/>
        <v>0</v>
      </c>
      <c r="G75" s="535">
        <f t="shared" si="28"/>
        <v>0</v>
      </c>
      <c r="H75" s="535">
        <f t="shared" si="28"/>
        <v>0</v>
      </c>
      <c r="I75" s="536">
        <f t="shared" si="28"/>
        <v>0</v>
      </c>
    </row>
    <row r="76" spans="1:9" s="3795" customFormat="1">
      <c r="A76" s="5058"/>
      <c r="B76" s="5059"/>
      <c r="C76" s="537" t="s">
        <v>170</v>
      </c>
      <c r="D76" s="538">
        <f t="shared" ref="D76:I76" si="29">IFERROR(D75/D62,0)</f>
        <v>0</v>
      </c>
      <c r="E76" s="539">
        <f t="shared" si="29"/>
        <v>0</v>
      </c>
      <c r="F76" s="539">
        <f t="shared" si="29"/>
        <v>0</v>
      </c>
      <c r="G76" s="539">
        <f t="shared" si="29"/>
        <v>0</v>
      </c>
      <c r="H76" s="539">
        <f t="shared" si="29"/>
        <v>0</v>
      </c>
      <c r="I76" s="540">
        <f t="shared" si="29"/>
        <v>0</v>
      </c>
    </row>
    <row r="77" spans="1:9" s="3795" customFormat="1" ht="28.8">
      <c r="A77" s="5047"/>
      <c r="B77" s="5049"/>
      <c r="C77" s="537" t="s">
        <v>1114</v>
      </c>
      <c r="D77" s="579">
        <f>IFERROR(D75/'2. Променливи'!E123/365,0)</f>
        <v>0</v>
      </c>
      <c r="E77" s="580">
        <f>IFERROR(E75/'2. Променливи'!F123/365,0)</f>
        <v>0</v>
      </c>
      <c r="F77" s="580">
        <f>IFERROR(F75/'2. Променливи'!G123/365,0)</f>
        <v>0</v>
      </c>
      <c r="G77" s="557">
        <f>IFERROR(G75/'2. Променливи'!H123/365,0)</f>
        <v>0</v>
      </c>
      <c r="H77" s="557">
        <f>IFERROR(H75/'2. Променливи'!I123/365,0)</f>
        <v>0</v>
      </c>
      <c r="I77" s="3796">
        <f>IFERROR(I75/'2. Променливи'!J123/365,0)</f>
        <v>0</v>
      </c>
    </row>
    <row r="78" spans="1:9" s="3795" customFormat="1" ht="15.6">
      <c r="A78" s="5062" t="s">
        <v>171</v>
      </c>
      <c r="B78" s="5063" t="s">
        <v>580</v>
      </c>
      <c r="C78" s="541" t="s">
        <v>781</v>
      </c>
      <c r="D78" s="558">
        <f>D80+D81</f>
        <v>0</v>
      </c>
      <c r="E78" s="559">
        <f t="shared" ref="E78:I78" si="30">E80+E81</f>
        <v>0</v>
      </c>
      <c r="F78" s="559">
        <f t="shared" si="30"/>
        <v>0</v>
      </c>
      <c r="G78" s="559">
        <f t="shared" si="30"/>
        <v>0</v>
      </c>
      <c r="H78" s="559">
        <f t="shared" si="30"/>
        <v>0</v>
      </c>
      <c r="I78" s="560">
        <f t="shared" si="30"/>
        <v>0</v>
      </c>
    </row>
    <row r="79" spans="1:9" s="3795" customFormat="1">
      <c r="A79" s="5050"/>
      <c r="B79" s="5064"/>
      <c r="C79" s="529" t="s">
        <v>170</v>
      </c>
      <c r="D79" s="561">
        <f t="shared" ref="D79:I79" si="31">IFERROR(D78/D62,0)</f>
        <v>0</v>
      </c>
      <c r="E79" s="562">
        <f t="shared" si="31"/>
        <v>0</v>
      </c>
      <c r="F79" s="562">
        <f t="shared" si="31"/>
        <v>0</v>
      </c>
      <c r="G79" s="562">
        <f>IFERROR(G78/G62,0)</f>
        <v>0</v>
      </c>
      <c r="H79" s="562">
        <f t="shared" si="31"/>
        <v>0</v>
      </c>
      <c r="I79" s="563">
        <f t="shared" si="31"/>
        <v>0</v>
      </c>
    </row>
    <row r="80" spans="1:9" s="3795" customFormat="1" ht="15.6">
      <c r="A80" s="564" t="s">
        <v>581</v>
      </c>
      <c r="B80" s="565" t="s">
        <v>582</v>
      </c>
      <c r="C80" s="529" t="s">
        <v>781</v>
      </c>
      <c r="D80" s="530"/>
      <c r="E80" s="531"/>
      <c r="F80" s="531"/>
      <c r="G80" s="531"/>
      <c r="H80" s="531"/>
      <c r="I80" s="532"/>
    </row>
    <row r="81" spans="1:9" s="3795" customFormat="1" ht="16.2" thickBot="1">
      <c r="A81" s="566" t="s">
        <v>583</v>
      </c>
      <c r="B81" s="567" t="s">
        <v>584</v>
      </c>
      <c r="C81" s="548" t="s">
        <v>781</v>
      </c>
      <c r="D81" s="553"/>
      <c r="E81" s="554"/>
      <c r="F81" s="554"/>
      <c r="G81" s="554"/>
      <c r="H81" s="554"/>
      <c r="I81" s="555"/>
    </row>
    <row r="82" spans="1:9" s="3795" customFormat="1" ht="15.6">
      <c r="A82" s="5062" t="s">
        <v>172</v>
      </c>
      <c r="B82" s="5065" t="s">
        <v>585</v>
      </c>
      <c r="C82" s="568" t="s">
        <v>781</v>
      </c>
      <c r="D82" s="558">
        <f>SUM(D84:D87)</f>
        <v>0</v>
      </c>
      <c r="E82" s="559">
        <f t="shared" ref="E82:I82" si="32">SUM(E84:E87)</f>
        <v>0</v>
      </c>
      <c r="F82" s="559">
        <f t="shared" si="32"/>
        <v>0</v>
      </c>
      <c r="G82" s="559">
        <f t="shared" si="32"/>
        <v>0</v>
      </c>
      <c r="H82" s="559">
        <f t="shared" si="32"/>
        <v>0</v>
      </c>
      <c r="I82" s="560">
        <f t="shared" si="32"/>
        <v>0</v>
      </c>
    </row>
    <row r="83" spans="1:9" s="3795" customFormat="1">
      <c r="A83" s="5050"/>
      <c r="B83" s="5066"/>
      <c r="C83" s="529" t="s">
        <v>170</v>
      </c>
      <c r="D83" s="561">
        <f t="shared" ref="D83:I83" si="33">IFERROR(D82/D62,0)</f>
        <v>0</v>
      </c>
      <c r="E83" s="562">
        <f t="shared" si="33"/>
        <v>0</v>
      </c>
      <c r="F83" s="562">
        <f t="shared" si="33"/>
        <v>0</v>
      </c>
      <c r="G83" s="562">
        <f t="shared" si="33"/>
        <v>0</v>
      </c>
      <c r="H83" s="562">
        <f t="shared" si="33"/>
        <v>0</v>
      </c>
      <c r="I83" s="563">
        <f t="shared" si="33"/>
        <v>0</v>
      </c>
    </row>
    <row r="84" spans="1:9" s="3795" customFormat="1" ht="36.75" customHeight="1">
      <c r="A84" s="564" t="s">
        <v>586</v>
      </c>
      <c r="B84" s="569" t="s">
        <v>587</v>
      </c>
      <c r="C84" s="529" t="s">
        <v>781</v>
      </c>
      <c r="D84" s="530"/>
      <c r="E84" s="531"/>
      <c r="F84" s="531"/>
      <c r="G84" s="531"/>
      <c r="H84" s="531"/>
      <c r="I84" s="532"/>
    </row>
    <row r="85" spans="1:9" s="3792" customFormat="1" ht="31.5" customHeight="1">
      <c r="A85" s="564" t="s">
        <v>588</v>
      </c>
      <c r="B85" s="569" t="s">
        <v>589</v>
      </c>
      <c r="C85" s="529" t="s">
        <v>781</v>
      </c>
      <c r="D85" s="530"/>
      <c r="E85" s="531"/>
      <c r="F85" s="531"/>
      <c r="G85" s="531"/>
      <c r="H85" s="531"/>
      <c r="I85" s="532"/>
    </row>
    <row r="86" spans="1:9" s="3792" customFormat="1" ht="36" customHeight="1">
      <c r="A86" s="564" t="s">
        <v>590</v>
      </c>
      <c r="B86" s="569" t="s">
        <v>591</v>
      </c>
      <c r="C86" s="529" t="s">
        <v>781</v>
      </c>
      <c r="D86" s="530"/>
      <c r="E86" s="531"/>
      <c r="F86" s="531"/>
      <c r="G86" s="531"/>
      <c r="H86" s="531"/>
      <c r="I86" s="532"/>
    </row>
    <row r="87" spans="1:9" s="3792" customFormat="1" ht="16.2" thickBot="1">
      <c r="A87" s="566" t="s">
        <v>592</v>
      </c>
      <c r="B87" s="570" t="s">
        <v>593</v>
      </c>
      <c r="C87" s="548" t="s">
        <v>781</v>
      </c>
      <c r="D87" s="553"/>
      <c r="E87" s="554"/>
      <c r="F87" s="554"/>
      <c r="G87" s="554"/>
      <c r="H87" s="554"/>
      <c r="I87" s="555"/>
    </row>
    <row r="88" spans="1:9" s="3792" customFormat="1" ht="15.6">
      <c r="A88" s="5046" t="s">
        <v>100</v>
      </c>
      <c r="B88" s="5069" t="s">
        <v>594</v>
      </c>
      <c r="C88" s="571" t="s">
        <v>781</v>
      </c>
      <c r="D88" s="534">
        <f>D75+D71</f>
        <v>0</v>
      </c>
      <c r="E88" s="535">
        <f t="shared" ref="E88:I88" si="34">E75+E71</f>
        <v>0</v>
      </c>
      <c r="F88" s="535">
        <f t="shared" si="34"/>
        <v>0</v>
      </c>
      <c r="G88" s="535">
        <f t="shared" si="34"/>
        <v>0</v>
      </c>
      <c r="H88" s="535">
        <f t="shared" si="34"/>
        <v>0</v>
      </c>
      <c r="I88" s="536">
        <f t="shared" si="34"/>
        <v>0</v>
      </c>
    </row>
    <row r="89" spans="1:9" s="3792" customFormat="1">
      <c r="A89" s="5058"/>
      <c r="B89" s="5070"/>
      <c r="C89" s="537" t="s">
        <v>170</v>
      </c>
      <c r="D89" s="944">
        <f t="shared" ref="D89:I89" si="35">IFERROR(D88/D62,0)</f>
        <v>0</v>
      </c>
      <c r="E89" s="945">
        <f t="shared" si="35"/>
        <v>0</v>
      </c>
      <c r="F89" s="945">
        <f t="shared" si="35"/>
        <v>0</v>
      </c>
      <c r="G89" s="945">
        <f t="shared" si="35"/>
        <v>0</v>
      </c>
      <c r="H89" s="945">
        <f t="shared" si="35"/>
        <v>0</v>
      </c>
      <c r="I89" s="946">
        <f t="shared" si="35"/>
        <v>0</v>
      </c>
    </row>
    <row r="90" spans="1:9" s="3792" customFormat="1" ht="28.8">
      <c r="A90" s="5058"/>
      <c r="B90" s="5070"/>
      <c r="C90" s="537" t="s">
        <v>1114</v>
      </c>
      <c r="D90" s="556">
        <f>IFERROR(D88/'2. Променливи'!E123/365,0)</f>
        <v>0</v>
      </c>
      <c r="E90" s="557">
        <f>IFERROR(E88/'2. Променливи'!F123/365,0)</f>
        <v>0</v>
      </c>
      <c r="F90" s="581">
        <f>IFERROR(F88/'2. Променливи'!G123/365,0)</f>
        <v>0</v>
      </c>
      <c r="G90" s="580">
        <f>IFERROR(G88/'2. Променливи'!H123/365,0)</f>
        <v>0</v>
      </c>
      <c r="H90" s="580">
        <f>IFERROR(H88/'2. Променливи'!I123/365,0)</f>
        <v>0</v>
      </c>
      <c r="I90" s="582">
        <f>IFERROR(I88/'2. Променливи'!J123/365,0)</f>
        <v>0</v>
      </c>
    </row>
    <row r="91" spans="1:9" s="3792" customFormat="1" ht="13.8" thickBot="1">
      <c r="A91" s="5068"/>
      <c r="B91" s="5071"/>
      <c r="C91" s="572" t="s">
        <v>725</v>
      </c>
      <c r="D91" s="573">
        <f t="shared" ref="D91:I91" si="36">D62-D69-D88</f>
        <v>0</v>
      </c>
      <c r="E91" s="574">
        <f t="shared" si="36"/>
        <v>0</v>
      </c>
      <c r="F91" s="574">
        <f t="shared" si="36"/>
        <v>0</v>
      </c>
      <c r="G91" s="574">
        <f t="shared" si="36"/>
        <v>0</v>
      </c>
      <c r="H91" s="574">
        <f t="shared" si="36"/>
        <v>0</v>
      </c>
      <c r="I91" s="575">
        <f t="shared" si="36"/>
        <v>0</v>
      </c>
    </row>
    <row r="92" spans="1:9" s="3792" customFormat="1" ht="27" customHeight="1" thickBot="1">
      <c r="A92" s="518" t="s">
        <v>1116</v>
      </c>
      <c r="B92" s="3797" t="s">
        <v>1293</v>
      </c>
      <c r="C92" s="934"/>
      <c r="D92" s="519"/>
      <c r="E92" s="520"/>
      <c r="F92" s="520"/>
      <c r="G92" s="520"/>
      <c r="H92" s="520"/>
      <c r="I92" s="521"/>
    </row>
    <row r="93" spans="1:9" s="3792" customFormat="1" ht="24.75" customHeight="1">
      <c r="A93" s="522" t="s">
        <v>205</v>
      </c>
      <c r="B93" s="523" t="s">
        <v>570</v>
      </c>
      <c r="C93" s="524" t="s">
        <v>781</v>
      </c>
      <c r="D93" s="525">
        <f>D94+D95+D96+D97</f>
        <v>18028811</v>
      </c>
      <c r="E93" s="526">
        <f t="shared" ref="E93:I93" si="37">E94+E95+E96+E97</f>
        <v>19522086</v>
      </c>
      <c r="F93" s="526">
        <f t="shared" si="37"/>
        <v>19528394</v>
      </c>
      <c r="G93" s="526">
        <f t="shared" si="37"/>
        <v>19534717</v>
      </c>
      <c r="H93" s="526">
        <f t="shared" si="37"/>
        <v>19541052</v>
      </c>
      <c r="I93" s="527">
        <f t="shared" si="37"/>
        <v>19547405</v>
      </c>
    </row>
    <row r="94" spans="1:9" s="3798" customFormat="1" ht="33" customHeight="1">
      <c r="A94" s="528" t="s">
        <v>90</v>
      </c>
      <c r="B94" s="569" t="s">
        <v>906</v>
      </c>
      <c r="C94" s="529" t="s">
        <v>781</v>
      </c>
      <c r="D94" s="935">
        <f>'4.2. Продад. и закупени кол-ва'!D11+'4.2. Продад. и закупени кол-ва'!D30+'4.2. Продад. и закупени кол-ва'!D49</f>
        <v>4044528</v>
      </c>
      <c r="E94" s="935">
        <f>'4.2. Продад. и закупени кол-ва'!E11+'4.2. Продад. и закупени кол-ва'!E30+'4.2. Продад. и закупени кол-ва'!E49</f>
        <v>4469636</v>
      </c>
      <c r="F94" s="935">
        <f>'4.2. Продад. и закупени кол-ва'!F11+'4.2. Продад. и закупени кол-ва'!F30+'4.2. Продад. и закупени кол-ва'!F49</f>
        <v>4470642</v>
      </c>
      <c r="G94" s="935">
        <f>'4.2. Продад. и закупени кол-ва'!G11+'4.2. Продад. и закупени кол-ва'!G30+'4.2. Продад. и закупени кол-ва'!G49</f>
        <v>4471653</v>
      </c>
      <c r="H94" s="935">
        <f>'4.2. Продад. и закупени кол-ва'!H11+'4.2. Продад. и закупени кол-ва'!H30+'4.2. Продад. и закупени кол-ва'!H49</f>
        <v>4472677</v>
      </c>
      <c r="I94" s="936">
        <f>'4.2. Продад. и закупени кол-ва'!I11+'4.2. Продад. и закупени кол-ва'!I30+'4.2. Продад. и закупени кол-ва'!I49</f>
        <v>4473706</v>
      </c>
    </row>
    <row r="95" spans="1:9" s="3798" customFormat="1" ht="22.5" customHeight="1">
      <c r="A95" s="528" t="s">
        <v>91</v>
      </c>
      <c r="B95" s="569" t="s">
        <v>907</v>
      </c>
      <c r="C95" s="529" t="s">
        <v>781</v>
      </c>
      <c r="D95" s="935">
        <f>'4.2. Продад. и закупени кол-ва'!D12+'4.2. Продад. и закупени кол-ва'!D31+'4.2. Продад. и закупени кол-ва'!D50</f>
        <v>13977579</v>
      </c>
      <c r="E95" s="935">
        <f>'4.2. Продад. и закупени кол-ва'!E12+'4.2. Продад. и закупени кол-ва'!E31+'4.2. Продад. и закупени кол-ва'!E50</f>
        <v>15041905</v>
      </c>
      <c r="F95" s="935">
        <f>'4.2. Продад. и закупени кол-ва'!F12+'4.2. Продад. и закупени кол-ва'!F31+'4.2. Продад. и закупени кол-ва'!F50</f>
        <v>15047220</v>
      </c>
      <c r="G95" s="935">
        <f>'4.2. Продад. и закупени кол-ва'!G12+'4.2. Продад. и закупени кол-ва'!G31+'4.2. Продад. и закупени кол-ва'!G50</f>
        <v>15052577</v>
      </c>
      <c r="H95" s="935">
        <f>'4.2. Продад. и закупени кол-ва'!H12+'4.2. Продад. и закупени кол-ва'!H31+'4.2. Продад. и закупени кол-ва'!H50</f>
        <v>15057912</v>
      </c>
      <c r="I95" s="3786">
        <f>'4.2. Продад. и закупени кол-ва'!I12+'4.2. Продад. и закупени кол-ва'!I31+'4.2. Продад. и закупени кол-ва'!I50</f>
        <v>15063266</v>
      </c>
    </row>
    <row r="96" spans="1:9" s="3798" customFormat="1" ht="36" customHeight="1">
      <c r="A96" s="528" t="s">
        <v>93</v>
      </c>
      <c r="B96" s="569" t="s">
        <v>908</v>
      </c>
      <c r="C96" s="529" t="s">
        <v>781</v>
      </c>
      <c r="D96" s="935">
        <f>'4.2. Продад. и закупени кол-ва'!D13+'4.2. Продад. и закупени кол-ва'!D32+'4.2. Продад. и закупени кол-ва'!D51</f>
        <v>6704</v>
      </c>
      <c r="E96" s="935">
        <f>'4.2. Продад. и закупени кол-ва'!E13+'4.2. Продад. и закупени кол-ва'!E32+'4.2. Продад. и закупени кол-ва'!E51</f>
        <v>10545</v>
      </c>
      <c r="F96" s="935">
        <f>'4.2. Продад. и закупени кол-ва'!F13+'4.2. Продад. и закупени кол-ва'!F32+'4.2. Продад. и закупени кол-ва'!F51</f>
        <v>10532</v>
      </c>
      <c r="G96" s="935">
        <f>'4.2. Продад. и закупени кол-ва'!G13+'4.2. Продад. и закупени кол-ва'!G32+'4.2. Продад. и закупени кол-ва'!G51</f>
        <v>10487</v>
      </c>
      <c r="H96" s="935">
        <f>'4.2. Продад. и закупени кол-ва'!H13+'4.2. Продад. и закупени кол-ва'!H32+'4.2. Продад. и закупени кол-ва'!H51</f>
        <v>10463</v>
      </c>
      <c r="I96" s="936">
        <f>'4.2. Продад. и закупени кол-ва'!I13+'4.2. Продад. и закупени кол-ва'!I32+'4.2. Продад. и закупени кол-ва'!I51</f>
        <v>10433</v>
      </c>
    </row>
    <row r="97" spans="1:9" s="3798" customFormat="1" ht="34.5" customHeight="1" thickBot="1">
      <c r="A97" s="533" t="s">
        <v>145</v>
      </c>
      <c r="B97" s="569" t="s">
        <v>909</v>
      </c>
      <c r="C97" s="529" t="s">
        <v>781</v>
      </c>
      <c r="D97" s="935">
        <f>'4.2. Продад. и закупени кол-ва'!D14+'4.2. Продад. и закупени кол-ва'!D33+'4.2. Продад. и закупени кол-ва'!D52</f>
        <v>0</v>
      </c>
      <c r="E97" s="935">
        <f>'4.2. Продад. и закупени кол-ва'!E14+'4.2. Продад. и закупени кол-ва'!E33+'4.2. Продад. и закупени кол-ва'!E52</f>
        <v>0</v>
      </c>
      <c r="F97" s="935">
        <f>'4.2. Продад. и закупени кол-ва'!F14+'4.2. Продад. и закупени кол-ва'!F33+'4.2. Продад. и закупени кол-ва'!F52</f>
        <v>0</v>
      </c>
      <c r="G97" s="935">
        <f>'4.2. Продад. и закупени кол-ва'!G14+'4.2. Продад. и закупени кол-ва'!G33+'4.2. Продад. и закупени кол-ва'!G52</f>
        <v>0</v>
      </c>
      <c r="H97" s="935">
        <f>'4.2. Продад. и закупени кол-ва'!H14+'4.2. Продад. и закупени кол-ва'!H33+'4.2. Продад. и закупени кол-ва'!H52</f>
        <v>0</v>
      </c>
      <c r="I97" s="937">
        <f>'4.2. Продад. и закупени кол-ва'!I14+'4.2. Продад. и закупени кол-ва'!I33+'4.2. Продад. и закупени кол-ва'!I52</f>
        <v>0</v>
      </c>
    </row>
    <row r="98" spans="1:9" s="3798" customFormat="1" ht="15.6">
      <c r="A98" s="5046" t="s">
        <v>95</v>
      </c>
      <c r="B98" s="5048" t="s">
        <v>571</v>
      </c>
      <c r="C98" s="524" t="s">
        <v>781</v>
      </c>
      <c r="D98" s="534">
        <f t="shared" ref="D98:I98" si="38">D100+D102</f>
        <v>16915738</v>
      </c>
      <c r="E98" s="535">
        <f t="shared" si="38"/>
        <v>18331051</v>
      </c>
      <c r="F98" s="535">
        <f t="shared" si="38"/>
        <v>18330733</v>
      </c>
      <c r="G98" s="535">
        <f t="shared" si="38"/>
        <v>18330413</v>
      </c>
      <c r="H98" s="535">
        <f t="shared" si="38"/>
        <v>18330094</v>
      </c>
      <c r="I98" s="536">
        <f t="shared" si="38"/>
        <v>18329776</v>
      </c>
    </row>
    <row r="99" spans="1:9" s="3798" customFormat="1" ht="13.8" thickBot="1">
      <c r="A99" s="5058"/>
      <c r="B99" s="5059"/>
      <c r="C99" s="759" t="s">
        <v>170</v>
      </c>
      <c r="D99" s="760">
        <f t="shared" ref="D99:I99" si="39">IFERROR(D98/D93,0)</f>
        <v>0.93826143055135469</v>
      </c>
      <c r="E99" s="762">
        <f t="shared" si="39"/>
        <v>0.93899038248269162</v>
      </c>
      <c r="F99" s="762">
        <f t="shared" si="39"/>
        <v>0.93867078880116817</v>
      </c>
      <c r="G99" s="762">
        <f t="shared" si="39"/>
        <v>0.93835057861345006</v>
      </c>
      <c r="H99" s="762">
        <f t="shared" si="39"/>
        <v>0.93803005078743973</v>
      </c>
      <c r="I99" s="765">
        <f t="shared" si="39"/>
        <v>0.93770891839607351</v>
      </c>
    </row>
    <row r="100" spans="1:9" s="3798" customFormat="1" ht="15.6">
      <c r="A100" s="5060" t="s">
        <v>96</v>
      </c>
      <c r="B100" s="5061" t="s">
        <v>572</v>
      </c>
      <c r="C100" s="568" t="s">
        <v>781</v>
      </c>
      <c r="D100" s="1422">
        <f>'4.2. Продад. и закупени кол-ва'!D15+'4.2. Продад. и закупени кол-ва'!D34+'4.2. Продад. и закупени кол-ва'!D53</f>
        <v>16915738</v>
      </c>
      <c r="E100" s="810">
        <f>'4.2. Продад. и закупени кол-ва'!E15+'4.2. Продад. и закупени кол-ва'!E34+'4.2. Продад. и закупени кол-ва'!E53</f>
        <v>18322086</v>
      </c>
      <c r="F100" s="810">
        <f>'4.2. Продад. и закупени кол-ва'!F15+'4.2. Продад. и закупени кол-ва'!F34+'4.2. Продад. и закупени кол-ва'!F53</f>
        <v>18321758</v>
      </c>
      <c r="G100" s="810">
        <f>'4.2. Продад. и закупени кол-ва'!G15+'4.2. Продад. и закупени кол-ва'!G34+'4.2. Продад. и закупени кол-ва'!G53</f>
        <v>18321429</v>
      </c>
      <c r="H100" s="810">
        <f>'4.2. Продад. и закупени кол-ва'!H15+'4.2. Продад. и закупени кол-ва'!H34+'4.2. Продад. и закупени кол-ва'!H53</f>
        <v>18321100</v>
      </c>
      <c r="I100" s="811">
        <f>'4.2. Продад. и закупени кол-ва'!I15+'4.2. Продад. и закупени кол-ва'!I34+'4.2. Продад. и закупени кол-ва'!I53</f>
        <v>18320772</v>
      </c>
    </row>
    <row r="101" spans="1:9" s="3798" customFormat="1">
      <c r="A101" s="5051"/>
      <c r="B101" s="5053"/>
      <c r="C101" s="529" t="s">
        <v>170</v>
      </c>
      <c r="D101" s="545">
        <f t="shared" ref="D101:I101" si="40">IFERROR(D100/D93,0)</f>
        <v>0.93826143055135469</v>
      </c>
      <c r="E101" s="546">
        <f t="shared" si="40"/>
        <v>0.93853115901651085</v>
      </c>
      <c r="F101" s="546">
        <f t="shared" si="40"/>
        <v>0.93821120159701821</v>
      </c>
      <c r="G101" s="546">
        <f t="shared" si="40"/>
        <v>0.93789067945033455</v>
      </c>
      <c r="H101" s="546">
        <f t="shared" si="40"/>
        <v>0.93756978897553722</v>
      </c>
      <c r="I101" s="547">
        <f t="shared" si="40"/>
        <v>0.93724829459460224</v>
      </c>
    </row>
    <row r="102" spans="1:9" s="3798" customFormat="1" ht="15.6">
      <c r="A102" s="5072" t="s">
        <v>97</v>
      </c>
      <c r="B102" s="5057" t="s">
        <v>688</v>
      </c>
      <c r="C102" s="529" t="s">
        <v>781</v>
      </c>
      <c r="D102" s="3799">
        <f>'4.2. Продад. и закупени кол-ва'!D17+'4.2. Продад. и закупени кол-ва'!D36+'4.2. Продад. и закупени кол-ва'!D55</f>
        <v>0</v>
      </c>
      <c r="E102" s="3800">
        <f>'4.2. Продад. и закупени кол-ва'!E17+'4.2. Продад. и закупени кол-ва'!E36+'4.2. Продад. и закупени кол-ва'!E55</f>
        <v>8965</v>
      </c>
      <c r="F102" s="3800">
        <f>'4.2. Продад. и закупени кол-ва'!F17+'4.2. Продад. и закупени кол-ва'!F36+'4.2. Продад. и закупени кол-ва'!F55</f>
        <v>8975</v>
      </c>
      <c r="G102" s="3800">
        <f>'4.2. Продад. и закупени кол-ва'!G17+'4.2. Продад. и закупени кол-ва'!G36+'4.2. Продад. и закупени кол-ва'!G55</f>
        <v>8984</v>
      </c>
      <c r="H102" s="3800">
        <f>'4.2. Продад. и закупени кол-ва'!H17+'4.2. Продад. и закупени кол-ва'!H36+'4.2. Продад. и закупени кол-ва'!H55</f>
        <v>8994</v>
      </c>
      <c r="I102" s="3801">
        <f>'4.2. Продад. и закупени кол-ва'!I17+'4.2. Продад. и закупени кол-ва'!I36+'4.2. Продад. и закупени кол-ва'!I55</f>
        <v>9004</v>
      </c>
    </row>
    <row r="103" spans="1:9" s="3798" customFormat="1" ht="13.8" thickBot="1">
      <c r="A103" s="5073"/>
      <c r="B103" s="5074"/>
      <c r="C103" s="548" t="s">
        <v>170</v>
      </c>
      <c r="D103" s="928">
        <f t="shared" ref="D103:I103" si="41">IFERROR(D102/D93,0)</f>
        <v>0</v>
      </c>
      <c r="E103" s="929">
        <f t="shared" si="41"/>
        <v>4.5922346618081696E-4</v>
      </c>
      <c r="F103" s="929">
        <f t="shared" si="41"/>
        <v>4.5958720415001868E-4</v>
      </c>
      <c r="G103" s="929">
        <f t="shared" si="41"/>
        <v>4.5989916311559568E-4</v>
      </c>
      <c r="H103" s="929">
        <f t="shared" si="41"/>
        <v>4.6026181190245028E-4</v>
      </c>
      <c r="I103" s="930">
        <f t="shared" si="41"/>
        <v>4.6062380147134617E-4</v>
      </c>
    </row>
    <row r="104" spans="1:9" s="3798" customFormat="1" ht="15.6">
      <c r="A104" s="5046" t="s">
        <v>99</v>
      </c>
      <c r="B104" s="5075" t="s">
        <v>689</v>
      </c>
      <c r="C104" s="524" t="s">
        <v>781</v>
      </c>
      <c r="D104" s="534">
        <f t="shared" ref="D104:I104" si="42">D106+D108</f>
        <v>1113073</v>
      </c>
      <c r="E104" s="535">
        <f t="shared" si="42"/>
        <v>1191035</v>
      </c>
      <c r="F104" s="535">
        <f t="shared" si="42"/>
        <v>1197661</v>
      </c>
      <c r="G104" s="535">
        <f t="shared" si="42"/>
        <v>1204304</v>
      </c>
      <c r="H104" s="535">
        <f t="shared" si="42"/>
        <v>1210958</v>
      </c>
      <c r="I104" s="536">
        <f t="shared" si="42"/>
        <v>1217629</v>
      </c>
    </row>
    <row r="105" spans="1:9" s="3798" customFormat="1" ht="13.8" thickBot="1">
      <c r="A105" s="5068"/>
      <c r="B105" s="5076"/>
      <c r="C105" s="572" t="s">
        <v>170</v>
      </c>
      <c r="D105" s="925">
        <f t="shared" ref="D105:I105" si="43">IFERROR(D104/D93,0)</f>
        <v>6.1738569448645281E-2</v>
      </c>
      <c r="E105" s="764">
        <f t="shared" si="43"/>
        <v>6.1009617517308344E-2</v>
      </c>
      <c r="F105" s="764">
        <f t="shared" si="43"/>
        <v>6.1329211198831814E-2</v>
      </c>
      <c r="G105" s="764">
        <f t="shared" si="43"/>
        <v>6.1649421386549906E-2</v>
      </c>
      <c r="H105" s="764">
        <f t="shared" si="43"/>
        <v>6.1969949212560306E-2</v>
      </c>
      <c r="I105" s="926">
        <f t="shared" si="43"/>
        <v>6.2291081603926456E-2</v>
      </c>
    </row>
    <row r="106" spans="1:9" s="3798" customFormat="1" ht="15.6">
      <c r="A106" s="5077" t="s">
        <v>171</v>
      </c>
      <c r="B106" s="5063" t="s">
        <v>580</v>
      </c>
      <c r="C106" s="568" t="s">
        <v>781</v>
      </c>
      <c r="D106" s="761">
        <f>'4.2. Продад. и закупени кол-ва'!D21+'4.2. Продад. и закупени кол-ва'!D40+'4.2. Продад. и закупени кол-ва'!D59</f>
        <v>212500</v>
      </c>
      <c r="E106" s="763">
        <f>'4.2. Продад. и закупени кол-ва'!E21+'4.2. Продад. и закупени кол-ва'!E40+'4.2. Продад. и закупени кол-ва'!E59</f>
        <v>226703</v>
      </c>
      <c r="F106" s="559">
        <f>'4.2. Продад. и закупени кол-ва'!F21+'4.2. Продад. и закупени кол-ва'!F40+'4.2. Продад. и закупени кол-ва'!F59</f>
        <v>226979</v>
      </c>
      <c r="G106" s="763">
        <f>'4.2. Продад. и закупени кол-ва'!G21+'4.2. Продад. и закупени кол-ва'!G40+'4.2. Продад. и закупени кол-ва'!G59</f>
        <v>227257</v>
      </c>
      <c r="H106" s="559">
        <f>'4.2. Продад. и закупени кол-ва'!H21+'4.2. Продад. и закупени кол-ва'!H40+'4.2. Продад. и закупени кол-ва'!H59</f>
        <v>227534</v>
      </c>
      <c r="I106" s="766">
        <f>'4.2. Продад. и закупени кол-ва'!I21+'4.2. Продад. и закупени кол-ва'!I40+'4.2. Продад. и закупени кол-ва'!I59</f>
        <v>227813</v>
      </c>
    </row>
    <row r="107" spans="1:9" s="3798" customFormat="1">
      <c r="A107" s="5050"/>
      <c r="B107" s="5064"/>
      <c r="C107" s="927" t="s">
        <v>170</v>
      </c>
      <c r="D107" s="561">
        <f t="shared" ref="D107:I107" si="44">IFERROR(D106/D93,0)</f>
        <v>1.1786689649139924E-2</v>
      </c>
      <c r="E107" s="562">
        <f t="shared" si="44"/>
        <v>1.1612642214566619E-2</v>
      </c>
      <c r="F107" s="562">
        <f t="shared" si="44"/>
        <v>1.1623024402313883E-2</v>
      </c>
      <c r="G107" s="562">
        <f t="shared" si="44"/>
        <v>1.1633493333944894E-2</v>
      </c>
      <c r="H107" s="562">
        <f t="shared" si="44"/>
        <v>1.1643897165823007E-2</v>
      </c>
      <c r="I107" s="563">
        <f t="shared" si="44"/>
        <v>1.165438583791557E-2</v>
      </c>
    </row>
    <row r="108" spans="1:9" s="3798" customFormat="1" ht="15.6">
      <c r="A108" s="5062" t="s">
        <v>172</v>
      </c>
      <c r="B108" s="5065" t="s">
        <v>585</v>
      </c>
      <c r="C108" s="529" t="s">
        <v>781</v>
      </c>
      <c r="D108" s="558">
        <f>'4.2. Продад. и закупени кол-ва'!D23+'4.2. Продад. и закупени кол-ва'!D42+'4.2. Продад. и закупени кол-ва'!D61</f>
        <v>900573</v>
      </c>
      <c r="E108" s="559">
        <f>'4.2. Продад. и закупени кол-ва'!E23+'4.2. Продад. и закупени кол-ва'!E42+'4.2. Продад. и закупени кол-ва'!E61</f>
        <v>964332</v>
      </c>
      <c r="F108" s="559">
        <f>'4.2. Продад. и закупени кол-ва'!F23+'4.2. Продад. и закупени кол-ва'!F42+'4.2. Продад. и закупени кол-ва'!F61</f>
        <v>970682</v>
      </c>
      <c r="G108" s="559">
        <f>'4.2. Продад. и закупени кол-ва'!G23+'4.2. Продад. и закупени кол-ва'!G42+'4.2. Продад. и закупени кол-ва'!G61</f>
        <v>977047</v>
      </c>
      <c r="H108" s="559">
        <f>'4.2. Продад. и закупени кол-ва'!H23+'4.2. Продад. и закупени кол-ва'!H42+'4.2. Продад. и закупени кол-ва'!H61</f>
        <v>983424</v>
      </c>
      <c r="I108" s="560">
        <f>'4.2. Продад. и закупени кол-ва'!I23+'4.2. Продад. и закупени кол-ва'!I42+'4.2. Продад. и закупени кол-ва'!I61</f>
        <v>989816</v>
      </c>
    </row>
    <row r="109" spans="1:9" s="3798" customFormat="1" ht="13.8" thickBot="1">
      <c r="A109" s="5050"/>
      <c r="B109" s="5066"/>
      <c r="C109" s="529" t="s">
        <v>170</v>
      </c>
      <c r="D109" s="561">
        <f t="shared" ref="D109:I109" si="45">IFERROR(D108/D93,0)</f>
        <v>4.9951879799505355E-2</v>
      </c>
      <c r="E109" s="562">
        <f t="shared" si="45"/>
        <v>4.9396975302741723E-2</v>
      </c>
      <c r="F109" s="562">
        <f t="shared" si="45"/>
        <v>4.9706186796517934E-2</v>
      </c>
      <c r="G109" s="562">
        <f t="shared" si="45"/>
        <v>5.0015928052605012E-2</v>
      </c>
      <c r="H109" s="562">
        <f t="shared" si="45"/>
        <v>5.0326052046737298E-2</v>
      </c>
      <c r="I109" s="563">
        <f t="shared" si="45"/>
        <v>5.0636695766010882E-2</v>
      </c>
    </row>
    <row r="110" spans="1:9" s="3798" customFormat="1" ht="15.6">
      <c r="A110" s="5046" t="s">
        <v>100</v>
      </c>
      <c r="B110" s="5069" t="s">
        <v>594</v>
      </c>
      <c r="C110" s="571" t="s">
        <v>781</v>
      </c>
      <c r="D110" s="799">
        <f t="shared" ref="D110:I110" si="46">D104+D102</f>
        <v>1113073</v>
      </c>
      <c r="E110" s="535">
        <f t="shared" si="46"/>
        <v>1200000</v>
      </c>
      <c r="F110" s="913">
        <f t="shared" si="46"/>
        <v>1206636</v>
      </c>
      <c r="G110" s="914">
        <f t="shared" si="46"/>
        <v>1213288</v>
      </c>
      <c r="H110" s="914">
        <f t="shared" si="46"/>
        <v>1219952</v>
      </c>
      <c r="I110" s="536">
        <f t="shared" si="46"/>
        <v>1226633</v>
      </c>
    </row>
    <row r="111" spans="1:9" s="3798" customFormat="1">
      <c r="A111" s="5058"/>
      <c r="B111" s="5070"/>
      <c r="C111" s="537" t="s">
        <v>170</v>
      </c>
      <c r="D111" s="944">
        <f t="shared" ref="D111:I111" si="47">IFERROR(D110/D93,0)</f>
        <v>6.1738569448645281E-2</v>
      </c>
      <c r="E111" s="945">
        <f t="shared" si="47"/>
        <v>6.1468840983489162E-2</v>
      </c>
      <c r="F111" s="945">
        <f t="shared" si="47"/>
        <v>6.1788798402981834E-2</v>
      </c>
      <c r="G111" s="945">
        <f t="shared" si="47"/>
        <v>6.2109320549665503E-2</v>
      </c>
      <c r="H111" s="945">
        <f t="shared" si="47"/>
        <v>6.2430211024462758E-2</v>
      </c>
      <c r="I111" s="946">
        <f t="shared" si="47"/>
        <v>6.2751705405397804E-2</v>
      </c>
    </row>
    <row r="112" spans="1:9" s="3798" customFormat="1" ht="13.8" thickBot="1">
      <c r="A112" s="5068"/>
      <c r="B112" s="5071"/>
      <c r="C112" s="572" t="s">
        <v>725</v>
      </c>
      <c r="D112" s="573">
        <f t="shared" ref="D112:I112" si="48">D93-D100-D110</f>
        <v>0</v>
      </c>
      <c r="E112" s="574">
        <f t="shared" si="48"/>
        <v>0</v>
      </c>
      <c r="F112" s="574">
        <f t="shared" si="48"/>
        <v>0</v>
      </c>
      <c r="G112" s="574">
        <f t="shared" si="48"/>
        <v>0</v>
      </c>
      <c r="H112" s="574">
        <f t="shared" si="48"/>
        <v>0</v>
      </c>
      <c r="I112" s="575">
        <f t="shared" si="48"/>
        <v>0</v>
      </c>
    </row>
    <row r="113" spans="1:12" s="3798" customFormat="1" ht="26.4">
      <c r="A113" s="910"/>
      <c r="B113" s="938" t="s">
        <v>1330</v>
      </c>
      <c r="C113" s="939"/>
      <c r="D113" s="939">
        <f t="shared" ref="D113:I113" si="49">D100-(D14+D16)</f>
        <v>0</v>
      </c>
      <c r="E113" s="940">
        <f t="shared" si="49"/>
        <v>0</v>
      </c>
      <c r="F113" s="940">
        <f t="shared" si="49"/>
        <v>0</v>
      </c>
      <c r="G113" s="940">
        <f t="shared" si="49"/>
        <v>0</v>
      </c>
      <c r="H113" s="939">
        <f t="shared" si="49"/>
        <v>0</v>
      </c>
      <c r="I113" s="939">
        <f t="shared" si="49"/>
        <v>0</v>
      </c>
    </row>
    <row r="114" spans="1:12" s="3798" customFormat="1" ht="26.4">
      <c r="A114" s="911"/>
      <c r="B114" s="938" t="s">
        <v>1331</v>
      </c>
      <c r="C114" s="941"/>
      <c r="D114" s="942">
        <f t="shared" ref="D114:I114" si="50">D110-(D15+D17)</f>
        <v>0</v>
      </c>
      <c r="E114" s="943">
        <f t="shared" si="50"/>
        <v>0</v>
      </c>
      <c r="F114" s="943">
        <f t="shared" si="50"/>
        <v>0</v>
      </c>
      <c r="G114" s="943">
        <f t="shared" si="50"/>
        <v>0</v>
      </c>
      <c r="H114" s="942">
        <f t="shared" si="50"/>
        <v>0</v>
      </c>
      <c r="I114" s="942">
        <f t="shared" si="50"/>
        <v>0</v>
      </c>
    </row>
    <row r="115" spans="1:12">
      <c r="J115" s="46"/>
      <c r="K115" s="46"/>
    </row>
    <row r="116" spans="1:12">
      <c r="B116" s="1791" t="str">
        <f>'Приложение '!B82</f>
        <v>Дата: 16.03.2026</v>
      </c>
      <c r="F116" s="1792"/>
      <c r="J116" s="48"/>
      <c r="K116" s="48"/>
    </row>
    <row r="117" spans="1:12">
      <c r="C117" s="5017"/>
      <c r="D117" s="5017"/>
      <c r="F117" s="1792"/>
      <c r="G117" s="1793"/>
      <c r="I117" s="1794"/>
      <c r="J117" s="48"/>
      <c r="K117" s="48"/>
      <c r="L117" s="47"/>
    </row>
    <row r="118" spans="1:12">
      <c r="F118" s="1792"/>
      <c r="I118" s="1794"/>
      <c r="J118" s="48"/>
      <c r="K118" s="48"/>
      <c r="L118" s="47"/>
    </row>
    <row r="119" spans="1:12">
      <c r="A119" s="1795" t="s">
        <v>187</v>
      </c>
      <c r="G119" s="1796"/>
      <c r="I119" s="1794"/>
      <c r="J119" s="48"/>
      <c r="K119" s="48"/>
      <c r="L119" s="1794"/>
    </row>
    <row r="120" spans="1:12">
      <c r="A120" s="1797" t="s">
        <v>188</v>
      </c>
      <c r="B120" s="1795"/>
      <c r="C120" s="1795"/>
      <c r="D120" s="1795"/>
      <c r="E120" s="1798"/>
      <c r="F120" s="1798"/>
    </row>
    <row r="121" spans="1:12" s="1795" customFormat="1" ht="30.75" customHeight="1">
      <c r="A121" s="5019" t="s">
        <v>726</v>
      </c>
      <c r="B121" s="5019"/>
      <c r="C121" s="5019"/>
      <c r="D121" s="5019"/>
      <c r="E121" s="5019"/>
      <c r="F121" s="5019"/>
      <c r="G121" s="5019"/>
      <c r="H121" s="5019"/>
      <c r="I121" s="5019"/>
    </row>
    <row r="122" spans="1:12" s="1795" customFormat="1" ht="63" customHeight="1">
      <c r="A122" s="5019" t="s">
        <v>1475</v>
      </c>
      <c r="B122" s="5019"/>
      <c r="C122" s="5019"/>
      <c r="D122" s="5019"/>
      <c r="E122" s="5019"/>
      <c r="F122" s="5019"/>
      <c r="G122" s="5019"/>
      <c r="H122" s="5019"/>
      <c r="I122" s="5019"/>
    </row>
    <row r="123" spans="1:12" ht="79.5" customHeight="1">
      <c r="A123" s="5018" t="s">
        <v>1470</v>
      </c>
      <c r="B123" s="5018"/>
      <c r="C123" s="5018"/>
      <c r="D123" s="5018"/>
      <c r="E123" s="5018"/>
      <c r="F123" s="5018"/>
      <c r="G123" s="5018"/>
      <c r="H123" s="5018"/>
      <c r="I123" s="5018"/>
    </row>
  </sheetData>
  <sheetProtection password="EF75" sheet="1" objects="1" scenarios="1" formatCells="0" formatColumns="0" formatRows="0"/>
  <mergeCells count="54">
    <mergeCell ref="A122:I122"/>
    <mergeCell ref="A2:I2"/>
    <mergeCell ref="A3:I3"/>
    <mergeCell ref="A108:A109"/>
    <mergeCell ref="B108:B109"/>
    <mergeCell ref="A110:A112"/>
    <mergeCell ref="B110:B112"/>
    <mergeCell ref="A102:A103"/>
    <mergeCell ref="B102:B103"/>
    <mergeCell ref="A104:A105"/>
    <mergeCell ref="B104:B105"/>
    <mergeCell ref="A106:A107"/>
    <mergeCell ref="B106:B107"/>
    <mergeCell ref="A88:A91"/>
    <mergeCell ref="B88:B91"/>
    <mergeCell ref="A98:A99"/>
    <mergeCell ref="A71:A72"/>
    <mergeCell ref="B71:B72"/>
    <mergeCell ref="A75:A77"/>
    <mergeCell ref="B98:B99"/>
    <mergeCell ref="A100:A101"/>
    <mergeCell ref="B100:B101"/>
    <mergeCell ref="B75:B77"/>
    <mergeCell ref="A78:A79"/>
    <mergeCell ref="B78:B79"/>
    <mergeCell ref="A82:A83"/>
    <mergeCell ref="B82:B83"/>
    <mergeCell ref="A53:A54"/>
    <mergeCell ref="B53:B54"/>
    <mergeCell ref="A67:A68"/>
    <mergeCell ref="B67:B68"/>
    <mergeCell ref="A69:A70"/>
    <mergeCell ref="B69:B70"/>
    <mergeCell ref="A43:A46"/>
    <mergeCell ref="B43:B46"/>
    <mergeCell ref="B37:B38"/>
    <mergeCell ref="A48:A49"/>
    <mergeCell ref="B48:B49"/>
    <mergeCell ref="C117:D117"/>
    <mergeCell ref="A123:I123"/>
    <mergeCell ref="A121:I121"/>
    <mergeCell ref="A4:I4"/>
    <mergeCell ref="A5:I5"/>
    <mergeCell ref="A18:A19"/>
    <mergeCell ref="B18:B19"/>
    <mergeCell ref="A20:A21"/>
    <mergeCell ref="B20:B21"/>
    <mergeCell ref="A26:A27"/>
    <mergeCell ref="B26:B27"/>
    <mergeCell ref="A30:A32"/>
    <mergeCell ref="B30:B32"/>
    <mergeCell ref="A33:A34"/>
    <mergeCell ref="B33:B34"/>
    <mergeCell ref="A37:A38"/>
  </mergeCells>
  <printOptions horizontalCentered="1"/>
  <pageMargins left="0.59055118110236227" right="0.19685039370078741" top="0.59055118110236227" bottom="0.19685039370078741" header="0.31496062992125984" footer="0.11811023622047245"/>
  <pageSetup paperSize="9" scale="79" orientation="portrait" r:id="rId1"/>
  <headerFooter alignWithMargins="0">
    <oddFooter>&amp;C&amp;A&amp;RСтр. &amp;P от &amp;N</oddFooter>
  </headerFooter>
  <rowBreaks count="2" manualBreakCount="2">
    <brk id="56" max="8" man="1"/>
    <brk id="103" max="8" man="1"/>
  </rowBreaks>
  <ignoredErrors>
    <ignoredError sqref="D18 D43 E18:I18 E43:I43" unlockedFormula="1"/>
    <ignoredError sqref="A18:A21 A9:A14 A26:A38"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CC"/>
  </sheetPr>
  <dimension ref="A1:M139"/>
  <sheetViews>
    <sheetView showGridLines="0" view="pageBreakPreview" topLeftCell="A127" zoomScale="90" zoomScaleNormal="70" zoomScaleSheetLayoutView="90" workbookViewId="0">
      <selection activeCell="G97" sqref="G97"/>
    </sheetView>
  </sheetViews>
  <sheetFormatPr defaultColWidth="9.109375" defaultRowHeight="13.2"/>
  <cols>
    <col min="1" max="1" width="46.88671875" style="1801" customWidth="1"/>
    <col min="2" max="2" width="62.88671875" style="1801" customWidth="1"/>
    <col min="3" max="3" width="6.88671875" style="1801" customWidth="1"/>
    <col min="4" max="11" width="8.6640625" style="1801" customWidth="1"/>
    <col min="12" max="12" width="12.5546875" style="1801" customWidth="1"/>
    <col min="13" max="13" width="15.6640625" style="1801" customWidth="1"/>
    <col min="14" max="14" width="11.5546875" style="1801" customWidth="1"/>
    <col min="15" max="16384" width="9.109375" style="1801"/>
  </cols>
  <sheetData>
    <row r="1" spans="1:13" ht="13.8">
      <c r="M1" s="1802" t="s">
        <v>0</v>
      </c>
    </row>
    <row r="2" spans="1:13" ht="15.6">
      <c r="A2" s="5098" t="s">
        <v>1165</v>
      </c>
      <c r="B2" s="5098"/>
      <c r="C2" s="5098"/>
      <c r="D2" s="5098"/>
      <c r="E2" s="5098"/>
      <c r="F2" s="5098"/>
      <c r="G2" s="5098"/>
      <c r="H2" s="5098"/>
      <c r="I2" s="5098"/>
      <c r="J2" s="5098"/>
      <c r="K2" s="5098"/>
      <c r="L2" s="5098"/>
      <c r="M2" s="5098"/>
    </row>
    <row r="3" spans="1:13" ht="15.6">
      <c r="A3" s="5099" t="s">
        <v>1737</v>
      </c>
      <c r="B3" s="5099"/>
      <c r="C3" s="5099"/>
      <c r="D3" s="5099"/>
      <c r="E3" s="5099"/>
      <c r="F3" s="5099"/>
      <c r="G3" s="5099"/>
      <c r="H3" s="5099"/>
      <c r="I3" s="5099"/>
      <c r="J3" s="5099"/>
      <c r="K3" s="5099"/>
      <c r="L3" s="5099"/>
      <c r="M3" s="5099"/>
    </row>
    <row r="4" spans="1:13" ht="15.6">
      <c r="A4" s="5099" t="str">
        <f>'1. Обща информация'!A4</f>
        <v>на "В И К" АД, гр. Ловеч</v>
      </c>
      <c r="B4" s="5099"/>
      <c r="C4" s="5099"/>
      <c r="D4" s="5099"/>
      <c r="E4" s="5099"/>
      <c r="F4" s="5099"/>
      <c r="G4" s="5099"/>
      <c r="H4" s="5099"/>
      <c r="I4" s="5099"/>
      <c r="J4" s="5099"/>
      <c r="K4" s="5099"/>
      <c r="L4" s="5099"/>
      <c r="M4" s="5099"/>
    </row>
    <row r="5" spans="1:13" ht="15.6">
      <c r="A5" s="5099" t="str">
        <f>'1. Обща информация'!A5</f>
        <v>ЕИК по БУЛСТАТ: 110549443</v>
      </c>
      <c r="B5" s="5099"/>
      <c r="C5" s="5099"/>
      <c r="D5" s="5099"/>
      <c r="E5" s="5099"/>
      <c r="F5" s="5099"/>
      <c r="G5" s="5099"/>
      <c r="H5" s="5099"/>
      <c r="I5" s="5099"/>
      <c r="J5" s="5099"/>
      <c r="K5" s="5099"/>
      <c r="L5" s="5099"/>
      <c r="M5" s="5099"/>
    </row>
    <row r="6" spans="1:13" ht="18" customHeight="1" thickBot="1">
      <c r="A6" s="5100" t="s">
        <v>1400</v>
      </c>
      <c r="B6" s="5101"/>
      <c r="C6" s="1803"/>
      <c r="G6" s="1804"/>
      <c r="H6" s="1804"/>
      <c r="I6" s="1804"/>
      <c r="J6" s="1804"/>
      <c r="K6" s="1804"/>
    </row>
    <row r="7" spans="1:13" ht="16.5" customHeight="1">
      <c r="A7" s="5111" t="s">
        <v>82</v>
      </c>
      <c r="B7" s="5113" t="s">
        <v>1128</v>
      </c>
      <c r="C7" s="5113" t="s">
        <v>166</v>
      </c>
      <c r="D7" s="4248" t="str">
        <f>CONCATENATE(LEFT(G7,4)-4, " г. ")</f>
        <v xml:space="preserve">2023 г. </v>
      </c>
      <c r="E7" s="4249" t="str">
        <f>CONCATENATE(LEFT(H7,4)-4, " г. ")</f>
        <v xml:space="preserve">2024 г. </v>
      </c>
      <c r="F7" s="4250" t="str">
        <f>CONCATENATE(LEFT(I7,4)-4, " г. ")</f>
        <v xml:space="preserve">2025 г. </v>
      </c>
      <c r="G7" s="4251" t="str">
        <f>'Приложение '!$C14</f>
        <v>2027 г.</v>
      </c>
      <c r="H7" s="4252" t="str">
        <f>'Приложение '!$C15</f>
        <v>2028 г.</v>
      </c>
      <c r="I7" s="4252" t="str">
        <f>'Приложение '!$C16</f>
        <v>2029 г.</v>
      </c>
      <c r="J7" s="4252" t="str">
        <f>'Приложение '!$C17</f>
        <v>2030 г.</v>
      </c>
      <c r="K7" s="4250" t="str">
        <f>'Приложение '!$C18</f>
        <v>2031 г.</v>
      </c>
      <c r="L7" s="5115" t="str">
        <f>CONCATENATE("Средноаритметична",D7," - ",F7)</f>
        <v xml:space="preserve">Средноаритметична2023 г.  - 2025 г. </v>
      </c>
      <c r="M7" s="5113" t="s">
        <v>1129</v>
      </c>
    </row>
    <row r="8" spans="1:13" ht="20.25" customHeight="1" thickBot="1">
      <c r="A8" s="5112"/>
      <c r="B8" s="5114"/>
      <c r="C8" s="5114"/>
      <c r="D8" s="5095" t="s">
        <v>1328</v>
      </c>
      <c r="E8" s="5096"/>
      <c r="F8" s="5097"/>
      <c r="G8" s="5095" t="s">
        <v>1329</v>
      </c>
      <c r="H8" s="5096"/>
      <c r="I8" s="5096"/>
      <c r="J8" s="5096"/>
      <c r="K8" s="5097"/>
      <c r="L8" s="5116"/>
      <c r="M8" s="5114"/>
    </row>
    <row r="9" spans="1:13">
      <c r="A9" s="5106" t="s">
        <v>1416</v>
      </c>
      <c r="B9" s="4051" t="s">
        <v>1130</v>
      </c>
      <c r="C9" s="1806" t="s">
        <v>676</v>
      </c>
      <c r="D9" s="996"/>
      <c r="E9" s="997"/>
      <c r="F9" s="998"/>
      <c r="G9" s="921">
        <v>78959</v>
      </c>
      <c r="H9" s="733">
        <v>77626</v>
      </c>
      <c r="I9" s="733">
        <v>76296</v>
      </c>
      <c r="J9" s="733">
        <v>74965</v>
      </c>
      <c r="K9" s="732">
        <v>73846</v>
      </c>
      <c r="L9" s="5102">
        <f>IFERROR(AVERAGE(D13:F13),0)</f>
        <v>85315.333333333328</v>
      </c>
      <c r="M9" s="728"/>
    </row>
    <row r="10" spans="1:13">
      <c r="A10" s="5107"/>
      <c r="B10" s="4052" t="s">
        <v>1427</v>
      </c>
      <c r="C10" s="1807" t="s">
        <v>170</v>
      </c>
      <c r="D10" s="1001"/>
      <c r="E10" s="1002"/>
      <c r="F10" s="4018"/>
      <c r="G10" s="1808"/>
      <c r="H10" s="1004">
        <f>IFERROR((H9-G9)/G9,0)</f>
        <v>-1.6882179358907786E-2</v>
      </c>
      <c r="I10" s="1004">
        <f>IFERROR((I9-H9)/H9,0)</f>
        <v>-1.7133434673949451E-2</v>
      </c>
      <c r="J10" s="1004">
        <f>IFERROR((J9-I9)/I9,0)</f>
        <v>-1.7445213379469436E-2</v>
      </c>
      <c r="K10" s="1005">
        <f>IFERROR((K9-J9)/J9,0)</f>
        <v>-1.4926965917428134E-2</v>
      </c>
      <c r="L10" s="5103"/>
      <c r="M10" s="4062"/>
    </row>
    <row r="11" spans="1:13" ht="22.5" customHeight="1">
      <c r="A11" s="5108"/>
      <c r="B11" s="4053" t="s">
        <v>1772</v>
      </c>
      <c r="C11" s="1810" t="s">
        <v>676</v>
      </c>
      <c r="D11" s="1012"/>
      <c r="E11" s="1013"/>
      <c r="F11" s="1014"/>
      <c r="G11" s="922">
        <v>11</v>
      </c>
      <c r="H11" s="746">
        <v>7</v>
      </c>
      <c r="I11" s="746">
        <v>6</v>
      </c>
      <c r="J11" s="746">
        <v>30</v>
      </c>
      <c r="K11" s="746">
        <v>87</v>
      </c>
      <c r="L11" s="5103"/>
      <c r="M11" s="731"/>
    </row>
    <row r="12" spans="1:13" ht="26.4">
      <c r="A12" s="5109"/>
      <c r="B12" s="4049" t="s">
        <v>1771</v>
      </c>
      <c r="C12" s="1810" t="s">
        <v>676</v>
      </c>
      <c r="D12" s="1012"/>
      <c r="E12" s="1013"/>
      <c r="F12" s="1014"/>
      <c r="G12" s="4040">
        <f>G11</f>
        <v>11</v>
      </c>
      <c r="H12" s="4041">
        <f>SUM(G11:H11)</f>
        <v>18</v>
      </c>
      <c r="I12" s="4041">
        <f>SUM(G11:I11)</f>
        <v>24</v>
      </c>
      <c r="J12" s="4041">
        <f>SUM(G11:J11)</f>
        <v>54</v>
      </c>
      <c r="K12" s="4041">
        <f>SUM(G11:K11)</f>
        <v>141</v>
      </c>
      <c r="L12" s="5103"/>
      <c r="M12" s="4062"/>
    </row>
    <row r="13" spans="1:13" ht="13.8" thickBot="1">
      <c r="A13" s="5110"/>
      <c r="B13" s="4054" t="s">
        <v>1028</v>
      </c>
      <c r="C13" s="1812" t="s">
        <v>676</v>
      </c>
      <c r="D13" s="1915">
        <v>86176</v>
      </c>
      <c r="E13" s="1916">
        <v>85403</v>
      </c>
      <c r="F13" s="1917">
        <v>84367</v>
      </c>
      <c r="G13" s="4034">
        <f>G9+G12</f>
        <v>78970</v>
      </c>
      <c r="H13" s="4034">
        <f t="shared" ref="H13:K13" si="0">H9+H12</f>
        <v>77644</v>
      </c>
      <c r="I13" s="4034">
        <f t="shared" si="0"/>
        <v>76320</v>
      </c>
      <c r="J13" s="4034">
        <f t="shared" si="0"/>
        <v>75019</v>
      </c>
      <c r="K13" s="4034">
        <f t="shared" si="0"/>
        <v>73987</v>
      </c>
      <c r="L13" s="5104"/>
      <c r="M13" s="731"/>
    </row>
    <row r="14" spans="1:13" ht="12.75" customHeight="1">
      <c r="A14" s="5128" t="s">
        <v>1131</v>
      </c>
      <c r="B14" s="4051" t="s">
        <v>1130</v>
      </c>
      <c r="C14" s="1806" t="s">
        <v>676</v>
      </c>
      <c r="D14" s="996"/>
      <c r="E14" s="997"/>
      <c r="F14" s="998"/>
      <c r="G14" s="4065">
        <v>65115</v>
      </c>
      <c r="H14" s="744">
        <v>65115</v>
      </c>
      <c r="I14" s="744">
        <v>65115</v>
      </c>
      <c r="J14" s="744">
        <v>65115</v>
      </c>
      <c r="K14" s="743">
        <v>65115</v>
      </c>
      <c r="L14" s="5102">
        <f>IFERROR(AVERAGE(D17:F17),0)</f>
        <v>65115</v>
      </c>
      <c r="M14" s="728"/>
    </row>
    <row r="15" spans="1:13" ht="26.4">
      <c r="A15" s="5129"/>
      <c r="B15" s="4053" t="s">
        <v>1770</v>
      </c>
      <c r="C15" s="1810" t="s">
        <v>676</v>
      </c>
      <c r="D15" s="1012"/>
      <c r="E15" s="1013"/>
      <c r="F15" s="1014"/>
      <c r="G15" s="923">
        <v>171</v>
      </c>
      <c r="H15" s="737">
        <v>6</v>
      </c>
      <c r="I15" s="737">
        <v>8</v>
      </c>
      <c r="J15" s="737">
        <v>50</v>
      </c>
      <c r="K15" s="740">
        <v>52</v>
      </c>
      <c r="L15" s="5103"/>
      <c r="M15" s="727"/>
    </row>
    <row r="16" spans="1:13" ht="26.4">
      <c r="A16" s="5129"/>
      <c r="B16" s="4049" t="s">
        <v>1771</v>
      </c>
      <c r="C16" s="1810" t="s">
        <v>676</v>
      </c>
      <c r="D16" s="1012"/>
      <c r="E16" s="1013"/>
      <c r="F16" s="1014"/>
      <c r="G16" s="4040">
        <f>G15</f>
        <v>171</v>
      </c>
      <c r="H16" s="4041">
        <f>SUM(G15:H15)</f>
        <v>177</v>
      </c>
      <c r="I16" s="4041">
        <f>SUM(G15:I15)</f>
        <v>185</v>
      </c>
      <c r="J16" s="4041">
        <f>SUM(G15:J15)</f>
        <v>235</v>
      </c>
      <c r="K16" s="4041">
        <f>SUM(G15:K15)</f>
        <v>287</v>
      </c>
      <c r="L16" s="5103"/>
      <c r="M16" s="4062"/>
    </row>
    <row r="17" spans="1:13">
      <c r="A17" s="5129"/>
      <c r="B17" s="4055" t="s">
        <v>1028</v>
      </c>
      <c r="C17" s="1814" t="s">
        <v>676</v>
      </c>
      <c r="D17" s="1815">
        <f>D18+D19+D20</f>
        <v>65011</v>
      </c>
      <c r="E17" s="1816">
        <f>E18+E19+E20</f>
        <v>65141</v>
      </c>
      <c r="F17" s="1017">
        <f>F18+F19+F20</f>
        <v>65193</v>
      </c>
      <c r="G17" s="4035">
        <f>G14+G16</f>
        <v>65286</v>
      </c>
      <c r="H17" s="4035">
        <f t="shared" ref="H17:K17" si="1">H14+H16</f>
        <v>65292</v>
      </c>
      <c r="I17" s="4035">
        <f t="shared" si="1"/>
        <v>65300</v>
      </c>
      <c r="J17" s="4035">
        <f t="shared" si="1"/>
        <v>65350</v>
      </c>
      <c r="K17" s="4035">
        <f t="shared" si="1"/>
        <v>65402</v>
      </c>
      <c r="L17" s="5105"/>
      <c r="M17" s="4062"/>
    </row>
    <row r="18" spans="1:13">
      <c r="A18" s="5129"/>
      <c r="B18" s="4056" t="s">
        <v>1132</v>
      </c>
      <c r="C18" s="1810" t="s">
        <v>676</v>
      </c>
      <c r="D18" s="735">
        <v>61045</v>
      </c>
      <c r="E18" s="734">
        <v>61172</v>
      </c>
      <c r="F18" s="742">
        <v>61232</v>
      </c>
      <c r="G18" s="924">
        <v>61235</v>
      </c>
      <c r="H18" s="739">
        <v>61238</v>
      </c>
      <c r="I18" s="739">
        <v>61241</v>
      </c>
      <c r="J18" s="739">
        <v>61253</v>
      </c>
      <c r="K18" s="739">
        <v>61273</v>
      </c>
      <c r="L18" s="1394">
        <f>IFERROR(AVERAGE(D18:F18),0)</f>
        <v>61149.666666666664</v>
      </c>
      <c r="M18" s="727"/>
    </row>
    <row r="19" spans="1:13">
      <c r="A19" s="5129"/>
      <c r="B19" s="4056" t="s">
        <v>1133</v>
      </c>
      <c r="C19" s="1810" t="s">
        <v>676</v>
      </c>
      <c r="D19" s="735">
        <v>3929</v>
      </c>
      <c r="E19" s="734">
        <v>3939</v>
      </c>
      <c r="F19" s="742">
        <v>3931</v>
      </c>
      <c r="G19" s="734">
        <v>4018</v>
      </c>
      <c r="H19" s="730">
        <v>4021</v>
      </c>
      <c r="I19" s="730">
        <v>4024</v>
      </c>
      <c r="J19" s="730">
        <v>4060</v>
      </c>
      <c r="K19" s="729">
        <v>4090</v>
      </c>
      <c r="L19" s="1394">
        <f>IFERROR(AVERAGE(D19:F19),0)</f>
        <v>3933</v>
      </c>
      <c r="M19" s="727"/>
    </row>
    <row r="20" spans="1:13">
      <c r="A20" s="5129"/>
      <c r="B20" s="4056" t="s">
        <v>1134</v>
      </c>
      <c r="C20" s="4026" t="s">
        <v>676</v>
      </c>
      <c r="D20" s="735">
        <v>37</v>
      </c>
      <c r="E20" s="4022">
        <v>30</v>
      </c>
      <c r="F20" s="4023">
        <v>30</v>
      </c>
      <c r="G20" s="4022">
        <v>33</v>
      </c>
      <c r="H20" s="4024">
        <v>33</v>
      </c>
      <c r="I20" s="4024">
        <v>35</v>
      </c>
      <c r="J20" s="4024">
        <v>37</v>
      </c>
      <c r="K20" s="729">
        <v>39</v>
      </c>
      <c r="L20" s="1394">
        <f>IFERROR(AVERAGE(D20:F20),0)</f>
        <v>32.333333333333336</v>
      </c>
      <c r="M20" s="727"/>
    </row>
    <row r="21" spans="1:13" ht="13.8" thickBot="1">
      <c r="A21" s="5130"/>
      <c r="B21" s="4050" t="s">
        <v>1769</v>
      </c>
      <c r="C21" s="4068" t="s">
        <v>676</v>
      </c>
      <c r="D21" s="4028"/>
      <c r="E21" s="4029"/>
      <c r="F21" s="4032"/>
      <c r="G21" s="4042">
        <f>G17-G18-G19-G20</f>
        <v>0</v>
      </c>
      <c r="H21" s="4043">
        <f>H17-H18-H19-H20</f>
        <v>0</v>
      </c>
      <c r="I21" s="4044">
        <f>I17-I18-I19-I20</f>
        <v>0</v>
      </c>
      <c r="J21" s="4045">
        <f>J17-J18-J19-J20</f>
        <v>0</v>
      </c>
      <c r="K21" s="4046">
        <f>K17-K18-K19-K20</f>
        <v>0</v>
      </c>
      <c r="L21" s="4030"/>
      <c r="M21" s="4074"/>
    </row>
    <row r="22" spans="1:13" ht="15.6">
      <c r="A22" s="5085" t="s">
        <v>1135</v>
      </c>
      <c r="B22" s="4057" t="s">
        <v>1307</v>
      </c>
      <c r="C22" s="1817" t="s">
        <v>1428</v>
      </c>
      <c r="D22" s="1818"/>
      <c r="E22" s="1819"/>
      <c r="F22" s="1820"/>
      <c r="G22" s="1002">
        <f>L22</f>
        <v>2977619.4896666668</v>
      </c>
      <c r="H22" s="1018">
        <f>(G22+(H10)*G22)</f>
        <v>2927350.7833795347</v>
      </c>
      <c r="I22" s="1018">
        <f>(H22+(I10)*H22)</f>
        <v>2877195.2099647666</v>
      </c>
      <c r="J22" s="1018">
        <f>(I22+(J10)*I22)</f>
        <v>2827001.925592544</v>
      </c>
      <c r="K22" s="4063">
        <f>(J22+(K10)*J22)</f>
        <v>2784803.3642007206</v>
      </c>
      <c r="L22" s="5081">
        <f>IFERROR(AVERAGE(D26:F26),0)</f>
        <v>2977619.4896666668</v>
      </c>
      <c r="M22" s="4064"/>
    </row>
    <row r="23" spans="1:13">
      <c r="A23" s="5085"/>
      <c r="B23" s="4052" t="s">
        <v>1427</v>
      </c>
      <c r="C23" s="1807" t="s">
        <v>170</v>
      </c>
      <c r="D23" s="1001"/>
      <c r="E23" s="1002"/>
      <c r="F23" s="4018"/>
      <c r="G23" s="1003"/>
      <c r="H23" s="1004">
        <f>IFERROR((H22-G22)/G22,0)</f>
        <v>-1.6882179358907776E-2</v>
      </c>
      <c r="I23" s="1004">
        <f t="shared" ref="I23:K23" si="2">IFERROR((I22-H22)/H22,0)</f>
        <v>-1.7133434673949479E-2</v>
      </c>
      <c r="J23" s="1004">
        <f t="shared" si="2"/>
        <v>-1.7445213379469398E-2</v>
      </c>
      <c r="K23" s="1019">
        <f t="shared" si="2"/>
        <v>-1.492696591742808E-2</v>
      </c>
      <c r="L23" s="5081"/>
      <c r="M23" s="4062"/>
    </row>
    <row r="24" spans="1:13" ht="26.4">
      <c r="A24" s="5086"/>
      <c r="B24" s="4053" t="s">
        <v>1308</v>
      </c>
      <c r="C24" s="1817" t="s">
        <v>1428</v>
      </c>
      <c r="D24" s="1012"/>
      <c r="E24" s="1013"/>
      <c r="F24" s="1014"/>
      <c r="G24" s="923">
        <v>253</v>
      </c>
      <c r="H24" s="737">
        <v>156</v>
      </c>
      <c r="I24" s="737">
        <v>134</v>
      </c>
      <c r="J24" s="737">
        <v>689</v>
      </c>
      <c r="K24" s="737">
        <v>2101</v>
      </c>
      <c r="L24" s="5081"/>
      <c r="M24" s="731"/>
    </row>
    <row r="25" spans="1:13" ht="26.4">
      <c r="A25" s="5087"/>
      <c r="B25" s="4049" t="s">
        <v>1771</v>
      </c>
      <c r="C25" s="1817" t="s">
        <v>1428</v>
      </c>
      <c r="D25" s="1012"/>
      <c r="E25" s="1013"/>
      <c r="F25" s="1014"/>
      <c r="G25" s="4040">
        <f>G24</f>
        <v>253</v>
      </c>
      <c r="H25" s="4041">
        <f>SUM(G24:H24)</f>
        <v>409</v>
      </c>
      <c r="I25" s="4041">
        <f>SUM(G24:I24)</f>
        <v>543</v>
      </c>
      <c r="J25" s="4041">
        <f>SUM(G24:J24)</f>
        <v>1232</v>
      </c>
      <c r="K25" s="4041">
        <f>SUM(G24:K24)</f>
        <v>3333</v>
      </c>
      <c r="L25" s="5081"/>
      <c r="M25" s="4062"/>
    </row>
    <row r="26" spans="1:13" ht="16.2" thickBot="1">
      <c r="A26" s="5087"/>
      <c r="B26" s="4058" t="s">
        <v>1028</v>
      </c>
      <c r="C26" s="1801" t="s">
        <v>1428</v>
      </c>
      <c r="D26" s="1918">
        <v>2934580.0259999996</v>
      </c>
      <c r="E26" s="1919">
        <v>3015082.8940000003</v>
      </c>
      <c r="F26" s="1920">
        <v>2983195.5490000001</v>
      </c>
      <c r="G26" s="4034">
        <f>G22+G25</f>
        <v>2977872.4896666668</v>
      </c>
      <c r="H26" s="4034">
        <f t="shared" ref="H26:K26" si="3">H22+H25</f>
        <v>2927759.7833795347</v>
      </c>
      <c r="I26" s="4034">
        <f t="shared" si="3"/>
        <v>2877738.2099647666</v>
      </c>
      <c r="J26" s="4034">
        <f t="shared" si="3"/>
        <v>2828233.925592544</v>
      </c>
      <c r="K26" s="4034">
        <f t="shared" si="3"/>
        <v>2788136.3642007206</v>
      </c>
      <c r="L26" s="5083"/>
      <c r="M26" s="4031"/>
    </row>
    <row r="27" spans="1:13" ht="15.6">
      <c r="A27" s="5084" t="s">
        <v>1137</v>
      </c>
      <c r="B27" s="4051" t="s">
        <v>1309</v>
      </c>
      <c r="C27" s="1806" t="s">
        <v>1428</v>
      </c>
      <c r="D27" s="996"/>
      <c r="E27" s="997"/>
      <c r="F27" s="998"/>
      <c r="G27" s="999">
        <f>L27</f>
        <v>732889.69400000002</v>
      </c>
      <c r="H27" s="733">
        <v>720515</v>
      </c>
      <c r="I27" s="733">
        <v>708174</v>
      </c>
      <c r="J27" s="733">
        <v>695822</v>
      </c>
      <c r="K27" s="738">
        <v>685433</v>
      </c>
      <c r="L27" s="5080">
        <f>IFERROR(AVERAGE(D30:F30),0)</f>
        <v>732889.69400000002</v>
      </c>
      <c r="M27" s="728"/>
    </row>
    <row r="28" spans="1:13" ht="26.4">
      <c r="A28" s="5086"/>
      <c r="B28" s="4053" t="s">
        <v>1308</v>
      </c>
      <c r="C28" s="1817" t="s">
        <v>1428</v>
      </c>
      <c r="D28" s="1012"/>
      <c r="E28" s="1013"/>
      <c r="F28" s="1014"/>
      <c r="G28" s="923">
        <v>0</v>
      </c>
      <c r="H28" s="737">
        <v>19000</v>
      </c>
      <c r="I28" s="737">
        <v>50764</v>
      </c>
      <c r="J28" s="737">
        <v>58861</v>
      </c>
      <c r="K28" s="736">
        <v>54877</v>
      </c>
      <c r="L28" s="5081"/>
      <c r="M28" s="731"/>
    </row>
    <row r="29" spans="1:13" ht="26.4">
      <c r="A29" s="5087"/>
      <c r="B29" s="4049" t="s">
        <v>1771</v>
      </c>
      <c r="C29" s="1817" t="s">
        <v>1428</v>
      </c>
      <c r="D29" s="1012"/>
      <c r="E29" s="1013"/>
      <c r="F29" s="1014"/>
      <c r="G29" s="4040">
        <f>G28</f>
        <v>0</v>
      </c>
      <c r="H29" s="4041">
        <f>SUM(G28:H28)</f>
        <v>19000</v>
      </c>
      <c r="I29" s="4041">
        <f>SUM(G28:I28)</f>
        <v>69764</v>
      </c>
      <c r="J29" s="4041">
        <f>SUM(G28:J28)</f>
        <v>128625</v>
      </c>
      <c r="K29" s="4041">
        <f>SUM(G28:K28)</f>
        <v>183502</v>
      </c>
      <c r="L29" s="5081"/>
      <c r="M29" s="4062"/>
    </row>
    <row r="30" spans="1:13" ht="16.2" thickBot="1">
      <c r="A30" s="5088"/>
      <c r="B30" s="4054" t="s">
        <v>1028</v>
      </c>
      <c r="C30" s="1821" t="s">
        <v>1428</v>
      </c>
      <c r="D30" s="1915">
        <v>739968.23800000013</v>
      </c>
      <c r="E30" s="1916">
        <v>757155.02599999995</v>
      </c>
      <c r="F30" s="1917">
        <v>701545.81799999997</v>
      </c>
      <c r="G30" s="4034">
        <f>G27+G29</f>
        <v>732889.69400000002</v>
      </c>
      <c r="H30" s="4034">
        <f t="shared" ref="H30:K30" si="4">H27+H29</f>
        <v>739515</v>
      </c>
      <c r="I30" s="4034">
        <f t="shared" si="4"/>
        <v>777938</v>
      </c>
      <c r="J30" s="4034">
        <f t="shared" si="4"/>
        <v>824447</v>
      </c>
      <c r="K30" s="4034">
        <f t="shared" si="4"/>
        <v>868935</v>
      </c>
      <c r="L30" s="5083"/>
      <c r="M30" s="731"/>
    </row>
    <row r="31" spans="1:13" ht="15.6">
      <c r="A31" s="5085" t="s">
        <v>1138</v>
      </c>
      <c r="B31" s="4057" t="s">
        <v>1309</v>
      </c>
      <c r="C31" s="1817" t="s">
        <v>1428</v>
      </c>
      <c r="D31" s="1818"/>
      <c r="E31" s="1819"/>
      <c r="F31" s="1820"/>
      <c r="G31" s="999">
        <f>L31</f>
        <v>58306.054333333333</v>
      </c>
      <c r="H31" s="733">
        <v>42012</v>
      </c>
      <c r="I31" s="733">
        <v>42012</v>
      </c>
      <c r="J31" s="733">
        <v>42012</v>
      </c>
      <c r="K31" s="738">
        <v>42012</v>
      </c>
      <c r="L31" s="5080">
        <f>IFERROR(AVERAGE(D34:F34),0)</f>
        <v>58306.054333333333</v>
      </c>
      <c r="M31" s="728"/>
    </row>
    <row r="32" spans="1:13" ht="26.4">
      <c r="A32" s="5086"/>
      <c r="B32" s="4053" t="s">
        <v>1308</v>
      </c>
      <c r="C32" s="1817" t="s">
        <v>1428</v>
      </c>
      <c r="D32" s="1012"/>
      <c r="E32" s="1013"/>
      <c r="F32" s="1014"/>
      <c r="G32" s="923">
        <v>0</v>
      </c>
      <c r="H32" s="737">
        <v>16300</v>
      </c>
      <c r="I32" s="737">
        <v>3536</v>
      </c>
      <c r="J32" s="737">
        <v>3539</v>
      </c>
      <c r="K32" s="736">
        <v>3538</v>
      </c>
      <c r="L32" s="5081"/>
      <c r="M32" s="731"/>
    </row>
    <row r="33" spans="1:13" ht="26.4">
      <c r="A33" s="5087"/>
      <c r="B33" s="4049" t="s">
        <v>1771</v>
      </c>
      <c r="C33" s="1817" t="s">
        <v>1428</v>
      </c>
      <c r="D33" s="1012"/>
      <c r="E33" s="1013"/>
      <c r="F33" s="1014"/>
      <c r="G33" s="4040">
        <f>G32</f>
        <v>0</v>
      </c>
      <c r="H33" s="4041">
        <f>SUM(G32:H32)</f>
        <v>16300</v>
      </c>
      <c r="I33" s="4041">
        <f>SUM(G32:I32)</f>
        <v>19836</v>
      </c>
      <c r="J33" s="4041">
        <f>SUM(G32:J32)</f>
        <v>23375</v>
      </c>
      <c r="K33" s="4041">
        <f>SUM(G32:K32)</f>
        <v>26913</v>
      </c>
      <c r="L33" s="5081"/>
      <c r="M33" s="4062"/>
    </row>
    <row r="34" spans="1:13" ht="16.2" thickBot="1">
      <c r="A34" s="5087"/>
      <c r="B34" s="4058" t="s">
        <v>1028</v>
      </c>
      <c r="C34" s="1801" t="s">
        <v>1428</v>
      </c>
      <c r="D34" s="1918">
        <v>89954.078000000009</v>
      </c>
      <c r="E34" s="1919">
        <v>42184.100999999995</v>
      </c>
      <c r="F34" s="1920">
        <v>42779.983999999997</v>
      </c>
      <c r="G34" s="4034">
        <f>G31+G33</f>
        <v>58306.054333333333</v>
      </c>
      <c r="H34" s="4034">
        <f t="shared" ref="H34:K34" si="5">H31+H33</f>
        <v>58312</v>
      </c>
      <c r="I34" s="4034">
        <f t="shared" si="5"/>
        <v>61848</v>
      </c>
      <c r="J34" s="4034">
        <f t="shared" si="5"/>
        <v>65387</v>
      </c>
      <c r="K34" s="4034">
        <f t="shared" si="5"/>
        <v>68925</v>
      </c>
      <c r="L34" s="5083"/>
      <c r="M34" s="731"/>
    </row>
    <row r="35" spans="1:13" ht="15.6">
      <c r="A35" s="5078" t="s">
        <v>1139</v>
      </c>
      <c r="B35" s="4051" t="s">
        <v>1310</v>
      </c>
      <c r="C35" s="1806" t="s">
        <v>1428</v>
      </c>
      <c r="D35" s="996"/>
      <c r="E35" s="997"/>
      <c r="F35" s="998"/>
      <c r="G35" s="1006">
        <f>G22+G27+G31</f>
        <v>3768815.2380000004</v>
      </c>
      <c r="H35" s="1007">
        <f>H22+H27+H31</f>
        <v>3689877.7833795347</v>
      </c>
      <c r="I35" s="1007">
        <f>I22+I27+I31</f>
        <v>3627381.2099647666</v>
      </c>
      <c r="J35" s="1007">
        <f>J22+J27+J31</f>
        <v>3564835.925592544</v>
      </c>
      <c r="K35" s="1822">
        <f>K22+K27+K31</f>
        <v>3512248.3642007206</v>
      </c>
      <c r="L35" s="5080">
        <f>IFERROR(AVERAGE(D39:F39),0)</f>
        <v>3768815.2379999999</v>
      </c>
      <c r="M35" s="4075"/>
    </row>
    <row r="36" spans="1:13" ht="26.4">
      <c r="A36" s="5079"/>
      <c r="B36" s="4053" t="s">
        <v>1308</v>
      </c>
      <c r="C36" s="1817" t="s">
        <v>1428</v>
      </c>
      <c r="D36" s="1012"/>
      <c r="E36" s="1013"/>
      <c r="F36" s="1014"/>
      <c r="G36" s="1009">
        <f t="shared" ref="G36:K37" si="6">G24+G28+G32</f>
        <v>253</v>
      </c>
      <c r="H36" s="1010">
        <f t="shared" si="6"/>
        <v>35456</v>
      </c>
      <c r="I36" s="1010">
        <f t="shared" si="6"/>
        <v>54434</v>
      </c>
      <c r="J36" s="1010">
        <f t="shared" si="6"/>
        <v>63089</v>
      </c>
      <c r="K36" s="1823">
        <f t="shared" si="6"/>
        <v>60516</v>
      </c>
      <c r="L36" s="5081"/>
      <c r="M36" s="4062"/>
    </row>
    <row r="37" spans="1:13" ht="26.4">
      <c r="A37" s="5079"/>
      <c r="B37" s="4049" t="s">
        <v>1771</v>
      </c>
      <c r="C37" s="1817" t="s">
        <v>1428</v>
      </c>
      <c r="D37" s="1012"/>
      <c r="E37" s="1013"/>
      <c r="F37" s="1014"/>
      <c r="G37" s="4036">
        <f t="shared" si="6"/>
        <v>253</v>
      </c>
      <c r="H37" s="4037">
        <f t="shared" si="6"/>
        <v>35709</v>
      </c>
      <c r="I37" s="4037">
        <f t="shared" si="6"/>
        <v>90143</v>
      </c>
      <c r="J37" s="4037">
        <f t="shared" si="6"/>
        <v>153232</v>
      </c>
      <c r="K37" s="4038">
        <f t="shared" si="6"/>
        <v>213748</v>
      </c>
      <c r="L37" s="5081"/>
      <c r="M37" s="4062"/>
    </row>
    <row r="38" spans="1:13" ht="15.6">
      <c r="A38" s="5079"/>
      <c r="B38" s="1809" t="s">
        <v>1136</v>
      </c>
      <c r="C38" s="1817" t="s">
        <v>1428</v>
      </c>
      <c r="D38" s="1012"/>
      <c r="E38" s="1013"/>
      <c r="F38" s="1014"/>
      <c r="G38" s="1921">
        <v>25900</v>
      </c>
      <c r="H38" s="1922">
        <v>79500</v>
      </c>
      <c r="I38" s="1922">
        <v>97500</v>
      </c>
      <c r="J38" s="1922">
        <v>109000</v>
      </c>
      <c r="K38" s="1922">
        <v>117500</v>
      </c>
      <c r="L38" s="5081"/>
      <c r="M38" s="731"/>
    </row>
    <row r="39" spans="1:13" ht="16.2" thickBot="1">
      <c r="A39" s="5090"/>
      <c r="B39" s="1811" t="s">
        <v>1028</v>
      </c>
      <c r="C39" s="1821" t="s">
        <v>1428</v>
      </c>
      <c r="D39" s="1406">
        <f>D26+D30+D34</f>
        <v>3764502.3419999997</v>
      </c>
      <c r="E39" s="1020">
        <f>E26+E30+E34</f>
        <v>3814422.0210000002</v>
      </c>
      <c r="F39" s="1407">
        <f>F26+F30+F34</f>
        <v>3727521.3510000003</v>
      </c>
      <c r="G39" s="4034">
        <f>G35+G37+G38</f>
        <v>3794968.2380000004</v>
      </c>
      <c r="H39" s="4034">
        <f t="shared" ref="H39:K39" si="7">H35+H37+H38</f>
        <v>3805086.7833795347</v>
      </c>
      <c r="I39" s="4034">
        <f t="shared" si="7"/>
        <v>3815024.2099647666</v>
      </c>
      <c r="J39" s="4034">
        <f t="shared" si="7"/>
        <v>3827067.925592544</v>
      </c>
      <c r="K39" s="4034">
        <f t="shared" si="7"/>
        <v>3843496.3642007206</v>
      </c>
      <c r="L39" s="5083"/>
      <c r="M39" s="4074"/>
    </row>
    <row r="40" spans="1:13" s="1830" customFormat="1" ht="15.6">
      <c r="A40" s="5137" t="s">
        <v>1166</v>
      </c>
      <c r="B40" s="5138"/>
      <c r="C40" s="1824" t="s">
        <v>1429</v>
      </c>
      <c r="D40" s="1825"/>
      <c r="E40" s="1826"/>
      <c r="F40" s="1826"/>
      <c r="G40" s="1827"/>
      <c r="H40" s="1828">
        <f>-H38-('4. Отчет и прогн. потребление'!F33-'4. Отчет и прогн. потребление'!E33)</f>
        <v>0</v>
      </c>
      <c r="I40" s="1828">
        <f>-I38-('4. Отчет и прогн. потребление'!G33-'4. Отчет и прогн. потребление'!F33)</f>
        <v>0</v>
      </c>
      <c r="J40" s="1828">
        <f>-J38-('4. Отчет и прогн. потребление'!H33-'4. Отчет и прогн. потребление'!G33)</f>
        <v>0</v>
      </c>
      <c r="K40" s="1828">
        <f>-K38-('4. Отчет и прогн. потребление'!I33-'4. Отчет и прогн. потребление'!H33)</f>
        <v>0</v>
      </c>
      <c r="L40" s="1829"/>
    </row>
    <row r="41" spans="1:13" hidden="1">
      <c r="D41" s="1831"/>
      <c r="E41" s="1831"/>
      <c r="F41" s="1831"/>
      <c r="G41" s="1831"/>
      <c r="H41" s="1831"/>
      <c r="I41" s="1831"/>
      <c r="J41" s="1831"/>
      <c r="K41" s="1831"/>
      <c r="L41" s="1831"/>
    </row>
    <row r="42" spans="1:13" ht="13.8" thickBot="1">
      <c r="A42" s="3802" t="s">
        <v>1140</v>
      </c>
      <c r="B42" s="1832"/>
      <c r="C42" s="1833"/>
      <c r="D42" s="1831"/>
      <c r="E42" s="1831"/>
      <c r="F42" s="1831"/>
      <c r="G42" s="1831"/>
      <c r="H42" s="1831"/>
      <c r="I42" s="1831"/>
      <c r="J42" s="1831"/>
      <c r="K42" s="1831"/>
      <c r="L42" s="1831"/>
    </row>
    <row r="43" spans="1:13" ht="13.8" hidden="1" thickBot="1">
      <c r="A43" s="5091" t="s">
        <v>82</v>
      </c>
      <c r="B43" s="5093" t="s">
        <v>1128</v>
      </c>
      <c r="C43" s="5113" t="s">
        <v>166</v>
      </c>
      <c r="D43" s="1834" t="str">
        <f t="shared" ref="D43:K43" si="8">D7</f>
        <v xml:space="preserve">2023 г. </v>
      </c>
      <c r="E43" s="1835" t="str">
        <f t="shared" si="8"/>
        <v xml:space="preserve">2024 г. </v>
      </c>
      <c r="F43" s="1836" t="str">
        <f t="shared" si="8"/>
        <v xml:space="preserve">2025 г. </v>
      </c>
      <c r="G43" s="1835" t="str">
        <f t="shared" si="8"/>
        <v>2027 г.</v>
      </c>
      <c r="H43" s="1835" t="str">
        <f t="shared" si="8"/>
        <v>2028 г.</v>
      </c>
      <c r="I43" s="1835" t="str">
        <f t="shared" si="8"/>
        <v>2029 г.</v>
      </c>
      <c r="J43" s="1835" t="str">
        <f t="shared" si="8"/>
        <v>2030 г.</v>
      </c>
      <c r="K43" s="1835" t="str">
        <f t="shared" si="8"/>
        <v>2031 г.</v>
      </c>
      <c r="L43" s="5115" t="s">
        <v>1426</v>
      </c>
      <c r="M43" s="5113" t="s">
        <v>1129</v>
      </c>
    </row>
    <row r="44" spans="1:13" ht="13.8" hidden="1" thickBot="1">
      <c r="A44" s="5092"/>
      <c r="B44" s="5094"/>
      <c r="C44" s="5114"/>
      <c r="D44" s="5095" t="s">
        <v>1328</v>
      </c>
      <c r="E44" s="5096"/>
      <c r="F44" s="5097"/>
      <c r="G44" s="5096" t="s">
        <v>1329</v>
      </c>
      <c r="H44" s="5096"/>
      <c r="I44" s="5096"/>
      <c r="J44" s="5096"/>
      <c r="K44" s="5097"/>
      <c r="L44" s="5116"/>
      <c r="M44" s="5114"/>
    </row>
    <row r="45" spans="1:13" ht="18" customHeight="1">
      <c r="A45" s="5122" t="s">
        <v>1417</v>
      </c>
      <c r="B45" s="4051" t="s">
        <v>1130</v>
      </c>
      <c r="C45" s="1806" t="s">
        <v>676</v>
      </c>
      <c r="D45" s="996"/>
      <c r="E45" s="997"/>
      <c r="F45" s="998"/>
      <c r="G45" s="921">
        <v>36460</v>
      </c>
      <c r="H45" s="733">
        <v>35848</v>
      </c>
      <c r="I45" s="733">
        <v>35235</v>
      </c>
      <c r="J45" s="733">
        <v>34624</v>
      </c>
      <c r="K45" s="732">
        <v>34107</v>
      </c>
      <c r="L45" s="5080">
        <f>IFERROR(AVERAGE(D49:F49),0)</f>
        <v>38168</v>
      </c>
      <c r="M45" s="728"/>
    </row>
    <row r="46" spans="1:13" ht="18" customHeight="1">
      <c r="A46" s="5123"/>
      <c r="B46" s="4052" t="s">
        <v>1164</v>
      </c>
      <c r="C46" s="1807" t="s">
        <v>170</v>
      </c>
      <c r="D46" s="1001"/>
      <c r="E46" s="1002"/>
      <c r="F46" s="4018"/>
      <c r="G46" s="1003"/>
      <c r="H46" s="1004">
        <f>IFERROR((H45-G45)/G45,0)</f>
        <v>-1.6785518376302797E-2</v>
      </c>
      <c r="I46" s="1004">
        <f>IFERROR((I45-H45)/H45,0)</f>
        <v>-1.7099977683552779E-2</v>
      </c>
      <c r="J46" s="1004">
        <f>IFERROR((J45-I45)/I45,0)</f>
        <v>-1.7340712359869448E-2</v>
      </c>
      <c r="K46" s="1005">
        <f>IFERROR((K45-J45)/J45,0)</f>
        <v>-1.4931839186691312E-2</v>
      </c>
      <c r="L46" s="5081"/>
      <c r="M46" s="4062"/>
    </row>
    <row r="47" spans="1:13" ht="24" customHeight="1">
      <c r="A47" s="5124"/>
      <c r="B47" s="4053" t="s">
        <v>1770</v>
      </c>
      <c r="C47" s="1810" t="s">
        <v>676</v>
      </c>
      <c r="D47" s="1012"/>
      <c r="E47" s="1013"/>
      <c r="F47" s="1014"/>
      <c r="G47" s="734">
        <v>102</v>
      </c>
      <c r="H47" s="730">
        <v>74</v>
      </c>
      <c r="I47" s="730">
        <v>208</v>
      </c>
      <c r="J47" s="730">
        <v>372</v>
      </c>
      <c r="K47" s="729">
        <v>532</v>
      </c>
      <c r="L47" s="5081"/>
      <c r="M47" s="727"/>
    </row>
    <row r="48" spans="1:13" ht="26.4">
      <c r="A48" s="5125"/>
      <c r="B48" s="4049" t="s">
        <v>1771</v>
      </c>
      <c r="C48" s="1810" t="s">
        <v>676</v>
      </c>
      <c r="D48" s="1012"/>
      <c r="E48" s="1013"/>
      <c r="F48" s="1014"/>
      <c r="G48" s="4040">
        <f>G47</f>
        <v>102</v>
      </c>
      <c r="H48" s="4041">
        <f>SUM(G47:H47)</f>
        <v>176</v>
      </c>
      <c r="I48" s="4041">
        <f>SUM(G47:I47)</f>
        <v>384</v>
      </c>
      <c r="J48" s="4041">
        <f>SUM(G47:J47)</f>
        <v>756</v>
      </c>
      <c r="K48" s="4041">
        <f>SUM(G47:K47)</f>
        <v>1288</v>
      </c>
      <c r="L48" s="5081"/>
      <c r="M48" s="4062"/>
    </row>
    <row r="49" spans="1:13" ht="18" customHeight="1" thickBot="1">
      <c r="A49" s="5126"/>
      <c r="B49" s="4054" t="s">
        <v>1028</v>
      </c>
      <c r="C49" s="1812" t="s">
        <v>676</v>
      </c>
      <c r="D49" s="1918">
        <v>35821</v>
      </c>
      <c r="E49" s="1919">
        <v>39405</v>
      </c>
      <c r="F49" s="1920">
        <v>39278</v>
      </c>
      <c r="G49" s="4039">
        <f>G45+G48</f>
        <v>36562</v>
      </c>
      <c r="H49" s="4039">
        <f t="shared" ref="H49:K49" si="9">H45+H48</f>
        <v>36024</v>
      </c>
      <c r="I49" s="4039">
        <f t="shared" si="9"/>
        <v>35619</v>
      </c>
      <c r="J49" s="4039">
        <f t="shared" si="9"/>
        <v>35380</v>
      </c>
      <c r="K49" s="4039">
        <f t="shared" si="9"/>
        <v>35395</v>
      </c>
      <c r="L49" s="5083"/>
      <c r="M49" s="731"/>
    </row>
    <row r="50" spans="1:13" ht="12.75" customHeight="1">
      <c r="A50" s="5131" t="s">
        <v>850</v>
      </c>
      <c r="B50" s="4051" t="s">
        <v>1130</v>
      </c>
      <c r="C50" s="1806" t="s">
        <v>676</v>
      </c>
      <c r="D50" s="996"/>
      <c r="E50" s="997"/>
      <c r="F50" s="998"/>
      <c r="G50" s="921">
        <v>22779.333333333332</v>
      </c>
      <c r="H50" s="745">
        <v>22779.333333333332</v>
      </c>
      <c r="I50" s="744">
        <v>22779.333333333332</v>
      </c>
      <c r="J50" s="744">
        <v>22779.333333333332</v>
      </c>
      <c r="K50" s="4065">
        <v>22779.333333333332</v>
      </c>
      <c r="L50" s="5080">
        <f>IFERROR(AVERAGE(D53:F53),0)</f>
        <v>22779.333333333332</v>
      </c>
      <c r="M50" s="728"/>
    </row>
    <row r="51" spans="1:13" ht="26.4">
      <c r="A51" s="5132"/>
      <c r="B51" s="4053" t="s">
        <v>1770</v>
      </c>
      <c r="C51" s="1810" t="s">
        <v>676</v>
      </c>
      <c r="D51" s="1012"/>
      <c r="E51" s="1013"/>
      <c r="F51" s="1014"/>
      <c r="G51" s="734">
        <v>360</v>
      </c>
      <c r="H51" s="788">
        <v>299</v>
      </c>
      <c r="I51" s="788">
        <v>657</v>
      </c>
      <c r="J51" s="788">
        <v>1102</v>
      </c>
      <c r="K51" s="788">
        <v>1537</v>
      </c>
      <c r="L51" s="5081"/>
      <c r="M51" s="727"/>
    </row>
    <row r="52" spans="1:13" ht="26.4">
      <c r="A52" s="5132"/>
      <c r="B52" s="4049" t="s">
        <v>1771</v>
      </c>
      <c r="C52" s="1810" t="s">
        <v>676</v>
      </c>
      <c r="D52" s="1012"/>
      <c r="E52" s="1013"/>
      <c r="F52" s="1014"/>
      <c r="G52" s="4040">
        <f>G51</f>
        <v>360</v>
      </c>
      <c r="H52" s="4041">
        <f>SUM(G51:H51)</f>
        <v>659</v>
      </c>
      <c r="I52" s="4041">
        <f>SUM(G51:I51)</f>
        <v>1316</v>
      </c>
      <c r="J52" s="4041">
        <f>SUM(G51:J51)</f>
        <v>2418</v>
      </c>
      <c r="K52" s="4071">
        <f>SUM(G51:K51)</f>
        <v>3955</v>
      </c>
      <c r="L52" s="5081"/>
      <c r="M52" s="4062"/>
    </row>
    <row r="53" spans="1:13">
      <c r="A53" s="5132"/>
      <c r="B53" s="4055" t="s">
        <v>1028</v>
      </c>
      <c r="C53" s="1814" t="s">
        <v>676</v>
      </c>
      <c r="D53" s="1015">
        <f>D54+D55+D56</f>
        <v>22717</v>
      </c>
      <c r="E53" s="1016">
        <f>E54+E55+E56</f>
        <v>22754</v>
      </c>
      <c r="F53" s="1017">
        <f>F54+F55+F56</f>
        <v>22867</v>
      </c>
      <c r="G53" s="4035">
        <f>G50+G52</f>
        <v>23139.333333333332</v>
      </c>
      <c r="H53" s="4035">
        <f t="shared" ref="H53:K53" si="10">H50+H52</f>
        <v>23438.333333333332</v>
      </c>
      <c r="I53" s="4035">
        <f t="shared" si="10"/>
        <v>24095.333333333332</v>
      </c>
      <c r="J53" s="4035">
        <f t="shared" si="10"/>
        <v>25197.333333333332</v>
      </c>
      <c r="K53" s="4072">
        <f t="shared" si="10"/>
        <v>26734.333333333332</v>
      </c>
      <c r="L53" s="5082"/>
      <c r="M53" s="4062"/>
    </row>
    <row r="54" spans="1:13">
      <c r="A54" s="5132"/>
      <c r="B54" s="4056" t="s">
        <v>1141</v>
      </c>
      <c r="C54" s="1810" t="s">
        <v>676</v>
      </c>
      <c r="D54" s="735">
        <v>21170</v>
      </c>
      <c r="E54" s="734">
        <v>21216</v>
      </c>
      <c r="F54" s="742">
        <v>21333</v>
      </c>
      <c r="G54" s="734">
        <v>21593</v>
      </c>
      <c r="H54" s="739">
        <v>21779</v>
      </c>
      <c r="I54" s="739">
        <v>22368</v>
      </c>
      <c r="J54" s="739">
        <v>23422</v>
      </c>
      <c r="K54" s="788">
        <v>24938</v>
      </c>
      <c r="L54" s="4073">
        <f>IFERROR(AVERAGE(D54:F54),0)</f>
        <v>21239.666666666668</v>
      </c>
      <c r="M54" s="727"/>
    </row>
    <row r="55" spans="1:13">
      <c r="A55" s="5132"/>
      <c r="B55" s="4056" t="s">
        <v>1142</v>
      </c>
      <c r="C55" s="1810" t="s">
        <v>676</v>
      </c>
      <c r="D55" s="735">
        <v>1511</v>
      </c>
      <c r="E55" s="734">
        <v>1502</v>
      </c>
      <c r="F55" s="742">
        <v>1498</v>
      </c>
      <c r="G55" s="734">
        <v>1510.6666666666665</v>
      </c>
      <c r="H55" s="730">
        <v>1623.6666666666665</v>
      </c>
      <c r="I55" s="730">
        <v>1690.6666666666665</v>
      </c>
      <c r="J55" s="730">
        <v>1737.6666666666665</v>
      </c>
      <c r="K55" s="4033">
        <v>1757.6666666666665</v>
      </c>
      <c r="L55" s="4073">
        <f>IFERROR(AVERAGE(D55:F55),0)</f>
        <v>1503.6666666666667</v>
      </c>
      <c r="M55" s="727"/>
    </row>
    <row r="56" spans="1:13">
      <c r="A56" s="5132"/>
      <c r="B56" s="4056" t="s">
        <v>1143</v>
      </c>
      <c r="C56" s="1810" t="s">
        <v>676</v>
      </c>
      <c r="D56" s="735">
        <v>36</v>
      </c>
      <c r="E56" s="734">
        <v>36</v>
      </c>
      <c r="F56" s="742">
        <v>36</v>
      </c>
      <c r="G56" s="734">
        <v>36</v>
      </c>
      <c r="H56" s="730">
        <v>36</v>
      </c>
      <c r="I56" s="730">
        <v>37</v>
      </c>
      <c r="J56" s="730">
        <v>38</v>
      </c>
      <c r="K56" s="4033">
        <v>39</v>
      </c>
      <c r="L56" s="4073">
        <f>IFERROR(AVERAGE(D56:F56),0)</f>
        <v>36</v>
      </c>
      <c r="M56" s="727"/>
    </row>
    <row r="57" spans="1:13" ht="13.8" thickBot="1">
      <c r="A57" s="5132"/>
      <c r="B57" s="4050" t="s">
        <v>1769</v>
      </c>
      <c r="C57" s="4068" t="s">
        <v>676</v>
      </c>
      <c r="D57" s="4028"/>
      <c r="E57" s="4029"/>
      <c r="F57" s="4027"/>
      <c r="G57" s="4042">
        <f>G53-G54-G55-G56</f>
        <v>-0.33333333333439441</v>
      </c>
      <c r="H57" s="4043">
        <f>H53-H54-H55-H56</f>
        <v>-0.33333333333439441</v>
      </c>
      <c r="I57" s="4044">
        <f>I53-I54-I55-I56</f>
        <v>-0.33333333333439441</v>
      </c>
      <c r="J57" s="4045">
        <f>J53-J54-J55-J56</f>
        <v>-0.33333333333439441</v>
      </c>
      <c r="K57" s="4045">
        <f>K53-K54-K55-K56</f>
        <v>-0.33333333333439441</v>
      </c>
      <c r="L57" s="4030"/>
      <c r="M57" s="4062"/>
    </row>
    <row r="58" spans="1:13" ht="15.6">
      <c r="A58" s="5084" t="s">
        <v>1135</v>
      </c>
      <c r="B58" s="4057" t="s">
        <v>1307</v>
      </c>
      <c r="C58" s="1817" t="s">
        <v>1428</v>
      </c>
      <c r="D58" s="1818"/>
      <c r="E58" s="1819"/>
      <c r="F58" s="998"/>
      <c r="G58" s="1002">
        <f>L58</f>
        <v>1251034.6610000001</v>
      </c>
      <c r="H58" s="1002">
        <f>(G58+(H46)*G58)</f>
        <v>1230035.3957083928</v>
      </c>
      <c r="I58" s="1002">
        <f>(H58+(I46)*H58)</f>
        <v>1209001.8178917994</v>
      </c>
      <c r="J58" s="1002">
        <f>(I58+(J46)*I58)</f>
        <v>1188036.8651251784</v>
      </c>
      <c r="K58" s="1002">
        <f>(J58+(K46)*J58)</f>
        <v>1170297.2897072684</v>
      </c>
      <c r="L58" s="5081">
        <f>IFERROR(AVERAGE(D62:F62),0)</f>
        <v>1251034.6610000001</v>
      </c>
      <c r="M58" s="4062"/>
    </row>
    <row r="59" spans="1:13">
      <c r="A59" s="5085"/>
      <c r="B59" s="4052" t="s">
        <v>1164</v>
      </c>
      <c r="C59" s="1807" t="s">
        <v>170</v>
      </c>
      <c r="D59" s="1001"/>
      <c r="E59" s="1002"/>
      <c r="F59" s="4018"/>
      <c r="G59" s="1003"/>
      <c r="H59" s="1004">
        <f>IFERROR((H58-G58)/G58,0)</f>
        <v>-1.6785518376302797E-2</v>
      </c>
      <c r="I59" s="1004">
        <f>IFERROR((I58-H58)/H58,0)</f>
        <v>-1.7099977683552724E-2</v>
      </c>
      <c r="J59" s="1004">
        <f>IFERROR((J58-I58)/I58,0)</f>
        <v>-1.73407123598695E-2</v>
      </c>
      <c r="K59" s="1005">
        <f>IFERROR((K58-J58)/J58,0)</f>
        <v>-1.4931839186691283E-2</v>
      </c>
      <c r="L59" s="5081"/>
      <c r="M59" s="4062"/>
    </row>
    <row r="60" spans="1:13" ht="26.4">
      <c r="A60" s="5086"/>
      <c r="B60" s="4053" t="s">
        <v>1308</v>
      </c>
      <c r="C60" s="1817" t="s">
        <v>1428</v>
      </c>
      <c r="D60" s="1012"/>
      <c r="E60" s="1013"/>
      <c r="F60" s="1014"/>
      <c r="G60" s="734">
        <v>2139</v>
      </c>
      <c r="H60" s="730">
        <v>1552</v>
      </c>
      <c r="I60" s="730">
        <v>4814</v>
      </c>
      <c r="J60" s="730">
        <v>12639</v>
      </c>
      <c r="K60" s="729">
        <v>17012</v>
      </c>
      <c r="L60" s="5081"/>
      <c r="M60" s="727"/>
    </row>
    <row r="61" spans="1:13" ht="26.4">
      <c r="A61" s="5087"/>
      <c r="B61" s="4049" t="s">
        <v>1771</v>
      </c>
      <c r="C61" s="1817" t="s">
        <v>1428</v>
      </c>
      <c r="D61" s="1012"/>
      <c r="E61" s="1013"/>
      <c r="F61" s="1014"/>
      <c r="G61" s="4040">
        <f>G60</f>
        <v>2139</v>
      </c>
      <c r="H61" s="4041">
        <f>SUM(G60:H60)</f>
        <v>3691</v>
      </c>
      <c r="I61" s="4041">
        <f>SUM(G60:I60)</f>
        <v>8505</v>
      </c>
      <c r="J61" s="4041">
        <f>SUM(G60:J60)</f>
        <v>21144</v>
      </c>
      <c r="K61" s="4041">
        <f>SUM(G60:K60)</f>
        <v>38156</v>
      </c>
      <c r="L61" s="5081"/>
      <c r="M61" s="4062"/>
    </row>
    <row r="62" spans="1:13" ht="16.2" thickBot="1">
      <c r="A62" s="5088"/>
      <c r="B62" s="4054" t="s">
        <v>1028</v>
      </c>
      <c r="C62" s="1821" t="s">
        <v>1428</v>
      </c>
      <c r="D62" s="1918">
        <v>1260317.193</v>
      </c>
      <c r="E62" s="1919">
        <v>1258027.477</v>
      </c>
      <c r="F62" s="1920">
        <v>1234759.3130000001</v>
      </c>
      <c r="G62" s="4039">
        <f>G58+G61</f>
        <v>1253173.6610000001</v>
      </c>
      <c r="H62" s="4039">
        <f t="shared" ref="H62:K62" si="11">H58+H61</f>
        <v>1233726.3957083928</v>
      </c>
      <c r="I62" s="4039">
        <f t="shared" si="11"/>
        <v>1217506.8178917994</v>
      </c>
      <c r="J62" s="4039">
        <f t="shared" si="11"/>
        <v>1209180.8651251784</v>
      </c>
      <c r="K62" s="4039">
        <f t="shared" si="11"/>
        <v>1208453.2897072684</v>
      </c>
      <c r="L62" s="5081"/>
      <c r="M62" s="4070"/>
    </row>
    <row r="63" spans="1:13" ht="15.6">
      <c r="A63" s="5085" t="s">
        <v>1137</v>
      </c>
      <c r="B63" s="4057" t="s">
        <v>1309</v>
      </c>
      <c r="C63" s="1817" t="s">
        <v>1428</v>
      </c>
      <c r="D63" s="996"/>
      <c r="E63" s="997"/>
      <c r="F63" s="998"/>
      <c r="G63" s="999">
        <f>L63</f>
        <v>326123.56233333336</v>
      </c>
      <c r="H63" s="733">
        <v>320617</v>
      </c>
      <c r="I63" s="733">
        <v>315124</v>
      </c>
      <c r="J63" s="733">
        <v>309627</v>
      </c>
      <c r="K63" s="732">
        <v>305005</v>
      </c>
      <c r="L63" s="5080">
        <f>IFERROR(AVERAGE(D66:F66),0)</f>
        <v>326123.56233333336</v>
      </c>
      <c r="M63" s="728"/>
    </row>
    <row r="64" spans="1:13" ht="26.4">
      <c r="A64" s="5086"/>
      <c r="B64" s="4053" t="s">
        <v>1308</v>
      </c>
      <c r="C64" s="1817" t="s">
        <v>1428</v>
      </c>
      <c r="D64" s="1012"/>
      <c r="E64" s="1013"/>
      <c r="F64" s="1014"/>
      <c r="G64" s="734">
        <v>7300</v>
      </c>
      <c r="H64" s="730">
        <v>30550</v>
      </c>
      <c r="I64" s="730">
        <v>21450</v>
      </c>
      <c r="J64" s="730">
        <v>16800</v>
      </c>
      <c r="K64" s="729">
        <v>9000</v>
      </c>
      <c r="L64" s="5081"/>
      <c r="M64" s="727"/>
    </row>
    <row r="65" spans="1:13" ht="26.4">
      <c r="A65" s="5087"/>
      <c r="B65" s="4049" t="s">
        <v>1771</v>
      </c>
      <c r="C65" s="1817" t="s">
        <v>1428</v>
      </c>
      <c r="D65" s="1012"/>
      <c r="E65" s="1013"/>
      <c r="F65" s="1014"/>
      <c r="G65" s="4040">
        <f>G64</f>
        <v>7300</v>
      </c>
      <c r="H65" s="4041">
        <f>SUM(G64:H64)</f>
        <v>37850</v>
      </c>
      <c r="I65" s="4041">
        <f>SUM(G64:I64)</f>
        <v>59300</v>
      </c>
      <c r="J65" s="4041">
        <f>SUM(G64:J64)</f>
        <v>76100</v>
      </c>
      <c r="K65" s="4041">
        <f>SUM(G64:K64)</f>
        <v>85100</v>
      </c>
      <c r="L65" s="5081"/>
      <c r="M65" s="4062"/>
    </row>
    <row r="66" spans="1:13" ht="16.2" thickBot="1">
      <c r="A66" s="5087"/>
      <c r="B66" s="4058" t="s">
        <v>1028</v>
      </c>
      <c r="C66" s="1801" t="s">
        <v>1428</v>
      </c>
      <c r="D66" s="1915">
        <v>329008.92399999994</v>
      </c>
      <c r="E66" s="1916">
        <v>331307.576</v>
      </c>
      <c r="F66" s="1917">
        <v>318054.18700000003</v>
      </c>
      <c r="G66" s="4034">
        <f>G63+G65</f>
        <v>333423.56233333336</v>
      </c>
      <c r="H66" s="4034">
        <f t="shared" ref="H66:K66" si="12">H63+H65</f>
        <v>358467</v>
      </c>
      <c r="I66" s="4034">
        <f t="shared" si="12"/>
        <v>374424</v>
      </c>
      <c r="J66" s="4034">
        <f t="shared" si="12"/>
        <v>385727</v>
      </c>
      <c r="K66" s="4034">
        <f t="shared" si="12"/>
        <v>390105</v>
      </c>
      <c r="L66" s="5083"/>
      <c r="M66" s="726"/>
    </row>
    <row r="67" spans="1:13" ht="15.6">
      <c r="A67" s="5084" t="s">
        <v>1138</v>
      </c>
      <c r="B67" s="4051" t="s">
        <v>1309</v>
      </c>
      <c r="C67" s="1806" t="s">
        <v>1428</v>
      </c>
      <c r="D67" s="996"/>
      <c r="E67" s="997"/>
      <c r="F67" s="998"/>
      <c r="G67" s="999">
        <f>L67</f>
        <v>293468.05433333333</v>
      </c>
      <c r="H67" s="733">
        <v>279565</v>
      </c>
      <c r="I67" s="733">
        <v>279565</v>
      </c>
      <c r="J67" s="733">
        <v>279565</v>
      </c>
      <c r="K67" s="732">
        <v>279565</v>
      </c>
      <c r="L67" s="5080">
        <f>IFERROR(AVERAGE(D70:F70),0)</f>
        <v>293468.05433333333</v>
      </c>
      <c r="M67" s="728"/>
    </row>
    <row r="68" spans="1:13" ht="26.4">
      <c r="A68" s="5086"/>
      <c r="B68" s="4053" t="s">
        <v>1308</v>
      </c>
      <c r="C68" s="1817" t="s">
        <v>1428</v>
      </c>
      <c r="D68" s="1012"/>
      <c r="E68" s="1013"/>
      <c r="F68" s="1014"/>
      <c r="G68" s="734">
        <v>9500</v>
      </c>
      <c r="H68" s="730">
        <v>13900</v>
      </c>
      <c r="I68" s="730">
        <v>8400</v>
      </c>
      <c r="J68" s="730">
        <v>8450</v>
      </c>
      <c r="K68" s="729">
        <v>8400</v>
      </c>
      <c r="L68" s="5081"/>
      <c r="M68" s="727"/>
    </row>
    <row r="69" spans="1:13" ht="26.4">
      <c r="A69" s="5087"/>
      <c r="B69" s="4049" t="s">
        <v>1771</v>
      </c>
      <c r="C69" s="1817" t="s">
        <v>1428</v>
      </c>
      <c r="D69" s="1012"/>
      <c r="E69" s="1013"/>
      <c r="F69" s="1014"/>
      <c r="G69" s="4040">
        <f>G68</f>
        <v>9500</v>
      </c>
      <c r="H69" s="4041">
        <f>SUM(G68:H68)</f>
        <v>23400</v>
      </c>
      <c r="I69" s="4041">
        <f>SUM(G68:I68)</f>
        <v>31800</v>
      </c>
      <c r="J69" s="4041">
        <f>SUM(G68:J68)</f>
        <v>40250</v>
      </c>
      <c r="K69" s="4041">
        <f>SUM(G68:K68)</f>
        <v>48650</v>
      </c>
      <c r="L69" s="5081"/>
      <c r="M69" s="4062"/>
    </row>
    <row r="70" spans="1:13" ht="16.2" thickBot="1">
      <c r="A70" s="5088"/>
      <c r="B70" s="4054" t="s">
        <v>1028</v>
      </c>
      <c r="C70" s="1821" t="s">
        <v>1428</v>
      </c>
      <c r="D70" s="1918">
        <v>284824.07799999998</v>
      </c>
      <c r="E70" s="1919">
        <v>292607.10100000002</v>
      </c>
      <c r="F70" s="1920">
        <v>302972.98399999994</v>
      </c>
      <c r="G70" s="4039">
        <f>G67+G69</f>
        <v>302968.05433333333</v>
      </c>
      <c r="H70" s="4039">
        <f t="shared" ref="H70:K70" si="13">H67+H69</f>
        <v>302965</v>
      </c>
      <c r="I70" s="4039">
        <f t="shared" si="13"/>
        <v>311365</v>
      </c>
      <c r="J70" s="4039">
        <f t="shared" si="13"/>
        <v>319815</v>
      </c>
      <c r="K70" s="4039">
        <f t="shared" si="13"/>
        <v>328215</v>
      </c>
      <c r="L70" s="5081"/>
      <c r="M70" s="4070"/>
    </row>
    <row r="71" spans="1:13" ht="15.6">
      <c r="A71" s="5078" t="s">
        <v>1144</v>
      </c>
      <c r="B71" s="4051" t="s">
        <v>1309</v>
      </c>
      <c r="C71" s="1837" t="s">
        <v>1428</v>
      </c>
      <c r="D71" s="996"/>
      <c r="E71" s="997"/>
      <c r="F71" s="998"/>
      <c r="G71" s="1006">
        <f>G58+G63+G67</f>
        <v>1870626.2776666668</v>
      </c>
      <c r="H71" s="1007">
        <f>H58+H63+H67</f>
        <v>1830217.3957083928</v>
      </c>
      <c r="I71" s="1007">
        <f>I58+I63+I67</f>
        <v>1803690.8178917994</v>
      </c>
      <c r="J71" s="1007">
        <f>J58+J63+J67</f>
        <v>1777228.8651251784</v>
      </c>
      <c r="K71" s="1008">
        <f>K58+K63+K67</f>
        <v>1754867.2897072684</v>
      </c>
      <c r="L71" s="5080">
        <f>IFERROR(AVERAGE(D74:F74),0)</f>
        <v>1870626.2776666665</v>
      </c>
      <c r="M71" s="4075"/>
    </row>
    <row r="72" spans="1:13" ht="26.4">
      <c r="A72" s="5079"/>
      <c r="B72" s="4053" t="s">
        <v>1308</v>
      </c>
      <c r="C72" s="1838" t="s">
        <v>1428</v>
      </c>
      <c r="D72" s="1012"/>
      <c r="E72" s="1013"/>
      <c r="F72" s="1014"/>
      <c r="G72" s="1009">
        <f t="shared" ref="G72:K73" si="14">G60+G64+G68</f>
        <v>18939</v>
      </c>
      <c r="H72" s="1010">
        <f t="shared" si="14"/>
        <v>46002</v>
      </c>
      <c r="I72" s="1010">
        <f t="shared" si="14"/>
        <v>34664</v>
      </c>
      <c r="J72" s="1010">
        <f t="shared" si="14"/>
        <v>37889</v>
      </c>
      <c r="K72" s="1011">
        <f t="shared" si="14"/>
        <v>34412</v>
      </c>
      <c r="L72" s="5081"/>
      <c r="M72" s="4062"/>
    </row>
    <row r="73" spans="1:13" ht="26.4">
      <c r="A73" s="5089"/>
      <c r="B73" s="4049" t="s">
        <v>1771</v>
      </c>
      <c r="C73" s="1838" t="s">
        <v>1428</v>
      </c>
      <c r="D73" s="1012"/>
      <c r="E73" s="1013"/>
      <c r="F73" s="1014"/>
      <c r="G73" s="4036">
        <f t="shared" si="14"/>
        <v>18939</v>
      </c>
      <c r="H73" s="4037">
        <f t="shared" si="14"/>
        <v>64941</v>
      </c>
      <c r="I73" s="4037">
        <f t="shared" si="14"/>
        <v>99605</v>
      </c>
      <c r="J73" s="4037">
        <f t="shared" si="14"/>
        <v>137494</v>
      </c>
      <c r="K73" s="4038">
        <f t="shared" si="14"/>
        <v>171906</v>
      </c>
      <c r="L73" s="5081"/>
      <c r="M73" s="4062"/>
    </row>
    <row r="74" spans="1:13" ht="16.2" thickBot="1">
      <c r="A74" s="5090"/>
      <c r="B74" s="4054" t="s">
        <v>1028</v>
      </c>
      <c r="C74" s="1839" t="s">
        <v>1428</v>
      </c>
      <c r="D74" s="1406">
        <f>D62+D66+D70</f>
        <v>1874150.1949999998</v>
      </c>
      <c r="E74" s="1020">
        <f t="shared" ref="E74:F74" si="15">E62+E66+E70</f>
        <v>1881942.1539999999</v>
      </c>
      <c r="F74" s="1407">
        <f t="shared" si="15"/>
        <v>1855786.4839999999</v>
      </c>
      <c r="G74" s="4034">
        <f>G71+G73</f>
        <v>1889565.2776666668</v>
      </c>
      <c r="H74" s="4034">
        <f t="shared" ref="H74:K74" si="16">H71+H73</f>
        <v>1895158.3957083928</v>
      </c>
      <c r="I74" s="4034">
        <f t="shared" si="16"/>
        <v>1903295.8178917994</v>
      </c>
      <c r="J74" s="4034">
        <f t="shared" si="16"/>
        <v>1914722.8651251784</v>
      </c>
      <c r="K74" s="4034">
        <f t="shared" si="16"/>
        <v>1926773.2897072684</v>
      </c>
      <c r="L74" s="5083"/>
      <c r="M74" s="4074"/>
    </row>
    <row r="75" spans="1:13" ht="13.8" thickBot="1">
      <c r="A75" s="3803" t="s">
        <v>1145</v>
      </c>
      <c r="B75" s="4059"/>
      <c r="D75" s="1831"/>
      <c r="E75" s="1831"/>
      <c r="F75" s="1831"/>
      <c r="G75" s="1831"/>
      <c r="H75" s="1831"/>
      <c r="I75" s="1831"/>
      <c r="J75" s="1831"/>
      <c r="K75" s="1831"/>
      <c r="L75" s="1831"/>
      <c r="M75" s="4076"/>
    </row>
    <row r="76" spans="1:13" ht="13.8" hidden="1" thickBot="1">
      <c r="A76" s="5091" t="s">
        <v>82</v>
      </c>
      <c r="B76" s="5120" t="s">
        <v>1128</v>
      </c>
      <c r="C76" s="5113" t="s">
        <v>166</v>
      </c>
      <c r="D76" s="1834" t="str">
        <f t="shared" ref="D76:K76" si="17">D7</f>
        <v xml:space="preserve">2023 г. </v>
      </c>
      <c r="E76" s="1835" t="str">
        <f t="shared" si="17"/>
        <v xml:space="preserve">2024 г. </v>
      </c>
      <c r="F76" s="1836" t="str">
        <f t="shared" si="17"/>
        <v xml:space="preserve">2025 г. </v>
      </c>
      <c r="G76" s="1835" t="str">
        <f t="shared" si="17"/>
        <v>2027 г.</v>
      </c>
      <c r="H76" s="1835" t="str">
        <f t="shared" si="17"/>
        <v>2028 г.</v>
      </c>
      <c r="I76" s="1835" t="str">
        <f t="shared" si="17"/>
        <v>2029 г.</v>
      </c>
      <c r="J76" s="1835" t="str">
        <f t="shared" si="17"/>
        <v>2030 г.</v>
      </c>
      <c r="K76" s="1835" t="str">
        <f t="shared" si="17"/>
        <v>2031 г.</v>
      </c>
      <c r="L76" s="5115" t="s">
        <v>1426</v>
      </c>
      <c r="M76" s="5118" t="s">
        <v>1129</v>
      </c>
    </row>
    <row r="77" spans="1:13" ht="13.8" hidden="1" thickBot="1">
      <c r="A77" s="5092"/>
      <c r="B77" s="5121"/>
      <c r="C77" s="5114"/>
      <c r="D77" s="5095" t="s">
        <v>1328</v>
      </c>
      <c r="E77" s="5096"/>
      <c r="F77" s="5097"/>
      <c r="G77" s="5096" t="s">
        <v>1329</v>
      </c>
      <c r="H77" s="5096"/>
      <c r="I77" s="5096"/>
      <c r="J77" s="5096"/>
      <c r="K77" s="5097"/>
      <c r="L77" s="5116"/>
      <c r="M77" s="5119"/>
    </row>
    <row r="78" spans="1:13" ht="17.25" customHeight="1">
      <c r="A78" s="5122" t="s">
        <v>1418</v>
      </c>
      <c r="B78" s="4051" t="s">
        <v>1130</v>
      </c>
      <c r="C78" s="1806" t="s">
        <v>676</v>
      </c>
      <c r="D78" s="996"/>
      <c r="E78" s="997"/>
      <c r="F78" s="998"/>
      <c r="G78" s="921">
        <v>33976</v>
      </c>
      <c r="H78" s="733">
        <v>33406</v>
      </c>
      <c r="I78" s="733">
        <v>32835</v>
      </c>
      <c r="J78" s="733">
        <v>32266</v>
      </c>
      <c r="K78" s="732">
        <v>31784</v>
      </c>
      <c r="L78" s="5080">
        <f>IFERROR(AVERAGE(D82:F82),0)</f>
        <v>33965.333333333336</v>
      </c>
      <c r="M78" s="728"/>
    </row>
    <row r="79" spans="1:13" ht="17.25" customHeight="1">
      <c r="A79" s="5123"/>
      <c r="B79" s="4052" t="s">
        <v>1164</v>
      </c>
      <c r="C79" s="1807" t="s">
        <v>170</v>
      </c>
      <c r="D79" s="1001"/>
      <c r="E79" s="1002"/>
      <c r="F79" s="4018"/>
      <c r="G79" s="1003"/>
      <c r="H79" s="1004">
        <f>IFERROR((H78-G78)/G78,0)</f>
        <v>-1.6776548151636449E-2</v>
      </c>
      <c r="I79" s="1004">
        <f>IFERROR((I78-H78)/H78,0)</f>
        <v>-1.7092737831527271E-2</v>
      </c>
      <c r="J79" s="1004">
        <f>IFERROR((J78-I78)/I78,0)</f>
        <v>-1.7329069590376122E-2</v>
      </c>
      <c r="K79" s="1005">
        <f>IFERROR((K78-J78)/J78,0)</f>
        <v>-1.4938325172007686E-2</v>
      </c>
      <c r="L79" s="5081"/>
      <c r="M79" s="4062"/>
    </row>
    <row r="80" spans="1:13" ht="22.5" customHeight="1">
      <c r="A80" s="5124"/>
      <c r="B80" s="4053" t="s">
        <v>1770</v>
      </c>
      <c r="C80" s="1810" t="s">
        <v>676</v>
      </c>
      <c r="D80" s="1012"/>
      <c r="E80" s="1013"/>
      <c r="F80" s="1014"/>
      <c r="G80" s="734">
        <v>102</v>
      </c>
      <c r="H80" s="739">
        <v>74</v>
      </c>
      <c r="I80" s="739">
        <v>208</v>
      </c>
      <c r="J80" s="739">
        <v>372</v>
      </c>
      <c r="K80" s="739">
        <v>532</v>
      </c>
      <c r="L80" s="5081"/>
      <c r="M80" s="727"/>
    </row>
    <row r="81" spans="1:13" ht="26.4">
      <c r="A81" s="5125"/>
      <c r="B81" s="4049" t="s">
        <v>1771</v>
      </c>
      <c r="C81" s="1810" t="s">
        <v>676</v>
      </c>
      <c r="D81" s="1012"/>
      <c r="E81" s="1013"/>
      <c r="F81" s="1014"/>
      <c r="G81" s="4040">
        <f>G80</f>
        <v>102</v>
      </c>
      <c r="H81" s="4041">
        <f>SUM(G80:H80)</f>
        <v>176</v>
      </c>
      <c r="I81" s="4041">
        <f>SUM(G80:I80)</f>
        <v>384</v>
      </c>
      <c r="J81" s="4041">
        <f>SUM(G80:J80)</f>
        <v>756</v>
      </c>
      <c r="K81" s="4041">
        <f>SUM(G80:K80)</f>
        <v>1288</v>
      </c>
      <c r="L81" s="5081"/>
      <c r="M81" s="4062"/>
    </row>
    <row r="82" spans="1:13" ht="17.25" customHeight="1" thickBot="1">
      <c r="A82" s="5125"/>
      <c r="B82" s="4058" t="s">
        <v>1028</v>
      </c>
      <c r="C82" s="1812" t="s">
        <v>676</v>
      </c>
      <c r="D82" s="1915">
        <v>32696</v>
      </c>
      <c r="E82" s="1916">
        <v>34761</v>
      </c>
      <c r="F82" s="1917">
        <v>34439</v>
      </c>
      <c r="G82" s="4034">
        <f>G78+G81</f>
        <v>34078</v>
      </c>
      <c r="H82" s="4034">
        <f t="shared" ref="H82:K82" si="18">H78+H81</f>
        <v>33582</v>
      </c>
      <c r="I82" s="4034">
        <f t="shared" si="18"/>
        <v>33219</v>
      </c>
      <c r="J82" s="4034">
        <f t="shared" si="18"/>
        <v>33022</v>
      </c>
      <c r="K82" s="4034">
        <f t="shared" si="18"/>
        <v>33072</v>
      </c>
      <c r="L82" s="5083"/>
      <c r="M82" s="727"/>
    </row>
    <row r="83" spans="1:13" ht="12.75" customHeight="1">
      <c r="A83" s="5131" t="s">
        <v>851</v>
      </c>
      <c r="B83" s="4051" t="s">
        <v>1130</v>
      </c>
      <c r="C83" s="1806" t="s">
        <v>676</v>
      </c>
      <c r="D83" s="996"/>
      <c r="E83" s="997"/>
      <c r="F83" s="998"/>
      <c r="G83" s="921">
        <v>20790.333333333332</v>
      </c>
      <c r="H83" s="744">
        <v>20790.333333333332</v>
      </c>
      <c r="I83" s="744">
        <v>20790.333333333332</v>
      </c>
      <c r="J83" s="744">
        <v>20790.333333333332</v>
      </c>
      <c r="K83" s="745">
        <v>20790.333333333332</v>
      </c>
      <c r="L83" s="5080">
        <f>IFERROR(AVERAGE(D86:F86),0)</f>
        <v>20790.333333333332</v>
      </c>
      <c r="M83" s="728"/>
    </row>
    <row r="84" spans="1:13" ht="26.4">
      <c r="A84" s="5132"/>
      <c r="B84" s="4053" t="s">
        <v>1770</v>
      </c>
      <c r="C84" s="1810" t="s">
        <v>676</v>
      </c>
      <c r="D84" s="1012"/>
      <c r="E84" s="1013"/>
      <c r="F84" s="1014"/>
      <c r="G84" s="734">
        <v>1210</v>
      </c>
      <c r="H84" s="730">
        <v>298</v>
      </c>
      <c r="I84" s="730">
        <v>656</v>
      </c>
      <c r="J84" s="730">
        <v>1101</v>
      </c>
      <c r="K84" s="4033">
        <v>1536</v>
      </c>
      <c r="L84" s="5081"/>
      <c r="M84" s="727"/>
    </row>
    <row r="85" spans="1:13" ht="26.4">
      <c r="A85" s="5132"/>
      <c r="B85" s="4049" t="s">
        <v>1771</v>
      </c>
      <c r="C85" s="1810" t="s">
        <v>676</v>
      </c>
      <c r="D85" s="1012"/>
      <c r="E85" s="1013"/>
      <c r="F85" s="1014"/>
      <c r="G85" s="4040">
        <f>G84</f>
        <v>1210</v>
      </c>
      <c r="H85" s="4041">
        <f>SUM(G84:H84)</f>
        <v>1508</v>
      </c>
      <c r="I85" s="4041">
        <f>SUM(G84:I84)</f>
        <v>2164</v>
      </c>
      <c r="J85" s="4041">
        <f>SUM(G84:J84)</f>
        <v>3265</v>
      </c>
      <c r="K85" s="4041">
        <f>SUM(G84:K84)</f>
        <v>4801</v>
      </c>
      <c r="L85" s="5081"/>
      <c r="M85" s="4062"/>
    </row>
    <row r="86" spans="1:13">
      <c r="A86" s="5132"/>
      <c r="B86" s="4055" t="s">
        <v>1028</v>
      </c>
      <c r="C86" s="1814" t="s">
        <v>676</v>
      </c>
      <c r="D86" s="1015">
        <f>D87+D88+D89</f>
        <v>20771</v>
      </c>
      <c r="E86" s="1016">
        <f>E87+E88+E89</f>
        <v>20805</v>
      </c>
      <c r="F86" s="1017">
        <f>F87+F88+F89</f>
        <v>20795</v>
      </c>
      <c r="G86" s="4035">
        <f>G83+G85</f>
        <v>22000.333333333332</v>
      </c>
      <c r="H86" s="4035">
        <f t="shared" ref="H86:K86" si="19">H83+H85</f>
        <v>22298.333333333332</v>
      </c>
      <c r="I86" s="4035">
        <f t="shared" si="19"/>
        <v>22954.333333333332</v>
      </c>
      <c r="J86" s="4035">
        <f t="shared" si="19"/>
        <v>24055.333333333332</v>
      </c>
      <c r="K86" s="4035">
        <f t="shared" si="19"/>
        <v>25591.333333333332</v>
      </c>
      <c r="L86" s="5082"/>
      <c r="M86" s="4062"/>
    </row>
    <row r="87" spans="1:13">
      <c r="A87" s="5132"/>
      <c r="B87" s="4056" t="s">
        <v>1146</v>
      </c>
      <c r="C87" s="1810" t="s">
        <v>676</v>
      </c>
      <c r="D87" s="735">
        <v>19318</v>
      </c>
      <c r="E87" s="734">
        <v>19360</v>
      </c>
      <c r="F87" s="742">
        <v>19355</v>
      </c>
      <c r="G87" s="734">
        <v>20508</v>
      </c>
      <c r="H87" s="739">
        <v>20694</v>
      </c>
      <c r="I87" s="739">
        <v>21283</v>
      </c>
      <c r="J87" s="739">
        <v>22337</v>
      </c>
      <c r="K87" s="741">
        <v>23853</v>
      </c>
      <c r="L87" s="1395">
        <f>IFERROR(AVERAGE(D87:F87),0)</f>
        <v>19344.333333333332</v>
      </c>
      <c r="M87" s="727"/>
    </row>
    <row r="88" spans="1:13">
      <c r="A88" s="5132"/>
      <c r="B88" s="4056" t="s">
        <v>1147</v>
      </c>
      <c r="C88" s="1810" t="s">
        <v>676</v>
      </c>
      <c r="D88" s="735">
        <v>1417</v>
      </c>
      <c r="E88" s="734">
        <v>1409</v>
      </c>
      <c r="F88" s="742">
        <v>1404</v>
      </c>
      <c r="G88" s="734">
        <v>1456</v>
      </c>
      <c r="H88" s="730">
        <v>1568</v>
      </c>
      <c r="I88" s="730">
        <v>1634</v>
      </c>
      <c r="J88" s="730">
        <v>1680</v>
      </c>
      <c r="K88" s="729">
        <v>1699</v>
      </c>
      <c r="L88" s="1395">
        <f>IFERROR(AVERAGE(D88:F88),0)</f>
        <v>1410</v>
      </c>
      <c r="M88" s="727"/>
    </row>
    <row r="89" spans="1:13">
      <c r="A89" s="5132"/>
      <c r="B89" s="4060" t="s">
        <v>1148</v>
      </c>
      <c r="C89" s="1853" t="s">
        <v>676</v>
      </c>
      <c r="D89" s="4021">
        <v>36</v>
      </c>
      <c r="E89" s="4024">
        <v>36</v>
      </c>
      <c r="F89" s="4023">
        <v>36</v>
      </c>
      <c r="G89" s="4022">
        <v>36</v>
      </c>
      <c r="H89" s="4024">
        <v>36</v>
      </c>
      <c r="I89" s="4024">
        <v>37</v>
      </c>
      <c r="J89" s="730">
        <v>38</v>
      </c>
      <c r="K89" s="4025">
        <v>39</v>
      </c>
      <c r="L89" s="1395">
        <f>IFERROR(AVERAGE(D89:F89),0)</f>
        <v>36</v>
      </c>
      <c r="M89" s="727"/>
    </row>
    <row r="90" spans="1:13" ht="13.8" thickBot="1">
      <c r="A90" s="5133"/>
      <c r="B90" s="4061" t="s">
        <v>1769</v>
      </c>
      <c r="C90" s="4067" t="s">
        <v>676</v>
      </c>
      <c r="D90" s="4028"/>
      <c r="E90" s="4029"/>
      <c r="F90" s="4032"/>
      <c r="G90" s="4047">
        <f>G86-G87-G88-G89</f>
        <v>0.33333333333212067</v>
      </c>
      <c r="H90" s="4043">
        <f>H86-H87-H88-H89</f>
        <v>0.33333333333212067</v>
      </c>
      <c r="I90" s="4043">
        <f>I86-I87-I88-I89</f>
        <v>0.33333333333212067</v>
      </c>
      <c r="J90" s="4048">
        <f>J86-J87-J88-J89</f>
        <v>0.33333333333212067</v>
      </c>
      <c r="K90" s="4046">
        <f>K86-K87-K88-K89</f>
        <v>0.33333333333212067</v>
      </c>
      <c r="L90" s="4030"/>
      <c r="M90" s="4074"/>
    </row>
    <row r="91" spans="1:13" ht="15.6">
      <c r="A91" s="5084" t="s">
        <v>1135</v>
      </c>
      <c r="B91" s="4051" t="s">
        <v>1307</v>
      </c>
      <c r="C91" s="1806" t="s">
        <v>1428</v>
      </c>
      <c r="D91" s="996"/>
      <c r="E91" s="997"/>
      <c r="F91" s="998"/>
      <c r="G91" s="999">
        <f>L91</f>
        <v>1156125.8346666666</v>
      </c>
      <c r="H91" s="1000">
        <f>(G91+(H79)*G91)</f>
        <v>1136730.0339320304</v>
      </c>
      <c r="I91" s="1000">
        <f>(H91+(I79)*H91)</f>
        <v>1117300.2054768072</v>
      </c>
      <c r="J91" s="1000">
        <f>(I91+(J79)*I91)</f>
        <v>1097938.4324627582</v>
      </c>
      <c r="K91" s="1000">
        <f>(J91+(K79)*J91)</f>
        <v>1081537.071139785</v>
      </c>
      <c r="L91" s="5080">
        <f>IFERROR(AVERAGE(D95:F95),0)</f>
        <v>1156125.8346666666</v>
      </c>
      <c r="M91" s="4062"/>
    </row>
    <row r="92" spans="1:13">
      <c r="A92" s="5085"/>
      <c r="B92" s="4052" t="s">
        <v>1164</v>
      </c>
      <c r="C92" s="1807" t="s">
        <v>170</v>
      </c>
      <c r="D92" s="1001"/>
      <c r="E92" s="1002"/>
      <c r="F92" s="4018"/>
      <c r="G92" s="1003"/>
      <c r="H92" s="1004">
        <f>IFERROR((H91-G91)/G91,0)</f>
        <v>-1.6776548151636386E-2</v>
      </c>
      <c r="I92" s="1004">
        <f>IFERROR((I91-H91)/H91,0)</f>
        <v>-1.7092737831527219E-2</v>
      </c>
      <c r="J92" s="1004">
        <f>IFERROR((J91-I91)/I91,0)</f>
        <v>-1.7329069590376046E-2</v>
      </c>
      <c r="K92" s="1005">
        <f>IFERROR((K91-J91)/J91,0)</f>
        <v>-1.4938325172007754E-2</v>
      </c>
      <c r="L92" s="5081"/>
      <c r="M92" s="4062"/>
    </row>
    <row r="93" spans="1:13" ht="26.4">
      <c r="A93" s="5086"/>
      <c r="B93" s="4053" t="s">
        <v>1308</v>
      </c>
      <c r="C93" s="1817" t="s">
        <v>1428</v>
      </c>
      <c r="D93" s="1012"/>
      <c r="E93" s="1013"/>
      <c r="F93" s="1014"/>
      <c r="G93" s="734">
        <v>39959.540999999997</v>
      </c>
      <c r="H93" s="730">
        <v>930.29247671233315</v>
      </c>
      <c r="I93" s="730">
        <v>4171.5688926027433</v>
      </c>
      <c r="J93" s="730">
        <v>11996.597630684926</v>
      </c>
      <c r="K93" s="729">
        <v>16473</v>
      </c>
      <c r="L93" s="5081"/>
      <c r="M93" s="727"/>
    </row>
    <row r="94" spans="1:13" ht="26.4">
      <c r="A94" s="5087"/>
      <c r="B94" s="4049" t="s">
        <v>1771</v>
      </c>
      <c r="C94" s="1817" t="s">
        <v>1428</v>
      </c>
      <c r="D94" s="1012"/>
      <c r="E94" s="1013"/>
      <c r="F94" s="1014"/>
      <c r="G94" s="4040">
        <f>G93</f>
        <v>39959.540999999997</v>
      </c>
      <c r="H94" s="4041">
        <f>SUM(G93:H93)</f>
        <v>40889.833476712331</v>
      </c>
      <c r="I94" s="4041">
        <f>SUM(G93:I93)</f>
        <v>45061.402369315074</v>
      </c>
      <c r="J94" s="4041">
        <f>SUM(G93:J93)</f>
        <v>57058</v>
      </c>
      <c r="K94" s="4041">
        <f>SUM(G93:K93)</f>
        <v>73531</v>
      </c>
      <c r="L94" s="5081"/>
      <c r="M94" s="4062"/>
    </row>
    <row r="95" spans="1:13" ht="16.2" thickBot="1">
      <c r="A95" s="5088"/>
      <c r="B95" s="4058" t="s">
        <v>1028</v>
      </c>
      <c r="C95" s="1821" t="s">
        <v>1428</v>
      </c>
      <c r="D95" s="1915">
        <v>1169199.9539999999</v>
      </c>
      <c r="E95" s="1916">
        <v>1165297.686</v>
      </c>
      <c r="F95" s="1917">
        <v>1133879.8640000001</v>
      </c>
      <c r="G95" s="4034">
        <f>G91+G94</f>
        <v>1196085.3756666665</v>
      </c>
      <c r="H95" s="4034">
        <f t="shared" ref="H95:K95" si="20">H91+H94</f>
        <v>1177619.8674087427</v>
      </c>
      <c r="I95" s="4034">
        <f t="shared" si="20"/>
        <v>1162361.6078461222</v>
      </c>
      <c r="J95" s="4034">
        <f t="shared" si="20"/>
        <v>1154996.4324627582</v>
      </c>
      <c r="K95" s="4034">
        <f t="shared" si="20"/>
        <v>1155068.071139785</v>
      </c>
      <c r="L95" s="5083"/>
      <c r="M95" s="727"/>
    </row>
    <row r="96" spans="1:13" ht="15.6">
      <c r="A96" s="5084" t="s">
        <v>1137</v>
      </c>
      <c r="B96" s="4051" t="s">
        <v>1309</v>
      </c>
      <c r="C96" s="1817" t="s">
        <v>1428</v>
      </c>
      <c r="D96" s="996"/>
      <c r="E96" s="997"/>
      <c r="F96" s="998"/>
      <c r="G96" s="999">
        <f>L96</f>
        <v>294211.27166666667</v>
      </c>
      <c r="H96" s="733">
        <v>298451</v>
      </c>
      <c r="I96" s="733">
        <v>293338</v>
      </c>
      <c r="J96" s="733">
        <v>288221</v>
      </c>
      <c r="K96" s="732">
        <v>283918</v>
      </c>
      <c r="L96" s="5080">
        <f>IFERROR(AVERAGE(D99:F99),0)</f>
        <v>294211.27166666667</v>
      </c>
      <c r="M96" s="728"/>
    </row>
    <row r="97" spans="1:13" ht="26.4">
      <c r="A97" s="5086"/>
      <c r="B97" s="4053" t="s">
        <v>1308</v>
      </c>
      <c r="C97" s="1817" t="s">
        <v>1428</v>
      </c>
      <c r="D97" s="1012"/>
      <c r="E97" s="1013"/>
      <c r="F97" s="1014"/>
      <c r="G97" s="734">
        <v>15865.569000000001</v>
      </c>
      <c r="H97" s="730">
        <v>21184.430999999997</v>
      </c>
      <c r="I97" s="730">
        <v>19550</v>
      </c>
      <c r="J97" s="730">
        <v>14400.000000000002</v>
      </c>
      <c r="K97" s="729">
        <v>6600.0000000000018</v>
      </c>
      <c r="L97" s="5081"/>
      <c r="M97" s="727"/>
    </row>
    <row r="98" spans="1:13" ht="26.4">
      <c r="A98" s="5087"/>
      <c r="B98" s="4049" t="s">
        <v>1771</v>
      </c>
      <c r="C98" s="1838" t="s">
        <v>1428</v>
      </c>
      <c r="D98" s="1012"/>
      <c r="E98" s="1013"/>
      <c r="F98" s="1014"/>
      <c r="G98" s="4040">
        <f>G97</f>
        <v>15865.569000000001</v>
      </c>
      <c r="H98" s="4041">
        <f>SUM(G97:H97)</f>
        <v>37050</v>
      </c>
      <c r="I98" s="4041">
        <f>SUM(G97:I97)</f>
        <v>56600</v>
      </c>
      <c r="J98" s="4041">
        <f>SUM(G97:J97)</f>
        <v>71000</v>
      </c>
      <c r="K98" s="4041">
        <f>SUM(G97:K97)</f>
        <v>77600</v>
      </c>
      <c r="L98" s="5081"/>
      <c r="M98" s="4062"/>
    </row>
    <row r="99" spans="1:13" ht="16.2" thickBot="1">
      <c r="A99" s="5088"/>
      <c r="B99" s="4054" t="s">
        <v>1028</v>
      </c>
      <c r="C99" s="1801" t="s">
        <v>1428</v>
      </c>
      <c r="D99" s="1918">
        <v>301023.14999999997</v>
      </c>
      <c r="E99" s="4069">
        <v>300125.35599999997</v>
      </c>
      <c r="F99" s="1920">
        <v>281485.30900000007</v>
      </c>
      <c r="G99" s="4039">
        <f>G96+G98</f>
        <v>310076.84066666669</v>
      </c>
      <c r="H99" s="4039">
        <f t="shared" ref="H99:K99" si="21">H96+H98</f>
        <v>335501</v>
      </c>
      <c r="I99" s="4039">
        <f t="shared" si="21"/>
        <v>349938</v>
      </c>
      <c r="J99" s="4039">
        <f t="shared" si="21"/>
        <v>359221</v>
      </c>
      <c r="K99" s="4039">
        <f t="shared" si="21"/>
        <v>361518</v>
      </c>
      <c r="L99" s="5081"/>
      <c r="M99" s="4070"/>
    </row>
    <row r="100" spans="1:13" ht="15.6">
      <c r="A100" s="5085" t="s">
        <v>1138</v>
      </c>
      <c r="B100" s="4057" t="s">
        <v>1309</v>
      </c>
      <c r="C100" s="1806" t="s">
        <v>1428</v>
      </c>
      <c r="D100" s="996"/>
      <c r="E100" s="997"/>
      <c r="F100" s="998"/>
      <c r="G100" s="999">
        <f>L100</f>
        <v>293468.05433333333</v>
      </c>
      <c r="H100" s="733">
        <v>279565</v>
      </c>
      <c r="I100" s="733">
        <v>279565</v>
      </c>
      <c r="J100" s="733">
        <v>279565</v>
      </c>
      <c r="K100" s="732">
        <v>279565</v>
      </c>
      <c r="L100" s="5080">
        <f>IFERROR(AVERAGE(D103:F103),0)</f>
        <v>293468.05433333333</v>
      </c>
      <c r="M100" s="728"/>
    </row>
    <row r="101" spans="1:13" ht="26.4">
      <c r="A101" s="5086"/>
      <c r="B101" s="4053" t="s">
        <v>1308</v>
      </c>
      <c r="C101" s="1817" t="s">
        <v>1428</v>
      </c>
      <c r="D101" s="1012"/>
      <c r="E101" s="1013"/>
      <c r="F101" s="1014"/>
      <c r="G101" s="734">
        <v>9500</v>
      </c>
      <c r="H101" s="730">
        <v>13900</v>
      </c>
      <c r="I101" s="730">
        <v>8400</v>
      </c>
      <c r="J101" s="730">
        <v>8450</v>
      </c>
      <c r="K101" s="729">
        <v>8400</v>
      </c>
      <c r="L101" s="5081"/>
      <c r="M101" s="727"/>
    </row>
    <row r="102" spans="1:13" ht="26.4">
      <c r="A102" s="5087"/>
      <c r="B102" s="4049" t="s">
        <v>1771</v>
      </c>
      <c r="C102" s="1838" t="s">
        <v>1428</v>
      </c>
      <c r="D102" s="1012"/>
      <c r="E102" s="1013"/>
      <c r="F102" s="1014"/>
      <c r="G102" s="4040">
        <f>G101</f>
        <v>9500</v>
      </c>
      <c r="H102" s="4041">
        <f>SUM(G101:H101)</f>
        <v>23400</v>
      </c>
      <c r="I102" s="4041">
        <f>SUM(G101:I101)</f>
        <v>31800</v>
      </c>
      <c r="J102" s="4041">
        <f>SUM(G101:J101)</f>
        <v>40250</v>
      </c>
      <c r="K102" s="4041">
        <f>SUM(G101:K101)</f>
        <v>48650</v>
      </c>
      <c r="L102" s="5081"/>
      <c r="M102" s="4062"/>
    </row>
    <row r="103" spans="1:13" ht="16.2" thickBot="1">
      <c r="A103" s="5087"/>
      <c r="B103" s="4058" t="s">
        <v>1028</v>
      </c>
      <c r="C103" s="1821" t="s">
        <v>1428</v>
      </c>
      <c r="D103" s="1915">
        <v>284824.07799999998</v>
      </c>
      <c r="E103" s="1916">
        <v>292607.10100000002</v>
      </c>
      <c r="F103" s="1917">
        <v>302972.98399999994</v>
      </c>
      <c r="G103" s="4034">
        <f>G100+G102</f>
        <v>302968.05433333333</v>
      </c>
      <c r="H103" s="4034">
        <f t="shared" ref="H103:K103" si="22">H100+H102</f>
        <v>302965</v>
      </c>
      <c r="I103" s="4034">
        <f t="shared" si="22"/>
        <v>311365</v>
      </c>
      <c r="J103" s="4034">
        <f t="shared" si="22"/>
        <v>319815</v>
      </c>
      <c r="K103" s="4034">
        <f t="shared" si="22"/>
        <v>328215</v>
      </c>
      <c r="L103" s="5083"/>
      <c r="M103" s="726"/>
    </row>
    <row r="104" spans="1:13" ht="15.6">
      <c r="A104" s="5078" t="s">
        <v>1149</v>
      </c>
      <c r="B104" s="4051" t="s">
        <v>1309</v>
      </c>
      <c r="C104" s="1837" t="s">
        <v>1428</v>
      </c>
      <c r="D104" s="996"/>
      <c r="E104" s="997"/>
      <c r="F104" s="998"/>
      <c r="G104" s="1006">
        <f>G91+G96+G100</f>
        <v>1743805.1606666667</v>
      </c>
      <c r="H104" s="1007">
        <f>H91+H96+H100</f>
        <v>1714746.0339320304</v>
      </c>
      <c r="I104" s="1007">
        <f>I91+I96+I100</f>
        <v>1690203.2054768072</v>
      </c>
      <c r="J104" s="1007">
        <f>J91+J96+J100</f>
        <v>1665724.4324627582</v>
      </c>
      <c r="K104" s="1008">
        <f>K91+K96+K100</f>
        <v>1645020.071139785</v>
      </c>
      <c r="L104" s="5080">
        <f>IFERROR(AVERAGE(D107:F107),0)</f>
        <v>1743805.1606666667</v>
      </c>
      <c r="M104" s="4075"/>
    </row>
    <row r="105" spans="1:13" ht="26.4">
      <c r="A105" s="5079"/>
      <c r="B105" s="4053" t="s">
        <v>1308</v>
      </c>
      <c r="C105" s="1838" t="s">
        <v>1428</v>
      </c>
      <c r="D105" s="1012"/>
      <c r="E105" s="1013"/>
      <c r="F105" s="1014"/>
      <c r="G105" s="1009">
        <f t="shared" ref="G105:K106" si="23">G93+G97+G101</f>
        <v>65325.11</v>
      </c>
      <c r="H105" s="1010">
        <f t="shared" si="23"/>
        <v>36014.72347671233</v>
      </c>
      <c r="I105" s="1010">
        <f t="shared" si="23"/>
        <v>32121.568892602743</v>
      </c>
      <c r="J105" s="1010">
        <f t="shared" si="23"/>
        <v>34846.597630684926</v>
      </c>
      <c r="K105" s="1011">
        <f t="shared" si="23"/>
        <v>31473</v>
      </c>
      <c r="L105" s="5081"/>
      <c r="M105" s="4062"/>
    </row>
    <row r="106" spans="1:13" ht="26.4">
      <c r="A106" s="5079"/>
      <c r="B106" s="4049" t="s">
        <v>1771</v>
      </c>
      <c r="C106" s="1838" t="s">
        <v>1428</v>
      </c>
      <c r="D106" s="1012"/>
      <c r="E106" s="1013"/>
      <c r="F106" s="1014"/>
      <c r="G106" s="4036">
        <f t="shared" si="23"/>
        <v>65325.11</v>
      </c>
      <c r="H106" s="4037">
        <f t="shared" si="23"/>
        <v>101339.83347671233</v>
      </c>
      <c r="I106" s="4037">
        <f t="shared" si="23"/>
        <v>133461.40236931507</v>
      </c>
      <c r="J106" s="4037">
        <f t="shared" si="23"/>
        <v>168308</v>
      </c>
      <c r="K106" s="4038">
        <f t="shared" si="23"/>
        <v>199781</v>
      </c>
      <c r="L106" s="5081"/>
      <c r="M106" s="4062"/>
    </row>
    <row r="107" spans="1:13" ht="15.6">
      <c r="A107" s="5079"/>
      <c r="B107" s="1813" t="s">
        <v>1028</v>
      </c>
      <c r="C107" s="1838" t="s">
        <v>1428</v>
      </c>
      <c r="D107" s="1815">
        <f>D95+D99+D103</f>
        <v>1755047.1819999998</v>
      </c>
      <c r="E107" s="1816">
        <f>E95+E99+E103</f>
        <v>1758030.1429999999</v>
      </c>
      <c r="F107" s="1017">
        <f>F95+F99+F103</f>
        <v>1718338.1570000001</v>
      </c>
      <c r="G107" s="4035">
        <f>G104+G106</f>
        <v>1809130.2706666668</v>
      </c>
      <c r="H107" s="4035">
        <f t="shared" ref="H107:K107" si="24">H104+H106</f>
        <v>1816085.8674087427</v>
      </c>
      <c r="I107" s="4035">
        <f t="shared" si="24"/>
        <v>1823664.6078461222</v>
      </c>
      <c r="J107" s="4035">
        <f t="shared" si="24"/>
        <v>1834032.4324627582</v>
      </c>
      <c r="K107" s="4035">
        <f t="shared" si="24"/>
        <v>1844801.071139785</v>
      </c>
      <c r="L107" s="5082"/>
      <c r="M107" s="4062"/>
    </row>
    <row r="108" spans="1:13" ht="13.8" thickBot="1">
      <c r="A108" s="1840" t="s">
        <v>1150</v>
      </c>
      <c r="E108" s="1831"/>
      <c r="F108" s="1831"/>
      <c r="G108" s="1831"/>
      <c r="H108" s="1831"/>
      <c r="I108" s="1831"/>
      <c r="J108" s="1831"/>
      <c r="K108" s="1831"/>
      <c r="L108" s="1831"/>
      <c r="M108" s="1831"/>
    </row>
    <row r="109" spans="1:13" ht="27" hidden="1" thickBot="1">
      <c r="A109" s="1841" t="s">
        <v>82</v>
      </c>
      <c r="B109" s="1842" t="s">
        <v>1128</v>
      </c>
      <c r="C109" s="1805" t="s">
        <v>166</v>
      </c>
      <c r="D109" s="1834" t="str">
        <f t="shared" ref="D109:K109" si="25">D7</f>
        <v xml:space="preserve">2023 г. </v>
      </c>
      <c r="E109" s="1835" t="str">
        <f t="shared" si="25"/>
        <v xml:space="preserve">2024 г. </v>
      </c>
      <c r="F109" s="1836" t="str">
        <f t="shared" si="25"/>
        <v xml:space="preserve">2025 г. </v>
      </c>
      <c r="G109" s="1835" t="str">
        <f t="shared" si="25"/>
        <v>2027 г.</v>
      </c>
      <c r="H109" s="1835" t="str">
        <f t="shared" si="25"/>
        <v>2028 г.</v>
      </c>
      <c r="I109" s="1835" t="str">
        <f t="shared" si="25"/>
        <v>2029 г.</v>
      </c>
      <c r="J109" s="1835" t="str">
        <f t="shared" si="25"/>
        <v>2030 г.</v>
      </c>
      <c r="K109" s="1835" t="str">
        <f t="shared" si="25"/>
        <v>2031 г.</v>
      </c>
      <c r="L109" s="1843"/>
      <c r="M109" s="4019" t="s">
        <v>1129</v>
      </c>
    </row>
    <row r="110" spans="1:13">
      <c r="A110" s="5084" t="s">
        <v>1438</v>
      </c>
      <c r="B110" s="1844" t="s">
        <v>210</v>
      </c>
      <c r="C110" s="1806" t="s">
        <v>1432</v>
      </c>
      <c r="D110" s="1845">
        <f t="shared" ref="D110:K110" si="26">IFERROR((D26/D13/365)*1000,0)</f>
        <v>93.29680278398078</v>
      </c>
      <c r="E110" s="1006">
        <f t="shared" si="26"/>
        <v>96.723781125394368</v>
      </c>
      <c r="F110" s="1846">
        <f t="shared" si="26"/>
        <v>96.876011834140826</v>
      </c>
      <c r="G110" s="1006">
        <f t="shared" si="26"/>
        <v>103.31207757642201</v>
      </c>
      <c r="H110" s="1007">
        <f t="shared" si="26"/>
        <v>103.30817166158204</v>
      </c>
      <c r="I110" s="1007">
        <f t="shared" si="26"/>
        <v>103.30469436420432</v>
      </c>
      <c r="J110" s="1007">
        <f t="shared" si="26"/>
        <v>103.28831492706938</v>
      </c>
      <c r="K110" s="1007">
        <f t="shared" si="26"/>
        <v>103.24421540180681</v>
      </c>
      <c r="L110" s="1847"/>
      <c r="M110" s="728"/>
    </row>
    <row r="111" spans="1:13">
      <c r="A111" s="5086"/>
      <c r="B111" s="1848" t="s">
        <v>174</v>
      </c>
      <c r="C111" s="1810" t="s">
        <v>1432</v>
      </c>
      <c r="D111" s="1849">
        <f t="shared" ref="D111:K111" si="27">IFERROR((D62/D49/365)*1000,0)</f>
        <v>96.393842060198111</v>
      </c>
      <c r="E111" s="1009">
        <f t="shared" si="27"/>
        <v>87.467342264124042</v>
      </c>
      <c r="F111" s="1850">
        <f t="shared" si="27"/>
        <v>86.12715075607872</v>
      </c>
      <c r="G111" s="1009">
        <f t="shared" si="27"/>
        <v>93.904942177408543</v>
      </c>
      <c r="H111" s="1010">
        <f t="shared" si="27"/>
        <v>93.828345464393038</v>
      </c>
      <c r="I111" s="1010">
        <f t="shared" si="27"/>
        <v>93.647635180992694</v>
      </c>
      <c r="J111" s="1010">
        <f t="shared" si="27"/>
        <v>93.635508423238761</v>
      </c>
      <c r="K111" s="1010">
        <f t="shared" si="27"/>
        <v>93.539509272632998</v>
      </c>
      <c r="L111" s="1851"/>
      <c r="M111" s="727"/>
    </row>
    <row r="112" spans="1:13" ht="13.8" thickBot="1">
      <c r="A112" s="5087"/>
      <c r="B112" s="1852" t="s">
        <v>184</v>
      </c>
      <c r="C112" s="1853" t="s">
        <v>1432</v>
      </c>
      <c r="D112" s="1854">
        <f t="shared" ref="D112:K112" si="28">IFERROR((D95/D82/365)*1000,0)</f>
        <v>97.971848091677231</v>
      </c>
      <c r="E112" s="1855">
        <f t="shared" si="28"/>
        <v>91.844204712177444</v>
      </c>
      <c r="F112" s="1856">
        <f t="shared" si="28"/>
        <v>90.203553394188731</v>
      </c>
      <c r="G112" s="1855">
        <f t="shared" si="28"/>
        <v>96.160168868572001</v>
      </c>
      <c r="H112" s="1857">
        <f t="shared" si="28"/>
        <v>96.073962275023604</v>
      </c>
      <c r="I112" s="1857">
        <f t="shared" si="28"/>
        <v>95.865388791455146</v>
      </c>
      <c r="J112" s="1857">
        <f t="shared" si="28"/>
        <v>95.826230621076874</v>
      </c>
      <c r="K112" s="1857">
        <f t="shared" si="28"/>
        <v>95.687290091836573</v>
      </c>
      <c r="L112" s="1858"/>
      <c r="M112" s="726"/>
    </row>
    <row r="113" spans="1:13" ht="15.6">
      <c r="A113" s="5084" t="s">
        <v>1439</v>
      </c>
      <c r="B113" s="1844" t="s">
        <v>210</v>
      </c>
      <c r="C113" s="1859" t="s">
        <v>1431</v>
      </c>
      <c r="D113" s="1860">
        <f t="shared" ref="D113:K113" si="29">IFERROR((D26/D18/12),0)</f>
        <v>4.0060338356949785</v>
      </c>
      <c r="E113" s="1861">
        <f t="shared" si="29"/>
        <v>4.1073842253536483</v>
      </c>
      <c r="F113" s="1862">
        <f t="shared" si="29"/>
        <v>4.0599625862838602</v>
      </c>
      <c r="G113" s="1861">
        <f t="shared" si="29"/>
        <v>4.0525196506173851</v>
      </c>
      <c r="H113" s="1863">
        <f t="shared" si="29"/>
        <v>3.9841272077516341</v>
      </c>
      <c r="I113" s="1863">
        <f t="shared" si="29"/>
        <v>3.9158654740625383</v>
      </c>
      <c r="J113" s="1863">
        <f t="shared" si="29"/>
        <v>3.8477488525630634</v>
      </c>
      <c r="K113" s="1863">
        <f t="shared" si="29"/>
        <v>3.7919588891800093</v>
      </c>
      <c r="L113" s="1847"/>
      <c r="M113" s="728"/>
    </row>
    <row r="114" spans="1:13" ht="15.6">
      <c r="A114" s="5086"/>
      <c r="B114" s="1848" t="s">
        <v>174</v>
      </c>
      <c r="C114" s="1864" t="s">
        <v>1431</v>
      </c>
      <c r="D114" s="1865">
        <f t="shared" ref="D114:K114" si="30">IFERROR((D62/D54/12),0)</f>
        <v>4.9610974374114312</v>
      </c>
      <c r="E114" s="1866">
        <f t="shared" si="30"/>
        <v>4.9413472418614885</v>
      </c>
      <c r="F114" s="1867">
        <f t="shared" si="30"/>
        <v>4.8233539313114271</v>
      </c>
      <c r="G114" s="1866">
        <f t="shared" si="30"/>
        <v>4.8363422598372932</v>
      </c>
      <c r="H114" s="1868">
        <f t="shared" si="30"/>
        <v>4.7206268871711012</v>
      </c>
      <c r="I114" s="1868">
        <f t="shared" si="30"/>
        <v>4.5358950952692814</v>
      </c>
      <c r="J114" s="1868">
        <f t="shared" si="30"/>
        <v>4.3021549011085671</v>
      </c>
      <c r="K114" s="1868">
        <f t="shared" si="30"/>
        <v>4.0381923493840342</v>
      </c>
      <c r="L114" s="1851"/>
      <c r="M114" s="727"/>
    </row>
    <row r="115" spans="1:13" ht="16.2" thickBot="1">
      <c r="A115" s="5088"/>
      <c r="B115" s="1869" t="s">
        <v>184</v>
      </c>
      <c r="C115" s="1817" t="s">
        <v>1431</v>
      </c>
      <c r="D115" s="1870">
        <f t="shared" ref="D115:K115" si="31">IFERROR((D95/D87/12),0)</f>
        <v>5.0436551144010764</v>
      </c>
      <c r="E115" s="1871">
        <f t="shared" si="31"/>
        <v>5.0159163481404958</v>
      </c>
      <c r="F115" s="1872">
        <f t="shared" si="31"/>
        <v>4.8819420649272365</v>
      </c>
      <c r="G115" s="1871">
        <f t="shared" si="31"/>
        <v>4.8602389948096132</v>
      </c>
      <c r="H115" s="1873">
        <f t="shared" si="31"/>
        <v>4.7421952716115081</v>
      </c>
      <c r="I115" s="1873">
        <f t="shared" si="31"/>
        <v>4.5512130489362486</v>
      </c>
      <c r="J115" s="1873">
        <f t="shared" si="31"/>
        <v>4.3089807362327006</v>
      </c>
      <c r="K115" s="1873">
        <f t="shared" si="31"/>
        <v>4.0353696639828147</v>
      </c>
      <c r="L115" s="1858"/>
      <c r="M115" s="726"/>
    </row>
    <row r="116" spans="1:13" ht="15.6">
      <c r="A116" s="5085" t="s">
        <v>1440</v>
      </c>
      <c r="B116" s="1874" t="s">
        <v>210</v>
      </c>
      <c r="C116" s="1859" t="s">
        <v>1431</v>
      </c>
      <c r="D116" s="1845">
        <f t="shared" ref="D116:K116" si="32">IFERROR((D30/D19/12),0)</f>
        <v>15.694583821158908</v>
      </c>
      <c r="E116" s="1006">
        <f t="shared" si="32"/>
        <v>16.018342768892271</v>
      </c>
      <c r="F116" s="1846">
        <f t="shared" si="32"/>
        <v>14.872081277028746</v>
      </c>
      <c r="G116" s="1006">
        <f t="shared" si="32"/>
        <v>15.200134685581551</v>
      </c>
      <c r="H116" s="1007">
        <f t="shared" si="32"/>
        <v>15.326100472519274</v>
      </c>
      <c r="I116" s="1007">
        <f t="shared" si="32"/>
        <v>16.11037939032472</v>
      </c>
      <c r="J116" s="1007">
        <f t="shared" si="32"/>
        <v>16.922146962233167</v>
      </c>
      <c r="K116" s="1007">
        <f t="shared" si="32"/>
        <v>17.704462102689487</v>
      </c>
      <c r="L116" s="1847"/>
      <c r="M116" s="728"/>
    </row>
    <row r="117" spans="1:13" ht="15.6">
      <c r="A117" s="5086"/>
      <c r="B117" s="1848" t="s">
        <v>174</v>
      </c>
      <c r="C117" s="1864" t="s">
        <v>1431</v>
      </c>
      <c r="D117" s="1849">
        <f t="shared" ref="D117:K117" si="33">IFERROR((D66/D55/12),0)</f>
        <v>18.145208691815572</v>
      </c>
      <c r="E117" s="1009">
        <f t="shared" si="33"/>
        <v>18.381467820683532</v>
      </c>
      <c r="F117" s="1850">
        <f t="shared" si="33"/>
        <v>17.693268079661774</v>
      </c>
      <c r="G117" s="1009">
        <f t="shared" si="33"/>
        <v>18.392738434098266</v>
      </c>
      <c r="H117" s="1010">
        <f t="shared" si="33"/>
        <v>18.398018887292139</v>
      </c>
      <c r="I117" s="1010">
        <f t="shared" si="33"/>
        <v>18.455441640378549</v>
      </c>
      <c r="J117" s="1010">
        <f t="shared" si="33"/>
        <v>18.498321503932477</v>
      </c>
      <c r="K117" s="1010">
        <f t="shared" si="33"/>
        <v>18.495401099943109</v>
      </c>
      <c r="L117" s="1851"/>
      <c r="M117" s="727"/>
    </row>
    <row r="118" spans="1:13" ht="16.2" thickBot="1">
      <c r="A118" s="5088"/>
      <c r="B118" s="1869" t="s">
        <v>184</v>
      </c>
      <c r="C118" s="1817" t="s">
        <v>1431</v>
      </c>
      <c r="D118" s="1854">
        <f>IFERROR((D99/D88/12),0)</f>
        <v>17.703078687367675</v>
      </c>
      <c r="E118" s="1855">
        <f t="shared" ref="E118:K118" si="34">IFERROR((E99/E88/12),0)</f>
        <v>17.750494203927133</v>
      </c>
      <c r="F118" s="1856">
        <f t="shared" si="34"/>
        <v>16.707342651946821</v>
      </c>
      <c r="G118" s="1855">
        <f t="shared" si="34"/>
        <v>17.747071924603176</v>
      </c>
      <c r="H118" s="1857">
        <f t="shared" si="34"/>
        <v>17.830622874149658</v>
      </c>
      <c r="I118" s="1857">
        <f t="shared" si="34"/>
        <v>17.84669522643819</v>
      </c>
      <c r="J118" s="1857">
        <f t="shared" si="34"/>
        <v>17.818501984126986</v>
      </c>
      <c r="K118" s="1857">
        <f t="shared" si="34"/>
        <v>17.731901118304886</v>
      </c>
      <c r="L118" s="1858"/>
      <c r="M118" s="726"/>
    </row>
    <row r="119" spans="1:13" ht="15.6">
      <c r="A119" s="5084" t="s">
        <v>1441</v>
      </c>
      <c r="B119" s="1844" t="s">
        <v>210</v>
      </c>
      <c r="C119" s="1859" t="s">
        <v>1431</v>
      </c>
      <c r="D119" s="1845">
        <f t="shared" ref="D119:K119" si="35">IFERROR((D34/D20/12),0)</f>
        <v>202.59927477477481</v>
      </c>
      <c r="E119" s="1006">
        <f t="shared" si="35"/>
        <v>117.17805833333331</v>
      </c>
      <c r="F119" s="1846">
        <f t="shared" si="35"/>
        <v>118.83328888888889</v>
      </c>
      <c r="G119" s="1006">
        <f t="shared" si="35"/>
        <v>147.23751094276093</v>
      </c>
      <c r="H119" s="1007">
        <f t="shared" si="35"/>
        <v>147.25252525252526</v>
      </c>
      <c r="I119" s="1007">
        <f t="shared" si="35"/>
        <v>147.25714285714284</v>
      </c>
      <c r="J119" s="1007">
        <f t="shared" si="35"/>
        <v>147.26801801801801</v>
      </c>
      <c r="K119" s="1007">
        <f t="shared" si="35"/>
        <v>147.27564102564102</v>
      </c>
      <c r="L119" s="1847"/>
      <c r="M119" s="728"/>
    </row>
    <row r="120" spans="1:13" ht="15.6">
      <c r="A120" s="5086"/>
      <c r="B120" s="1848" t="s">
        <v>174</v>
      </c>
      <c r="C120" s="1864" t="s">
        <v>1431</v>
      </c>
      <c r="D120" s="1849">
        <f t="shared" ref="D120:K120" si="36">IFERROR((D70/D56/12),0)</f>
        <v>659.3149953703703</v>
      </c>
      <c r="E120" s="1009">
        <f t="shared" si="36"/>
        <v>677.33125231481483</v>
      </c>
      <c r="F120" s="1850">
        <f t="shared" si="36"/>
        <v>701.32635185185165</v>
      </c>
      <c r="G120" s="1009">
        <f t="shared" si="36"/>
        <v>701.31494058641977</v>
      </c>
      <c r="H120" s="1010">
        <f t="shared" si="36"/>
        <v>701.30787037037044</v>
      </c>
      <c r="I120" s="1010">
        <f t="shared" si="36"/>
        <v>701.27252252252254</v>
      </c>
      <c r="J120" s="1010">
        <f t="shared" si="36"/>
        <v>701.34868421052624</v>
      </c>
      <c r="K120" s="1010">
        <f t="shared" si="36"/>
        <v>701.31410256410254</v>
      </c>
      <c r="L120" s="1851"/>
      <c r="M120" s="727"/>
    </row>
    <row r="121" spans="1:13" ht="16.2" thickBot="1">
      <c r="A121" s="5087"/>
      <c r="B121" s="1852" t="s">
        <v>184</v>
      </c>
      <c r="C121" s="1817" t="s">
        <v>1431</v>
      </c>
      <c r="D121" s="1854">
        <f>IFERROR((D103/D89/12),0)</f>
        <v>659.3149953703703</v>
      </c>
      <c r="E121" s="1855">
        <f t="shared" ref="E121:K121" si="37">IFERROR((E103/E89/12),0)</f>
        <v>677.33125231481483</v>
      </c>
      <c r="F121" s="1856">
        <f t="shared" si="37"/>
        <v>701.32635185185165</v>
      </c>
      <c r="G121" s="1855">
        <f t="shared" si="37"/>
        <v>701.31494058641977</v>
      </c>
      <c r="H121" s="1857">
        <f t="shared" si="37"/>
        <v>701.30787037037044</v>
      </c>
      <c r="I121" s="1857">
        <f t="shared" si="37"/>
        <v>701.27252252252254</v>
      </c>
      <c r="J121" s="1857">
        <f t="shared" si="37"/>
        <v>701.34868421052624</v>
      </c>
      <c r="K121" s="1857">
        <f t="shared" si="37"/>
        <v>701.31410256410254</v>
      </c>
      <c r="L121" s="1858"/>
      <c r="M121" s="726"/>
    </row>
    <row r="122" spans="1:13" ht="16.2" thickBot="1">
      <c r="A122" s="1875" t="s">
        <v>1442</v>
      </c>
      <c r="B122" s="1876" t="s">
        <v>210</v>
      </c>
      <c r="C122" s="1877" t="s">
        <v>1431</v>
      </c>
      <c r="D122" s="1878"/>
      <c r="E122" s="1879"/>
      <c r="F122" s="4066"/>
      <c r="G122" s="1880">
        <f>IFERROR(G38/12,0)</f>
        <v>2158.3333333333335</v>
      </c>
      <c r="H122" s="1881">
        <f>IFERROR(H38/12,0)</f>
        <v>6625</v>
      </c>
      <c r="I122" s="1881">
        <f>IFERROR(I38/12,0)</f>
        <v>8125</v>
      </c>
      <c r="J122" s="1881">
        <f>IFERROR(J38/12,0)</f>
        <v>9083.3333333333339</v>
      </c>
      <c r="K122" s="1881">
        <f>IFERROR(K38/12,0)</f>
        <v>9791.6666666666661</v>
      </c>
      <c r="L122" s="1882"/>
      <c r="M122" s="725"/>
    </row>
    <row r="123" spans="1:13" ht="13.8" thickBot="1"/>
    <row r="124" spans="1:13" s="1830" customFormat="1" ht="33" customHeight="1">
      <c r="A124" s="5134" t="s">
        <v>849</v>
      </c>
      <c r="B124" s="1883" t="s">
        <v>1167</v>
      </c>
      <c r="C124" s="1884" t="s">
        <v>170</v>
      </c>
      <c r="D124" s="1885">
        <f t="shared" ref="D124:K124" si="38">IFERROR(D49/D13,0)</f>
        <v>0.41567257705161531</v>
      </c>
      <c r="E124" s="1886">
        <f t="shared" si="38"/>
        <v>0.46140065337283231</v>
      </c>
      <c r="F124" s="1887">
        <f t="shared" si="38"/>
        <v>0.46556117913402162</v>
      </c>
      <c r="G124" s="1886">
        <f t="shared" si="38"/>
        <v>0.46298594402937826</v>
      </c>
      <c r="H124" s="1886">
        <f t="shared" si="38"/>
        <v>0.46396373190459017</v>
      </c>
      <c r="I124" s="1886">
        <f t="shared" si="38"/>
        <v>0.46670597484276727</v>
      </c>
      <c r="J124" s="1886">
        <f t="shared" si="38"/>
        <v>0.47161385782268495</v>
      </c>
      <c r="K124" s="1888">
        <f t="shared" si="38"/>
        <v>0.47839485314987767</v>
      </c>
      <c r="L124" s="1889"/>
    </row>
    <row r="125" spans="1:13" s="1830" customFormat="1" ht="40.200000000000003" thickBot="1">
      <c r="A125" s="5135"/>
      <c r="B125" s="1890" t="s">
        <v>1168</v>
      </c>
      <c r="C125" s="1891" t="s">
        <v>170</v>
      </c>
      <c r="D125" s="1892">
        <f t="shared" ref="D125:K125" si="39">IFERROR(D82/D13,0)</f>
        <v>0.37940958039361306</v>
      </c>
      <c r="E125" s="1893">
        <f t="shared" si="39"/>
        <v>0.40702317248808589</v>
      </c>
      <c r="F125" s="1894">
        <f t="shared" si="39"/>
        <v>0.40820462977230432</v>
      </c>
      <c r="G125" s="1893">
        <f t="shared" si="39"/>
        <v>0.43153096112447764</v>
      </c>
      <c r="H125" s="1893">
        <f t="shared" si="39"/>
        <v>0.4325124929163876</v>
      </c>
      <c r="I125" s="1893">
        <f t="shared" si="39"/>
        <v>0.43525943396226413</v>
      </c>
      <c r="J125" s="1893">
        <f t="shared" si="39"/>
        <v>0.44018182060544664</v>
      </c>
      <c r="K125" s="1895">
        <f t="shared" si="39"/>
        <v>0.44699744549718196</v>
      </c>
      <c r="L125" s="1896"/>
    </row>
    <row r="126" spans="1:13" s="1830" customFormat="1" ht="39.6">
      <c r="A126" s="5134" t="s">
        <v>852</v>
      </c>
      <c r="B126" s="1897" t="s">
        <v>1169</v>
      </c>
      <c r="C126" s="1898" t="s">
        <v>170</v>
      </c>
      <c r="D126" s="1885">
        <f t="shared" ref="D126:K126" si="40">IFERROR(D53/D17,0)</f>
        <v>0.34943317284767195</v>
      </c>
      <c r="E126" s="1886">
        <f t="shared" si="40"/>
        <v>0.34930381787200071</v>
      </c>
      <c r="F126" s="1887">
        <f t="shared" si="40"/>
        <v>0.35075851701869831</v>
      </c>
      <c r="G126" s="1886">
        <f t="shared" si="40"/>
        <v>0.35443025048759813</v>
      </c>
      <c r="H126" s="1886">
        <f t="shared" si="40"/>
        <v>0.35897710796626436</v>
      </c>
      <c r="I126" s="1886">
        <f t="shared" si="40"/>
        <v>0.3689943848902501</v>
      </c>
      <c r="J126" s="1886">
        <f t="shared" si="40"/>
        <v>0.38557510839071663</v>
      </c>
      <c r="K126" s="1888">
        <f t="shared" si="40"/>
        <v>0.40876935465785957</v>
      </c>
      <c r="L126" s="1889"/>
    </row>
    <row r="127" spans="1:13" s="1830" customFormat="1" ht="40.200000000000003" thickBot="1">
      <c r="A127" s="5135"/>
      <c r="B127" s="1899" t="s">
        <v>1170</v>
      </c>
      <c r="C127" s="1891" t="s">
        <v>170</v>
      </c>
      <c r="D127" s="1892">
        <f t="shared" ref="D127:K127" si="41">IFERROR(D86/D17,0)</f>
        <v>0.31949977696082199</v>
      </c>
      <c r="E127" s="1893">
        <f t="shared" si="41"/>
        <v>0.31938410524861455</v>
      </c>
      <c r="F127" s="1894">
        <f t="shared" si="41"/>
        <v>0.31897596367708192</v>
      </c>
      <c r="G127" s="1893">
        <f t="shared" si="41"/>
        <v>0.33698393734236026</v>
      </c>
      <c r="H127" s="1893">
        <f t="shared" si="41"/>
        <v>0.3415170822357001</v>
      </c>
      <c r="I127" s="1893">
        <f t="shared" si="41"/>
        <v>0.35152118427769269</v>
      </c>
      <c r="J127" s="1893">
        <f t="shared" si="41"/>
        <v>0.36809997449630194</v>
      </c>
      <c r="K127" s="1895">
        <f t="shared" si="41"/>
        <v>0.39129282488812778</v>
      </c>
      <c r="L127" s="1900"/>
    </row>
    <row r="128" spans="1:13" s="1830" customFormat="1" ht="26.4">
      <c r="A128" s="5134" t="s">
        <v>1171</v>
      </c>
      <c r="B128" s="1897" t="s">
        <v>1172</v>
      </c>
      <c r="C128" s="1898" t="s">
        <v>170</v>
      </c>
      <c r="D128" s="1885">
        <f t="shared" ref="D128:K128" si="42">IFERROR(D74/D39,0)</f>
        <v>0.49784806190459263</v>
      </c>
      <c r="E128" s="1886">
        <f t="shared" si="42"/>
        <v>0.49337544289517926</v>
      </c>
      <c r="F128" s="1887">
        <f t="shared" si="42"/>
        <v>0.49786072546630461</v>
      </c>
      <c r="G128" s="1886">
        <f t="shared" si="42"/>
        <v>0.49791333132803589</v>
      </c>
      <c r="H128" s="1886">
        <f t="shared" si="42"/>
        <v>0.4980591780419748</v>
      </c>
      <c r="I128" s="1886">
        <f t="shared" si="42"/>
        <v>0.49889482035800164</v>
      </c>
      <c r="J128" s="1886">
        <f t="shared" si="42"/>
        <v>0.50031065618693515</v>
      </c>
      <c r="K128" s="1888">
        <f t="shared" si="42"/>
        <v>0.5013074313413467</v>
      </c>
      <c r="L128" s="1889"/>
    </row>
    <row r="129" spans="1:12" s="1830" customFormat="1" ht="27" thickBot="1">
      <c r="A129" s="5136"/>
      <c r="B129" s="1890" t="s">
        <v>1173</v>
      </c>
      <c r="C129" s="1901" t="s">
        <v>170</v>
      </c>
      <c r="D129" s="1902">
        <f t="shared" ref="D129:K129" si="43">IFERROR(D107/D39,0)</f>
        <v>0.46620961353090318</v>
      </c>
      <c r="E129" s="1903">
        <f t="shared" si="43"/>
        <v>0.46089030876009612</v>
      </c>
      <c r="F129" s="1904">
        <f t="shared" si="43"/>
        <v>0.46098680468698405</v>
      </c>
      <c r="G129" s="1903">
        <f t="shared" si="43"/>
        <v>0.47671815867953166</v>
      </c>
      <c r="H129" s="1903">
        <f t="shared" si="43"/>
        <v>0.47727843563025485</v>
      </c>
      <c r="I129" s="1903">
        <f t="shared" si="43"/>
        <v>0.4780217653882109</v>
      </c>
      <c r="J129" s="1903">
        <f t="shared" si="43"/>
        <v>0.47922651704144897</v>
      </c>
      <c r="K129" s="1905">
        <f t="shared" si="43"/>
        <v>0.47997991836878529</v>
      </c>
      <c r="L129" s="1906"/>
    </row>
    <row r="130" spans="1:12" s="1830" customFormat="1">
      <c r="A130" s="1907"/>
      <c r="B130" s="1907"/>
      <c r="C130" s="1907"/>
      <c r="D130" s="1908"/>
      <c r="E130" s="1908"/>
      <c r="F130" s="1908"/>
      <c r="G130" s="1908"/>
      <c r="H130" s="1908"/>
      <c r="I130" s="1908"/>
      <c r="J130" s="1908"/>
      <c r="K130" s="1908"/>
      <c r="L130" s="1909"/>
    </row>
    <row r="132" spans="1:12">
      <c r="A132" s="1910" t="str">
        <f>'Приложение '!B82</f>
        <v>Дата: 16.03.2026</v>
      </c>
      <c r="F132" s="1911"/>
      <c r="G132" s="1912"/>
      <c r="H132" s="1913"/>
      <c r="I132" s="1911"/>
      <c r="J132" s="1911"/>
    </row>
    <row r="133" spans="1:12">
      <c r="F133" s="1911"/>
      <c r="G133" s="1912"/>
      <c r="H133" s="1914"/>
      <c r="I133" s="1911"/>
      <c r="J133" s="1911"/>
    </row>
    <row r="134" spans="1:12">
      <c r="F134" s="1911"/>
      <c r="G134" s="1912"/>
      <c r="H134" s="1913"/>
      <c r="I134" s="1911"/>
      <c r="J134" s="1911"/>
    </row>
    <row r="135" spans="1:12" hidden="1"/>
    <row r="136" spans="1:12">
      <c r="A136" s="5117" t="s">
        <v>187</v>
      </c>
      <c r="B136" s="5117"/>
      <c r="C136" s="5117"/>
      <c r="D136" s="5117"/>
      <c r="E136" s="5117"/>
    </row>
    <row r="137" spans="1:12">
      <c r="A137" s="5127" t="s">
        <v>188</v>
      </c>
      <c r="B137" s="5127"/>
      <c r="C137" s="5127"/>
      <c r="D137" s="5127"/>
      <c r="E137" s="5127"/>
    </row>
    <row r="138" spans="1:12">
      <c r="A138" s="4020" t="s">
        <v>1443</v>
      </c>
      <c r="B138" s="4020"/>
      <c r="C138" s="4020"/>
      <c r="D138" s="4020"/>
      <c r="E138" s="4020"/>
    </row>
    <row r="139" spans="1:12">
      <c r="A139" s="5127" t="s">
        <v>1434</v>
      </c>
      <c r="B139" s="5127"/>
      <c r="C139" s="5127"/>
      <c r="D139" s="5127"/>
      <c r="E139" s="5127"/>
    </row>
  </sheetData>
  <sheetProtection password="EF75" sheet="1" objects="1" scenarios="1" formatCells="0" formatColumns="0" formatRows="0"/>
  <mergeCells count="73">
    <mergeCell ref="A137:E137"/>
    <mergeCell ref="A14:A21"/>
    <mergeCell ref="A50:A57"/>
    <mergeCell ref="A83:A90"/>
    <mergeCell ref="A139:E139"/>
    <mergeCell ref="A126:A127"/>
    <mergeCell ref="A128:A129"/>
    <mergeCell ref="A40:B40"/>
    <mergeCell ref="A58:A62"/>
    <mergeCell ref="A63:A66"/>
    <mergeCell ref="A78:A82"/>
    <mergeCell ref="A124:A125"/>
    <mergeCell ref="A96:A99"/>
    <mergeCell ref="A119:A121"/>
    <mergeCell ref="A110:A112"/>
    <mergeCell ref="A113:A115"/>
    <mergeCell ref="A116:A118"/>
    <mergeCell ref="C43:C44"/>
    <mergeCell ref="C76:C77"/>
    <mergeCell ref="A136:E136"/>
    <mergeCell ref="M76:M77"/>
    <mergeCell ref="L76:L77"/>
    <mergeCell ref="B76:B77"/>
    <mergeCell ref="A76:A77"/>
    <mergeCell ref="D77:F77"/>
    <mergeCell ref="G77:K77"/>
    <mergeCell ref="M43:M44"/>
    <mergeCell ref="L43:L44"/>
    <mergeCell ref="L63:L66"/>
    <mergeCell ref="A45:A49"/>
    <mergeCell ref="L100:L103"/>
    <mergeCell ref="L104:L107"/>
    <mergeCell ref="A7:A8"/>
    <mergeCell ref="B7:B8"/>
    <mergeCell ref="L7:L8"/>
    <mergeCell ref="M7:M8"/>
    <mergeCell ref="D8:F8"/>
    <mergeCell ref="G8:K8"/>
    <mergeCell ref="C7:C8"/>
    <mergeCell ref="L9:L13"/>
    <mergeCell ref="L14:L17"/>
    <mergeCell ref="L22:L26"/>
    <mergeCell ref="A27:A30"/>
    <mergeCell ref="A31:A34"/>
    <mergeCell ref="A22:A26"/>
    <mergeCell ref="A9:A13"/>
    <mergeCell ref="L27:L30"/>
    <mergeCell ref="L31:L34"/>
    <mergeCell ref="A2:M2"/>
    <mergeCell ref="A3:M3"/>
    <mergeCell ref="A4:M4"/>
    <mergeCell ref="A5:M5"/>
    <mergeCell ref="A6:B6"/>
    <mergeCell ref="L35:L39"/>
    <mergeCell ref="L45:L49"/>
    <mergeCell ref="L50:L53"/>
    <mergeCell ref="A35:A39"/>
    <mergeCell ref="L58:L62"/>
    <mergeCell ref="A43:A44"/>
    <mergeCell ref="B43:B44"/>
    <mergeCell ref="D44:F44"/>
    <mergeCell ref="G44:K44"/>
    <mergeCell ref="A67:A70"/>
    <mergeCell ref="A71:A74"/>
    <mergeCell ref="L71:L74"/>
    <mergeCell ref="L67:L70"/>
    <mergeCell ref="L78:L82"/>
    <mergeCell ref="A104:A107"/>
    <mergeCell ref="L83:L86"/>
    <mergeCell ref="L91:L95"/>
    <mergeCell ref="L96:L99"/>
    <mergeCell ref="A91:A95"/>
    <mergeCell ref="A100:A103"/>
  </mergeCells>
  <printOptions horizontalCentered="1"/>
  <pageMargins left="0.11811023622047245" right="0.11811023622047245" top="0.74803149606299213" bottom="0.15748031496062992" header="0.31496062992125984" footer="0.19685039370078741"/>
  <pageSetup paperSize="9" scale="68" orientation="landscape" r:id="rId1"/>
  <headerFooter alignWithMargins="0">
    <oddFooter>&amp;C&amp;A&amp;RСтр. &amp;P от &amp;N</oddFooter>
  </headerFooter>
  <rowBreaks count="3" manualBreakCount="3">
    <brk id="41" max="12" man="1"/>
    <brk id="74" max="12" man="1"/>
    <brk id="107" max="12"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CC"/>
  </sheetPr>
  <dimension ref="A1:Y120"/>
  <sheetViews>
    <sheetView showGridLines="0" topLeftCell="A100" zoomScale="120" zoomScaleNormal="120" zoomScaleSheetLayoutView="130" workbookViewId="0">
      <selection activeCell="A19" sqref="A19:A20"/>
    </sheetView>
  </sheetViews>
  <sheetFormatPr defaultRowHeight="13.8"/>
  <cols>
    <col min="1" max="1" width="5.33203125" style="1934" customWidth="1"/>
    <col min="2" max="2" width="46.5546875" style="1944" customWidth="1"/>
    <col min="3" max="3" width="10.33203125" style="1944" customWidth="1"/>
    <col min="4" max="9" width="9.6640625" style="1944" customWidth="1"/>
    <col min="10" max="10" width="2.109375" style="1944" customWidth="1"/>
    <col min="11" max="11" width="10.88671875" style="1944" customWidth="1"/>
    <col min="12" max="17" width="10.6640625" style="1944" customWidth="1"/>
    <col min="18" max="238" width="9.109375" style="1944"/>
    <col min="239" max="239" width="5.33203125" style="1944" customWidth="1"/>
    <col min="240" max="240" width="56.44140625" style="1944" customWidth="1"/>
    <col min="241" max="241" width="10.33203125" style="1944" customWidth="1"/>
    <col min="242" max="248" width="10.6640625" style="1944" customWidth="1"/>
    <col min="249" max="249" width="9.109375" style="1944"/>
    <col min="250" max="250" width="11.33203125" style="1944" bestFit="1" customWidth="1"/>
    <col min="251" max="251" width="9.6640625" style="1944" bestFit="1" customWidth="1"/>
    <col min="252" max="494" width="9.109375" style="1944"/>
    <col min="495" max="495" width="5.33203125" style="1944" customWidth="1"/>
    <col min="496" max="496" width="56.44140625" style="1944" customWidth="1"/>
    <col min="497" max="497" width="10.33203125" style="1944" customWidth="1"/>
    <col min="498" max="504" width="10.6640625" style="1944" customWidth="1"/>
    <col min="505" max="505" width="9.109375" style="1944"/>
    <col min="506" max="506" width="11.33203125" style="1944" bestFit="1" customWidth="1"/>
    <col min="507" max="507" width="9.6640625" style="1944" bestFit="1" customWidth="1"/>
    <col min="508" max="750" width="9.109375" style="1944"/>
    <col min="751" max="751" width="5.33203125" style="1944" customWidth="1"/>
    <col min="752" max="752" width="56.44140625" style="1944" customWidth="1"/>
    <col min="753" max="753" width="10.33203125" style="1944" customWidth="1"/>
    <col min="754" max="760" width="10.6640625" style="1944" customWidth="1"/>
    <col min="761" max="761" width="9.109375" style="1944"/>
    <col min="762" max="762" width="11.33203125" style="1944" bestFit="1" customWidth="1"/>
    <col min="763" max="763" width="9.6640625" style="1944" bestFit="1" customWidth="1"/>
    <col min="764" max="1006" width="9.109375" style="1944"/>
    <col min="1007" max="1007" width="5.33203125" style="1944" customWidth="1"/>
    <col min="1008" max="1008" width="56.44140625" style="1944" customWidth="1"/>
    <col min="1009" max="1009" width="10.33203125" style="1944" customWidth="1"/>
    <col min="1010" max="1016" width="10.6640625" style="1944" customWidth="1"/>
    <col min="1017" max="1017" width="9.109375" style="1944"/>
    <col min="1018" max="1018" width="11.33203125" style="1944" bestFit="1" customWidth="1"/>
    <col min="1019" max="1019" width="9.6640625" style="1944" bestFit="1" customWidth="1"/>
    <col min="1020" max="1262" width="9.109375" style="1944"/>
    <col min="1263" max="1263" width="5.33203125" style="1944" customWidth="1"/>
    <col min="1264" max="1264" width="56.44140625" style="1944" customWidth="1"/>
    <col min="1265" max="1265" width="10.33203125" style="1944" customWidth="1"/>
    <col min="1266" max="1272" width="10.6640625" style="1944" customWidth="1"/>
    <col min="1273" max="1273" width="9.109375" style="1944"/>
    <col min="1274" max="1274" width="11.33203125" style="1944" bestFit="1" customWidth="1"/>
    <col min="1275" max="1275" width="9.6640625" style="1944" bestFit="1" customWidth="1"/>
    <col min="1276" max="1518" width="9.109375" style="1944"/>
    <col min="1519" max="1519" width="5.33203125" style="1944" customWidth="1"/>
    <col min="1520" max="1520" width="56.44140625" style="1944" customWidth="1"/>
    <col min="1521" max="1521" width="10.33203125" style="1944" customWidth="1"/>
    <col min="1522" max="1528" width="10.6640625" style="1944" customWidth="1"/>
    <col min="1529" max="1529" width="9.109375" style="1944"/>
    <col min="1530" max="1530" width="11.33203125" style="1944" bestFit="1" customWidth="1"/>
    <col min="1531" max="1531" width="9.6640625" style="1944" bestFit="1" customWidth="1"/>
    <col min="1532" max="1774" width="9.109375" style="1944"/>
    <col min="1775" max="1775" width="5.33203125" style="1944" customWidth="1"/>
    <col min="1776" max="1776" width="56.44140625" style="1944" customWidth="1"/>
    <col min="1777" max="1777" width="10.33203125" style="1944" customWidth="1"/>
    <col min="1778" max="1784" width="10.6640625" style="1944" customWidth="1"/>
    <col min="1785" max="1785" width="9.109375" style="1944"/>
    <col min="1786" max="1786" width="11.33203125" style="1944" bestFit="1" customWidth="1"/>
    <col min="1787" max="1787" width="9.6640625" style="1944" bestFit="1" customWidth="1"/>
    <col min="1788" max="2030" width="9.109375" style="1944"/>
    <col min="2031" max="2031" width="5.33203125" style="1944" customWidth="1"/>
    <col min="2032" max="2032" width="56.44140625" style="1944" customWidth="1"/>
    <col min="2033" max="2033" width="10.33203125" style="1944" customWidth="1"/>
    <col min="2034" max="2040" width="10.6640625" style="1944" customWidth="1"/>
    <col min="2041" max="2041" width="9.109375" style="1944"/>
    <col min="2042" max="2042" width="11.33203125" style="1944" bestFit="1" customWidth="1"/>
    <col min="2043" max="2043" width="9.6640625" style="1944" bestFit="1" customWidth="1"/>
    <col min="2044" max="2286" width="9.109375" style="1944"/>
    <col min="2287" max="2287" width="5.33203125" style="1944" customWidth="1"/>
    <col min="2288" max="2288" width="56.44140625" style="1944" customWidth="1"/>
    <col min="2289" max="2289" width="10.33203125" style="1944" customWidth="1"/>
    <col min="2290" max="2296" width="10.6640625" style="1944" customWidth="1"/>
    <col min="2297" max="2297" width="9.109375" style="1944"/>
    <col min="2298" max="2298" width="11.33203125" style="1944" bestFit="1" customWidth="1"/>
    <col min="2299" max="2299" width="9.6640625" style="1944" bestFit="1" customWidth="1"/>
    <col min="2300" max="2542" width="9.109375" style="1944"/>
    <col min="2543" max="2543" width="5.33203125" style="1944" customWidth="1"/>
    <col min="2544" max="2544" width="56.44140625" style="1944" customWidth="1"/>
    <col min="2545" max="2545" width="10.33203125" style="1944" customWidth="1"/>
    <col min="2546" max="2552" width="10.6640625" style="1944" customWidth="1"/>
    <col min="2553" max="2553" width="9.109375" style="1944"/>
    <col min="2554" max="2554" width="11.33203125" style="1944" bestFit="1" customWidth="1"/>
    <col min="2555" max="2555" width="9.6640625" style="1944" bestFit="1" customWidth="1"/>
    <col min="2556" max="2798" width="9.109375" style="1944"/>
    <col min="2799" max="2799" width="5.33203125" style="1944" customWidth="1"/>
    <col min="2800" max="2800" width="56.44140625" style="1944" customWidth="1"/>
    <col min="2801" max="2801" width="10.33203125" style="1944" customWidth="1"/>
    <col min="2802" max="2808" width="10.6640625" style="1944" customWidth="1"/>
    <col min="2809" max="2809" width="9.109375" style="1944"/>
    <col min="2810" max="2810" width="11.33203125" style="1944" bestFit="1" customWidth="1"/>
    <col min="2811" max="2811" width="9.6640625" style="1944" bestFit="1" customWidth="1"/>
    <col min="2812" max="3054" width="9.109375" style="1944"/>
    <col min="3055" max="3055" width="5.33203125" style="1944" customWidth="1"/>
    <col min="3056" max="3056" width="56.44140625" style="1944" customWidth="1"/>
    <col min="3057" max="3057" width="10.33203125" style="1944" customWidth="1"/>
    <col min="3058" max="3064" width="10.6640625" style="1944" customWidth="1"/>
    <col min="3065" max="3065" width="9.109375" style="1944"/>
    <col min="3066" max="3066" width="11.33203125" style="1944" bestFit="1" customWidth="1"/>
    <col min="3067" max="3067" width="9.6640625" style="1944" bestFit="1" customWidth="1"/>
    <col min="3068" max="3310" width="9.109375" style="1944"/>
    <col min="3311" max="3311" width="5.33203125" style="1944" customWidth="1"/>
    <col min="3312" max="3312" width="56.44140625" style="1944" customWidth="1"/>
    <col min="3313" max="3313" width="10.33203125" style="1944" customWidth="1"/>
    <col min="3314" max="3320" width="10.6640625" style="1944" customWidth="1"/>
    <col min="3321" max="3321" width="9.109375" style="1944"/>
    <col min="3322" max="3322" width="11.33203125" style="1944" bestFit="1" customWidth="1"/>
    <col min="3323" max="3323" width="9.6640625" style="1944" bestFit="1" customWidth="1"/>
    <col min="3324" max="3566" width="9.109375" style="1944"/>
    <col min="3567" max="3567" width="5.33203125" style="1944" customWidth="1"/>
    <col min="3568" max="3568" width="56.44140625" style="1944" customWidth="1"/>
    <col min="3569" max="3569" width="10.33203125" style="1944" customWidth="1"/>
    <col min="3570" max="3576" width="10.6640625" style="1944" customWidth="1"/>
    <col min="3577" max="3577" width="9.109375" style="1944"/>
    <col min="3578" max="3578" width="11.33203125" style="1944" bestFit="1" customWidth="1"/>
    <col min="3579" max="3579" width="9.6640625" style="1944" bestFit="1" customWidth="1"/>
    <col min="3580" max="3822" width="9.109375" style="1944"/>
    <col min="3823" max="3823" width="5.33203125" style="1944" customWidth="1"/>
    <col min="3824" max="3824" width="56.44140625" style="1944" customWidth="1"/>
    <col min="3825" max="3825" width="10.33203125" style="1944" customWidth="1"/>
    <col min="3826" max="3832" width="10.6640625" style="1944" customWidth="1"/>
    <col min="3833" max="3833" width="9.109375" style="1944"/>
    <col min="3834" max="3834" width="11.33203125" style="1944" bestFit="1" customWidth="1"/>
    <col min="3835" max="3835" width="9.6640625" style="1944" bestFit="1" customWidth="1"/>
    <col min="3836" max="4078" width="9.109375" style="1944"/>
    <col min="4079" max="4079" width="5.33203125" style="1944" customWidth="1"/>
    <col min="4080" max="4080" width="56.44140625" style="1944" customWidth="1"/>
    <col min="4081" max="4081" width="10.33203125" style="1944" customWidth="1"/>
    <col min="4082" max="4088" width="10.6640625" style="1944" customWidth="1"/>
    <col min="4089" max="4089" width="9.109375" style="1944"/>
    <col min="4090" max="4090" width="11.33203125" style="1944" bestFit="1" customWidth="1"/>
    <col min="4091" max="4091" width="9.6640625" style="1944" bestFit="1" customWidth="1"/>
    <col min="4092" max="4334" width="9.109375" style="1944"/>
    <col min="4335" max="4335" width="5.33203125" style="1944" customWidth="1"/>
    <col min="4336" max="4336" width="56.44140625" style="1944" customWidth="1"/>
    <col min="4337" max="4337" width="10.33203125" style="1944" customWidth="1"/>
    <col min="4338" max="4344" width="10.6640625" style="1944" customWidth="1"/>
    <col min="4345" max="4345" width="9.109375" style="1944"/>
    <col min="4346" max="4346" width="11.33203125" style="1944" bestFit="1" customWidth="1"/>
    <col min="4347" max="4347" width="9.6640625" style="1944" bestFit="1" customWidth="1"/>
    <col min="4348" max="4590" width="9.109375" style="1944"/>
    <col min="4591" max="4591" width="5.33203125" style="1944" customWidth="1"/>
    <col min="4592" max="4592" width="56.44140625" style="1944" customWidth="1"/>
    <col min="4593" max="4593" width="10.33203125" style="1944" customWidth="1"/>
    <col min="4594" max="4600" width="10.6640625" style="1944" customWidth="1"/>
    <col min="4601" max="4601" width="9.109375" style="1944"/>
    <col min="4602" max="4602" width="11.33203125" style="1944" bestFit="1" customWidth="1"/>
    <col min="4603" max="4603" width="9.6640625" style="1944" bestFit="1" customWidth="1"/>
    <col min="4604" max="4846" width="9.109375" style="1944"/>
    <col min="4847" max="4847" width="5.33203125" style="1944" customWidth="1"/>
    <col min="4848" max="4848" width="56.44140625" style="1944" customWidth="1"/>
    <col min="4849" max="4849" width="10.33203125" style="1944" customWidth="1"/>
    <col min="4850" max="4856" width="10.6640625" style="1944" customWidth="1"/>
    <col min="4857" max="4857" width="9.109375" style="1944"/>
    <col min="4858" max="4858" width="11.33203125" style="1944" bestFit="1" customWidth="1"/>
    <col min="4859" max="4859" width="9.6640625" style="1944" bestFit="1" customWidth="1"/>
    <col min="4860" max="5102" width="9.109375" style="1944"/>
    <col min="5103" max="5103" width="5.33203125" style="1944" customWidth="1"/>
    <col min="5104" max="5104" width="56.44140625" style="1944" customWidth="1"/>
    <col min="5105" max="5105" width="10.33203125" style="1944" customWidth="1"/>
    <col min="5106" max="5112" width="10.6640625" style="1944" customWidth="1"/>
    <col min="5113" max="5113" width="9.109375" style="1944"/>
    <col min="5114" max="5114" width="11.33203125" style="1944" bestFit="1" customWidth="1"/>
    <col min="5115" max="5115" width="9.6640625" style="1944" bestFit="1" customWidth="1"/>
    <col min="5116" max="5358" width="9.109375" style="1944"/>
    <col min="5359" max="5359" width="5.33203125" style="1944" customWidth="1"/>
    <col min="5360" max="5360" width="56.44140625" style="1944" customWidth="1"/>
    <col min="5361" max="5361" width="10.33203125" style="1944" customWidth="1"/>
    <col min="5362" max="5368" width="10.6640625" style="1944" customWidth="1"/>
    <col min="5369" max="5369" width="9.109375" style="1944"/>
    <col min="5370" max="5370" width="11.33203125" style="1944" bestFit="1" customWidth="1"/>
    <col min="5371" max="5371" width="9.6640625" style="1944" bestFit="1" customWidth="1"/>
    <col min="5372" max="5614" width="9.109375" style="1944"/>
    <col min="5615" max="5615" width="5.33203125" style="1944" customWidth="1"/>
    <col min="5616" max="5616" width="56.44140625" style="1944" customWidth="1"/>
    <col min="5617" max="5617" width="10.33203125" style="1944" customWidth="1"/>
    <col min="5618" max="5624" width="10.6640625" style="1944" customWidth="1"/>
    <col min="5625" max="5625" width="9.109375" style="1944"/>
    <col min="5626" max="5626" width="11.33203125" style="1944" bestFit="1" customWidth="1"/>
    <col min="5627" max="5627" width="9.6640625" style="1944" bestFit="1" customWidth="1"/>
    <col min="5628" max="5870" width="9.109375" style="1944"/>
    <col min="5871" max="5871" width="5.33203125" style="1944" customWidth="1"/>
    <col min="5872" max="5872" width="56.44140625" style="1944" customWidth="1"/>
    <col min="5873" max="5873" width="10.33203125" style="1944" customWidth="1"/>
    <col min="5874" max="5880" width="10.6640625" style="1944" customWidth="1"/>
    <col min="5881" max="5881" width="9.109375" style="1944"/>
    <col min="5882" max="5882" width="11.33203125" style="1944" bestFit="1" customWidth="1"/>
    <col min="5883" max="5883" width="9.6640625" style="1944" bestFit="1" customWidth="1"/>
    <col min="5884" max="6126" width="9.109375" style="1944"/>
    <col min="6127" max="6127" width="5.33203125" style="1944" customWidth="1"/>
    <col min="6128" max="6128" width="56.44140625" style="1944" customWidth="1"/>
    <col min="6129" max="6129" width="10.33203125" style="1944" customWidth="1"/>
    <col min="6130" max="6136" width="10.6640625" style="1944" customWidth="1"/>
    <col min="6137" max="6137" width="9.109375" style="1944"/>
    <col min="6138" max="6138" width="11.33203125" style="1944" bestFit="1" customWidth="1"/>
    <col min="6139" max="6139" width="9.6640625" style="1944" bestFit="1" customWidth="1"/>
    <col min="6140" max="6382" width="9.109375" style="1944"/>
    <col min="6383" max="6383" width="5.33203125" style="1944" customWidth="1"/>
    <col min="6384" max="6384" width="56.44140625" style="1944" customWidth="1"/>
    <col min="6385" max="6385" width="10.33203125" style="1944" customWidth="1"/>
    <col min="6386" max="6392" width="10.6640625" style="1944" customWidth="1"/>
    <col min="6393" max="6393" width="9.109375" style="1944"/>
    <col min="6394" max="6394" width="11.33203125" style="1944" bestFit="1" customWidth="1"/>
    <col min="6395" max="6395" width="9.6640625" style="1944" bestFit="1" customWidth="1"/>
    <col min="6396" max="6638" width="9.109375" style="1944"/>
    <col min="6639" max="6639" width="5.33203125" style="1944" customWidth="1"/>
    <col min="6640" max="6640" width="56.44140625" style="1944" customWidth="1"/>
    <col min="6641" max="6641" width="10.33203125" style="1944" customWidth="1"/>
    <col min="6642" max="6648" width="10.6640625" style="1944" customWidth="1"/>
    <col min="6649" max="6649" width="9.109375" style="1944"/>
    <col min="6650" max="6650" width="11.33203125" style="1944" bestFit="1" customWidth="1"/>
    <col min="6651" max="6651" width="9.6640625" style="1944" bestFit="1" customWidth="1"/>
    <col min="6652" max="6894" width="9.109375" style="1944"/>
    <col min="6895" max="6895" width="5.33203125" style="1944" customWidth="1"/>
    <col min="6896" max="6896" width="56.44140625" style="1944" customWidth="1"/>
    <col min="6897" max="6897" width="10.33203125" style="1944" customWidth="1"/>
    <col min="6898" max="6904" width="10.6640625" style="1944" customWidth="1"/>
    <col min="6905" max="6905" width="9.109375" style="1944"/>
    <col min="6906" max="6906" width="11.33203125" style="1944" bestFit="1" customWidth="1"/>
    <col min="6907" max="6907" width="9.6640625" style="1944" bestFit="1" customWidth="1"/>
    <col min="6908" max="7150" width="9.109375" style="1944"/>
    <col min="7151" max="7151" width="5.33203125" style="1944" customWidth="1"/>
    <col min="7152" max="7152" width="56.44140625" style="1944" customWidth="1"/>
    <col min="7153" max="7153" width="10.33203125" style="1944" customWidth="1"/>
    <col min="7154" max="7160" width="10.6640625" style="1944" customWidth="1"/>
    <col min="7161" max="7161" width="9.109375" style="1944"/>
    <col min="7162" max="7162" width="11.33203125" style="1944" bestFit="1" customWidth="1"/>
    <col min="7163" max="7163" width="9.6640625" style="1944" bestFit="1" customWidth="1"/>
    <col min="7164" max="7406" width="9.109375" style="1944"/>
    <col min="7407" max="7407" width="5.33203125" style="1944" customWidth="1"/>
    <col min="7408" max="7408" width="56.44140625" style="1944" customWidth="1"/>
    <col min="7409" max="7409" width="10.33203125" style="1944" customWidth="1"/>
    <col min="7410" max="7416" width="10.6640625" style="1944" customWidth="1"/>
    <col min="7417" max="7417" width="9.109375" style="1944"/>
    <col min="7418" max="7418" width="11.33203125" style="1944" bestFit="1" customWidth="1"/>
    <col min="7419" max="7419" width="9.6640625" style="1944" bestFit="1" customWidth="1"/>
    <col min="7420" max="7662" width="9.109375" style="1944"/>
    <col min="7663" max="7663" width="5.33203125" style="1944" customWidth="1"/>
    <col min="7664" max="7664" width="56.44140625" style="1944" customWidth="1"/>
    <col min="7665" max="7665" width="10.33203125" style="1944" customWidth="1"/>
    <col min="7666" max="7672" width="10.6640625" style="1944" customWidth="1"/>
    <col min="7673" max="7673" width="9.109375" style="1944"/>
    <col min="7674" max="7674" width="11.33203125" style="1944" bestFit="1" customWidth="1"/>
    <col min="7675" max="7675" width="9.6640625" style="1944" bestFit="1" customWidth="1"/>
    <col min="7676" max="7918" width="9.109375" style="1944"/>
    <col min="7919" max="7919" width="5.33203125" style="1944" customWidth="1"/>
    <col min="7920" max="7920" width="56.44140625" style="1944" customWidth="1"/>
    <col min="7921" max="7921" width="10.33203125" style="1944" customWidth="1"/>
    <col min="7922" max="7928" width="10.6640625" style="1944" customWidth="1"/>
    <col min="7929" max="7929" width="9.109375" style="1944"/>
    <col min="7930" max="7930" width="11.33203125" style="1944" bestFit="1" customWidth="1"/>
    <col min="7931" max="7931" width="9.6640625" style="1944" bestFit="1" customWidth="1"/>
    <col min="7932" max="8174" width="9.109375" style="1944"/>
    <col min="8175" max="8175" width="5.33203125" style="1944" customWidth="1"/>
    <col min="8176" max="8176" width="56.44140625" style="1944" customWidth="1"/>
    <col min="8177" max="8177" width="10.33203125" style="1944" customWidth="1"/>
    <col min="8178" max="8184" width="10.6640625" style="1944" customWidth="1"/>
    <col min="8185" max="8185" width="9.109375" style="1944"/>
    <col min="8186" max="8186" width="11.33203125" style="1944" bestFit="1" customWidth="1"/>
    <col min="8187" max="8187" width="9.6640625" style="1944" bestFit="1" customWidth="1"/>
    <col min="8188" max="8430" width="9.109375" style="1944"/>
    <col min="8431" max="8431" width="5.33203125" style="1944" customWidth="1"/>
    <col min="8432" max="8432" width="56.44140625" style="1944" customWidth="1"/>
    <col min="8433" max="8433" width="10.33203125" style="1944" customWidth="1"/>
    <col min="8434" max="8440" width="10.6640625" style="1944" customWidth="1"/>
    <col min="8441" max="8441" width="9.109375" style="1944"/>
    <col min="8442" max="8442" width="11.33203125" style="1944" bestFit="1" customWidth="1"/>
    <col min="8443" max="8443" width="9.6640625" style="1944" bestFit="1" customWidth="1"/>
    <col min="8444" max="8686" width="9.109375" style="1944"/>
    <col min="8687" max="8687" width="5.33203125" style="1944" customWidth="1"/>
    <col min="8688" max="8688" width="56.44140625" style="1944" customWidth="1"/>
    <col min="8689" max="8689" width="10.33203125" style="1944" customWidth="1"/>
    <col min="8690" max="8696" width="10.6640625" style="1944" customWidth="1"/>
    <col min="8697" max="8697" width="9.109375" style="1944"/>
    <col min="8698" max="8698" width="11.33203125" style="1944" bestFit="1" customWidth="1"/>
    <col min="8699" max="8699" width="9.6640625" style="1944" bestFit="1" customWidth="1"/>
    <col min="8700" max="8942" width="9.109375" style="1944"/>
    <col min="8943" max="8943" width="5.33203125" style="1944" customWidth="1"/>
    <col min="8944" max="8944" width="56.44140625" style="1944" customWidth="1"/>
    <col min="8945" max="8945" width="10.33203125" style="1944" customWidth="1"/>
    <col min="8946" max="8952" width="10.6640625" style="1944" customWidth="1"/>
    <col min="8953" max="8953" width="9.109375" style="1944"/>
    <col min="8954" max="8954" width="11.33203125" style="1944" bestFit="1" customWidth="1"/>
    <col min="8955" max="8955" width="9.6640625" style="1944" bestFit="1" customWidth="1"/>
    <col min="8956" max="9198" width="9.109375" style="1944"/>
    <col min="9199" max="9199" width="5.33203125" style="1944" customWidth="1"/>
    <col min="9200" max="9200" width="56.44140625" style="1944" customWidth="1"/>
    <col min="9201" max="9201" width="10.33203125" style="1944" customWidth="1"/>
    <col min="9202" max="9208" width="10.6640625" style="1944" customWidth="1"/>
    <col min="9209" max="9209" width="9.109375" style="1944"/>
    <col min="9210" max="9210" width="11.33203125" style="1944" bestFit="1" customWidth="1"/>
    <col min="9211" max="9211" width="9.6640625" style="1944" bestFit="1" customWidth="1"/>
    <col min="9212" max="9454" width="9.109375" style="1944"/>
    <col min="9455" max="9455" width="5.33203125" style="1944" customWidth="1"/>
    <col min="9456" max="9456" width="56.44140625" style="1944" customWidth="1"/>
    <col min="9457" max="9457" width="10.33203125" style="1944" customWidth="1"/>
    <col min="9458" max="9464" width="10.6640625" style="1944" customWidth="1"/>
    <col min="9465" max="9465" width="9.109375" style="1944"/>
    <col min="9466" max="9466" width="11.33203125" style="1944" bestFit="1" customWidth="1"/>
    <col min="9467" max="9467" width="9.6640625" style="1944" bestFit="1" customWidth="1"/>
    <col min="9468" max="9710" width="9.109375" style="1944"/>
    <col min="9711" max="9711" width="5.33203125" style="1944" customWidth="1"/>
    <col min="9712" max="9712" width="56.44140625" style="1944" customWidth="1"/>
    <col min="9713" max="9713" width="10.33203125" style="1944" customWidth="1"/>
    <col min="9714" max="9720" width="10.6640625" style="1944" customWidth="1"/>
    <col min="9721" max="9721" width="9.109375" style="1944"/>
    <col min="9722" max="9722" width="11.33203125" style="1944" bestFit="1" customWidth="1"/>
    <col min="9723" max="9723" width="9.6640625" style="1944" bestFit="1" customWidth="1"/>
    <col min="9724" max="9966" width="9.109375" style="1944"/>
    <col min="9967" max="9967" width="5.33203125" style="1944" customWidth="1"/>
    <col min="9968" max="9968" width="56.44140625" style="1944" customWidth="1"/>
    <col min="9969" max="9969" width="10.33203125" style="1944" customWidth="1"/>
    <col min="9970" max="9976" width="10.6640625" style="1944" customWidth="1"/>
    <col min="9977" max="9977" width="9.109375" style="1944"/>
    <col min="9978" max="9978" width="11.33203125" style="1944" bestFit="1" customWidth="1"/>
    <col min="9979" max="9979" width="9.6640625" style="1944" bestFit="1" customWidth="1"/>
    <col min="9980" max="10222" width="9.109375" style="1944"/>
    <col min="10223" max="10223" width="5.33203125" style="1944" customWidth="1"/>
    <col min="10224" max="10224" width="56.44140625" style="1944" customWidth="1"/>
    <col min="10225" max="10225" width="10.33203125" style="1944" customWidth="1"/>
    <col min="10226" max="10232" width="10.6640625" style="1944" customWidth="1"/>
    <col min="10233" max="10233" width="9.109375" style="1944"/>
    <col min="10234" max="10234" width="11.33203125" style="1944" bestFit="1" customWidth="1"/>
    <col min="10235" max="10235" width="9.6640625" style="1944" bestFit="1" customWidth="1"/>
    <col min="10236" max="10478" width="9.109375" style="1944"/>
    <col min="10479" max="10479" width="5.33203125" style="1944" customWidth="1"/>
    <col min="10480" max="10480" width="56.44140625" style="1944" customWidth="1"/>
    <col min="10481" max="10481" width="10.33203125" style="1944" customWidth="1"/>
    <col min="10482" max="10488" width="10.6640625" style="1944" customWidth="1"/>
    <col min="10489" max="10489" width="9.109375" style="1944"/>
    <col min="10490" max="10490" width="11.33203125" style="1944" bestFit="1" customWidth="1"/>
    <col min="10491" max="10491" width="9.6640625" style="1944" bestFit="1" customWidth="1"/>
    <col min="10492" max="10734" width="9.109375" style="1944"/>
    <col min="10735" max="10735" width="5.33203125" style="1944" customWidth="1"/>
    <col min="10736" max="10736" width="56.44140625" style="1944" customWidth="1"/>
    <col min="10737" max="10737" width="10.33203125" style="1944" customWidth="1"/>
    <col min="10738" max="10744" width="10.6640625" style="1944" customWidth="1"/>
    <col min="10745" max="10745" width="9.109375" style="1944"/>
    <col min="10746" max="10746" width="11.33203125" style="1944" bestFit="1" customWidth="1"/>
    <col min="10747" max="10747" width="9.6640625" style="1944" bestFit="1" customWidth="1"/>
    <col min="10748" max="10990" width="9.109375" style="1944"/>
    <col min="10991" max="10991" width="5.33203125" style="1944" customWidth="1"/>
    <col min="10992" max="10992" width="56.44140625" style="1944" customWidth="1"/>
    <col min="10993" max="10993" width="10.33203125" style="1944" customWidth="1"/>
    <col min="10994" max="11000" width="10.6640625" style="1944" customWidth="1"/>
    <col min="11001" max="11001" width="9.109375" style="1944"/>
    <col min="11002" max="11002" width="11.33203125" style="1944" bestFit="1" customWidth="1"/>
    <col min="11003" max="11003" width="9.6640625" style="1944" bestFit="1" customWidth="1"/>
    <col min="11004" max="11246" width="9.109375" style="1944"/>
    <col min="11247" max="11247" width="5.33203125" style="1944" customWidth="1"/>
    <col min="11248" max="11248" width="56.44140625" style="1944" customWidth="1"/>
    <col min="11249" max="11249" width="10.33203125" style="1944" customWidth="1"/>
    <col min="11250" max="11256" width="10.6640625" style="1944" customWidth="1"/>
    <col min="11257" max="11257" width="9.109375" style="1944"/>
    <col min="11258" max="11258" width="11.33203125" style="1944" bestFit="1" customWidth="1"/>
    <col min="11259" max="11259" width="9.6640625" style="1944" bestFit="1" customWidth="1"/>
    <col min="11260" max="11502" width="9.109375" style="1944"/>
    <col min="11503" max="11503" width="5.33203125" style="1944" customWidth="1"/>
    <col min="11504" max="11504" width="56.44140625" style="1944" customWidth="1"/>
    <col min="11505" max="11505" width="10.33203125" style="1944" customWidth="1"/>
    <col min="11506" max="11512" width="10.6640625" style="1944" customWidth="1"/>
    <col min="11513" max="11513" width="9.109375" style="1944"/>
    <col min="11514" max="11514" width="11.33203125" style="1944" bestFit="1" customWidth="1"/>
    <col min="11515" max="11515" width="9.6640625" style="1944" bestFit="1" customWidth="1"/>
    <col min="11516" max="11758" width="9.109375" style="1944"/>
    <col min="11759" max="11759" width="5.33203125" style="1944" customWidth="1"/>
    <col min="11760" max="11760" width="56.44140625" style="1944" customWidth="1"/>
    <col min="11761" max="11761" width="10.33203125" style="1944" customWidth="1"/>
    <col min="11762" max="11768" width="10.6640625" style="1944" customWidth="1"/>
    <col min="11769" max="11769" width="9.109375" style="1944"/>
    <col min="11770" max="11770" width="11.33203125" style="1944" bestFit="1" customWidth="1"/>
    <col min="11771" max="11771" width="9.6640625" style="1944" bestFit="1" customWidth="1"/>
    <col min="11772" max="12014" width="9.109375" style="1944"/>
    <col min="12015" max="12015" width="5.33203125" style="1944" customWidth="1"/>
    <col min="12016" max="12016" width="56.44140625" style="1944" customWidth="1"/>
    <col min="12017" max="12017" width="10.33203125" style="1944" customWidth="1"/>
    <col min="12018" max="12024" width="10.6640625" style="1944" customWidth="1"/>
    <col min="12025" max="12025" width="9.109375" style="1944"/>
    <col min="12026" max="12026" width="11.33203125" style="1944" bestFit="1" customWidth="1"/>
    <col min="12027" max="12027" width="9.6640625" style="1944" bestFit="1" customWidth="1"/>
    <col min="12028" max="12270" width="9.109375" style="1944"/>
    <col min="12271" max="12271" width="5.33203125" style="1944" customWidth="1"/>
    <col min="12272" max="12272" width="56.44140625" style="1944" customWidth="1"/>
    <col min="12273" max="12273" width="10.33203125" style="1944" customWidth="1"/>
    <col min="12274" max="12280" width="10.6640625" style="1944" customWidth="1"/>
    <col min="12281" max="12281" width="9.109375" style="1944"/>
    <col min="12282" max="12282" width="11.33203125" style="1944" bestFit="1" customWidth="1"/>
    <col min="12283" max="12283" width="9.6640625" style="1944" bestFit="1" customWidth="1"/>
    <col min="12284" max="12526" width="9.109375" style="1944"/>
    <col min="12527" max="12527" width="5.33203125" style="1944" customWidth="1"/>
    <col min="12528" max="12528" width="56.44140625" style="1944" customWidth="1"/>
    <col min="12529" max="12529" width="10.33203125" style="1944" customWidth="1"/>
    <col min="12530" max="12536" width="10.6640625" style="1944" customWidth="1"/>
    <col min="12537" max="12537" width="9.109375" style="1944"/>
    <col min="12538" max="12538" width="11.33203125" style="1944" bestFit="1" customWidth="1"/>
    <col min="12539" max="12539" width="9.6640625" style="1944" bestFit="1" customWidth="1"/>
    <col min="12540" max="12782" width="9.109375" style="1944"/>
    <col min="12783" max="12783" width="5.33203125" style="1944" customWidth="1"/>
    <col min="12784" max="12784" width="56.44140625" style="1944" customWidth="1"/>
    <col min="12785" max="12785" width="10.33203125" style="1944" customWidth="1"/>
    <col min="12786" max="12792" width="10.6640625" style="1944" customWidth="1"/>
    <col min="12793" max="12793" width="9.109375" style="1944"/>
    <col min="12794" max="12794" width="11.33203125" style="1944" bestFit="1" customWidth="1"/>
    <col min="12795" max="12795" width="9.6640625" style="1944" bestFit="1" customWidth="1"/>
    <col min="12796" max="13038" width="9.109375" style="1944"/>
    <col min="13039" max="13039" width="5.33203125" style="1944" customWidth="1"/>
    <col min="13040" max="13040" width="56.44140625" style="1944" customWidth="1"/>
    <col min="13041" max="13041" width="10.33203125" style="1944" customWidth="1"/>
    <col min="13042" max="13048" width="10.6640625" style="1944" customWidth="1"/>
    <col min="13049" max="13049" width="9.109375" style="1944"/>
    <col min="13050" max="13050" width="11.33203125" style="1944" bestFit="1" customWidth="1"/>
    <col min="13051" max="13051" width="9.6640625" style="1944" bestFit="1" customWidth="1"/>
    <col min="13052" max="13294" width="9.109375" style="1944"/>
    <col min="13295" max="13295" width="5.33203125" style="1944" customWidth="1"/>
    <col min="13296" max="13296" width="56.44140625" style="1944" customWidth="1"/>
    <col min="13297" max="13297" width="10.33203125" style="1944" customWidth="1"/>
    <col min="13298" max="13304" width="10.6640625" style="1944" customWidth="1"/>
    <col min="13305" max="13305" width="9.109375" style="1944"/>
    <col min="13306" max="13306" width="11.33203125" style="1944" bestFit="1" customWidth="1"/>
    <col min="13307" max="13307" width="9.6640625" style="1944" bestFit="1" customWidth="1"/>
    <col min="13308" max="13550" width="9.109375" style="1944"/>
    <col min="13551" max="13551" width="5.33203125" style="1944" customWidth="1"/>
    <col min="13552" max="13552" width="56.44140625" style="1944" customWidth="1"/>
    <col min="13553" max="13553" width="10.33203125" style="1944" customWidth="1"/>
    <col min="13554" max="13560" width="10.6640625" style="1944" customWidth="1"/>
    <col min="13561" max="13561" width="9.109375" style="1944"/>
    <col min="13562" max="13562" width="11.33203125" style="1944" bestFit="1" customWidth="1"/>
    <col min="13563" max="13563" width="9.6640625" style="1944" bestFit="1" customWidth="1"/>
    <col min="13564" max="13806" width="9.109375" style="1944"/>
    <col min="13807" max="13807" width="5.33203125" style="1944" customWidth="1"/>
    <col min="13808" max="13808" width="56.44140625" style="1944" customWidth="1"/>
    <col min="13809" max="13809" width="10.33203125" style="1944" customWidth="1"/>
    <col min="13810" max="13816" width="10.6640625" style="1944" customWidth="1"/>
    <col min="13817" max="13817" width="9.109375" style="1944"/>
    <col min="13818" max="13818" width="11.33203125" style="1944" bestFit="1" customWidth="1"/>
    <col min="13819" max="13819" width="9.6640625" style="1944" bestFit="1" customWidth="1"/>
    <col min="13820" max="14062" width="9.109375" style="1944"/>
    <col min="14063" max="14063" width="5.33203125" style="1944" customWidth="1"/>
    <col min="14064" max="14064" width="56.44140625" style="1944" customWidth="1"/>
    <col min="14065" max="14065" width="10.33203125" style="1944" customWidth="1"/>
    <col min="14066" max="14072" width="10.6640625" style="1944" customWidth="1"/>
    <col min="14073" max="14073" width="9.109375" style="1944"/>
    <col min="14074" max="14074" width="11.33203125" style="1944" bestFit="1" customWidth="1"/>
    <col min="14075" max="14075" width="9.6640625" style="1944" bestFit="1" customWidth="1"/>
    <col min="14076" max="14318" width="9.109375" style="1944"/>
    <col min="14319" max="14319" width="5.33203125" style="1944" customWidth="1"/>
    <col min="14320" max="14320" width="56.44140625" style="1944" customWidth="1"/>
    <col min="14321" max="14321" width="10.33203125" style="1944" customWidth="1"/>
    <col min="14322" max="14328" width="10.6640625" style="1944" customWidth="1"/>
    <col min="14329" max="14329" width="9.109375" style="1944"/>
    <col min="14330" max="14330" width="11.33203125" style="1944" bestFit="1" customWidth="1"/>
    <col min="14331" max="14331" width="9.6640625" style="1944" bestFit="1" customWidth="1"/>
    <col min="14332" max="14574" width="9.109375" style="1944"/>
    <col min="14575" max="14575" width="5.33203125" style="1944" customWidth="1"/>
    <col min="14576" max="14576" width="56.44140625" style="1944" customWidth="1"/>
    <col min="14577" max="14577" width="10.33203125" style="1944" customWidth="1"/>
    <col min="14578" max="14584" width="10.6640625" style="1944" customWidth="1"/>
    <col min="14585" max="14585" width="9.109375" style="1944"/>
    <col min="14586" max="14586" width="11.33203125" style="1944" bestFit="1" customWidth="1"/>
    <col min="14587" max="14587" width="9.6640625" style="1944" bestFit="1" customWidth="1"/>
    <col min="14588" max="14830" width="9.109375" style="1944"/>
    <col min="14831" max="14831" width="5.33203125" style="1944" customWidth="1"/>
    <col min="14832" max="14832" width="56.44140625" style="1944" customWidth="1"/>
    <col min="14833" max="14833" width="10.33203125" style="1944" customWidth="1"/>
    <col min="14834" max="14840" width="10.6640625" style="1944" customWidth="1"/>
    <col min="14841" max="14841" width="9.109375" style="1944"/>
    <col min="14842" max="14842" width="11.33203125" style="1944" bestFit="1" customWidth="1"/>
    <col min="14843" max="14843" width="9.6640625" style="1944" bestFit="1" customWidth="1"/>
    <col min="14844" max="15086" width="9.109375" style="1944"/>
    <col min="15087" max="15087" width="5.33203125" style="1944" customWidth="1"/>
    <col min="15088" max="15088" width="56.44140625" style="1944" customWidth="1"/>
    <col min="15089" max="15089" width="10.33203125" style="1944" customWidth="1"/>
    <col min="15090" max="15096" width="10.6640625" style="1944" customWidth="1"/>
    <col min="15097" max="15097" width="9.109375" style="1944"/>
    <col min="15098" max="15098" width="11.33203125" style="1944" bestFit="1" customWidth="1"/>
    <col min="15099" max="15099" width="9.6640625" style="1944" bestFit="1" customWidth="1"/>
    <col min="15100" max="15342" width="9.109375" style="1944"/>
    <col min="15343" max="15343" width="5.33203125" style="1944" customWidth="1"/>
    <col min="15344" max="15344" width="56.44140625" style="1944" customWidth="1"/>
    <col min="15345" max="15345" width="10.33203125" style="1944" customWidth="1"/>
    <col min="15346" max="15352" width="10.6640625" style="1944" customWidth="1"/>
    <col min="15353" max="15353" width="9.109375" style="1944"/>
    <col min="15354" max="15354" width="11.33203125" style="1944" bestFit="1" customWidth="1"/>
    <col min="15355" max="15355" width="9.6640625" style="1944" bestFit="1" customWidth="1"/>
    <col min="15356" max="15598" width="9.109375" style="1944"/>
    <col min="15599" max="15599" width="5.33203125" style="1944" customWidth="1"/>
    <col min="15600" max="15600" width="56.44140625" style="1944" customWidth="1"/>
    <col min="15601" max="15601" width="10.33203125" style="1944" customWidth="1"/>
    <col min="15602" max="15608" width="10.6640625" style="1944" customWidth="1"/>
    <col min="15609" max="15609" width="9.109375" style="1944"/>
    <col min="15610" max="15610" width="11.33203125" style="1944" bestFit="1" customWidth="1"/>
    <col min="15611" max="15611" width="9.6640625" style="1944" bestFit="1" customWidth="1"/>
    <col min="15612" max="15854" width="9.109375" style="1944"/>
    <col min="15855" max="15855" width="5.33203125" style="1944" customWidth="1"/>
    <col min="15856" max="15856" width="56.44140625" style="1944" customWidth="1"/>
    <col min="15857" max="15857" width="10.33203125" style="1944" customWidth="1"/>
    <col min="15858" max="15864" width="10.6640625" style="1944" customWidth="1"/>
    <col min="15865" max="15865" width="9.109375" style="1944"/>
    <col min="15866" max="15866" width="11.33203125" style="1944" bestFit="1" customWidth="1"/>
    <col min="15867" max="15867" width="9.6640625" style="1944" bestFit="1" customWidth="1"/>
    <col min="15868" max="16110" width="9.109375" style="1944"/>
    <col min="16111" max="16111" width="5.33203125" style="1944" customWidth="1"/>
    <col min="16112" max="16112" width="56.44140625" style="1944" customWidth="1"/>
    <col min="16113" max="16113" width="10.33203125" style="1944" customWidth="1"/>
    <col min="16114" max="16120" width="10.6640625" style="1944" customWidth="1"/>
    <col min="16121" max="16121" width="9.109375" style="1944"/>
    <col min="16122" max="16122" width="11.33203125" style="1944" bestFit="1" customWidth="1"/>
    <col min="16123" max="16123" width="9.6640625" style="1944" bestFit="1" customWidth="1"/>
    <col min="16124" max="16384" width="9.109375" style="1944"/>
  </cols>
  <sheetData>
    <row r="1" spans="1:25" ht="16.8" thickBot="1">
      <c r="A1" s="5009" t="str">
        <f>+'1. Обща информация'!B40</f>
        <v>Фиксиран курс на лева към 1 евро</v>
      </c>
      <c r="B1" s="5009"/>
      <c r="C1" s="5010">
        <f>+'1. Обща информация'!$C$40</f>
        <v>1.95583</v>
      </c>
      <c r="D1" s="5010"/>
      <c r="E1" s="4494"/>
      <c r="F1" s="4494"/>
      <c r="G1" s="4494"/>
      <c r="H1" s="4494"/>
      <c r="I1" s="4482" t="s">
        <v>0</v>
      </c>
    </row>
    <row r="2" spans="1:25" s="3804" customFormat="1" ht="18">
      <c r="A2" s="5157" t="s">
        <v>1379</v>
      </c>
      <c r="B2" s="5157"/>
      <c r="C2" s="5157"/>
      <c r="D2" s="5157"/>
      <c r="E2" s="5157"/>
      <c r="F2" s="5157"/>
      <c r="G2" s="5157"/>
      <c r="H2" s="5157"/>
      <c r="I2" s="5157"/>
    </row>
    <row r="3" spans="1:25" s="3805" customFormat="1" ht="15.6">
      <c r="A3" s="5158" t="s">
        <v>1287</v>
      </c>
      <c r="B3" s="5158"/>
      <c r="C3" s="5158"/>
      <c r="D3" s="5158"/>
      <c r="E3" s="5158"/>
      <c r="F3" s="5158"/>
      <c r="G3" s="5158"/>
      <c r="H3" s="5158"/>
      <c r="I3" s="5158"/>
    </row>
    <row r="4" spans="1:25" s="3805" customFormat="1" ht="15.6">
      <c r="A4" s="5159" t="str">
        <f>'1. Обща информация'!A4</f>
        <v>на "В И К" АД, гр. Ловеч</v>
      </c>
      <c r="B4" s="5159"/>
      <c r="C4" s="5159"/>
      <c r="D4" s="5159"/>
      <c r="E4" s="5159"/>
      <c r="F4" s="5159"/>
      <c r="G4" s="5159"/>
      <c r="H4" s="5159"/>
      <c r="I4" s="5159"/>
      <c r="J4" s="184"/>
      <c r="K4" s="184"/>
      <c r="L4" s="184"/>
      <c r="M4" s="184"/>
      <c r="N4" s="184"/>
      <c r="O4" s="184"/>
      <c r="P4" s="184"/>
      <c r="Q4" s="184"/>
      <c r="R4" s="184"/>
      <c r="S4" s="184"/>
      <c r="T4" s="184"/>
      <c r="U4" s="184"/>
      <c r="V4" s="184"/>
      <c r="W4" s="184"/>
      <c r="X4" s="184"/>
      <c r="Y4" s="184"/>
    </row>
    <row r="5" spans="1:25" s="3805" customFormat="1" ht="15.6">
      <c r="A5" s="5159" t="str">
        <f>'1. Обща информация'!A5</f>
        <v>ЕИК по БУЛСТАТ: 110549443</v>
      </c>
      <c r="B5" s="5159"/>
      <c r="C5" s="5159"/>
      <c r="D5" s="5159"/>
      <c r="E5" s="5159"/>
      <c r="F5" s="5159"/>
      <c r="G5" s="5159"/>
      <c r="H5" s="5159"/>
      <c r="I5" s="5159"/>
      <c r="J5" s="184"/>
      <c r="K5" s="184"/>
      <c r="L5" s="184"/>
      <c r="M5" s="184"/>
      <c r="N5" s="184"/>
      <c r="O5" s="184"/>
      <c r="P5" s="184"/>
      <c r="Q5" s="184"/>
      <c r="R5" s="184"/>
      <c r="S5" s="184"/>
      <c r="T5" s="184"/>
      <c r="U5" s="184"/>
      <c r="V5" s="184"/>
      <c r="W5" s="184"/>
      <c r="X5" s="184"/>
      <c r="Y5" s="184"/>
    </row>
    <row r="6" spans="1:25" s="3805" customFormat="1" ht="16.2" thickBot="1">
      <c r="A6" s="3729"/>
      <c r="B6" s="3729"/>
      <c r="C6" s="3729"/>
      <c r="D6" s="756"/>
      <c r="E6" s="3729"/>
      <c r="F6" s="3729"/>
      <c r="G6" s="3729"/>
      <c r="H6" s="3729"/>
      <c r="I6" s="756"/>
      <c r="J6" s="184"/>
      <c r="K6" s="184"/>
      <c r="L6" s="184"/>
      <c r="M6" s="184"/>
      <c r="N6" s="184"/>
      <c r="O6" s="184"/>
      <c r="P6" s="184"/>
      <c r="Q6" s="184"/>
      <c r="R6" s="184"/>
      <c r="S6" s="184"/>
      <c r="T6" s="184"/>
      <c r="U6" s="184"/>
      <c r="V6" s="184"/>
      <c r="W6" s="184"/>
      <c r="X6" s="184"/>
      <c r="Y6" s="184"/>
    </row>
    <row r="7" spans="1:25" s="3806" customFormat="1" ht="18.600000000000001" thickBot="1">
      <c r="A7" s="755" t="s">
        <v>1</v>
      </c>
      <c r="B7" s="1923" t="s">
        <v>87</v>
      </c>
      <c r="C7" s="1923" t="s">
        <v>166</v>
      </c>
      <c r="D7" s="4246" t="str">
        <f>'Приложение '!$C12</f>
        <v>2024 г.</v>
      </c>
      <c r="E7" s="4246" t="str">
        <f>'Приложение '!$C14</f>
        <v>2027 г.</v>
      </c>
      <c r="F7" s="4246" t="str">
        <f>'Приложение '!$C15</f>
        <v>2028 г.</v>
      </c>
      <c r="G7" s="4246" t="str">
        <f>'Приложение '!$C16</f>
        <v>2029 г.</v>
      </c>
      <c r="H7" s="4246" t="str">
        <f>'Приложение '!$C17</f>
        <v>2030 г.</v>
      </c>
      <c r="I7" s="4247" t="str">
        <f>'Приложение '!$C18</f>
        <v>2031 г.</v>
      </c>
      <c r="J7" s="4488"/>
      <c r="K7" s="4490" t="s">
        <v>166</v>
      </c>
      <c r="L7" s="4490" t="str">
        <f>'Приложение '!$C$12</f>
        <v>2024 г.</v>
      </c>
      <c r="M7" s="4490" t="str">
        <f>'Приложение '!$C$14</f>
        <v>2027 г.</v>
      </c>
      <c r="N7" s="4490" t="str">
        <f>'Приложение '!$C$15</f>
        <v>2028 г.</v>
      </c>
      <c r="O7" s="4490" t="str">
        <f>'Приложение '!$C$16</f>
        <v>2029 г.</v>
      </c>
      <c r="P7" s="4490" t="str">
        <f>'Приложение '!$C$17</f>
        <v>2030 г.</v>
      </c>
      <c r="Q7" s="4490" t="str">
        <f>'Приложение '!$C$18</f>
        <v>2031 г.</v>
      </c>
    </row>
    <row r="8" spans="1:25" s="3807" customFormat="1" thickBot="1">
      <c r="A8" s="176" t="s">
        <v>167</v>
      </c>
      <c r="B8" s="5139" t="s">
        <v>1151</v>
      </c>
      <c r="C8" s="5140"/>
      <c r="D8" s="5140"/>
      <c r="E8" s="5140"/>
      <c r="F8" s="5140"/>
      <c r="G8" s="5140"/>
      <c r="H8" s="5140"/>
      <c r="I8" s="5141"/>
      <c r="J8" s="4488"/>
    </row>
    <row r="9" spans="1:25" s="1935" customFormat="1" ht="40.200000000000003" thickBot="1">
      <c r="A9" s="1924" t="s">
        <v>205</v>
      </c>
      <c r="B9" s="1925" t="str">
        <f>"Доставяне на вода на друг ВиК оператор - "&amp;'1. Обща информация'!B33</f>
        <v>Доставяне на вода на друг ВиК оператор - "Водоснабдяване и канализация" ЕООД - гр. Плевен</v>
      </c>
      <c r="C9" s="1924"/>
      <c r="D9" s="1926"/>
      <c r="E9" s="1927"/>
      <c r="F9" s="1927"/>
      <c r="G9" s="1927"/>
      <c r="H9" s="1927"/>
      <c r="I9" s="1928"/>
      <c r="J9" s="4488"/>
    </row>
    <row r="10" spans="1:25" s="1935" customFormat="1" ht="15.6">
      <c r="A10" s="3976" t="s">
        <v>463</v>
      </c>
      <c r="B10" s="749" t="s">
        <v>570</v>
      </c>
      <c r="C10" s="369" t="s">
        <v>781</v>
      </c>
      <c r="D10" s="800">
        <f>D11+D12+D13+D14</f>
        <v>17141502</v>
      </c>
      <c r="E10" s="214">
        <f>E11+E12+E13+E14</f>
        <v>18636397</v>
      </c>
      <c r="F10" s="214">
        <f>F11+F12+F13+F14</f>
        <v>18642635</v>
      </c>
      <c r="G10" s="214">
        <f t="shared" ref="G10:I10" si="0">G11+G12+G13+G14</f>
        <v>18648890</v>
      </c>
      <c r="H10" s="214">
        <f t="shared" si="0"/>
        <v>18655160</v>
      </c>
      <c r="I10" s="215">
        <f t="shared" si="0"/>
        <v>18661448</v>
      </c>
      <c r="J10" s="4488"/>
    </row>
    <row r="11" spans="1:25" s="1783" customFormat="1" ht="15.6">
      <c r="A11" s="81" t="s">
        <v>463</v>
      </c>
      <c r="B11" s="1929" t="s">
        <v>906</v>
      </c>
      <c r="C11" s="371" t="s">
        <v>781</v>
      </c>
      <c r="D11" s="801">
        <v>3830852</v>
      </c>
      <c r="E11" s="209">
        <v>4256712</v>
      </c>
      <c r="F11" s="209">
        <v>4257698</v>
      </c>
      <c r="G11" s="209">
        <v>4258687</v>
      </c>
      <c r="H11" s="209">
        <v>4259678</v>
      </c>
      <c r="I11" s="210">
        <v>4260672</v>
      </c>
      <c r="J11" s="4488"/>
    </row>
    <row r="12" spans="1:25" s="1783" customFormat="1" ht="15.6">
      <c r="A12" s="81" t="s">
        <v>465</v>
      </c>
      <c r="B12" s="750" t="s">
        <v>907</v>
      </c>
      <c r="C12" s="371" t="s">
        <v>781</v>
      </c>
      <c r="D12" s="801">
        <v>13310650</v>
      </c>
      <c r="E12" s="209">
        <v>14379685</v>
      </c>
      <c r="F12" s="209">
        <v>14384937</v>
      </c>
      <c r="G12" s="209">
        <v>14390203</v>
      </c>
      <c r="H12" s="209">
        <v>14395482</v>
      </c>
      <c r="I12" s="210">
        <v>14400776</v>
      </c>
      <c r="J12" s="4488"/>
    </row>
    <row r="13" spans="1:25" s="1783" customFormat="1" ht="15.6">
      <c r="A13" s="81" t="s">
        <v>466</v>
      </c>
      <c r="B13" s="750" t="s">
        <v>908</v>
      </c>
      <c r="C13" s="371" t="s">
        <v>781</v>
      </c>
      <c r="D13" s="801">
        <v>0</v>
      </c>
      <c r="E13" s="209">
        <v>0</v>
      </c>
      <c r="F13" s="209">
        <v>0</v>
      </c>
      <c r="G13" s="209">
        <v>0</v>
      </c>
      <c r="H13" s="209">
        <v>0</v>
      </c>
      <c r="I13" s="210">
        <v>0</v>
      </c>
      <c r="J13" s="4488"/>
    </row>
    <row r="14" spans="1:25" s="1783" customFormat="1" ht="27" thickBot="1">
      <c r="A14" s="751" t="s">
        <v>468</v>
      </c>
      <c r="B14" s="3808" t="s">
        <v>909</v>
      </c>
      <c r="C14" s="752" t="s">
        <v>781</v>
      </c>
      <c r="D14" s="802">
        <v>0</v>
      </c>
      <c r="E14" s="803">
        <v>0</v>
      </c>
      <c r="F14" s="803">
        <v>0</v>
      </c>
      <c r="G14" s="803">
        <v>0</v>
      </c>
      <c r="H14" s="803">
        <v>0</v>
      </c>
      <c r="I14" s="804">
        <v>0</v>
      </c>
      <c r="J14" s="4488"/>
    </row>
    <row r="15" spans="1:25" s="1935" customFormat="1" ht="15.6">
      <c r="A15" s="5024" t="s">
        <v>477</v>
      </c>
      <c r="B15" s="5026" t="s">
        <v>572</v>
      </c>
      <c r="C15" s="374" t="s">
        <v>781</v>
      </c>
      <c r="D15" s="1949">
        <v>16093323</v>
      </c>
      <c r="E15" s="1950">
        <v>17500000</v>
      </c>
      <c r="F15" s="1950">
        <v>17500000</v>
      </c>
      <c r="G15" s="1950">
        <v>17500000</v>
      </c>
      <c r="H15" s="1950">
        <v>17500000</v>
      </c>
      <c r="I15" s="1951">
        <v>17500000</v>
      </c>
      <c r="J15" s="4488"/>
    </row>
    <row r="16" spans="1:25" s="1935" customFormat="1" thickBot="1">
      <c r="A16" s="5025"/>
      <c r="B16" s="5027"/>
      <c r="C16" s="371" t="s">
        <v>170</v>
      </c>
      <c r="D16" s="805">
        <f>IFERROR(D15/D10,0)</f>
        <v>0.93885139120247452</v>
      </c>
      <c r="E16" s="228">
        <f t="shared" ref="E16:I16" si="1">IFERROR(E15/E10,0)</f>
        <v>0.93902270916422315</v>
      </c>
      <c r="F16" s="228">
        <f t="shared" si="1"/>
        <v>0.93870850338484879</v>
      </c>
      <c r="G16" s="228">
        <f t="shared" si="1"/>
        <v>0.93839365238360029</v>
      </c>
      <c r="H16" s="228">
        <f t="shared" si="1"/>
        <v>0.93807825824061541</v>
      </c>
      <c r="I16" s="229">
        <f t="shared" si="1"/>
        <v>0.93776217150994923</v>
      </c>
      <c r="J16" s="4488"/>
    </row>
    <row r="17" spans="1:10" s="1935" customFormat="1" ht="15.6">
      <c r="A17" s="5160" t="s">
        <v>479</v>
      </c>
      <c r="B17" s="5161" t="s">
        <v>688</v>
      </c>
      <c r="C17" s="568" t="s">
        <v>781</v>
      </c>
      <c r="D17" s="1952">
        <v>0</v>
      </c>
      <c r="E17" s="1953">
        <v>7851</v>
      </c>
      <c r="F17" s="1953">
        <v>7861</v>
      </c>
      <c r="G17" s="1953">
        <v>7871</v>
      </c>
      <c r="H17" s="1953">
        <v>7882</v>
      </c>
      <c r="I17" s="1954">
        <v>7893</v>
      </c>
      <c r="J17" s="4488"/>
    </row>
    <row r="18" spans="1:10" s="1935" customFormat="1" thickBot="1">
      <c r="A18" s="5073"/>
      <c r="B18" s="5074"/>
      <c r="C18" s="548" t="s">
        <v>170</v>
      </c>
      <c r="D18" s="928">
        <f t="shared" ref="D18:I18" si="2">IFERROR(D17/D10,0)</f>
        <v>0</v>
      </c>
      <c r="E18" s="929">
        <f t="shared" si="2"/>
        <v>4.2127241655133231E-4</v>
      </c>
      <c r="F18" s="929">
        <f t="shared" si="2"/>
        <v>4.2166785972047404E-4</v>
      </c>
      <c r="G18" s="929">
        <f t="shared" si="2"/>
        <v>4.2206265359493247E-4</v>
      </c>
      <c r="H18" s="929">
        <f t="shared" si="2"/>
        <v>4.2251044751157323E-4</v>
      </c>
      <c r="I18" s="930">
        <f t="shared" si="2"/>
        <v>4.2295753255588742E-4</v>
      </c>
      <c r="J18" s="4488"/>
    </row>
    <row r="19" spans="1:10" s="1935" customFormat="1" ht="15.6">
      <c r="A19" s="5046" t="s">
        <v>219</v>
      </c>
      <c r="B19" s="5075" t="s">
        <v>689</v>
      </c>
      <c r="C19" s="524" t="s">
        <v>781</v>
      </c>
      <c r="D19" s="534">
        <f>D21+D23</f>
        <v>1048179</v>
      </c>
      <c r="E19" s="535">
        <f t="shared" ref="E19:I19" si="3">E21+E23</f>
        <v>1128546</v>
      </c>
      <c r="F19" s="535">
        <f t="shared" si="3"/>
        <v>1134774</v>
      </c>
      <c r="G19" s="535">
        <f t="shared" si="3"/>
        <v>1141019</v>
      </c>
      <c r="H19" s="535">
        <f t="shared" si="3"/>
        <v>1147278</v>
      </c>
      <c r="I19" s="536">
        <f t="shared" si="3"/>
        <v>1153555</v>
      </c>
      <c r="J19" s="4488"/>
    </row>
    <row r="20" spans="1:10" s="1935" customFormat="1" thickBot="1">
      <c r="A20" s="5068"/>
      <c r="B20" s="5076"/>
      <c r="C20" s="572" t="s">
        <v>170</v>
      </c>
      <c r="D20" s="925">
        <f t="shared" ref="D20:I20" si="4">IFERROR(D19/D10,0)</f>
        <v>6.1148608797525442E-2</v>
      </c>
      <c r="E20" s="764">
        <f t="shared" si="4"/>
        <v>6.055601841922556E-2</v>
      </c>
      <c r="F20" s="764">
        <f t="shared" si="4"/>
        <v>6.0869828755430767E-2</v>
      </c>
      <c r="G20" s="764">
        <f t="shared" si="4"/>
        <v>6.1184284962804758E-2</v>
      </c>
      <c r="H20" s="764">
        <f t="shared" si="4"/>
        <v>6.1499231311872959E-2</v>
      </c>
      <c r="I20" s="926">
        <f t="shared" si="4"/>
        <v>6.1814870957494834E-2</v>
      </c>
      <c r="J20" s="4488"/>
    </row>
    <row r="21" spans="1:10" s="1935" customFormat="1" ht="15.6">
      <c r="A21" s="5077" t="s">
        <v>171</v>
      </c>
      <c r="B21" s="5162" t="s">
        <v>580</v>
      </c>
      <c r="C21" s="568" t="s">
        <v>781</v>
      </c>
      <c r="D21" s="1952">
        <v>200000</v>
      </c>
      <c r="E21" s="1953">
        <v>214293</v>
      </c>
      <c r="F21" s="1953">
        <v>214580</v>
      </c>
      <c r="G21" s="1953">
        <v>214868</v>
      </c>
      <c r="H21" s="1953">
        <v>215155</v>
      </c>
      <c r="I21" s="1954">
        <v>215445</v>
      </c>
      <c r="J21" s="4488"/>
    </row>
    <row r="22" spans="1:10" s="1935" customFormat="1" ht="13.2">
      <c r="A22" s="5050"/>
      <c r="B22" s="5064"/>
      <c r="C22" s="927" t="s">
        <v>170</v>
      </c>
      <c r="D22" s="561">
        <f t="shared" ref="D22:I22" si="5">IFERROR(D21/D10,0)</f>
        <v>1.1667588989576292E-2</v>
      </c>
      <c r="E22" s="562">
        <f t="shared" si="5"/>
        <v>1.1498628195138793E-2</v>
      </c>
      <c r="F22" s="562">
        <f t="shared" si="5"/>
        <v>1.1510175466075478E-2</v>
      </c>
      <c r="G22" s="562">
        <f t="shared" si="5"/>
        <v>1.152175813144911E-2</v>
      </c>
      <c r="H22" s="562">
        <f t="shared" si="5"/>
        <v>1.1533270151529121E-2</v>
      </c>
      <c r="I22" s="563">
        <f t="shared" si="5"/>
        <v>1.1544924059483487E-2</v>
      </c>
      <c r="J22" s="4488"/>
    </row>
    <row r="23" spans="1:10" s="1935" customFormat="1" ht="15.6">
      <c r="A23" s="5062" t="s">
        <v>172</v>
      </c>
      <c r="B23" s="5065" t="s">
        <v>585</v>
      </c>
      <c r="C23" s="529" t="s">
        <v>781</v>
      </c>
      <c r="D23" s="1955">
        <v>848179</v>
      </c>
      <c r="E23" s="1956">
        <v>914253</v>
      </c>
      <c r="F23" s="1956">
        <v>920194</v>
      </c>
      <c r="G23" s="1956">
        <v>926151</v>
      </c>
      <c r="H23" s="1956">
        <v>932123</v>
      </c>
      <c r="I23" s="1957">
        <v>938110</v>
      </c>
      <c r="J23" s="4488"/>
    </row>
    <row r="24" spans="1:10" s="1935" customFormat="1" thickBot="1">
      <c r="A24" s="5163"/>
      <c r="B24" s="5164"/>
      <c r="C24" s="548" t="s">
        <v>170</v>
      </c>
      <c r="D24" s="931">
        <f t="shared" ref="D24:I24" si="6">IFERROR(D23/D10,0)</f>
        <v>4.9481019807949153E-2</v>
      </c>
      <c r="E24" s="932">
        <f t="shared" si="6"/>
        <v>4.9057390224086769E-2</v>
      </c>
      <c r="F24" s="932">
        <f t="shared" si="6"/>
        <v>4.9359653289355286E-2</v>
      </c>
      <c r="G24" s="932">
        <f t="shared" si="6"/>
        <v>4.9662526831355649E-2</v>
      </c>
      <c r="H24" s="932">
        <f t="shared" si="6"/>
        <v>4.9965961160343839E-2</v>
      </c>
      <c r="I24" s="933">
        <f t="shared" si="6"/>
        <v>5.0269946898011342E-2</v>
      </c>
      <c r="J24" s="4488"/>
    </row>
    <row r="25" spans="1:10" s="1935" customFormat="1" ht="15.6">
      <c r="A25" s="5147" t="s">
        <v>221</v>
      </c>
      <c r="B25" s="5150" t="s">
        <v>594</v>
      </c>
      <c r="C25" s="369" t="s">
        <v>781</v>
      </c>
      <c r="D25" s="806">
        <f>D19+D17</f>
        <v>1048179</v>
      </c>
      <c r="E25" s="231">
        <f t="shared" ref="E25:I25" si="7">E19+E17</f>
        <v>1136397</v>
      </c>
      <c r="F25" s="231">
        <f t="shared" si="7"/>
        <v>1142635</v>
      </c>
      <c r="G25" s="231">
        <f t="shared" si="7"/>
        <v>1148890</v>
      </c>
      <c r="H25" s="231">
        <f t="shared" si="7"/>
        <v>1155160</v>
      </c>
      <c r="I25" s="232">
        <f t="shared" si="7"/>
        <v>1161448</v>
      </c>
      <c r="J25" s="4488"/>
    </row>
    <row r="26" spans="1:10" s="1935" customFormat="1" ht="13.2">
      <c r="A26" s="5148"/>
      <c r="B26" s="5151"/>
      <c r="C26" s="376" t="s">
        <v>170</v>
      </c>
      <c r="D26" s="3809">
        <f t="shared" ref="D26:I26" si="8">IFERROR(D25/D10,0)</f>
        <v>6.1148608797525442E-2</v>
      </c>
      <c r="E26" s="3810">
        <f t="shared" si="8"/>
        <v>6.0977290835776896E-2</v>
      </c>
      <c r="F26" s="3810">
        <f t="shared" si="8"/>
        <v>6.1291496615151236E-2</v>
      </c>
      <c r="G26" s="3810">
        <f t="shared" si="8"/>
        <v>6.1606347616399687E-2</v>
      </c>
      <c r="H26" s="3810">
        <f t="shared" si="8"/>
        <v>6.1921741759384537E-2</v>
      </c>
      <c r="I26" s="3811">
        <f t="shared" si="8"/>
        <v>6.2237828490050717E-2</v>
      </c>
      <c r="J26" s="4488"/>
    </row>
    <row r="27" spans="1:10" s="1935" customFormat="1" thickBot="1">
      <c r="A27" s="5149"/>
      <c r="B27" s="5152"/>
      <c r="C27" s="377" t="s">
        <v>725</v>
      </c>
      <c r="D27" s="807">
        <f t="shared" ref="D27:I27" si="9">D10-D15-D25</f>
        <v>0</v>
      </c>
      <c r="E27" s="808">
        <f t="shared" si="9"/>
        <v>0</v>
      </c>
      <c r="F27" s="808">
        <f t="shared" si="9"/>
        <v>0</v>
      </c>
      <c r="G27" s="808">
        <f t="shared" si="9"/>
        <v>0</v>
      </c>
      <c r="H27" s="808">
        <f t="shared" si="9"/>
        <v>0</v>
      </c>
      <c r="I27" s="809">
        <f t="shared" si="9"/>
        <v>0</v>
      </c>
      <c r="J27" s="4488"/>
    </row>
    <row r="28" spans="1:10" s="1935" customFormat="1" ht="27" thickBot="1">
      <c r="A28" s="1924" t="s">
        <v>1152</v>
      </c>
      <c r="B28" s="1925" t="str">
        <f>"Доставяне на вода на друг ВиК оператор - "&amp;'1. Обща информация'!B34</f>
        <v>Доставяне на вода на друг ВиК оператор - "В и К - Стенето" ЕООД - гр. Троян</v>
      </c>
      <c r="C28" s="1924"/>
      <c r="D28" s="1930"/>
      <c r="E28" s="1931"/>
      <c r="F28" s="1931"/>
      <c r="G28" s="1931"/>
      <c r="H28" s="1931"/>
      <c r="I28" s="1932"/>
      <c r="J28" s="4488"/>
    </row>
    <row r="29" spans="1:10" s="1935" customFormat="1" ht="15.6">
      <c r="A29" s="3976" t="s">
        <v>205</v>
      </c>
      <c r="B29" s="749" t="s">
        <v>570</v>
      </c>
      <c r="C29" s="369" t="s">
        <v>781</v>
      </c>
      <c r="D29" s="800">
        <f>D30+D31+D32+D33</f>
        <v>887309</v>
      </c>
      <c r="E29" s="214">
        <f>E30+E31+E32+E33</f>
        <v>885689</v>
      </c>
      <c r="F29" s="214">
        <f>F30+F31+F32+F33</f>
        <v>885759</v>
      </c>
      <c r="G29" s="214">
        <f t="shared" ref="G29:I29" si="10">G30+G31+G32+G33</f>
        <v>885827</v>
      </c>
      <c r="H29" s="214">
        <f t="shared" si="10"/>
        <v>885892</v>
      </c>
      <c r="I29" s="215">
        <f t="shared" si="10"/>
        <v>885957</v>
      </c>
      <c r="J29" s="4488"/>
    </row>
    <row r="30" spans="1:10" s="1783" customFormat="1" ht="15.6">
      <c r="A30" s="81" t="s">
        <v>463</v>
      </c>
      <c r="B30" s="1929" t="s">
        <v>906</v>
      </c>
      <c r="C30" s="371" t="s">
        <v>781</v>
      </c>
      <c r="D30" s="801">
        <v>213676</v>
      </c>
      <c r="E30" s="209">
        <v>212924</v>
      </c>
      <c r="F30" s="209">
        <v>212944</v>
      </c>
      <c r="G30" s="209">
        <v>212966</v>
      </c>
      <c r="H30" s="209">
        <v>212999</v>
      </c>
      <c r="I30" s="210">
        <v>213034</v>
      </c>
      <c r="J30" s="4488"/>
    </row>
    <row r="31" spans="1:10" s="1783" customFormat="1" ht="15.6">
      <c r="A31" s="81" t="s">
        <v>465</v>
      </c>
      <c r="B31" s="750" t="s">
        <v>907</v>
      </c>
      <c r="C31" s="371" t="s">
        <v>781</v>
      </c>
      <c r="D31" s="801">
        <v>666929</v>
      </c>
      <c r="E31" s="209">
        <v>662220</v>
      </c>
      <c r="F31" s="209">
        <v>662283</v>
      </c>
      <c r="G31" s="209">
        <v>662374</v>
      </c>
      <c r="H31" s="209">
        <v>662430</v>
      </c>
      <c r="I31" s="210">
        <v>662490</v>
      </c>
      <c r="J31" s="4488"/>
    </row>
    <row r="32" spans="1:10" s="1783" customFormat="1" ht="15.6">
      <c r="A32" s="81" t="s">
        <v>466</v>
      </c>
      <c r="B32" s="750" t="s">
        <v>908</v>
      </c>
      <c r="C32" s="371" t="s">
        <v>781</v>
      </c>
      <c r="D32" s="801">
        <v>6704</v>
      </c>
      <c r="E32" s="209">
        <v>10545</v>
      </c>
      <c r="F32" s="209">
        <v>10532</v>
      </c>
      <c r="G32" s="209">
        <v>10487</v>
      </c>
      <c r="H32" s="209">
        <v>10463</v>
      </c>
      <c r="I32" s="210">
        <v>10433</v>
      </c>
      <c r="J32" s="4488"/>
    </row>
    <row r="33" spans="1:10" s="1783" customFormat="1" ht="27" thickBot="1">
      <c r="A33" s="751" t="s">
        <v>468</v>
      </c>
      <c r="B33" s="3808" t="s">
        <v>909</v>
      </c>
      <c r="C33" s="752" t="s">
        <v>781</v>
      </c>
      <c r="D33" s="802">
        <v>0</v>
      </c>
      <c r="E33" s="803">
        <v>0</v>
      </c>
      <c r="F33" s="803">
        <v>0</v>
      </c>
      <c r="G33" s="803">
        <v>0</v>
      </c>
      <c r="H33" s="803">
        <v>0</v>
      </c>
      <c r="I33" s="804">
        <v>0</v>
      </c>
      <c r="J33" s="4488"/>
    </row>
    <row r="34" spans="1:10" s="1935" customFormat="1" ht="15.6">
      <c r="A34" s="5024" t="s">
        <v>477</v>
      </c>
      <c r="B34" s="5026" t="s">
        <v>572</v>
      </c>
      <c r="C34" s="374" t="s">
        <v>781</v>
      </c>
      <c r="D34" s="1949">
        <v>822415</v>
      </c>
      <c r="E34" s="1950">
        <v>822086</v>
      </c>
      <c r="F34" s="1950">
        <v>821758</v>
      </c>
      <c r="G34" s="1950">
        <v>821429</v>
      </c>
      <c r="H34" s="1950">
        <v>821100</v>
      </c>
      <c r="I34" s="1951">
        <v>820772</v>
      </c>
      <c r="J34" s="4488"/>
    </row>
    <row r="35" spans="1:10" s="1935" customFormat="1" thickBot="1">
      <c r="A35" s="5025"/>
      <c r="B35" s="5027"/>
      <c r="C35" s="371" t="s">
        <v>170</v>
      </c>
      <c r="D35" s="805">
        <f>IFERROR(D34/D29,0)</f>
        <v>0.92686426036476588</v>
      </c>
      <c r="E35" s="228">
        <f t="shared" ref="E35:I35" si="11">IFERROR(E34/E29,0)</f>
        <v>0.92818811117672229</v>
      </c>
      <c r="F35" s="228">
        <f t="shared" si="11"/>
        <v>0.92774445419126417</v>
      </c>
      <c r="G35" s="228">
        <f t="shared" si="11"/>
        <v>0.92730183207330552</v>
      </c>
      <c r="H35" s="228">
        <f t="shared" si="11"/>
        <v>0.92686241663769398</v>
      </c>
      <c r="I35" s="229">
        <f t="shared" si="11"/>
        <v>0.92642419440221135</v>
      </c>
      <c r="J35" s="4488"/>
    </row>
    <row r="36" spans="1:10" s="1935" customFormat="1" ht="15.6">
      <c r="A36" s="5160" t="s">
        <v>479</v>
      </c>
      <c r="B36" s="5161" t="s">
        <v>688</v>
      </c>
      <c r="C36" s="568" t="s">
        <v>781</v>
      </c>
      <c r="D36" s="1952">
        <v>0</v>
      </c>
      <c r="E36" s="1953">
        <v>1114</v>
      </c>
      <c r="F36" s="1953">
        <v>1114</v>
      </c>
      <c r="G36" s="1953">
        <v>1113</v>
      </c>
      <c r="H36" s="1953">
        <v>1112</v>
      </c>
      <c r="I36" s="1954">
        <v>1111</v>
      </c>
      <c r="J36" s="4488"/>
    </row>
    <row r="37" spans="1:10" s="1935" customFormat="1" thickBot="1">
      <c r="A37" s="5073"/>
      <c r="B37" s="5074"/>
      <c r="C37" s="548" t="s">
        <v>170</v>
      </c>
      <c r="D37" s="928">
        <f t="shared" ref="D37:I37" si="12">IFERROR(D36/D29,0)</f>
        <v>0</v>
      </c>
      <c r="E37" s="929">
        <f t="shared" si="12"/>
        <v>1.2577778430126151E-3</v>
      </c>
      <c r="F37" s="929">
        <f t="shared" si="12"/>
        <v>1.2576784430076353E-3</v>
      </c>
      <c r="G37" s="929">
        <f t="shared" si="12"/>
        <v>1.2564530094476686E-3</v>
      </c>
      <c r="H37" s="929">
        <f t="shared" si="12"/>
        <v>1.2552320147376881E-3</v>
      </c>
      <c r="I37" s="930">
        <f t="shared" si="12"/>
        <v>1.2540111991891255E-3</v>
      </c>
      <c r="J37" s="4488"/>
    </row>
    <row r="38" spans="1:10" s="1935" customFormat="1" ht="15.6">
      <c r="A38" s="5046" t="s">
        <v>219</v>
      </c>
      <c r="B38" s="5075" t="s">
        <v>689</v>
      </c>
      <c r="C38" s="524" t="s">
        <v>781</v>
      </c>
      <c r="D38" s="534">
        <f>D40+D42</f>
        <v>64894</v>
      </c>
      <c r="E38" s="535">
        <f t="shared" ref="E38:I38" si="13">E40+E42</f>
        <v>62489</v>
      </c>
      <c r="F38" s="535">
        <f t="shared" si="13"/>
        <v>62887</v>
      </c>
      <c r="G38" s="535">
        <f t="shared" si="13"/>
        <v>63285</v>
      </c>
      <c r="H38" s="535">
        <f t="shared" si="13"/>
        <v>63680</v>
      </c>
      <c r="I38" s="536">
        <f t="shared" si="13"/>
        <v>64074</v>
      </c>
      <c r="J38" s="4488"/>
    </row>
    <row r="39" spans="1:10" s="1935" customFormat="1" thickBot="1">
      <c r="A39" s="5068"/>
      <c r="B39" s="5076"/>
      <c r="C39" s="572" t="s">
        <v>170</v>
      </c>
      <c r="D39" s="925">
        <f t="shared" ref="D39:I39" si="14">IFERROR(D38/D29,0)</f>
        <v>7.3135739635234176E-2</v>
      </c>
      <c r="E39" s="764">
        <f t="shared" si="14"/>
        <v>7.0554110980265081E-2</v>
      </c>
      <c r="F39" s="764">
        <f t="shared" si="14"/>
        <v>7.0997867365728148E-2</v>
      </c>
      <c r="G39" s="764">
        <f t="shared" si="14"/>
        <v>7.1441714917246824E-2</v>
      </c>
      <c r="H39" s="764">
        <f t="shared" si="14"/>
        <v>7.1882351347568332E-2</v>
      </c>
      <c r="I39" s="926">
        <f t="shared" si="14"/>
        <v>7.2321794398599482E-2</v>
      </c>
      <c r="J39" s="4488"/>
    </row>
    <row r="40" spans="1:10" s="1935" customFormat="1" ht="15.6">
      <c r="A40" s="5077" t="s">
        <v>263</v>
      </c>
      <c r="B40" s="5162" t="s">
        <v>580</v>
      </c>
      <c r="C40" s="568" t="s">
        <v>781</v>
      </c>
      <c r="D40" s="1952">
        <v>12500</v>
      </c>
      <c r="E40" s="1953">
        <v>12410</v>
      </c>
      <c r="F40" s="1953">
        <v>12399</v>
      </c>
      <c r="G40" s="1953">
        <v>12389</v>
      </c>
      <c r="H40" s="1953">
        <v>12379</v>
      </c>
      <c r="I40" s="1954">
        <v>12368</v>
      </c>
      <c r="J40" s="4488"/>
    </row>
    <row r="41" spans="1:10" s="1935" customFormat="1" ht="13.2">
      <c r="A41" s="5050"/>
      <c r="B41" s="5064"/>
      <c r="C41" s="927" t="s">
        <v>170</v>
      </c>
      <c r="D41" s="561">
        <f t="shared" ref="D41:I41" si="15">IFERROR(D40/D29,0)</f>
        <v>1.408753883934458E-2</v>
      </c>
      <c r="E41" s="562">
        <f t="shared" si="15"/>
        <v>1.4011690333740173E-2</v>
      </c>
      <c r="F41" s="562">
        <f t="shared" si="15"/>
        <v>1.3998164286222324E-2</v>
      </c>
      <c r="G41" s="562">
        <f t="shared" si="15"/>
        <v>1.3985800839215783E-2</v>
      </c>
      <c r="H41" s="562">
        <f t="shared" si="15"/>
        <v>1.3973486610105973E-2</v>
      </c>
      <c r="I41" s="563">
        <f t="shared" si="15"/>
        <v>1.3960045464960489E-2</v>
      </c>
      <c r="J41" s="4488"/>
    </row>
    <row r="42" spans="1:10" s="1935" customFormat="1" ht="15.6">
      <c r="A42" s="5062" t="s">
        <v>264</v>
      </c>
      <c r="B42" s="5065" t="s">
        <v>585</v>
      </c>
      <c r="C42" s="529" t="s">
        <v>781</v>
      </c>
      <c r="D42" s="1955">
        <v>52394</v>
      </c>
      <c r="E42" s="1956">
        <v>50079</v>
      </c>
      <c r="F42" s="1956">
        <v>50488</v>
      </c>
      <c r="G42" s="1956">
        <v>50896</v>
      </c>
      <c r="H42" s="1956">
        <v>51301</v>
      </c>
      <c r="I42" s="1957">
        <v>51706</v>
      </c>
      <c r="J42" s="4488"/>
    </row>
    <row r="43" spans="1:10" s="1935" customFormat="1" thickBot="1">
      <c r="A43" s="5163"/>
      <c r="B43" s="5164"/>
      <c r="C43" s="548" t="s">
        <v>170</v>
      </c>
      <c r="D43" s="931">
        <f t="shared" ref="D43:I43" si="16">IFERROR(D42/D29,0)</f>
        <v>5.9048200795889592E-2</v>
      </c>
      <c r="E43" s="932">
        <f t="shared" si="16"/>
        <v>5.6542420646524906E-2</v>
      </c>
      <c r="F43" s="932">
        <f t="shared" si="16"/>
        <v>5.6999703079505824E-2</v>
      </c>
      <c r="G43" s="932">
        <f t="shared" si="16"/>
        <v>5.7455914078031037E-2</v>
      </c>
      <c r="H43" s="932">
        <f t="shared" si="16"/>
        <v>5.7908864737462352E-2</v>
      </c>
      <c r="I43" s="933">
        <f t="shared" si="16"/>
        <v>5.8361748933638991E-2</v>
      </c>
      <c r="J43" s="4488"/>
    </row>
    <row r="44" spans="1:10" s="1935" customFormat="1" ht="15.6">
      <c r="A44" s="5147" t="s">
        <v>221</v>
      </c>
      <c r="B44" s="5150" t="s">
        <v>594</v>
      </c>
      <c r="C44" s="369" t="s">
        <v>781</v>
      </c>
      <c r="D44" s="806">
        <f>D38+D36</f>
        <v>64894</v>
      </c>
      <c r="E44" s="231">
        <f t="shared" ref="E44:I44" si="17">E38+E36</f>
        <v>63603</v>
      </c>
      <c r="F44" s="231">
        <f t="shared" si="17"/>
        <v>64001</v>
      </c>
      <c r="G44" s="231">
        <f t="shared" si="17"/>
        <v>64398</v>
      </c>
      <c r="H44" s="231">
        <f t="shared" si="17"/>
        <v>64792</v>
      </c>
      <c r="I44" s="232">
        <f t="shared" si="17"/>
        <v>65185</v>
      </c>
      <c r="J44" s="4488"/>
    </row>
    <row r="45" spans="1:10" s="1935" customFormat="1" ht="13.2">
      <c r="A45" s="5148"/>
      <c r="B45" s="5151"/>
      <c r="C45" s="376" t="s">
        <v>170</v>
      </c>
      <c r="D45" s="3809">
        <f t="shared" ref="D45:I45" si="18">IFERROR(D44/D29,0)</f>
        <v>7.3135739635234176E-2</v>
      </c>
      <c r="E45" s="3810">
        <f t="shared" si="18"/>
        <v>7.18118888232777E-2</v>
      </c>
      <c r="F45" s="3810">
        <f t="shared" si="18"/>
        <v>7.2255545808735791E-2</v>
      </c>
      <c r="G45" s="3810">
        <f t="shared" si="18"/>
        <v>7.2698167926694493E-2</v>
      </c>
      <c r="H45" s="3810">
        <f t="shared" si="18"/>
        <v>7.3137583362306011E-2</v>
      </c>
      <c r="I45" s="3811">
        <f t="shared" si="18"/>
        <v>7.3575805597788604E-2</v>
      </c>
      <c r="J45" s="4488"/>
    </row>
    <row r="46" spans="1:10" s="1935" customFormat="1" thickBot="1">
      <c r="A46" s="5149"/>
      <c r="B46" s="5152"/>
      <c r="C46" s="377" t="s">
        <v>725</v>
      </c>
      <c r="D46" s="807">
        <f t="shared" ref="D46:I46" si="19">D29-D34-D44</f>
        <v>0</v>
      </c>
      <c r="E46" s="808">
        <f t="shared" si="19"/>
        <v>0</v>
      </c>
      <c r="F46" s="808">
        <f t="shared" si="19"/>
        <v>0</v>
      </c>
      <c r="G46" s="808">
        <f t="shared" si="19"/>
        <v>0</v>
      </c>
      <c r="H46" s="808">
        <f t="shared" si="19"/>
        <v>0</v>
      </c>
      <c r="I46" s="809">
        <f t="shared" si="19"/>
        <v>0</v>
      </c>
      <c r="J46" s="4488"/>
    </row>
    <row r="47" spans="1:10" s="1935" customFormat="1" thickBot="1">
      <c r="A47" s="1924" t="s">
        <v>1286</v>
      </c>
      <c r="B47" s="1925" t="str">
        <f>"Доставяне на вода на друг ВиК оператор - "&amp;'1. Обща информация'!B35</f>
        <v xml:space="preserve">Доставяне на вода на друг ВиК оператор - </v>
      </c>
      <c r="C47" s="1924"/>
      <c r="D47" s="1930"/>
      <c r="E47" s="1931"/>
      <c r="F47" s="1931"/>
      <c r="G47" s="1931"/>
      <c r="H47" s="1931"/>
      <c r="I47" s="1932"/>
      <c r="J47" s="4488"/>
    </row>
    <row r="48" spans="1:10" s="1935" customFormat="1" ht="15.6">
      <c r="A48" s="3976" t="s">
        <v>205</v>
      </c>
      <c r="B48" s="749" t="s">
        <v>570</v>
      </c>
      <c r="C48" s="369" t="s">
        <v>781</v>
      </c>
      <c r="D48" s="800">
        <f>D49+D50+D51+D52</f>
        <v>0</v>
      </c>
      <c r="E48" s="214">
        <f>E49+E50+E51+E52</f>
        <v>0</v>
      </c>
      <c r="F48" s="214">
        <f>F49+F50+F51+F52</f>
        <v>0</v>
      </c>
      <c r="G48" s="214">
        <f t="shared" ref="G48:I48" si="20">G49+G50+G51+G52</f>
        <v>0</v>
      </c>
      <c r="H48" s="214">
        <f t="shared" si="20"/>
        <v>0</v>
      </c>
      <c r="I48" s="215">
        <f t="shared" si="20"/>
        <v>0</v>
      </c>
      <c r="J48" s="4488"/>
    </row>
    <row r="49" spans="1:10" s="1783" customFormat="1" ht="15.6">
      <c r="A49" s="81" t="s">
        <v>463</v>
      </c>
      <c r="B49" s="1929" t="s">
        <v>906</v>
      </c>
      <c r="C49" s="371" t="s">
        <v>781</v>
      </c>
      <c r="D49" s="801"/>
      <c r="E49" s="209"/>
      <c r="F49" s="209"/>
      <c r="G49" s="209"/>
      <c r="H49" s="209"/>
      <c r="I49" s="210"/>
      <c r="J49" s="4488"/>
    </row>
    <row r="50" spans="1:10" s="1783" customFormat="1" ht="15.6">
      <c r="A50" s="81" t="s">
        <v>465</v>
      </c>
      <c r="B50" s="750" t="s">
        <v>907</v>
      </c>
      <c r="C50" s="371" t="s">
        <v>781</v>
      </c>
      <c r="D50" s="801"/>
      <c r="E50" s="209"/>
      <c r="F50" s="209"/>
      <c r="G50" s="209"/>
      <c r="H50" s="209"/>
      <c r="I50" s="210"/>
      <c r="J50" s="4488"/>
    </row>
    <row r="51" spans="1:10" s="1783" customFormat="1" ht="15.6">
      <c r="A51" s="81" t="s">
        <v>466</v>
      </c>
      <c r="B51" s="750" t="s">
        <v>908</v>
      </c>
      <c r="C51" s="371" t="s">
        <v>781</v>
      </c>
      <c r="D51" s="801"/>
      <c r="E51" s="209"/>
      <c r="F51" s="209"/>
      <c r="G51" s="209"/>
      <c r="H51" s="209"/>
      <c r="I51" s="210"/>
      <c r="J51" s="4488"/>
    </row>
    <row r="52" spans="1:10" s="1783" customFormat="1" ht="27" thickBot="1">
      <c r="A52" s="751" t="s">
        <v>468</v>
      </c>
      <c r="B52" s="3808" t="s">
        <v>909</v>
      </c>
      <c r="C52" s="752" t="s">
        <v>781</v>
      </c>
      <c r="D52" s="802"/>
      <c r="E52" s="209"/>
      <c r="F52" s="209"/>
      <c r="G52" s="209"/>
      <c r="H52" s="209"/>
      <c r="I52" s="210"/>
      <c r="J52" s="4488"/>
    </row>
    <row r="53" spans="1:10" s="1935" customFormat="1" ht="15.6">
      <c r="A53" s="5024" t="s">
        <v>206</v>
      </c>
      <c r="B53" s="5026" t="s">
        <v>572</v>
      </c>
      <c r="C53" s="374" t="s">
        <v>781</v>
      </c>
      <c r="D53" s="1949"/>
      <c r="E53" s="1950"/>
      <c r="F53" s="1950"/>
      <c r="G53" s="1950"/>
      <c r="H53" s="1950"/>
      <c r="I53" s="1951"/>
      <c r="J53" s="4488"/>
    </row>
    <row r="54" spans="1:10" s="1935" customFormat="1" thickBot="1">
      <c r="A54" s="5025"/>
      <c r="B54" s="5027"/>
      <c r="C54" s="371" t="s">
        <v>170</v>
      </c>
      <c r="D54" s="805">
        <f>IFERROR(D53/D48,0)</f>
        <v>0</v>
      </c>
      <c r="E54" s="228">
        <f t="shared" ref="E54:I54" si="21">IFERROR(E53/E48,0)</f>
        <v>0</v>
      </c>
      <c r="F54" s="228">
        <f t="shared" si="21"/>
        <v>0</v>
      </c>
      <c r="G54" s="228">
        <f t="shared" si="21"/>
        <v>0</v>
      </c>
      <c r="H54" s="228">
        <f t="shared" si="21"/>
        <v>0</v>
      </c>
      <c r="I54" s="229">
        <f t="shared" si="21"/>
        <v>0</v>
      </c>
      <c r="J54" s="4488"/>
    </row>
    <row r="55" spans="1:10" s="1935" customFormat="1" ht="15.6">
      <c r="A55" s="5160" t="s">
        <v>97</v>
      </c>
      <c r="B55" s="5161" t="s">
        <v>688</v>
      </c>
      <c r="C55" s="568" t="s">
        <v>781</v>
      </c>
      <c r="D55" s="1952"/>
      <c r="E55" s="1953"/>
      <c r="F55" s="1953"/>
      <c r="G55" s="1953"/>
      <c r="H55" s="1953"/>
      <c r="I55" s="1954"/>
      <c r="J55" s="4488"/>
    </row>
    <row r="56" spans="1:10" s="1935" customFormat="1" thickBot="1">
      <c r="A56" s="5073"/>
      <c r="B56" s="5074"/>
      <c r="C56" s="548" t="s">
        <v>170</v>
      </c>
      <c r="D56" s="928">
        <f t="shared" ref="D56:I56" si="22">IFERROR(D55/D48,0)</f>
        <v>0</v>
      </c>
      <c r="E56" s="929">
        <f t="shared" si="22"/>
        <v>0</v>
      </c>
      <c r="F56" s="929">
        <f t="shared" si="22"/>
        <v>0</v>
      </c>
      <c r="G56" s="929">
        <f t="shared" si="22"/>
        <v>0</v>
      </c>
      <c r="H56" s="929">
        <f t="shared" si="22"/>
        <v>0</v>
      </c>
      <c r="I56" s="930">
        <f t="shared" si="22"/>
        <v>0</v>
      </c>
      <c r="J56" s="4488"/>
    </row>
    <row r="57" spans="1:10" s="1935" customFormat="1" ht="15.6">
      <c r="A57" s="5046" t="s">
        <v>219</v>
      </c>
      <c r="B57" s="5075" t="s">
        <v>689</v>
      </c>
      <c r="C57" s="524" t="s">
        <v>781</v>
      </c>
      <c r="D57" s="534">
        <f>D59+D61</f>
        <v>0</v>
      </c>
      <c r="E57" s="535">
        <f t="shared" ref="E57:I57" si="23">E59+E61</f>
        <v>0</v>
      </c>
      <c r="F57" s="535">
        <f t="shared" si="23"/>
        <v>0</v>
      </c>
      <c r="G57" s="535">
        <f t="shared" si="23"/>
        <v>0</v>
      </c>
      <c r="H57" s="535">
        <f t="shared" si="23"/>
        <v>0</v>
      </c>
      <c r="I57" s="536">
        <f t="shared" si="23"/>
        <v>0</v>
      </c>
      <c r="J57" s="4488"/>
    </row>
    <row r="58" spans="1:10" s="1935" customFormat="1" thickBot="1">
      <c r="A58" s="5068"/>
      <c r="B58" s="5076"/>
      <c r="C58" s="572" t="s">
        <v>170</v>
      </c>
      <c r="D58" s="925">
        <f t="shared" ref="D58:I58" si="24">IFERROR(D57/D48,0)</f>
        <v>0</v>
      </c>
      <c r="E58" s="764">
        <f t="shared" si="24"/>
        <v>0</v>
      </c>
      <c r="F58" s="764">
        <f t="shared" si="24"/>
        <v>0</v>
      </c>
      <c r="G58" s="764">
        <f t="shared" si="24"/>
        <v>0</v>
      </c>
      <c r="H58" s="764">
        <f t="shared" si="24"/>
        <v>0</v>
      </c>
      <c r="I58" s="926">
        <f t="shared" si="24"/>
        <v>0</v>
      </c>
      <c r="J58" s="4488"/>
    </row>
    <row r="59" spans="1:10" s="1935" customFormat="1" ht="15.6">
      <c r="A59" s="5077" t="s">
        <v>263</v>
      </c>
      <c r="B59" s="5162" t="s">
        <v>580</v>
      </c>
      <c r="C59" s="568" t="s">
        <v>781</v>
      </c>
      <c r="D59" s="1952"/>
      <c r="E59" s="1953"/>
      <c r="F59" s="1953"/>
      <c r="G59" s="1953"/>
      <c r="H59" s="1953"/>
      <c r="I59" s="1954"/>
      <c r="J59" s="4488"/>
    </row>
    <row r="60" spans="1:10" s="1935" customFormat="1" ht="13.2">
      <c r="A60" s="5050"/>
      <c r="B60" s="5064"/>
      <c r="C60" s="927" t="s">
        <v>170</v>
      </c>
      <c r="D60" s="561">
        <f t="shared" ref="D60:I60" si="25">IFERROR(D59/D48,0)</f>
        <v>0</v>
      </c>
      <c r="E60" s="562">
        <f t="shared" si="25"/>
        <v>0</v>
      </c>
      <c r="F60" s="562">
        <f t="shared" si="25"/>
        <v>0</v>
      </c>
      <c r="G60" s="562">
        <f t="shared" si="25"/>
        <v>0</v>
      </c>
      <c r="H60" s="562">
        <f t="shared" si="25"/>
        <v>0</v>
      </c>
      <c r="I60" s="563">
        <f t="shared" si="25"/>
        <v>0</v>
      </c>
      <c r="J60" s="4488"/>
    </row>
    <row r="61" spans="1:10" s="1935" customFormat="1" ht="15.6">
      <c r="A61" s="5062" t="s">
        <v>264</v>
      </c>
      <c r="B61" s="5065" t="s">
        <v>585</v>
      </c>
      <c r="C61" s="529" t="s">
        <v>781</v>
      </c>
      <c r="D61" s="1955"/>
      <c r="E61" s="1956"/>
      <c r="F61" s="1956"/>
      <c r="G61" s="1956"/>
      <c r="H61" s="1956"/>
      <c r="I61" s="1957"/>
      <c r="J61" s="4488"/>
    </row>
    <row r="62" spans="1:10" s="1935" customFormat="1" thickBot="1">
      <c r="A62" s="5163"/>
      <c r="B62" s="5164"/>
      <c r="C62" s="548" t="s">
        <v>170</v>
      </c>
      <c r="D62" s="931">
        <f t="shared" ref="D62:I62" si="26">IFERROR(D61/D48,0)</f>
        <v>0</v>
      </c>
      <c r="E62" s="932">
        <f t="shared" si="26"/>
        <v>0</v>
      </c>
      <c r="F62" s="932">
        <f t="shared" si="26"/>
        <v>0</v>
      </c>
      <c r="G62" s="932">
        <f t="shared" si="26"/>
        <v>0</v>
      </c>
      <c r="H62" s="932">
        <f t="shared" si="26"/>
        <v>0</v>
      </c>
      <c r="I62" s="933">
        <f t="shared" si="26"/>
        <v>0</v>
      </c>
      <c r="J62" s="4488"/>
    </row>
    <row r="63" spans="1:10" s="1935" customFormat="1" ht="15.6">
      <c r="A63" s="5147" t="s">
        <v>221</v>
      </c>
      <c r="B63" s="5150" t="s">
        <v>594</v>
      </c>
      <c r="C63" s="369" t="s">
        <v>781</v>
      </c>
      <c r="D63" s="806">
        <f>D57+D55</f>
        <v>0</v>
      </c>
      <c r="E63" s="231">
        <f t="shared" ref="E63:I63" si="27">E57+E55</f>
        <v>0</v>
      </c>
      <c r="F63" s="231">
        <f t="shared" si="27"/>
        <v>0</v>
      </c>
      <c r="G63" s="231">
        <f t="shared" si="27"/>
        <v>0</v>
      </c>
      <c r="H63" s="231">
        <f t="shared" si="27"/>
        <v>0</v>
      </c>
      <c r="I63" s="232">
        <f t="shared" si="27"/>
        <v>0</v>
      </c>
      <c r="J63" s="4488"/>
    </row>
    <row r="64" spans="1:10" s="1935" customFormat="1" ht="13.2">
      <c r="A64" s="5148"/>
      <c r="B64" s="5151"/>
      <c r="C64" s="376" t="s">
        <v>170</v>
      </c>
      <c r="D64" s="3809">
        <f t="shared" ref="D64:I64" si="28">IFERROR(D63/D48,0)</f>
        <v>0</v>
      </c>
      <c r="E64" s="3810">
        <f t="shared" si="28"/>
        <v>0</v>
      </c>
      <c r="F64" s="3810">
        <f t="shared" si="28"/>
        <v>0</v>
      </c>
      <c r="G64" s="3810">
        <f t="shared" si="28"/>
        <v>0</v>
      </c>
      <c r="H64" s="3810">
        <f t="shared" si="28"/>
        <v>0</v>
      </c>
      <c r="I64" s="3811">
        <f t="shared" si="28"/>
        <v>0</v>
      </c>
      <c r="J64" s="4488"/>
    </row>
    <row r="65" spans="1:17" s="1935" customFormat="1" thickBot="1">
      <c r="A65" s="5149"/>
      <c r="B65" s="5152"/>
      <c r="C65" s="377" t="s">
        <v>725</v>
      </c>
      <c r="D65" s="807">
        <f t="shared" ref="D65:I65" si="29">D48-D53-D63</f>
        <v>0</v>
      </c>
      <c r="E65" s="808">
        <f t="shared" si="29"/>
        <v>0</v>
      </c>
      <c r="F65" s="808">
        <f t="shared" si="29"/>
        <v>0</v>
      </c>
      <c r="G65" s="808">
        <f t="shared" si="29"/>
        <v>0</v>
      </c>
      <c r="H65" s="808">
        <f t="shared" si="29"/>
        <v>0</v>
      </c>
      <c r="I65" s="809">
        <f t="shared" si="29"/>
        <v>0</v>
      </c>
      <c r="J65" s="4488"/>
    </row>
    <row r="66" spans="1:17" s="3807" customFormat="1" thickBot="1">
      <c r="A66" s="176" t="s">
        <v>1152</v>
      </c>
      <c r="B66" s="5139" t="s">
        <v>1153</v>
      </c>
      <c r="C66" s="5140"/>
      <c r="D66" s="5140"/>
      <c r="E66" s="5140"/>
      <c r="F66" s="5140"/>
      <c r="G66" s="5140"/>
      <c r="H66" s="5140"/>
      <c r="I66" s="5141"/>
      <c r="J66" s="4488"/>
    </row>
    <row r="67" spans="1:17" s="3807" customFormat="1" thickBot="1">
      <c r="A67" s="1933" t="s">
        <v>205</v>
      </c>
      <c r="B67" s="3812" t="s">
        <v>1960</v>
      </c>
      <c r="C67" s="3813"/>
      <c r="D67" s="3813"/>
      <c r="E67" s="3813"/>
      <c r="F67" s="3813"/>
      <c r="G67" s="3813"/>
      <c r="H67" s="3813"/>
      <c r="I67" s="3814"/>
      <c r="J67" s="4488"/>
    </row>
    <row r="68" spans="1:17" s="3807" customFormat="1" ht="15.6">
      <c r="A68" s="5142" t="s">
        <v>463</v>
      </c>
      <c r="B68" s="5145" t="s">
        <v>1155</v>
      </c>
      <c r="C68" s="584" t="s">
        <v>781</v>
      </c>
      <c r="D68" s="585">
        <v>100511</v>
      </c>
      <c r="E68" s="586">
        <v>180000</v>
      </c>
      <c r="F68" s="586">
        <v>180000</v>
      </c>
      <c r="G68" s="586">
        <v>180000</v>
      </c>
      <c r="H68" s="586">
        <v>180000</v>
      </c>
      <c r="I68" s="587">
        <v>180000</v>
      </c>
      <c r="J68" s="4488"/>
    </row>
    <row r="69" spans="1:17" s="3807" customFormat="1" ht="15.6">
      <c r="A69" s="5143"/>
      <c r="B69" s="5146"/>
      <c r="C69" s="584" t="s">
        <v>1156</v>
      </c>
      <c r="D69" s="4605">
        <v>0.43799992040672198</v>
      </c>
      <c r="E69" s="4608">
        <v>0.50900000000000001</v>
      </c>
      <c r="F69" s="4608">
        <v>0.50900000000000001</v>
      </c>
      <c r="G69" s="4608">
        <v>0.50900000000000001</v>
      </c>
      <c r="H69" s="4608">
        <v>0.50900000000000001</v>
      </c>
      <c r="I69" s="4609">
        <v>0.50900000000000001</v>
      </c>
      <c r="J69" s="4488"/>
      <c r="K69" s="4495" t="s">
        <v>1896</v>
      </c>
      <c r="L69" s="4496">
        <f>IFERROR(D69/$C$1,0)</f>
        <v>0.22394580326854685</v>
      </c>
      <c r="M69" s="4496">
        <f t="shared" ref="M69:Q70" si="30">IFERROR(E69/$C$1,0)</f>
        <v>0.26024756752887523</v>
      </c>
      <c r="N69" s="4496">
        <f t="shared" si="30"/>
        <v>0.26024756752887523</v>
      </c>
      <c r="O69" s="4496">
        <f t="shared" si="30"/>
        <v>0.26024756752887523</v>
      </c>
      <c r="P69" s="4496">
        <f t="shared" si="30"/>
        <v>0.26024756752887523</v>
      </c>
      <c r="Q69" s="4496">
        <f t="shared" si="30"/>
        <v>0.26024756752887523</v>
      </c>
    </row>
    <row r="70" spans="1:17" s="3807" customFormat="1" ht="13.2">
      <c r="A70" s="5144"/>
      <c r="B70" s="588" t="s">
        <v>1157</v>
      </c>
      <c r="C70" s="584" t="s">
        <v>1158</v>
      </c>
      <c r="D70" s="988">
        <f>D68*D69/1000</f>
        <v>44.023810000000033</v>
      </c>
      <c r="E70" s="988">
        <f t="shared" ref="E70:I70" si="31">E68*E69/1000</f>
        <v>91.62</v>
      </c>
      <c r="F70" s="988">
        <f t="shared" si="31"/>
        <v>91.62</v>
      </c>
      <c r="G70" s="988">
        <f t="shared" si="31"/>
        <v>91.62</v>
      </c>
      <c r="H70" s="988">
        <f t="shared" si="31"/>
        <v>91.62</v>
      </c>
      <c r="I70" s="989">
        <f t="shared" si="31"/>
        <v>91.62</v>
      </c>
      <c r="J70" s="4488"/>
      <c r="K70" s="4495" t="s">
        <v>1874</v>
      </c>
      <c r="L70" s="4497">
        <f>IFERROR(D70/$C$1,0)</f>
        <v>22.509016632324911</v>
      </c>
      <c r="M70" s="4497">
        <f t="shared" si="30"/>
        <v>46.844562155197544</v>
      </c>
      <c r="N70" s="4497">
        <f t="shared" si="30"/>
        <v>46.844562155197544</v>
      </c>
      <c r="O70" s="4497">
        <f t="shared" si="30"/>
        <v>46.844562155197544</v>
      </c>
      <c r="P70" s="4497">
        <f t="shared" si="30"/>
        <v>46.844562155197544</v>
      </c>
      <c r="Q70" s="4497">
        <f t="shared" si="30"/>
        <v>46.844562155197544</v>
      </c>
    </row>
    <row r="71" spans="1:17" s="3807" customFormat="1" ht="15.6">
      <c r="A71" s="5142" t="s">
        <v>465</v>
      </c>
      <c r="B71" s="5145" t="s">
        <v>1159</v>
      </c>
      <c r="C71" s="584" t="s">
        <v>1160</v>
      </c>
      <c r="D71" s="589"/>
      <c r="E71" s="586"/>
      <c r="F71" s="590"/>
      <c r="G71" s="590"/>
      <c r="H71" s="586"/>
      <c r="I71" s="591"/>
      <c r="J71" s="4488"/>
    </row>
    <row r="72" spans="1:17" s="3807" customFormat="1" ht="15.6">
      <c r="A72" s="5143"/>
      <c r="B72" s="5146"/>
      <c r="C72" s="584" t="s">
        <v>1156</v>
      </c>
      <c r="D72" s="592"/>
      <c r="E72" s="586"/>
      <c r="F72" s="593"/>
      <c r="G72" s="586"/>
      <c r="H72" s="590"/>
      <c r="I72" s="594"/>
      <c r="J72" s="4488"/>
      <c r="K72" s="4495" t="s">
        <v>1896</v>
      </c>
      <c r="L72" s="4496">
        <f>IFERROR(D72/$C$1,0)</f>
        <v>0</v>
      </c>
      <c r="M72" s="4496">
        <f t="shared" ref="M72:M73" si="32">IFERROR(E72/$C$1,0)</f>
        <v>0</v>
      </c>
      <c r="N72" s="4496">
        <f t="shared" ref="N72:N73" si="33">IFERROR(F72/$C$1,0)</f>
        <v>0</v>
      </c>
      <c r="O72" s="4496">
        <f t="shared" ref="O72:O73" si="34">IFERROR(G72/$C$1,0)</f>
        <v>0</v>
      </c>
      <c r="P72" s="4496">
        <f t="shared" ref="P72:P73" si="35">IFERROR(H72/$C$1,0)</f>
        <v>0</v>
      </c>
      <c r="Q72" s="4496">
        <f t="shared" ref="Q72:Q73" si="36">IFERROR(I72/$C$1,0)</f>
        <v>0</v>
      </c>
    </row>
    <row r="73" spans="1:17" s="3807" customFormat="1" thickBot="1">
      <c r="A73" s="5153"/>
      <c r="B73" s="588" t="s">
        <v>1161</v>
      </c>
      <c r="C73" s="768" t="s">
        <v>1158</v>
      </c>
      <c r="D73" s="990">
        <f>D71*D72/1000</f>
        <v>0</v>
      </c>
      <c r="E73" s="991">
        <f t="shared" ref="E73:I73" si="37">E71*E72/1000</f>
        <v>0</v>
      </c>
      <c r="F73" s="992">
        <f t="shared" si="37"/>
        <v>0</v>
      </c>
      <c r="G73" s="992">
        <f t="shared" si="37"/>
        <v>0</v>
      </c>
      <c r="H73" s="992">
        <f t="shared" si="37"/>
        <v>0</v>
      </c>
      <c r="I73" s="993">
        <f t="shared" si="37"/>
        <v>0</v>
      </c>
      <c r="J73" s="4488"/>
      <c r="K73" s="4495" t="s">
        <v>1874</v>
      </c>
      <c r="L73" s="4497">
        <f>IFERROR(D73/$C$1,0)</f>
        <v>0</v>
      </c>
      <c r="M73" s="4497">
        <f t="shared" si="32"/>
        <v>0</v>
      </c>
      <c r="N73" s="4497">
        <f t="shared" si="33"/>
        <v>0</v>
      </c>
      <c r="O73" s="4497">
        <f t="shared" si="34"/>
        <v>0</v>
      </c>
      <c r="P73" s="4497">
        <f t="shared" si="35"/>
        <v>0</v>
      </c>
      <c r="Q73" s="4497">
        <f t="shared" si="36"/>
        <v>0</v>
      </c>
    </row>
    <row r="74" spans="1:17" s="3807" customFormat="1" thickBot="1">
      <c r="A74" s="1933" t="s">
        <v>206</v>
      </c>
      <c r="B74" s="3812" t="s">
        <v>1961</v>
      </c>
      <c r="C74" s="3813"/>
      <c r="D74" s="3813"/>
      <c r="E74" s="3813"/>
      <c r="F74" s="3813"/>
      <c r="G74" s="3813"/>
      <c r="H74" s="3813"/>
      <c r="I74" s="3814"/>
      <c r="J74" s="4488"/>
    </row>
    <row r="75" spans="1:17" s="3807" customFormat="1" ht="15.6">
      <c r="A75" s="5142" t="s">
        <v>477</v>
      </c>
      <c r="B75" s="5145" t="s">
        <v>1155</v>
      </c>
      <c r="C75" s="584" t="s">
        <v>781</v>
      </c>
      <c r="D75" s="585"/>
      <c r="E75" s="586"/>
      <c r="F75" s="586"/>
      <c r="G75" s="586"/>
      <c r="H75" s="586"/>
      <c r="I75" s="587"/>
      <c r="J75" s="4488"/>
    </row>
    <row r="76" spans="1:17" s="3807" customFormat="1" ht="15.6">
      <c r="A76" s="5143"/>
      <c r="B76" s="5146"/>
      <c r="C76" s="584" t="s">
        <v>1156</v>
      </c>
      <c r="D76" s="4605"/>
      <c r="E76" s="4608"/>
      <c r="F76" s="4608"/>
      <c r="G76" s="4608"/>
      <c r="H76" s="4608"/>
      <c r="I76" s="4609"/>
      <c r="J76" s="4488"/>
      <c r="K76" s="4495" t="s">
        <v>1896</v>
      </c>
      <c r="L76" s="4496">
        <f>IFERROR(D76/$C$1,0)</f>
        <v>0</v>
      </c>
      <c r="M76" s="4496">
        <f t="shared" ref="M76:M77" si="38">IFERROR(E76/$C$1,0)</f>
        <v>0</v>
      </c>
      <c r="N76" s="4496">
        <f t="shared" ref="N76:N77" si="39">IFERROR(F76/$C$1,0)</f>
        <v>0</v>
      </c>
      <c r="O76" s="4496">
        <f t="shared" ref="O76:O77" si="40">IFERROR(G76/$C$1,0)</f>
        <v>0</v>
      </c>
      <c r="P76" s="4496">
        <f t="shared" ref="P76:P77" si="41">IFERROR(H76/$C$1,0)</f>
        <v>0</v>
      </c>
      <c r="Q76" s="4496">
        <f t="shared" ref="Q76:Q77" si="42">IFERROR(I76/$C$1,0)</f>
        <v>0</v>
      </c>
    </row>
    <row r="77" spans="1:17" s="3807" customFormat="1" ht="13.2">
      <c r="A77" s="5144"/>
      <c r="B77" s="588" t="s">
        <v>1157</v>
      </c>
      <c r="C77" s="584" t="s">
        <v>1158</v>
      </c>
      <c r="D77" s="988">
        <f>D75*D76/1000</f>
        <v>0</v>
      </c>
      <c r="E77" s="988">
        <f t="shared" ref="E77:I77" si="43">E75*E76/1000</f>
        <v>0</v>
      </c>
      <c r="F77" s="988">
        <f t="shared" si="43"/>
        <v>0</v>
      </c>
      <c r="G77" s="988">
        <f t="shared" si="43"/>
        <v>0</v>
      </c>
      <c r="H77" s="988">
        <f t="shared" si="43"/>
        <v>0</v>
      </c>
      <c r="I77" s="989">
        <f t="shared" si="43"/>
        <v>0</v>
      </c>
      <c r="J77" s="4488"/>
      <c r="K77" s="4495" t="s">
        <v>1874</v>
      </c>
      <c r="L77" s="4497">
        <f>IFERROR(D77/$C$1,0)</f>
        <v>0</v>
      </c>
      <c r="M77" s="4497">
        <f t="shared" si="38"/>
        <v>0</v>
      </c>
      <c r="N77" s="4497">
        <f t="shared" si="39"/>
        <v>0</v>
      </c>
      <c r="O77" s="4497">
        <f t="shared" si="40"/>
        <v>0</v>
      </c>
      <c r="P77" s="4497">
        <f t="shared" si="41"/>
        <v>0</v>
      </c>
      <c r="Q77" s="4497">
        <f t="shared" si="42"/>
        <v>0</v>
      </c>
    </row>
    <row r="78" spans="1:17" s="3807" customFormat="1" ht="15.6">
      <c r="A78" s="5142" t="s">
        <v>479</v>
      </c>
      <c r="B78" s="5145" t="s">
        <v>1159</v>
      </c>
      <c r="C78" s="584" t="s">
        <v>1160</v>
      </c>
      <c r="D78" s="585">
        <v>14273</v>
      </c>
      <c r="E78" s="586">
        <v>15000</v>
      </c>
      <c r="F78" s="586">
        <v>15000</v>
      </c>
      <c r="G78" s="586">
        <v>15000</v>
      </c>
      <c r="H78" s="586">
        <v>15000</v>
      </c>
      <c r="I78" s="587">
        <v>15000</v>
      </c>
      <c r="J78" s="4488"/>
    </row>
    <row r="79" spans="1:17" s="3807" customFormat="1" ht="15.6">
      <c r="A79" s="5143"/>
      <c r="B79" s="5146"/>
      <c r="C79" s="584" t="s">
        <v>1156</v>
      </c>
      <c r="D79" s="4605">
        <v>1.0043964128073986</v>
      </c>
      <c r="E79" s="4608">
        <v>1.242</v>
      </c>
      <c r="F79" s="4608">
        <v>1.242</v>
      </c>
      <c r="G79" s="4608">
        <v>1.242</v>
      </c>
      <c r="H79" s="4608">
        <v>1.242</v>
      </c>
      <c r="I79" s="4609">
        <v>1.242</v>
      </c>
      <c r="J79" s="4488"/>
      <c r="K79" s="4495" t="s">
        <v>1896</v>
      </c>
      <c r="L79" s="4496">
        <f>IFERROR(D79/$C$1,0)</f>
        <v>0.51353973137102849</v>
      </c>
      <c r="M79" s="4496">
        <f t="shared" ref="M79:M80" si="44">IFERROR(E79/$C$1,0)</f>
        <v>0.63502451644570335</v>
      </c>
      <c r="N79" s="4496">
        <f t="shared" ref="N79:N80" si="45">IFERROR(F79/$C$1,0)</f>
        <v>0.63502451644570335</v>
      </c>
      <c r="O79" s="4496">
        <f t="shared" ref="O79:O80" si="46">IFERROR(G79/$C$1,0)</f>
        <v>0.63502451644570335</v>
      </c>
      <c r="P79" s="4496">
        <f t="shared" ref="P79:P80" si="47">IFERROR(H79/$C$1,0)</f>
        <v>0.63502451644570335</v>
      </c>
      <c r="Q79" s="4496">
        <f t="shared" ref="Q79:Q80" si="48">IFERROR(I79/$C$1,0)</f>
        <v>0.63502451644570335</v>
      </c>
    </row>
    <row r="80" spans="1:17" s="3807" customFormat="1" thickBot="1">
      <c r="A80" s="5153"/>
      <c r="B80" s="588" t="s">
        <v>1161</v>
      </c>
      <c r="C80" s="769" t="s">
        <v>1158</v>
      </c>
      <c r="D80" s="990">
        <f>D78*D79/1000</f>
        <v>14.335750000000001</v>
      </c>
      <c r="E80" s="992">
        <f t="shared" ref="E80:I80" si="49">E78*E79/1000</f>
        <v>18.63</v>
      </c>
      <c r="F80" s="992">
        <f t="shared" si="49"/>
        <v>18.63</v>
      </c>
      <c r="G80" s="991">
        <f t="shared" si="49"/>
        <v>18.63</v>
      </c>
      <c r="H80" s="992">
        <f t="shared" si="49"/>
        <v>18.63</v>
      </c>
      <c r="I80" s="993">
        <f t="shared" si="49"/>
        <v>18.63</v>
      </c>
      <c r="J80" s="4488"/>
      <c r="K80" s="4495" t="s">
        <v>1874</v>
      </c>
      <c r="L80" s="4497">
        <f>IFERROR(D80/$C$1,0)</f>
        <v>7.3297525858586896</v>
      </c>
      <c r="M80" s="4497">
        <f t="shared" si="44"/>
        <v>9.52536774668555</v>
      </c>
      <c r="N80" s="4497">
        <f t="shared" si="45"/>
        <v>9.52536774668555</v>
      </c>
      <c r="O80" s="4497">
        <f t="shared" si="46"/>
        <v>9.52536774668555</v>
      </c>
      <c r="P80" s="4497">
        <f t="shared" si="47"/>
        <v>9.52536774668555</v>
      </c>
      <c r="Q80" s="4497">
        <f t="shared" si="48"/>
        <v>9.52536774668555</v>
      </c>
    </row>
    <row r="81" spans="1:17" s="3807" customFormat="1" thickBot="1">
      <c r="A81" s="1933" t="s">
        <v>219</v>
      </c>
      <c r="B81" s="3812" t="s">
        <v>1154</v>
      </c>
      <c r="C81" s="3813"/>
      <c r="D81" s="3813"/>
      <c r="E81" s="3813"/>
      <c r="F81" s="3813"/>
      <c r="G81" s="3813"/>
      <c r="H81" s="3813"/>
      <c r="I81" s="3814"/>
      <c r="J81" s="4488"/>
    </row>
    <row r="82" spans="1:17" s="3807" customFormat="1" ht="15.6">
      <c r="A82" s="5142" t="s">
        <v>263</v>
      </c>
      <c r="B82" s="5145" t="s">
        <v>1155</v>
      </c>
      <c r="C82" s="584" t="s">
        <v>781</v>
      </c>
      <c r="D82" s="585"/>
      <c r="E82" s="586"/>
      <c r="F82" s="586"/>
      <c r="G82" s="586"/>
      <c r="H82" s="586"/>
      <c r="I82" s="587"/>
      <c r="J82" s="4488"/>
    </row>
    <row r="83" spans="1:17" s="3807" customFormat="1" ht="15.6">
      <c r="A83" s="5143"/>
      <c r="B83" s="5146"/>
      <c r="C83" s="584" t="s">
        <v>1156</v>
      </c>
      <c r="D83" s="585"/>
      <c r="E83" s="586"/>
      <c r="F83" s="586"/>
      <c r="G83" s="586"/>
      <c r="H83" s="586"/>
      <c r="I83" s="587"/>
      <c r="J83" s="4488"/>
      <c r="K83" s="4495" t="s">
        <v>1896</v>
      </c>
      <c r="L83" s="4496">
        <f>IFERROR(D83/$C$1,0)</f>
        <v>0</v>
      </c>
      <c r="M83" s="4496">
        <f t="shared" ref="M83:M84" si="50">IFERROR(E83/$C$1,0)</f>
        <v>0</v>
      </c>
      <c r="N83" s="4496">
        <f t="shared" ref="N83:N84" si="51">IFERROR(F83/$C$1,0)</f>
        <v>0</v>
      </c>
      <c r="O83" s="4496">
        <f t="shared" ref="O83:O84" si="52">IFERROR(G83/$C$1,0)</f>
        <v>0</v>
      </c>
      <c r="P83" s="4496">
        <f t="shared" ref="P83:P84" si="53">IFERROR(H83/$C$1,0)</f>
        <v>0</v>
      </c>
      <c r="Q83" s="4496">
        <f t="shared" ref="Q83:Q84" si="54">IFERROR(I83/$C$1,0)</f>
        <v>0</v>
      </c>
    </row>
    <row r="84" spans="1:17" s="3807" customFormat="1" ht="13.2">
      <c r="A84" s="5144"/>
      <c r="B84" s="588" t="s">
        <v>1157</v>
      </c>
      <c r="C84" s="584" t="s">
        <v>1158</v>
      </c>
      <c r="D84" s="988">
        <f>D82*D83/1000</f>
        <v>0</v>
      </c>
      <c r="E84" s="988">
        <f t="shared" ref="E84:I84" si="55">E82*E83/1000</f>
        <v>0</v>
      </c>
      <c r="F84" s="988">
        <f t="shared" si="55"/>
        <v>0</v>
      </c>
      <c r="G84" s="988">
        <f t="shared" si="55"/>
        <v>0</v>
      </c>
      <c r="H84" s="988">
        <f t="shared" si="55"/>
        <v>0</v>
      </c>
      <c r="I84" s="989">
        <f t="shared" si="55"/>
        <v>0</v>
      </c>
      <c r="J84" s="4488"/>
      <c r="K84" s="4495" t="s">
        <v>1874</v>
      </c>
      <c r="L84" s="4497">
        <f>IFERROR(D84/$C$1,0)</f>
        <v>0</v>
      </c>
      <c r="M84" s="4497">
        <f t="shared" si="50"/>
        <v>0</v>
      </c>
      <c r="N84" s="4497">
        <f t="shared" si="51"/>
        <v>0</v>
      </c>
      <c r="O84" s="4497">
        <f t="shared" si="52"/>
        <v>0</v>
      </c>
      <c r="P84" s="4497">
        <f t="shared" si="53"/>
        <v>0</v>
      </c>
      <c r="Q84" s="4497">
        <f t="shared" si="54"/>
        <v>0</v>
      </c>
    </row>
    <row r="85" spans="1:17" s="3807" customFormat="1" ht="15.6">
      <c r="A85" s="5142" t="s">
        <v>264</v>
      </c>
      <c r="B85" s="5145" t="s">
        <v>1159</v>
      </c>
      <c r="C85" s="584" t="s">
        <v>1160</v>
      </c>
      <c r="D85" s="589"/>
      <c r="E85" s="586"/>
      <c r="F85" s="590"/>
      <c r="G85" s="590"/>
      <c r="H85" s="586"/>
      <c r="I85" s="591"/>
      <c r="J85" s="4488"/>
    </row>
    <row r="86" spans="1:17" s="3807" customFormat="1" ht="15.6">
      <c r="A86" s="5143"/>
      <c r="B86" s="5146"/>
      <c r="C86" s="584" t="s">
        <v>1156</v>
      </c>
      <c r="D86" s="592"/>
      <c r="E86" s="586"/>
      <c r="F86" s="593"/>
      <c r="G86" s="586"/>
      <c r="H86" s="590"/>
      <c r="I86" s="594"/>
      <c r="J86" s="4488"/>
      <c r="K86" s="4495" t="s">
        <v>1896</v>
      </c>
      <c r="L86" s="4496">
        <f>IFERROR(D86/$C$1,0)</f>
        <v>0</v>
      </c>
      <c r="M86" s="4496">
        <f t="shared" ref="M86:M87" si="56">IFERROR(E86/$C$1,0)</f>
        <v>0</v>
      </c>
      <c r="N86" s="4496">
        <f t="shared" ref="N86:N87" si="57">IFERROR(F86/$C$1,0)</f>
        <v>0</v>
      </c>
      <c r="O86" s="4496">
        <f t="shared" ref="O86:O87" si="58">IFERROR(G86/$C$1,0)</f>
        <v>0</v>
      </c>
      <c r="P86" s="4496">
        <f t="shared" ref="P86:P87" si="59">IFERROR(H86/$C$1,0)</f>
        <v>0</v>
      </c>
      <c r="Q86" s="4496">
        <f t="shared" ref="Q86:Q87" si="60">IFERROR(I86/$C$1,0)</f>
        <v>0</v>
      </c>
    </row>
    <row r="87" spans="1:17" s="3807" customFormat="1" thickBot="1">
      <c r="A87" s="5153"/>
      <c r="B87" s="588" t="s">
        <v>1161</v>
      </c>
      <c r="C87" s="584" t="s">
        <v>1158</v>
      </c>
      <c r="D87" s="990">
        <f>D85*D86/1000</f>
        <v>0</v>
      </c>
      <c r="E87" s="994">
        <f t="shared" ref="E87:I87" si="61">E85*E86/1000</f>
        <v>0</v>
      </c>
      <c r="F87" s="992">
        <f t="shared" si="61"/>
        <v>0</v>
      </c>
      <c r="G87" s="991">
        <f t="shared" si="61"/>
        <v>0</v>
      </c>
      <c r="H87" s="992">
        <f t="shared" si="61"/>
        <v>0</v>
      </c>
      <c r="I87" s="993">
        <f t="shared" si="61"/>
        <v>0</v>
      </c>
      <c r="J87" s="4488"/>
      <c r="K87" s="4495" t="s">
        <v>1874</v>
      </c>
      <c r="L87" s="4497">
        <f>IFERROR(D87/$C$1,0)</f>
        <v>0</v>
      </c>
      <c r="M87" s="4497">
        <f t="shared" si="56"/>
        <v>0</v>
      </c>
      <c r="N87" s="4497">
        <f t="shared" si="57"/>
        <v>0</v>
      </c>
      <c r="O87" s="4497">
        <f t="shared" si="58"/>
        <v>0</v>
      </c>
      <c r="P87" s="4497">
        <f t="shared" si="59"/>
        <v>0</v>
      </c>
      <c r="Q87" s="4497">
        <f t="shared" si="60"/>
        <v>0</v>
      </c>
    </row>
    <row r="88" spans="1:17" s="3807" customFormat="1" ht="13.2">
      <c r="A88" s="583" t="s">
        <v>221</v>
      </c>
      <c r="B88" s="5154" t="s">
        <v>1154</v>
      </c>
      <c r="C88" s="5155"/>
      <c r="D88" s="5155"/>
      <c r="E88" s="5155"/>
      <c r="F88" s="5155"/>
      <c r="G88" s="5155"/>
      <c r="H88" s="5155"/>
      <c r="I88" s="5156"/>
      <c r="J88" s="4488"/>
    </row>
    <row r="89" spans="1:17" s="3807" customFormat="1" ht="15.6">
      <c r="A89" s="5142" t="s">
        <v>566</v>
      </c>
      <c r="B89" s="5145" t="s">
        <v>1155</v>
      </c>
      <c r="C89" s="584" t="s">
        <v>781</v>
      </c>
      <c r="D89" s="585"/>
      <c r="E89" s="586"/>
      <c r="F89" s="586"/>
      <c r="G89" s="586"/>
      <c r="H89" s="586"/>
      <c r="I89" s="587"/>
      <c r="J89" s="4488"/>
    </row>
    <row r="90" spans="1:17" s="3807" customFormat="1" ht="15.6">
      <c r="A90" s="5143"/>
      <c r="B90" s="5146"/>
      <c r="C90" s="584" t="s">
        <v>1156</v>
      </c>
      <c r="D90" s="585"/>
      <c r="E90" s="586"/>
      <c r="F90" s="586"/>
      <c r="G90" s="586"/>
      <c r="H90" s="586"/>
      <c r="I90" s="587"/>
      <c r="J90" s="4488"/>
      <c r="K90" s="4495" t="s">
        <v>1896</v>
      </c>
      <c r="L90" s="4496">
        <f>IFERROR(D90/$C$1,0)</f>
        <v>0</v>
      </c>
      <c r="M90" s="4496">
        <f t="shared" ref="M90:M91" si="62">IFERROR(E90/$C$1,0)</f>
        <v>0</v>
      </c>
      <c r="N90" s="4496">
        <f t="shared" ref="N90:N91" si="63">IFERROR(F90/$C$1,0)</f>
        <v>0</v>
      </c>
      <c r="O90" s="4496">
        <f t="shared" ref="O90:O91" si="64">IFERROR(G90/$C$1,0)</f>
        <v>0</v>
      </c>
      <c r="P90" s="4496">
        <f t="shared" ref="P90:P91" si="65">IFERROR(H90/$C$1,0)</f>
        <v>0</v>
      </c>
      <c r="Q90" s="4496">
        <f t="shared" ref="Q90:Q91" si="66">IFERROR(I90/$C$1,0)</f>
        <v>0</v>
      </c>
    </row>
    <row r="91" spans="1:17" s="3807" customFormat="1" ht="13.2">
      <c r="A91" s="5144"/>
      <c r="B91" s="588" t="s">
        <v>1157</v>
      </c>
      <c r="C91" s="584" t="s">
        <v>1158</v>
      </c>
      <c r="D91" s="988">
        <f>D89*D90/1000</f>
        <v>0</v>
      </c>
      <c r="E91" s="988">
        <f t="shared" ref="E91:I91" si="67">E89*E90/1000</f>
        <v>0</v>
      </c>
      <c r="F91" s="988">
        <f t="shared" si="67"/>
        <v>0</v>
      </c>
      <c r="G91" s="988">
        <f t="shared" si="67"/>
        <v>0</v>
      </c>
      <c r="H91" s="988">
        <f t="shared" si="67"/>
        <v>0</v>
      </c>
      <c r="I91" s="989">
        <f t="shared" si="67"/>
        <v>0</v>
      </c>
      <c r="J91" s="4488"/>
      <c r="K91" s="4495" t="s">
        <v>1874</v>
      </c>
      <c r="L91" s="4497">
        <f>IFERROR(D91/$C$1,0)</f>
        <v>0</v>
      </c>
      <c r="M91" s="4497">
        <f t="shared" si="62"/>
        <v>0</v>
      </c>
      <c r="N91" s="4497">
        <f t="shared" si="63"/>
        <v>0</v>
      </c>
      <c r="O91" s="4497">
        <f t="shared" si="64"/>
        <v>0</v>
      </c>
      <c r="P91" s="4497">
        <f t="shared" si="65"/>
        <v>0</v>
      </c>
      <c r="Q91" s="4497">
        <f t="shared" si="66"/>
        <v>0</v>
      </c>
    </row>
    <row r="92" spans="1:17" s="3807" customFormat="1" ht="15.6">
      <c r="A92" s="5142" t="s">
        <v>567</v>
      </c>
      <c r="B92" s="5145" t="s">
        <v>1159</v>
      </c>
      <c r="C92" s="584" t="s">
        <v>1160</v>
      </c>
      <c r="D92" s="589"/>
      <c r="E92" s="586"/>
      <c r="F92" s="590"/>
      <c r="G92" s="590"/>
      <c r="H92" s="586"/>
      <c r="I92" s="591"/>
      <c r="J92" s="4488"/>
    </row>
    <row r="93" spans="1:17" s="3807" customFormat="1" ht="15.6">
      <c r="A93" s="5143"/>
      <c r="B93" s="5146"/>
      <c r="C93" s="584" t="s">
        <v>1156</v>
      </c>
      <c r="D93" s="592"/>
      <c r="E93" s="586"/>
      <c r="F93" s="593"/>
      <c r="G93" s="586"/>
      <c r="H93" s="590"/>
      <c r="I93" s="594"/>
      <c r="J93" s="4488"/>
      <c r="K93" s="4495" t="s">
        <v>1896</v>
      </c>
      <c r="L93" s="4496">
        <f>IFERROR(D93/$C$1,0)</f>
        <v>0</v>
      </c>
      <c r="M93" s="4496">
        <f t="shared" ref="M93:Q94" si="68">IFERROR(E93/$C$1,0)</f>
        <v>0</v>
      </c>
      <c r="N93" s="4496">
        <f t="shared" si="68"/>
        <v>0</v>
      </c>
      <c r="O93" s="4496">
        <f t="shared" si="68"/>
        <v>0</v>
      </c>
      <c r="P93" s="4496">
        <f t="shared" si="68"/>
        <v>0</v>
      </c>
      <c r="Q93" s="4496">
        <f t="shared" si="68"/>
        <v>0</v>
      </c>
    </row>
    <row r="94" spans="1:17" s="3807" customFormat="1" thickBot="1">
      <c r="A94" s="5153"/>
      <c r="B94" s="588" t="s">
        <v>1161</v>
      </c>
      <c r="C94" s="584" t="s">
        <v>1158</v>
      </c>
      <c r="D94" s="990">
        <f>D92*D93/1000</f>
        <v>0</v>
      </c>
      <c r="E94" s="994">
        <f t="shared" ref="E94:I94" si="69">E92*E93/1000</f>
        <v>0</v>
      </c>
      <c r="F94" s="992">
        <f t="shared" si="69"/>
        <v>0</v>
      </c>
      <c r="G94" s="991">
        <f t="shared" si="69"/>
        <v>0</v>
      </c>
      <c r="H94" s="992">
        <f t="shared" si="69"/>
        <v>0</v>
      </c>
      <c r="I94" s="993">
        <f t="shared" si="69"/>
        <v>0</v>
      </c>
      <c r="J94" s="4488"/>
      <c r="K94" s="4495" t="s">
        <v>1874</v>
      </c>
      <c r="L94" s="4497">
        <f>IFERROR(D94/$C$1,0)</f>
        <v>0</v>
      </c>
      <c r="M94" s="4497">
        <f t="shared" si="68"/>
        <v>0</v>
      </c>
      <c r="N94" s="4497">
        <f t="shared" si="68"/>
        <v>0</v>
      </c>
      <c r="O94" s="4497">
        <f t="shared" si="68"/>
        <v>0</v>
      </c>
      <c r="P94" s="4497">
        <f t="shared" si="68"/>
        <v>0</v>
      </c>
      <c r="Q94" s="4497">
        <f t="shared" si="68"/>
        <v>0</v>
      </c>
    </row>
    <row r="95" spans="1:17" s="3807" customFormat="1" ht="13.2">
      <c r="A95" s="583" t="s">
        <v>308</v>
      </c>
      <c r="B95" s="5154" t="s">
        <v>1154</v>
      </c>
      <c r="C95" s="5155"/>
      <c r="D95" s="5155"/>
      <c r="E95" s="5155"/>
      <c r="F95" s="5155"/>
      <c r="G95" s="5155"/>
      <c r="H95" s="5155"/>
      <c r="I95" s="5156"/>
      <c r="J95" s="4488"/>
    </row>
    <row r="96" spans="1:17" s="3807" customFormat="1" ht="15.6">
      <c r="A96" s="5142" t="s">
        <v>568</v>
      </c>
      <c r="B96" s="5145" t="s">
        <v>1155</v>
      </c>
      <c r="C96" s="584" t="s">
        <v>781</v>
      </c>
      <c r="D96" s="585"/>
      <c r="E96" s="586"/>
      <c r="F96" s="586"/>
      <c r="G96" s="586"/>
      <c r="H96" s="586"/>
      <c r="I96" s="587"/>
      <c r="J96" s="4488"/>
    </row>
    <row r="97" spans="1:17" s="3807" customFormat="1" ht="15.6">
      <c r="A97" s="5143"/>
      <c r="B97" s="5146"/>
      <c r="C97" s="584" t="s">
        <v>1156</v>
      </c>
      <c r="D97" s="585"/>
      <c r="E97" s="586"/>
      <c r="F97" s="586"/>
      <c r="G97" s="586"/>
      <c r="H97" s="586"/>
      <c r="I97" s="587"/>
      <c r="J97" s="4488"/>
      <c r="K97" s="4495" t="s">
        <v>1896</v>
      </c>
      <c r="L97" s="4496">
        <f>IFERROR(D97/$C$1,0)</f>
        <v>0</v>
      </c>
      <c r="M97" s="4496">
        <f t="shared" ref="M97:M98" si="70">IFERROR(E97/$C$1,0)</f>
        <v>0</v>
      </c>
      <c r="N97" s="4496">
        <f t="shared" ref="N97:N98" si="71">IFERROR(F97/$C$1,0)</f>
        <v>0</v>
      </c>
      <c r="O97" s="4496">
        <f t="shared" ref="O97:O98" si="72">IFERROR(G97/$C$1,0)</f>
        <v>0</v>
      </c>
      <c r="P97" s="4496">
        <f t="shared" ref="P97:P98" si="73">IFERROR(H97/$C$1,0)</f>
        <v>0</v>
      </c>
      <c r="Q97" s="4496">
        <f t="shared" ref="Q97:Q98" si="74">IFERROR(I97/$C$1,0)</f>
        <v>0</v>
      </c>
    </row>
    <row r="98" spans="1:17" s="3807" customFormat="1" ht="13.2">
      <c r="A98" s="5144"/>
      <c r="B98" s="588" t="s">
        <v>1157</v>
      </c>
      <c r="C98" s="584" t="s">
        <v>1158</v>
      </c>
      <c r="D98" s="988">
        <f>D96*D97/1000</f>
        <v>0</v>
      </c>
      <c r="E98" s="988">
        <f t="shared" ref="E98:I98" si="75">E96*E97/1000</f>
        <v>0</v>
      </c>
      <c r="F98" s="988">
        <f t="shared" si="75"/>
        <v>0</v>
      </c>
      <c r="G98" s="988">
        <f t="shared" si="75"/>
        <v>0</v>
      </c>
      <c r="H98" s="988">
        <f t="shared" si="75"/>
        <v>0</v>
      </c>
      <c r="I98" s="995">
        <f t="shared" si="75"/>
        <v>0</v>
      </c>
      <c r="J98" s="4488"/>
      <c r="K98" s="4495" t="s">
        <v>1874</v>
      </c>
      <c r="L98" s="4497">
        <f>IFERROR(D98/$C$1,0)</f>
        <v>0</v>
      </c>
      <c r="M98" s="4497">
        <f t="shared" si="70"/>
        <v>0</v>
      </c>
      <c r="N98" s="4497">
        <f t="shared" si="71"/>
        <v>0</v>
      </c>
      <c r="O98" s="4497">
        <f t="shared" si="72"/>
        <v>0</v>
      </c>
      <c r="P98" s="4497">
        <f t="shared" si="73"/>
        <v>0</v>
      </c>
      <c r="Q98" s="4497">
        <f t="shared" si="74"/>
        <v>0</v>
      </c>
    </row>
    <row r="99" spans="1:17" s="3807" customFormat="1" ht="15.6">
      <c r="A99" s="5142" t="s">
        <v>569</v>
      </c>
      <c r="B99" s="5145" t="s">
        <v>1159</v>
      </c>
      <c r="C99" s="584" t="s">
        <v>1160</v>
      </c>
      <c r="D99" s="589"/>
      <c r="E99" s="586"/>
      <c r="F99" s="590"/>
      <c r="G99" s="590"/>
      <c r="H99" s="586"/>
      <c r="I99" s="591"/>
      <c r="J99" s="4488"/>
    </row>
    <row r="100" spans="1:17" s="3807" customFormat="1" ht="15.6">
      <c r="A100" s="5143"/>
      <c r="B100" s="5146"/>
      <c r="C100" s="584" t="s">
        <v>1156</v>
      </c>
      <c r="D100" s="592"/>
      <c r="E100" s="586"/>
      <c r="F100" s="593"/>
      <c r="G100" s="586"/>
      <c r="H100" s="590"/>
      <c r="I100" s="594"/>
      <c r="J100" s="4488"/>
      <c r="K100" s="4495" t="s">
        <v>1896</v>
      </c>
      <c r="L100" s="4496">
        <f>IFERROR(D100/$C$1,0)</f>
        <v>0</v>
      </c>
      <c r="M100" s="4496">
        <f t="shared" ref="M100:M101" si="76">IFERROR(E100/$C$1,0)</f>
        <v>0</v>
      </c>
      <c r="N100" s="4496">
        <f t="shared" ref="N100:N101" si="77">IFERROR(F100/$C$1,0)</f>
        <v>0</v>
      </c>
      <c r="O100" s="4496">
        <f t="shared" ref="O100:O101" si="78">IFERROR(G100/$C$1,0)</f>
        <v>0</v>
      </c>
      <c r="P100" s="4496">
        <f t="shared" ref="P100:P101" si="79">IFERROR(H100/$C$1,0)</f>
        <v>0</v>
      </c>
      <c r="Q100" s="4496">
        <f t="shared" ref="Q100:Q101" si="80">IFERROR(I100/$C$1,0)</f>
        <v>0</v>
      </c>
    </row>
    <row r="101" spans="1:17" s="3807" customFormat="1" thickBot="1">
      <c r="A101" s="5153"/>
      <c r="B101" s="588" t="s">
        <v>1161</v>
      </c>
      <c r="C101" s="584" t="s">
        <v>1158</v>
      </c>
      <c r="D101" s="990">
        <f>D99*D100/1000</f>
        <v>0</v>
      </c>
      <c r="E101" s="994">
        <f t="shared" ref="E101:I101" si="81">E99*E100/1000</f>
        <v>0</v>
      </c>
      <c r="F101" s="992">
        <f t="shared" si="81"/>
        <v>0</v>
      </c>
      <c r="G101" s="991">
        <f t="shared" si="81"/>
        <v>0</v>
      </c>
      <c r="H101" s="992">
        <f t="shared" si="81"/>
        <v>0</v>
      </c>
      <c r="I101" s="993">
        <f t="shared" si="81"/>
        <v>0</v>
      </c>
      <c r="J101" s="4488"/>
      <c r="K101" s="4495" t="s">
        <v>1874</v>
      </c>
      <c r="L101" s="4497">
        <f>IFERROR(D101/$C$1,0)</f>
        <v>0</v>
      </c>
      <c r="M101" s="4497">
        <f t="shared" si="76"/>
        <v>0</v>
      </c>
      <c r="N101" s="4497">
        <f t="shared" si="77"/>
        <v>0</v>
      </c>
      <c r="O101" s="4497">
        <f t="shared" si="78"/>
        <v>0</v>
      </c>
      <c r="P101" s="4497">
        <f t="shared" si="79"/>
        <v>0</v>
      </c>
      <c r="Q101" s="4497">
        <f t="shared" si="80"/>
        <v>0</v>
      </c>
    </row>
    <row r="102" spans="1:17" s="3807" customFormat="1" ht="13.2">
      <c r="A102" s="583" t="s">
        <v>311</v>
      </c>
      <c r="B102" s="5154" t="s">
        <v>1028</v>
      </c>
      <c r="C102" s="5155"/>
      <c r="D102" s="5155"/>
      <c r="E102" s="5155"/>
      <c r="F102" s="5155"/>
      <c r="G102" s="5155"/>
      <c r="H102" s="5155"/>
      <c r="I102" s="5156"/>
      <c r="J102" s="4488"/>
    </row>
    <row r="103" spans="1:17" s="3807" customFormat="1" ht="15.6">
      <c r="A103" s="5142" t="s">
        <v>956</v>
      </c>
      <c r="B103" s="595" t="s">
        <v>1162</v>
      </c>
      <c r="C103" s="584" t="s">
        <v>781</v>
      </c>
      <c r="D103" s="981">
        <f>D68+D75+D82+D89+D96</f>
        <v>100511</v>
      </c>
      <c r="E103" s="981">
        <f t="shared" ref="E103:I103" si="82">E68+E75+E82+E89+E96</f>
        <v>180000</v>
      </c>
      <c r="F103" s="981">
        <f t="shared" si="82"/>
        <v>180000</v>
      </c>
      <c r="G103" s="981">
        <f t="shared" si="82"/>
        <v>180000</v>
      </c>
      <c r="H103" s="981">
        <f t="shared" si="82"/>
        <v>180000</v>
      </c>
      <c r="I103" s="982">
        <f t="shared" si="82"/>
        <v>180000</v>
      </c>
      <c r="J103" s="4488"/>
    </row>
    <row r="104" spans="1:17" s="3807" customFormat="1" ht="13.2">
      <c r="A104" s="5144"/>
      <c r="B104" s="596" t="s">
        <v>1157</v>
      </c>
      <c r="C104" s="584" t="s">
        <v>1158</v>
      </c>
      <c r="D104" s="981">
        <f>D70+D77+D84+D91+D98</f>
        <v>44.023810000000033</v>
      </c>
      <c r="E104" s="981">
        <f t="shared" ref="E104:I105" si="83">E70+E77+E84+E91+E98</f>
        <v>91.62</v>
      </c>
      <c r="F104" s="981">
        <f t="shared" si="83"/>
        <v>91.62</v>
      </c>
      <c r="G104" s="981">
        <f t="shared" si="83"/>
        <v>91.62</v>
      </c>
      <c r="H104" s="981">
        <f t="shared" si="83"/>
        <v>91.62</v>
      </c>
      <c r="I104" s="982">
        <f t="shared" si="83"/>
        <v>91.62</v>
      </c>
      <c r="J104" s="4488"/>
      <c r="K104" s="4495" t="s">
        <v>1874</v>
      </c>
      <c r="L104" s="4497">
        <f>IFERROR(D104/$C$1,0)</f>
        <v>22.509016632324911</v>
      </c>
      <c r="M104" s="4497">
        <f t="shared" ref="M104:Q104" si="84">IFERROR(E104/$C$1,0)</f>
        <v>46.844562155197544</v>
      </c>
      <c r="N104" s="4497">
        <f t="shared" si="84"/>
        <v>46.844562155197544</v>
      </c>
      <c r="O104" s="4497">
        <f t="shared" si="84"/>
        <v>46.844562155197544</v>
      </c>
      <c r="P104" s="4497">
        <f t="shared" si="84"/>
        <v>46.844562155197544</v>
      </c>
      <c r="Q104" s="4497">
        <f t="shared" si="84"/>
        <v>46.844562155197544</v>
      </c>
    </row>
    <row r="105" spans="1:17" s="3807" customFormat="1" ht="15.6">
      <c r="A105" s="5142" t="s">
        <v>957</v>
      </c>
      <c r="B105" s="595" t="s">
        <v>1163</v>
      </c>
      <c r="C105" s="584" t="s">
        <v>1160</v>
      </c>
      <c r="D105" s="981">
        <f>D71+D78+D85+D92+D99</f>
        <v>14273</v>
      </c>
      <c r="E105" s="981">
        <f t="shared" si="83"/>
        <v>15000</v>
      </c>
      <c r="F105" s="981">
        <f t="shared" si="83"/>
        <v>15000</v>
      </c>
      <c r="G105" s="981">
        <f t="shared" si="83"/>
        <v>15000</v>
      </c>
      <c r="H105" s="981">
        <f t="shared" si="83"/>
        <v>15000</v>
      </c>
      <c r="I105" s="982">
        <f t="shared" si="83"/>
        <v>15000</v>
      </c>
      <c r="J105" s="4488"/>
    </row>
    <row r="106" spans="1:17" s="3807" customFormat="1" thickBot="1">
      <c r="A106" s="5153"/>
      <c r="B106" s="597" t="s">
        <v>1161</v>
      </c>
      <c r="C106" s="754" t="s">
        <v>1158</v>
      </c>
      <c r="D106" s="983">
        <f>D73+D80+D87+D94+D101</f>
        <v>14.335750000000001</v>
      </c>
      <c r="E106" s="984">
        <f t="shared" ref="E106:I106" si="85">E73+E80+E87+E94+E101</f>
        <v>18.63</v>
      </c>
      <c r="F106" s="984">
        <f t="shared" si="85"/>
        <v>18.63</v>
      </c>
      <c r="G106" s="985">
        <f t="shared" si="85"/>
        <v>18.63</v>
      </c>
      <c r="H106" s="986">
        <f t="shared" si="85"/>
        <v>18.63</v>
      </c>
      <c r="I106" s="987">
        <f t="shared" si="85"/>
        <v>18.63</v>
      </c>
      <c r="J106" s="4488"/>
      <c r="K106" s="4495" t="s">
        <v>1874</v>
      </c>
      <c r="L106" s="4497">
        <f>IFERROR(D106/$C$1,0)</f>
        <v>7.3297525858586896</v>
      </c>
      <c r="M106" s="4497">
        <f t="shared" ref="M106" si="86">IFERROR(E106/$C$1,0)</f>
        <v>9.52536774668555</v>
      </c>
      <c r="N106" s="4497">
        <f t="shared" ref="N106" si="87">IFERROR(F106/$C$1,0)</f>
        <v>9.52536774668555</v>
      </c>
      <c r="O106" s="4497">
        <f t="shared" ref="O106" si="88">IFERROR(G106/$C$1,0)</f>
        <v>9.52536774668555</v>
      </c>
      <c r="P106" s="4497">
        <f t="shared" ref="P106" si="89">IFERROR(H106/$C$1,0)</f>
        <v>9.52536774668555</v>
      </c>
      <c r="Q106" s="4497">
        <f t="shared" ref="Q106" si="90">IFERROR(I106/$C$1,0)</f>
        <v>9.52536774668555</v>
      </c>
    </row>
    <row r="107" spans="1:17" s="3807" customFormat="1" ht="13.2">
      <c r="A107" s="4086" t="s">
        <v>1286</v>
      </c>
      <c r="B107" s="5168" t="s">
        <v>1780</v>
      </c>
      <c r="C107" s="5169"/>
      <c r="D107" s="5169"/>
      <c r="E107" s="5169"/>
      <c r="F107" s="5169"/>
      <c r="G107" s="5169"/>
      <c r="H107" s="5169"/>
      <c r="I107" s="5170"/>
      <c r="J107" s="4488"/>
    </row>
    <row r="108" spans="1:17" s="3807" customFormat="1" ht="13.2">
      <c r="A108" s="4087" t="s">
        <v>205</v>
      </c>
      <c r="B108" s="5171" t="s">
        <v>1154</v>
      </c>
      <c r="C108" s="5171"/>
      <c r="D108" s="5171"/>
      <c r="E108" s="5171"/>
      <c r="F108" s="5171"/>
      <c r="G108" s="5171"/>
      <c r="H108" s="5171"/>
      <c r="I108" s="5171"/>
      <c r="J108" s="4488"/>
    </row>
    <row r="109" spans="1:17" s="3807" customFormat="1" ht="15.6">
      <c r="A109" s="5172" t="s">
        <v>463</v>
      </c>
      <c r="B109" s="5173" t="s">
        <v>1155</v>
      </c>
      <c r="C109" s="4253" t="s">
        <v>781</v>
      </c>
      <c r="D109" s="586"/>
      <c r="E109" s="586"/>
      <c r="F109" s="586"/>
      <c r="G109" s="586"/>
      <c r="H109" s="586"/>
      <c r="I109" s="586"/>
      <c r="J109" s="4488"/>
    </row>
    <row r="110" spans="1:17" s="3807" customFormat="1" ht="15.6">
      <c r="A110" s="5172"/>
      <c r="B110" s="5173"/>
      <c r="C110" s="4253" t="s">
        <v>1851</v>
      </c>
      <c r="D110" s="586"/>
      <c r="E110" s="586"/>
      <c r="F110" s="586"/>
      <c r="G110" s="586"/>
      <c r="H110" s="586"/>
      <c r="I110" s="586"/>
      <c r="J110" s="4488"/>
      <c r="K110" s="4495" t="s">
        <v>1896</v>
      </c>
      <c r="L110" s="4496">
        <f>IFERROR(D110/$C$1,0)</f>
        <v>0</v>
      </c>
      <c r="M110" s="4496">
        <f t="shared" ref="M110:M111" si="91">IFERROR(E110/$C$1,0)</f>
        <v>0</v>
      </c>
      <c r="N110" s="4496">
        <f t="shared" ref="N110:N111" si="92">IFERROR(F110/$C$1,0)</f>
        <v>0</v>
      </c>
      <c r="O110" s="4496">
        <f t="shared" ref="O110:O111" si="93">IFERROR(G110/$C$1,0)</f>
        <v>0</v>
      </c>
      <c r="P110" s="4496">
        <f t="shared" ref="P110:P111" si="94">IFERROR(H110/$C$1,0)</f>
        <v>0</v>
      </c>
      <c r="Q110" s="4496">
        <f t="shared" ref="Q110:Q111" si="95">IFERROR(I110/$C$1,0)</f>
        <v>0</v>
      </c>
    </row>
    <row r="111" spans="1:17" s="3807" customFormat="1" ht="13.2">
      <c r="A111" s="5172"/>
      <c r="B111" s="4254" t="s">
        <v>1157</v>
      </c>
      <c r="C111" s="4253" t="s">
        <v>1158</v>
      </c>
      <c r="D111" s="4088">
        <f>D109*D110/1000</f>
        <v>0</v>
      </c>
      <c r="E111" s="4088">
        <f t="shared" ref="E111:I111" si="96">E109*E110/1000</f>
        <v>0</v>
      </c>
      <c r="F111" s="4088">
        <f t="shared" si="96"/>
        <v>0</v>
      </c>
      <c r="G111" s="4088">
        <f t="shared" si="96"/>
        <v>0</v>
      </c>
      <c r="H111" s="4088">
        <f t="shared" si="96"/>
        <v>0</v>
      </c>
      <c r="I111" s="4088">
        <f t="shared" si="96"/>
        <v>0</v>
      </c>
      <c r="J111" s="4488"/>
      <c r="K111" s="4495" t="s">
        <v>1874</v>
      </c>
      <c r="L111" s="4497">
        <f>IFERROR(D111/$C$1,0)</f>
        <v>0</v>
      </c>
      <c r="M111" s="4497">
        <f t="shared" si="91"/>
        <v>0</v>
      </c>
      <c r="N111" s="4497">
        <f t="shared" si="92"/>
        <v>0</v>
      </c>
      <c r="O111" s="4497">
        <f t="shared" si="93"/>
        <v>0</v>
      </c>
      <c r="P111" s="4497">
        <f t="shared" si="94"/>
        <v>0</v>
      </c>
      <c r="Q111" s="4497">
        <f t="shared" si="95"/>
        <v>0</v>
      </c>
    </row>
    <row r="112" spans="1:17" s="1935" customFormat="1">
      <c r="A112" s="753"/>
      <c r="B112" s="5137" t="s">
        <v>1464</v>
      </c>
      <c r="C112" s="5138"/>
      <c r="D112" s="1824">
        <f>(D104+D106+D111)-('12. Разходи'!C31+'12. Разходи'!AA31+'12. Разходи'!AI31)</f>
        <v>0</v>
      </c>
      <c r="E112" s="1824">
        <f>(E104+E106+E111)-('12. Разходи'!D31+'12. Разходи'!AB31+'12. Разходи'!AJ31)</f>
        <v>-1.0000000003174137E-5</v>
      </c>
      <c r="F112" s="1824">
        <f>(F104+F106+F111)-('12. Разходи'!E31+'12. Разходи'!AC31+'12. Разходи'!AK31)</f>
        <v>0</v>
      </c>
      <c r="G112" s="1824">
        <f>(G104+G106+G111)-('12. Разходи'!F31+'12. Разходи'!AD31+'12. Разходи'!AL31)</f>
        <v>0</v>
      </c>
      <c r="H112" s="1824">
        <f>(H104+H106+H111)-('12. Разходи'!G31+'12. Разходи'!AE31+'12. Разходи'!AM31)</f>
        <v>0</v>
      </c>
      <c r="I112" s="1828">
        <f>(I104+I106+I111)-('12. Разходи'!H31+'12. Разходи'!AF31+'12. Разходи'!AN31)</f>
        <v>0</v>
      </c>
      <c r="J112" s="4488"/>
    </row>
    <row r="113" spans="1:9" s="1935" customFormat="1" ht="34.5" customHeight="1">
      <c r="A113" s="1934"/>
    </row>
    <row r="114" spans="1:9" s="1935" customFormat="1">
      <c r="A114" s="1936" t="str">
        <f>'Приложение '!B82</f>
        <v>Дата: 16.03.2026</v>
      </c>
      <c r="B114" s="1937"/>
      <c r="C114" s="1938"/>
      <c r="D114" s="1939"/>
      <c r="F114" s="1940"/>
    </row>
    <row r="115" spans="1:9" s="1935" customFormat="1">
      <c r="A115" s="1934"/>
      <c r="C115" s="1941"/>
      <c r="D115" s="1942"/>
      <c r="F115" s="1940"/>
      <c r="G115" s="1943"/>
    </row>
    <row r="116" spans="1:9" s="1935" customFormat="1">
      <c r="A116" s="1934"/>
      <c r="F116" s="1940"/>
    </row>
    <row r="117" spans="1:9" ht="13.2">
      <c r="A117" s="5166" t="s">
        <v>187</v>
      </c>
      <c r="B117" s="5166"/>
      <c r="C117" s="5166"/>
      <c r="D117" s="5166"/>
      <c r="E117" s="1798"/>
      <c r="F117" s="1798"/>
      <c r="G117" s="1945"/>
      <c r="H117" s="1945"/>
      <c r="I117" s="1945"/>
    </row>
    <row r="118" spans="1:9" ht="13.2">
      <c r="A118" s="5167" t="s">
        <v>188</v>
      </c>
      <c r="B118" s="5167"/>
      <c r="C118" s="5167"/>
      <c r="D118" s="5167"/>
      <c r="E118" s="1798"/>
      <c r="F118" s="1798"/>
      <c r="G118" s="1946"/>
      <c r="H118" s="1946"/>
      <c r="I118" s="1946"/>
    </row>
    <row r="119" spans="1:9" ht="30" customHeight="1">
      <c r="A119" s="5174" t="s">
        <v>726</v>
      </c>
      <c r="B119" s="5174"/>
      <c r="C119" s="5174"/>
      <c r="D119" s="5174"/>
      <c r="E119" s="5174"/>
      <c r="F119" s="5174"/>
      <c r="G119" s="5174"/>
      <c r="H119" s="5174"/>
      <c r="I119" s="1947"/>
    </row>
    <row r="120" spans="1:9" ht="31.5" customHeight="1">
      <c r="A120" s="5165" t="s">
        <v>1444</v>
      </c>
      <c r="B120" s="5165"/>
      <c r="C120" s="5165"/>
      <c r="D120" s="5165"/>
      <c r="E120" s="5165"/>
      <c r="F120" s="5165"/>
      <c r="G120" s="5165"/>
      <c r="H120" s="5165"/>
      <c r="I120" s="1948"/>
    </row>
  </sheetData>
  <sheetProtection algorithmName="SHA-512" hashValue="8mXo8tJ0pPzDLXUE6DI3PEuU1IWPHEVQLSxNdk7n1hVIw6K+BpIeuc7r1nDO4LiG79CS4T5vrODGZ9p7tP+38w==" saltValue="l/AbrICStpaKfpW4/cLo9Q==" spinCount="100000" sheet="1" formatCells="0" formatColumns="0" formatRows="0"/>
  <mergeCells count="78">
    <mergeCell ref="B107:I107"/>
    <mergeCell ref="B108:I108"/>
    <mergeCell ref="A109:A111"/>
    <mergeCell ref="B109:B110"/>
    <mergeCell ref="A119:H119"/>
    <mergeCell ref="A120:H120"/>
    <mergeCell ref="B112:C112"/>
    <mergeCell ref="A57:A58"/>
    <mergeCell ref="B57:B58"/>
    <mergeCell ref="A59:A60"/>
    <mergeCell ref="B59:B60"/>
    <mergeCell ref="A61:A62"/>
    <mergeCell ref="B61:B62"/>
    <mergeCell ref="B102:I102"/>
    <mergeCell ref="A103:A104"/>
    <mergeCell ref="A105:A106"/>
    <mergeCell ref="A117:D117"/>
    <mergeCell ref="A118:D118"/>
    <mergeCell ref="A92:A94"/>
    <mergeCell ref="B92:B93"/>
    <mergeCell ref="B95:I95"/>
    <mergeCell ref="A40:A41"/>
    <mergeCell ref="B40:B41"/>
    <mergeCell ref="A42:A43"/>
    <mergeCell ref="B42:B43"/>
    <mergeCell ref="A55:A56"/>
    <mergeCell ref="B55:B56"/>
    <mergeCell ref="A17:A18"/>
    <mergeCell ref="B17:B18"/>
    <mergeCell ref="A36:A37"/>
    <mergeCell ref="B36:B37"/>
    <mergeCell ref="A38:A39"/>
    <mergeCell ref="B38:B39"/>
    <mergeCell ref="A19:A20"/>
    <mergeCell ref="B19:B20"/>
    <mergeCell ref="A21:A22"/>
    <mergeCell ref="B21:B22"/>
    <mergeCell ref="A23:A24"/>
    <mergeCell ref="B23:B24"/>
    <mergeCell ref="A2:I2"/>
    <mergeCell ref="A3:I3"/>
    <mergeCell ref="A4:I4"/>
    <mergeCell ref="A5:I5"/>
    <mergeCell ref="A1:B1"/>
    <mergeCell ref="C1:D1"/>
    <mergeCell ref="A96:A98"/>
    <mergeCell ref="B96:B97"/>
    <mergeCell ref="A99:A101"/>
    <mergeCell ref="B99:B100"/>
    <mergeCell ref="A89:A91"/>
    <mergeCell ref="B89:B90"/>
    <mergeCell ref="A71:A73"/>
    <mergeCell ref="B71:B72"/>
    <mergeCell ref="A75:A77"/>
    <mergeCell ref="B75:B76"/>
    <mergeCell ref="A78:A80"/>
    <mergeCell ref="B78:B79"/>
    <mergeCell ref="A82:A84"/>
    <mergeCell ref="B82:B83"/>
    <mergeCell ref="A85:A87"/>
    <mergeCell ref="B85:B86"/>
    <mergeCell ref="B88:I88"/>
    <mergeCell ref="B8:I8"/>
    <mergeCell ref="A15:A16"/>
    <mergeCell ref="B15:B16"/>
    <mergeCell ref="A68:A70"/>
    <mergeCell ref="B68:B69"/>
    <mergeCell ref="A25:A27"/>
    <mergeCell ref="B25:B27"/>
    <mergeCell ref="A34:A35"/>
    <mergeCell ref="B34:B35"/>
    <mergeCell ref="A44:A46"/>
    <mergeCell ref="B44:B46"/>
    <mergeCell ref="A53:A54"/>
    <mergeCell ref="B53:B54"/>
    <mergeCell ref="A63:A65"/>
    <mergeCell ref="B63:B65"/>
    <mergeCell ref="B66:I66"/>
  </mergeCells>
  <pageMargins left="0.70866141732283472" right="0.11811023622047245" top="0.74803149606299213" bottom="0.23622047244094491" header="0.31496062992125984" footer="0.11811023622047245"/>
  <pageSetup paperSize="9" scale="79" orientation="portrait" r:id="rId1"/>
  <headerFooter alignWithMargins="0">
    <oddFooter>&amp;C&amp;A&amp;RСтр. &amp;P от &amp;N</oddFooter>
  </headerFooter>
  <rowBreaks count="1" manualBreakCount="1">
    <brk id="65" max="8"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CC"/>
  </sheetPr>
  <dimension ref="A1:DR79"/>
  <sheetViews>
    <sheetView showGridLines="0" topLeftCell="A4" zoomScale="110" zoomScaleNormal="110" zoomScaleSheetLayoutView="70" workbookViewId="0">
      <selection activeCell="C7" sqref="C7:AF7"/>
    </sheetView>
  </sheetViews>
  <sheetFormatPr defaultColWidth="9.109375" defaultRowHeight="13.2"/>
  <cols>
    <col min="1" max="1" width="6.5546875" style="148" customWidth="1"/>
    <col min="2" max="2" width="33.33203125" style="147" customWidth="1"/>
    <col min="3" max="8" width="7.6640625" style="148" customWidth="1"/>
    <col min="9" max="46" width="7.6640625" style="147" customWidth="1"/>
    <col min="47" max="47" width="10.6640625" style="775" customWidth="1"/>
    <col min="48" max="48" width="10.33203125" style="775" customWidth="1"/>
    <col min="49" max="49" width="12.33203125" style="168" customWidth="1"/>
    <col min="50" max="50" width="2.109375" style="168" customWidth="1"/>
    <col min="51" max="51" width="9.109375" style="168" customWidth="1"/>
    <col min="52" max="54" width="7.6640625" style="168" customWidth="1"/>
    <col min="55" max="95" width="7.6640625" style="147" customWidth="1"/>
    <col min="96" max="16384" width="9.109375" style="147"/>
  </cols>
  <sheetData>
    <row r="1" spans="1:121" ht="16.8" thickBot="1">
      <c r="A1" s="5009" t="str">
        <f>+'1. Обща информация'!B40</f>
        <v>Фиксиран курс на лева към 1 евро</v>
      </c>
      <c r="B1" s="5009"/>
      <c r="C1" s="5010">
        <f>+'1. Обща информация'!$C$40</f>
        <v>1.95583</v>
      </c>
      <c r="D1" s="5010"/>
      <c r="E1" s="1958"/>
      <c r="F1" s="1958"/>
      <c r="G1" s="1958"/>
      <c r="H1" s="1958"/>
      <c r="I1" s="1958"/>
      <c r="J1" s="1958"/>
      <c r="K1" s="1958"/>
      <c r="L1" s="1958"/>
      <c r="M1" s="1958"/>
      <c r="N1" s="1958"/>
      <c r="O1" s="1958"/>
      <c r="P1" s="1958"/>
      <c r="Q1" s="1958"/>
      <c r="R1" s="1958"/>
      <c r="S1" s="1958"/>
      <c r="T1" s="1958"/>
      <c r="U1" s="151"/>
      <c r="V1" s="151"/>
      <c r="W1" s="151"/>
      <c r="X1" s="151"/>
      <c r="Y1" s="151"/>
      <c r="Z1" s="1959" t="s">
        <v>0</v>
      </c>
      <c r="AA1" s="151"/>
      <c r="AB1" s="151"/>
      <c r="AC1" s="151"/>
      <c r="AD1" s="151"/>
      <c r="AE1" s="151"/>
      <c r="AG1" s="151"/>
      <c r="AH1" s="151"/>
      <c r="AI1" s="151"/>
      <c r="AJ1" s="151"/>
      <c r="AK1" s="151"/>
      <c r="AL1" s="151"/>
      <c r="AM1" s="1958"/>
      <c r="AN1" s="151"/>
      <c r="AO1" s="151"/>
      <c r="AP1" s="1958"/>
      <c r="AQ1" s="1958"/>
      <c r="AR1" s="1958"/>
      <c r="AT1" s="1958"/>
      <c r="AU1" s="151"/>
      <c r="AV1" s="151"/>
      <c r="AW1" s="152"/>
      <c r="AX1" s="152"/>
      <c r="AY1" s="152"/>
      <c r="AZ1" s="152"/>
      <c r="BA1" s="152"/>
      <c r="BB1" s="59"/>
      <c r="BC1" s="151"/>
      <c r="BD1" s="151"/>
      <c r="BE1" s="151"/>
      <c r="BF1" s="151"/>
    </row>
    <row r="2" spans="1:121" ht="18">
      <c r="A2" s="5067" t="s">
        <v>551</v>
      </c>
      <c r="B2" s="5067"/>
      <c r="C2" s="5067"/>
      <c r="D2" s="5067"/>
      <c r="E2" s="5067"/>
      <c r="F2" s="5067"/>
      <c r="G2" s="5067"/>
      <c r="H2" s="5067"/>
      <c r="I2" s="5067"/>
      <c r="J2" s="5067"/>
      <c r="K2" s="5067"/>
      <c r="L2" s="5067"/>
      <c r="M2" s="5067"/>
      <c r="N2" s="5067"/>
      <c r="O2" s="5067"/>
      <c r="P2" s="5067"/>
      <c r="Q2" s="5067"/>
      <c r="R2" s="5067"/>
      <c r="S2" s="5067"/>
      <c r="T2" s="5067"/>
      <c r="U2" s="5067"/>
      <c r="V2" s="5067"/>
      <c r="W2" s="5067"/>
      <c r="X2" s="5067"/>
      <c r="Y2" s="5067"/>
      <c r="Z2" s="5067"/>
      <c r="AA2" s="183"/>
      <c r="AB2" s="183"/>
      <c r="AC2" s="183"/>
      <c r="AD2" s="183"/>
      <c r="AE2" s="183"/>
      <c r="AF2" s="183"/>
      <c r="AG2" s="183"/>
      <c r="AH2" s="183"/>
      <c r="AI2" s="183"/>
      <c r="AJ2" s="183"/>
      <c r="AK2" s="183"/>
      <c r="AL2" s="183"/>
      <c r="AM2" s="3733"/>
      <c r="AN2" s="183"/>
      <c r="AO2" s="183"/>
      <c r="AP2" s="3733"/>
      <c r="AQ2" s="3733"/>
      <c r="AR2" s="3733"/>
      <c r="AS2" s="3733"/>
      <c r="AT2" s="3733"/>
      <c r="AU2" s="772"/>
      <c r="AV2" s="772"/>
      <c r="AW2" s="183"/>
      <c r="AX2" s="183"/>
      <c r="AY2" s="183"/>
      <c r="AZ2" s="183"/>
      <c r="BA2" s="183"/>
      <c r="BB2" s="183"/>
      <c r="BC2" s="151"/>
      <c r="BD2" s="151"/>
      <c r="BE2" s="151"/>
      <c r="BF2" s="151"/>
    </row>
    <row r="3" spans="1:121" ht="18">
      <c r="A3" s="5067" t="s">
        <v>877</v>
      </c>
      <c r="B3" s="5067"/>
      <c r="C3" s="5067"/>
      <c r="D3" s="5067"/>
      <c r="E3" s="5067"/>
      <c r="F3" s="5067"/>
      <c r="G3" s="5067"/>
      <c r="H3" s="5067"/>
      <c r="I3" s="5067"/>
      <c r="J3" s="5067"/>
      <c r="K3" s="5067"/>
      <c r="L3" s="5067"/>
      <c r="M3" s="5067"/>
      <c r="N3" s="5067"/>
      <c r="O3" s="5067"/>
      <c r="P3" s="5067"/>
      <c r="Q3" s="5067"/>
      <c r="R3" s="5067"/>
      <c r="S3" s="5067"/>
      <c r="T3" s="5067"/>
      <c r="U3" s="5067"/>
      <c r="V3" s="5067"/>
      <c r="W3" s="5067"/>
      <c r="X3" s="5067"/>
      <c r="Y3" s="5067"/>
      <c r="Z3" s="5067"/>
      <c r="AA3" s="183"/>
      <c r="AB3" s="183"/>
      <c r="AC3" s="183"/>
      <c r="AD3" s="183"/>
      <c r="AE3" s="183"/>
      <c r="AF3" s="183"/>
      <c r="AG3" s="183"/>
      <c r="AH3" s="183"/>
      <c r="AI3" s="183"/>
      <c r="AJ3" s="183"/>
      <c r="AK3" s="183"/>
      <c r="AL3" s="183"/>
      <c r="AM3" s="3733"/>
      <c r="AN3" s="183"/>
      <c r="AO3" s="183"/>
      <c r="AP3" s="3733"/>
      <c r="AQ3" s="3733"/>
      <c r="AR3" s="3733"/>
      <c r="AS3" s="3733"/>
      <c r="AT3" s="3733"/>
      <c r="AU3" s="772"/>
      <c r="AV3" s="772"/>
      <c r="AW3" s="183"/>
      <c r="AX3" s="183"/>
      <c r="AY3" s="183"/>
      <c r="AZ3" s="183"/>
      <c r="BA3" s="183"/>
      <c r="BB3" s="183"/>
      <c r="BC3" s="153"/>
      <c r="BD3" s="153"/>
      <c r="BE3" s="153"/>
      <c r="BF3" s="153"/>
    </row>
    <row r="4" spans="1:121" ht="15.6">
      <c r="A4" s="5159" t="str">
        <f>'1. Обща информация'!A4</f>
        <v>на "В И К" АД, гр. Ловеч</v>
      </c>
      <c r="B4" s="5159"/>
      <c r="C4" s="5159"/>
      <c r="D4" s="5159"/>
      <c r="E4" s="5159"/>
      <c r="F4" s="5159"/>
      <c r="G4" s="5159"/>
      <c r="H4" s="5159"/>
      <c r="I4" s="5159"/>
      <c r="J4" s="5159"/>
      <c r="K4" s="5159"/>
      <c r="L4" s="5159"/>
      <c r="M4" s="5159"/>
      <c r="N4" s="5159"/>
      <c r="O4" s="5159"/>
      <c r="P4" s="5159"/>
      <c r="Q4" s="5159"/>
      <c r="R4" s="5159"/>
      <c r="S4" s="5159"/>
      <c r="T4" s="5159"/>
      <c r="U4" s="5159"/>
      <c r="V4" s="5159"/>
      <c r="W4" s="5159"/>
      <c r="X4" s="5159"/>
      <c r="Y4" s="5159"/>
      <c r="Z4" s="5159"/>
      <c r="AA4" s="184"/>
      <c r="AB4" s="184"/>
      <c r="AC4" s="184"/>
      <c r="AD4" s="184"/>
      <c r="AE4" s="184"/>
      <c r="AF4" s="184"/>
      <c r="AG4" s="184"/>
      <c r="AH4" s="184"/>
      <c r="AI4" s="184"/>
      <c r="AJ4" s="184"/>
      <c r="AK4" s="184"/>
      <c r="AL4" s="184"/>
      <c r="AM4" s="3729"/>
      <c r="AN4" s="184"/>
      <c r="AO4" s="184"/>
      <c r="AP4" s="3729"/>
      <c r="AQ4" s="3729"/>
      <c r="AR4" s="3729"/>
      <c r="AS4" s="3729"/>
      <c r="AT4" s="3729"/>
      <c r="AU4" s="773"/>
      <c r="AV4" s="773"/>
      <c r="AW4" s="184"/>
      <c r="AX4" s="184"/>
      <c r="AY4" s="184"/>
      <c r="AZ4" s="184"/>
      <c r="BA4" s="184"/>
      <c r="BB4" s="184"/>
      <c r="BC4" s="151"/>
      <c r="BD4" s="151"/>
      <c r="BE4" s="151"/>
      <c r="BF4" s="151"/>
    </row>
    <row r="5" spans="1:121" ht="15.6">
      <c r="A5" s="5159" t="str">
        <f>'1. Обща информация'!A5</f>
        <v>ЕИК по БУЛСТАТ: 110549443</v>
      </c>
      <c r="B5" s="5159"/>
      <c r="C5" s="5159"/>
      <c r="D5" s="5159"/>
      <c r="E5" s="5159"/>
      <c r="F5" s="5159"/>
      <c r="G5" s="5159"/>
      <c r="H5" s="5159"/>
      <c r="I5" s="5159"/>
      <c r="J5" s="5159"/>
      <c r="K5" s="5159"/>
      <c r="L5" s="5159"/>
      <c r="M5" s="5159"/>
      <c r="N5" s="5159"/>
      <c r="O5" s="5159"/>
      <c r="P5" s="5159"/>
      <c r="Q5" s="5159"/>
      <c r="R5" s="5159"/>
      <c r="S5" s="5159"/>
      <c r="T5" s="5159"/>
      <c r="U5" s="5159"/>
      <c r="V5" s="5159"/>
      <c r="W5" s="5159"/>
      <c r="X5" s="5159"/>
      <c r="Y5" s="5159"/>
      <c r="Z5" s="5159"/>
      <c r="AA5" s="184"/>
      <c r="AB5" s="184"/>
      <c r="AC5" s="184"/>
      <c r="AD5" s="184"/>
      <c r="AE5" s="184"/>
      <c r="AF5" s="184"/>
      <c r="AG5" s="184"/>
      <c r="AH5" s="184"/>
      <c r="AI5" s="184"/>
      <c r="AJ5" s="184"/>
      <c r="AK5" s="184"/>
      <c r="AL5" s="184"/>
      <c r="AM5" s="3729"/>
      <c r="AN5" s="184"/>
      <c r="AO5" s="184"/>
      <c r="AP5" s="3729"/>
      <c r="AQ5" s="3729"/>
      <c r="AR5" s="3729"/>
      <c r="AS5" s="3729"/>
      <c r="AT5" s="3729"/>
      <c r="AU5" s="773"/>
      <c r="AV5" s="773"/>
      <c r="AW5" s="184"/>
      <c r="AX5" s="184"/>
      <c r="AY5" s="184"/>
      <c r="AZ5" s="166"/>
      <c r="BA5" s="166"/>
      <c r="BB5" s="166"/>
      <c r="BC5" s="166"/>
      <c r="BD5" s="166"/>
      <c r="BE5" s="166"/>
      <c r="BF5" s="166"/>
      <c r="BG5" s="166"/>
      <c r="BH5" s="166"/>
      <c r="BI5" s="166"/>
      <c r="BJ5" s="166"/>
      <c r="BK5" s="166"/>
      <c r="BL5" s="166"/>
      <c r="BM5" s="166"/>
      <c r="BN5" s="166"/>
      <c r="BO5" s="166"/>
      <c r="BP5" s="166"/>
      <c r="BQ5" s="166"/>
      <c r="BR5" s="166"/>
      <c r="BS5" s="166"/>
      <c r="BT5" s="166"/>
      <c r="BU5" s="166"/>
      <c r="BV5" s="166"/>
      <c r="BW5" s="166"/>
      <c r="BX5" s="166"/>
      <c r="BY5" s="166"/>
      <c r="BZ5" s="166"/>
      <c r="CA5" s="166"/>
      <c r="CB5" s="166"/>
      <c r="CC5" s="166"/>
      <c r="CD5" s="166"/>
      <c r="CE5" s="166"/>
      <c r="CF5" s="166"/>
      <c r="CG5" s="166"/>
      <c r="CH5" s="166"/>
      <c r="CI5" s="166"/>
      <c r="CJ5" s="166"/>
      <c r="CK5" s="166"/>
      <c r="CL5" s="166"/>
      <c r="CM5" s="166"/>
      <c r="CN5" s="166"/>
      <c r="CO5" s="166"/>
      <c r="CP5" s="166"/>
      <c r="CQ5" s="166"/>
      <c r="CR5" s="166"/>
      <c r="CS5" s="166"/>
      <c r="CT5" s="166"/>
      <c r="CU5" s="166"/>
      <c r="CV5" s="166"/>
      <c r="CW5" s="166"/>
      <c r="CX5" s="166"/>
      <c r="CY5" s="166"/>
      <c r="CZ5" s="166"/>
      <c r="DA5" s="166"/>
      <c r="DB5" s="166"/>
      <c r="DC5" s="166"/>
      <c r="DD5" s="166"/>
      <c r="DE5" s="166"/>
      <c r="DF5" s="166"/>
      <c r="DG5" s="166"/>
      <c r="DH5" s="166"/>
      <c r="DI5" s="166"/>
      <c r="DJ5" s="166"/>
      <c r="DK5" s="166"/>
      <c r="DL5" s="166"/>
      <c r="DM5" s="166"/>
      <c r="DN5" s="166"/>
      <c r="DO5" s="166"/>
      <c r="DP5" s="166"/>
      <c r="DQ5" s="166"/>
    </row>
    <row r="6" spans="1:121" ht="14.4" thickBot="1">
      <c r="A6" s="612"/>
      <c r="B6" s="612"/>
      <c r="C6" s="612"/>
      <c r="D6" s="612"/>
      <c r="E6" s="612"/>
      <c r="F6" s="612"/>
      <c r="G6" s="612"/>
      <c r="H6" s="612"/>
      <c r="I6" s="612"/>
      <c r="J6" s="612"/>
      <c r="K6" s="612"/>
      <c r="L6" s="612"/>
      <c r="M6" s="612"/>
      <c r="N6" s="612"/>
      <c r="O6" s="612"/>
      <c r="P6" s="612"/>
      <c r="Q6" s="612"/>
      <c r="R6" s="612"/>
      <c r="S6" s="612"/>
      <c r="T6" s="612"/>
      <c r="U6" s="151"/>
      <c r="V6" s="151"/>
      <c r="W6" s="151"/>
      <c r="X6" s="151"/>
      <c r="Y6" s="151"/>
      <c r="Z6" s="151"/>
      <c r="AA6" s="151"/>
      <c r="AB6" s="151"/>
      <c r="AC6" s="151"/>
      <c r="AD6" s="151"/>
      <c r="AE6" s="151"/>
      <c r="AF6" s="151"/>
      <c r="AG6" s="151"/>
      <c r="AH6" s="151"/>
      <c r="AI6" s="151"/>
      <c r="AJ6" s="151"/>
      <c r="AK6" s="151"/>
      <c r="AL6" s="151"/>
      <c r="AM6" s="612"/>
      <c r="AN6" s="151"/>
      <c r="AO6" s="151"/>
      <c r="AP6" s="612"/>
      <c r="AQ6" s="612"/>
      <c r="AR6" s="612"/>
      <c r="AS6" s="612"/>
      <c r="AT6" s="612"/>
      <c r="AU6" s="151"/>
      <c r="AV6" s="151"/>
      <c r="AW6" s="152"/>
      <c r="AX6" s="151"/>
      <c r="AY6" s="151"/>
      <c r="AZ6" s="166"/>
      <c r="BA6" s="166"/>
      <c r="BB6" s="166"/>
      <c r="BC6" s="166"/>
      <c r="BD6" s="166"/>
      <c r="BE6" s="166"/>
      <c r="BF6" s="166"/>
      <c r="BG6" s="166"/>
      <c r="BH6" s="166"/>
      <c r="BI6" s="166"/>
      <c r="BJ6" s="166"/>
      <c r="BK6" s="166"/>
      <c r="BL6" s="166"/>
      <c r="BM6" s="166"/>
      <c r="BN6" s="166"/>
      <c r="BO6" s="166"/>
      <c r="BP6" s="166"/>
      <c r="BQ6" s="166"/>
      <c r="BR6" s="166"/>
      <c r="BS6" s="166"/>
      <c r="BT6" s="166"/>
      <c r="BU6" s="166"/>
      <c r="BV6" s="166"/>
      <c r="BW6" s="166"/>
      <c r="BX6" s="166"/>
      <c r="BY6" s="166"/>
      <c r="BZ6" s="166"/>
      <c r="CA6" s="166"/>
      <c r="CB6" s="166"/>
      <c r="CC6" s="166"/>
      <c r="CD6" s="166"/>
      <c r="CE6" s="166"/>
      <c r="CF6" s="166"/>
      <c r="CG6" s="166"/>
      <c r="CH6" s="166"/>
      <c r="CI6" s="166"/>
      <c r="CJ6" s="166"/>
      <c r="CK6" s="166"/>
      <c r="CL6" s="166"/>
      <c r="CM6" s="166"/>
      <c r="CN6" s="166"/>
      <c r="CO6" s="166"/>
      <c r="CP6" s="166"/>
      <c r="CQ6" s="166"/>
      <c r="CR6" s="166"/>
      <c r="CS6" s="166"/>
      <c r="CT6" s="166"/>
      <c r="CU6" s="166"/>
      <c r="CV6" s="166"/>
      <c r="CW6" s="166"/>
      <c r="CX6" s="166"/>
      <c r="CY6" s="166"/>
      <c r="CZ6" s="166"/>
      <c r="DA6" s="166"/>
      <c r="DB6" s="166"/>
      <c r="DC6" s="166"/>
      <c r="DD6" s="166"/>
      <c r="DE6" s="166"/>
      <c r="DF6" s="166"/>
      <c r="DG6" s="166"/>
      <c r="DH6" s="166"/>
      <c r="DI6" s="166"/>
      <c r="DJ6" s="166"/>
      <c r="DK6" s="166"/>
      <c r="DL6" s="166"/>
      <c r="DM6" s="166"/>
      <c r="DN6" s="166"/>
      <c r="DO6" s="166"/>
      <c r="DP6" s="166"/>
      <c r="DQ6" s="166"/>
    </row>
    <row r="7" spans="1:121" s="167" customFormat="1" ht="22.5" customHeight="1" thickBot="1">
      <c r="A7" s="5193" t="s">
        <v>1</v>
      </c>
      <c r="B7" s="5175" t="s">
        <v>204</v>
      </c>
      <c r="C7" s="5184" t="s">
        <v>224</v>
      </c>
      <c r="D7" s="5185"/>
      <c r="E7" s="5185"/>
      <c r="F7" s="5185"/>
      <c r="G7" s="5185"/>
      <c r="H7" s="5185"/>
      <c r="I7" s="5185"/>
      <c r="J7" s="5185"/>
      <c r="K7" s="5185"/>
      <c r="L7" s="5185"/>
      <c r="M7" s="5185"/>
      <c r="N7" s="5185"/>
      <c r="O7" s="5185"/>
      <c r="P7" s="5185"/>
      <c r="Q7" s="5185"/>
      <c r="R7" s="5185"/>
      <c r="S7" s="5185"/>
      <c r="T7" s="5185"/>
      <c r="U7" s="5185"/>
      <c r="V7" s="5185"/>
      <c r="W7" s="5185"/>
      <c r="X7" s="5185"/>
      <c r="Y7" s="5185"/>
      <c r="Z7" s="5185"/>
      <c r="AA7" s="5185"/>
      <c r="AB7" s="5185"/>
      <c r="AC7" s="5185"/>
      <c r="AD7" s="5185"/>
      <c r="AE7" s="5185"/>
      <c r="AF7" s="5186"/>
      <c r="AG7" s="5193" t="s">
        <v>225</v>
      </c>
      <c r="AH7" s="5194"/>
      <c r="AI7" s="5194"/>
      <c r="AJ7" s="5194"/>
      <c r="AK7" s="5194"/>
      <c r="AL7" s="5175"/>
      <c r="AM7" s="5190" t="s">
        <v>1272</v>
      </c>
      <c r="AN7" s="5191"/>
      <c r="AO7" s="5191"/>
      <c r="AP7" s="5191"/>
      <c r="AQ7" s="5191"/>
      <c r="AR7" s="5191"/>
      <c r="AS7" s="5191"/>
      <c r="AT7" s="5191"/>
      <c r="AU7" s="5192"/>
      <c r="AV7" s="5182" t="s">
        <v>1176</v>
      </c>
      <c r="AW7" s="5182" t="s">
        <v>1273</v>
      </c>
      <c r="AX7" s="4488"/>
      <c r="AY7" s="5199" t="s">
        <v>166</v>
      </c>
      <c r="AZ7" s="5198" t="s">
        <v>224</v>
      </c>
      <c r="BA7" s="5198"/>
      <c r="BB7" s="5198"/>
      <c r="BC7" s="5198"/>
      <c r="BD7" s="5198"/>
      <c r="BE7" s="5198"/>
      <c r="BF7" s="5198"/>
      <c r="BG7" s="5198"/>
      <c r="BH7" s="5198"/>
      <c r="BI7" s="5198"/>
      <c r="BJ7" s="5198"/>
      <c r="BK7" s="5198"/>
      <c r="BL7" s="5198"/>
      <c r="BM7" s="5198"/>
      <c r="BN7" s="5198"/>
      <c r="BO7" s="5198"/>
      <c r="BP7" s="5198"/>
      <c r="BQ7" s="5198"/>
      <c r="BR7" s="5198"/>
      <c r="BS7" s="5198"/>
      <c r="BT7" s="5198"/>
      <c r="BU7" s="5198"/>
      <c r="BV7" s="5198"/>
      <c r="BW7" s="5198"/>
      <c r="BX7" s="5198"/>
      <c r="BY7" s="5198"/>
      <c r="BZ7" s="5198"/>
      <c r="CA7" s="5198"/>
      <c r="CB7" s="5198"/>
      <c r="CC7" s="5198"/>
      <c r="CD7" s="5198" t="s">
        <v>225</v>
      </c>
      <c r="CE7" s="5198"/>
      <c r="CF7" s="5198"/>
      <c r="CG7" s="5198"/>
      <c r="CH7" s="5198"/>
      <c r="CI7" s="5198"/>
      <c r="CJ7" s="5198" t="s">
        <v>1272</v>
      </c>
      <c r="CK7" s="5198"/>
      <c r="CL7" s="5198"/>
      <c r="CM7" s="5198"/>
      <c r="CN7" s="5198"/>
      <c r="CO7" s="5198"/>
      <c r="CP7" s="5198"/>
      <c r="CQ7" s="5198"/>
      <c r="CR7" s="166"/>
      <c r="CS7" s="166"/>
      <c r="CT7" s="166"/>
      <c r="CU7" s="166"/>
      <c r="CV7" s="166"/>
      <c r="CW7" s="166"/>
      <c r="CX7" s="166"/>
      <c r="CY7" s="166"/>
      <c r="CZ7" s="166"/>
      <c r="DA7" s="166"/>
      <c r="DB7" s="166"/>
      <c r="DC7" s="166"/>
      <c r="DD7" s="166"/>
      <c r="DE7" s="166"/>
      <c r="DF7" s="166"/>
      <c r="DG7" s="166"/>
      <c r="DH7" s="166"/>
      <c r="DI7" s="166"/>
      <c r="DJ7" s="166"/>
      <c r="DK7" s="166"/>
      <c r="DL7" s="166"/>
      <c r="DM7" s="166"/>
      <c r="DN7" s="166"/>
      <c r="DO7" s="166"/>
      <c r="DP7" s="166"/>
      <c r="DQ7" s="166"/>
    </row>
    <row r="8" spans="1:121" s="167" customFormat="1" ht="38.25" customHeight="1" thickBot="1">
      <c r="A8" s="5203"/>
      <c r="B8" s="5176"/>
      <c r="C8" s="5178" t="s">
        <v>207</v>
      </c>
      <c r="D8" s="5179"/>
      <c r="E8" s="5179"/>
      <c r="F8" s="5179"/>
      <c r="G8" s="5179"/>
      <c r="H8" s="5180"/>
      <c r="I8" s="5178" t="s">
        <v>208</v>
      </c>
      <c r="J8" s="5179"/>
      <c r="K8" s="5179"/>
      <c r="L8" s="5179"/>
      <c r="M8" s="5179"/>
      <c r="N8" s="5180"/>
      <c r="O8" s="5178" t="s">
        <v>209</v>
      </c>
      <c r="P8" s="5179"/>
      <c r="Q8" s="5179"/>
      <c r="R8" s="5179"/>
      <c r="S8" s="5179"/>
      <c r="T8" s="5180"/>
      <c r="U8" s="5187" t="s">
        <v>1029</v>
      </c>
      <c r="V8" s="5188"/>
      <c r="W8" s="5188"/>
      <c r="X8" s="5188"/>
      <c r="Y8" s="5188"/>
      <c r="Z8" s="5189"/>
      <c r="AA8" s="5187" t="s">
        <v>1193</v>
      </c>
      <c r="AB8" s="5188"/>
      <c r="AC8" s="5188"/>
      <c r="AD8" s="5188"/>
      <c r="AE8" s="5188"/>
      <c r="AF8" s="5189"/>
      <c r="AG8" s="5195"/>
      <c r="AH8" s="5196"/>
      <c r="AI8" s="5196"/>
      <c r="AJ8" s="5196"/>
      <c r="AK8" s="5196"/>
      <c r="AL8" s="5197"/>
      <c r="AM8" s="5187"/>
      <c r="AN8" s="5188"/>
      <c r="AO8" s="5188"/>
      <c r="AP8" s="5188"/>
      <c r="AQ8" s="5188"/>
      <c r="AR8" s="5188"/>
      <c r="AS8" s="5188"/>
      <c r="AT8" s="5188"/>
      <c r="AU8" s="5189"/>
      <c r="AV8" s="5183"/>
      <c r="AW8" s="5183"/>
      <c r="AX8" s="4488"/>
      <c r="AY8" s="5200"/>
      <c r="AZ8" s="5202" t="s">
        <v>207</v>
      </c>
      <c r="BA8" s="5202"/>
      <c r="BB8" s="5202"/>
      <c r="BC8" s="5202"/>
      <c r="BD8" s="5202"/>
      <c r="BE8" s="5202"/>
      <c r="BF8" s="5202" t="s">
        <v>208</v>
      </c>
      <c r="BG8" s="5202"/>
      <c r="BH8" s="5202"/>
      <c r="BI8" s="5202"/>
      <c r="BJ8" s="5202"/>
      <c r="BK8" s="5202"/>
      <c r="BL8" s="5202" t="s">
        <v>209</v>
      </c>
      <c r="BM8" s="5202"/>
      <c r="BN8" s="5202"/>
      <c r="BO8" s="5202"/>
      <c r="BP8" s="5202"/>
      <c r="BQ8" s="5202"/>
      <c r="BR8" s="5198" t="s">
        <v>1029</v>
      </c>
      <c r="BS8" s="5198"/>
      <c r="BT8" s="5198"/>
      <c r="BU8" s="5198"/>
      <c r="BV8" s="5198"/>
      <c r="BW8" s="5198"/>
      <c r="BX8" s="5198" t="s">
        <v>1193</v>
      </c>
      <c r="BY8" s="5198"/>
      <c r="BZ8" s="5198"/>
      <c r="CA8" s="5198"/>
      <c r="CB8" s="5198"/>
      <c r="CC8" s="5198"/>
      <c r="CD8" s="5198"/>
      <c r="CE8" s="5198"/>
      <c r="CF8" s="5198"/>
      <c r="CG8" s="5198"/>
      <c r="CH8" s="5198"/>
      <c r="CI8" s="5198"/>
      <c r="CJ8" s="5198"/>
      <c r="CK8" s="5198"/>
      <c r="CL8" s="5198"/>
      <c r="CM8" s="5198"/>
      <c r="CN8" s="5198"/>
      <c r="CO8" s="5198"/>
      <c r="CP8" s="5198"/>
      <c r="CQ8" s="5198"/>
      <c r="CR8" s="166"/>
      <c r="CS8" s="166"/>
      <c r="CT8" s="166"/>
      <c r="CU8" s="166"/>
      <c r="CV8" s="166"/>
      <c r="CW8" s="166"/>
      <c r="CX8" s="166"/>
      <c r="CY8" s="166"/>
      <c r="CZ8" s="166"/>
      <c r="DA8" s="166"/>
      <c r="DB8" s="166"/>
      <c r="DC8" s="166"/>
      <c r="DD8" s="166"/>
      <c r="DE8" s="166"/>
      <c r="DF8" s="166"/>
      <c r="DG8" s="166"/>
      <c r="DH8" s="166"/>
      <c r="DI8" s="166"/>
      <c r="DJ8" s="166"/>
      <c r="DK8" s="166"/>
      <c r="DL8" s="166"/>
      <c r="DM8" s="166"/>
      <c r="DN8" s="166"/>
      <c r="DO8" s="166"/>
      <c r="DP8" s="166"/>
      <c r="DQ8" s="166"/>
    </row>
    <row r="9" spans="1:121" s="167" customFormat="1" ht="23.4" thickBot="1">
      <c r="A9" s="5204"/>
      <c r="B9" s="5177"/>
      <c r="C9" s="154" t="str">
        <f>'Приложение '!C12</f>
        <v>2024 г.</v>
      </c>
      <c r="D9" s="155" t="str">
        <f>'Приложение '!C14</f>
        <v>2027 г.</v>
      </c>
      <c r="E9" s="155" t="str">
        <f>'Приложение '!C15</f>
        <v>2028 г.</v>
      </c>
      <c r="F9" s="155" t="str">
        <f>'Приложение '!C16</f>
        <v>2029 г.</v>
      </c>
      <c r="G9" s="155" t="str">
        <f>'Приложение '!C17</f>
        <v>2030 г.</v>
      </c>
      <c r="H9" s="156" t="str">
        <f>'Приложение '!C18</f>
        <v>2031 г.</v>
      </c>
      <c r="I9" s="157" t="str">
        <f t="shared" ref="I9:T9" si="0">C9</f>
        <v>2024 г.</v>
      </c>
      <c r="J9" s="158" t="str">
        <f t="shared" si="0"/>
        <v>2027 г.</v>
      </c>
      <c r="K9" s="158" t="str">
        <f t="shared" si="0"/>
        <v>2028 г.</v>
      </c>
      <c r="L9" s="158" t="str">
        <f t="shared" si="0"/>
        <v>2029 г.</v>
      </c>
      <c r="M9" s="158" t="str">
        <f t="shared" si="0"/>
        <v>2030 г.</v>
      </c>
      <c r="N9" s="159" t="str">
        <f t="shared" si="0"/>
        <v>2031 г.</v>
      </c>
      <c r="O9" s="157" t="str">
        <f t="shared" si="0"/>
        <v>2024 г.</v>
      </c>
      <c r="P9" s="158" t="str">
        <f t="shared" si="0"/>
        <v>2027 г.</v>
      </c>
      <c r="Q9" s="158" t="str">
        <f t="shared" si="0"/>
        <v>2028 г.</v>
      </c>
      <c r="R9" s="158" t="str">
        <f t="shared" si="0"/>
        <v>2029 г.</v>
      </c>
      <c r="S9" s="158" t="str">
        <f t="shared" si="0"/>
        <v>2030 г.</v>
      </c>
      <c r="T9" s="159" t="str">
        <f t="shared" si="0"/>
        <v>2031 г.</v>
      </c>
      <c r="U9" s="157" t="str">
        <f t="shared" ref="U9:Z9" si="1">AG9</f>
        <v>2024 г.</v>
      </c>
      <c r="V9" s="158" t="str">
        <f t="shared" si="1"/>
        <v>2027 г.</v>
      </c>
      <c r="W9" s="158" t="str">
        <f t="shared" si="1"/>
        <v>2028 г.</v>
      </c>
      <c r="X9" s="158" t="str">
        <f t="shared" si="1"/>
        <v>2029 г.</v>
      </c>
      <c r="Y9" s="158" t="str">
        <f t="shared" si="1"/>
        <v>2030 г.</v>
      </c>
      <c r="Z9" s="159" t="str">
        <f t="shared" si="1"/>
        <v>2031 г.</v>
      </c>
      <c r="AA9" s="157" t="str">
        <f t="shared" ref="AA9:AF9" si="2">U9</f>
        <v>2024 г.</v>
      </c>
      <c r="AB9" s="158" t="str">
        <f t="shared" si="2"/>
        <v>2027 г.</v>
      </c>
      <c r="AC9" s="158" t="str">
        <f t="shared" si="2"/>
        <v>2028 г.</v>
      </c>
      <c r="AD9" s="158" t="str">
        <f t="shared" si="2"/>
        <v>2029 г.</v>
      </c>
      <c r="AE9" s="158" t="str">
        <f t="shared" si="2"/>
        <v>2030 г.</v>
      </c>
      <c r="AF9" s="159" t="str">
        <f t="shared" si="2"/>
        <v>2031 г.</v>
      </c>
      <c r="AG9" s="157" t="str">
        <f t="shared" ref="AG9:AL9" si="3">O9</f>
        <v>2024 г.</v>
      </c>
      <c r="AH9" s="158" t="str">
        <f t="shared" si="3"/>
        <v>2027 г.</v>
      </c>
      <c r="AI9" s="158" t="str">
        <f t="shared" si="3"/>
        <v>2028 г.</v>
      </c>
      <c r="AJ9" s="158" t="str">
        <f t="shared" si="3"/>
        <v>2029 г.</v>
      </c>
      <c r="AK9" s="158" t="str">
        <f t="shared" si="3"/>
        <v>2030 г.</v>
      </c>
      <c r="AL9" s="159" t="str">
        <f t="shared" si="3"/>
        <v>2031 г.</v>
      </c>
      <c r="AM9" s="614" t="str">
        <f t="shared" ref="AM9" si="4">AG9</f>
        <v>2024 г.</v>
      </c>
      <c r="AN9" s="158" t="str">
        <f>+'9.Инвестиционна програма'!G9</f>
        <v>2025 г.</v>
      </c>
      <c r="AO9" s="158" t="str">
        <f>+'9.Инвестиционна програма'!H9</f>
        <v>2026 г.</v>
      </c>
      <c r="AP9" s="615" t="str">
        <f>AH9</f>
        <v>2027 г.</v>
      </c>
      <c r="AQ9" s="615" t="str">
        <f>AI9</f>
        <v>2028 г.</v>
      </c>
      <c r="AR9" s="615" t="str">
        <f>AJ9</f>
        <v>2029 г.</v>
      </c>
      <c r="AS9" s="615" t="str">
        <f>AK9</f>
        <v>2030 г.</v>
      </c>
      <c r="AT9" s="616" t="str">
        <f>AL9</f>
        <v>2031 г.</v>
      </c>
      <c r="AU9" s="4255" t="str">
        <f>CONCATENATE(AP9," спр. ", AM9 )</f>
        <v>2027 г. спр. 2024 г.</v>
      </c>
      <c r="AV9" s="4255" t="str">
        <f>AU9</f>
        <v>2027 г. спр. 2024 г.</v>
      </c>
      <c r="AW9" s="4255" t="str">
        <f>AU9</f>
        <v>2027 г. спр. 2024 г.</v>
      </c>
      <c r="AX9" s="4488"/>
      <c r="AY9" s="5201"/>
      <c r="AZ9" s="4499" t="str">
        <f t="shared" ref="AZ9:BE9" si="5">+C9</f>
        <v>2024 г.</v>
      </c>
      <c r="BA9" s="4499" t="str">
        <f t="shared" si="5"/>
        <v>2027 г.</v>
      </c>
      <c r="BB9" s="4499" t="str">
        <f t="shared" si="5"/>
        <v>2028 г.</v>
      </c>
      <c r="BC9" s="4499" t="str">
        <f t="shared" si="5"/>
        <v>2029 г.</v>
      </c>
      <c r="BD9" s="4499" t="str">
        <f t="shared" si="5"/>
        <v>2030 г.</v>
      </c>
      <c r="BE9" s="4499" t="str">
        <f t="shared" si="5"/>
        <v>2031 г.</v>
      </c>
      <c r="BF9" s="4500" t="str">
        <f t="shared" ref="BF9" si="6">AZ9</f>
        <v>2024 г.</v>
      </c>
      <c r="BG9" s="4500" t="str">
        <f t="shared" ref="BG9" si="7">BA9</f>
        <v>2027 г.</v>
      </c>
      <c r="BH9" s="4500" t="str">
        <f t="shared" ref="BH9" si="8">BB9</f>
        <v>2028 г.</v>
      </c>
      <c r="BI9" s="4500" t="str">
        <f t="shared" ref="BI9" si="9">BC9</f>
        <v>2029 г.</v>
      </c>
      <c r="BJ9" s="4500" t="str">
        <f t="shared" ref="BJ9" si="10">BD9</f>
        <v>2030 г.</v>
      </c>
      <c r="BK9" s="4500" t="str">
        <f t="shared" ref="BK9" si="11">BE9</f>
        <v>2031 г.</v>
      </c>
      <c r="BL9" s="4500" t="str">
        <f t="shared" ref="BL9" si="12">BF9</f>
        <v>2024 г.</v>
      </c>
      <c r="BM9" s="4500" t="str">
        <f t="shared" ref="BM9" si="13">BG9</f>
        <v>2027 г.</v>
      </c>
      <c r="BN9" s="4500" t="str">
        <f t="shared" ref="BN9" si="14">BH9</f>
        <v>2028 г.</v>
      </c>
      <c r="BO9" s="4500" t="str">
        <f t="shared" ref="BO9" si="15">BI9</f>
        <v>2029 г.</v>
      </c>
      <c r="BP9" s="4500" t="str">
        <f t="shared" ref="BP9" si="16">BJ9</f>
        <v>2030 г.</v>
      </c>
      <c r="BQ9" s="4500" t="str">
        <f t="shared" ref="BQ9" si="17">BK9</f>
        <v>2031 г.</v>
      </c>
      <c r="BR9" s="4500" t="str">
        <f t="shared" ref="BR9" si="18">CD9</f>
        <v>2024 г.</v>
      </c>
      <c r="BS9" s="4500" t="str">
        <f t="shared" ref="BS9" si="19">CE9</f>
        <v>2027 г.</v>
      </c>
      <c r="BT9" s="4500" t="str">
        <f t="shared" ref="BT9" si="20">CF9</f>
        <v>2028 г.</v>
      </c>
      <c r="BU9" s="4500" t="str">
        <f t="shared" ref="BU9" si="21">CG9</f>
        <v>2029 г.</v>
      </c>
      <c r="BV9" s="4500" t="str">
        <f t="shared" ref="BV9" si="22">CH9</f>
        <v>2030 г.</v>
      </c>
      <c r="BW9" s="4500" t="str">
        <f t="shared" ref="BW9" si="23">CI9</f>
        <v>2031 г.</v>
      </c>
      <c r="BX9" s="4500" t="str">
        <f t="shared" ref="BX9" si="24">BR9</f>
        <v>2024 г.</v>
      </c>
      <c r="BY9" s="4500" t="str">
        <f t="shared" ref="BY9" si="25">BS9</f>
        <v>2027 г.</v>
      </c>
      <c r="BZ9" s="4500" t="str">
        <f t="shared" ref="BZ9" si="26">BT9</f>
        <v>2028 г.</v>
      </c>
      <c r="CA9" s="4500" t="str">
        <f t="shared" ref="CA9" si="27">BU9</f>
        <v>2029 г.</v>
      </c>
      <c r="CB9" s="4500" t="str">
        <f t="shared" ref="CB9" si="28">BV9</f>
        <v>2030 г.</v>
      </c>
      <c r="CC9" s="4500" t="str">
        <f t="shared" ref="CC9" si="29">BW9</f>
        <v>2031 г.</v>
      </c>
      <c r="CD9" s="4500" t="str">
        <f t="shared" ref="CD9" si="30">BL9</f>
        <v>2024 г.</v>
      </c>
      <c r="CE9" s="4500" t="str">
        <f t="shared" ref="CE9" si="31">BM9</f>
        <v>2027 г.</v>
      </c>
      <c r="CF9" s="4500" t="str">
        <f t="shared" ref="CF9" si="32">BN9</f>
        <v>2028 г.</v>
      </c>
      <c r="CG9" s="4500" t="str">
        <f t="shared" ref="CG9" si="33">BO9</f>
        <v>2029 г.</v>
      </c>
      <c r="CH9" s="4500" t="str">
        <f t="shared" ref="CH9" si="34">BP9</f>
        <v>2030 г.</v>
      </c>
      <c r="CI9" s="4500" t="str">
        <f t="shared" ref="CI9" si="35">BQ9</f>
        <v>2031 г.</v>
      </c>
      <c r="CJ9" s="4500" t="str">
        <f t="shared" ref="CJ9:CQ9" si="36">+AM9</f>
        <v>2024 г.</v>
      </c>
      <c r="CK9" s="4500" t="str">
        <f t="shared" si="36"/>
        <v>2025 г.</v>
      </c>
      <c r="CL9" s="4500" t="str">
        <f t="shared" si="36"/>
        <v>2026 г.</v>
      </c>
      <c r="CM9" s="4500" t="str">
        <f t="shared" si="36"/>
        <v>2027 г.</v>
      </c>
      <c r="CN9" s="4500" t="str">
        <f t="shared" si="36"/>
        <v>2028 г.</v>
      </c>
      <c r="CO9" s="4500" t="str">
        <f t="shared" si="36"/>
        <v>2029 г.</v>
      </c>
      <c r="CP9" s="4500" t="str">
        <f t="shared" si="36"/>
        <v>2030 г.</v>
      </c>
      <c r="CQ9" s="4500" t="str">
        <f t="shared" si="36"/>
        <v>2031 г.</v>
      </c>
      <c r="CR9" s="166"/>
      <c r="CS9" s="166"/>
      <c r="CT9" s="166"/>
      <c r="CU9" s="166"/>
      <c r="CV9" s="166"/>
      <c r="CW9" s="166"/>
      <c r="CX9" s="166"/>
      <c r="CY9" s="166"/>
      <c r="CZ9" s="166"/>
      <c r="DA9" s="166"/>
      <c r="DB9" s="166"/>
      <c r="DC9" s="166"/>
      <c r="DD9" s="166"/>
      <c r="DE9" s="166"/>
      <c r="DF9" s="166"/>
      <c r="DG9" s="166"/>
      <c r="DH9" s="166"/>
      <c r="DI9" s="166"/>
      <c r="DJ9" s="166"/>
      <c r="DK9" s="166"/>
      <c r="DL9" s="166"/>
      <c r="DM9" s="166"/>
      <c r="DN9" s="166"/>
      <c r="DO9" s="166"/>
      <c r="DP9" s="166"/>
      <c r="DQ9" s="166"/>
    </row>
    <row r="10" spans="1:121" s="146" customFormat="1">
      <c r="A10" s="325">
        <v>1</v>
      </c>
      <c r="B10" s="326" t="s">
        <v>1468</v>
      </c>
      <c r="C10" s="160"/>
      <c r="D10" s="161"/>
      <c r="E10" s="161"/>
      <c r="F10" s="161"/>
      <c r="G10" s="161"/>
      <c r="H10" s="162"/>
      <c r="I10" s="163"/>
      <c r="J10" s="164"/>
      <c r="K10" s="164"/>
      <c r="L10" s="164"/>
      <c r="M10" s="164"/>
      <c r="N10" s="165"/>
      <c r="O10" s="163"/>
      <c r="P10" s="164"/>
      <c r="Q10" s="164"/>
      <c r="R10" s="164"/>
      <c r="S10" s="164"/>
      <c r="T10" s="165"/>
      <c r="U10" s="163"/>
      <c r="V10" s="164"/>
      <c r="W10" s="164"/>
      <c r="X10" s="164"/>
      <c r="Y10" s="164"/>
      <c r="Z10" s="165"/>
      <c r="AA10" s="163"/>
      <c r="AB10" s="164"/>
      <c r="AC10" s="164"/>
      <c r="AD10" s="164"/>
      <c r="AE10" s="164"/>
      <c r="AF10" s="165"/>
      <c r="AG10" s="163"/>
      <c r="AH10" s="164"/>
      <c r="AI10" s="164"/>
      <c r="AJ10" s="164"/>
      <c r="AK10" s="164"/>
      <c r="AL10" s="165"/>
      <c r="AM10" s="163"/>
      <c r="AN10" s="164"/>
      <c r="AO10" s="164"/>
      <c r="AP10" s="164"/>
      <c r="AQ10" s="164"/>
      <c r="AR10" s="164"/>
      <c r="AS10" s="164"/>
      <c r="AT10" s="165"/>
      <c r="AU10" s="774"/>
      <c r="AV10" s="774"/>
      <c r="AW10" s="617"/>
      <c r="AX10" s="4488"/>
      <c r="AY10" s="1"/>
      <c r="AZ10" s="166"/>
      <c r="BA10" s="166"/>
      <c r="BB10" s="166"/>
      <c r="BC10" s="166"/>
      <c r="BD10" s="166"/>
      <c r="BE10" s="166"/>
      <c r="BF10" s="166"/>
      <c r="BG10" s="166"/>
      <c r="BH10" s="166"/>
      <c r="BI10" s="166"/>
      <c r="BJ10" s="166"/>
      <c r="BK10" s="166"/>
      <c r="BL10" s="166"/>
      <c r="BM10" s="166"/>
      <c r="BN10" s="166"/>
      <c r="BO10" s="166"/>
      <c r="BP10" s="166"/>
      <c r="BQ10" s="166"/>
      <c r="BR10" s="166"/>
      <c r="BS10" s="166"/>
      <c r="BT10" s="166"/>
      <c r="BU10" s="166"/>
      <c r="BV10" s="166"/>
      <c r="BW10" s="166"/>
      <c r="BX10" s="166"/>
      <c r="BY10" s="166"/>
      <c r="BZ10" s="166"/>
      <c r="CA10" s="166"/>
      <c r="CB10" s="166"/>
      <c r="CC10" s="166"/>
      <c r="CD10" s="166"/>
      <c r="CE10" s="166"/>
      <c r="CF10" s="166"/>
      <c r="CG10" s="166"/>
      <c r="CH10" s="166"/>
      <c r="CI10" s="166"/>
      <c r="CJ10" s="166"/>
      <c r="CK10" s="166"/>
      <c r="CL10" s="166"/>
      <c r="CM10" s="166"/>
      <c r="CN10" s="166"/>
      <c r="CO10" s="166"/>
      <c r="CP10" s="166"/>
      <c r="CQ10" s="166"/>
      <c r="CR10" s="166"/>
      <c r="CS10" s="166"/>
      <c r="CT10" s="166"/>
      <c r="CU10" s="166"/>
      <c r="CV10" s="166"/>
      <c r="CW10" s="166"/>
      <c r="CX10" s="166"/>
      <c r="CY10" s="166"/>
      <c r="CZ10" s="166"/>
      <c r="DA10" s="166"/>
      <c r="DB10" s="166"/>
      <c r="DC10" s="166"/>
      <c r="DD10" s="166"/>
      <c r="DE10" s="166"/>
      <c r="DF10" s="166"/>
      <c r="DG10" s="166"/>
      <c r="DH10" s="166"/>
      <c r="DI10" s="166"/>
      <c r="DJ10" s="166"/>
      <c r="DK10" s="166"/>
      <c r="DL10" s="166"/>
      <c r="DM10" s="166"/>
      <c r="DN10" s="166"/>
      <c r="DO10" s="166"/>
      <c r="DP10" s="166"/>
      <c r="DQ10" s="166"/>
    </row>
    <row r="11" spans="1:121" s="653" customFormat="1" ht="34.200000000000003">
      <c r="A11" s="818" t="s">
        <v>463</v>
      </c>
      <c r="B11" s="819" t="s">
        <v>1314</v>
      </c>
      <c r="C11" s="965">
        <f>SUM(C12:C13)</f>
        <v>259.61890177725104</v>
      </c>
      <c r="D11" s="966">
        <f t="shared" ref="D11:H11" si="37">SUM(D12:D13)</f>
        <v>263.23674122805204</v>
      </c>
      <c r="E11" s="966">
        <f t="shared" si="37"/>
        <v>261.18466005678511</v>
      </c>
      <c r="F11" s="966">
        <f t="shared" si="37"/>
        <v>260.13243856818235</v>
      </c>
      <c r="G11" s="966">
        <f t="shared" si="37"/>
        <v>259.08006291570086</v>
      </c>
      <c r="H11" s="967">
        <f t="shared" si="37"/>
        <v>258.02754211807735</v>
      </c>
      <c r="I11" s="965">
        <f t="shared" ref="I11" si="38">SUM(I12:I13)</f>
        <v>7.8849537786250776</v>
      </c>
      <c r="J11" s="966">
        <f t="shared" ref="J11" si="39">SUM(J12:J13)</f>
        <v>10.090820609466149</v>
      </c>
      <c r="K11" s="966">
        <f t="shared" ref="K11" si="40">SUM(K12:K13)</f>
        <v>10.091354129616459</v>
      </c>
      <c r="L11" s="966">
        <f t="shared" ref="L11" si="41">SUM(L12:L13)</f>
        <v>10.09188933907026</v>
      </c>
      <c r="M11" s="966">
        <f t="shared" ref="M11" si="42">SUM(M12:M13)</f>
        <v>10.092426382045391</v>
      </c>
      <c r="N11" s="967">
        <f t="shared" ref="N11" si="43">SUM(N12:N13)</f>
        <v>10.092965168417717</v>
      </c>
      <c r="O11" s="965">
        <f t="shared" ref="O11" si="44">SUM(O12:O13)</f>
        <v>48.861952959814332</v>
      </c>
      <c r="P11" s="966">
        <f t="shared" ref="P11" si="45">SUM(P12:P13)</f>
        <v>56.485228874724257</v>
      </c>
      <c r="Q11" s="966">
        <f t="shared" ref="Q11" si="46">SUM(Q12:Q13)</f>
        <v>56.487287324582439</v>
      </c>
      <c r="R11" s="966">
        <f t="shared" ref="R11" si="47">SUM(R12:R13)</f>
        <v>56.489352212066748</v>
      </c>
      <c r="S11" s="966">
        <f t="shared" ref="S11" si="48">SUM(S12:S13)</f>
        <v>56.491424092786858</v>
      </c>
      <c r="T11" s="967">
        <f t="shared" ref="T11" si="49">SUM(T12:T13)</f>
        <v>56.493502618238082</v>
      </c>
      <c r="U11" s="965">
        <f t="shared" ref="U11" si="50">SUM(U12:U13)</f>
        <v>0</v>
      </c>
      <c r="V11" s="966">
        <f t="shared" ref="V11" si="51">SUM(V12:V13)</f>
        <v>0</v>
      </c>
      <c r="W11" s="966">
        <f t="shared" ref="W11" si="52">SUM(W12:W13)</f>
        <v>0</v>
      </c>
      <c r="X11" s="966">
        <f t="shared" ref="X11" si="53">SUM(X12:X13)</f>
        <v>0</v>
      </c>
      <c r="Y11" s="966">
        <f t="shared" ref="Y11" si="54">SUM(Y12:Y13)</f>
        <v>0</v>
      </c>
      <c r="Z11" s="967">
        <f t="shared" ref="Z11" si="55">SUM(Z12:Z13)</f>
        <v>0</v>
      </c>
      <c r="AA11" s="965">
        <f t="shared" ref="AA11" si="56">SUM(AA12:AA13)</f>
        <v>35.2640076770966</v>
      </c>
      <c r="AB11" s="966">
        <f t="shared" ref="AB11" si="57">SUM(AB12:AB13)</f>
        <v>37.124709287757575</v>
      </c>
      <c r="AC11" s="966">
        <f t="shared" ref="AC11" si="58">SUM(AC12:AC13)</f>
        <v>37.174198489015964</v>
      </c>
      <c r="AD11" s="966">
        <f t="shared" ref="AD11" si="59">SUM(AD12:AD13)</f>
        <v>37.22381988068063</v>
      </c>
      <c r="AE11" s="966">
        <f t="shared" ref="AE11" si="60">SUM(AE12:AE13)</f>
        <v>37.273586609466882</v>
      </c>
      <c r="AF11" s="967">
        <f t="shared" ref="AF11" si="61">SUM(AF12:AF13)</f>
        <v>37.323490095266905</v>
      </c>
      <c r="AG11" s="965">
        <f t="shared" ref="AG11" si="62">SUM(AG12:AG13)</f>
        <v>1.8701838072129244</v>
      </c>
      <c r="AH11" s="966">
        <f t="shared" ref="AH11" si="63">SUM(AH12:AH13)</f>
        <v>1.0625</v>
      </c>
      <c r="AI11" s="966">
        <f t="shared" ref="AI11" si="64">SUM(AI12:AI13)</f>
        <v>1.0625</v>
      </c>
      <c r="AJ11" s="966">
        <f>SUM(AJ12:AJ13)</f>
        <v>1.0625</v>
      </c>
      <c r="AK11" s="966">
        <f t="shared" ref="AK11" si="65">SUM(AK12:AK13)</f>
        <v>1.0625</v>
      </c>
      <c r="AL11" s="967">
        <f t="shared" ref="AL11" si="66">SUM(AL12:AL13)</f>
        <v>1.0625</v>
      </c>
      <c r="AM11" s="968">
        <f t="shared" ref="AM11" si="67">C11+I11+O11+U11+AA11</f>
        <v>351.62981619278708</v>
      </c>
      <c r="AN11" s="966">
        <f t="shared" ref="AN11:AO11" si="68">SUM(AN12:AN13)</f>
        <v>351</v>
      </c>
      <c r="AO11" s="966">
        <f t="shared" si="68"/>
        <v>356.10197663971246</v>
      </c>
      <c r="AP11" s="969">
        <f>D11+J11+P11+V11+AB11</f>
        <v>366.93750000000006</v>
      </c>
      <c r="AQ11" s="969">
        <f>E11+K11+Q11+W11+AC11</f>
        <v>364.93749999999994</v>
      </c>
      <c r="AR11" s="969">
        <f>F11+L11+R11+X11+AD11</f>
        <v>363.9375</v>
      </c>
      <c r="AS11" s="969">
        <f>G11+M11+S11+Y11+AE11</f>
        <v>362.9375</v>
      </c>
      <c r="AT11" s="970">
        <f>H11+N11+T11+Z11+AF11</f>
        <v>361.93750000000006</v>
      </c>
      <c r="AU11" s="971">
        <f>IFERROR((AP11-AM11)/AM11,0)</f>
        <v>4.3533520487410209E-2</v>
      </c>
      <c r="AV11" s="971">
        <f>IFERROR(((D11+V11+AB11)-(+C11+U11+AA11))/(C11+U11+AA11),0)</f>
        <v>1.857869983580759E-2</v>
      </c>
      <c r="AW11" s="971">
        <f>IFERROR(((J11+P11)-(I11+O11))/(I11+O11),0)</f>
        <v>0.17321019436453094</v>
      </c>
      <c r="AX11" s="4488"/>
      <c r="AY11" s="1"/>
      <c r="AZ11" s="166"/>
      <c r="BA11" s="166"/>
      <c r="BB11" s="166"/>
      <c r="BC11" s="166"/>
      <c r="BD11" s="166"/>
      <c r="BE11" s="166"/>
      <c r="BF11" s="166"/>
      <c r="BG11" s="166"/>
      <c r="BH11" s="166"/>
      <c r="BI11" s="166"/>
      <c r="BJ11" s="166"/>
      <c r="BK11" s="166"/>
      <c r="BL11" s="166"/>
      <c r="BM11" s="166"/>
      <c r="BN11" s="166"/>
      <c r="BO11" s="166"/>
      <c r="BP11" s="166"/>
      <c r="BQ11" s="166"/>
      <c r="BR11" s="166"/>
      <c r="BS11" s="166"/>
      <c r="BT11" s="166"/>
      <c r="BU11" s="166"/>
      <c r="BV11" s="166"/>
      <c r="BW11" s="166"/>
      <c r="BX11" s="166"/>
      <c r="BY11" s="166"/>
      <c r="BZ11" s="166"/>
      <c r="CA11" s="166"/>
      <c r="CB11" s="166"/>
      <c r="CC11" s="166"/>
      <c r="CD11" s="166"/>
      <c r="CE11" s="166"/>
      <c r="CF11" s="166"/>
      <c r="CG11" s="166"/>
      <c r="CH11" s="166"/>
      <c r="CI11" s="166"/>
      <c r="CJ11" s="166"/>
      <c r="CK11" s="166"/>
      <c r="CL11" s="166"/>
      <c r="CM11" s="166"/>
      <c r="CN11" s="166"/>
      <c r="CO11" s="166"/>
      <c r="CP11" s="166"/>
      <c r="CQ11" s="166"/>
      <c r="CR11" s="166"/>
      <c r="CS11" s="166"/>
      <c r="CT11" s="166"/>
      <c r="CU11" s="166"/>
      <c r="CV11" s="166"/>
      <c r="CW11" s="166"/>
      <c r="CX11" s="166"/>
      <c r="CY11" s="166"/>
      <c r="CZ11" s="166"/>
      <c r="DA11" s="166"/>
      <c r="DB11" s="166"/>
      <c r="DC11" s="166"/>
      <c r="DD11" s="166"/>
      <c r="DE11" s="166"/>
      <c r="DF11" s="166"/>
      <c r="DG11" s="166"/>
      <c r="DH11" s="166"/>
      <c r="DI11" s="166"/>
      <c r="DJ11" s="166"/>
      <c r="DK11" s="166"/>
      <c r="DL11" s="166"/>
      <c r="DM11" s="166"/>
      <c r="DN11" s="166"/>
      <c r="DO11" s="166"/>
      <c r="DP11" s="166"/>
      <c r="DQ11" s="166"/>
    </row>
    <row r="12" spans="1:121" s="166" customFormat="1" ht="36">
      <c r="A12" s="721" t="s">
        <v>1284</v>
      </c>
      <c r="B12" s="625" t="s">
        <v>1315</v>
      </c>
      <c r="C12" s="297">
        <v>254.61890177725107</v>
      </c>
      <c r="D12" s="298">
        <v>258.23674122805204</v>
      </c>
      <c r="E12" s="298">
        <v>256.18466005678511</v>
      </c>
      <c r="F12" s="298">
        <v>255.13243856818238</v>
      </c>
      <c r="G12" s="298">
        <v>254.08006291570086</v>
      </c>
      <c r="H12" s="618">
        <v>253.02754211807732</v>
      </c>
      <c r="I12" s="297">
        <v>7.8849537786250776</v>
      </c>
      <c r="J12" s="298">
        <v>10.090820609466149</v>
      </c>
      <c r="K12" s="298">
        <v>10.091354129616459</v>
      </c>
      <c r="L12" s="298">
        <v>10.09188933907026</v>
      </c>
      <c r="M12" s="298">
        <v>10.092426382045391</v>
      </c>
      <c r="N12" s="618">
        <v>10.092965168417717</v>
      </c>
      <c r="O12" s="297">
        <v>48.861952959814332</v>
      </c>
      <c r="P12" s="298">
        <v>56.485228874724257</v>
      </c>
      <c r="Q12" s="298">
        <v>56.487287324582439</v>
      </c>
      <c r="R12" s="298">
        <v>56.489352212066748</v>
      </c>
      <c r="S12" s="298">
        <v>56.491424092786858</v>
      </c>
      <c r="T12" s="618">
        <v>56.493502618238082</v>
      </c>
      <c r="U12" s="297">
        <v>0</v>
      </c>
      <c r="V12" s="298">
        <v>0</v>
      </c>
      <c r="W12" s="298">
        <v>0</v>
      </c>
      <c r="X12" s="298">
        <v>0</v>
      </c>
      <c r="Y12" s="298">
        <v>0</v>
      </c>
      <c r="Z12" s="618">
        <v>0</v>
      </c>
      <c r="AA12" s="297">
        <v>35.2640076770966</v>
      </c>
      <c r="AB12" s="298">
        <v>37.124709287757575</v>
      </c>
      <c r="AC12" s="298">
        <v>37.174198489015964</v>
      </c>
      <c r="AD12" s="298">
        <v>37.22381988068063</v>
      </c>
      <c r="AE12" s="298">
        <v>37.273586609466882</v>
      </c>
      <c r="AF12" s="618">
        <v>37.323490095266905</v>
      </c>
      <c r="AG12" s="297">
        <v>1.8701838072129244</v>
      </c>
      <c r="AH12" s="298">
        <v>1.0625</v>
      </c>
      <c r="AI12" s="298">
        <v>1.0625</v>
      </c>
      <c r="AJ12" s="298">
        <v>1.0625</v>
      </c>
      <c r="AK12" s="298">
        <v>1.0625</v>
      </c>
      <c r="AL12" s="618">
        <v>1.0625</v>
      </c>
      <c r="AM12" s="972">
        <f>C12+I12+O12+U12+AA12</f>
        <v>346.62981619278708</v>
      </c>
      <c r="AN12" s="298">
        <v>346</v>
      </c>
      <c r="AO12" s="298">
        <v>351.10197663971246</v>
      </c>
      <c r="AP12" s="973">
        <f t="shared" ref="AP12" si="69">D12+J12+P12+V12+AB12</f>
        <v>361.93750000000006</v>
      </c>
      <c r="AQ12" s="973">
        <f t="shared" ref="AQ12" si="70">E12+K12+Q12+W12+AC12</f>
        <v>359.93749999999994</v>
      </c>
      <c r="AR12" s="973">
        <f t="shared" ref="AR12" si="71">F12+L12+R12+X12+AD12</f>
        <v>358.93750000000006</v>
      </c>
      <c r="AS12" s="973">
        <f t="shared" ref="AS12" si="72">G12+M12+S12+Y12+AE12</f>
        <v>357.9375</v>
      </c>
      <c r="AT12" s="974">
        <f t="shared" ref="AT12" si="73">H12+N12+T12+Z12+AF12</f>
        <v>356.9375</v>
      </c>
      <c r="AU12" s="975">
        <f t="shared" ref="AU12:AU27" si="74">IFERROR((AP12-AM12)/AM12,0)</f>
        <v>4.416147455330046E-2</v>
      </c>
      <c r="AV12" s="975">
        <f t="shared" ref="AV12:AV27" si="75">IFERROR(((D12+V12+AB12)-(+C12+U12+AA12))/(C12+U12+AA12),0)</f>
        <v>1.889915163254819E-2</v>
      </c>
      <c r="AW12" s="971">
        <f t="shared" ref="AW12:AW27" si="76">IFERROR(((J12+P12)-(I12+O12))/(I12+O12),0)</f>
        <v>0.17321019436453094</v>
      </c>
      <c r="AX12" s="4488"/>
      <c r="AY12" s="1"/>
    </row>
    <row r="13" spans="1:121" s="166" customFormat="1" ht="24">
      <c r="A13" s="721" t="s">
        <v>1313</v>
      </c>
      <c r="B13" s="625" t="s">
        <v>1262</v>
      </c>
      <c r="C13" s="297">
        <v>5</v>
      </c>
      <c r="D13" s="298">
        <v>5</v>
      </c>
      <c r="E13" s="298">
        <v>5</v>
      </c>
      <c r="F13" s="298">
        <v>5</v>
      </c>
      <c r="G13" s="298">
        <v>5</v>
      </c>
      <c r="H13" s="618">
        <v>5</v>
      </c>
      <c r="I13" s="297">
        <v>0</v>
      </c>
      <c r="J13" s="298">
        <v>0</v>
      </c>
      <c r="K13" s="298">
        <v>0</v>
      </c>
      <c r="L13" s="298">
        <v>0</v>
      </c>
      <c r="M13" s="298">
        <v>0</v>
      </c>
      <c r="N13" s="618">
        <v>0</v>
      </c>
      <c r="O13" s="297">
        <v>0</v>
      </c>
      <c r="P13" s="298">
        <v>0</v>
      </c>
      <c r="Q13" s="298">
        <v>0</v>
      </c>
      <c r="R13" s="298">
        <v>0</v>
      </c>
      <c r="S13" s="298">
        <v>0</v>
      </c>
      <c r="T13" s="618">
        <v>0</v>
      </c>
      <c r="U13" s="297">
        <v>0</v>
      </c>
      <c r="V13" s="298">
        <v>0</v>
      </c>
      <c r="W13" s="298">
        <v>0</v>
      </c>
      <c r="X13" s="298">
        <v>0</v>
      </c>
      <c r="Y13" s="298">
        <v>0</v>
      </c>
      <c r="Z13" s="618">
        <v>0</v>
      </c>
      <c r="AA13" s="297">
        <v>0</v>
      </c>
      <c r="AB13" s="298">
        <v>0</v>
      </c>
      <c r="AC13" s="298">
        <v>0</v>
      </c>
      <c r="AD13" s="298">
        <v>0</v>
      </c>
      <c r="AE13" s="298">
        <v>0</v>
      </c>
      <c r="AF13" s="618">
        <v>0</v>
      </c>
      <c r="AG13" s="297">
        <v>0</v>
      </c>
      <c r="AH13" s="298">
        <v>0</v>
      </c>
      <c r="AI13" s="298">
        <v>0</v>
      </c>
      <c r="AJ13" s="298">
        <v>0</v>
      </c>
      <c r="AK13" s="298">
        <v>0</v>
      </c>
      <c r="AL13" s="618">
        <v>0</v>
      </c>
      <c r="AM13" s="972">
        <f>C13+I13+O13+U13+AA13</f>
        <v>5</v>
      </c>
      <c r="AN13" s="298">
        <v>5</v>
      </c>
      <c r="AO13" s="298">
        <v>5</v>
      </c>
      <c r="AP13" s="973">
        <f>D13+J13+P13+V13+AB13</f>
        <v>5</v>
      </c>
      <c r="AQ13" s="973">
        <f>E13+K13+Q13+W13+AC13</f>
        <v>5</v>
      </c>
      <c r="AR13" s="973">
        <f>F13+L13+R13+X13+AD13</f>
        <v>5</v>
      </c>
      <c r="AS13" s="973">
        <f>G13+M13+S13+Y13+AE13</f>
        <v>5</v>
      </c>
      <c r="AT13" s="974">
        <f>H13+N13+T13+Z13+AF13</f>
        <v>5</v>
      </c>
      <c r="AU13" s="975">
        <f t="shared" si="74"/>
        <v>0</v>
      </c>
      <c r="AV13" s="975">
        <f t="shared" si="75"/>
        <v>0</v>
      </c>
      <c r="AW13" s="971">
        <f t="shared" si="76"/>
        <v>0</v>
      </c>
      <c r="AX13" s="4488"/>
      <c r="AY13" s="1"/>
    </row>
    <row r="14" spans="1:121" s="167" customFormat="1" ht="22.8">
      <c r="A14" s="1960" t="s">
        <v>465</v>
      </c>
      <c r="B14" s="776" t="s">
        <v>1466</v>
      </c>
      <c r="C14" s="1961">
        <f>SUM(C15:C23)</f>
        <v>242.45000000000002</v>
      </c>
      <c r="D14" s="1962">
        <f t="shared" ref="D14:AT14" si="77">SUM(D15:D23)</f>
        <v>244.4896812364201</v>
      </c>
      <c r="E14" s="1962">
        <f t="shared" si="77"/>
        <v>241.94422043712296</v>
      </c>
      <c r="F14" s="1962">
        <f t="shared" si="77"/>
        <v>240.3143397331973</v>
      </c>
      <c r="G14" s="1962">
        <f t="shared" si="77"/>
        <v>238.68881317491136</v>
      </c>
      <c r="H14" s="1963">
        <f t="shared" si="77"/>
        <v>237.06773070495134</v>
      </c>
      <c r="I14" s="1961">
        <f t="shared" si="77"/>
        <v>7.5200000000000005</v>
      </c>
      <c r="J14" s="1962">
        <f t="shared" si="77"/>
        <v>9.0419931552331558</v>
      </c>
      <c r="K14" s="1962">
        <f t="shared" si="77"/>
        <v>9.0634930245175038</v>
      </c>
      <c r="L14" s="1962">
        <f t="shared" si="77"/>
        <v>9.08534048737015</v>
      </c>
      <c r="M14" s="1962">
        <f t="shared" si="77"/>
        <v>9.1075444583825558</v>
      </c>
      <c r="N14" s="1963">
        <f t="shared" si="77"/>
        <v>9.1301139419028878</v>
      </c>
      <c r="O14" s="1961">
        <f t="shared" si="77"/>
        <v>46.779999999999994</v>
      </c>
      <c r="P14" s="1962">
        <f t="shared" si="77"/>
        <v>58.969648970082204</v>
      </c>
      <c r="Q14" s="1962">
        <f t="shared" si="77"/>
        <v>57.90363386749911</v>
      </c>
      <c r="R14" s="1962">
        <f t="shared" si="77"/>
        <v>56.834581404557738</v>
      </c>
      <c r="S14" s="1962">
        <f t="shared" si="77"/>
        <v>55.762412039847582</v>
      </c>
      <c r="T14" s="1963">
        <f t="shared" si="77"/>
        <v>54.68704246438417</v>
      </c>
      <c r="U14" s="1961">
        <f t="shared" si="77"/>
        <v>0</v>
      </c>
      <c r="V14" s="1962">
        <f t="shared" si="77"/>
        <v>0</v>
      </c>
      <c r="W14" s="1962">
        <f t="shared" si="77"/>
        <v>0</v>
      </c>
      <c r="X14" s="1962">
        <f t="shared" si="77"/>
        <v>0</v>
      </c>
      <c r="Y14" s="1962">
        <f t="shared" si="77"/>
        <v>0</v>
      </c>
      <c r="Z14" s="1963">
        <f t="shared" si="77"/>
        <v>0</v>
      </c>
      <c r="AA14" s="1961">
        <f t="shared" si="77"/>
        <v>34.76</v>
      </c>
      <c r="AB14" s="1962">
        <f t="shared" si="77"/>
        <v>38.377093582516984</v>
      </c>
      <c r="AC14" s="1962">
        <f t="shared" si="77"/>
        <v>37.773979389721674</v>
      </c>
      <c r="AD14" s="1962">
        <f t="shared" si="77"/>
        <v>37.169255333652501</v>
      </c>
      <c r="AE14" s="1962">
        <f t="shared" si="77"/>
        <v>36.562927379468938</v>
      </c>
      <c r="AF14" s="1963">
        <f t="shared" si="77"/>
        <v>35.954979588916608</v>
      </c>
      <c r="AG14" s="1961">
        <f t="shared" si="77"/>
        <v>1.88</v>
      </c>
      <c r="AH14" s="1962">
        <f t="shared" si="77"/>
        <v>0.96448628155414173</v>
      </c>
      <c r="AI14" s="1962">
        <f t="shared" si="77"/>
        <v>0.9649958617840062</v>
      </c>
      <c r="AJ14" s="1962">
        <f t="shared" si="77"/>
        <v>0.96551529928692159</v>
      </c>
      <c r="AK14" s="1962">
        <f t="shared" si="77"/>
        <v>0.96604488287352464</v>
      </c>
      <c r="AL14" s="1963">
        <f t="shared" si="77"/>
        <v>0.96658491274830638</v>
      </c>
      <c r="AM14" s="968">
        <f>SUM(AM15:AM23)</f>
        <v>331.51000000000005</v>
      </c>
      <c r="AN14" s="1962">
        <f t="shared" ref="AN14:AO14" si="78">SUM(AN15:AN23)</f>
        <v>336.13166666666666</v>
      </c>
      <c r="AO14" s="1962">
        <f t="shared" si="78"/>
        <v>342.65861219289047</v>
      </c>
      <c r="AP14" s="969">
        <f t="shared" si="77"/>
        <v>350.87841694425242</v>
      </c>
      <c r="AQ14" s="969">
        <f t="shared" si="77"/>
        <v>346.68532671886123</v>
      </c>
      <c r="AR14" s="969">
        <f t="shared" si="77"/>
        <v>343.40351695877769</v>
      </c>
      <c r="AS14" s="969">
        <f t="shared" si="77"/>
        <v>340.12169705261044</v>
      </c>
      <c r="AT14" s="970">
        <f t="shared" si="77"/>
        <v>336.83986670015497</v>
      </c>
      <c r="AU14" s="971">
        <f t="shared" si="74"/>
        <v>5.8424834678448223E-2</v>
      </c>
      <c r="AV14" s="971">
        <f t="shared" si="75"/>
        <v>2.0406099415378368E-2</v>
      </c>
      <c r="AW14" s="971">
        <f t="shared" si="76"/>
        <v>0.25251642956381887</v>
      </c>
      <c r="AX14" s="4488"/>
      <c r="AY14" s="1"/>
      <c r="AZ14" s="166"/>
      <c r="BA14" s="166"/>
      <c r="BB14" s="166"/>
      <c r="BC14" s="166"/>
      <c r="BD14" s="166"/>
      <c r="BE14" s="166"/>
      <c r="BF14" s="166"/>
      <c r="BG14" s="166"/>
      <c r="BH14" s="166"/>
      <c r="BI14" s="166"/>
      <c r="BJ14" s="166"/>
      <c r="BK14" s="166"/>
      <c r="BL14" s="166"/>
      <c r="BM14" s="166"/>
      <c r="BN14" s="166"/>
      <c r="BO14" s="166"/>
      <c r="BP14" s="166"/>
      <c r="BQ14" s="166"/>
      <c r="BR14" s="166"/>
      <c r="BS14" s="166"/>
      <c r="BT14" s="166"/>
      <c r="BU14" s="166"/>
      <c r="BV14" s="166"/>
      <c r="BW14" s="166"/>
      <c r="BX14" s="166"/>
      <c r="BY14" s="166"/>
      <c r="BZ14" s="166"/>
      <c r="CA14" s="166"/>
      <c r="CB14" s="166"/>
      <c r="CC14" s="166"/>
      <c r="CD14" s="166"/>
      <c r="CE14" s="166"/>
      <c r="CF14" s="166"/>
      <c r="CG14" s="166"/>
      <c r="CH14" s="166"/>
      <c r="CI14" s="166"/>
      <c r="CJ14" s="166"/>
      <c r="CK14" s="166"/>
      <c r="CL14" s="166"/>
      <c r="CM14" s="166"/>
      <c r="CN14" s="166"/>
      <c r="CO14" s="166"/>
      <c r="CP14" s="166"/>
      <c r="CQ14" s="166"/>
      <c r="CR14" s="166"/>
      <c r="CS14" s="166"/>
      <c r="CT14" s="166"/>
      <c r="CU14" s="166"/>
      <c r="CV14" s="166"/>
      <c r="CW14" s="166"/>
      <c r="CX14" s="166"/>
      <c r="CY14" s="166"/>
      <c r="CZ14" s="166"/>
      <c r="DA14" s="166"/>
      <c r="DB14" s="166"/>
      <c r="DC14" s="166"/>
      <c r="DD14" s="166"/>
      <c r="DE14" s="166"/>
      <c r="DF14" s="166"/>
      <c r="DG14" s="166"/>
      <c r="DH14" s="166"/>
      <c r="DI14" s="166"/>
      <c r="DJ14" s="166"/>
      <c r="DK14" s="166"/>
      <c r="DL14" s="166"/>
      <c r="DM14" s="166"/>
      <c r="DN14" s="166"/>
      <c r="DO14" s="166"/>
      <c r="DP14" s="166"/>
      <c r="DQ14" s="166"/>
    </row>
    <row r="15" spans="1:121" s="166" customFormat="1">
      <c r="A15" s="1368" t="s">
        <v>1285</v>
      </c>
      <c r="B15" s="627" t="s">
        <v>1194</v>
      </c>
      <c r="C15" s="619">
        <v>11.630000000000003</v>
      </c>
      <c r="D15" s="620">
        <v>11.06842848300179</v>
      </c>
      <c r="E15" s="620">
        <v>11.08095145495917</v>
      </c>
      <c r="F15" s="620">
        <v>11.093738440139772</v>
      </c>
      <c r="G15" s="620">
        <v>11.106797033774377</v>
      </c>
      <c r="H15" s="621">
        <v>11.120135473451363</v>
      </c>
      <c r="I15" s="619">
        <v>0.32</v>
      </c>
      <c r="J15" s="620">
        <v>1.265633812039868</v>
      </c>
      <c r="K15" s="620">
        <v>1.2683950957101919</v>
      </c>
      <c r="L15" s="620">
        <v>1.2712012729645725</v>
      </c>
      <c r="M15" s="620">
        <v>1.2740535413332503</v>
      </c>
      <c r="N15" s="621">
        <v>1.2769531209148339</v>
      </c>
      <c r="O15" s="619">
        <v>4.03</v>
      </c>
      <c r="P15" s="620">
        <v>5.1408114431243543</v>
      </c>
      <c r="Q15" s="620">
        <v>5.1244420174862002</v>
      </c>
      <c r="R15" s="620">
        <v>5.1077590565157838</v>
      </c>
      <c r="S15" s="620">
        <v>5.0907535574508547</v>
      </c>
      <c r="T15" s="621">
        <v>5.0734161482663085</v>
      </c>
      <c r="U15" s="619">
        <v>0</v>
      </c>
      <c r="V15" s="620">
        <v>0</v>
      </c>
      <c r="W15" s="620">
        <v>0</v>
      </c>
      <c r="X15" s="620">
        <v>0</v>
      </c>
      <c r="Y15" s="620">
        <v>0</v>
      </c>
      <c r="Z15" s="621">
        <v>0</v>
      </c>
      <c r="AA15" s="619">
        <v>0.79</v>
      </c>
      <c r="AB15" s="620">
        <v>0.74095847113936564</v>
      </c>
      <c r="AC15" s="620">
        <v>0.74194809485671742</v>
      </c>
      <c r="AD15" s="620">
        <v>0.74294049886035607</v>
      </c>
      <c r="AE15" s="620">
        <v>0.74393583899951343</v>
      </c>
      <c r="AF15" s="621">
        <v>0.74493397332396749</v>
      </c>
      <c r="AG15" s="619">
        <v>0.03</v>
      </c>
      <c r="AH15" s="620">
        <v>9.9742423075306445E-3</v>
      </c>
      <c r="AI15" s="620">
        <v>1.0069788600630245E-2</v>
      </c>
      <c r="AJ15" s="620">
        <v>1.0167183132426883E-2</v>
      </c>
      <c r="AK15" s="620">
        <v>1.0266480054914947E-2</v>
      </c>
      <c r="AL15" s="621">
        <v>1.0367735656436521E-2</v>
      </c>
      <c r="AM15" s="976">
        <f t="shared" ref="AM15:AM23" si="79">C15+I15+O15+U15+AA15</f>
        <v>16.770000000000003</v>
      </c>
      <c r="AN15" s="620">
        <v>17.4791666666667</v>
      </c>
      <c r="AO15" s="620">
        <v>17.759931318425036</v>
      </c>
      <c r="AP15" s="977">
        <f t="shared" ref="AP15:AP23" si="80">D15+J15+P15+V15+AB15</f>
        <v>18.215832209305375</v>
      </c>
      <c r="AQ15" s="977">
        <f t="shared" ref="AQ15:AQ23" si="81">E15+K15+Q15+W15+AC15</f>
        <v>18.215736663012279</v>
      </c>
      <c r="AR15" s="977">
        <f t="shared" ref="AR15:AR23" si="82">F15+L15+R15+X15+AD15</f>
        <v>18.215639268480487</v>
      </c>
      <c r="AS15" s="977">
        <f t="shared" ref="AS15:AS23" si="83">G15+M15+S15+Y15+AE15</f>
        <v>18.215539971557995</v>
      </c>
      <c r="AT15" s="978">
        <f t="shared" ref="AT15:AT23" si="84">H15+N15+T15+Z15+AF15</f>
        <v>18.215438715956473</v>
      </c>
      <c r="AU15" s="979">
        <f t="shared" si="74"/>
        <v>8.6215397096325114E-2</v>
      </c>
      <c r="AV15" s="975">
        <f t="shared" si="75"/>
        <v>-4.9163691292982793E-2</v>
      </c>
      <c r="AW15" s="980">
        <f t="shared" si="76"/>
        <v>0.47274603566993589</v>
      </c>
      <c r="AX15" s="4488"/>
      <c r="AY15" s="1"/>
    </row>
    <row r="16" spans="1:121" s="166" customFormat="1">
      <c r="A16" s="1368" t="s">
        <v>1318</v>
      </c>
      <c r="B16" s="628" t="s">
        <v>1195</v>
      </c>
      <c r="C16" s="297">
        <v>13.17</v>
      </c>
      <c r="D16" s="298">
        <v>13.222801628903797</v>
      </c>
      <c r="E16" s="298">
        <v>13.248978415437474</v>
      </c>
      <c r="F16" s="298">
        <v>13.275651749808574</v>
      </c>
      <c r="G16" s="298">
        <v>13.302835474605788</v>
      </c>
      <c r="H16" s="618">
        <v>13.330544052111257</v>
      </c>
      <c r="I16" s="297">
        <v>1.26</v>
      </c>
      <c r="J16" s="298">
        <v>1.3362370352954502</v>
      </c>
      <c r="K16" s="298">
        <v>1.3400346989172336</v>
      </c>
      <c r="L16" s="298">
        <v>1.3439008977258622</v>
      </c>
      <c r="M16" s="298">
        <v>1.3478375433883416</v>
      </c>
      <c r="N16" s="618">
        <v>1.3518466030641625</v>
      </c>
      <c r="O16" s="297">
        <v>2.17</v>
      </c>
      <c r="P16" s="298">
        <v>2.7222299904745721</v>
      </c>
      <c r="Q16" s="298">
        <v>2.6919370526754465</v>
      </c>
      <c r="R16" s="298">
        <v>2.6610728710563967</v>
      </c>
      <c r="S16" s="298">
        <v>2.6296215108550776</v>
      </c>
      <c r="T16" s="618">
        <v>2.5975663550020465</v>
      </c>
      <c r="U16" s="297">
        <v>0</v>
      </c>
      <c r="V16" s="298">
        <v>0</v>
      </c>
      <c r="W16" s="298">
        <v>0</v>
      </c>
      <c r="X16" s="298">
        <v>0</v>
      </c>
      <c r="Y16" s="298">
        <v>0</v>
      </c>
      <c r="Z16" s="618">
        <v>0</v>
      </c>
      <c r="AA16" s="297">
        <v>0</v>
      </c>
      <c r="AB16" s="298">
        <v>0</v>
      </c>
      <c r="AC16" s="298">
        <v>0</v>
      </c>
      <c r="AD16" s="298">
        <v>0</v>
      </c>
      <c r="AE16" s="298">
        <v>0</v>
      </c>
      <c r="AF16" s="618">
        <v>0</v>
      </c>
      <c r="AG16" s="297">
        <v>0.14000000000000001</v>
      </c>
      <c r="AH16" s="298">
        <v>3.3247474358435426E-2</v>
      </c>
      <c r="AI16" s="298">
        <v>3.3565962002100755E-2</v>
      </c>
      <c r="AJ16" s="298">
        <v>3.3890610441422879E-2</v>
      </c>
      <c r="AK16" s="298">
        <v>3.4221600183049761E-2</v>
      </c>
      <c r="AL16" s="618">
        <v>3.4559118854788344E-2</v>
      </c>
      <c r="AM16" s="972">
        <f t="shared" si="79"/>
        <v>16.600000000000001</v>
      </c>
      <c r="AN16" s="298">
        <v>17.933333333333302</v>
      </c>
      <c r="AO16" s="298">
        <v>16.824771061416758</v>
      </c>
      <c r="AP16" s="973">
        <f t="shared" si="80"/>
        <v>17.28126865467382</v>
      </c>
      <c r="AQ16" s="973">
        <f t="shared" si="81"/>
        <v>17.280950167030152</v>
      </c>
      <c r="AR16" s="973">
        <f t="shared" si="82"/>
        <v>17.280625518590835</v>
      </c>
      <c r="AS16" s="973">
        <f t="shared" si="83"/>
        <v>17.280294528849208</v>
      </c>
      <c r="AT16" s="974">
        <f t="shared" si="84"/>
        <v>17.279957010177466</v>
      </c>
      <c r="AU16" s="975">
        <f t="shared" si="74"/>
        <v>4.1040280402037256E-2</v>
      </c>
      <c r="AV16" s="975">
        <f t="shared" si="75"/>
        <v>4.009235300212387E-3</v>
      </c>
      <c r="AW16" s="971">
        <f t="shared" si="76"/>
        <v>0.18322653812537118</v>
      </c>
      <c r="AX16" s="4488"/>
      <c r="AY16" s="1"/>
    </row>
    <row r="17" spans="1:121" s="166" customFormat="1">
      <c r="A17" s="1368" t="s">
        <v>1319</v>
      </c>
      <c r="B17" s="628" t="s">
        <v>1196</v>
      </c>
      <c r="C17" s="297">
        <v>21.91</v>
      </c>
      <c r="D17" s="298">
        <v>20.161272439281252</v>
      </c>
      <c r="E17" s="298">
        <v>20.182711113748308</v>
      </c>
      <c r="F17" s="298">
        <v>20.204584252203684</v>
      </c>
      <c r="G17" s="298">
        <v>20.226902649301703</v>
      </c>
      <c r="H17" s="618">
        <v>20.249678717043214</v>
      </c>
      <c r="I17" s="297">
        <v>0.55000000000000004</v>
      </c>
      <c r="J17" s="298">
        <v>0.58710366745453346</v>
      </c>
      <c r="K17" s="298">
        <v>0.59139199637789897</v>
      </c>
      <c r="L17" s="298">
        <v>0.59574284452556203</v>
      </c>
      <c r="M17" s="298">
        <v>0.60015770466014573</v>
      </c>
      <c r="N17" s="618">
        <v>0.6046380585201907</v>
      </c>
      <c r="O17" s="297">
        <v>6.69</v>
      </c>
      <c r="P17" s="298">
        <v>8.4808857165851101</v>
      </c>
      <c r="Q17" s="298">
        <v>8.3631740957968184</v>
      </c>
      <c r="R17" s="298">
        <v>8.2449597794769609</v>
      </c>
      <c r="S17" s="298">
        <v>8.1262298497463661</v>
      </c>
      <c r="T17" s="618">
        <v>8.0069707585820087</v>
      </c>
      <c r="U17" s="297">
        <v>0</v>
      </c>
      <c r="V17" s="298">
        <v>0</v>
      </c>
      <c r="W17" s="298">
        <v>0</v>
      </c>
      <c r="X17" s="298">
        <v>0</v>
      </c>
      <c r="Y17" s="298">
        <v>0</v>
      </c>
      <c r="Z17" s="618">
        <v>0</v>
      </c>
      <c r="AA17" s="297">
        <v>0.54</v>
      </c>
      <c r="AB17" s="298">
        <v>1.4661231066626343</v>
      </c>
      <c r="AC17" s="298">
        <v>1.4680758752961398</v>
      </c>
      <c r="AD17" s="298">
        <v>1.4700337401690182</v>
      </c>
      <c r="AE17" s="298">
        <v>1.4719973136928435</v>
      </c>
      <c r="AF17" s="618">
        <v>1.4739662313884836</v>
      </c>
      <c r="AG17" s="297">
        <v>0.02</v>
      </c>
      <c r="AH17" s="298">
        <v>3.3247474358435421E-3</v>
      </c>
      <c r="AI17" s="298">
        <v>3.3565962002100758E-3</v>
      </c>
      <c r="AJ17" s="298">
        <v>3.3890610441422884E-3</v>
      </c>
      <c r="AK17" s="298">
        <v>3.4221600183049761E-3</v>
      </c>
      <c r="AL17" s="618">
        <v>3.4559118854788342E-3</v>
      </c>
      <c r="AM17" s="972">
        <f t="shared" si="79"/>
        <v>29.69</v>
      </c>
      <c r="AN17" s="298">
        <v>29.55</v>
      </c>
      <c r="AO17" s="298">
        <v>28.843364202915879</v>
      </c>
      <c r="AP17" s="973">
        <f t="shared" si="80"/>
        <v>30.695384929983533</v>
      </c>
      <c r="AQ17" s="973">
        <f t="shared" si="81"/>
        <v>30.605353081219164</v>
      </c>
      <c r="AR17" s="973">
        <f t="shared" si="82"/>
        <v>30.515320616375227</v>
      </c>
      <c r="AS17" s="973">
        <f t="shared" si="83"/>
        <v>30.425287517401056</v>
      </c>
      <c r="AT17" s="974">
        <f t="shared" si="84"/>
        <v>30.335253765533896</v>
      </c>
      <c r="AU17" s="975">
        <f t="shared" si="74"/>
        <v>3.3862746041883843E-2</v>
      </c>
      <c r="AV17" s="975">
        <f t="shared" si="75"/>
        <v>-3.6641623788690958E-2</v>
      </c>
      <c r="AW17" s="971">
        <f t="shared" si="76"/>
        <v>0.2524847215524369</v>
      </c>
      <c r="AX17" s="4488"/>
      <c r="AY17" s="1"/>
    </row>
    <row r="18" spans="1:121" s="166" customFormat="1">
      <c r="A18" s="1368" t="s">
        <v>1320</v>
      </c>
      <c r="B18" s="628" t="s">
        <v>1197</v>
      </c>
      <c r="C18" s="297">
        <v>16.64</v>
      </c>
      <c r="D18" s="298">
        <v>17.711802465322236</v>
      </c>
      <c r="E18" s="298">
        <v>17.738784197181129</v>
      </c>
      <c r="F18" s="298">
        <v>17.766269160869452</v>
      </c>
      <c r="G18" s="298">
        <v>17.79427055555832</v>
      </c>
      <c r="H18" s="618">
        <v>17.822802275881806</v>
      </c>
      <c r="I18" s="297">
        <v>0.41</v>
      </c>
      <c r="J18" s="298">
        <v>0.52864962674940585</v>
      </c>
      <c r="K18" s="298">
        <v>0.53283367003347548</v>
      </c>
      <c r="L18" s="298">
        <v>0.53708412090010127</v>
      </c>
      <c r="M18" s="298">
        <v>0.54140266323497876</v>
      </c>
      <c r="N18" s="618">
        <v>0.54579099328365444</v>
      </c>
      <c r="O18" s="297">
        <v>1.82</v>
      </c>
      <c r="P18" s="298">
        <v>2.7125758324115146</v>
      </c>
      <c r="Q18" s="298">
        <v>2.6813463597398206</v>
      </c>
      <c r="R18" s="298">
        <v>2.649546015497005</v>
      </c>
      <c r="S18" s="298">
        <v>2.6171598805249365</v>
      </c>
      <c r="T18" s="618">
        <v>2.5841723264184262</v>
      </c>
      <c r="U18" s="297">
        <v>0</v>
      </c>
      <c r="V18" s="298">
        <v>0</v>
      </c>
      <c r="W18" s="298">
        <v>0</v>
      </c>
      <c r="X18" s="298">
        <v>0</v>
      </c>
      <c r="Y18" s="298">
        <v>0</v>
      </c>
      <c r="Z18" s="618">
        <v>0</v>
      </c>
      <c r="AA18" s="297">
        <v>0</v>
      </c>
      <c r="AB18" s="298">
        <v>0</v>
      </c>
      <c r="AC18" s="298">
        <v>0</v>
      </c>
      <c r="AD18" s="298">
        <v>0</v>
      </c>
      <c r="AE18" s="298">
        <v>0</v>
      </c>
      <c r="AF18" s="618">
        <v>0</v>
      </c>
      <c r="AG18" s="297">
        <v>0.02</v>
      </c>
      <c r="AH18" s="298">
        <v>6.6494948716870842E-3</v>
      </c>
      <c r="AI18" s="298">
        <v>6.7131924004201517E-3</v>
      </c>
      <c r="AJ18" s="298">
        <v>6.7781220882845768E-3</v>
      </c>
      <c r="AK18" s="298">
        <v>6.8443200366099521E-3</v>
      </c>
      <c r="AL18" s="618">
        <v>6.9118237709576685E-3</v>
      </c>
      <c r="AM18" s="972">
        <f t="shared" si="79"/>
        <v>18.87</v>
      </c>
      <c r="AN18" s="298">
        <v>18.175000000000001</v>
      </c>
      <c r="AO18" s="298">
        <v>20.8009757176597</v>
      </c>
      <c r="AP18" s="973">
        <f t="shared" si="80"/>
        <v>20.953027924483155</v>
      </c>
      <c r="AQ18" s="973">
        <f t="shared" si="81"/>
        <v>20.952964226954425</v>
      </c>
      <c r="AR18" s="973">
        <f t="shared" si="82"/>
        <v>20.952899297266558</v>
      </c>
      <c r="AS18" s="973">
        <f t="shared" si="83"/>
        <v>20.952833099318237</v>
      </c>
      <c r="AT18" s="974">
        <f t="shared" si="84"/>
        <v>20.952765595583884</v>
      </c>
      <c r="AU18" s="975">
        <f t="shared" si="74"/>
        <v>0.11038833728050633</v>
      </c>
      <c r="AV18" s="975">
        <f t="shared" si="75"/>
        <v>6.4411205848692046E-2</v>
      </c>
      <c r="AW18" s="971">
        <f t="shared" si="76"/>
        <v>0.45346433146229614</v>
      </c>
      <c r="AX18" s="4488"/>
      <c r="AY18" s="1"/>
    </row>
    <row r="19" spans="1:121" s="166" customFormat="1" ht="24">
      <c r="A19" s="1368" t="s">
        <v>1321</v>
      </c>
      <c r="B19" s="628" t="s">
        <v>1198</v>
      </c>
      <c r="C19" s="297">
        <v>3.81</v>
      </c>
      <c r="D19" s="298">
        <v>4.4800000000000004</v>
      </c>
      <c r="E19" s="298">
        <v>4.3600000000000003</v>
      </c>
      <c r="F19" s="298">
        <v>4.24</v>
      </c>
      <c r="G19" s="298">
        <v>4.12</v>
      </c>
      <c r="H19" s="618">
        <v>4</v>
      </c>
      <c r="I19" s="297">
        <v>0</v>
      </c>
      <c r="J19" s="298">
        <v>0</v>
      </c>
      <c r="K19" s="298">
        <v>0</v>
      </c>
      <c r="L19" s="298">
        <v>0</v>
      </c>
      <c r="M19" s="298">
        <v>0</v>
      </c>
      <c r="N19" s="618">
        <v>0</v>
      </c>
      <c r="O19" s="297">
        <v>0</v>
      </c>
      <c r="P19" s="298">
        <v>0</v>
      </c>
      <c r="Q19" s="298">
        <v>0</v>
      </c>
      <c r="R19" s="298">
        <v>0</v>
      </c>
      <c r="S19" s="298">
        <v>0</v>
      </c>
      <c r="T19" s="618">
        <v>0</v>
      </c>
      <c r="U19" s="619">
        <v>0</v>
      </c>
      <c r="V19" s="620">
        <v>0</v>
      </c>
      <c r="W19" s="620">
        <v>0</v>
      </c>
      <c r="X19" s="620">
        <v>0</v>
      </c>
      <c r="Y19" s="620">
        <v>0</v>
      </c>
      <c r="Z19" s="621">
        <v>0</v>
      </c>
      <c r="AA19" s="619">
        <v>0</v>
      </c>
      <c r="AB19" s="620">
        <v>0</v>
      </c>
      <c r="AC19" s="620">
        <v>0</v>
      </c>
      <c r="AD19" s="620">
        <v>0</v>
      </c>
      <c r="AE19" s="620">
        <v>0</v>
      </c>
      <c r="AF19" s="621">
        <v>0</v>
      </c>
      <c r="AG19" s="297">
        <v>1</v>
      </c>
      <c r="AH19" s="298">
        <v>0.91129032258064502</v>
      </c>
      <c r="AI19" s="298">
        <v>0.91129032258064502</v>
      </c>
      <c r="AJ19" s="298">
        <v>0.91129032258064502</v>
      </c>
      <c r="AK19" s="298">
        <v>0.91129032258064502</v>
      </c>
      <c r="AL19" s="618">
        <v>0.91129032258064502</v>
      </c>
      <c r="AM19" s="972">
        <f t="shared" si="79"/>
        <v>3.81</v>
      </c>
      <c r="AN19" s="620">
        <v>4</v>
      </c>
      <c r="AO19" s="620">
        <v>4.5999999999999996</v>
      </c>
      <c r="AP19" s="973">
        <f t="shared" si="80"/>
        <v>4.4800000000000004</v>
      </c>
      <c r="AQ19" s="973">
        <f t="shared" si="81"/>
        <v>4.3600000000000003</v>
      </c>
      <c r="AR19" s="973">
        <f t="shared" si="82"/>
        <v>4.24</v>
      </c>
      <c r="AS19" s="973">
        <f t="shared" si="83"/>
        <v>4.12</v>
      </c>
      <c r="AT19" s="974">
        <f t="shared" si="84"/>
        <v>4</v>
      </c>
      <c r="AU19" s="975">
        <f t="shared" si="74"/>
        <v>0.17585301837270351</v>
      </c>
      <c r="AV19" s="975">
        <f t="shared" si="75"/>
        <v>0.17585301837270351</v>
      </c>
      <c r="AW19" s="971">
        <f t="shared" si="76"/>
        <v>0</v>
      </c>
      <c r="AX19" s="4488"/>
      <c r="AY19" s="1"/>
    </row>
    <row r="20" spans="1:121" s="166" customFormat="1" ht="24">
      <c r="A20" s="1368" t="s">
        <v>1322</v>
      </c>
      <c r="B20" s="628" t="s">
        <v>1199</v>
      </c>
      <c r="C20" s="297">
        <v>0</v>
      </c>
      <c r="D20" s="298">
        <v>0</v>
      </c>
      <c r="E20" s="298">
        <v>0</v>
      </c>
      <c r="F20" s="298">
        <v>0</v>
      </c>
      <c r="G20" s="298">
        <v>0</v>
      </c>
      <c r="H20" s="618">
        <v>0</v>
      </c>
      <c r="I20" s="297">
        <v>0</v>
      </c>
      <c r="J20" s="298">
        <v>0</v>
      </c>
      <c r="K20" s="298">
        <v>0</v>
      </c>
      <c r="L20" s="298">
        <v>0</v>
      </c>
      <c r="M20" s="298">
        <v>0</v>
      </c>
      <c r="N20" s="618">
        <v>0</v>
      </c>
      <c r="O20" s="297">
        <v>0</v>
      </c>
      <c r="P20" s="298">
        <v>0</v>
      </c>
      <c r="Q20" s="298">
        <v>0</v>
      </c>
      <c r="R20" s="298">
        <v>0</v>
      </c>
      <c r="S20" s="298">
        <v>0</v>
      </c>
      <c r="T20" s="618">
        <v>0</v>
      </c>
      <c r="U20" s="297">
        <v>0</v>
      </c>
      <c r="V20" s="298">
        <v>0</v>
      </c>
      <c r="W20" s="298">
        <v>0</v>
      </c>
      <c r="X20" s="298">
        <v>0</v>
      </c>
      <c r="Y20" s="298">
        <v>0</v>
      </c>
      <c r="Z20" s="618">
        <v>0</v>
      </c>
      <c r="AA20" s="297">
        <v>0</v>
      </c>
      <c r="AB20" s="298">
        <v>0</v>
      </c>
      <c r="AC20" s="298">
        <v>0</v>
      </c>
      <c r="AD20" s="298">
        <v>0</v>
      </c>
      <c r="AE20" s="298">
        <v>0</v>
      </c>
      <c r="AF20" s="618">
        <v>0</v>
      </c>
      <c r="AG20" s="297">
        <v>0</v>
      </c>
      <c r="AH20" s="298">
        <v>0</v>
      </c>
      <c r="AI20" s="298">
        <v>0</v>
      </c>
      <c r="AJ20" s="298">
        <v>0</v>
      </c>
      <c r="AK20" s="298">
        <v>0</v>
      </c>
      <c r="AL20" s="618">
        <v>0</v>
      </c>
      <c r="AM20" s="972">
        <f t="shared" si="79"/>
        <v>0</v>
      </c>
      <c r="AN20" s="298">
        <v>0</v>
      </c>
      <c r="AO20" s="298">
        <v>0</v>
      </c>
      <c r="AP20" s="973">
        <f t="shared" si="80"/>
        <v>0</v>
      </c>
      <c r="AQ20" s="973">
        <f t="shared" si="81"/>
        <v>0</v>
      </c>
      <c r="AR20" s="973">
        <f t="shared" si="82"/>
        <v>0</v>
      </c>
      <c r="AS20" s="973">
        <f t="shared" si="83"/>
        <v>0</v>
      </c>
      <c r="AT20" s="974">
        <f t="shared" si="84"/>
        <v>0</v>
      </c>
      <c r="AU20" s="975">
        <f t="shared" si="74"/>
        <v>0</v>
      </c>
      <c r="AV20" s="975">
        <f>IFERROR(((D20+V20+AB20)-(+C20+U20+AA20))/(C20+U20+AA20),0)</f>
        <v>0</v>
      </c>
      <c r="AW20" s="971">
        <f t="shared" si="76"/>
        <v>0</v>
      </c>
      <c r="AX20" s="4488"/>
      <c r="AY20" s="1"/>
    </row>
    <row r="21" spans="1:121" s="166" customFormat="1" ht="24">
      <c r="A21" s="1368" t="s">
        <v>1323</v>
      </c>
      <c r="B21" s="628" t="s">
        <v>1200</v>
      </c>
      <c r="C21" s="297">
        <v>54.63</v>
      </c>
      <c r="D21" s="298">
        <v>58.416103631687307</v>
      </c>
      <c r="E21" s="298">
        <v>58.348297324942706</v>
      </c>
      <c r="F21" s="298">
        <v>58.28050059531293</v>
      </c>
      <c r="G21" s="298">
        <v>58.212712480682789</v>
      </c>
      <c r="H21" s="618">
        <v>58.144935430627456</v>
      </c>
      <c r="I21" s="297">
        <v>2.5099999999999998</v>
      </c>
      <c r="J21" s="298">
        <v>2.7614881955250112</v>
      </c>
      <c r="K21" s="298">
        <v>2.7617219812619038</v>
      </c>
      <c r="L21" s="298">
        <v>2.7619595403891091</v>
      </c>
      <c r="M21" s="298">
        <v>2.7622009655257531</v>
      </c>
      <c r="N21" s="618">
        <v>2.7624463492728197</v>
      </c>
      <c r="O21" s="297">
        <v>5.97</v>
      </c>
      <c r="P21" s="298">
        <v>5.1666818131392001</v>
      </c>
      <c r="Q21" s="298">
        <v>5.1043845757745734</v>
      </c>
      <c r="R21" s="298">
        <v>5.0420466493751617</v>
      </c>
      <c r="S21" s="298">
        <v>4.9796670442315758</v>
      </c>
      <c r="T21" s="618">
        <v>4.9172447182485728</v>
      </c>
      <c r="U21" s="297">
        <v>0</v>
      </c>
      <c r="V21" s="298">
        <v>0</v>
      </c>
      <c r="W21" s="298">
        <v>0</v>
      </c>
      <c r="X21" s="298">
        <v>0</v>
      </c>
      <c r="Y21" s="298">
        <v>0</v>
      </c>
      <c r="Z21" s="618">
        <v>0</v>
      </c>
      <c r="AA21" s="297">
        <v>7.64</v>
      </c>
      <c r="AB21" s="298">
        <v>7.3937908757775634</v>
      </c>
      <c r="AC21" s="298">
        <v>7.4036606341498832</v>
      </c>
      <c r="AD21" s="298">
        <v>7.4135577310518705</v>
      </c>
      <c r="AE21" s="298">
        <v>7.4234840256889552</v>
      </c>
      <c r="AF21" s="618">
        <v>7.4334380179802277</v>
      </c>
      <c r="AG21" s="297">
        <v>0.4</v>
      </c>
      <c r="AH21" s="298">
        <v>0</v>
      </c>
      <c r="AI21" s="298">
        <v>0</v>
      </c>
      <c r="AJ21" s="298">
        <v>0</v>
      </c>
      <c r="AK21" s="298">
        <v>0</v>
      </c>
      <c r="AL21" s="618">
        <v>0</v>
      </c>
      <c r="AM21" s="972">
        <f t="shared" si="79"/>
        <v>70.75</v>
      </c>
      <c r="AN21" s="298">
        <v>71.204166666666694</v>
      </c>
      <c r="AO21" s="298">
        <v>70.212903225806471</v>
      </c>
      <c r="AP21" s="973">
        <f t="shared" si="80"/>
        <v>73.738064516129086</v>
      </c>
      <c r="AQ21" s="973">
        <f t="shared" si="81"/>
        <v>73.618064516129067</v>
      </c>
      <c r="AR21" s="973">
        <f t="shared" si="82"/>
        <v>73.498064516129062</v>
      </c>
      <c r="AS21" s="973">
        <f t="shared" si="83"/>
        <v>73.378064516129072</v>
      </c>
      <c r="AT21" s="974">
        <f t="shared" si="84"/>
        <v>73.258064516129068</v>
      </c>
      <c r="AU21" s="975">
        <f t="shared" si="74"/>
        <v>4.2234127436453509E-2</v>
      </c>
      <c r="AV21" s="975">
        <f t="shared" si="75"/>
        <v>5.6847510959769906E-2</v>
      </c>
      <c r="AW21" s="971">
        <f t="shared" si="76"/>
        <v>-6.5074291431107212E-2</v>
      </c>
      <c r="AX21" s="4488"/>
      <c r="AY21" s="1"/>
    </row>
    <row r="22" spans="1:121" s="166" customFormat="1">
      <c r="A22" s="1368" t="s">
        <v>1324</v>
      </c>
      <c r="B22" s="628" t="s">
        <v>1201</v>
      </c>
      <c r="C22" s="297">
        <v>43.07</v>
      </c>
      <c r="D22" s="298">
        <v>44.46221805312819</v>
      </c>
      <c r="E22" s="298">
        <v>43.854674880621495</v>
      </c>
      <c r="F22" s="298">
        <v>43.248870813917172</v>
      </c>
      <c r="G22" s="298">
        <v>42.644806057542091</v>
      </c>
      <c r="H22" s="618">
        <v>42.042496831393152</v>
      </c>
      <c r="I22" s="297">
        <v>1.77</v>
      </c>
      <c r="J22" s="298">
        <v>1.8926560039317399</v>
      </c>
      <c r="K22" s="298">
        <v>1.8933297587242279</v>
      </c>
      <c r="L22" s="298">
        <v>1.8940165952178403</v>
      </c>
      <c r="M22" s="298">
        <v>1.8947168981412832</v>
      </c>
      <c r="N22" s="618">
        <v>1.8954310674589545</v>
      </c>
      <c r="O22" s="297">
        <v>21.06</v>
      </c>
      <c r="P22" s="298">
        <v>29.40052440762982</v>
      </c>
      <c r="Q22" s="298">
        <v>28.645246458694814</v>
      </c>
      <c r="R22" s="298">
        <v>27.889866032491689</v>
      </c>
      <c r="S22" s="298">
        <v>27.134380115196294</v>
      </c>
      <c r="T22" s="618">
        <v>26.378785573633628</v>
      </c>
      <c r="U22" s="297">
        <v>0</v>
      </c>
      <c r="V22" s="298">
        <v>0</v>
      </c>
      <c r="W22" s="298">
        <v>0</v>
      </c>
      <c r="X22" s="298">
        <v>0</v>
      </c>
      <c r="Y22" s="298">
        <v>0</v>
      </c>
      <c r="Z22" s="618">
        <v>0</v>
      </c>
      <c r="AA22" s="297">
        <v>24.18</v>
      </c>
      <c r="AB22" s="298">
        <v>27.325891857890884</v>
      </c>
      <c r="AC22" s="298">
        <v>26.708039224540087</v>
      </c>
      <c r="AD22" s="298">
        <v>26.088536880953932</v>
      </c>
      <c r="AE22" s="298">
        <v>25.46738725170097</v>
      </c>
      <c r="AF22" s="618">
        <v>24.844576850094892</v>
      </c>
      <c r="AG22" s="297">
        <v>0.27</v>
      </c>
      <c r="AH22" s="298">
        <v>0</v>
      </c>
      <c r="AI22" s="298">
        <v>0</v>
      </c>
      <c r="AJ22" s="298">
        <v>0</v>
      </c>
      <c r="AK22" s="298">
        <v>0</v>
      </c>
      <c r="AL22" s="618">
        <v>0</v>
      </c>
      <c r="AM22" s="972">
        <f t="shared" si="79"/>
        <v>90.080000000000013</v>
      </c>
      <c r="AN22" s="298">
        <v>91.323333333333295</v>
      </c>
      <c r="AO22" s="298">
        <v>102.18629032258062</v>
      </c>
      <c r="AP22" s="973">
        <f t="shared" si="80"/>
        <v>103.08129032258063</v>
      </c>
      <c r="AQ22" s="973">
        <f t="shared" si="81"/>
        <v>101.10129032258062</v>
      </c>
      <c r="AR22" s="973">
        <f t="shared" si="82"/>
        <v>99.121290322580649</v>
      </c>
      <c r="AS22" s="973">
        <f t="shared" si="83"/>
        <v>97.141290322580645</v>
      </c>
      <c r="AT22" s="974">
        <f t="shared" si="84"/>
        <v>95.161290322580626</v>
      </c>
      <c r="AU22" s="975">
        <f t="shared" si="74"/>
        <v>0.14433048759525549</v>
      </c>
      <c r="AV22" s="975">
        <f t="shared" si="75"/>
        <v>6.7481188267941666E-2</v>
      </c>
      <c r="AW22" s="971">
        <f t="shared" si="76"/>
        <v>0.37070435442670013</v>
      </c>
      <c r="AX22" s="4488"/>
      <c r="AY22" s="1"/>
    </row>
    <row r="23" spans="1:121" s="166" customFormat="1" ht="13.8" thickBot="1">
      <c r="A23" s="1452" t="s">
        <v>1325</v>
      </c>
      <c r="B23" s="629" t="s">
        <v>1202</v>
      </c>
      <c r="C23" s="622">
        <v>77.59</v>
      </c>
      <c r="D23" s="623">
        <v>74.9670545350955</v>
      </c>
      <c r="E23" s="623">
        <v>73.129823050232673</v>
      </c>
      <c r="F23" s="623">
        <v>72.204724720945705</v>
      </c>
      <c r="G23" s="623">
        <v>71.280488923446285</v>
      </c>
      <c r="H23" s="624">
        <v>70.357137924443094</v>
      </c>
      <c r="I23" s="622">
        <v>0.7</v>
      </c>
      <c r="J23" s="623">
        <v>0.67022481423714586</v>
      </c>
      <c r="K23" s="623">
        <v>0.67578582349257244</v>
      </c>
      <c r="L23" s="623">
        <v>0.68143521564710297</v>
      </c>
      <c r="M23" s="623">
        <v>0.68717514209880404</v>
      </c>
      <c r="N23" s="624">
        <v>0.69300774938827259</v>
      </c>
      <c r="O23" s="622">
        <v>5.04</v>
      </c>
      <c r="P23" s="623">
        <v>5.3459397667176338</v>
      </c>
      <c r="Q23" s="623">
        <v>5.2931033073314326</v>
      </c>
      <c r="R23" s="623">
        <v>5.2393310001447437</v>
      </c>
      <c r="S23" s="623">
        <v>5.1846000818424809</v>
      </c>
      <c r="T23" s="624">
        <v>5.1288865842331788</v>
      </c>
      <c r="U23" s="622">
        <v>0</v>
      </c>
      <c r="V23" s="623">
        <v>0</v>
      </c>
      <c r="W23" s="623">
        <v>0</v>
      </c>
      <c r="X23" s="623">
        <v>0</v>
      </c>
      <c r="Y23" s="623">
        <v>0</v>
      </c>
      <c r="Z23" s="624">
        <v>0</v>
      </c>
      <c r="AA23" s="622">
        <v>1.61</v>
      </c>
      <c r="AB23" s="623">
        <v>1.4503292710465372</v>
      </c>
      <c r="AC23" s="623">
        <v>1.4522555608788446</v>
      </c>
      <c r="AD23" s="623">
        <v>1.4541864826173243</v>
      </c>
      <c r="AE23" s="623">
        <v>1.4561229493866601</v>
      </c>
      <c r="AF23" s="624">
        <v>1.4580645161290322</v>
      </c>
      <c r="AG23" s="622">
        <v>0</v>
      </c>
      <c r="AH23" s="623">
        <v>0</v>
      </c>
      <c r="AI23" s="623">
        <v>0</v>
      </c>
      <c r="AJ23" s="623">
        <v>0</v>
      </c>
      <c r="AK23" s="623">
        <v>0</v>
      </c>
      <c r="AL23" s="624">
        <v>0</v>
      </c>
      <c r="AM23" s="1536">
        <f t="shared" si="79"/>
        <v>84.940000000000012</v>
      </c>
      <c r="AN23" s="623">
        <v>86.466666666666697</v>
      </c>
      <c r="AO23" s="623">
        <v>81.430376344086</v>
      </c>
      <c r="AP23" s="1537">
        <f t="shared" si="80"/>
        <v>82.43354838709682</v>
      </c>
      <c r="AQ23" s="1537">
        <f t="shared" si="81"/>
        <v>80.550967741935523</v>
      </c>
      <c r="AR23" s="1537">
        <f t="shared" si="82"/>
        <v>79.57967741935488</v>
      </c>
      <c r="AS23" s="1537">
        <f t="shared" si="83"/>
        <v>78.608387096774223</v>
      </c>
      <c r="AT23" s="1538">
        <f t="shared" si="84"/>
        <v>77.63709677419358</v>
      </c>
      <c r="AU23" s="1539">
        <f t="shared" si="74"/>
        <v>-2.9508495560433144E-2</v>
      </c>
      <c r="AV23" s="1539">
        <f t="shared" si="75"/>
        <v>-3.5134042851741938E-2</v>
      </c>
      <c r="AW23" s="1540">
        <f t="shared" si="76"/>
        <v>4.8112296333585193E-2</v>
      </c>
      <c r="AX23" s="4488"/>
      <c r="AY23" s="1"/>
    </row>
    <row r="24" spans="1:121" s="1369" customFormat="1">
      <c r="A24" s="1368" t="s">
        <v>466</v>
      </c>
      <c r="B24" s="1450" t="s">
        <v>1510</v>
      </c>
      <c r="C24" s="620">
        <v>150.65</v>
      </c>
      <c r="D24" s="620">
        <v>159.57548706264444</v>
      </c>
      <c r="E24" s="620">
        <v>158.70860125543976</v>
      </c>
      <c r="F24" s="620">
        <v>157.84332531150892</v>
      </c>
      <c r="G24" s="620">
        <v>156.97965326569249</v>
      </c>
      <c r="H24" s="621">
        <v>156.11760105624481</v>
      </c>
      <c r="I24" s="619">
        <v>5.0999999999999996</v>
      </c>
      <c r="J24" s="620">
        <v>6.3790322580645196</v>
      </c>
      <c r="K24" s="620">
        <v>6.3790322580645196</v>
      </c>
      <c r="L24" s="620">
        <v>6.3790322580645196</v>
      </c>
      <c r="M24" s="620">
        <v>6.3790322580645196</v>
      </c>
      <c r="N24" s="621">
        <v>6.3790322580645196</v>
      </c>
      <c r="O24" s="619">
        <v>34.85</v>
      </c>
      <c r="P24" s="620">
        <v>44.53548387096771</v>
      </c>
      <c r="Q24" s="620">
        <v>43.635483870967697</v>
      </c>
      <c r="R24" s="620">
        <v>42.735483870967698</v>
      </c>
      <c r="S24" s="620">
        <v>41.835483870967686</v>
      </c>
      <c r="T24" s="621">
        <v>40.935483870967708</v>
      </c>
      <c r="U24" s="3944">
        <f>U14</f>
        <v>0</v>
      </c>
      <c r="V24" s="3819">
        <f t="shared" ref="V24:AF24" si="85">V14</f>
        <v>0</v>
      </c>
      <c r="W24" s="3819">
        <f t="shared" si="85"/>
        <v>0</v>
      </c>
      <c r="X24" s="3819">
        <f t="shared" si="85"/>
        <v>0</v>
      </c>
      <c r="Y24" s="3819">
        <f t="shared" si="85"/>
        <v>0</v>
      </c>
      <c r="Z24" s="3945">
        <f t="shared" si="85"/>
        <v>0</v>
      </c>
      <c r="AA24" s="3944">
        <f t="shared" si="85"/>
        <v>34.76</v>
      </c>
      <c r="AB24" s="3819">
        <f t="shared" si="85"/>
        <v>38.377093582516984</v>
      </c>
      <c r="AC24" s="3819">
        <f t="shared" si="85"/>
        <v>37.773979389721674</v>
      </c>
      <c r="AD24" s="3819">
        <f t="shared" si="85"/>
        <v>37.169255333652501</v>
      </c>
      <c r="AE24" s="3819">
        <f t="shared" si="85"/>
        <v>36.562927379468938</v>
      </c>
      <c r="AF24" s="3945">
        <f t="shared" si="85"/>
        <v>35.954979588916608</v>
      </c>
      <c r="AG24" s="619">
        <v>1.75</v>
      </c>
      <c r="AH24" s="620">
        <v>0.91129032258064502</v>
      </c>
      <c r="AI24" s="620">
        <v>0.91129032258064502</v>
      </c>
      <c r="AJ24" s="620">
        <v>0.91129032258064502</v>
      </c>
      <c r="AK24" s="620">
        <v>0.91129032258064502</v>
      </c>
      <c r="AL24" s="621">
        <v>0.91129032258064502</v>
      </c>
      <c r="AM24" s="976">
        <f>C24+I24+O24+U24+AA24</f>
        <v>225.35999999999999</v>
      </c>
      <c r="AN24" s="620">
        <v>228.87083333333331</v>
      </c>
      <c r="AO24" s="620">
        <v>242.62311827956989</v>
      </c>
      <c r="AP24" s="977">
        <f t="shared" ref="AP24" si="86">D24+J24+P24+V24+AB24</f>
        <v>248.86709677419364</v>
      </c>
      <c r="AQ24" s="977">
        <f t="shared" ref="AQ24" si="87">E24+K24+Q24+W24+AC24</f>
        <v>246.49709677419366</v>
      </c>
      <c r="AR24" s="977">
        <f t="shared" ref="AR24" si="88">F24+L24+R24+X24+AD24</f>
        <v>244.12709677419363</v>
      </c>
      <c r="AS24" s="977">
        <f t="shared" ref="AS24" si="89">G24+M24+S24+Y24+AE24</f>
        <v>241.75709677419363</v>
      </c>
      <c r="AT24" s="978">
        <f>H24+N24+T24+Z24+AF24</f>
        <v>239.38709677419365</v>
      </c>
      <c r="AU24" s="1541">
        <f t="shared" si="74"/>
        <v>0.10430909111729525</v>
      </c>
      <c r="AV24" s="1541">
        <f t="shared" si="75"/>
        <v>6.7647811041267589E-2</v>
      </c>
      <c r="AW24" s="1542">
        <f t="shared" si="76"/>
        <v>0.27445597319229603</v>
      </c>
      <c r="AX24" s="4488"/>
      <c r="AY24" s="1"/>
      <c r="AZ24" s="166"/>
      <c r="BA24" s="166"/>
      <c r="BB24" s="166"/>
      <c r="BC24" s="166"/>
      <c r="BD24" s="166"/>
      <c r="BE24" s="166"/>
      <c r="BF24" s="166"/>
      <c r="BG24" s="166"/>
      <c r="BH24" s="166"/>
      <c r="BI24" s="166"/>
      <c r="BJ24" s="166"/>
      <c r="BK24" s="166"/>
      <c r="BL24" s="166"/>
      <c r="BM24" s="166"/>
      <c r="BN24" s="166"/>
      <c r="BO24" s="166"/>
      <c r="BP24" s="166"/>
      <c r="BQ24" s="166"/>
      <c r="BR24" s="166"/>
      <c r="BS24" s="166"/>
      <c r="BT24" s="166"/>
      <c r="BU24" s="166"/>
      <c r="BV24" s="166"/>
      <c r="BW24" s="166"/>
      <c r="BX24" s="166"/>
      <c r="BY24" s="166"/>
      <c r="BZ24" s="166"/>
      <c r="CA24" s="166"/>
      <c r="CB24" s="166"/>
      <c r="CC24" s="166"/>
      <c r="CD24" s="166"/>
      <c r="CE24" s="166"/>
      <c r="CF24" s="166"/>
      <c r="CG24" s="166"/>
      <c r="CH24" s="166"/>
      <c r="CI24" s="166"/>
      <c r="CJ24" s="166"/>
      <c r="CK24" s="166"/>
      <c r="CL24" s="166"/>
      <c r="CM24" s="166"/>
      <c r="CN24" s="166"/>
      <c r="CO24" s="166"/>
      <c r="CP24" s="166"/>
      <c r="CQ24" s="166"/>
      <c r="CR24" s="166"/>
      <c r="CS24" s="166"/>
      <c r="CT24" s="166"/>
      <c r="CU24" s="166"/>
      <c r="CV24" s="166"/>
      <c r="CW24" s="166"/>
      <c r="CX24" s="166"/>
      <c r="CY24" s="166"/>
      <c r="CZ24" s="166"/>
      <c r="DA24" s="166"/>
      <c r="DB24" s="166"/>
      <c r="DC24" s="166"/>
      <c r="DD24" s="166"/>
      <c r="DE24" s="166"/>
      <c r="DF24" s="166"/>
      <c r="DG24" s="166"/>
      <c r="DH24" s="166"/>
      <c r="DI24" s="166"/>
      <c r="DJ24" s="166"/>
      <c r="DK24" s="166"/>
      <c r="DL24" s="166"/>
      <c r="DM24" s="166"/>
      <c r="DN24" s="166"/>
      <c r="DO24" s="166"/>
      <c r="DP24" s="166"/>
      <c r="DQ24" s="166"/>
    </row>
    <row r="25" spans="1:121" s="1369" customFormat="1">
      <c r="A25" s="1368" t="s">
        <v>468</v>
      </c>
      <c r="B25" s="1450" t="s">
        <v>1511</v>
      </c>
      <c r="C25" s="3939">
        <f>C14-C24</f>
        <v>91.800000000000011</v>
      </c>
      <c r="D25" s="2009">
        <f t="shared" ref="D25:T25" si="90">D14-D24</f>
        <v>84.914194173775655</v>
      </c>
      <c r="E25" s="2009">
        <f t="shared" si="90"/>
        <v>83.235619181683205</v>
      </c>
      <c r="F25" s="2009">
        <f t="shared" si="90"/>
        <v>82.47101442168838</v>
      </c>
      <c r="G25" s="2009">
        <f t="shared" si="90"/>
        <v>81.709159909218869</v>
      </c>
      <c r="H25" s="3329">
        <f t="shared" si="90"/>
        <v>80.950129648706536</v>
      </c>
      <c r="I25" s="3939">
        <f t="shared" si="90"/>
        <v>2.4200000000000008</v>
      </c>
      <c r="J25" s="2009">
        <f t="shared" si="90"/>
        <v>2.6629608971686363</v>
      </c>
      <c r="K25" s="2009">
        <f t="shared" si="90"/>
        <v>2.6844607664529843</v>
      </c>
      <c r="L25" s="2009">
        <f t="shared" si="90"/>
        <v>2.7063082293056304</v>
      </c>
      <c r="M25" s="2009">
        <f t="shared" si="90"/>
        <v>2.7285122003180362</v>
      </c>
      <c r="N25" s="3329">
        <f t="shared" si="90"/>
        <v>2.7510816838383683</v>
      </c>
      <c r="O25" s="3939">
        <f t="shared" si="90"/>
        <v>11.929999999999993</v>
      </c>
      <c r="P25" s="2009">
        <f t="shared" si="90"/>
        <v>14.434165099114495</v>
      </c>
      <c r="Q25" s="2009">
        <f>Q14-Q24</f>
        <v>14.268149996531413</v>
      </c>
      <c r="R25" s="2009">
        <f t="shared" si="90"/>
        <v>14.09909753359004</v>
      </c>
      <c r="S25" s="2009">
        <f t="shared" si="90"/>
        <v>13.926928168879897</v>
      </c>
      <c r="T25" s="3329">
        <f t="shared" si="90"/>
        <v>13.751558593416462</v>
      </c>
      <c r="U25" s="1964"/>
      <c r="V25" s="1965"/>
      <c r="W25" s="1965"/>
      <c r="X25" s="1965"/>
      <c r="Y25" s="1965"/>
      <c r="Z25" s="1966"/>
      <c r="AA25" s="1964"/>
      <c r="AB25" s="1965"/>
      <c r="AC25" s="1965"/>
      <c r="AD25" s="1965"/>
      <c r="AE25" s="1965"/>
      <c r="AF25" s="1966"/>
      <c r="AG25" s="3939">
        <f t="shared" ref="AG25" si="91">AG14-AG24</f>
        <v>0.12999999999999989</v>
      </c>
      <c r="AH25" s="2009">
        <f t="shared" ref="AH25" si="92">AH14-AH24</f>
        <v>5.3195958973496715E-2</v>
      </c>
      <c r="AI25" s="2009">
        <f t="shared" ref="AI25" si="93">AI14-AI24</f>
        <v>5.3705539203361186E-2</v>
      </c>
      <c r="AJ25" s="2009">
        <f t="shared" ref="AJ25" si="94">AJ14-AJ24</f>
        <v>5.4224976706276573E-2</v>
      </c>
      <c r="AK25" s="2009">
        <f t="shared" ref="AK25" si="95">AK14-AK24</f>
        <v>5.4754560292879617E-2</v>
      </c>
      <c r="AL25" s="3329">
        <f t="shared" ref="AL25" si="96">AL14-AL24</f>
        <v>5.5294590167661362E-2</v>
      </c>
      <c r="AM25" s="976">
        <f>C25+I25+O25+U25+AA25</f>
        <v>106.15</v>
      </c>
      <c r="AN25" s="2009">
        <f t="shared" ref="AN25:AO25" si="97">AN14-AN24</f>
        <v>107.26083333333335</v>
      </c>
      <c r="AO25" s="2009">
        <f t="shared" si="97"/>
        <v>100.03549391332058</v>
      </c>
      <c r="AP25" s="977">
        <f t="shared" ref="AP25" si="98">D25+J25+P25+V25+AB25</f>
        <v>102.01132017005878</v>
      </c>
      <c r="AQ25" s="977">
        <f t="shared" ref="AQ25" si="99">E25+K25+Q25+W25+AC25</f>
        <v>100.1882299446676</v>
      </c>
      <c r="AR25" s="977">
        <f t="shared" ref="AR25" si="100">F25+L25+R25+X25+AD25</f>
        <v>99.276420184584055</v>
      </c>
      <c r="AS25" s="977">
        <f t="shared" ref="AS25" si="101">G25+M25+S25+Y25+AE25</f>
        <v>98.364600278416802</v>
      </c>
      <c r="AT25" s="978">
        <f>H25+N25+T25+Z25+AF25</f>
        <v>97.452769925961363</v>
      </c>
      <c r="AU25" s="979">
        <f t="shared" si="74"/>
        <v>-3.8988976259455722E-2</v>
      </c>
      <c r="AV25" s="979">
        <f t="shared" si="75"/>
        <v>-7.5008778063446135E-2</v>
      </c>
      <c r="AW25" s="980">
        <f t="shared" si="76"/>
        <v>0.19143735165736162</v>
      </c>
      <c r="AX25" s="4488"/>
      <c r="AY25" s="1"/>
      <c r="AZ25" s="166"/>
      <c r="BA25" s="166"/>
      <c r="BB25" s="166"/>
      <c r="BC25" s="166"/>
      <c r="BD25" s="166"/>
      <c r="BE25" s="166"/>
      <c r="BF25" s="166"/>
      <c r="BG25" s="166"/>
      <c r="BH25" s="166"/>
      <c r="BI25" s="166"/>
      <c r="BJ25" s="166"/>
      <c r="BK25" s="166"/>
      <c r="BL25" s="166"/>
      <c r="BM25" s="166"/>
      <c r="BN25" s="166"/>
      <c r="BO25" s="166"/>
      <c r="BP25" s="166"/>
      <c r="BQ25" s="166"/>
      <c r="BR25" s="166"/>
      <c r="BS25" s="166"/>
      <c r="BT25" s="166"/>
      <c r="BU25" s="166"/>
      <c r="BV25" s="166"/>
      <c r="BW25" s="166"/>
      <c r="BX25" s="166"/>
      <c r="BY25" s="166"/>
      <c r="BZ25" s="166"/>
      <c r="CA25" s="166"/>
      <c r="CB25" s="166"/>
      <c r="CC25" s="166"/>
      <c r="CD25" s="166"/>
      <c r="CE25" s="166"/>
      <c r="CF25" s="166"/>
      <c r="CG25" s="166"/>
      <c r="CH25" s="166"/>
      <c r="CI25" s="166"/>
      <c r="CJ25" s="166"/>
      <c r="CK25" s="166"/>
      <c r="CL25" s="166"/>
      <c r="CM25" s="166"/>
      <c r="CN25" s="166"/>
      <c r="CO25" s="166"/>
      <c r="CP25" s="166"/>
      <c r="CQ25" s="166"/>
      <c r="CR25" s="166"/>
      <c r="CS25" s="166"/>
      <c r="CT25" s="166"/>
      <c r="CU25" s="166"/>
      <c r="CV25" s="166"/>
      <c r="CW25" s="166"/>
      <c r="CX25" s="166"/>
      <c r="CY25" s="166"/>
      <c r="CZ25" s="166"/>
      <c r="DA25" s="166"/>
      <c r="DB25" s="166"/>
      <c r="DC25" s="166"/>
      <c r="DD25" s="166"/>
      <c r="DE25" s="166"/>
      <c r="DF25" s="166"/>
      <c r="DG25" s="166"/>
      <c r="DH25" s="166"/>
      <c r="DI25" s="166"/>
      <c r="DJ25" s="166"/>
      <c r="DK25" s="166"/>
      <c r="DL25" s="166"/>
      <c r="DM25" s="166"/>
      <c r="DN25" s="166"/>
      <c r="DO25" s="166"/>
      <c r="DP25" s="166"/>
      <c r="DQ25" s="166"/>
    </row>
    <row r="26" spans="1:121" s="1369" customFormat="1" ht="24">
      <c r="A26" s="721" t="s">
        <v>470</v>
      </c>
      <c r="B26" s="1451" t="s">
        <v>1501</v>
      </c>
      <c r="C26" s="297">
        <v>12.977751494671173</v>
      </c>
      <c r="D26" s="298">
        <v>11.555348606004671</v>
      </c>
      <c r="E26" s="298">
        <v>11.579408533313465</v>
      </c>
      <c r="F26" s="298">
        <v>11.60393387364099</v>
      </c>
      <c r="G26" s="298">
        <v>11.628938263236297</v>
      </c>
      <c r="H26" s="618">
        <v>11.654435876311434</v>
      </c>
      <c r="I26" s="299">
        <v>0.43933974525604358</v>
      </c>
      <c r="J26" s="300">
        <v>0.37237171281447712</v>
      </c>
      <c r="K26" s="300">
        <v>0.37593877442352885</v>
      </c>
      <c r="L26" s="300">
        <v>0.37957483694393673</v>
      </c>
      <c r="M26" s="300">
        <v>0.38328192205015771</v>
      </c>
      <c r="N26" s="301">
        <v>0.38706213117362981</v>
      </c>
      <c r="O26" s="299">
        <v>3.0021549259162992</v>
      </c>
      <c r="P26" s="300">
        <v>2.5997288834976815</v>
      </c>
      <c r="Q26" s="300">
        <v>2.5715923143499708</v>
      </c>
      <c r="R26" s="300">
        <v>2.5429114739991228</v>
      </c>
      <c r="S26" s="300">
        <v>2.5136704157109917</v>
      </c>
      <c r="T26" s="301">
        <v>2.4838525636376008</v>
      </c>
      <c r="U26" s="1964"/>
      <c r="V26" s="1965"/>
      <c r="W26" s="1965"/>
      <c r="X26" s="1965"/>
      <c r="Y26" s="1965"/>
      <c r="Z26" s="1966"/>
      <c r="AA26" s="1964"/>
      <c r="AB26" s="1965"/>
      <c r="AC26" s="1965"/>
      <c r="AD26" s="1965"/>
      <c r="AE26" s="1965"/>
      <c r="AF26" s="1966"/>
      <c r="AG26" s="299">
        <v>0.15075383415648561</v>
      </c>
      <c r="AH26" s="300">
        <v>5.3195958973496694E-2</v>
      </c>
      <c r="AI26" s="300">
        <v>5.3705539203361227E-2</v>
      </c>
      <c r="AJ26" s="300">
        <v>5.4224976706276629E-2</v>
      </c>
      <c r="AK26" s="300">
        <v>5.4754560292879638E-2</v>
      </c>
      <c r="AL26" s="301">
        <v>5.5294590167661369E-2</v>
      </c>
      <c r="AM26" s="972">
        <f>C26+I26+O26+U26+AA26</f>
        <v>16.419246165843518</v>
      </c>
      <c r="AN26" s="300">
        <v>16.897500000000004</v>
      </c>
      <c r="AO26" s="300">
        <v>14.580645161290301</v>
      </c>
      <c r="AP26" s="973">
        <f t="shared" ref="AP26" si="102">D26+J26+P26+V26+AB26</f>
        <v>14.527449202316829</v>
      </c>
      <c r="AQ26" s="973">
        <f t="shared" ref="AQ26" si="103">E26+K26+Q26+W26+AC26</f>
        <v>14.526939622086966</v>
      </c>
      <c r="AR26" s="973">
        <f t="shared" ref="AR26" si="104">F26+L26+R26+X26+AD26</f>
        <v>14.526420184584049</v>
      </c>
      <c r="AS26" s="973">
        <f t="shared" ref="AS26" si="105">G26+M26+S26+Y26+AE26</f>
        <v>14.525890600997446</v>
      </c>
      <c r="AT26" s="974">
        <f t="shared" ref="AT26" si="106">H26+N26+T26+Z26+AF26</f>
        <v>14.525350571122665</v>
      </c>
      <c r="AU26" s="975">
        <f t="shared" si="74"/>
        <v>-0.11521825937795728</v>
      </c>
      <c r="AV26" s="975">
        <f t="shared" si="75"/>
        <v>-0.10960318428431601</v>
      </c>
      <c r="AW26" s="971">
        <f t="shared" si="76"/>
        <v>-0.13639250375485409</v>
      </c>
      <c r="AX26" s="4488"/>
      <c r="CR26" s="166"/>
      <c r="CS26" s="166"/>
      <c r="CT26" s="166"/>
      <c r="CU26" s="166"/>
      <c r="CV26" s="166"/>
      <c r="CW26" s="166"/>
      <c r="CX26" s="166"/>
      <c r="CY26" s="166"/>
      <c r="CZ26" s="166"/>
      <c r="DA26" s="166"/>
      <c r="DB26" s="166"/>
      <c r="DC26" s="166"/>
      <c r="DD26" s="166"/>
      <c r="DE26" s="166"/>
      <c r="DF26" s="166"/>
      <c r="DG26" s="166"/>
      <c r="DH26" s="166"/>
      <c r="DI26" s="166"/>
      <c r="DJ26" s="166"/>
      <c r="DK26" s="166"/>
      <c r="DL26" s="166"/>
      <c r="DM26" s="166"/>
      <c r="DN26" s="166"/>
      <c r="DO26" s="166"/>
      <c r="DP26" s="166"/>
      <c r="DQ26" s="166"/>
    </row>
    <row r="27" spans="1:121" s="166" customFormat="1" ht="13.8" thickBot="1">
      <c r="A27" s="1367" t="s">
        <v>472</v>
      </c>
      <c r="B27" s="1366" t="s">
        <v>1506</v>
      </c>
      <c r="C27" s="1967">
        <f>IFERROR(((C26+I26+O26+AG26)*C24)/(C24+I24+O24+AG24),0)</f>
        <v>12.977751494671175</v>
      </c>
      <c r="D27" s="1968">
        <f t="shared" ref="D27:H27" si="107">IFERROR(((D26+J26+P26+AH26)*D24)/(D24+J24+P24+AH24),0)</f>
        <v>11.006146247367099</v>
      </c>
      <c r="E27" s="1968">
        <f t="shared" si="107"/>
        <v>11.038616342905012</v>
      </c>
      <c r="F27" s="1968">
        <f t="shared" si="107"/>
        <v>11.071665609629159</v>
      </c>
      <c r="G27" s="1968">
        <f t="shared" si="107"/>
        <v>11.105308054181892</v>
      </c>
      <c r="H27" s="1969">
        <f t="shared" si="107"/>
        <v>11.139558511793235</v>
      </c>
      <c r="I27" s="1967">
        <f>IFERROR(((C26+I26+O26+AG26)*I24)/(C24+I24+O24+AG24),0)</f>
        <v>0.4393397452560438</v>
      </c>
      <c r="J27" s="1968">
        <f t="shared" ref="J27:N27" si="108">IFERROR(((D26+J26+P26+AH26)*J24)/(D24+J24+P24+AH24),0)</f>
        <v>0.43997084540540216</v>
      </c>
      <c r="K27" s="1970">
        <f t="shared" si="108"/>
        <v>0.44367910232197183</v>
      </c>
      <c r="L27" s="1970">
        <f t="shared" si="108"/>
        <v>0.44744693470531149</v>
      </c>
      <c r="M27" s="1970">
        <f t="shared" si="108"/>
        <v>0.45127579810276058</v>
      </c>
      <c r="N27" s="1971">
        <f t="shared" si="108"/>
        <v>0.45516714711575318</v>
      </c>
      <c r="O27" s="1972">
        <f>IFERROR(((C26+I26+O26+AG26)*O24)/(C24+I24+O24+AG24),0)</f>
        <v>3.0021549259162992</v>
      </c>
      <c r="P27" s="1970">
        <f t="shared" ref="P27:T27" si="109">IFERROR(((D26+J26+P26+AH26)*P24)/(D24+J24+P24+AH24),0)</f>
        <v>3.0716750906027683</v>
      </c>
      <c r="Q27" s="1970">
        <f t="shared" si="109"/>
        <v>3.0349669871602041</v>
      </c>
      <c r="R27" s="1970">
        <f t="shared" si="109"/>
        <v>2.9976116262836698</v>
      </c>
      <c r="S27" s="1970">
        <f t="shared" si="109"/>
        <v>2.9595933378481369</v>
      </c>
      <c r="T27" s="1971">
        <f t="shared" si="109"/>
        <v>2.9208956242219464</v>
      </c>
      <c r="U27" s="1973"/>
      <c r="V27" s="1974"/>
      <c r="W27" s="1974"/>
      <c r="X27" s="1974"/>
      <c r="Y27" s="1974"/>
      <c r="Z27" s="1975"/>
      <c r="AA27" s="1973"/>
      <c r="AB27" s="1974"/>
      <c r="AC27" s="1974"/>
      <c r="AD27" s="1974"/>
      <c r="AE27" s="1974"/>
      <c r="AF27" s="1975"/>
      <c r="AG27" s="1527">
        <f>IFERROR(((C26+I26+O26+AG26)*AG24)/(C24+I24+O24+AG24),0)</f>
        <v>0.15075383415648561</v>
      </c>
      <c r="AH27" s="1528">
        <f t="shared" ref="AH27:AL27" si="110">IFERROR(((D26+J26+P26+AH26)*AH24)/(D24+J24+P24+AH24),0)</f>
        <v>6.2852977915057395E-2</v>
      </c>
      <c r="AI27" s="1528">
        <f t="shared" si="110"/>
        <v>6.3382728903138785E-2</v>
      </c>
      <c r="AJ27" s="1528">
        <f t="shared" si="110"/>
        <v>6.3920990672187317E-2</v>
      </c>
      <c r="AK27" s="1528">
        <f t="shared" si="110"/>
        <v>6.4467971157537177E-2</v>
      </c>
      <c r="AL27" s="1529">
        <f t="shared" si="110"/>
        <v>6.5023878159393256E-2</v>
      </c>
      <c r="AM27" s="1543">
        <f>AM14-AM24</f>
        <v>106.15000000000006</v>
      </c>
      <c r="AN27" s="1974"/>
      <c r="AO27" s="1974"/>
      <c r="AP27" s="1544">
        <f t="shared" ref="AP27:AT27" si="111">AP14-AP24</f>
        <v>102.01132017005878</v>
      </c>
      <c r="AQ27" s="1544">
        <f t="shared" si="111"/>
        <v>100.18822994466757</v>
      </c>
      <c r="AR27" s="1544">
        <f t="shared" si="111"/>
        <v>99.276420184584055</v>
      </c>
      <c r="AS27" s="1545">
        <f t="shared" si="111"/>
        <v>98.364600278416816</v>
      </c>
      <c r="AT27" s="1546">
        <f t="shared" si="111"/>
        <v>97.45276992596132</v>
      </c>
      <c r="AU27" s="1547">
        <f t="shared" si="74"/>
        <v>-3.8988976259456236E-2</v>
      </c>
      <c r="AV27" s="1547">
        <f t="shared" si="75"/>
        <v>-0.15192194488495497</v>
      </c>
      <c r="AW27" s="1548">
        <f t="shared" si="76"/>
        <v>2.0383952770128968E-2</v>
      </c>
      <c r="AX27" s="4488"/>
    </row>
    <row r="28" spans="1:121" s="166" customFormat="1" ht="13.8" thickBot="1">
      <c r="A28" s="325"/>
      <c r="B28" s="326"/>
      <c r="C28" s="1549"/>
      <c r="D28" s="1550"/>
      <c r="E28" s="1550"/>
      <c r="F28" s="1550"/>
      <c r="G28" s="1550"/>
      <c r="H28" s="1551"/>
      <c r="I28" s="1549"/>
      <c r="J28" s="1550"/>
      <c r="K28" s="1550"/>
      <c r="L28" s="1550"/>
      <c r="M28" s="1550"/>
      <c r="N28" s="1551"/>
      <c r="O28" s="1549"/>
      <c r="P28" s="1550"/>
      <c r="Q28" s="1550"/>
      <c r="R28" s="1550"/>
      <c r="S28" s="1550"/>
      <c r="T28" s="1551"/>
      <c r="U28" s="1549"/>
      <c r="V28" s="1550"/>
      <c r="W28" s="1550"/>
      <c r="X28" s="1550"/>
      <c r="Y28" s="1550"/>
      <c r="Z28" s="1551"/>
      <c r="AA28" s="1549"/>
      <c r="AB28" s="1550"/>
      <c r="AC28" s="1550"/>
      <c r="AD28" s="1550"/>
      <c r="AE28" s="1550"/>
      <c r="AF28" s="1551"/>
      <c r="AG28" s="1549"/>
      <c r="AH28" s="1550"/>
      <c r="AI28" s="1550"/>
      <c r="AJ28" s="1550"/>
      <c r="AK28" s="1550"/>
      <c r="AL28" s="1551"/>
      <c r="AM28" s="1549"/>
      <c r="AN28" s="1550"/>
      <c r="AO28" s="1550"/>
      <c r="AP28" s="1550"/>
      <c r="AQ28" s="1550"/>
      <c r="AR28" s="1550"/>
      <c r="AS28" s="1550"/>
      <c r="AT28" s="1551"/>
      <c r="AU28" s="1552"/>
      <c r="AV28" s="1552"/>
      <c r="AW28" s="1553"/>
      <c r="AX28" s="4488"/>
    </row>
    <row r="29" spans="1:121" s="167" customFormat="1" ht="23.4" thickBot="1">
      <c r="A29" s="956" t="s">
        <v>95</v>
      </c>
      <c r="B29" s="4498" t="s">
        <v>1420</v>
      </c>
      <c r="C29" s="1535">
        <f>SUM(C30:C38)</f>
        <v>4391.6101686539723</v>
      </c>
      <c r="D29" s="1533">
        <f t="shared" ref="D29:AL29" si="112">SUM(D30:D38)</f>
        <v>6385.9324732035793</v>
      </c>
      <c r="E29" s="1533">
        <f t="shared" si="112"/>
        <v>7215.4863945660472</v>
      </c>
      <c r="F29" s="1533">
        <f t="shared" si="112"/>
        <v>8195.5879820367863</v>
      </c>
      <c r="G29" s="1533">
        <f t="shared" si="112"/>
        <v>9315.1744796509156</v>
      </c>
      <c r="H29" s="1534">
        <f t="shared" si="112"/>
        <v>10589.097703130414</v>
      </c>
      <c r="I29" s="1535">
        <f t="shared" si="112"/>
        <v>130.03391780171518</v>
      </c>
      <c r="J29" s="1533">
        <f t="shared" si="112"/>
        <v>292.81991648597312</v>
      </c>
      <c r="K29" s="1533">
        <f t="shared" si="112"/>
        <v>331.67774770180034</v>
      </c>
      <c r="L29" s="1533">
        <f t="shared" si="112"/>
        <v>376.11922803359022</v>
      </c>
      <c r="M29" s="1533">
        <f t="shared" si="112"/>
        <v>426.94470188078873</v>
      </c>
      <c r="N29" s="1534">
        <f t="shared" si="112"/>
        <v>485.06889139086383</v>
      </c>
      <c r="O29" s="1535">
        <f t="shared" si="112"/>
        <v>849.11836919447535</v>
      </c>
      <c r="P29" s="1533">
        <f t="shared" si="112"/>
        <v>1445.4981295015225</v>
      </c>
      <c r="Q29" s="1533">
        <f t="shared" si="112"/>
        <v>1648.705997964596</v>
      </c>
      <c r="R29" s="1533">
        <f t="shared" si="112"/>
        <v>1881.1730444773061</v>
      </c>
      <c r="S29" s="1533">
        <f t="shared" si="112"/>
        <v>2147.0947783945867</v>
      </c>
      <c r="T29" s="1534">
        <f t="shared" si="112"/>
        <v>2451.2668307289227</v>
      </c>
      <c r="U29" s="1535">
        <f t="shared" si="112"/>
        <v>0</v>
      </c>
      <c r="V29" s="1533">
        <f t="shared" si="112"/>
        <v>0</v>
      </c>
      <c r="W29" s="1533">
        <f t="shared" si="112"/>
        <v>0</v>
      </c>
      <c r="X29" s="1533">
        <f t="shared" si="112"/>
        <v>0</v>
      </c>
      <c r="Y29" s="1533">
        <f t="shared" si="112"/>
        <v>0</v>
      </c>
      <c r="Z29" s="1534">
        <f t="shared" si="112"/>
        <v>0</v>
      </c>
      <c r="AA29" s="1535">
        <f t="shared" si="112"/>
        <v>755.31908272635985</v>
      </c>
      <c r="AB29" s="1533">
        <f t="shared" si="112"/>
        <v>1134.0203357835296</v>
      </c>
      <c r="AC29" s="1533">
        <f t="shared" si="112"/>
        <v>1283.1756688533094</v>
      </c>
      <c r="AD29" s="1533">
        <f t="shared" si="112"/>
        <v>1453.9491628285214</v>
      </c>
      <c r="AE29" s="1533">
        <f t="shared" si="112"/>
        <v>1649.4677189131264</v>
      </c>
      <c r="AF29" s="1534">
        <f t="shared" si="112"/>
        <v>1873.3083450405741</v>
      </c>
      <c r="AG29" s="1535">
        <f t="shared" si="112"/>
        <v>28.663861623477004</v>
      </c>
      <c r="AH29" s="1533">
        <f t="shared" si="112"/>
        <v>21.455965025394786</v>
      </c>
      <c r="AI29" s="1533">
        <f t="shared" si="112"/>
        <v>24.549700914247879</v>
      </c>
      <c r="AJ29" s="1533">
        <f t="shared" si="112"/>
        <v>28.089132623795329</v>
      </c>
      <c r="AK29" s="1533">
        <f t="shared" si="112"/>
        <v>32.138171160583404</v>
      </c>
      <c r="AL29" s="1534">
        <f t="shared" si="112"/>
        <v>36.769869709224054</v>
      </c>
      <c r="AM29" s="1535">
        <f t="shared" ref="AM29" si="113">C29+I29+O29+U29+AA29</f>
        <v>6126.0815383765221</v>
      </c>
      <c r="AN29" s="1533">
        <f t="shared" ref="AN29:AO29" si="114">SUM(AN30:AN38)</f>
        <v>6940.2711399999998</v>
      </c>
      <c r="AO29" s="1533">
        <f t="shared" si="114"/>
        <v>7911.7658270073862</v>
      </c>
      <c r="AP29" s="1533">
        <f t="shared" ref="AP29" si="115">D29+J29+P29+V29+AB29</f>
        <v>9258.2708549746039</v>
      </c>
      <c r="AQ29" s="1533">
        <f t="shared" ref="AQ29" si="116">E29+K29+Q29+W29+AC29</f>
        <v>10479.045809085754</v>
      </c>
      <c r="AR29" s="1533">
        <f t="shared" ref="AR29" si="117">F29+L29+R29+X29+AD29</f>
        <v>11906.829417376204</v>
      </c>
      <c r="AS29" s="1533">
        <f t="shared" ref="AS29" si="118">G29+M29+S29+Y29+AE29</f>
        <v>13538.681678839419</v>
      </c>
      <c r="AT29" s="1534">
        <f t="shared" ref="AT29" si="119">H29+N29+T29+Z29+AF29</f>
        <v>15398.741770290773</v>
      </c>
      <c r="AU29" s="1554">
        <f t="shared" ref="AU29:AU40" si="120">IFERROR((AP29-AM29)/AM29,0)</f>
        <v>0.5112875656284761</v>
      </c>
      <c r="AV29" s="1554">
        <f t="shared" ref="AV29:AV40" si="121">IFERROR(((D29+V29+AB29)-(+C29+U29+AA29))/(C29+U29+AA29),0)</f>
        <v>0.46105618354290889</v>
      </c>
      <c r="AW29" s="1554">
        <f t="shared" ref="AW29:AW40" si="122">IFERROR(((J29+P29)-(I29+O29))/(I29+O29),0)</f>
        <v>0.77532960814527396</v>
      </c>
      <c r="AX29" s="4488"/>
      <c r="AY29" s="4491" t="s">
        <v>1875</v>
      </c>
      <c r="AZ29" s="4497">
        <f>IFERROR(C29/$C$1,0)</f>
        <v>2245.394624611532</v>
      </c>
      <c r="BA29" s="4497">
        <f t="shared" ref="BA29:CQ29" si="123">IFERROR(D29/$C$1,0)</f>
        <v>3265.0754274162782</v>
      </c>
      <c r="BB29" s="4497">
        <f t="shared" si="123"/>
        <v>3689.2196124233942</v>
      </c>
      <c r="BC29" s="4497">
        <f t="shared" si="123"/>
        <v>4190.337596844709</v>
      </c>
      <c r="BD29" s="4497">
        <f t="shared" si="123"/>
        <v>4762.7730833717224</v>
      </c>
      <c r="BE29" s="4497">
        <f t="shared" si="123"/>
        <v>5414.1196848041054</v>
      </c>
      <c r="BF29" s="4497">
        <f t="shared" si="123"/>
        <v>66.485286452153403</v>
      </c>
      <c r="BG29" s="4497">
        <f t="shared" si="123"/>
        <v>149.71644595183278</v>
      </c>
      <c r="BH29" s="4497">
        <f t="shared" si="123"/>
        <v>169.58413957337822</v>
      </c>
      <c r="BI29" s="4497">
        <f t="shared" si="123"/>
        <v>192.30670765536382</v>
      </c>
      <c r="BJ29" s="4497">
        <f t="shared" si="123"/>
        <v>218.29335979138716</v>
      </c>
      <c r="BK29" s="4497">
        <f t="shared" si="123"/>
        <v>248.01178598899895</v>
      </c>
      <c r="BL29" s="4497">
        <f t="shared" si="123"/>
        <v>434.14732834370847</v>
      </c>
      <c r="BM29" s="4497">
        <f t="shared" si="123"/>
        <v>739.07145789844856</v>
      </c>
      <c r="BN29" s="4497">
        <f t="shared" si="123"/>
        <v>842.9699912388071</v>
      </c>
      <c r="BO29" s="4497">
        <f t="shared" si="123"/>
        <v>961.82850476641943</v>
      </c>
      <c r="BP29" s="4497">
        <f t="shared" si="123"/>
        <v>1097.7921283519461</v>
      </c>
      <c r="BQ29" s="4497">
        <f t="shared" si="123"/>
        <v>1253.3128291972835</v>
      </c>
      <c r="BR29" s="4497">
        <f t="shared" si="123"/>
        <v>0</v>
      </c>
      <c r="BS29" s="4497">
        <f t="shared" si="123"/>
        <v>0</v>
      </c>
      <c r="BT29" s="4497">
        <f t="shared" si="123"/>
        <v>0</v>
      </c>
      <c r="BU29" s="4497">
        <f t="shared" si="123"/>
        <v>0</v>
      </c>
      <c r="BV29" s="4497">
        <f t="shared" si="123"/>
        <v>0</v>
      </c>
      <c r="BW29" s="4497">
        <f t="shared" si="123"/>
        <v>0</v>
      </c>
      <c r="BX29" s="4497">
        <f t="shared" si="123"/>
        <v>386.18851471056269</v>
      </c>
      <c r="BY29" s="4497">
        <f t="shared" si="123"/>
        <v>579.81539079752827</v>
      </c>
      <c r="BZ29" s="4497">
        <f t="shared" si="123"/>
        <v>656.07730163322447</v>
      </c>
      <c r="CA29" s="4497">
        <f t="shared" si="123"/>
        <v>743.39240262626174</v>
      </c>
      <c r="CB29" s="4497">
        <f t="shared" si="123"/>
        <v>843.3594529755278</v>
      </c>
      <c r="CC29" s="4497">
        <f t="shared" si="123"/>
        <v>957.80734779636987</v>
      </c>
      <c r="CD29" s="4497">
        <f t="shared" si="123"/>
        <v>14.65559973181565</v>
      </c>
      <c r="CE29" s="4497">
        <f t="shared" si="123"/>
        <v>10.97026072071437</v>
      </c>
      <c r="CF29" s="4497">
        <f t="shared" si="123"/>
        <v>12.552062763250323</v>
      </c>
      <c r="CG29" s="4497">
        <f t="shared" si="123"/>
        <v>14.361745460390386</v>
      </c>
      <c r="CH29" s="4497">
        <f t="shared" si="123"/>
        <v>16.431985990900746</v>
      </c>
      <c r="CI29" s="4497">
        <f t="shared" si="123"/>
        <v>18.800135854969017</v>
      </c>
      <c r="CJ29" s="4497">
        <f t="shared" si="123"/>
        <v>3132.2157541179563</v>
      </c>
      <c r="CK29" s="4497">
        <f t="shared" si="123"/>
        <v>3548.5042871824239</v>
      </c>
      <c r="CL29" s="4497">
        <f t="shared" si="123"/>
        <v>4045.221633274562</v>
      </c>
      <c r="CM29" s="4497">
        <f t="shared" si="123"/>
        <v>4733.6787220640872</v>
      </c>
      <c r="CN29" s="4497">
        <f t="shared" si="123"/>
        <v>5357.8510448688048</v>
      </c>
      <c r="CO29" s="4497">
        <f t="shared" si="123"/>
        <v>6087.8652118927539</v>
      </c>
      <c r="CP29" s="4497">
        <f t="shared" si="123"/>
        <v>6922.218024490584</v>
      </c>
      <c r="CQ29" s="4497">
        <f t="shared" si="123"/>
        <v>7873.2516477867575</v>
      </c>
      <c r="CR29" s="166"/>
      <c r="CS29" s="166"/>
      <c r="CT29" s="166"/>
      <c r="CU29" s="166"/>
      <c r="CV29" s="166"/>
      <c r="CW29" s="166"/>
      <c r="CX29" s="166"/>
      <c r="CY29" s="166"/>
      <c r="CZ29" s="166"/>
      <c r="DA29" s="166"/>
      <c r="DB29" s="166"/>
      <c r="DC29" s="166"/>
      <c r="DD29" s="166"/>
      <c r="DE29" s="166"/>
      <c r="DF29" s="166"/>
      <c r="DG29" s="166"/>
      <c r="DH29" s="166"/>
      <c r="DI29" s="166"/>
      <c r="DJ29" s="166"/>
      <c r="DK29" s="166"/>
      <c r="DL29" s="166"/>
      <c r="DM29" s="166"/>
      <c r="DN29" s="166"/>
      <c r="DO29" s="166"/>
      <c r="DP29" s="166"/>
      <c r="DQ29" s="166"/>
    </row>
    <row r="30" spans="1:121" s="166" customFormat="1" ht="13.8" thickBot="1">
      <c r="A30" s="783" t="s">
        <v>953</v>
      </c>
      <c r="B30" s="627" t="s">
        <v>1194</v>
      </c>
      <c r="C30" s="297">
        <v>348.53766905478665</v>
      </c>
      <c r="D30" s="298">
        <v>469.70781686960515</v>
      </c>
      <c r="E30" s="298">
        <v>536.61485233784902</v>
      </c>
      <c r="F30" s="298">
        <v>613.10545614238902</v>
      </c>
      <c r="G30" s="298">
        <v>700.54603707678734</v>
      </c>
      <c r="H30" s="618">
        <v>800.4973621525387</v>
      </c>
      <c r="I30" s="297">
        <v>8.6694299387042193</v>
      </c>
      <c r="J30" s="298">
        <v>56.145625086966191</v>
      </c>
      <c r="K30" s="298">
        <v>64.090866829259767</v>
      </c>
      <c r="L30" s="298">
        <v>73.176121658816442</v>
      </c>
      <c r="M30" s="298">
        <v>83.564700878217053</v>
      </c>
      <c r="N30" s="618">
        <v>95.443210919256231</v>
      </c>
      <c r="O30" s="297">
        <v>114.10327109436912</v>
      </c>
      <c r="P30" s="298">
        <v>195.4305685321726</v>
      </c>
      <c r="Q30" s="298">
        <v>223.66308710872494</v>
      </c>
      <c r="R30" s="298">
        <v>255.95177144720009</v>
      </c>
      <c r="S30" s="298">
        <v>292.87672133330557</v>
      </c>
      <c r="T30" s="618">
        <v>335.10085331611941</v>
      </c>
      <c r="U30" s="297">
        <v>0</v>
      </c>
      <c r="V30" s="298">
        <v>0</v>
      </c>
      <c r="W30" s="298">
        <v>0</v>
      </c>
      <c r="X30" s="298">
        <v>0</v>
      </c>
      <c r="Y30" s="298">
        <v>0</v>
      </c>
      <c r="Z30" s="618">
        <v>0</v>
      </c>
      <c r="AA30" s="297">
        <v>60.495915761199086</v>
      </c>
      <c r="AB30" s="298">
        <v>107.65495124294434</v>
      </c>
      <c r="AC30" s="298">
        <v>120.07683910017865</v>
      </c>
      <c r="AD30" s="298">
        <v>134.28470401765532</v>
      </c>
      <c r="AE30" s="298">
        <v>150.53627700026883</v>
      </c>
      <c r="AF30" s="618">
        <v>169.12625963010498</v>
      </c>
      <c r="AG30" s="619">
        <v>1.1342241509409308</v>
      </c>
      <c r="AH30" s="620">
        <v>0.61624826831176516</v>
      </c>
      <c r="AI30" s="620">
        <v>0.70863462398760146</v>
      </c>
      <c r="AJ30" s="620">
        <v>0.81429673393912716</v>
      </c>
      <c r="AK30" s="620">
        <v>0.93512371142109019</v>
      </c>
      <c r="AL30" s="621">
        <v>1.0732739819805086</v>
      </c>
      <c r="AM30" s="972">
        <f t="shared" ref="AM30:AM48" si="124">C30+I30+O30+U30+AA30</f>
        <v>531.80628584905912</v>
      </c>
      <c r="AN30" s="298">
        <v>583.11202000000003</v>
      </c>
      <c r="AO30" s="298">
        <v>715.15867373529193</v>
      </c>
      <c r="AP30" s="973">
        <f t="shared" ref="AP30:AP48" si="125">D30+J30+P30+V30+AB30</f>
        <v>828.93896173168832</v>
      </c>
      <c r="AQ30" s="973">
        <f t="shared" ref="AQ30:AQ48" si="126">E30+K30+Q30+W30+AC30</f>
        <v>944.44564537601241</v>
      </c>
      <c r="AR30" s="973">
        <f t="shared" ref="AR30:AR48" si="127">F30+L30+R30+X30+AD30</f>
        <v>1076.5180532660609</v>
      </c>
      <c r="AS30" s="973">
        <f t="shared" ref="AS30:AS48" si="128">G30+M30+S30+Y30+AE30</f>
        <v>1227.5237362885789</v>
      </c>
      <c r="AT30" s="974">
        <f t="shared" ref="AT30:AT48" si="129">H30+N30+T30+Z30+AF30</f>
        <v>1400.1676860180191</v>
      </c>
      <c r="AU30" s="1555">
        <f t="shared" si="120"/>
        <v>0.55872351228086725</v>
      </c>
      <c r="AV30" s="1555">
        <f t="shared" si="121"/>
        <v>0.41152900286242017</v>
      </c>
      <c r="AW30" s="1556">
        <f t="shared" si="122"/>
        <v>1.049121600341492</v>
      </c>
      <c r="AX30" s="4488"/>
      <c r="AY30" s="4491" t="s">
        <v>1875</v>
      </c>
      <c r="AZ30" s="4497">
        <f t="shared" ref="AZ30:AZ40" si="130">IFERROR(C30/$C$1,0)</f>
        <v>178.2044804787669</v>
      </c>
      <c r="BA30" s="4497">
        <f t="shared" ref="BA30:BA40" si="131">IFERROR(D30/$C$1,0)</f>
        <v>240.15779329982931</v>
      </c>
      <c r="BB30" s="4497">
        <f t="shared" ref="BB30:BB40" si="132">IFERROR(E30/$C$1,0)</f>
        <v>274.36681732964985</v>
      </c>
      <c r="BC30" s="4497">
        <f t="shared" ref="BC30:BC40" si="133">IFERROR(F30/$C$1,0)</f>
        <v>313.47584204270771</v>
      </c>
      <c r="BD30" s="4497">
        <f t="shared" ref="BD30:BD40" si="134">IFERROR(G30/$C$1,0)</f>
        <v>358.18350116154642</v>
      </c>
      <c r="BE30" s="4497">
        <f t="shared" ref="BE30:BE40" si="135">IFERROR(H30/$C$1,0)</f>
        <v>409.28780218758209</v>
      </c>
      <c r="BF30" s="4497">
        <f t="shared" ref="BF30:BF40" si="136">IFERROR(I30/$C$1,0)</f>
        <v>4.4326091422588974</v>
      </c>
      <c r="BG30" s="4497">
        <f t="shared" ref="BG30:BG40" si="137">IFERROR(J30/$C$1,0)</f>
        <v>28.706802271652542</v>
      </c>
      <c r="BH30" s="4497">
        <f t="shared" ref="BH30:BH40" si="138">IFERROR(K30/$C$1,0)</f>
        <v>32.769139868628542</v>
      </c>
      <c r="BI30" s="4497">
        <f t="shared" ref="BI30:BI40" si="139">IFERROR(L30/$C$1,0)</f>
        <v>37.414356901579609</v>
      </c>
      <c r="BJ30" s="4497">
        <f t="shared" ref="BJ30:BJ40" si="140">IFERROR(M30/$C$1,0)</f>
        <v>42.725953113622886</v>
      </c>
      <c r="BK30" s="4497">
        <f t="shared" ref="BK30:BK40" si="141">IFERROR(N30/$C$1,0)</f>
        <v>48.79933885831398</v>
      </c>
      <c r="BL30" s="4497">
        <f t="shared" ref="BL30:BL40" si="142">IFERROR(O30/$C$1,0)</f>
        <v>58.340076128482089</v>
      </c>
      <c r="BM30" s="4497">
        <f t="shared" ref="BM30:BM40" si="143">IFERROR(P30/$C$1,0)</f>
        <v>99.922063028061032</v>
      </c>
      <c r="BN30" s="4497">
        <f t="shared" ref="BN30:BN40" si="144">IFERROR(Q30/$C$1,0)</f>
        <v>114.35712056197366</v>
      </c>
      <c r="BO30" s="4497">
        <f t="shared" ref="BO30:BO40" si="145">IFERROR(R30/$C$1,0)</f>
        <v>130.86606271874351</v>
      </c>
      <c r="BP30" s="4497">
        <f t="shared" ref="BP30:BP40" si="146">IFERROR(S30/$C$1,0)</f>
        <v>149.74548980908645</v>
      </c>
      <c r="BQ30" s="4497">
        <f t="shared" ref="BQ30:BQ40" si="147">IFERROR(T30/$C$1,0)</f>
        <v>171.33434568245676</v>
      </c>
      <c r="BR30" s="4497">
        <f t="shared" ref="BR30:BR40" si="148">IFERROR(U30/$C$1,0)</f>
        <v>0</v>
      </c>
      <c r="BS30" s="4497">
        <f t="shared" ref="BS30:BS40" si="149">IFERROR(V30/$C$1,0)</f>
        <v>0</v>
      </c>
      <c r="BT30" s="4497">
        <f t="shared" ref="BT30:BT40" si="150">IFERROR(W30/$C$1,0)</f>
        <v>0</v>
      </c>
      <c r="BU30" s="4497">
        <f t="shared" ref="BU30:BU40" si="151">IFERROR(X30/$C$1,0)</f>
        <v>0</v>
      </c>
      <c r="BV30" s="4497">
        <f t="shared" ref="BV30:BV40" si="152">IFERROR(Y30/$C$1,0)</f>
        <v>0</v>
      </c>
      <c r="BW30" s="4497">
        <f t="shared" ref="BW30:BW40" si="153">IFERROR(Z30/$C$1,0)</f>
        <v>0</v>
      </c>
      <c r="BX30" s="4497">
        <f t="shared" ref="BX30:BX40" si="154">IFERROR(AA30/$C$1,0)</f>
        <v>30.931070574231445</v>
      </c>
      <c r="BY30" s="4497">
        <f t="shared" ref="BY30:BY40" si="155">IFERROR(AB30/$C$1,0)</f>
        <v>55.043102541092189</v>
      </c>
      <c r="BZ30" s="4497">
        <f t="shared" ref="BZ30:BZ40" si="156">IFERROR(AC30/$C$1,0)</f>
        <v>61.394312951625984</v>
      </c>
      <c r="CA30" s="4497">
        <f t="shared" ref="CA30:CA40" si="157">IFERROR(AD30/$C$1,0)</f>
        <v>68.65867893306438</v>
      </c>
      <c r="CB30" s="4497">
        <f t="shared" ref="CB30:CB40" si="158">IFERROR(AE30/$C$1,0)</f>
        <v>76.967976255742485</v>
      </c>
      <c r="CC30" s="4497">
        <f t="shared" ref="CC30:CC40" si="159">IFERROR(AF30/$C$1,0)</f>
        <v>86.472883445956441</v>
      </c>
      <c r="CD30" s="4497">
        <f t="shared" ref="CD30:CD40" si="160">IFERROR(AG30/$C$1,0)</f>
        <v>0.57991959983277219</v>
      </c>
      <c r="CE30" s="4497">
        <f t="shared" ref="CE30:CE40" si="161">IFERROR(AH30/$C$1,0)</f>
        <v>0.31508273638903439</v>
      </c>
      <c r="CF30" s="4497">
        <f t="shared" ref="CF30:CF40" si="162">IFERROR(AI30/$C$1,0)</f>
        <v>0.36231912997939569</v>
      </c>
      <c r="CG30" s="4497">
        <f t="shared" ref="CG30:CG40" si="163">IFERROR(AJ30/$C$1,0)</f>
        <v>0.41634330894767296</v>
      </c>
      <c r="CH30" s="4497">
        <f t="shared" ref="CH30:CH40" si="164">IFERROR(AK30/$C$1,0)</f>
        <v>0.47812116156367895</v>
      </c>
      <c r="CI30" s="4497">
        <f t="shared" ref="CI30:CI40" si="165">IFERROR(AL30/$C$1,0)</f>
        <v>0.54875627328577059</v>
      </c>
      <c r="CJ30" s="4497">
        <f t="shared" ref="CJ30:CJ40" si="166">IFERROR(AM30/$C$1,0)</f>
        <v>271.90823632373935</v>
      </c>
      <c r="CK30" s="4497">
        <f t="shared" ref="CK30:CK40" si="167">IFERROR(AN30/$C$1,0)</f>
        <v>298.14044165392698</v>
      </c>
      <c r="CL30" s="4497">
        <f t="shared" ref="CL30:CL40" si="168">IFERROR(AO30/$C$1,0)</f>
        <v>365.65482364791006</v>
      </c>
      <c r="CM30" s="4497">
        <f t="shared" ref="CM30:CM40" si="169">IFERROR(AP30/$C$1,0)</f>
        <v>423.82976114063507</v>
      </c>
      <c r="CN30" s="4497">
        <f t="shared" ref="CN30:CN40" si="170">IFERROR(AQ30/$C$1,0)</f>
        <v>482.88739071187803</v>
      </c>
      <c r="CO30" s="4497">
        <f t="shared" ref="CO30:CO40" si="171">IFERROR(AR30/$C$1,0)</f>
        <v>550.41494059609522</v>
      </c>
      <c r="CP30" s="4497">
        <f t="shared" ref="CP30:CP40" si="172">IFERROR(AS30/$C$1,0)</f>
        <v>627.62292033999836</v>
      </c>
      <c r="CQ30" s="4497">
        <f t="shared" ref="CQ30:CQ40" si="173">IFERROR(AT30/$C$1,0)</f>
        <v>715.89437017430919</v>
      </c>
    </row>
    <row r="31" spans="1:121" s="166" customFormat="1" ht="13.8" thickBot="1">
      <c r="A31" s="783" t="s">
        <v>1203</v>
      </c>
      <c r="B31" s="628" t="s">
        <v>1195</v>
      </c>
      <c r="C31" s="297">
        <v>275.40593816071498</v>
      </c>
      <c r="D31" s="298">
        <v>408.03948185189745</v>
      </c>
      <c r="E31" s="298">
        <v>465.20524431113347</v>
      </c>
      <c r="F31" s="298">
        <v>530.54675924924277</v>
      </c>
      <c r="G31" s="298">
        <v>605.22888631333728</v>
      </c>
      <c r="H31" s="618">
        <v>690.58207603022731</v>
      </c>
      <c r="I31" s="297">
        <v>29.384177904649036</v>
      </c>
      <c r="J31" s="298">
        <v>52.039425971739242</v>
      </c>
      <c r="K31" s="298">
        <v>59.307326698058546</v>
      </c>
      <c r="L31" s="298">
        <v>67.615572980887578</v>
      </c>
      <c r="M31" s="298">
        <v>77.112736339262852</v>
      </c>
      <c r="N31" s="618">
        <v>87.96852657611737</v>
      </c>
      <c r="O31" s="297">
        <v>54.291723859953471</v>
      </c>
      <c r="P31" s="298">
        <v>91.218622592372668</v>
      </c>
      <c r="Q31" s="298">
        <v>104.16252351367734</v>
      </c>
      <c r="R31" s="298">
        <v>118.9683351216737</v>
      </c>
      <c r="S31" s="298">
        <v>135.90270587826095</v>
      </c>
      <c r="T31" s="618">
        <v>155.27038556769304</v>
      </c>
      <c r="U31" s="297">
        <v>0</v>
      </c>
      <c r="V31" s="298">
        <v>0</v>
      </c>
      <c r="W31" s="298">
        <v>0</v>
      </c>
      <c r="X31" s="298">
        <v>0</v>
      </c>
      <c r="Y31" s="298">
        <v>0</v>
      </c>
      <c r="Z31" s="618">
        <v>0</v>
      </c>
      <c r="AA31" s="297">
        <v>54.817863709869101</v>
      </c>
      <c r="AB31" s="298">
        <v>69.379008601004969</v>
      </c>
      <c r="AC31" s="298">
        <v>78.590450197445662</v>
      </c>
      <c r="AD31" s="298">
        <v>89.132499048767968</v>
      </c>
      <c r="AE31" s="298">
        <v>101.19730017769078</v>
      </c>
      <c r="AF31" s="618">
        <v>115.00458976631204</v>
      </c>
      <c r="AG31" s="297">
        <v>3.0278263648134325</v>
      </c>
      <c r="AH31" s="298">
        <v>1.0837009829856596</v>
      </c>
      <c r="AI31" s="298">
        <v>1.2463652796849845</v>
      </c>
      <c r="AJ31" s="298">
        <v>1.4324735994280182</v>
      </c>
      <c r="AK31" s="298">
        <v>1.6453712914481728</v>
      </c>
      <c r="AL31" s="618">
        <v>1.8888820596501499</v>
      </c>
      <c r="AM31" s="972">
        <f t="shared" si="124"/>
        <v>413.8997036351866</v>
      </c>
      <c r="AN31" s="298">
        <v>475.40096</v>
      </c>
      <c r="AO31" s="298">
        <v>532.95779635309043</v>
      </c>
      <c r="AP31" s="973">
        <f t="shared" si="125"/>
        <v>620.67653901701442</v>
      </c>
      <c r="AQ31" s="973">
        <f t="shared" si="126"/>
        <v>707.26554472031501</v>
      </c>
      <c r="AR31" s="973">
        <f t="shared" si="127"/>
        <v>806.263166400572</v>
      </c>
      <c r="AS31" s="973">
        <f t="shared" si="128"/>
        <v>919.44162870855178</v>
      </c>
      <c r="AT31" s="974">
        <f t="shared" si="129"/>
        <v>1048.8255779403496</v>
      </c>
      <c r="AU31" s="1557">
        <f t="shared" si="120"/>
        <v>0.4995819846348139</v>
      </c>
      <c r="AV31" s="1557">
        <f t="shared" si="121"/>
        <v>0.44574221406367437</v>
      </c>
      <c r="AW31" s="1558">
        <f t="shared" si="122"/>
        <v>0.71205861595762898</v>
      </c>
      <c r="AX31" s="4488"/>
      <c r="AY31" s="4491" t="s">
        <v>1875</v>
      </c>
      <c r="AZ31" s="4497">
        <f t="shared" si="130"/>
        <v>140.81282021480138</v>
      </c>
      <c r="BA31" s="4497">
        <f t="shared" si="131"/>
        <v>208.62727427838689</v>
      </c>
      <c r="BB31" s="4497">
        <f t="shared" si="132"/>
        <v>237.85566450618586</v>
      </c>
      <c r="BC31" s="4497">
        <f t="shared" si="133"/>
        <v>271.26425059910258</v>
      </c>
      <c r="BD31" s="4497">
        <f t="shared" si="134"/>
        <v>309.44861583743847</v>
      </c>
      <c r="BE31" s="4497">
        <f t="shared" si="135"/>
        <v>353.08900877388493</v>
      </c>
      <c r="BF31" s="4497">
        <f t="shared" si="136"/>
        <v>15.023891598272364</v>
      </c>
      <c r="BG31" s="4497">
        <f t="shared" si="137"/>
        <v>26.607336001461906</v>
      </c>
      <c r="BH31" s="4497">
        <f t="shared" si="138"/>
        <v>30.323354636169068</v>
      </c>
      <c r="BI31" s="4497">
        <f t="shared" si="139"/>
        <v>34.57129350755821</v>
      </c>
      <c r="BJ31" s="4497">
        <f t="shared" si="140"/>
        <v>39.427116027089703</v>
      </c>
      <c r="BK31" s="4497">
        <f t="shared" si="141"/>
        <v>44.97759343916259</v>
      </c>
      <c r="BL31" s="4497">
        <f t="shared" si="142"/>
        <v>27.75891762574123</v>
      </c>
      <c r="BM31" s="4497">
        <f t="shared" si="143"/>
        <v>46.639341145382097</v>
      </c>
      <c r="BN31" s="4497">
        <f t="shared" si="144"/>
        <v>53.25745259745343</v>
      </c>
      <c r="BO31" s="4497">
        <f t="shared" si="145"/>
        <v>60.827543867142701</v>
      </c>
      <c r="BP31" s="4497">
        <f t="shared" si="146"/>
        <v>69.485950148152426</v>
      </c>
      <c r="BQ31" s="4497">
        <f t="shared" si="147"/>
        <v>79.38848753096795</v>
      </c>
      <c r="BR31" s="4497">
        <f t="shared" si="148"/>
        <v>0</v>
      </c>
      <c r="BS31" s="4497">
        <f t="shared" si="149"/>
        <v>0</v>
      </c>
      <c r="BT31" s="4497">
        <f t="shared" si="150"/>
        <v>0</v>
      </c>
      <c r="BU31" s="4497">
        <f t="shared" si="151"/>
        <v>0</v>
      </c>
      <c r="BV31" s="4497">
        <f t="shared" si="152"/>
        <v>0</v>
      </c>
      <c r="BW31" s="4497">
        <f t="shared" si="153"/>
        <v>0</v>
      </c>
      <c r="BX31" s="4497">
        <f t="shared" si="154"/>
        <v>28.02792865937689</v>
      </c>
      <c r="BY31" s="4497">
        <f t="shared" si="155"/>
        <v>35.472923823136455</v>
      </c>
      <c r="BZ31" s="4497">
        <f t="shared" si="156"/>
        <v>40.182659125509716</v>
      </c>
      <c r="CA31" s="4497">
        <f t="shared" si="157"/>
        <v>45.572723114364727</v>
      </c>
      <c r="CB31" s="4497">
        <f t="shared" si="158"/>
        <v>51.741357979829935</v>
      </c>
      <c r="CC31" s="4497">
        <f t="shared" si="159"/>
        <v>58.800913047817062</v>
      </c>
      <c r="CD31" s="4497">
        <f t="shared" si="160"/>
        <v>1.5481030380009677</v>
      </c>
      <c r="CE31" s="4497">
        <f t="shared" si="161"/>
        <v>0.55408751424492908</v>
      </c>
      <c r="CF31" s="4497">
        <f t="shared" si="162"/>
        <v>0.63725644850778673</v>
      </c>
      <c r="CG31" s="4497">
        <f t="shared" si="163"/>
        <v>0.73241212141546974</v>
      </c>
      <c r="CH31" s="4497">
        <f t="shared" si="164"/>
        <v>0.84126498287078777</v>
      </c>
      <c r="CI31" s="4497">
        <f t="shared" si="165"/>
        <v>0.96577006163631296</v>
      </c>
      <c r="CJ31" s="4497">
        <f t="shared" si="166"/>
        <v>211.62355809819186</v>
      </c>
      <c r="CK31" s="4497">
        <f t="shared" si="167"/>
        <v>243.06865116088821</v>
      </c>
      <c r="CL31" s="4497">
        <f t="shared" si="168"/>
        <v>272.49699429556273</v>
      </c>
      <c r="CM31" s="4497">
        <f t="shared" si="169"/>
        <v>317.34687524836744</v>
      </c>
      <c r="CN31" s="4497">
        <f t="shared" si="170"/>
        <v>361.61913086531808</v>
      </c>
      <c r="CO31" s="4497">
        <f t="shared" si="171"/>
        <v>412.23581108816819</v>
      </c>
      <c r="CP31" s="4497">
        <f t="shared" si="172"/>
        <v>470.1030399925105</v>
      </c>
      <c r="CQ31" s="4497">
        <f t="shared" si="173"/>
        <v>536.25600279183243</v>
      </c>
    </row>
    <row r="32" spans="1:121" s="166" customFormat="1" ht="13.8" thickBot="1">
      <c r="A32" s="783" t="s">
        <v>1204</v>
      </c>
      <c r="B32" s="628" t="s">
        <v>1196</v>
      </c>
      <c r="C32" s="297">
        <v>447.53537499985191</v>
      </c>
      <c r="D32" s="298">
        <v>620.45673578204196</v>
      </c>
      <c r="E32" s="298">
        <v>707.88465601278403</v>
      </c>
      <c r="F32" s="298">
        <v>807.83330626555653</v>
      </c>
      <c r="G32" s="298">
        <v>922.08954001231712</v>
      </c>
      <c r="H32" s="618">
        <v>1052.6946301384405</v>
      </c>
      <c r="I32" s="297">
        <v>9.7970451646592061</v>
      </c>
      <c r="J32" s="298">
        <v>23.561274744311291</v>
      </c>
      <c r="K32" s="298">
        <v>26.796447803934026</v>
      </c>
      <c r="L32" s="298">
        <v>30.495327563709253</v>
      </c>
      <c r="M32" s="298">
        <v>34.724518051575636</v>
      </c>
      <c r="N32" s="618">
        <v>39.560131616513054</v>
      </c>
      <c r="O32" s="297">
        <v>136.72604846325558</v>
      </c>
      <c r="P32" s="298">
        <v>255.57323398899251</v>
      </c>
      <c r="Q32" s="298">
        <v>289.94229577940746</v>
      </c>
      <c r="R32" s="298">
        <v>329.24438271035393</v>
      </c>
      <c r="S32" s="298">
        <v>374.18479750359006</v>
      </c>
      <c r="T32" s="618">
        <v>425.56936489763052</v>
      </c>
      <c r="U32" s="297">
        <v>0</v>
      </c>
      <c r="V32" s="298">
        <v>0</v>
      </c>
      <c r="W32" s="298">
        <v>0</v>
      </c>
      <c r="X32" s="298">
        <v>0</v>
      </c>
      <c r="Y32" s="298">
        <v>0</v>
      </c>
      <c r="Z32" s="618">
        <v>0</v>
      </c>
      <c r="AA32" s="297">
        <v>42.887427259906175</v>
      </c>
      <c r="AB32" s="298">
        <v>80.484441906587961</v>
      </c>
      <c r="AC32" s="298">
        <v>91.585254619247507</v>
      </c>
      <c r="AD32" s="298">
        <v>104.30110390901598</v>
      </c>
      <c r="AE32" s="298">
        <v>118.86587957011641</v>
      </c>
      <c r="AF32" s="618">
        <v>135.54721994612652</v>
      </c>
      <c r="AG32" s="297">
        <v>0.23773411232714289</v>
      </c>
      <c r="AH32" s="298">
        <v>9.2363578066327792E-2</v>
      </c>
      <c r="AI32" s="298">
        <v>0.10630578462708934</v>
      </c>
      <c r="AJ32" s="298">
        <v>0.12226955136425759</v>
      </c>
      <c r="AK32" s="298">
        <v>0.14054486240076344</v>
      </c>
      <c r="AL32" s="618">
        <v>0.16146340128924735</v>
      </c>
      <c r="AM32" s="972">
        <f t="shared" si="124"/>
        <v>636.94589588767292</v>
      </c>
      <c r="AN32" s="298">
        <v>713.01460999999995</v>
      </c>
      <c r="AO32" s="298">
        <v>812.23776191573802</v>
      </c>
      <c r="AP32" s="973">
        <f t="shared" si="125"/>
        <v>980.07568642193382</v>
      </c>
      <c r="AQ32" s="973">
        <f t="shared" si="126"/>
        <v>1116.2086542153731</v>
      </c>
      <c r="AR32" s="973">
        <f t="shared" si="127"/>
        <v>1271.8741204486355</v>
      </c>
      <c r="AS32" s="973">
        <f t="shared" si="128"/>
        <v>1449.8647351375992</v>
      </c>
      <c r="AT32" s="974">
        <f t="shared" si="129"/>
        <v>1653.3713465987105</v>
      </c>
      <c r="AU32" s="1557">
        <f t="shared" si="120"/>
        <v>0.53871104712286699</v>
      </c>
      <c r="AV32" s="1557">
        <f t="shared" si="121"/>
        <v>0.42925894648219964</v>
      </c>
      <c r="AW32" s="1558">
        <f t="shared" si="122"/>
        <v>0.90505470381444764</v>
      </c>
      <c r="AX32" s="4488"/>
      <c r="AY32" s="4491" t="s">
        <v>1875</v>
      </c>
      <c r="AZ32" s="4497">
        <f t="shared" si="130"/>
        <v>228.82120378552938</v>
      </c>
      <c r="BA32" s="4497">
        <f t="shared" si="131"/>
        <v>317.23449163886534</v>
      </c>
      <c r="BB32" s="4497">
        <f t="shared" si="132"/>
        <v>361.93567744271439</v>
      </c>
      <c r="BC32" s="4497">
        <f t="shared" si="133"/>
        <v>413.03861085347734</v>
      </c>
      <c r="BD32" s="4497">
        <f t="shared" si="134"/>
        <v>471.45689554425343</v>
      </c>
      <c r="BE32" s="4497">
        <f t="shared" si="135"/>
        <v>538.23421776864075</v>
      </c>
      <c r="BF32" s="4497">
        <f t="shared" si="136"/>
        <v>5.0091496524029218</v>
      </c>
      <c r="BG32" s="4497">
        <f t="shared" si="137"/>
        <v>12.046688487399871</v>
      </c>
      <c r="BH32" s="4497">
        <f t="shared" si="138"/>
        <v>13.700806207049705</v>
      </c>
      <c r="BI32" s="4497">
        <f t="shared" si="139"/>
        <v>15.592013397743798</v>
      </c>
      <c r="BJ32" s="4497">
        <f t="shared" si="140"/>
        <v>17.754364158222156</v>
      </c>
      <c r="BK32" s="4497">
        <f t="shared" si="141"/>
        <v>20.226774114576958</v>
      </c>
      <c r="BL32" s="4497">
        <f t="shared" si="142"/>
        <v>69.90691852730329</v>
      </c>
      <c r="BM32" s="4497">
        <f t="shared" si="143"/>
        <v>130.67251958963331</v>
      </c>
      <c r="BN32" s="4497">
        <f t="shared" si="144"/>
        <v>148.24514184740363</v>
      </c>
      <c r="BO32" s="4497">
        <f t="shared" si="145"/>
        <v>168.33997980926458</v>
      </c>
      <c r="BP32" s="4497">
        <f t="shared" si="146"/>
        <v>191.31764903063666</v>
      </c>
      <c r="BQ32" s="4497">
        <f t="shared" si="147"/>
        <v>217.59016115798946</v>
      </c>
      <c r="BR32" s="4497">
        <f t="shared" si="148"/>
        <v>0</v>
      </c>
      <c r="BS32" s="4497">
        <f t="shared" si="149"/>
        <v>0</v>
      </c>
      <c r="BT32" s="4497">
        <f t="shared" si="150"/>
        <v>0</v>
      </c>
      <c r="BU32" s="4497">
        <f t="shared" si="151"/>
        <v>0</v>
      </c>
      <c r="BV32" s="4497">
        <f t="shared" si="152"/>
        <v>0</v>
      </c>
      <c r="BW32" s="4497">
        <f t="shared" si="153"/>
        <v>0</v>
      </c>
      <c r="BX32" s="4497">
        <f t="shared" si="154"/>
        <v>21.927993363383411</v>
      </c>
      <c r="BY32" s="4497">
        <f t="shared" si="155"/>
        <v>41.151041709447121</v>
      </c>
      <c r="BZ32" s="4497">
        <f t="shared" si="156"/>
        <v>46.826797124109717</v>
      </c>
      <c r="CA32" s="4497">
        <f t="shared" si="157"/>
        <v>53.328307628483039</v>
      </c>
      <c r="CB32" s="4497">
        <f t="shared" si="158"/>
        <v>60.775159175447975</v>
      </c>
      <c r="CC32" s="4497">
        <f t="shared" si="159"/>
        <v>69.304193077172613</v>
      </c>
      <c r="CD32" s="4497">
        <f t="shared" si="160"/>
        <v>0.121551521516258</v>
      </c>
      <c r="CE32" s="4497">
        <f t="shared" si="161"/>
        <v>4.7224747583546521E-2</v>
      </c>
      <c r="CF32" s="4497">
        <f t="shared" si="162"/>
        <v>5.4353284604024554E-2</v>
      </c>
      <c r="CG32" s="4497">
        <f t="shared" si="163"/>
        <v>6.2515428930048925E-2</v>
      </c>
      <c r="CH32" s="4497">
        <f t="shared" si="164"/>
        <v>7.185944708935002E-2</v>
      </c>
      <c r="CI32" s="4497">
        <f t="shared" si="165"/>
        <v>8.2554926189519207E-2</v>
      </c>
      <c r="CJ32" s="4497">
        <f t="shared" si="166"/>
        <v>325.665265328619</v>
      </c>
      <c r="CK32" s="4497">
        <f t="shared" si="167"/>
        <v>364.55858126728805</v>
      </c>
      <c r="CL32" s="4497">
        <f t="shared" si="168"/>
        <v>415.29057326850392</v>
      </c>
      <c r="CM32" s="4497">
        <f t="shared" si="169"/>
        <v>501.10474142534571</v>
      </c>
      <c r="CN32" s="4497">
        <f t="shared" si="170"/>
        <v>570.70842262127746</v>
      </c>
      <c r="CO32" s="4497">
        <f t="shared" si="171"/>
        <v>650.29891168896859</v>
      </c>
      <c r="CP32" s="4497">
        <f t="shared" si="172"/>
        <v>741.30406790856011</v>
      </c>
      <c r="CQ32" s="4497">
        <f t="shared" si="173"/>
        <v>845.35534611837966</v>
      </c>
    </row>
    <row r="33" spans="1:122" s="166" customFormat="1" ht="13.8" thickBot="1">
      <c r="A33" s="783" t="s">
        <v>1205</v>
      </c>
      <c r="B33" s="628" t="s">
        <v>1197</v>
      </c>
      <c r="C33" s="297">
        <v>294.42913390598056</v>
      </c>
      <c r="D33" s="298">
        <v>462.99878991692373</v>
      </c>
      <c r="E33" s="298">
        <v>527.60204583217603</v>
      </c>
      <c r="F33" s="298">
        <v>601.48830221434923</v>
      </c>
      <c r="G33" s="298">
        <v>685.98600184901773</v>
      </c>
      <c r="H33" s="618">
        <v>782.61309255092033</v>
      </c>
      <c r="I33" s="297">
        <v>6.1516120393817468</v>
      </c>
      <c r="J33" s="298">
        <v>17.817919906332929</v>
      </c>
      <c r="K33" s="298">
        <v>20.178119092658918</v>
      </c>
      <c r="L33" s="298">
        <v>22.878390221474913</v>
      </c>
      <c r="M33" s="298">
        <v>25.967571505990357</v>
      </c>
      <c r="N33" s="618">
        <v>29.501495132281637</v>
      </c>
      <c r="O33" s="297">
        <v>33.817985859675012</v>
      </c>
      <c r="P33" s="298">
        <v>72.172193531494415</v>
      </c>
      <c r="Q33" s="298">
        <v>82.203495586575755</v>
      </c>
      <c r="R33" s="298">
        <v>93.68172393974514</v>
      </c>
      <c r="S33" s="298">
        <v>106.81475056332221</v>
      </c>
      <c r="T33" s="618">
        <v>121.84022428657167</v>
      </c>
      <c r="U33" s="297">
        <v>0</v>
      </c>
      <c r="V33" s="298">
        <v>0</v>
      </c>
      <c r="W33" s="298">
        <v>0</v>
      </c>
      <c r="X33" s="298">
        <v>0</v>
      </c>
      <c r="Y33" s="298">
        <v>0</v>
      </c>
      <c r="Z33" s="618">
        <v>0</v>
      </c>
      <c r="AA33" s="297">
        <v>25.605101199567159</v>
      </c>
      <c r="AB33" s="298">
        <v>22.734124449217859</v>
      </c>
      <c r="AC33" s="298">
        <v>25.881824262641153</v>
      </c>
      <c r="AD33" s="298">
        <v>29.485520885366732</v>
      </c>
      <c r="AE33" s="298">
        <v>33.611514786356345</v>
      </c>
      <c r="AF33" s="618">
        <v>38.335657763922178</v>
      </c>
      <c r="AG33" s="297">
        <v>0.29662699539550136</v>
      </c>
      <c r="AH33" s="298">
        <v>0.15898219603103714</v>
      </c>
      <c r="AI33" s="298">
        <v>0.18309522594820615</v>
      </c>
      <c r="AJ33" s="298">
        <v>0.2107227390639263</v>
      </c>
      <c r="AK33" s="298">
        <v>0.24237129531337867</v>
      </c>
      <c r="AL33" s="618">
        <v>0.27862026630414805</v>
      </c>
      <c r="AM33" s="972">
        <f t="shared" si="124"/>
        <v>360.00383300460447</v>
      </c>
      <c r="AN33" s="298">
        <v>395.75581</v>
      </c>
      <c r="AO33" s="298">
        <v>501.79192500326519</v>
      </c>
      <c r="AP33" s="973">
        <f t="shared" si="125"/>
        <v>575.72302780396899</v>
      </c>
      <c r="AQ33" s="973">
        <f t="shared" si="126"/>
        <v>655.86548477405188</v>
      </c>
      <c r="AR33" s="973">
        <f t="shared" si="127"/>
        <v>747.533937260936</v>
      </c>
      <c r="AS33" s="973">
        <f t="shared" si="128"/>
        <v>852.37983870468656</v>
      </c>
      <c r="AT33" s="974">
        <f t="shared" si="129"/>
        <v>972.29046973369589</v>
      </c>
      <c r="AU33" s="1557">
        <f t="shared" si="120"/>
        <v>0.59921360558570902</v>
      </c>
      <c r="AV33" s="1557">
        <f t="shared" si="121"/>
        <v>0.51775298103950096</v>
      </c>
      <c r="AW33" s="1558">
        <f t="shared" si="122"/>
        <v>1.2514640668914765</v>
      </c>
      <c r="AX33" s="4488"/>
      <c r="AY33" s="4491" t="s">
        <v>1875</v>
      </c>
      <c r="AZ33" s="4497">
        <f t="shared" si="130"/>
        <v>150.53922575376211</v>
      </c>
      <c r="BA33" s="4497">
        <f t="shared" si="131"/>
        <v>236.7275222881967</v>
      </c>
      <c r="BB33" s="4497">
        <f t="shared" si="132"/>
        <v>269.75864253650678</v>
      </c>
      <c r="BC33" s="4497">
        <f t="shared" si="133"/>
        <v>307.53608555669422</v>
      </c>
      <c r="BD33" s="4497">
        <f t="shared" si="134"/>
        <v>350.73907335965691</v>
      </c>
      <c r="BE33" s="4497">
        <f t="shared" si="135"/>
        <v>400.14372033915032</v>
      </c>
      <c r="BF33" s="4497">
        <f t="shared" si="136"/>
        <v>3.1452692920047993</v>
      </c>
      <c r="BG33" s="4497">
        <f t="shared" si="137"/>
        <v>9.1101577879125131</v>
      </c>
      <c r="BH33" s="4497">
        <f t="shared" si="138"/>
        <v>10.316908469886911</v>
      </c>
      <c r="BI33" s="4497">
        <f t="shared" si="139"/>
        <v>11.697535175079079</v>
      </c>
      <c r="BJ33" s="4497">
        <f t="shared" si="140"/>
        <v>13.277008485395131</v>
      </c>
      <c r="BK33" s="4497">
        <f t="shared" si="141"/>
        <v>15.083874944285361</v>
      </c>
      <c r="BL33" s="4497">
        <f t="shared" si="142"/>
        <v>17.290861608460354</v>
      </c>
      <c r="BM33" s="4497">
        <f t="shared" si="143"/>
        <v>36.901056600775334</v>
      </c>
      <c r="BN33" s="4497">
        <f t="shared" si="144"/>
        <v>42.029979899365365</v>
      </c>
      <c r="BO33" s="4497">
        <f t="shared" si="145"/>
        <v>47.898704866857109</v>
      </c>
      <c r="BP33" s="4497">
        <f t="shared" si="146"/>
        <v>54.613514755025854</v>
      </c>
      <c r="BQ33" s="4497">
        <f t="shared" si="147"/>
        <v>62.29591748085042</v>
      </c>
      <c r="BR33" s="4497">
        <f t="shared" si="148"/>
        <v>0</v>
      </c>
      <c r="BS33" s="4497">
        <f t="shared" si="149"/>
        <v>0</v>
      </c>
      <c r="BT33" s="4497">
        <f t="shared" si="150"/>
        <v>0</v>
      </c>
      <c r="BU33" s="4497">
        <f t="shared" si="151"/>
        <v>0</v>
      </c>
      <c r="BV33" s="4497">
        <f t="shared" si="152"/>
        <v>0</v>
      </c>
      <c r="BW33" s="4497">
        <f t="shared" si="153"/>
        <v>0</v>
      </c>
      <c r="BX33" s="4497">
        <f t="shared" si="154"/>
        <v>13.091680360546244</v>
      </c>
      <c r="BY33" s="4497">
        <f t="shared" si="155"/>
        <v>11.623773256989544</v>
      </c>
      <c r="BZ33" s="4497">
        <f t="shared" si="156"/>
        <v>13.233166616035726</v>
      </c>
      <c r="CA33" s="4497">
        <f t="shared" si="157"/>
        <v>15.075707441529547</v>
      </c>
      <c r="CB33" s="4497">
        <f t="shared" si="158"/>
        <v>17.185294624970648</v>
      </c>
      <c r="CC33" s="4497">
        <f t="shared" si="159"/>
        <v>19.60071057501019</v>
      </c>
      <c r="CD33" s="4497">
        <f t="shared" si="160"/>
        <v>0.15166297448934793</v>
      </c>
      <c r="CE33" s="4497">
        <f t="shared" si="161"/>
        <v>8.1286306085414956E-2</v>
      </c>
      <c r="CF33" s="4497">
        <f t="shared" si="162"/>
        <v>9.3615102513105009E-2</v>
      </c>
      <c r="CG33" s="4497">
        <f t="shared" si="163"/>
        <v>0.10774082566681475</v>
      </c>
      <c r="CH33" s="4497">
        <f t="shared" si="164"/>
        <v>0.1239224755287416</v>
      </c>
      <c r="CI33" s="4497">
        <f t="shared" si="165"/>
        <v>0.14245628009803923</v>
      </c>
      <c r="CJ33" s="4497">
        <f t="shared" si="166"/>
        <v>184.06703701477352</v>
      </c>
      <c r="CK33" s="4497">
        <f t="shared" si="167"/>
        <v>202.34673258923323</v>
      </c>
      <c r="CL33" s="4497">
        <f t="shared" si="168"/>
        <v>256.56213730399122</v>
      </c>
      <c r="CM33" s="4497">
        <f t="shared" si="169"/>
        <v>294.36250993387409</v>
      </c>
      <c r="CN33" s="4497">
        <f t="shared" si="170"/>
        <v>335.33869752179476</v>
      </c>
      <c r="CO33" s="4497">
        <f t="shared" si="171"/>
        <v>382.20803304015993</v>
      </c>
      <c r="CP33" s="4497">
        <f t="shared" si="172"/>
        <v>435.81489122504848</v>
      </c>
      <c r="CQ33" s="4497">
        <f t="shared" si="173"/>
        <v>497.12422333929629</v>
      </c>
    </row>
    <row r="34" spans="1:122" s="166" customFormat="1" ht="24.6" thickBot="1">
      <c r="A34" s="783" t="s">
        <v>1206</v>
      </c>
      <c r="B34" s="628" t="s">
        <v>1198</v>
      </c>
      <c r="C34" s="297">
        <v>72.983779999999996</v>
      </c>
      <c r="D34" s="298">
        <v>116.82872999999999</v>
      </c>
      <c r="E34" s="298">
        <v>131.33327</v>
      </c>
      <c r="F34" s="298">
        <v>147.90913</v>
      </c>
      <c r="G34" s="298">
        <v>166.85123000000002</v>
      </c>
      <c r="H34" s="618">
        <v>188.49635999999998</v>
      </c>
      <c r="I34" s="297">
        <v>0</v>
      </c>
      <c r="J34" s="298">
        <v>0</v>
      </c>
      <c r="K34" s="298">
        <v>0</v>
      </c>
      <c r="L34" s="298">
        <v>0</v>
      </c>
      <c r="M34" s="298">
        <v>0</v>
      </c>
      <c r="N34" s="618">
        <v>0</v>
      </c>
      <c r="O34" s="297">
        <v>0</v>
      </c>
      <c r="P34" s="298">
        <v>0</v>
      </c>
      <c r="Q34" s="298">
        <v>0</v>
      </c>
      <c r="R34" s="298">
        <v>0</v>
      </c>
      <c r="S34" s="298">
        <v>0</v>
      </c>
      <c r="T34" s="618">
        <v>0</v>
      </c>
      <c r="U34" s="297">
        <v>0</v>
      </c>
      <c r="V34" s="298">
        <v>0</v>
      </c>
      <c r="W34" s="298">
        <v>0</v>
      </c>
      <c r="X34" s="298">
        <v>0</v>
      </c>
      <c r="Y34" s="298">
        <v>0</v>
      </c>
      <c r="Z34" s="618">
        <v>0</v>
      </c>
      <c r="AA34" s="297">
        <v>0</v>
      </c>
      <c r="AB34" s="298">
        <v>0</v>
      </c>
      <c r="AC34" s="298">
        <v>0</v>
      </c>
      <c r="AD34" s="298">
        <v>0</v>
      </c>
      <c r="AE34" s="298">
        <v>0</v>
      </c>
      <c r="AF34" s="618">
        <v>0</v>
      </c>
      <c r="AG34" s="297">
        <v>13.44769</v>
      </c>
      <c r="AH34" s="298">
        <v>19.504669999999997</v>
      </c>
      <c r="AI34" s="298">
        <v>22.305299999999999</v>
      </c>
      <c r="AJ34" s="298">
        <v>25.509370000000001</v>
      </c>
      <c r="AK34" s="298">
        <v>29.174759999999999</v>
      </c>
      <c r="AL34" s="618">
        <v>33.367629999999998</v>
      </c>
      <c r="AM34" s="972">
        <f t="shared" si="124"/>
        <v>72.983779999999996</v>
      </c>
      <c r="AN34" s="298">
        <v>88.00239000000002</v>
      </c>
      <c r="AO34" s="298">
        <v>104.1373</v>
      </c>
      <c r="AP34" s="973">
        <f t="shared" si="125"/>
        <v>116.82872999999999</v>
      </c>
      <c r="AQ34" s="973">
        <f t="shared" si="126"/>
        <v>131.33327</v>
      </c>
      <c r="AR34" s="973">
        <f t="shared" si="127"/>
        <v>147.90913</v>
      </c>
      <c r="AS34" s="973">
        <f t="shared" si="128"/>
        <v>166.85123000000002</v>
      </c>
      <c r="AT34" s="974">
        <f t="shared" si="129"/>
        <v>188.49635999999998</v>
      </c>
      <c r="AU34" s="1557">
        <f t="shared" si="120"/>
        <v>0.60074923496700228</v>
      </c>
      <c r="AV34" s="1557">
        <f t="shared" si="121"/>
        <v>0.60074923496700228</v>
      </c>
      <c r="AW34" s="1558">
        <f t="shared" si="122"/>
        <v>0</v>
      </c>
      <c r="AX34" s="4488"/>
      <c r="AY34" s="4491" t="s">
        <v>1875</v>
      </c>
      <c r="AZ34" s="4497">
        <f t="shared" si="130"/>
        <v>37.316014173010949</v>
      </c>
      <c r="BA34" s="4497">
        <f t="shared" si="131"/>
        <v>59.733581139465088</v>
      </c>
      <c r="BB34" s="4497">
        <f t="shared" si="132"/>
        <v>67.149634681950886</v>
      </c>
      <c r="BC34" s="4497">
        <f t="shared" si="133"/>
        <v>75.62473732379604</v>
      </c>
      <c r="BD34" s="4497">
        <f t="shared" si="134"/>
        <v>85.309679266602942</v>
      </c>
      <c r="BE34" s="4497">
        <f t="shared" si="135"/>
        <v>96.376658503039621</v>
      </c>
      <c r="BF34" s="4497">
        <f t="shared" si="136"/>
        <v>0</v>
      </c>
      <c r="BG34" s="4497">
        <f t="shared" si="137"/>
        <v>0</v>
      </c>
      <c r="BH34" s="4497">
        <f t="shared" si="138"/>
        <v>0</v>
      </c>
      <c r="BI34" s="4497">
        <f t="shared" si="139"/>
        <v>0</v>
      </c>
      <c r="BJ34" s="4497">
        <f t="shared" si="140"/>
        <v>0</v>
      </c>
      <c r="BK34" s="4497">
        <f t="shared" si="141"/>
        <v>0</v>
      </c>
      <c r="BL34" s="4497">
        <f t="shared" si="142"/>
        <v>0</v>
      </c>
      <c r="BM34" s="4497">
        <f t="shared" si="143"/>
        <v>0</v>
      </c>
      <c r="BN34" s="4497">
        <f t="shared" si="144"/>
        <v>0</v>
      </c>
      <c r="BO34" s="4497">
        <f t="shared" si="145"/>
        <v>0</v>
      </c>
      <c r="BP34" s="4497">
        <f t="shared" si="146"/>
        <v>0</v>
      </c>
      <c r="BQ34" s="4497">
        <f t="shared" si="147"/>
        <v>0</v>
      </c>
      <c r="BR34" s="4497">
        <f t="shared" si="148"/>
        <v>0</v>
      </c>
      <c r="BS34" s="4497">
        <f t="shared" si="149"/>
        <v>0</v>
      </c>
      <c r="BT34" s="4497">
        <f t="shared" si="150"/>
        <v>0</v>
      </c>
      <c r="BU34" s="4497">
        <f t="shared" si="151"/>
        <v>0</v>
      </c>
      <c r="BV34" s="4497">
        <f t="shared" si="152"/>
        <v>0</v>
      </c>
      <c r="BW34" s="4497">
        <f t="shared" si="153"/>
        <v>0</v>
      </c>
      <c r="BX34" s="4497">
        <f t="shared" si="154"/>
        <v>0</v>
      </c>
      <c r="BY34" s="4497">
        <f t="shared" si="155"/>
        <v>0</v>
      </c>
      <c r="BZ34" s="4497">
        <f t="shared" si="156"/>
        <v>0</v>
      </c>
      <c r="CA34" s="4497">
        <f t="shared" si="157"/>
        <v>0</v>
      </c>
      <c r="CB34" s="4497">
        <f t="shared" si="158"/>
        <v>0</v>
      </c>
      <c r="CC34" s="4497">
        <f t="shared" si="159"/>
        <v>0</v>
      </c>
      <c r="CD34" s="4497">
        <f t="shared" si="160"/>
        <v>6.875694717843575</v>
      </c>
      <c r="CE34" s="4497">
        <f t="shared" si="161"/>
        <v>9.9725794164114454</v>
      </c>
      <c r="CF34" s="4497">
        <f t="shared" si="162"/>
        <v>11.404518797646013</v>
      </c>
      <c r="CG34" s="4497">
        <f t="shared" si="163"/>
        <v>13.042733775430381</v>
      </c>
      <c r="CH34" s="4497">
        <f t="shared" si="164"/>
        <v>14.916817923848187</v>
      </c>
      <c r="CI34" s="4497">
        <f t="shared" si="165"/>
        <v>17.060598313759375</v>
      </c>
      <c r="CJ34" s="4497">
        <f t="shared" si="166"/>
        <v>37.316014173010949</v>
      </c>
      <c r="CK34" s="4497">
        <f t="shared" si="167"/>
        <v>44.994907532863294</v>
      </c>
      <c r="CL34" s="4497">
        <f t="shared" si="168"/>
        <v>53.244556019694961</v>
      </c>
      <c r="CM34" s="4497">
        <f t="shared" si="169"/>
        <v>59.733581139465088</v>
      </c>
      <c r="CN34" s="4497">
        <f t="shared" si="170"/>
        <v>67.149634681950886</v>
      </c>
      <c r="CO34" s="4497">
        <f t="shared" si="171"/>
        <v>75.62473732379604</v>
      </c>
      <c r="CP34" s="4497">
        <f t="shared" si="172"/>
        <v>85.309679266602942</v>
      </c>
      <c r="CQ34" s="4497">
        <f t="shared" si="173"/>
        <v>96.376658503039621</v>
      </c>
    </row>
    <row r="35" spans="1:122" s="166" customFormat="1" ht="24.6" thickBot="1">
      <c r="A35" s="783" t="s">
        <v>1207</v>
      </c>
      <c r="B35" s="628" t="s">
        <v>1199</v>
      </c>
      <c r="C35" s="297">
        <v>0</v>
      </c>
      <c r="D35" s="298">
        <v>0</v>
      </c>
      <c r="E35" s="298">
        <v>0</v>
      </c>
      <c r="F35" s="298">
        <v>0</v>
      </c>
      <c r="G35" s="298">
        <v>0</v>
      </c>
      <c r="H35" s="618">
        <v>0</v>
      </c>
      <c r="I35" s="297">
        <v>0</v>
      </c>
      <c r="J35" s="298">
        <v>0</v>
      </c>
      <c r="K35" s="298">
        <v>0</v>
      </c>
      <c r="L35" s="298">
        <v>0</v>
      </c>
      <c r="M35" s="298">
        <v>0</v>
      </c>
      <c r="N35" s="618">
        <v>0</v>
      </c>
      <c r="O35" s="297">
        <v>0</v>
      </c>
      <c r="P35" s="298">
        <v>0</v>
      </c>
      <c r="Q35" s="298">
        <v>0</v>
      </c>
      <c r="R35" s="298">
        <v>0</v>
      </c>
      <c r="S35" s="298">
        <v>0</v>
      </c>
      <c r="T35" s="618">
        <v>0</v>
      </c>
      <c r="U35" s="297">
        <v>0</v>
      </c>
      <c r="V35" s="298">
        <v>0</v>
      </c>
      <c r="W35" s="298">
        <v>0</v>
      </c>
      <c r="X35" s="298">
        <v>0</v>
      </c>
      <c r="Y35" s="298">
        <v>0</v>
      </c>
      <c r="Z35" s="618">
        <v>0</v>
      </c>
      <c r="AA35" s="297">
        <v>0</v>
      </c>
      <c r="AB35" s="298">
        <v>0</v>
      </c>
      <c r="AC35" s="298">
        <v>0</v>
      </c>
      <c r="AD35" s="298">
        <v>0</v>
      </c>
      <c r="AE35" s="298">
        <v>0</v>
      </c>
      <c r="AF35" s="618">
        <v>0</v>
      </c>
      <c r="AG35" s="297">
        <v>0</v>
      </c>
      <c r="AH35" s="298">
        <v>0</v>
      </c>
      <c r="AI35" s="298">
        <v>0</v>
      </c>
      <c r="AJ35" s="298">
        <v>0</v>
      </c>
      <c r="AK35" s="298">
        <v>0</v>
      </c>
      <c r="AL35" s="618">
        <v>0</v>
      </c>
      <c r="AM35" s="972">
        <f t="shared" si="124"/>
        <v>0</v>
      </c>
      <c r="AN35" s="298">
        <v>0</v>
      </c>
      <c r="AO35" s="298">
        <v>0</v>
      </c>
      <c r="AP35" s="973">
        <f t="shared" si="125"/>
        <v>0</v>
      </c>
      <c r="AQ35" s="973">
        <f t="shared" si="126"/>
        <v>0</v>
      </c>
      <c r="AR35" s="973">
        <f t="shared" si="127"/>
        <v>0</v>
      </c>
      <c r="AS35" s="973">
        <f t="shared" si="128"/>
        <v>0</v>
      </c>
      <c r="AT35" s="974">
        <f t="shared" si="129"/>
        <v>0</v>
      </c>
      <c r="AU35" s="1557">
        <f t="shared" si="120"/>
        <v>0</v>
      </c>
      <c r="AV35" s="1557">
        <f t="shared" si="121"/>
        <v>0</v>
      </c>
      <c r="AW35" s="1558">
        <f t="shared" si="122"/>
        <v>0</v>
      </c>
      <c r="AX35" s="4488"/>
      <c r="AY35" s="4491" t="s">
        <v>1875</v>
      </c>
      <c r="AZ35" s="4497">
        <f t="shared" si="130"/>
        <v>0</v>
      </c>
      <c r="BA35" s="4497">
        <f t="shared" si="131"/>
        <v>0</v>
      </c>
      <c r="BB35" s="4497">
        <f t="shared" si="132"/>
        <v>0</v>
      </c>
      <c r="BC35" s="4497">
        <f t="shared" si="133"/>
        <v>0</v>
      </c>
      <c r="BD35" s="4497">
        <f t="shared" si="134"/>
        <v>0</v>
      </c>
      <c r="BE35" s="4497">
        <f t="shared" si="135"/>
        <v>0</v>
      </c>
      <c r="BF35" s="4497">
        <f t="shared" si="136"/>
        <v>0</v>
      </c>
      <c r="BG35" s="4497">
        <f t="shared" si="137"/>
        <v>0</v>
      </c>
      <c r="BH35" s="4497">
        <f t="shared" si="138"/>
        <v>0</v>
      </c>
      <c r="BI35" s="4497">
        <f t="shared" si="139"/>
        <v>0</v>
      </c>
      <c r="BJ35" s="4497">
        <f t="shared" si="140"/>
        <v>0</v>
      </c>
      <c r="BK35" s="4497">
        <f t="shared" si="141"/>
        <v>0</v>
      </c>
      <c r="BL35" s="4497">
        <f t="shared" si="142"/>
        <v>0</v>
      </c>
      <c r="BM35" s="4497">
        <f t="shared" si="143"/>
        <v>0</v>
      </c>
      <c r="BN35" s="4497">
        <f t="shared" si="144"/>
        <v>0</v>
      </c>
      <c r="BO35" s="4497">
        <f t="shared" si="145"/>
        <v>0</v>
      </c>
      <c r="BP35" s="4497">
        <f t="shared" si="146"/>
        <v>0</v>
      </c>
      <c r="BQ35" s="4497">
        <f t="shared" si="147"/>
        <v>0</v>
      </c>
      <c r="BR35" s="4497">
        <f t="shared" si="148"/>
        <v>0</v>
      </c>
      <c r="BS35" s="4497">
        <f t="shared" si="149"/>
        <v>0</v>
      </c>
      <c r="BT35" s="4497">
        <f t="shared" si="150"/>
        <v>0</v>
      </c>
      <c r="BU35" s="4497">
        <f t="shared" si="151"/>
        <v>0</v>
      </c>
      <c r="BV35" s="4497">
        <f t="shared" si="152"/>
        <v>0</v>
      </c>
      <c r="BW35" s="4497">
        <f t="shared" si="153"/>
        <v>0</v>
      </c>
      <c r="BX35" s="4497">
        <f t="shared" si="154"/>
        <v>0</v>
      </c>
      <c r="BY35" s="4497">
        <f t="shared" si="155"/>
        <v>0</v>
      </c>
      <c r="BZ35" s="4497">
        <f t="shared" si="156"/>
        <v>0</v>
      </c>
      <c r="CA35" s="4497">
        <f t="shared" si="157"/>
        <v>0</v>
      </c>
      <c r="CB35" s="4497">
        <f t="shared" si="158"/>
        <v>0</v>
      </c>
      <c r="CC35" s="4497">
        <f t="shared" si="159"/>
        <v>0</v>
      </c>
      <c r="CD35" s="4497">
        <f t="shared" si="160"/>
        <v>0</v>
      </c>
      <c r="CE35" s="4497">
        <f t="shared" si="161"/>
        <v>0</v>
      </c>
      <c r="CF35" s="4497">
        <f t="shared" si="162"/>
        <v>0</v>
      </c>
      <c r="CG35" s="4497">
        <f t="shared" si="163"/>
        <v>0</v>
      </c>
      <c r="CH35" s="4497">
        <f t="shared" si="164"/>
        <v>0</v>
      </c>
      <c r="CI35" s="4497">
        <f t="shared" si="165"/>
        <v>0</v>
      </c>
      <c r="CJ35" s="4497">
        <f t="shared" si="166"/>
        <v>0</v>
      </c>
      <c r="CK35" s="4497">
        <f t="shared" si="167"/>
        <v>0</v>
      </c>
      <c r="CL35" s="4497">
        <f t="shared" si="168"/>
        <v>0</v>
      </c>
      <c r="CM35" s="4497">
        <f t="shared" si="169"/>
        <v>0</v>
      </c>
      <c r="CN35" s="4497">
        <f t="shared" si="170"/>
        <v>0</v>
      </c>
      <c r="CO35" s="4497">
        <f t="shared" si="171"/>
        <v>0</v>
      </c>
      <c r="CP35" s="4497">
        <f t="shared" si="172"/>
        <v>0</v>
      </c>
      <c r="CQ35" s="4497">
        <f t="shared" si="173"/>
        <v>0</v>
      </c>
    </row>
    <row r="36" spans="1:122" s="166" customFormat="1" ht="24.6" thickBot="1">
      <c r="A36" s="783" t="s">
        <v>1208</v>
      </c>
      <c r="B36" s="628" t="s">
        <v>1200</v>
      </c>
      <c r="C36" s="297">
        <v>956.77114345380551</v>
      </c>
      <c r="D36" s="298">
        <v>1452.2240641547046</v>
      </c>
      <c r="E36" s="298">
        <v>1659.9755496260454</v>
      </c>
      <c r="F36" s="298">
        <v>1897.5213962875275</v>
      </c>
      <c r="G36" s="298">
        <v>2169.1189047200965</v>
      </c>
      <c r="H36" s="618">
        <v>2479.6317412933554</v>
      </c>
      <c r="I36" s="297">
        <v>34.37228416866369</v>
      </c>
      <c r="J36" s="298">
        <v>56.436099346285772</v>
      </c>
      <c r="K36" s="298">
        <v>64.575244751124018</v>
      </c>
      <c r="L36" s="298">
        <v>73.892482064943124</v>
      </c>
      <c r="M36" s="298">
        <v>84.55752059403352</v>
      </c>
      <c r="N36" s="618">
        <v>96.764488268671101</v>
      </c>
      <c r="O36" s="297">
        <v>99.818052007225162</v>
      </c>
      <c r="P36" s="298">
        <v>122.98510474410682</v>
      </c>
      <c r="Q36" s="298">
        <v>140.66315847772663</v>
      </c>
      <c r="R36" s="298">
        <v>160.88622552487541</v>
      </c>
      <c r="S36" s="298">
        <v>184.01924518502352</v>
      </c>
      <c r="T36" s="618">
        <v>210.47937693734167</v>
      </c>
      <c r="U36" s="297">
        <v>0</v>
      </c>
      <c r="V36" s="298">
        <v>0</v>
      </c>
      <c r="W36" s="298">
        <v>0</v>
      </c>
      <c r="X36" s="298">
        <v>0</v>
      </c>
      <c r="Y36" s="298">
        <v>0</v>
      </c>
      <c r="Z36" s="618">
        <v>0</v>
      </c>
      <c r="AA36" s="297">
        <v>130.64859037030564</v>
      </c>
      <c r="AB36" s="298">
        <v>197.57329175490278</v>
      </c>
      <c r="AC36" s="298">
        <v>226.14426714510384</v>
      </c>
      <c r="AD36" s="298">
        <v>258.85666612265379</v>
      </c>
      <c r="AE36" s="298">
        <v>296.30892950084683</v>
      </c>
      <c r="AF36" s="618">
        <v>339.18563350063215</v>
      </c>
      <c r="AG36" s="297">
        <v>5.6453199999999999</v>
      </c>
      <c r="AH36" s="298">
        <v>0</v>
      </c>
      <c r="AI36" s="298">
        <v>0</v>
      </c>
      <c r="AJ36" s="298">
        <v>0</v>
      </c>
      <c r="AK36" s="298">
        <v>0</v>
      </c>
      <c r="AL36" s="618">
        <v>0</v>
      </c>
      <c r="AM36" s="972">
        <f t="shared" si="124"/>
        <v>1221.61007</v>
      </c>
      <c r="AN36" s="298">
        <v>1380.0769299999999</v>
      </c>
      <c r="AO36" s="298">
        <v>1517.8155399999998</v>
      </c>
      <c r="AP36" s="973">
        <f t="shared" si="125"/>
        <v>1829.21856</v>
      </c>
      <c r="AQ36" s="973">
        <f t="shared" si="126"/>
        <v>2091.3582200000001</v>
      </c>
      <c r="AR36" s="973">
        <f t="shared" si="127"/>
        <v>2391.1567699999996</v>
      </c>
      <c r="AS36" s="973">
        <f t="shared" si="128"/>
        <v>2734.0046000000002</v>
      </c>
      <c r="AT36" s="974">
        <f t="shared" si="129"/>
        <v>3126.0612400000005</v>
      </c>
      <c r="AU36" s="1557">
        <f t="shared" si="120"/>
        <v>0.49738333443829591</v>
      </c>
      <c r="AV36" s="1557">
        <f t="shared" si="121"/>
        <v>0.51716701894657757</v>
      </c>
      <c r="AW36" s="1558">
        <f t="shared" si="122"/>
        <v>0.33706501677749545</v>
      </c>
      <c r="AX36" s="4488"/>
      <c r="AY36" s="4491" t="s">
        <v>1875</v>
      </c>
      <c r="AZ36" s="4497">
        <f t="shared" si="130"/>
        <v>489.18931781075327</v>
      </c>
      <c r="BA36" s="4497">
        <f t="shared" si="131"/>
        <v>742.51037368007678</v>
      </c>
      <c r="BB36" s="4497">
        <f t="shared" si="132"/>
        <v>848.73202150802751</v>
      </c>
      <c r="BC36" s="4497">
        <f t="shared" si="133"/>
        <v>970.1872843179251</v>
      </c>
      <c r="BD36" s="4497">
        <f t="shared" si="134"/>
        <v>1109.0528853326191</v>
      </c>
      <c r="BE36" s="4497">
        <f t="shared" si="135"/>
        <v>1267.8155776797346</v>
      </c>
      <c r="BF36" s="4497">
        <f t="shared" si="136"/>
        <v>17.574269833607058</v>
      </c>
      <c r="BG36" s="4497">
        <f t="shared" si="137"/>
        <v>28.855319402139131</v>
      </c>
      <c r="BH36" s="4497">
        <f t="shared" si="138"/>
        <v>33.016798367508436</v>
      </c>
      <c r="BI36" s="4497">
        <f t="shared" si="139"/>
        <v>37.780626161242608</v>
      </c>
      <c r="BJ36" s="4497">
        <f t="shared" si="140"/>
        <v>43.233573773811386</v>
      </c>
      <c r="BK36" s="4497">
        <f t="shared" si="141"/>
        <v>49.47489723987826</v>
      </c>
      <c r="BL36" s="4497">
        <f t="shared" si="142"/>
        <v>51.036159588116128</v>
      </c>
      <c r="BM36" s="4497">
        <f t="shared" si="143"/>
        <v>62.881285563728355</v>
      </c>
      <c r="BN36" s="4497">
        <f t="shared" si="144"/>
        <v>71.919930913078659</v>
      </c>
      <c r="BO36" s="4497">
        <f t="shared" si="145"/>
        <v>82.25982090717261</v>
      </c>
      <c r="BP36" s="4497">
        <f t="shared" si="146"/>
        <v>94.087546046958849</v>
      </c>
      <c r="BQ36" s="4497">
        <f t="shared" si="147"/>
        <v>107.6163965873014</v>
      </c>
      <c r="BR36" s="4497">
        <f t="shared" si="148"/>
        <v>0</v>
      </c>
      <c r="BS36" s="4497">
        <f t="shared" si="149"/>
        <v>0</v>
      </c>
      <c r="BT36" s="4497">
        <f t="shared" si="150"/>
        <v>0</v>
      </c>
      <c r="BU36" s="4497">
        <f t="shared" si="151"/>
        <v>0</v>
      </c>
      <c r="BV36" s="4497">
        <f t="shared" si="152"/>
        <v>0</v>
      </c>
      <c r="BW36" s="4497">
        <f t="shared" si="153"/>
        <v>0</v>
      </c>
      <c r="BX36" s="4497">
        <f t="shared" si="154"/>
        <v>66.799563546067731</v>
      </c>
      <c r="BY36" s="4497">
        <f t="shared" si="155"/>
        <v>101.01762001549356</v>
      </c>
      <c r="BZ36" s="4497">
        <f t="shared" si="156"/>
        <v>115.62572777036033</v>
      </c>
      <c r="CA36" s="4497">
        <f t="shared" si="157"/>
        <v>132.35131178203309</v>
      </c>
      <c r="CB36" s="4497">
        <f t="shared" si="158"/>
        <v>151.50034997972566</v>
      </c>
      <c r="CC36" s="4497">
        <f t="shared" si="159"/>
        <v>173.42286062726933</v>
      </c>
      <c r="CD36" s="4497">
        <f t="shared" si="160"/>
        <v>2.8864062827546362</v>
      </c>
      <c r="CE36" s="4497">
        <f t="shared" si="161"/>
        <v>0</v>
      </c>
      <c r="CF36" s="4497">
        <f t="shared" si="162"/>
        <v>0</v>
      </c>
      <c r="CG36" s="4497">
        <f t="shared" si="163"/>
        <v>0</v>
      </c>
      <c r="CH36" s="4497">
        <f t="shared" si="164"/>
        <v>0</v>
      </c>
      <c r="CI36" s="4497">
        <f t="shared" si="165"/>
        <v>0</v>
      </c>
      <c r="CJ36" s="4497">
        <f t="shared" si="166"/>
        <v>624.59931077854412</v>
      </c>
      <c r="CK36" s="4497">
        <f t="shared" si="167"/>
        <v>705.62212973520195</v>
      </c>
      <c r="CL36" s="4497">
        <f t="shared" si="168"/>
        <v>776.0467627554541</v>
      </c>
      <c r="CM36" s="4497">
        <f t="shared" si="169"/>
        <v>935.26459866143784</v>
      </c>
      <c r="CN36" s="4497">
        <f t="shared" si="170"/>
        <v>1069.294478558975</v>
      </c>
      <c r="CO36" s="4497">
        <f t="shared" si="171"/>
        <v>1222.5790431683733</v>
      </c>
      <c r="CP36" s="4497">
        <f t="shared" si="172"/>
        <v>1397.8743551331149</v>
      </c>
      <c r="CQ36" s="4497">
        <f t="shared" si="173"/>
        <v>1598.3297321341838</v>
      </c>
    </row>
    <row r="37" spans="1:122" s="166" customFormat="1" ht="13.8" thickBot="1">
      <c r="A37" s="783" t="s">
        <v>1209</v>
      </c>
      <c r="B37" s="628" t="s">
        <v>1201</v>
      </c>
      <c r="C37" s="297">
        <v>778.22529679098682</v>
      </c>
      <c r="D37" s="298">
        <v>1197.4073650264875</v>
      </c>
      <c r="E37" s="298">
        <v>1347.3666907308648</v>
      </c>
      <c r="F37" s="298">
        <v>1518.6819945169059</v>
      </c>
      <c r="G37" s="298">
        <v>1714.3821670595969</v>
      </c>
      <c r="H37" s="618">
        <v>1937.9250416726534</v>
      </c>
      <c r="I37" s="297">
        <v>33.055353963172948</v>
      </c>
      <c r="J37" s="298">
        <v>68.438598592550207</v>
      </c>
      <c r="K37" s="298">
        <v>75.823132427317063</v>
      </c>
      <c r="L37" s="298">
        <v>84.265416304262374</v>
      </c>
      <c r="M37" s="298">
        <v>93.916324135026542</v>
      </c>
      <c r="N37" s="618">
        <v>104.94822900146387</v>
      </c>
      <c r="O37" s="297">
        <v>333.55517053597441</v>
      </c>
      <c r="P37" s="298">
        <v>590.84720043578886</v>
      </c>
      <c r="Q37" s="298">
        <v>673.76247399204988</v>
      </c>
      <c r="R37" s="298">
        <v>768.63156352323938</v>
      </c>
      <c r="S37" s="298">
        <v>877.1710670391418</v>
      </c>
      <c r="T37" s="618">
        <v>1001.3434188924068</v>
      </c>
      <c r="U37" s="297">
        <v>0</v>
      </c>
      <c r="V37" s="298">
        <v>0</v>
      </c>
      <c r="W37" s="298">
        <v>0</v>
      </c>
      <c r="X37" s="298">
        <v>0</v>
      </c>
      <c r="Y37" s="298">
        <v>0</v>
      </c>
      <c r="Z37" s="618">
        <v>0</v>
      </c>
      <c r="AA37" s="297">
        <v>418.08629870986579</v>
      </c>
      <c r="AB37" s="298">
        <v>625.88160594517353</v>
      </c>
      <c r="AC37" s="298">
        <v>706.17730284976835</v>
      </c>
      <c r="AD37" s="298">
        <v>798.11944565559247</v>
      </c>
      <c r="AE37" s="298">
        <v>903.3930317662348</v>
      </c>
      <c r="AF37" s="618">
        <v>1023.9256804334764</v>
      </c>
      <c r="AG37" s="297">
        <v>4.8744400000000008</v>
      </c>
      <c r="AH37" s="298">
        <v>0</v>
      </c>
      <c r="AI37" s="298">
        <v>0</v>
      </c>
      <c r="AJ37" s="298">
        <v>0</v>
      </c>
      <c r="AK37" s="298">
        <v>0</v>
      </c>
      <c r="AL37" s="618">
        <v>0</v>
      </c>
      <c r="AM37" s="972">
        <f t="shared" si="124"/>
        <v>1562.9221199999999</v>
      </c>
      <c r="AN37" s="298">
        <v>1793.0859399999999</v>
      </c>
      <c r="AO37" s="298">
        <v>2153.8017200000004</v>
      </c>
      <c r="AP37" s="973">
        <f t="shared" si="125"/>
        <v>2482.5747700000002</v>
      </c>
      <c r="AQ37" s="973">
        <f t="shared" si="126"/>
        <v>2803.1295999999998</v>
      </c>
      <c r="AR37" s="973">
        <f t="shared" si="127"/>
        <v>3169.6984199999997</v>
      </c>
      <c r="AS37" s="973">
        <f t="shared" si="128"/>
        <v>3588.8625900000002</v>
      </c>
      <c r="AT37" s="974">
        <f t="shared" si="129"/>
        <v>4068.1423700000005</v>
      </c>
      <c r="AU37" s="1557">
        <f t="shared" si="120"/>
        <v>0.58841873067865991</v>
      </c>
      <c r="AV37" s="1557">
        <f t="shared" si="121"/>
        <v>0.52409203240090285</v>
      </c>
      <c r="AW37" s="1558">
        <f t="shared" si="122"/>
        <v>0.79832753009214941</v>
      </c>
      <c r="AX37" s="4488"/>
      <c r="AY37" s="4491" t="s">
        <v>1875</v>
      </c>
      <c r="AZ37" s="4497">
        <f t="shared" si="130"/>
        <v>397.90027599074909</v>
      </c>
      <c r="BA37" s="4497">
        <f t="shared" si="131"/>
        <v>612.22466422259981</v>
      </c>
      <c r="BB37" s="4497">
        <f t="shared" si="132"/>
        <v>688.89764996490737</v>
      </c>
      <c r="BC37" s="4497">
        <f t="shared" si="133"/>
        <v>776.48977391537403</v>
      </c>
      <c r="BD37" s="4497">
        <f t="shared" si="134"/>
        <v>876.54968328515099</v>
      </c>
      <c r="BE37" s="4497">
        <f t="shared" si="135"/>
        <v>990.84534017407111</v>
      </c>
      <c r="BF37" s="4497">
        <f t="shared" si="136"/>
        <v>16.900934111437572</v>
      </c>
      <c r="BG37" s="4497">
        <f t="shared" si="137"/>
        <v>34.99209982081787</v>
      </c>
      <c r="BH37" s="4497">
        <f t="shared" si="138"/>
        <v>38.76775201695294</v>
      </c>
      <c r="BI37" s="4497">
        <f t="shared" si="139"/>
        <v>43.084223221988807</v>
      </c>
      <c r="BJ37" s="4497">
        <f t="shared" si="140"/>
        <v>48.018654042031535</v>
      </c>
      <c r="BK37" s="4497">
        <f t="shared" si="141"/>
        <v>53.659177434370001</v>
      </c>
      <c r="BL37" s="4497">
        <f t="shared" si="142"/>
        <v>170.54405062606384</v>
      </c>
      <c r="BM37" s="4497">
        <f t="shared" si="143"/>
        <v>302.09537661033363</v>
      </c>
      <c r="BN37" s="4497">
        <f t="shared" si="144"/>
        <v>344.48928280681343</v>
      </c>
      <c r="BO37" s="4497">
        <f t="shared" si="145"/>
        <v>392.99507806058779</v>
      </c>
      <c r="BP37" s="4497">
        <f t="shared" si="146"/>
        <v>448.49044499733708</v>
      </c>
      <c r="BQ37" s="4497">
        <f t="shared" si="147"/>
        <v>511.97876036895173</v>
      </c>
      <c r="BR37" s="4497">
        <f t="shared" si="148"/>
        <v>0</v>
      </c>
      <c r="BS37" s="4497">
        <f t="shared" si="149"/>
        <v>0</v>
      </c>
      <c r="BT37" s="4497">
        <f t="shared" si="150"/>
        <v>0</v>
      </c>
      <c r="BU37" s="4497">
        <f t="shared" si="151"/>
        <v>0</v>
      </c>
      <c r="BV37" s="4497">
        <f t="shared" si="152"/>
        <v>0</v>
      </c>
      <c r="BW37" s="4497">
        <f t="shared" si="153"/>
        <v>0</v>
      </c>
      <c r="BX37" s="4497">
        <f t="shared" si="154"/>
        <v>213.76413016973143</v>
      </c>
      <c r="BY37" s="4497">
        <f t="shared" si="155"/>
        <v>320.00818370981813</v>
      </c>
      <c r="BZ37" s="4497">
        <f t="shared" si="156"/>
        <v>361.06272163212975</v>
      </c>
      <c r="CA37" s="4497">
        <f t="shared" si="157"/>
        <v>408.07199278853096</v>
      </c>
      <c r="CB37" s="4497">
        <f t="shared" si="158"/>
        <v>461.89752267131337</v>
      </c>
      <c r="CC37" s="4497">
        <f t="shared" si="159"/>
        <v>523.52488735395013</v>
      </c>
      <c r="CD37" s="4497">
        <f t="shared" si="160"/>
        <v>2.4922615973780955</v>
      </c>
      <c r="CE37" s="4497">
        <f t="shared" si="161"/>
        <v>0</v>
      </c>
      <c r="CF37" s="4497">
        <f t="shared" si="162"/>
        <v>0</v>
      </c>
      <c r="CG37" s="4497">
        <f t="shared" si="163"/>
        <v>0</v>
      </c>
      <c r="CH37" s="4497">
        <f t="shared" si="164"/>
        <v>0</v>
      </c>
      <c r="CI37" s="4497">
        <f t="shared" si="165"/>
        <v>0</v>
      </c>
      <c r="CJ37" s="4497">
        <f t="shared" si="166"/>
        <v>799.10939089798194</v>
      </c>
      <c r="CK37" s="4497">
        <f t="shared" si="167"/>
        <v>916.79028340908974</v>
      </c>
      <c r="CL37" s="4497">
        <f t="shared" si="168"/>
        <v>1101.2213331424512</v>
      </c>
      <c r="CM37" s="4497">
        <f t="shared" si="169"/>
        <v>1269.3203243635696</v>
      </c>
      <c r="CN37" s="4497">
        <f t="shared" si="170"/>
        <v>1433.2174064208034</v>
      </c>
      <c r="CO37" s="4497">
        <f t="shared" si="171"/>
        <v>1620.6410679864814</v>
      </c>
      <c r="CP37" s="4497">
        <f t="shared" si="172"/>
        <v>1834.9563049958331</v>
      </c>
      <c r="CQ37" s="4497">
        <f t="shared" si="173"/>
        <v>2080.0081653313432</v>
      </c>
    </row>
    <row r="38" spans="1:122" s="166" customFormat="1" ht="13.8" thickBot="1">
      <c r="A38" s="784" t="s">
        <v>1210</v>
      </c>
      <c r="B38" s="647" t="s">
        <v>1202</v>
      </c>
      <c r="C38" s="297">
        <v>1217.7218322878462</v>
      </c>
      <c r="D38" s="298">
        <v>1658.2694896019195</v>
      </c>
      <c r="E38" s="298">
        <v>1839.5040857151942</v>
      </c>
      <c r="F38" s="298">
        <v>2078.5016373608155</v>
      </c>
      <c r="G38" s="298">
        <v>2350.9717126197625</v>
      </c>
      <c r="H38" s="618">
        <v>2656.6573992922795</v>
      </c>
      <c r="I38" s="297">
        <v>8.6040146224843514</v>
      </c>
      <c r="J38" s="298">
        <v>18.380972837787532</v>
      </c>
      <c r="K38" s="298">
        <v>20.906610099447992</v>
      </c>
      <c r="L38" s="298">
        <v>23.795917239496521</v>
      </c>
      <c r="M38" s="298">
        <v>27.101330376682707</v>
      </c>
      <c r="N38" s="618">
        <v>30.882809876560582</v>
      </c>
      <c r="O38" s="297">
        <v>76.806117374022591</v>
      </c>
      <c r="P38" s="298">
        <v>117.27120567659463</v>
      </c>
      <c r="Q38" s="298">
        <v>134.30896350643383</v>
      </c>
      <c r="R38" s="298">
        <v>153.80904221021865</v>
      </c>
      <c r="S38" s="298">
        <v>176.1254908919426</v>
      </c>
      <c r="T38" s="618">
        <v>201.66320683115975</v>
      </c>
      <c r="U38" s="297">
        <v>0</v>
      </c>
      <c r="V38" s="298">
        <v>0</v>
      </c>
      <c r="W38" s="298">
        <v>0</v>
      </c>
      <c r="X38" s="298">
        <v>0</v>
      </c>
      <c r="Y38" s="298">
        <v>0</v>
      </c>
      <c r="Z38" s="618">
        <v>0</v>
      </c>
      <c r="AA38" s="297">
        <v>22.777885715646903</v>
      </c>
      <c r="AB38" s="298">
        <v>30.312911883698249</v>
      </c>
      <c r="AC38" s="298">
        <v>34.719730678924108</v>
      </c>
      <c r="AD38" s="298">
        <v>39.76922318946923</v>
      </c>
      <c r="AE38" s="298">
        <v>45.554786111612472</v>
      </c>
      <c r="AF38" s="618">
        <v>52.183304000000007</v>
      </c>
      <c r="AG38" s="297">
        <v>0</v>
      </c>
      <c r="AH38" s="298">
        <v>0</v>
      </c>
      <c r="AI38" s="298">
        <v>0</v>
      </c>
      <c r="AJ38" s="298">
        <v>0</v>
      </c>
      <c r="AK38" s="298">
        <v>0</v>
      </c>
      <c r="AL38" s="618">
        <v>0</v>
      </c>
      <c r="AM38" s="972">
        <f t="shared" si="124"/>
        <v>1325.90985</v>
      </c>
      <c r="AN38" s="298">
        <v>1511.82248</v>
      </c>
      <c r="AO38" s="298">
        <v>1573.8651100000002</v>
      </c>
      <c r="AP38" s="973">
        <f t="shared" si="125"/>
        <v>1824.2345800000001</v>
      </c>
      <c r="AQ38" s="973">
        <f t="shared" si="126"/>
        <v>2029.4393900000002</v>
      </c>
      <c r="AR38" s="973">
        <f t="shared" si="127"/>
        <v>2295.8758200000002</v>
      </c>
      <c r="AS38" s="973">
        <f t="shared" si="128"/>
        <v>2599.7533200000003</v>
      </c>
      <c r="AT38" s="974">
        <f t="shared" si="129"/>
        <v>2941.38672</v>
      </c>
      <c r="AU38" s="1557">
        <f t="shared" si="120"/>
        <v>0.37583605702906575</v>
      </c>
      <c r="AV38" s="1557">
        <f t="shared" si="121"/>
        <v>0.36121143518136867</v>
      </c>
      <c r="AW38" s="1558">
        <f t="shared" si="122"/>
        <v>0.58824457173219202</v>
      </c>
      <c r="AX38" s="4488"/>
      <c r="AY38" s="4491" t="s">
        <v>1875</v>
      </c>
      <c r="AZ38" s="4497">
        <f t="shared" si="130"/>
        <v>622.61128640415893</v>
      </c>
      <c r="BA38" s="4497">
        <f t="shared" si="131"/>
        <v>847.8597268688585</v>
      </c>
      <c r="BB38" s="4497">
        <f t="shared" si="132"/>
        <v>940.52350445345155</v>
      </c>
      <c r="BC38" s="4497">
        <f t="shared" si="133"/>
        <v>1062.7210122356316</v>
      </c>
      <c r="BD38" s="4497">
        <f t="shared" si="134"/>
        <v>1202.032749584454</v>
      </c>
      <c r="BE38" s="4497">
        <f t="shared" si="135"/>
        <v>1358.3273593780029</v>
      </c>
      <c r="BF38" s="4497">
        <f t="shared" si="136"/>
        <v>4.3991628221697958</v>
      </c>
      <c r="BG38" s="4497">
        <f t="shared" si="137"/>
        <v>9.3980421804489822</v>
      </c>
      <c r="BH38" s="4497">
        <f t="shared" si="138"/>
        <v>10.689380007182624</v>
      </c>
      <c r="BI38" s="4497">
        <f t="shared" si="139"/>
        <v>12.166659290171703</v>
      </c>
      <c r="BJ38" s="4497">
        <f t="shared" si="140"/>
        <v>13.856690191214323</v>
      </c>
      <c r="BK38" s="4497">
        <f t="shared" si="141"/>
        <v>15.790129958411816</v>
      </c>
      <c r="BL38" s="4497">
        <f t="shared" si="142"/>
        <v>39.270344239541572</v>
      </c>
      <c r="BM38" s="4497">
        <f t="shared" si="143"/>
        <v>59.959815360534726</v>
      </c>
      <c r="BN38" s="4497">
        <f t="shared" si="144"/>
        <v>68.671082612718806</v>
      </c>
      <c r="BO38" s="4497">
        <f t="shared" si="145"/>
        <v>78.641314536651265</v>
      </c>
      <c r="BP38" s="4497">
        <f t="shared" si="146"/>
        <v>90.05153356474878</v>
      </c>
      <c r="BQ38" s="4497">
        <f t="shared" si="147"/>
        <v>103.10876038876577</v>
      </c>
      <c r="BR38" s="4497">
        <f t="shared" si="148"/>
        <v>0</v>
      </c>
      <c r="BS38" s="4497">
        <f t="shared" si="149"/>
        <v>0</v>
      </c>
      <c r="BT38" s="4497">
        <f t="shared" si="150"/>
        <v>0</v>
      </c>
      <c r="BU38" s="4497">
        <f t="shared" si="151"/>
        <v>0</v>
      </c>
      <c r="BV38" s="4497">
        <f t="shared" si="152"/>
        <v>0</v>
      </c>
      <c r="BW38" s="4497">
        <f t="shared" si="153"/>
        <v>0</v>
      </c>
      <c r="BX38" s="4497">
        <f t="shared" si="154"/>
        <v>11.646148037225579</v>
      </c>
      <c r="BY38" s="4497">
        <f t="shared" si="155"/>
        <v>15.498745741551284</v>
      </c>
      <c r="BZ38" s="4497">
        <f t="shared" si="156"/>
        <v>17.751916413453166</v>
      </c>
      <c r="CA38" s="4497">
        <f t="shared" si="157"/>
        <v>20.333680938255998</v>
      </c>
      <c r="CB38" s="4497">
        <f t="shared" si="158"/>
        <v>23.29179228849771</v>
      </c>
      <c r="CC38" s="4497">
        <f t="shared" si="159"/>
        <v>26.680899669194158</v>
      </c>
      <c r="CD38" s="4497">
        <f t="shared" si="160"/>
        <v>0</v>
      </c>
      <c r="CE38" s="4497">
        <f t="shared" si="161"/>
        <v>0</v>
      </c>
      <c r="CF38" s="4497">
        <f t="shared" si="162"/>
        <v>0</v>
      </c>
      <c r="CG38" s="4497">
        <f t="shared" si="163"/>
        <v>0</v>
      </c>
      <c r="CH38" s="4497">
        <f t="shared" si="164"/>
        <v>0</v>
      </c>
      <c r="CI38" s="4497">
        <f t="shared" si="165"/>
        <v>0</v>
      </c>
      <c r="CJ38" s="4497">
        <f t="shared" si="166"/>
        <v>677.92694150309592</v>
      </c>
      <c r="CK38" s="4497">
        <f t="shared" si="167"/>
        <v>772.98255983393244</v>
      </c>
      <c r="CL38" s="4497">
        <f t="shared" si="168"/>
        <v>804.70445284099344</v>
      </c>
      <c r="CM38" s="4497">
        <f t="shared" si="169"/>
        <v>932.71633015139355</v>
      </c>
      <c r="CN38" s="4497">
        <f t="shared" si="170"/>
        <v>1037.6358834868063</v>
      </c>
      <c r="CO38" s="4497">
        <f t="shared" si="171"/>
        <v>1173.8626670007109</v>
      </c>
      <c r="CP38" s="4497">
        <f t="shared" si="172"/>
        <v>1329.2327656289146</v>
      </c>
      <c r="CQ38" s="4497">
        <f t="shared" si="173"/>
        <v>1503.9071493943748</v>
      </c>
    </row>
    <row r="39" spans="1:122" s="719" customFormat="1" ht="24.6" thickBot="1">
      <c r="A39" s="717" t="s">
        <v>97</v>
      </c>
      <c r="B39" s="718" t="s">
        <v>1252</v>
      </c>
      <c r="C39" s="1532">
        <f>'8. Ремонтна програма'!J33</f>
        <v>656.67534467700068</v>
      </c>
      <c r="D39" s="1532">
        <f>'8. Ремонтна програма'!K33</f>
        <v>801.96864448577332</v>
      </c>
      <c r="E39" s="1532">
        <f>'8. Ремонтна програма'!L33</f>
        <v>902.09164479237802</v>
      </c>
      <c r="F39" s="1532">
        <f>'8. Ремонтна програма'!M33</f>
        <v>1024.3586109061441</v>
      </c>
      <c r="G39" s="1532">
        <f>'8. Ремонтна програма'!N33</f>
        <v>1165.4231746842327</v>
      </c>
      <c r="H39" s="1530">
        <f>'8. Ремонтна програма'!O33</f>
        <v>1319.5725875620888</v>
      </c>
      <c r="I39" s="1531">
        <f>'8. Ремонтна програма'!J62</f>
        <v>13.455360000000001</v>
      </c>
      <c r="J39" s="1532">
        <f>'8. Ремонтна програма'!K62</f>
        <v>23.413907519078556</v>
      </c>
      <c r="K39" s="1532">
        <f>'8. Ремонтна програма'!L62</f>
        <v>26.041993180433511</v>
      </c>
      <c r="L39" s="1532">
        <f>'8. Ремонтна програма'!M62</f>
        <v>26.858776685922098</v>
      </c>
      <c r="M39" s="1532">
        <f>'8. Ремонтна програма'!N62</f>
        <v>34.148209098739542</v>
      </c>
      <c r="N39" s="1530">
        <f>'8. Ремонтна програма'!O62</f>
        <v>36.441503028896832</v>
      </c>
      <c r="O39" s="1531">
        <f>'8. Ремонтна програма'!J88</f>
        <v>4.6021899999999976</v>
      </c>
      <c r="P39" s="1532">
        <f>'8. Ремонтна програма'!K88</f>
        <v>6.5047428553813962</v>
      </c>
      <c r="Q39" s="1532">
        <f>'8. Ремонтна програма'!L88</f>
        <v>7.5087659136332734</v>
      </c>
      <c r="R39" s="1532">
        <f>'8. Ремонтна програма'!M88</f>
        <v>8.7875912274041319</v>
      </c>
      <c r="S39" s="1532">
        <f>'8. Ремонтна програма'!N88</f>
        <v>10.316735830129518</v>
      </c>
      <c r="T39" s="1530">
        <f>'8. Ремонтна програма'!O88</f>
        <v>12.104874125337229</v>
      </c>
      <c r="U39" s="1531">
        <f>'8. Ремонтна програма'!J119</f>
        <v>0</v>
      </c>
      <c r="V39" s="1532">
        <f>'8. Ремонтна програма'!K119</f>
        <v>0</v>
      </c>
      <c r="W39" s="1532">
        <f>'8. Ремонтна програма'!L119</f>
        <v>0</v>
      </c>
      <c r="X39" s="1532">
        <f>'8. Ремонтна програма'!M119</f>
        <v>0</v>
      </c>
      <c r="Y39" s="1532">
        <f>'8. Ремонтна програма'!N119</f>
        <v>0</v>
      </c>
      <c r="Z39" s="1530">
        <f>'8. Ремонтна програма'!O119</f>
        <v>0</v>
      </c>
      <c r="AA39" s="1531">
        <f>'8. Ремонтна програма'!J150</f>
        <v>55.819605322999116</v>
      </c>
      <c r="AB39" s="1532">
        <f>'8. Ремонтна програма'!K150</f>
        <v>109.94479746038633</v>
      </c>
      <c r="AC39" s="1532">
        <f>'8. Ремонтна програма'!L150</f>
        <v>129.89496349177784</v>
      </c>
      <c r="AD39" s="1532">
        <f>'8. Ремонтна програма'!M150</f>
        <v>154.2126766408087</v>
      </c>
      <c r="AE39" s="1532">
        <f>'8. Ремонтна програма'!N150</f>
        <v>182.04367473655384</v>
      </c>
      <c r="AF39" s="1530">
        <f>'8. Ремонтна програма'!O150</f>
        <v>217.04566741729809</v>
      </c>
      <c r="AG39" s="619">
        <v>0</v>
      </c>
      <c r="AH39" s="620">
        <v>0</v>
      </c>
      <c r="AI39" s="620">
        <v>0</v>
      </c>
      <c r="AJ39" s="620">
        <v>0</v>
      </c>
      <c r="AK39" s="620">
        <v>0</v>
      </c>
      <c r="AL39" s="621">
        <v>0</v>
      </c>
      <c r="AM39" s="972">
        <f t="shared" si="124"/>
        <v>730.55249999999978</v>
      </c>
      <c r="AN39" s="298">
        <v>809.27291000000002</v>
      </c>
      <c r="AO39" s="298">
        <v>920.50213489161536</v>
      </c>
      <c r="AP39" s="973">
        <f t="shared" si="125"/>
        <v>941.83209232061961</v>
      </c>
      <c r="AQ39" s="973">
        <f t="shared" si="126"/>
        <v>1065.5373673782228</v>
      </c>
      <c r="AR39" s="973">
        <f t="shared" si="127"/>
        <v>1214.217655460279</v>
      </c>
      <c r="AS39" s="973">
        <f t="shared" si="128"/>
        <v>1391.9317943496555</v>
      </c>
      <c r="AT39" s="974">
        <f t="shared" si="129"/>
        <v>1585.1646321336209</v>
      </c>
      <c r="AU39" s="1559">
        <f t="shared" si="120"/>
        <v>0.28920521430098439</v>
      </c>
      <c r="AV39" s="1559">
        <f t="shared" si="121"/>
        <v>0.27988758649610068</v>
      </c>
      <c r="AW39" s="1560">
        <f t="shared" si="122"/>
        <v>0.6568499256244591</v>
      </c>
      <c r="AX39" s="4488"/>
      <c r="AY39" s="4491" t="s">
        <v>1875</v>
      </c>
      <c r="AZ39" s="4497">
        <f t="shared" si="130"/>
        <v>335.75277231507886</v>
      </c>
      <c r="BA39" s="4497">
        <f t="shared" si="131"/>
        <v>410.04005689951242</v>
      </c>
      <c r="BB39" s="4497">
        <f t="shared" si="132"/>
        <v>461.23213407728588</v>
      </c>
      <c r="BC39" s="4497">
        <f t="shared" si="133"/>
        <v>523.74624118974759</v>
      </c>
      <c r="BD39" s="4497">
        <f t="shared" si="134"/>
        <v>595.87140737397044</v>
      </c>
      <c r="BE39" s="4497">
        <f t="shared" si="135"/>
        <v>674.68675066958212</v>
      </c>
      <c r="BF39" s="4497">
        <f t="shared" si="136"/>
        <v>6.8796163265723509</v>
      </c>
      <c r="BG39" s="4497">
        <f t="shared" si="137"/>
        <v>11.97134082158396</v>
      </c>
      <c r="BH39" s="4497">
        <f t="shared" si="138"/>
        <v>13.315059683322943</v>
      </c>
      <c r="BI39" s="4497">
        <f t="shared" si="139"/>
        <v>13.732674458374245</v>
      </c>
      <c r="BJ39" s="4497">
        <f t="shared" si="140"/>
        <v>17.459702069576366</v>
      </c>
      <c r="BK39" s="4497">
        <f t="shared" si="141"/>
        <v>18.632244637262357</v>
      </c>
      <c r="BL39" s="4497">
        <f t="shared" si="142"/>
        <v>2.3530623827224235</v>
      </c>
      <c r="BM39" s="4497">
        <f t="shared" si="143"/>
        <v>3.3258222112256157</v>
      </c>
      <c r="BN39" s="4497">
        <f t="shared" si="144"/>
        <v>3.8391710494435984</v>
      </c>
      <c r="BO39" s="4497">
        <f t="shared" si="145"/>
        <v>4.4930240498428455</v>
      </c>
      <c r="BP39" s="4497">
        <f t="shared" si="146"/>
        <v>5.2748632703913527</v>
      </c>
      <c r="BQ39" s="4497">
        <f t="shared" si="147"/>
        <v>6.1891238631871017</v>
      </c>
      <c r="BR39" s="4497">
        <f t="shared" si="148"/>
        <v>0</v>
      </c>
      <c r="BS39" s="4497">
        <f t="shared" si="149"/>
        <v>0</v>
      </c>
      <c r="BT39" s="4497">
        <f t="shared" si="150"/>
        <v>0</v>
      </c>
      <c r="BU39" s="4497">
        <f t="shared" si="151"/>
        <v>0</v>
      </c>
      <c r="BV39" s="4497">
        <f t="shared" si="152"/>
        <v>0</v>
      </c>
      <c r="BW39" s="4497">
        <f t="shared" si="153"/>
        <v>0</v>
      </c>
      <c r="BX39" s="4497">
        <f t="shared" si="154"/>
        <v>28.540111013226671</v>
      </c>
      <c r="BY39" s="4497">
        <f t="shared" si="155"/>
        <v>56.213882321258147</v>
      </c>
      <c r="BZ39" s="4497">
        <f t="shared" si="156"/>
        <v>66.414240241625222</v>
      </c>
      <c r="CA39" s="4497">
        <f t="shared" si="157"/>
        <v>78.847689543983222</v>
      </c>
      <c r="CB39" s="4497">
        <f t="shared" si="158"/>
        <v>93.077452915925122</v>
      </c>
      <c r="CC39" s="4497">
        <f t="shared" si="159"/>
        <v>110.97368759927913</v>
      </c>
      <c r="CD39" s="4497">
        <f t="shared" si="160"/>
        <v>0</v>
      </c>
      <c r="CE39" s="4497">
        <f t="shared" si="161"/>
        <v>0</v>
      </c>
      <c r="CF39" s="4497">
        <f t="shared" si="162"/>
        <v>0</v>
      </c>
      <c r="CG39" s="4497">
        <f t="shared" si="163"/>
        <v>0</v>
      </c>
      <c r="CH39" s="4497">
        <f t="shared" si="164"/>
        <v>0</v>
      </c>
      <c r="CI39" s="4497">
        <f t="shared" si="165"/>
        <v>0</v>
      </c>
      <c r="CJ39" s="4497">
        <f t="shared" si="166"/>
        <v>373.52556203760031</v>
      </c>
      <c r="CK39" s="4497">
        <f t="shared" si="167"/>
        <v>413.77466855503803</v>
      </c>
      <c r="CL39" s="4497">
        <f t="shared" si="168"/>
        <v>470.6452681938693</v>
      </c>
      <c r="CM39" s="4497">
        <f t="shared" si="169"/>
        <v>481.55110225358015</v>
      </c>
      <c r="CN39" s="4497">
        <f t="shared" si="170"/>
        <v>544.80060505167773</v>
      </c>
      <c r="CO39" s="4497">
        <f t="shared" si="171"/>
        <v>620.81962924194795</v>
      </c>
      <c r="CP39" s="4497">
        <f t="shared" si="172"/>
        <v>711.68342562986334</v>
      </c>
      <c r="CQ39" s="4497">
        <f t="shared" si="173"/>
        <v>810.48180676931065</v>
      </c>
      <c r="CR39" s="166"/>
      <c r="CS39" s="166"/>
      <c r="CT39" s="166"/>
      <c r="CU39" s="166"/>
      <c r="CV39" s="166"/>
      <c r="CW39" s="166"/>
      <c r="CX39" s="166"/>
      <c r="CY39" s="166"/>
      <c r="CZ39" s="166"/>
      <c r="DA39" s="166"/>
      <c r="DB39" s="166"/>
      <c r="DC39" s="166"/>
      <c r="DD39" s="166"/>
      <c r="DE39" s="166"/>
      <c r="DF39" s="166"/>
      <c r="DG39" s="166"/>
      <c r="DH39" s="166"/>
      <c r="DI39" s="166"/>
      <c r="DJ39" s="166"/>
      <c r="DK39" s="166"/>
      <c r="DL39" s="166"/>
      <c r="DM39" s="166"/>
      <c r="DN39" s="166"/>
      <c r="DO39" s="166"/>
      <c r="DP39" s="166"/>
      <c r="DQ39" s="166"/>
    </row>
    <row r="40" spans="1:122" s="646" customFormat="1" ht="24.6" thickBot="1">
      <c r="A40" s="327" t="s">
        <v>169</v>
      </c>
      <c r="B40" s="650" t="s">
        <v>1253</v>
      </c>
      <c r="C40" s="622">
        <v>148.92584781563858</v>
      </c>
      <c r="D40" s="623">
        <v>262.64171544669472</v>
      </c>
      <c r="E40" s="623">
        <v>294.36821171877091</v>
      </c>
      <c r="F40" s="623">
        <v>334.52291603502954</v>
      </c>
      <c r="G40" s="623">
        <v>380.54609040282884</v>
      </c>
      <c r="H40" s="624">
        <v>433.4491025591376</v>
      </c>
      <c r="I40" s="622">
        <v>0.61087063059870572</v>
      </c>
      <c r="J40" s="623">
        <v>1.3756033045809479</v>
      </c>
      <c r="K40" s="623">
        <v>1.5581488147047484</v>
      </c>
      <c r="L40" s="623">
        <v>1.7669250753448194</v>
      </c>
      <c r="M40" s="623">
        <v>2.0056919277506666</v>
      </c>
      <c r="N40" s="624">
        <v>2.2787465345741</v>
      </c>
      <c r="O40" s="622">
        <v>1.3108055487586208</v>
      </c>
      <c r="P40" s="623">
        <v>5.678956030656626</v>
      </c>
      <c r="Q40" s="623">
        <v>6.3239630760709957</v>
      </c>
      <c r="R40" s="623">
        <v>7.2131530816713738</v>
      </c>
      <c r="S40" s="623">
        <v>8.1122863672742529</v>
      </c>
      <c r="T40" s="624">
        <v>8.6840150233607964</v>
      </c>
      <c r="U40" s="622">
        <v>0</v>
      </c>
      <c r="V40" s="623">
        <v>0</v>
      </c>
      <c r="W40" s="623">
        <v>0</v>
      </c>
      <c r="X40" s="623">
        <v>0</v>
      </c>
      <c r="Y40" s="623">
        <v>0</v>
      </c>
      <c r="Z40" s="624">
        <v>0</v>
      </c>
      <c r="AA40" s="622">
        <v>7.1269460050040676</v>
      </c>
      <c r="AB40" s="623">
        <v>8</v>
      </c>
      <c r="AC40" s="623">
        <v>12.107629630967034</v>
      </c>
      <c r="AD40" s="623">
        <v>13.718992958706705</v>
      </c>
      <c r="AE40" s="623">
        <v>15.563842670647805</v>
      </c>
      <c r="AF40" s="624">
        <v>17.675930254054688</v>
      </c>
      <c r="AG40" s="622">
        <v>0</v>
      </c>
      <c r="AH40" s="623">
        <v>0</v>
      </c>
      <c r="AI40" s="623">
        <v>0</v>
      </c>
      <c r="AJ40" s="623">
        <v>0</v>
      </c>
      <c r="AK40" s="623">
        <v>0</v>
      </c>
      <c r="AL40" s="624">
        <v>0</v>
      </c>
      <c r="AM40" s="1536">
        <f t="shared" si="124"/>
        <v>157.97446999999997</v>
      </c>
      <c r="AN40" s="623">
        <v>180.58365000000001</v>
      </c>
      <c r="AO40" s="623">
        <v>237.35297481022158</v>
      </c>
      <c r="AP40" s="1537">
        <f t="shared" si="125"/>
        <v>277.69627478193229</v>
      </c>
      <c r="AQ40" s="1537">
        <f t="shared" si="126"/>
        <v>314.35795324051367</v>
      </c>
      <c r="AR40" s="1537">
        <f t="shared" si="127"/>
        <v>357.2219871507524</v>
      </c>
      <c r="AS40" s="1537">
        <f t="shared" si="128"/>
        <v>406.22791136850157</v>
      </c>
      <c r="AT40" s="1538">
        <f t="shared" si="129"/>
        <v>462.08779437112719</v>
      </c>
      <c r="AU40" s="1561">
        <f t="shared" si="120"/>
        <v>0.75785539765971266</v>
      </c>
      <c r="AV40" s="1561">
        <f t="shared" si="121"/>
        <v>0.73429586757513254</v>
      </c>
      <c r="AW40" s="1562">
        <f t="shared" si="122"/>
        <v>2.6710447946525813</v>
      </c>
      <c r="AX40" s="4488"/>
      <c r="AY40" s="4491" t="s">
        <v>1875</v>
      </c>
      <c r="AZ40" s="4497">
        <f t="shared" si="130"/>
        <v>76.144576888399598</v>
      </c>
      <c r="BA40" s="4497">
        <f t="shared" si="131"/>
        <v>134.28657677134245</v>
      </c>
      <c r="BB40" s="4497">
        <f t="shared" si="132"/>
        <v>150.50807673405711</v>
      </c>
      <c r="BC40" s="4497">
        <f t="shared" si="133"/>
        <v>171.0388510427949</v>
      </c>
      <c r="BD40" s="4497">
        <f t="shared" si="134"/>
        <v>194.57012644392859</v>
      </c>
      <c r="BE40" s="4497">
        <f t="shared" si="135"/>
        <v>221.61900705027412</v>
      </c>
      <c r="BF40" s="4497">
        <f t="shared" si="136"/>
        <v>0.31233319388633252</v>
      </c>
      <c r="BG40" s="4497">
        <f t="shared" si="137"/>
        <v>0.70333480137892757</v>
      </c>
      <c r="BH40" s="4497">
        <f t="shared" si="138"/>
        <v>0.79666883865404892</v>
      </c>
      <c r="BI40" s="4497">
        <f t="shared" si="139"/>
        <v>0.90341444570582274</v>
      </c>
      <c r="BJ40" s="4497">
        <f t="shared" si="140"/>
        <v>1.0254939988397083</v>
      </c>
      <c r="BK40" s="4497">
        <f t="shared" si="141"/>
        <v>1.1651046024317553</v>
      </c>
      <c r="BL40" s="4497">
        <f t="shared" si="142"/>
        <v>0.67020423490723668</v>
      </c>
      <c r="BM40" s="4497">
        <f t="shared" si="143"/>
        <v>2.903604112145036</v>
      </c>
      <c r="BN40" s="4497">
        <f t="shared" si="144"/>
        <v>3.2333909777797638</v>
      </c>
      <c r="BO40" s="4497">
        <f t="shared" si="145"/>
        <v>3.6880266084840576</v>
      </c>
      <c r="BP40" s="4497">
        <f t="shared" si="146"/>
        <v>4.1477461575260905</v>
      </c>
      <c r="BQ40" s="4497">
        <f t="shared" si="147"/>
        <v>4.440066377630365</v>
      </c>
      <c r="BR40" s="4497">
        <f t="shared" si="148"/>
        <v>0</v>
      </c>
      <c r="BS40" s="4497">
        <f t="shared" si="149"/>
        <v>0</v>
      </c>
      <c r="BT40" s="4497">
        <f t="shared" si="150"/>
        <v>0</v>
      </c>
      <c r="BU40" s="4497">
        <f t="shared" si="151"/>
        <v>0</v>
      </c>
      <c r="BV40" s="4497">
        <f t="shared" si="152"/>
        <v>0</v>
      </c>
      <c r="BW40" s="4497">
        <f t="shared" si="153"/>
        <v>0</v>
      </c>
      <c r="BX40" s="4497">
        <f t="shared" si="154"/>
        <v>3.6439496300824037</v>
      </c>
      <c r="BY40" s="4497">
        <f t="shared" si="155"/>
        <v>4.0903350495697479</v>
      </c>
      <c r="BZ40" s="4497">
        <f t="shared" si="156"/>
        <v>6.190532730844212</v>
      </c>
      <c r="CA40" s="4497">
        <f t="shared" si="157"/>
        <v>7.0144097179748268</v>
      </c>
      <c r="CB40" s="4497">
        <f t="shared" si="158"/>
        <v>7.9576663977174933</v>
      </c>
      <c r="CC40" s="4497">
        <f t="shared" si="159"/>
        <v>9.0375596314887741</v>
      </c>
      <c r="CD40" s="4497">
        <f t="shared" si="160"/>
        <v>0</v>
      </c>
      <c r="CE40" s="4497">
        <f t="shared" si="161"/>
        <v>0</v>
      </c>
      <c r="CF40" s="4497">
        <f t="shared" si="162"/>
        <v>0</v>
      </c>
      <c r="CG40" s="4497">
        <f t="shared" si="163"/>
        <v>0</v>
      </c>
      <c r="CH40" s="4497">
        <f t="shared" si="164"/>
        <v>0</v>
      </c>
      <c r="CI40" s="4497">
        <f t="shared" si="165"/>
        <v>0</v>
      </c>
      <c r="CJ40" s="4497">
        <f t="shared" si="166"/>
        <v>80.771063947275564</v>
      </c>
      <c r="CK40" s="4497">
        <f t="shared" si="167"/>
        <v>92.330954121779499</v>
      </c>
      <c r="CL40" s="4497">
        <f t="shared" si="168"/>
        <v>121.35664899823685</v>
      </c>
      <c r="CM40" s="4497">
        <f t="shared" si="169"/>
        <v>141.98385073443617</v>
      </c>
      <c r="CN40" s="4497">
        <f t="shared" si="170"/>
        <v>160.72866928133513</v>
      </c>
      <c r="CO40" s="4497">
        <f t="shared" si="171"/>
        <v>182.64470181495957</v>
      </c>
      <c r="CP40" s="4497">
        <f t="shared" si="172"/>
        <v>207.70103299801187</v>
      </c>
      <c r="CQ40" s="4497">
        <f t="shared" si="173"/>
        <v>236.26173766182501</v>
      </c>
      <c r="CR40" s="166"/>
      <c r="CS40" s="166"/>
      <c r="CT40" s="166"/>
      <c r="CU40" s="166"/>
      <c r="CV40" s="166"/>
      <c r="CW40" s="166"/>
      <c r="CX40" s="166"/>
      <c r="CY40" s="166"/>
      <c r="CZ40" s="166"/>
      <c r="DA40" s="166"/>
      <c r="DB40" s="166"/>
      <c r="DC40" s="166"/>
      <c r="DD40" s="166"/>
      <c r="DE40" s="166"/>
      <c r="DF40" s="166"/>
      <c r="DG40" s="166"/>
      <c r="DH40" s="166"/>
      <c r="DI40" s="166"/>
      <c r="DJ40" s="166"/>
      <c r="DK40" s="166"/>
      <c r="DL40" s="166"/>
      <c r="DM40" s="166"/>
      <c r="DN40" s="166"/>
      <c r="DO40" s="166"/>
      <c r="DP40" s="166"/>
      <c r="DQ40" s="166"/>
    </row>
    <row r="41" spans="1:122" s="166" customFormat="1" ht="13.8" thickBot="1">
      <c r="A41" s="325"/>
      <c r="B41" s="326"/>
      <c r="C41" s="1549"/>
      <c r="D41" s="1550"/>
      <c r="E41" s="1550"/>
      <c r="F41" s="1550"/>
      <c r="G41" s="1550"/>
      <c r="H41" s="1551"/>
      <c r="I41" s="1549"/>
      <c r="J41" s="1550"/>
      <c r="K41" s="1550"/>
      <c r="L41" s="1550"/>
      <c r="M41" s="1550"/>
      <c r="N41" s="1551"/>
      <c r="O41" s="1549"/>
      <c r="P41" s="1550"/>
      <c r="Q41" s="1550"/>
      <c r="R41" s="1550"/>
      <c r="S41" s="1550"/>
      <c r="T41" s="1551"/>
      <c r="U41" s="1549"/>
      <c r="V41" s="1550"/>
      <c r="W41" s="1550"/>
      <c r="X41" s="1550"/>
      <c r="Y41" s="1550"/>
      <c r="Z41" s="1551"/>
      <c r="AA41" s="1549"/>
      <c r="AB41" s="1550"/>
      <c r="AC41" s="1550"/>
      <c r="AD41" s="1550"/>
      <c r="AE41" s="1550"/>
      <c r="AF41" s="1551"/>
      <c r="AG41" s="1549"/>
      <c r="AH41" s="1550"/>
      <c r="AI41" s="1550"/>
      <c r="AJ41" s="1550"/>
      <c r="AK41" s="1550"/>
      <c r="AL41" s="1551"/>
      <c r="AM41" s="1549"/>
      <c r="AN41" s="1550"/>
      <c r="AO41" s="1550"/>
      <c r="AP41" s="1550"/>
      <c r="AQ41" s="1550"/>
      <c r="AR41" s="1550"/>
      <c r="AS41" s="1550"/>
      <c r="AT41" s="1551"/>
      <c r="AU41" s="1552"/>
      <c r="AV41" s="1552"/>
      <c r="AW41" s="1553"/>
      <c r="AX41" s="4488"/>
      <c r="AY41" s="1"/>
    </row>
    <row r="42" spans="1:122" s="167" customFormat="1" ht="13.8" thickBot="1">
      <c r="A42" s="956" t="s">
        <v>99</v>
      </c>
      <c r="B42" s="957" t="s">
        <v>721</v>
      </c>
      <c r="C42" s="2001">
        <v>858.66374086498513</v>
      </c>
      <c r="D42" s="2002">
        <v>1283.3624664881859</v>
      </c>
      <c r="E42" s="2002">
        <v>1526.3826439868096</v>
      </c>
      <c r="F42" s="2002">
        <v>1732.549870999896</v>
      </c>
      <c r="G42" s="2002">
        <v>1968.1371082229496</v>
      </c>
      <c r="H42" s="2003">
        <v>2236.0590572734609</v>
      </c>
      <c r="I42" s="2001">
        <v>29.531842426804793</v>
      </c>
      <c r="J42" s="2002">
        <v>67.485086114375648</v>
      </c>
      <c r="K42" s="2002">
        <v>80.03375039734776</v>
      </c>
      <c r="L42" s="2002">
        <v>90.799959311164258</v>
      </c>
      <c r="M42" s="2002">
        <v>103.11784055486415</v>
      </c>
      <c r="N42" s="2003">
        <v>117.20955774979133</v>
      </c>
      <c r="O42" s="2001">
        <v>166.79022917464798</v>
      </c>
      <c r="P42" s="2002">
        <v>291.04672062372208</v>
      </c>
      <c r="Q42" s="2002">
        <v>349.58978516077258</v>
      </c>
      <c r="R42" s="2002">
        <v>398.50573658514935</v>
      </c>
      <c r="S42" s="2002">
        <v>454.4708039928226</v>
      </c>
      <c r="T42" s="2003">
        <v>518.48794354144172</v>
      </c>
      <c r="U42" s="2001">
        <v>0</v>
      </c>
      <c r="V42" s="2002">
        <v>0</v>
      </c>
      <c r="W42" s="2002">
        <v>0</v>
      </c>
      <c r="X42" s="2002">
        <v>0</v>
      </c>
      <c r="Y42" s="2002">
        <v>0</v>
      </c>
      <c r="Z42" s="2003">
        <v>0</v>
      </c>
      <c r="AA42" s="619">
        <v>148.04530246094239</v>
      </c>
      <c r="AB42" s="620">
        <v>226.83419026108848</v>
      </c>
      <c r="AC42" s="620">
        <v>270.01917441935962</v>
      </c>
      <c r="AD42" s="620">
        <v>306.65198104088051</v>
      </c>
      <c r="AE42" s="620">
        <v>348.63760834200468</v>
      </c>
      <c r="AF42" s="621">
        <v>395.95590750927022</v>
      </c>
      <c r="AG42" s="2001">
        <v>5.6588150726195625</v>
      </c>
      <c r="AH42" s="2002">
        <v>4.333396512628001</v>
      </c>
      <c r="AI42" s="2002">
        <v>5.2176960357107429</v>
      </c>
      <c r="AJ42" s="2002">
        <v>5.9632820629100305</v>
      </c>
      <c r="AK42" s="2002">
        <v>6.8164488873586668</v>
      </c>
      <c r="AL42" s="2003">
        <v>7.7921039260358942</v>
      </c>
      <c r="AM42" s="4618">
        <f t="shared" si="124"/>
        <v>1203.0311149273803</v>
      </c>
      <c r="AN42" s="2002">
        <v>1333.6176399999999</v>
      </c>
      <c r="AO42" s="2002">
        <v>1555.6349898603912</v>
      </c>
      <c r="AP42" s="4619">
        <f t="shared" si="125"/>
        <v>1868.728463487372</v>
      </c>
      <c r="AQ42" s="4619">
        <f t="shared" si="126"/>
        <v>2226.0253539642899</v>
      </c>
      <c r="AR42" s="4619">
        <f t="shared" si="127"/>
        <v>2528.5075479370898</v>
      </c>
      <c r="AS42" s="4619">
        <f t="shared" si="128"/>
        <v>2874.3633611126411</v>
      </c>
      <c r="AT42" s="4620">
        <f t="shared" si="129"/>
        <v>3267.7124660739642</v>
      </c>
      <c r="AU42" s="1559">
        <f t="shared" ref="AU42:AU44" si="174">IFERROR((AP42-AM42)/AM42,0)</f>
        <v>0.55335006742545967</v>
      </c>
      <c r="AV42" s="1559">
        <f t="shared" ref="AV42:AV44" si="175">IFERROR(((D42+V42+AB42)-(+C42+U42+AA42))/(C42+U42+AA42),0)</f>
        <v>0.50013220479270093</v>
      </c>
      <c r="AW42" s="1560">
        <f t="shared" ref="AW42:AW44" si="176">IFERROR(((J42+P42)-(I42+O42))/(I42+O42),0)</f>
        <v>0.82624298843963817</v>
      </c>
      <c r="AX42" s="4488"/>
      <c r="AY42" s="4491" t="s">
        <v>1875</v>
      </c>
      <c r="AZ42" s="4497">
        <f t="shared" ref="AZ42:AZ44" si="177">IFERROR(C42/$C$1,0)</f>
        <v>439.02779938184051</v>
      </c>
      <c r="BA42" s="4497">
        <f t="shared" ref="BA42:BA44" si="178">IFERROR(D42/$C$1,0)</f>
        <v>656.17280974736343</v>
      </c>
      <c r="BB42" s="4497">
        <f t="shared" ref="BB42:BB44" si="179">IFERROR(E42/$C$1,0)</f>
        <v>780.42705346927369</v>
      </c>
      <c r="BC42" s="4497">
        <f t="shared" ref="BC42:BC44" si="180">IFERROR(F42/$C$1,0)</f>
        <v>885.83868280980255</v>
      </c>
      <c r="BD42" s="4497">
        <f t="shared" ref="BD42:BD44" si="181">IFERROR(G42/$C$1,0)</f>
        <v>1006.2925245153973</v>
      </c>
      <c r="BE42" s="4497">
        <f t="shared" ref="BE42:BE44" si="182">IFERROR(H42/$C$1,0)</f>
        <v>1143.2788418591906</v>
      </c>
      <c r="BF42" s="4497">
        <f t="shared" ref="BF42:BF44" si="183">IFERROR(I42/$C$1,0)</f>
        <v>15.099391269591321</v>
      </c>
      <c r="BG42" s="4497">
        <f t="shared" ref="BG42:BG44" si="184">IFERROR(J42/$C$1,0)</f>
        <v>34.504576632107927</v>
      </c>
      <c r="BH42" s="4497">
        <f t="shared" ref="BH42:BH44" si="185">IFERROR(K42/$C$1,0)</f>
        <v>40.920606799848535</v>
      </c>
      <c r="BI42" s="4497">
        <f t="shared" ref="BI42:BI44" si="186">IFERROR(L42/$C$1,0)</f>
        <v>46.42528200874527</v>
      </c>
      <c r="BJ42" s="4497">
        <f t="shared" ref="BJ42:BJ44" si="187">IFERROR(M42/$C$1,0)</f>
        <v>52.723314682188203</v>
      </c>
      <c r="BK42" s="4497">
        <f t="shared" ref="BK42:BK44" si="188">IFERROR(N42/$C$1,0)</f>
        <v>59.928295276067622</v>
      </c>
      <c r="BL42" s="4497">
        <f t="shared" ref="BL42:BL44" si="189">IFERROR(O42/$C$1,0)</f>
        <v>85.278490039854162</v>
      </c>
      <c r="BM42" s="4497">
        <f t="shared" ref="BM42:BM44" si="190">IFERROR(P42/$C$1,0)</f>
        <v>148.80982530369312</v>
      </c>
      <c r="BN42" s="4497">
        <f t="shared" ref="BN42:BN44" si="191">IFERROR(Q42/$C$1,0)</f>
        <v>178.74241890183328</v>
      </c>
      <c r="BO42" s="4497">
        <f t="shared" ref="BO42:BO44" si="192">IFERROR(R42/$C$1,0)</f>
        <v>203.75274772610572</v>
      </c>
      <c r="BP42" s="4497">
        <f t="shared" ref="BP42:BP44" si="193">IFERROR(S42/$C$1,0)</f>
        <v>232.36723232224816</v>
      </c>
      <c r="BQ42" s="4497">
        <f t="shared" ref="BQ42:BQ44" si="194">IFERROR(T42/$C$1,0)</f>
        <v>265.09867603086246</v>
      </c>
      <c r="BR42" s="4497">
        <f t="shared" ref="BR42:BR44" si="195">IFERROR(U42/$C$1,0)</f>
        <v>0</v>
      </c>
      <c r="BS42" s="4497">
        <f t="shared" ref="BS42:BS44" si="196">IFERROR(V42/$C$1,0)</f>
        <v>0</v>
      </c>
      <c r="BT42" s="4497">
        <f t="shared" ref="BT42:BT44" si="197">IFERROR(W42/$C$1,0)</f>
        <v>0</v>
      </c>
      <c r="BU42" s="4497">
        <f t="shared" ref="BU42:BU44" si="198">IFERROR(X42/$C$1,0)</f>
        <v>0</v>
      </c>
      <c r="BV42" s="4497">
        <f t="shared" ref="BV42:BV44" si="199">IFERROR(Y42/$C$1,0)</f>
        <v>0</v>
      </c>
      <c r="BW42" s="4497">
        <f t="shared" ref="BW42:BW44" si="200">IFERROR(Z42/$C$1,0)</f>
        <v>0</v>
      </c>
      <c r="BX42" s="4497">
        <f t="shared" ref="BX42:BX44" si="201">IFERROR(AA42/$C$1,0)</f>
        <v>75.69436119751839</v>
      </c>
      <c r="BY42" s="4497">
        <f t="shared" ref="BY42:BY44" si="202">IFERROR(AB42/$C$1,0)</f>
        <v>115.97847985821288</v>
      </c>
      <c r="BZ42" s="4497">
        <f t="shared" ref="BZ42:BZ44" si="203">IFERROR(AC42/$C$1,0)</f>
        <v>138.05861164792421</v>
      </c>
      <c r="CA42" s="4497">
        <f t="shared" ref="CA42:CA44" si="204">IFERROR(AD42/$C$1,0)</f>
        <v>156.78866825893891</v>
      </c>
      <c r="CB42" s="4497">
        <f t="shared" ref="CB42:CB44" si="205">IFERROR(AE42/$C$1,0)</f>
        <v>178.255578624934</v>
      </c>
      <c r="CC42" s="4497">
        <f t="shared" ref="CC42:CC44" si="206">IFERROR(AF42/$C$1,0)</f>
        <v>202.44904082117066</v>
      </c>
      <c r="CD42" s="4497">
        <f t="shared" ref="CD42:CD44" si="207">IFERROR(AG42/$C$1,0)</f>
        <v>2.8933062038211719</v>
      </c>
      <c r="CE42" s="4497">
        <f t="shared" ref="CE42:CE44" si="208">IFERROR(AH42/$C$1,0)</f>
        <v>2.2156304549107033</v>
      </c>
      <c r="CF42" s="4497">
        <f t="shared" ref="CF42:CF44" si="209">IFERROR(AI42/$C$1,0)</f>
        <v>2.6677656216085972</v>
      </c>
      <c r="CG42" s="4497">
        <f t="shared" ref="CG42:CG44" si="210">IFERROR(AJ42/$C$1,0)</f>
        <v>3.0489777040489359</v>
      </c>
      <c r="CH42" s="4497">
        <f t="shared" ref="CH42:CH44" si="211">IFERROR(AK42/$C$1,0)</f>
        <v>3.4851949746954833</v>
      </c>
      <c r="CI42" s="4497">
        <f t="shared" ref="CI42:CI44" si="212">IFERROR(AL42/$C$1,0)</f>
        <v>3.984039474819332</v>
      </c>
      <c r="CJ42" s="4497">
        <f t="shared" ref="CJ42:CJ44" si="213">IFERROR(AM42/$C$1,0)</f>
        <v>615.10004188880441</v>
      </c>
      <c r="CK42" s="4497">
        <f t="shared" ref="CK42:CK44" si="214">IFERROR(AN42/$C$1,0)</f>
        <v>681.86787195206125</v>
      </c>
      <c r="CL42" s="4497">
        <f t="shared" ref="CL42:CL44" si="215">IFERROR(AO42/$C$1,0)</f>
        <v>795.38354042037975</v>
      </c>
      <c r="CM42" s="4497">
        <f t="shared" ref="CM42:CM44" si="216">IFERROR(AP42/$C$1,0)</f>
        <v>955.46569154137728</v>
      </c>
      <c r="CN42" s="4497">
        <f t="shared" ref="CN42:CN44" si="217">IFERROR(AQ42/$C$1,0)</f>
        <v>1138.1486908188799</v>
      </c>
      <c r="CO42" s="4497">
        <f t="shared" ref="CO42:CO44" si="218">IFERROR(AR42/$C$1,0)</f>
        <v>1292.8053808035922</v>
      </c>
      <c r="CP42" s="4497">
        <f t="shared" ref="CP42:CP44" si="219">IFERROR(AS42/$C$1,0)</f>
        <v>1469.6386501447678</v>
      </c>
      <c r="CQ42" s="4497">
        <f t="shared" ref="CQ42:CQ44" si="220">IFERROR(AT42/$C$1,0)</f>
        <v>1670.7548539872914</v>
      </c>
      <c r="CR42" s="4501"/>
      <c r="CS42" s="4501"/>
      <c r="CT42" s="4501"/>
      <c r="CU42" s="4501"/>
      <c r="CV42" s="4501"/>
      <c r="CW42" s="4501"/>
      <c r="CX42" s="4501"/>
      <c r="CY42" s="4501"/>
      <c r="CZ42" s="4501"/>
      <c r="DA42" s="4501"/>
      <c r="DB42" s="4501"/>
      <c r="DC42" s="4501"/>
      <c r="DD42" s="4501"/>
      <c r="DE42" s="4501"/>
      <c r="DF42" s="4501"/>
      <c r="DG42" s="4501"/>
      <c r="DH42" s="4501"/>
      <c r="DI42" s="4501"/>
      <c r="DJ42" s="4501"/>
      <c r="DK42" s="4501"/>
      <c r="DL42" s="4501"/>
      <c r="DM42" s="4501"/>
      <c r="DN42" s="4501"/>
      <c r="DO42" s="4501"/>
      <c r="DP42" s="4501"/>
      <c r="DQ42" s="4501"/>
      <c r="DR42" s="4501"/>
    </row>
    <row r="43" spans="1:122" s="719" customFormat="1" ht="24.6" thickBot="1">
      <c r="A43" s="51" t="s">
        <v>263</v>
      </c>
      <c r="B43" s="649" t="s">
        <v>1254</v>
      </c>
      <c r="C43" s="1531">
        <f>'8. Ремонтна програма'!J35</f>
        <v>128.28306346552179</v>
      </c>
      <c r="D43" s="1532">
        <f>'8. Ремонтна програма'!K35</f>
        <v>161.1693299220137</v>
      </c>
      <c r="E43" s="1532">
        <f>'8. Ремонтна програма'!L35</f>
        <v>190.83079845227977</v>
      </c>
      <c r="F43" s="1532">
        <f>'8. Ремонтна програма'!M35</f>
        <v>216.54973176701932</v>
      </c>
      <c r="G43" s="1532">
        <f>'8. Ремонтна програма'!N35</f>
        <v>246.23399184735308</v>
      </c>
      <c r="H43" s="1530">
        <f>'8. Ремонтна програма'!O35</f>
        <v>278.64907085291122</v>
      </c>
      <c r="I43" s="1531">
        <f>'8. Ремонтна програма'!J64</f>
        <v>2.6389199999999997</v>
      </c>
      <c r="J43" s="1532">
        <f>'8. Ремонтна програма'!K64</f>
        <v>4.7054255944452112</v>
      </c>
      <c r="K43" s="1532">
        <f>'8. Ремонтна програма'!L64</f>
        <v>5.508990556114437</v>
      </c>
      <c r="L43" s="1532">
        <f>'8. Ремонтна програма'!M64</f>
        <v>5.677953819104089</v>
      </c>
      <c r="M43" s="1532">
        <f>'8. Ремонтна програма'!N64</f>
        <v>7.2149327587371692</v>
      </c>
      <c r="N43" s="1530">
        <f>'8. Ремонтна програма'!O64</f>
        <v>7.6952121127689495</v>
      </c>
      <c r="O43" s="1531">
        <f>'8. Ремонтна програма'!J90</f>
        <v>0.89989000000000008</v>
      </c>
      <c r="P43" s="1532">
        <f>'8. Ремонтна програма'!K90</f>
        <v>1.3072394469849173</v>
      </c>
      <c r="Q43" s="1532">
        <f>'8. Ремонтна програма'!L90</f>
        <v>1.5884237515797974</v>
      </c>
      <c r="R43" s="1532">
        <f>'8. Ремонтна програма'!M90</f>
        <v>1.857699542828299</v>
      </c>
      <c r="S43" s="1532">
        <f>'8. Ремонтна програма'!N90</f>
        <v>2.1797498981223717</v>
      </c>
      <c r="T43" s="1530">
        <f>'8. Ремонтна програма'!O90</f>
        <v>2.5561397376769599</v>
      </c>
      <c r="U43" s="1531">
        <f>'8. Ремонтна програма'!J121</f>
        <v>0</v>
      </c>
      <c r="V43" s="1532">
        <f>'8. Ремонтна програма'!K121</f>
        <v>0</v>
      </c>
      <c r="W43" s="1532">
        <f>'8. Ремонтна програма'!L121</f>
        <v>0</v>
      </c>
      <c r="X43" s="1532">
        <f>'8. Ремонтна програма'!M121</f>
        <v>0</v>
      </c>
      <c r="Y43" s="1532">
        <f>'8. Ремонтна програма'!N121</f>
        <v>0</v>
      </c>
      <c r="Z43" s="1530">
        <f>'8. Ремонтна програма'!O121</f>
        <v>0</v>
      </c>
      <c r="AA43" s="1531">
        <f>'8. Ремонтна програма'!J152</f>
        <v>10.914526534478197</v>
      </c>
      <c r="AB43" s="1532">
        <f>'8. Ремонтна програма'!K152</f>
        <v>22.095289456689443</v>
      </c>
      <c r="AC43" s="1532">
        <f>'8. Ремонтна програма'!L152</f>
        <v>27.478316356394998</v>
      </c>
      <c r="AD43" s="1532">
        <f>'8. Ремонтна програма'!M152</f>
        <v>32.600608230451911</v>
      </c>
      <c r="AE43" s="1532">
        <f>'8. Ремонтна програма'!N152</f>
        <v>38.46271611433167</v>
      </c>
      <c r="AF43" s="1530">
        <f>'8. Ремонтна програма'!O152</f>
        <v>45.832699260762979</v>
      </c>
      <c r="AG43" s="619">
        <f>Лист1!AG43</f>
        <v>0</v>
      </c>
      <c r="AH43" s="620">
        <f>Лист1!AH43</f>
        <v>0</v>
      </c>
      <c r="AI43" s="620">
        <f>Лист1!AI43</f>
        <v>0</v>
      </c>
      <c r="AJ43" s="620">
        <f>Лист1!AJ43</f>
        <v>0</v>
      </c>
      <c r="AK43" s="620">
        <f>Лист1!AK43</f>
        <v>0</v>
      </c>
      <c r="AL43" s="621">
        <f>Лист1!AL43</f>
        <v>0</v>
      </c>
      <c r="AM43" s="972">
        <f t="shared" si="124"/>
        <v>142.7364</v>
      </c>
      <c r="AN43" s="620">
        <v>157.16282999999999</v>
      </c>
      <c r="AO43" s="620">
        <v>180.99187470772569</v>
      </c>
      <c r="AP43" s="973">
        <f t="shared" si="125"/>
        <v>189.27728442013327</v>
      </c>
      <c r="AQ43" s="973">
        <f t="shared" si="126"/>
        <v>225.406529116369</v>
      </c>
      <c r="AR43" s="973">
        <f t="shared" si="127"/>
        <v>256.6859933594036</v>
      </c>
      <c r="AS43" s="973">
        <f t="shared" si="128"/>
        <v>294.09139061854432</v>
      </c>
      <c r="AT43" s="974">
        <f t="shared" si="129"/>
        <v>334.73312196412013</v>
      </c>
      <c r="AU43" s="1559">
        <f t="shared" si="174"/>
        <v>0.32606177835599937</v>
      </c>
      <c r="AV43" s="1563">
        <f t="shared" si="175"/>
        <v>0.31657896791678042</v>
      </c>
      <c r="AW43" s="1564">
        <f t="shared" si="176"/>
        <v>0.69906410387393758</v>
      </c>
      <c r="AX43" s="4488"/>
      <c r="AY43" s="4491" t="s">
        <v>1875</v>
      </c>
      <c r="AZ43" s="4497">
        <f t="shared" si="177"/>
        <v>65.590088844900521</v>
      </c>
      <c r="BA43" s="4497">
        <f t="shared" si="178"/>
        <v>82.404569886960374</v>
      </c>
      <c r="BB43" s="4497">
        <f t="shared" si="179"/>
        <v>97.570237930842538</v>
      </c>
      <c r="BC43" s="4497">
        <f t="shared" si="180"/>
        <v>110.72011972769583</v>
      </c>
      <c r="BD43" s="4497">
        <f t="shared" si="181"/>
        <v>125.89744090608748</v>
      </c>
      <c r="BE43" s="4497">
        <f t="shared" si="182"/>
        <v>142.47100762996337</v>
      </c>
      <c r="BF43" s="4497">
        <f t="shared" si="183"/>
        <v>1.3492583711263249</v>
      </c>
      <c r="BG43" s="4497">
        <f t="shared" si="184"/>
        <v>2.4058459040127267</v>
      </c>
      <c r="BH43" s="4497">
        <f t="shared" si="185"/>
        <v>2.8167021449279526</v>
      </c>
      <c r="BI43" s="4497">
        <f t="shared" si="186"/>
        <v>2.9030916895149828</v>
      </c>
      <c r="BJ43" s="4497">
        <f t="shared" si="187"/>
        <v>3.6889365429189498</v>
      </c>
      <c r="BK43" s="4497">
        <f t="shared" si="188"/>
        <v>3.9344994773415634</v>
      </c>
      <c r="BL43" s="4497">
        <f t="shared" si="189"/>
        <v>0.46010645096966513</v>
      </c>
      <c r="BM43" s="4497">
        <f t="shared" si="190"/>
        <v>0.66838091602282268</v>
      </c>
      <c r="BN43" s="4497">
        <f t="shared" si="191"/>
        <v>0.81214816808198942</v>
      </c>
      <c r="BO43" s="4497">
        <f t="shared" si="192"/>
        <v>0.94982669395003605</v>
      </c>
      <c r="BP43" s="4497">
        <f t="shared" si="193"/>
        <v>1.114488425948253</v>
      </c>
      <c r="BQ43" s="4497">
        <f t="shared" si="194"/>
        <v>1.3069334950772613</v>
      </c>
      <c r="BR43" s="4497">
        <f t="shared" si="195"/>
        <v>0</v>
      </c>
      <c r="BS43" s="4497">
        <f t="shared" si="196"/>
        <v>0</v>
      </c>
      <c r="BT43" s="4497">
        <f t="shared" si="197"/>
        <v>0</v>
      </c>
      <c r="BU43" s="4497">
        <f t="shared" si="198"/>
        <v>0</v>
      </c>
      <c r="BV43" s="4497">
        <f t="shared" si="199"/>
        <v>0</v>
      </c>
      <c r="BW43" s="4497">
        <f t="shared" si="200"/>
        <v>0</v>
      </c>
      <c r="BX43" s="4497">
        <f t="shared" si="201"/>
        <v>5.5805088041794004</v>
      </c>
      <c r="BY43" s="4497">
        <f t="shared" si="202"/>
        <v>11.297142111885718</v>
      </c>
      <c r="BZ43" s="4497">
        <f t="shared" si="203"/>
        <v>14.049440061966019</v>
      </c>
      <c r="CA43" s="4497">
        <f t="shared" si="204"/>
        <v>16.66842631028868</v>
      </c>
      <c r="CB43" s="4497">
        <f t="shared" si="205"/>
        <v>19.665674478012747</v>
      </c>
      <c r="CC43" s="4497">
        <f t="shared" si="206"/>
        <v>23.433887025336038</v>
      </c>
      <c r="CD43" s="4497">
        <f t="shared" si="207"/>
        <v>0</v>
      </c>
      <c r="CE43" s="4497">
        <f t="shared" si="208"/>
        <v>0</v>
      </c>
      <c r="CF43" s="4497">
        <f t="shared" si="209"/>
        <v>0</v>
      </c>
      <c r="CG43" s="4497">
        <f t="shared" si="210"/>
        <v>0</v>
      </c>
      <c r="CH43" s="4497">
        <f t="shared" si="211"/>
        <v>0</v>
      </c>
      <c r="CI43" s="4497">
        <f t="shared" si="212"/>
        <v>0</v>
      </c>
      <c r="CJ43" s="4497">
        <f t="shared" si="213"/>
        <v>72.979962471175924</v>
      </c>
      <c r="CK43" s="4497">
        <f t="shared" si="214"/>
        <v>80.356079004821481</v>
      </c>
      <c r="CL43" s="4497">
        <f t="shared" si="215"/>
        <v>92.539676100543346</v>
      </c>
      <c r="CM43" s="4497">
        <f t="shared" si="216"/>
        <v>96.775938818881642</v>
      </c>
      <c r="CN43" s="4497">
        <f t="shared" si="217"/>
        <v>115.24852830581851</v>
      </c>
      <c r="CO43" s="4497">
        <f t="shared" si="218"/>
        <v>131.24146442144951</v>
      </c>
      <c r="CP43" s="4497">
        <f t="shared" si="219"/>
        <v>150.36654035296746</v>
      </c>
      <c r="CQ43" s="4497">
        <f t="shared" si="220"/>
        <v>171.14632762771822</v>
      </c>
      <c r="CR43" s="4501"/>
      <c r="CS43" s="4501"/>
      <c r="CT43" s="4501"/>
      <c r="CU43" s="4501"/>
      <c r="CV43" s="4501"/>
      <c r="CW43" s="4501"/>
      <c r="CX43" s="4501"/>
      <c r="CY43" s="4501"/>
      <c r="CZ43" s="4501"/>
      <c r="DA43" s="4501"/>
      <c r="DB43" s="4501"/>
      <c r="DC43" s="4501"/>
      <c r="DD43" s="4501"/>
      <c r="DE43" s="4501"/>
      <c r="DF43" s="4501"/>
      <c r="DG43" s="4501"/>
      <c r="DH43" s="4501"/>
      <c r="DI43" s="4501"/>
      <c r="DJ43" s="4501"/>
      <c r="DK43" s="4501"/>
      <c r="DL43" s="4501"/>
      <c r="DM43" s="4501"/>
      <c r="DN43" s="4501"/>
      <c r="DO43" s="4501"/>
      <c r="DP43" s="4501"/>
      <c r="DQ43" s="4501"/>
      <c r="DR43" s="4501"/>
    </row>
    <row r="44" spans="1:122" s="646" customFormat="1" ht="24.6" thickBot="1">
      <c r="A44" s="327" t="s">
        <v>264</v>
      </c>
      <c r="B44" s="650" t="s">
        <v>1255</v>
      </c>
      <c r="C44" s="622">
        <v>29.427300800159138</v>
      </c>
      <c r="D44" s="623">
        <v>52.782349508507401</v>
      </c>
      <c r="E44" s="623">
        <v>62.27141245077344</v>
      </c>
      <c r="F44" s="623">
        <v>70.718249415823053</v>
      </c>
      <c r="G44" s="623">
        <v>80.402882795925905</v>
      </c>
      <c r="H44" s="624">
        <v>91.52978080067075</v>
      </c>
      <c r="I44" s="622">
        <v>0.12070581922259026</v>
      </c>
      <c r="J44" s="623">
        <v>0.31703003191489515</v>
      </c>
      <c r="K44" s="623">
        <v>0.37598088560984944</v>
      </c>
      <c r="L44" s="623">
        <v>0.42655815759798715</v>
      </c>
      <c r="M44" s="623">
        <v>0.48442484353798171</v>
      </c>
      <c r="N44" s="624">
        <v>0.55062461906278093</v>
      </c>
      <c r="O44" s="622">
        <v>0.25901830658627978</v>
      </c>
      <c r="P44" s="623">
        <v>1.1434407942533278</v>
      </c>
      <c r="Q44" s="623">
        <v>1.3409260934682377</v>
      </c>
      <c r="R44" s="623">
        <v>1.5280268289787138</v>
      </c>
      <c r="S44" s="623">
        <v>1.7171097171182237</v>
      </c>
      <c r="T44" s="624">
        <v>1.8368286286509325</v>
      </c>
      <c r="U44" s="622">
        <v>0</v>
      </c>
      <c r="V44" s="623">
        <v>0</v>
      </c>
      <c r="W44" s="623">
        <v>0</v>
      </c>
      <c r="X44" s="623">
        <v>0</v>
      </c>
      <c r="Y44" s="623">
        <v>0</v>
      </c>
      <c r="Z44" s="624">
        <v>0</v>
      </c>
      <c r="AA44" s="622">
        <v>1.4082750740319954</v>
      </c>
      <c r="AB44" s="623">
        <v>1.6002125048620879</v>
      </c>
      <c r="AC44" s="623">
        <v>2.5478133949115853</v>
      </c>
      <c r="AD44" s="623">
        <v>2.8934686825563172</v>
      </c>
      <c r="AE44" s="623">
        <v>3.2896314508545235</v>
      </c>
      <c r="AF44" s="624">
        <v>3.7361115821342268</v>
      </c>
      <c r="AG44" s="622">
        <v>0</v>
      </c>
      <c r="AH44" s="623">
        <v>0</v>
      </c>
      <c r="AI44" s="623">
        <v>0</v>
      </c>
      <c r="AJ44" s="623">
        <v>0</v>
      </c>
      <c r="AK44" s="623">
        <v>0</v>
      </c>
      <c r="AL44" s="624">
        <v>0</v>
      </c>
      <c r="AM44" s="1536">
        <f t="shared" si="124"/>
        <v>31.215300000000003</v>
      </c>
      <c r="AN44" s="620">
        <v>35.086590000000001</v>
      </c>
      <c r="AO44" s="620">
        <v>46.669049695811736</v>
      </c>
      <c r="AP44" s="1537">
        <f t="shared" si="125"/>
        <v>55.843032839537713</v>
      </c>
      <c r="AQ44" s="1537">
        <f t="shared" si="126"/>
        <v>66.536132824763115</v>
      </c>
      <c r="AR44" s="1537">
        <f t="shared" si="127"/>
        <v>75.566303084956061</v>
      </c>
      <c r="AS44" s="1537">
        <f t="shared" si="128"/>
        <v>85.894048807436633</v>
      </c>
      <c r="AT44" s="1538">
        <f t="shared" si="129"/>
        <v>97.6533456305187</v>
      </c>
      <c r="AU44" s="1561">
        <f t="shared" si="174"/>
        <v>0.78896351595332126</v>
      </c>
      <c r="AV44" s="1561">
        <f t="shared" si="175"/>
        <v>0.76363049729474297</v>
      </c>
      <c r="AW44" s="1562">
        <f t="shared" si="176"/>
        <v>2.8461365157064966</v>
      </c>
      <c r="AX44" s="4488"/>
      <c r="AY44" s="4491" t="s">
        <v>1875</v>
      </c>
      <c r="AZ44" s="4497">
        <f t="shared" si="177"/>
        <v>15.045939984640352</v>
      </c>
      <c r="BA44" s="4497">
        <f t="shared" si="178"/>
        <v>26.987186774161049</v>
      </c>
      <c r="BB44" s="4497">
        <f t="shared" si="179"/>
        <v>31.838867616701574</v>
      </c>
      <c r="BC44" s="4497">
        <f t="shared" si="180"/>
        <v>36.157666778719552</v>
      </c>
      <c r="BD44" s="4497">
        <f t="shared" si="181"/>
        <v>41.109341198328025</v>
      </c>
      <c r="BE44" s="4497">
        <f t="shared" si="182"/>
        <v>46.798433811052469</v>
      </c>
      <c r="BF44" s="4497">
        <f t="shared" si="183"/>
        <v>6.1715905381648846E-2</v>
      </c>
      <c r="BG44" s="4497">
        <f t="shared" si="184"/>
        <v>0.16209488141346393</v>
      </c>
      <c r="BH44" s="4497">
        <f t="shared" si="185"/>
        <v>0.19223597429728015</v>
      </c>
      <c r="BI44" s="4497">
        <f t="shared" si="186"/>
        <v>0.21809572283786791</v>
      </c>
      <c r="BJ44" s="4497">
        <f t="shared" si="187"/>
        <v>0.24768248955071848</v>
      </c>
      <c r="BK44" s="4497">
        <f t="shared" si="188"/>
        <v>0.28152989731356043</v>
      </c>
      <c r="BL44" s="4497">
        <f t="shared" si="189"/>
        <v>0.13243395723875787</v>
      </c>
      <c r="BM44" s="4497">
        <f t="shared" si="190"/>
        <v>0.58463199473028216</v>
      </c>
      <c r="BN44" s="4497">
        <f t="shared" si="191"/>
        <v>0.6856046248744716</v>
      </c>
      <c r="BO44" s="4497">
        <f t="shared" si="192"/>
        <v>0.78126771190681898</v>
      </c>
      <c r="BP44" s="4497">
        <f t="shared" si="193"/>
        <v>0.87794425748568317</v>
      </c>
      <c r="BQ44" s="4497">
        <f t="shared" si="194"/>
        <v>0.93915556497800556</v>
      </c>
      <c r="BR44" s="4497">
        <f t="shared" si="195"/>
        <v>0</v>
      </c>
      <c r="BS44" s="4497">
        <f t="shared" si="196"/>
        <v>0</v>
      </c>
      <c r="BT44" s="4497">
        <f t="shared" si="197"/>
        <v>0</v>
      </c>
      <c r="BU44" s="4497">
        <f t="shared" si="198"/>
        <v>0</v>
      </c>
      <c r="BV44" s="4497">
        <f t="shared" si="199"/>
        <v>0</v>
      </c>
      <c r="BW44" s="4497">
        <f t="shared" si="200"/>
        <v>0</v>
      </c>
      <c r="BX44" s="4497">
        <f t="shared" si="201"/>
        <v>0.7200396118435628</v>
      </c>
      <c r="BY44" s="4497">
        <f t="shared" si="202"/>
        <v>0.81817566192464986</v>
      </c>
      <c r="BZ44" s="4497">
        <f t="shared" si="203"/>
        <v>1.3026763036212683</v>
      </c>
      <c r="CA44" s="4497">
        <f t="shared" si="204"/>
        <v>1.4794070458865634</v>
      </c>
      <c r="CB44" s="4497">
        <f t="shared" si="205"/>
        <v>1.6819618529496549</v>
      </c>
      <c r="CC44" s="4497">
        <f t="shared" si="206"/>
        <v>1.9102435191883891</v>
      </c>
      <c r="CD44" s="4497">
        <f t="shared" si="207"/>
        <v>0</v>
      </c>
      <c r="CE44" s="4497">
        <f t="shared" si="208"/>
        <v>0</v>
      </c>
      <c r="CF44" s="4497">
        <f t="shared" si="209"/>
        <v>0</v>
      </c>
      <c r="CG44" s="4497">
        <f t="shared" si="210"/>
        <v>0</v>
      </c>
      <c r="CH44" s="4497">
        <f t="shared" si="211"/>
        <v>0</v>
      </c>
      <c r="CI44" s="4497">
        <f t="shared" si="212"/>
        <v>0</v>
      </c>
      <c r="CJ44" s="4497">
        <f t="shared" si="213"/>
        <v>15.960129459104321</v>
      </c>
      <c r="CK44" s="4497">
        <f t="shared" si="214"/>
        <v>17.939488605860429</v>
      </c>
      <c r="CL44" s="4497">
        <f t="shared" si="215"/>
        <v>23.861506212611392</v>
      </c>
      <c r="CM44" s="4497">
        <f t="shared" si="216"/>
        <v>28.552089312229445</v>
      </c>
      <c r="CN44" s="4497">
        <f t="shared" si="217"/>
        <v>34.019384519494594</v>
      </c>
      <c r="CO44" s="4497">
        <f t="shared" si="218"/>
        <v>38.636437259350792</v>
      </c>
      <c r="CP44" s="4497">
        <f t="shared" si="219"/>
        <v>43.916929798314086</v>
      </c>
      <c r="CQ44" s="4497">
        <f t="shared" si="220"/>
        <v>49.92936279253243</v>
      </c>
      <c r="CR44" s="4501"/>
      <c r="CS44" s="4501"/>
      <c r="CT44" s="4501"/>
      <c r="CU44" s="4501"/>
      <c r="CV44" s="4501"/>
      <c r="CW44" s="4501"/>
      <c r="CX44" s="4501"/>
      <c r="CY44" s="4501"/>
      <c r="CZ44" s="4501"/>
      <c r="DA44" s="4501"/>
      <c r="DB44" s="4501"/>
      <c r="DC44" s="4501"/>
      <c r="DD44" s="4501"/>
      <c r="DE44" s="4501"/>
      <c r="DF44" s="4501"/>
      <c r="DG44" s="4501"/>
      <c r="DH44" s="4501"/>
      <c r="DI44" s="4501"/>
      <c r="DJ44" s="4501"/>
      <c r="DK44" s="4501"/>
      <c r="DL44" s="4501"/>
      <c r="DM44" s="4501"/>
      <c r="DN44" s="4501"/>
      <c r="DO44" s="4501"/>
      <c r="DP44" s="4501"/>
      <c r="DQ44" s="4501"/>
      <c r="DR44" s="4501"/>
    </row>
    <row r="45" spans="1:122" s="166" customFormat="1" ht="13.8" thickBot="1">
      <c r="A45" s="325"/>
      <c r="B45" s="326"/>
      <c r="C45" s="1549"/>
      <c r="D45" s="1550"/>
      <c r="E45" s="1550"/>
      <c r="F45" s="1550"/>
      <c r="G45" s="1550"/>
      <c r="H45" s="1551"/>
      <c r="I45" s="1549"/>
      <c r="J45" s="1550"/>
      <c r="K45" s="1550"/>
      <c r="L45" s="1550"/>
      <c r="M45" s="1550"/>
      <c r="N45" s="1551"/>
      <c r="O45" s="1549"/>
      <c r="P45" s="1550"/>
      <c r="Q45" s="1550"/>
      <c r="R45" s="1550"/>
      <c r="S45" s="1550"/>
      <c r="T45" s="1551"/>
      <c r="U45" s="1549"/>
      <c r="V45" s="1550"/>
      <c r="W45" s="1550"/>
      <c r="X45" s="1550"/>
      <c r="Y45" s="1550"/>
      <c r="Z45" s="1551"/>
      <c r="AA45" s="1549"/>
      <c r="AB45" s="1550"/>
      <c r="AC45" s="1550"/>
      <c r="AD45" s="1550"/>
      <c r="AE45" s="1550"/>
      <c r="AF45" s="1551"/>
      <c r="AG45" s="1549"/>
      <c r="AH45" s="1550"/>
      <c r="AI45" s="1550"/>
      <c r="AJ45" s="1550"/>
      <c r="AK45" s="1550"/>
      <c r="AL45" s="1551"/>
      <c r="AM45" s="1549"/>
      <c r="AN45" s="1550"/>
      <c r="AO45" s="1550"/>
      <c r="AP45" s="1550"/>
      <c r="AQ45" s="1550"/>
      <c r="AR45" s="1550"/>
      <c r="AS45" s="1550"/>
      <c r="AT45" s="1551"/>
      <c r="AU45" s="1552"/>
      <c r="AV45" s="1552"/>
      <c r="AW45" s="1553"/>
      <c r="AX45" s="4488"/>
      <c r="AY45" s="1"/>
    </row>
    <row r="46" spans="1:122" s="646" customFormat="1" ht="13.8" thickBot="1">
      <c r="A46" s="956">
        <v>4</v>
      </c>
      <c r="B46" s="957" t="s">
        <v>1257</v>
      </c>
      <c r="C46" s="2001">
        <v>333.02473298429402</v>
      </c>
      <c r="D46" s="2002">
        <v>500.28812652866719</v>
      </c>
      <c r="E46" s="2002">
        <v>523.58065528731879</v>
      </c>
      <c r="F46" s="2002">
        <v>582.07557558718395</v>
      </c>
      <c r="G46" s="2002">
        <v>613.21004586065476</v>
      </c>
      <c r="H46" s="2003">
        <v>611.26219244683534</v>
      </c>
      <c r="I46" s="2001">
        <v>9.9688346294837942</v>
      </c>
      <c r="J46" s="2002">
        <v>19.623729064621891</v>
      </c>
      <c r="K46" s="2002">
        <v>20.707911833228934</v>
      </c>
      <c r="L46" s="2002">
        <v>23.120243019079592</v>
      </c>
      <c r="M46" s="2002">
        <v>24.464021331593653</v>
      </c>
      <c r="N46" s="2003">
        <v>24.496881240956089</v>
      </c>
      <c r="O46" s="2001">
        <v>64.044677537577485</v>
      </c>
      <c r="P46" s="2002">
        <v>110.84624233205017</v>
      </c>
      <c r="Q46" s="2002">
        <v>117.02704671969776</v>
      </c>
      <c r="R46" s="2002">
        <v>130.62568082955048</v>
      </c>
      <c r="S46" s="2002">
        <v>138.22544243564062</v>
      </c>
      <c r="T46" s="2003">
        <v>138.46928664987121</v>
      </c>
      <c r="U46" s="2001">
        <v>0</v>
      </c>
      <c r="V46" s="2002">
        <v>0</v>
      </c>
      <c r="W46" s="2002">
        <v>0</v>
      </c>
      <c r="X46" s="2002">
        <v>0</v>
      </c>
      <c r="Y46" s="2002">
        <v>0</v>
      </c>
      <c r="Z46" s="2003">
        <v>0</v>
      </c>
      <c r="AA46" s="2001">
        <v>57.691107581117528</v>
      </c>
      <c r="AB46" s="2002">
        <v>83.249255588598103</v>
      </c>
      <c r="AC46" s="2002">
        <v>87.968947474430962</v>
      </c>
      <c r="AD46" s="2002">
        <v>98.318552166575998</v>
      </c>
      <c r="AE46" s="2002">
        <v>104.15265591590298</v>
      </c>
      <c r="AF46" s="2003">
        <v>104.42404196855135</v>
      </c>
      <c r="AG46" s="2001">
        <v>2.4768472675271926</v>
      </c>
      <c r="AH46" s="2002">
        <v>2.0486464860626619</v>
      </c>
      <c r="AI46" s="2002">
        <v>2.1594386853235905</v>
      </c>
      <c r="AJ46" s="2002">
        <v>2.4099483976099947</v>
      </c>
      <c r="AK46" s="2002">
        <v>2.5478344562078923</v>
      </c>
      <c r="AL46" s="2003">
        <v>2.5475976937860345</v>
      </c>
      <c r="AM46" s="4618">
        <f t="shared" si="124"/>
        <v>464.72935273247288</v>
      </c>
      <c r="AN46" s="2002">
        <v>558.85318000000007</v>
      </c>
      <c r="AO46" s="2002">
        <v>648.83367372144687</v>
      </c>
      <c r="AP46" s="4619">
        <f t="shared" si="125"/>
        <v>714.00735351393723</v>
      </c>
      <c r="AQ46" s="4619">
        <f t="shared" si="126"/>
        <v>749.28456131467635</v>
      </c>
      <c r="AR46" s="4619">
        <f t="shared" si="127"/>
        <v>834.14005160238992</v>
      </c>
      <c r="AS46" s="4619">
        <f t="shared" si="128"/>
        <v>880.05216554379206</v>
      </c>
      <c r="AT46" s="4620">
        <f t="shared" si="129"/>
        <v>878.65240230621407</v>
      </c>
      <c r="AU46" s="979">
        <f t="shared" ref="AU46:AU48" si="221">IFERROR((AP46-AM46)/AM46,0)</f>
        <v>0.53639392329273483</v>
      </c>
      <c r="AV46" s="979">
        <f t="shared" ref="AV46:AV48" si="222">IFERROR(((D46+V46+AB46)-(+C46+U46+AA46))/(C46+U46+AA46),0)</f>
        <v>0.49350838008722259</v>
      </c>
      <c r="AW46" s="980">
        <f t="shared" ref="AW46:AW48" si="223">IFERROR(((J46+P46)-(I46+O46))/(I46+O46),0)</f>
        <v>0.7627858424307552</v>
      </c>
      <c r="AX46" s="4488"/>
      <c r="AY46" s="4491" t="s">
        <v>1875</v>
      </c>
      <c r="AZ46" s="4497">
        <f t="shared" ref="AZ46:AZ48" si="224">IFERROR(C46/$C$1,0)</f>
        <v>170.27284221240805</v>
      </c>
      <c r="BA46" s="4497">
        <f t="shared" ref="BA46:BA48" si="225">IFERROR(D46/$C$1,0)</f>
        <v>255.79325735297402</v>
      </c>
      <c r="BB46" s="4497">
        <f t="shared" ref="BB46:BB48" si="226">IFERROR(E46/$C$1,0)</f>
        <v>267.70253819980201</v>
      </c>
      <c r="BC46" s="4497">
        <f t="shared" ref="BC46:BC48" si="227">IFERROR(F46/$C$1,0)</f>
        <v>297.61051604034293</v>
      </c>
      <c r="BD46" s="4497">
        <f t="shared" ref="BD46:BD48" si="228">IFERROR(G46/$C$1,0)</f>
        <v>313.52931791651361</v>
      </c>
      <c r="BE46" s="4497">
        <f t="shared" ref="BE46:BE48" si="229">IFERROR(H46/$C$1,0)</f>
        <v>312.53339628026737</v>
      </c>
      <c r="BF46" s="4497">
        <f t="shared" ref="BF46:BF48" si="230">IFERROR(I46/$C$1,0)</f>
        <v>5.096984211042777</v>
      </c>
      <c r="BG46" s="4497">
        <f t="shared" ref="BG46:BG48" si="231">IFERROR(J46/$C$1,0)</f>
        <v>10.033453349535435</v>
      </c>
      <c r="BH46" s="4497">
        <f t="shared" ref="BH46:BH48" si="232">IFERROR(K46/$C$1,0)</f>
        <v>10.587787196857056</v>
      </c>
      <c r="BI46" s="4497">
        <f t="shared" ref="BI46:BI48" si="233">IFERROR(L46/$C$1,0)</f>
        <v>11.821192546938942</v>
      </c>
      <c r="BJ46" s="4497">
        <f t="shared" ref="BJ46:BJ48" si="234">IFERROR(M46/$C$1,0)</f>
        <v>12.508255488254937</v>
      </c>
      <c r="BK46" s="4497">
        <f t="shared" ref="BK46:BK48" si="235">IFERROR(N46/$C$1,0)</f>
        <v>12.525056493128794</v>
      </c>
      <c r="BL46" s="4497">
        <f t="shared" ref="BL46:BL48" si="236">IFERROR(O46/$C$1,0)</f>
        <v>32.745523658793189</v>
      </c>
      <c r="BM46" s="4497">
        <f t="shared" ref="BM46:BM48" si="237">IFERROR(P46/$C$1,0)</f>
        <v>56.674783765485842</v>
      </c>
      <c r="BN46" s="4497">
        <f t="shared" ref="BN46:BN48" si="238">IFERROR(Q46/$C$1,0)</f>
        <v>59.834978868152021</v>
      </c>
      <c r="BO46" s="4497">
        <f t="shared" ref="BO46:BO48" si="239">IFERROR(R46/$C$1,0)</f>
        <v>66.787850083877672</v>
      </c>
      <c r="BP46" s="4497">
        <f t="shared" ref="BP46:BP48" si="240">IFERROR(S46/$C$1,0)</f>
        <v>70.673546492098296</v>
      </c>
      <c r="BQ46" s="4497">
        <f t="shared" ref="BQ46:BQ48" si="241">IFERROR(T46/$C$1,0)</f>
        <v>70.798222059111069</v>
      </c>
      <c r="BR46" s="4497">
        <f t="shared" ref="BR46:BR48" si="242">IFERROR(U46/$C$1,0)</f>
        <v>0</v>
      </c>
      <c r="BS46" s="4497">
        <f t="shared" ref="BS46:BS48" si="243">IFERROR(V46/$C$1,0)</f>
        <v>0</v>
      </c>
      <c r="BT46" s="4497">
        <f t="shared" ref="BT46:BT48" si="244">IFERROR(W46/$C$1,0)</f>
        <v>0</v>
      </c>
      <c r="BU46" s="4497">
        <f t="shared" ref="BU46:BU48" si="245">IFERROR(X46/$C$1,0)</f>
        <v>0</v>
      </c>
      <c r="BV46" s="4497">
        <f t="shared" ref="BV46:BV48" si="246">IFERROR(Y46/$C$1,0)</f>
        <v>0</v>
      </c>
      <c r="BW46" s="4497">
        <f t="shared" ref="BW46:BW48" si="247">IFERROR(Z46/$C$1,0)</f>
        <v>0</v>
      </c>
      <c r="BX46" s="4497">
        <f t="shared" ref="BX46:BX48" si="248">IFERROR(AA46/$C$1,0)</f>
        <v>29.496994923443005</v>
      </c>
      <c r="BY46" s="4497">
        <f t="shared" ref="BY46:BY48" si="249">IFERROR(AB46/$C$1,0)</f>
        <v>42.564668498079129</v>
      </c>
      <c r="BZ46" s="4497">
        <f t="shared" ref="BZ46:BZ48" si="250">IFERROR(AC46/$C$1,0)</f>
        <v>44.977808641053137</v>
      </c>
      <c r="CA46" s="4497">
        <f t="shared" ref="CA46:CA48" si="251">IFERROR(AD46/$C$1,0)</f>
        <v>50.269477493737185</v>
      </c>
      <c r="CB46" s="4497">
        <f t="shared" ref="CB46:CB48" si="252">IFERROR(AE46/$C$1,0)</f>
        <v>53.252407374824493</v>
      </c>
      <c r="CC46" s="4497">
        <f t="shared" ref="CC46:CC48" si="253">IFERROR(AF46/$C$1,0)</f>
        <v>53.391164860213493</v>
      </c>
      <c r="CD46" s="4497">
        <f t="shared" ref="CD46:CD48" si="254">IFERROR(AG46/$C$1,0)</f>
        <v>1.2663918988496918</v>
      </c>
      <c r="CE46" s="4497">
        <f t="shared" ref="CE46:CE48" si="255">IFERROR(AH46/$C$1,0)</f>
        <v>1.047456315765001</v>
      </c>
      <c r="CF46" s="4497">
        <f t="shared" ref="CF46:CF48" si="256">IFERROR(AI46/$C$1,0)</f>
        <v>1.1041034677469874</v>
      </c>
      <c r="CG46" s="4497">
        <f t="shared" ref="CG46:CG48" si="257">IFERROR(AJ46/$C$1,0)</f>
        <v>1.2321870497998266</v>
      </c>
      <c r="CH46" s="4497">
        <f t="shared" ref="CH46:CH48" si="258">IFERROR(AK46/$C$1,0)</f>
        <v>1.3026870720910777</v>
      </c>
      <c r="CI46" s="4497">
        <f t="shared" ref="CI46:CI48" si="259">IFERROR(AL46/$C$1,0)</f>
        <v>1.3025660173870093</v>
      </c>
      <c r="CJ46" s="4497">
        <f t="shared" ref="CJ46:CJ48" si="260">IFERROR(AM46/$C$1,0)</f>
        <v>237.61234500568705</v>
      </c>
      <c r="CK46" s="4497">
        <f t="shared" ref="CK46:CK48" si="261">IFERROR(AN46/$C$1,0)</f>
        <v>285.73709371468897</v>
      </c>
      <c r="CL46" s="4497">
        <f t="shared" ref="CL46:CL48" si="262">IFERROR(AO46/$C$1,0)</f>
        <v>331.743389620492</v>
      </c>
      <c r="CM46" s="4497">
        <f t="shared" ref="CM46:CM48" si="263">IFERROR(AP46/$C$1,0)</f>
        <v>365.06616296607439</v>
      </c>
      <c r="CN46" s="4497">
        <f t="shared" ref="CN46:CN48" si="264">IFERROR(AQ46/$C$1,0)</f>
        <v>383.10311290586418</v>
      </c>
      <c r="CO46" s="4497">
        <f t="shared" ref="CO46:CO48" si="265">IFERROR(AR46/$C$1,0)</f>
        <v>426.48903616489673</v>
      </c>
      <c r="CP46" s="4497">
        <f t="shared" ref="CP46:CP48" si="266">IFERROR(AS46/$C$1,0)</f>
        <v>449.96352727169136</v>
      </c>
      <c r="CQ46" s="4497">
        <f t="shared" ref="CQ46:CQ48" si="267">IFERROR(AT46/$C$1,0)</f>
        <v>449.24783969272079</v>
      </c>
      <c r="CR46" s="4501"/>
      <c r="CS46" s="4501"/>
      <c r="CT46" s="4501"/>
      <c r="CU46" s="4501"/>
      <c r="CV46" s="4501"/>
      <c r="CW46" s="4501"/>
      <c r="CX46" s="4501"/>
      <c r="CY46" s="4501"/>
      <c r="CZ46" s="4501"/>
      <c r="DA46" s="4501"/>
      <c r="DB46" s="4501"/>
      <c r="DC46" s="4501"/>
      <c r="DD46" s="4501"/>
      <c r="DE46" s="4501"/>
      <c r="DF46" s="4501"/>
      <c r="DG46" s="4501"/>
      <c r="DH46" s="4501"/>
      <c r="DI46" s="4501"/>
      <c r="DJ46" s="4501"/>
      <c r="DK46" s="4501"/>
      <c r="DL46" s="4501"/>
      <c r="DM46" s="4501"/>
      <c r="DN46" s="4501"/>
      <c r="DO46" s="4501"/>
      <c r="DP46" s="4501"/>
      <c r="DQ46" s="4501"/>
      <c r="DR46" s="4501"/>
    </row>
    <row r="47" spans="1:122" s="719" customFormat="1" ht="24.6" thickBot="1">
      <c r="A47" s="51" t="s">
        <v>566</v>
      </c>
      <c r="B47" s="649" t="s">
        <v>1256</v>
      </c>
      <c r="C47" s="1531">
        <f>'8. Ремонтна програма'!J37</f>
        <v>51.360115137450492</v>
      </c>
      <c r="D47" s="1532">
        <f>'8. Ремонтна програма'!K37</f>
        <v>62.82800395527002</v>
      </c>
      <c r="E47" s="1532">
        <f>'8. Ремонтна програма'!L37</f>
        <v>65.458890597494332</v>
      </c>
      <c r="F47" s="1532">
        <f>'8. Ремонтна програма'!M37</f>
        <v>72.753062911137391</v>
      </c>
      <c r="G47" s="1532">
        <f>'8. Ремонтна програма'!N37</f>
        <v>76.718820453266744</v>
      </c>
      <c r="H47" s="1530">
        <f>'8. Ремонтна програма'!O37</f>
        <v>76.173141053131872</v>
      </c>
      <c r="I47" s="1531">
        <f>'8. Ремонтна програма'!J66</f>
        <v>1.1539400000000066</v>
      </c>
      <c r="J47" s="1532">
        <f>'8. Ремонтна програма'!K66</f>
        <v>1.8342974932146401</v>
      </c>
      <c r="K47" s="1532">
        <f>'8. Ремонтна програма'!L66</f>
        <v>1.8896971193331851</v>
      </c>
      <c r="L47" s="1532">
        <f>'8. Ремонтна програма'!M66</f>
        <v>1.9075919791590836</v>
      </c>
      <c r="M47" s="1532">
        <f>'8. Ремонтна програма'!N66</f>
        <v>2.2479476807697845</v>
      </c>
      <c r="N47" s="1530">
        <f>'8. Ремонтна програма'!O66</f>
        <v>2.1036082263096176</v>
      </c>
      <c r="O47" s="1531">
        <f>'8. Ремонтна програма'!J92</f>
        <v>0.35395000000000643</v>
      </c>
      <c r="P47" s="1532">
        <f>'8. Ремонтна програма'!K92</f>
        <v>0.50959599562395064</v>
      </c>
      <c r="Q47" s="1532">
        <f>'8. Ремонтна програма'!L92</f>
        <v>0.5448620318125792</v>
      </c>
      <c r="R47" s="1532">
        <f>'8. Ремонтна програма'!M92</f>
        <v>0.62412144594474572</v>
      </c>
      <c r="S47" s="1532">
        <f>'8. Ремонтна програма'!N92</f>
        <v>0.67914198122063896</v>
      </c>
      <c r="T47" s="1530">
        <f>'8. Ремонтна програма'!O92</f>
        <v>0.69876132080253717</v>
      </c>
      <c r="U47" s="1531">
        <f>'8. Ремонтна програма'!J123</f>
        <v>0</v>
      </c>
      <c r="V47" s="1532">
        <f>'8. Ремонтна програма'!K123</f>
        <v>0</v>
      </c>
      <c r="W47" s="1532">
        <f>'8. Ремонтна програма'!L123</f>
        <v>0</v>
      </c>
      <c r="X47" s="1532">
        <f>'8. Ремонтна програма'!M123</f>
        <v>0</v>
      </c>
      <c r="Y47" s="1532">
        <f>'8. Ремонтна програма'!N123</f>
        <v>0</v>
      </c>
      <c r="Z47" s="1530">
        <f>'8. Ремонтна програма'!O123</f>
        <v>0</v>
      </c>
      <c r="AA47" s="1531">
        <f>'8. Ремонтна програма'!J154</f>
        <v>4.6434748625495619</v>
      </c>
      <c r="AB47" s="1532">
        <f>'8. Ремонтна програма'!K154</f>
        <v>8.613319507188379</v>
      </c>
      <c r="AC47" s="1532">
        <f>'8. Ремонтна програма'!L154</f>
        <v>9.4256279319941143</v>
      </c>
      <c r="AD47" s="1532">
        <f>'8. Ремонтна програма'!M154</f>
        <v>10.952653148899458</v>
      </c>
      <c r="AE47" s="1532">
        <f>'8. Ремонтна програма'!N154</f>
        <v>11.983780913358686</v>
      </c>
      <c r="AF47" s="1530">
        <f>'8. Ремонтна програма'!O154</f>
        <v>12.529094947095132</v>
      </c>
      <c r="AG47" s="619">
        <f>Лист1!AG47</f>
        <v>0</v>
      </c>
      <c r="AH47" s="620">
        <f>Лист1!AH47</f>
        <v>0</v>
      </c>
      <c r="AI47" s="620">
        <f>Лист1!AI47</f>
        <v>0</v>
      </c>
      <c r="AJ47" s="620">
        <f>Лист1!AJ47</f>
        <v>0</v>
      </c>
      <c r="AK47" s="620">
        <f>Лист1!AK47</f>
        <v>0</v>
      </c>
      <c r="AL47" s="621">
        <f>Лист1!AL47</f>
        <v>0</v>
      </c>
      <c r="AM47" s="972">
        <f t="shared" si="124"/>
        <v>57.511480000000063</v>
      </c>
      <c r="AN47" s="620">
        <v>69.63373</v>
      </c>
      <c r="AO47" s="620">
        <v>75.489188495872298</v>
      </c>
      <c r="AP47" s="973">
        <f t="shared" si="125"/>
        <v>73.785216951296988</v>
      </c>
      <c r="AQ47" s="973">
        <f t="shared" si="126"/>
        <v>77.319077680634223</v>
      </c>
      <c r="AR47" s="973">
        <f t="shared" si="127"/>
        <v>86.23742948514068</v>
      </c>
      <c r="AS47" s="973">
        <f t="shared" si="128"/>
        <v>91.629691028615852</v>
      </c>
      <c r="AT47" s="974">
        <f t="shared" si="129"/>
        <v>91.504605547339153</v>
      </c>
      <c r="AU47" s="1563">
        <f t="shared" si="221"/>
        <v>0.28296501761555964</v>
      </c>
      <c r="AV47" s="1563">
        <f t="shared" si="222"/>
        <v>0.27565614030204727</v>
      </c>
      <c r="AW47" s="1564">
        <f t="shared" si="223"/>
        <v>0.55441941311274046</v>
      </c>
      <c r="AX47" s="4488"/>
      <c r="AY47" s="4491" t="s">
        <v>1875</v>
      </c>
      <c r="AZ47" s="4497">
        <f t="shared" si="224"/>
        <v>26.260009887081441</v>
      </c>
      <c r="BA47" s="4497">
        <f t="shared" si="225"/>
        <v>32.123448334093467</v>
      </c>
      <c r="BB47" s="4497">
        <f t="shared" si="226"/>
        <v>33.468599314610337</v>
      </c>
      <c r="BC47" s="4497">
        <f t="shared" si="227"/>
        <v>37.198050398622271</v>
      </c>
      <c r="BD47" s="4497">
        <f t="shared" si="228"/>
        <v>39.225710032705678</v>
      </c>
      <c r="BE47" s="4497">
        <f t="shared" si="229"/>
        <v>38.946708585680696</v>
      </c>
      <c r="BF47" s="4497">
        <f t="shared" si="230"/>
        <v>0.59000015338756773</v>
      </c>
      <c r="BG47" s="4497">
        <f t="shared" si="231"/>
        <v>0.93786141597922112</v>
      </c>
      <c r="BH47" s="4497">
        <f t="shared" si="232"/>
        <v>0.96618679503493921</v>
      </c>
      <c r="BI47" s="4497">
        <f t="shared" si="233"/>
        <v>0.97533629157906554</v>
      </c>
      <c r="BJ47" s="4497">
        <f t="shared" si="234"/>
        <v>1.1493573985314596</v>
      </c>
      <c r="BK47" s="4497">
        <f t="shared" si="235"/>
        <v>1.075557807329685</v>
      </c>
      <c r="BL47" s="4497">
        <f t="shared" si="236"/>
        <v>0.18097176134940482</v>
      </c>
      <c r="BM47" s="4497">
        <f t="shared" si="237"/>
        <v>0.26055229525262963</v>
      </c>
      <c r="BN47" s="4497">
        <f t="shared" si="238"/>
        <v>0.27858353323784746</v>
      </c>
      <c r="BO47" s="4497">
        <f t="shared" si="239"/>
        <v>0.31910822819199303</v>
      </c>
      <c r="BP47" s="4497">
        <f t="shared" si="240"/>
        <v>0.34723978117762738</v>
      </c>
      <c r="BQ47" s="4497">
        <f t="shared" si="241"/>
        <v>0.35727099022028358</v>
      </c>
      <c r="BR47" s="4497">
        <f t="shared" si="242"/>
        <v>0</v>
      </c>
      <c r="BS47" s="4497">
        <f t="shared" si="243"/>
        <v>0</v>
      </c>
      <c r="BT47" s="4497">
        <f t="shared" si="244"/>
        <v>0</v>
      </c>
      <c r="BU47" s="4497">
        <f t="shared" si="245"/>
        <v>0</v>
      </c>
      <c r="BV47" s="4497">
        <f t="shared" si="246"/>
        <v>0</v>
      </c>
      <c r="BW47" s="4497">
        <f t="shared" si="247"/>
        <v>0</v>
      </c>
      <c r="BX47" s="4497">
        <f t="shared" si="248"/>
        <v>2.3741709977603178</v>
      </c>
      <c r="BY47" s="4497">
        <f t="shared" si="249"/>
        <v>4.4039203341744315</v>
      </c>
      <c r="BZ47" s="4497">
        <f t="shared" si="250"/>
        <v>4.8192470368048932</v>
      </c>
      <c r="CA47" s="4497">
        <f t="shared" si="251"/>
        <v>5.6000026325904901</v>
      </c>
      <c r="CB47" s="4497">
        <f t="shared" si="252"/>
        <v>6.1272098870344998</v>
      </c>
      <c r="CC47" s="4497">
        <f t="shared" si="253"/>
        <v>6.4060245251863055</v>
      </c>
      <c r="CD47" s="4497">
        <f t="shared" si="254"/>
        <v>0</v>
      </c>
      <c r="CE47" s="4497">
        <f t="shared" si="255"/>
        <v>0</v>
      </c>
      <c r="CF47" s="4497">
        <f t="shared" si="256"/>
        <v>0</v>
      </c>
      <c r="CG47" s="4497">
        <f t="shared" si="257"/>
        <v>0</v>
      </c>
      <c r="CH47" s="4497">
        <f t="shared" si="258"/>
        <v>0</v>
      </c>
      <c r="CI47" s="4497">
        <f t="shared" si="259"/>
        <v>0</v>
      </c>
      <c r="CJ47" s="4497">
        <f t="shared" si="260"/>
        <v>29.40515279957873</v>
      </c>
      <c r="CK47" s="4497">
        <f t="shared" si="261"/>
        <v>35.603160806409555</v>
      </c>
      <c r="CL47" s="4497">
        <f t="shared" si="262"/>
        <v>38.597009196030484</v>
      </c>
      <c r="CM47" s="4497">
        <f t="shared" si="263"/>
        <v>37.725782379499748</v>
      </c>
      <c r="CN47" s="4497">
        <f t="shared" si="264"/>
        <v>39.532616679688019</v>
      </c>
      <c r="CO47" s="4497">
        <f t="shared" si="265"/>
        <v>44.092497550983822</v>
      </c>
      <c r="CP47" s="4497">
        <f t="shared" si="266"/>
        <v>46.849517099449265</v>
      </c>
      <c r="CQ47" s="4497">
        <f t="shared" si="267"/>
        <v>46.785561908416966</v>
      </c>
      <c r="CR47" s="4501"/>
      <c r="CS47" s="4501"/>
      <c r="CT47" s="4501"/>
      <c r="CU47" s="4501"/>
      <c r="CV47" s="4501"/>
      <c r="CW47" s="4501"/>
      <c r="CX47" s="4501"/>
      <c r="CY47" s="4501"/>
      <c r="CZ47" s="4501"/>
      <c r="DA47" s="4501"/>
      <c r="DB47" s="4501"/>
      <c r="DC47" s="4501"/>
      <c r="DD47" s="4501"/>
      <c r="DE47" s="4501"/>
      <c r="DF47" s="4501"/>
      <c r="DG47" s="4501"/>
      <c r="DH47" s="4501"/>
      <c r="DI47" s="4501"/>
      <c r="DJ47" s="4501"/>
      <c r="DK47" s="4501"/>
      <c r="DL47" s="4501"/>
      <c r="DM47" s="4501"/>
      <c r="DN47" s="4501"/>
      <c r="DO47" s="4501"/>
      <c r="DP47" s="4501"/>
      <c r="DQ47" s="4501"/>
      <c r="DR47" s="4501"/>
    </row>
    <row r="48" spans="1:122" s="646" customFormat="1" ht="24.6" thickBot="1">
      <c r="A48" s="327" t="s">
        <v>567</v>
      </c>
      <c r="B48" s="650" t="s">
        <v>1258</v>
      </c>
      <c r="C48" s="302">
        <v>12.426197671597512</v>
      </c>
      <c r="D48" s="303">
        <v>20.575935044797859</v>
      </c>
      <c r="E48" s="303">
        <v>21.360375830455663</v>
      </c>
      <c r="F48" s="303">
        <v>23.758834549147423</v>
      </c>
      <c r="G48" s="303">
        <v>25.051026801245325</v>
      </c>
      <c r="H48" s="304">
        <v>25.021116640191657</v>
      </c>
      <c r="I48" s="302">
        <v>5.0970522781424547E-2</v>
      </c>
      <c r="J48" s="303">
        <v>9.2187945661094312E-2</v>
      </c>
      <c r="K48" s="303">
        <v>9.7281196889232729E-2</v>
      </c>
      <c r="L48" s="303">
        <v>0.10861379608816325</v>
      </c>
      <c r="M48" s="303">
        <v>0.11492656985540495</v>
      </c>
      <c r="N48" s="304">
        <v>0.1150809384531753</v>
      </c>
      <c r="O48" s="302">
        <v>0.10937151985241973</v>
      </c>
      <c r="P48" s="303">
        <v>0.43548374329913586</v>
      </c>
      <c r="Q48" s="303">
        <v>0.44888216775499118</v>
      </c>
      <c r="R48" s="303">
        <v>0.50086994122483552</v>
      </c>
      <c r="S48" s="303">
        <v>0.52225192085816052</v>
      </c>
      <c r="T48" s="304">
        <v>0.49055017204469775</v>
      </c>
      <c r="U48" s="302">
        <v>0</v>
      </c>
      <c r="V48" s="303">
        <v>0</v>
      </c>
      <c r="W48" s="303">
        <v>0</v>
      </c>
      <c r="X48" s="303">
        <v>0</v>
      </c>
      <c r="Y48" s="303">
        <v>0</v>
      </c>
      <c r="Z48" s="304">
        <v>0</v>
      </c>
      <c r="AA48" s="302">
        <v>0.59466028576864194</v>
      </c>
      <c r="AB48" s="303">
        <v>0.5872858040492096</v>
      </c>
      <c r="AC48" s="303">
        <v>0.8300464705648678</v>
      </c>
      <c r="AD48" s="303">
        <v>0.92770198530151426</v>
      </c>
      <c r="AE48" s="303">
        <v>0.98275069697838957</v>
      </c>
      <c r="AF48" s="304">
        <v>0.98531140779315496</v>
      </c>
      <c r="AG48" s="302">
        <v>0</v>
      </c>
      <c r="AH48" s="303">
        <v>0</v>
      </c>
      <c r="AI48" s="303">
        <v>0</v>
      </c>
      <c r="AJ48" s="303">
        <v>0</v>
      </c>
      <c r="AK48" s="303">
        <v>0</v>
      </c>
      <c r="AL48" s="304">
        <v>0</v>
      </c>
      <c r="AM48" s="1536">
        <f t="shared" si="124"/>
        <v>13.181199999999999</v>
      </c>
      <c r="AN48" s="620">
        <v>17.46978</v>
      </c>
      <c r="AO48" s="620">
        <v>19.465010211643406</v>
      </c>
      <c r="AP48" s="1537">
        <f t="shared" si="125"/>
        <v>21.690892537807301</v>
      </c>
      <c r="AQ48" s="1537">
        <f t="shared" si="126"/>
        <v>22.736585665664755</v>
      </c>
      <c r="AR48" s="1537">
        <f t="shared" si="127"/>
        <v>25.296020271761936</v>
      </c>
      <c r="AS48" s="1537">
        <f t="shared" si="128"/>
        <v>26.67095598893728</v>
      </c>
      <c r="AT48" s="1538">
        <f t="shared" si="129"/>
        <v>26.612059158482687</v>
      </c>
      <c r="AU48" s="1561">
        <f t="shared" si="221"/>
        <v>0.64559315827142472</v>
      </c>
      <c r="AV48" s="1561">
        <f t="shared" si="222"/>
        <v>0.62533228748376146</v>
      </c>
      <c r="AW48" s="1562">
        <f t="shared" si="223"/>
        <v>2.2909128528767515</v>
      </c>
      <c r="AX48" s="4488"/>
      <c r="AY48" s="4491" t="s">
        <v>1875</v>
      </c>
      <c r="AZ48" s="4497">
        <f t="shared" si="224"/>
        <v>6.3534139836271617</v>
      </c>
      <c r="BA48" s="4497">
        <f t="shared" si="225"/>
        <v>10.520308536425896</v>
      </c>
      <c r="BB48" s="4497">
        <f t="shared" si="226"/>
        <v>10.921386741411913</v>
      </c>
      <c r="BC48" s="4497">
        <f t="shared" si="227"/>
        <v>12.147699211663296</v>
      </c>
      <c r="BD48" s="4497">
        <f t="shared" si="228"/>
        <v>12.80838661910561</v>
      </c>
      <c r="BE48" s="4497">
        <f t="shared" si="229"/>
        <v>12.793093796593599</v>
      </c>
      <c r="BF48" s="4497">
        <f t="shared" si="230"/>
        <v>2.6060814478469269E-2</v>
      </c>
      <c r="BG48" s="4497">
        <f t="shared" si="231"/>
        <v>4.7134948160675677E-2</v>
      </c>
      <c r="BH48" s="4497">
        <f t="shared" si="232"/>
        <v>4.9739086162515524E-2</v>
      </c>
      <c r="BI48" s="4497">
        <f t="shared" si="233"/>
        <v>5.5533352125779464E-2</v>
      </c>
      <c r="BJ48" s="4497">
        <f t="shared" si="234"/>
        <v>5.8761022100798616E-2</v>
      </c>
      <c r="BK48" s="4497">
        <f t="shared" si="235"/>
        <v>5.8839949511550235E-2</v>
      </c>
      <c r="BL48" s="4497">
        <f t="shared" si="236"/>
        <v>5.5920770134633244E-2</v>
      </c>
      <c r="BM48" s="4497">
        <f t="shared" si="237"/>
        <v>0.2226593023417863</v>
      </c>
      <c r="BN48" s="4497">
        <f t="shared" si="238"/>
        <v>0.22950980798688597</v>
      </c>
      <c r="BO48" s="4497">
        <f t="shared" si="239"/>
        <v>0.25609073448348557</v>
      </c>
      <c r="BP48" s="4497">
        <f t="shared" si="240"/>
        <v>0.2670231670739075</v>
      </c>
      <c r="BQ48" s="4497">
        <f t="shared" si="241"/>
        <v>0.25081432028586215</v>
      </c>
      <c r="BR48" s="4497">
        <f t="shared" si="242"/>
        <v>0</v>
      </c>
      <c r="BS48" s="4497">
        <f t="shared" si="243"/>
        <v>0</v>
      </c>
      <c r="BT48" s="4497">
        <f t="shared" si="244"/>
        <v>0</v>
      </c>
      <c r="BU48" s="4497">
        <f t="shared" si="245"/>
        <v>0</v>
      </c>
      <c r="BV48" s="4497">
        <f t="shared" si="246"/>
        <v>0</v>
      </c>
      <c r="BW48" s="4497">
        <f t="shared" si="247"/>
        <v>0</v>
      </c>
      <c r="BX48" s="4497">
        <f t="shared" si="248"/>
        <v>0.30404497618332982</v>
      </c>
      <c r="BY48" s="4497">
        <f t="shared" si="249"/>
        <v>0.30027446355215415</v>
      </c>
      <c r="BZ48" s="4497">
        <f t="shared" si="250"/>
        <v>0.42439602141539284</v>
      </c>
      <c r="CA48" s="4497">
        <f t="shared" si="251"/>
        <v>0.47432649325427789</v>
      </c>
      <c r="CB48" s="4497">
        <f t="shared" si="252"/>
        <v>0.50247245260497564</v>
      </c>
      <c r="CC48" s="4497">
        <f t="shared" si="253"/>
        <v>0.50378172325465653</v>
      </c>
      <c r="CD48" s="4497">
        <f t="shared" si="254"/>
        <v>0</v>
      </c>
      <c r="CE48" s="4497">
        <f t="shared" si="255"/>
        <v>0</v>
      </c>
      <c r="CF48" s="4497">
        <f t="shared" si="256"/>
        <v>0</v>
      </c>
      <c r="CG48" s="4497">
        <f t="shared" si="257"/>
        <v>0</v>
      </c>
      <c r="CH48" s="4497">
        <f t="shared" si="258"/>
        <v>0</v>
      </c>
      <c r="CI48" s="4497">
        <f t="shared" si="259"/>
        <v>0</v>
      </c>
      <c r="CJ48" s="4497">
        <f t="shared" si="260"/>
        <v>6.7394405444235943</v>
      </c>
      <c r="CK48" s="4497">
        <f t="shared" si="261"/>
        <v>8.9321566802840735</v>
      </c>
      <c r="CL48" s="4497">
        <f t="shared" si="262"/>
        <v>9.9523016886147602</v>
      </c>
      <c r="CM48" s="4497">
        <f t="shared" si="263"/>
        <v>11.090377250480513</v>
      </c>
      <c r="CN48" s="4497">
        <f t="shared" si="264"/>
        <v>11.625031656976708</v>
      </c>
      <c r="CO48" s="4497">
        <f t="shared" si="265"/>
        <v>12.933649791526838</v>
      </c>
      <c r="CP48" s="4497">
        <f t="shared" si="266"/>
        <v>13.636643260885291</v>
      </c>
      <c r="CQ48" s="4497">
        <f t="shared" si="267"/>
        <v>13.606529789645668</v>
      </c>
      <c r="CR48" s="4501"/>
      <c r="CS48" s="4501"/>
      <c r="CT48" s="4501"/>
      <c r="CU48" s="4501"/>
      <c r="CV48" s="4501"/>
      <c r="CW48" s="4501"/>
      <c r="CX48" s="4501"/>
      <c r="CY48" s="4501"/>
      <c r="CZ48" s="4501"/>
      <c r="DA48" s="4501"/>
      <c r="DB48" s="4501"/>
      <c r="DC48" s="4501"/>
      <c r="DD48" s="4501"/>
      <c r="DE48" s="4501"/>
      <c r="DF48" s="4501"/>
      <c r="DG48" s="4501"/>
      <c r="DH48" s="4501"/>
      <c r="DI48" s="4501"/>
      <c r="DJ48" s="4501"/>
      <c r="DK48" s="4501"/>
      <c r="DL48" s="4501"/>
      <c r="DM48" s="4501"/>
      <c r="DN48" s="4501"/>
      <c r="DO48" s="4501"/>
      <c r="DP48" s="4501"/>
      <c r="DQ48" s="4501"/>
      <c r="DR48" s="4501"/>
    </row>
    <row r="49" spans="1:121" s="166" customFormat="1" ht="13.8" thickBot="1">
      <c r="A49" s="325"/>
      <c r="B49" s="326"/>
      <c r="C49" s="1549"/>
      <c r="D49" s="1550"/>
      <c r="E49" s="1550"/>
      <c r="F49" s="1550"/>
      <c r="G49" s="1550"/>
      <c r="H49" s="1551"/>
      <c r="I49" s="1976"/>
      <c r="J49" s="1977"/>
      <c r="K49" s="1977"/>
      <c r="L49" s="1977"/>
      <c r="M49" s="1977"/>
      <c r="N49" s="1978"/>
      <c r="O49" s="1976"/>
      <c r="P49" s="1977"/>
      <c r="Q49" s="1977"/>
      <c r="R49" s="1977"/>
      <c r="S49" s="1977"/>
      <c r="T49" s="1978"/>
      <c r="U49" s="1976"/>
      <c r="V49" s="1977"/>
      <c r="W49" s="1977"/>
      <c r="X49" s="1977"/>
      <c r="Y49" s="1977"/>
      <c r="Z49" s="1978"/>
      <c r="AA49" s="1976"/>
      <c r="AB49" s="1977"/>
      <c r="AC49" s="1977"/>
      <c r="AD49" s="1977"/>
      <c r="AE49" s="1977"/>
      <c r="AF49" s="1978"/>
      <c r="AG49" s="1976"/>
      <c r="AH49" s="1977"/>
      <c r="AI49" s="1977"/>
      <c r="AJ49" s="1977"/>
      <c r="AK49" s="1977"/>
      <c r="AL49" s="1978"/>
      <c r="AM49" s="1549"/>
      <c r="AN49" s="1977"/>
      <c r="AO49" s="1977"/>
      <c r="AP49" s="1550"/>
      <c r="AQ49" s="1550"/>
      <c r="AR49" s="1550"/>
      <c r="AS49" s="1550"/>
      <c r="AT49" s="1551"/>
      <c r="AU49" s="1552"/>
      <c r="AV49" s="1552"/>
      <c r="AW49" s="1553"/>
      <c r="AX49" s="4488"/>
      <c r="AY49" s="1"/>
    </row>
    <row r="50" spans="1:121" s="167" customFormat="1" ht="34.799999999999997" thickBot="1">
      <c r="A50" s="958" t="s">
        <v>105</v>
      </c>
      <c r="B50" s="959" t="s">
        <v>1467</v>
      </c>
      <c r="C50" s="1565">
        <f>IFERROR(C29/C14,0)</f>
        <v>18.11346738978747</v>
      </c>
      <c r="D50" s="1566">
        <f t="shared" ref="D50:AL50" si="268">IFERROR(D29/D14,0)</f>
        <v>26.119435556171467</v>
      </c>
      <c r="E50" s="1566">
        <f t="shared" si="268"/>
        <v>29.822933490743271</v>
      </c>
      <c r="F50" s="1566">
        <f t="shared" si="268"/>
        <v>34.103616085231216</v>
      </c>
      <c r="G50" s="1566">
        <f t="shared" si="268"/>
        <v>39.02643930289581</v>
      </c>
      <c r="H50" s="1567">
        <f t="shared" si="268"/>
        <v>44.666972057489104</v>
      </c>
      <c r="I50" s="1565">
        <f t="shared" si="268"/>
        <v>17.291744388525952</v>
      </c>
      <c r="J50" s="1566">
        <f t="shared" si="268"/>
        <v>32.384443502536861</v>
      </c>
      <c r="K50" s="1566">
        <f t="shared" si="268"/>
        <v>36.594913992274769</v>
      </c>
      <c r="L50" s="1566">
        <f t="shared" si="268"/>
        <v>41.398473569201585</v>
      </c>
      <c r="M50" s="1566">
        <f t="shared" si="268"/>
        <v>46.878135355993805</v>
      </c>
      <c r="N50" s="1567">
        <f t="shared" si="268"/>
        <v>53.128459784562814</v>
      </c>
      <c r="O50" s="1565">
        <f t="shared" si="268"/>
        <v>18.151311868201699</v>
      </c>
      <c r="P50" s="1566">
        <f t="shared" si="268"/>
        <v>24.512578160926221</v>
      </c>
      <c r="Q50" s="1566">
        <f t="shared" si="268"/>
        <v>28.47327340003099</v>
      </c>
      <c r="R50" s="1566">
        <f t="shared" si="268"/>
        <v>33.099092101810555</v>
      </c>
      <c r="S50" s="1566">
        <f t="shared" si="268"/>
        <v>38.504338314136803</v>
      </c>
      <c r="T50" s="1567">
        <f t="shared" si="268"/>
        <v>44.823539914877465</v>
      </c>
      <c r="U50" s="1565">
        <f t="shared" si="268"/>
        <v>0</v>
      </c>
      <c r="V50" s="1566">
        <f t="shared" si="268"/>
        <v>0</v>
      </c>
      <c r="W50" s="1566">
        <f t="shared" si="268"/>
        <v>0</v>
      </c>
      <c r="X50" s="1566">
        <f t="shared" si="268"/>
        <v>0</v>
      </c>
      <c r="Y50" s="1566">
        <f t="shared" si="268"/>
        <v>0</v>
      </c>
      <c r="Z50" s="1567">
        <f t="shared" si="268"/>
        <v>0</v>
      </c>
      <c r="AA50" s="1565">
        <f t="shared" si="268"/>
        <v>21.729547834475255</v>
      </c>
      <c r="AB50" s="1566">
        <f t="shared" si="268"/>
        <v>29.549406427696294</v>
      </c>
      <c r="AC50" s="1566">
        <f t="shared" si="268"/>
        <v>33.969830279582943</v>
      </c>
      <c r="AD50" s="1566">
        <f t="shared" si="268"/>
        <v>39.116983909875024</v>
      </c>
      <c r="AE50" s="1566">
        <f t="shared" si="268"/>
        <v>45.113119685251093</v>
      </c>
      <c r="AF50" s="1567">
        <f t="shared" si="268"/>
        <v>52.101499332182499</v>
      </c>
      <c r="AG50" s="1565">
        <f t="shared" si="268"/>
        <v>15.246734906104789</v>
      </c>
      <c r="AH50" s="1566">
        <f t="shared" si="268"/>
        <v>22.246003323988543</v>
      </c>
      <c r="AI50" s="1566">
        <f t="shared" si="268"/>
        <v>25.44021366978961</v>
      </c>
      <c r="AJ50" s="1566">
        <f t="shared" si="268"/>
        <v>29.092374449726972</v>
      </c>
      <c r="AK50" s="1566">
        <f t="shared" si="268"/>
        <v>33.267782615842457</v>
      </c>
      <c r="AL50" s="1567">
        <f t="shared" si="268"/>
        <v>38.041013494278218</v>
      </c>
      <c r="AM50" s="1565">
        <f t="shared" ref="AM50:AT50" si="269">IFERROR(AM29/AM14,0)</f>
        <v>18.479326531255531</v>
      </c>
      <c r="AN50" s="1566">
        <f>IFERROR(AN29/AN14,0)</f>
        <v>20.647477843503786</v>
      </c>
      <c r="AO50" s="1566">
        <f t="shared" si="269"/>
        <v>23.089353500777239</v>
      </c>
      <c r="AP50" s="1566">
        <f>IFERROR(AP29/AP14,0)</f>
        <v>26.385979894698277</v>
      </c>
      <c r="AQ50" s="1566">
        <f t="shared" si="269"/>
        <v>30.22638975887077</v>
      </c>
      <c r="AR50" s="1566">
        <f t="shared" si="269"/>
        <v>34.672997885474494</v>
      </c>
      <c r="AS50" s="1566">
        <f t="shared" si="269"/>
        <v>39.805404348388983</v>
      </c>
      <c r="AT50" s="1567">
        <f t="shared" si="269"/>
        <v>45.715318442392935</v>
      </c>
      <c r="AU50" s="1568"/>
      <c r="AV50" s="1568"/>
      <c r="AW50" s="1569"/>
      <c r="AX50" s="4488"/>
      <c r="AY50" s="4492" t="s">
        <v>1876</v>
      </c>
      <c r="AZ50" s="4496">
        <f>IFERROR(C50/$C$1,0)</f>
        <v>9.2612688167107926</v>
      </c>
      <c r="BA50" s="4496">
        <f t="shared" ref="BA50" si="270">IFERROR(D50/$C$1,0)</f>
        <v>13.354655341298306</v>
      </c>
      <c r="BB50" s="4496">
        <f t="shared" ref="BB50" si="271">IFERROR(E50/$C$1,0)</f>
        <v>15.248223767271835</v>
      </c>
      <c r="BC50" s="4496">
        <f t="shared" ref="BC50" si="272">IFERROR(F50/$C$1,0)</f>
        <v>17.436902023811484</v>
      </c>
      <c r="BD50" s="4496">
        <f t="shared" ref="BD50" si="273">IFERROR(G50/$C$1,0)</f>
        <v>19.953901567567637</v>
      </c>
      <c r="BE50" s="4496">
        <f t="shared" ref="BE50" si="274">IFERROR(H50/$C$1,0)</f>
        <v>22.837860170612529</v>
      </c>
      <c r="BF50" s="4496">
        <f t="shared" ref="BF50" si="275">IFERROR(I50/$C$1,0)</f>
        <v>8.8411285175735888</v>
      </c>
      <c r="BG50" s="4496">
        <f t="shared" ref="BG50" si="276">IFERROR(J50/$C$1,0)</f>
        <v>16.557903039904726</v>
      </c>
      <c r="BH50" s="4496">
        <f t="shared" ref="BH50" si="277">IFERROR(K50/$C$1,0)</f>
        <v>18.710682417323984</v>
      </c>
      <c r="BI50" s="4496">
        <f t="shared" ref="BI50" si="278">IFERROR(L50/$C$1,0)</f>
        <v>21.166703429849008</v>
      </c>
      <c r="BJ50" s="4496">
        <f t="shared" ref="BJ50" si="279">IFERROR(M50/$C$1,0)</f>
        <v>23.968410013137035</v>
      </c>
      <c r="BK50" s="4496">
        <f t="shared" ref="BK50" si="280">IFERROR(N50/$C$1,0)</f>
        <v>27.164150148306764</v>
      </c>
      <c r="BL50" s="4496">
        <f t="shared" ref="BL50" si="281">IFERROR(O50/$C$1,0)</f>
        <v>9.2806183912720943</v>
      </c>
      <c r="BM50" s="4496">
        <f t="shared" ref="BM50" si="282">IFERROR(P50/$C$1,0)</f>
        <v>12.533082200869309</v>
      </c>
      <c r="BN50" s="4496">
        <f t="shared" ref="BN50" si="283">IFERROR(Q50/$C$1,0)</f>
        <v>14.558153520516093</v>
      </c>
      <c r="BO50" s="4496">
        <f t="shared" ref="BO50" si="284">IFERROR(R50/$C$1,0)</f>
        <v>16.923297066621615</v>
      </c>
      <c r="BP50" s="4496">
        <f t="shared" ref="BP50" si="285">IFERROR(S50/$C$1,0)</f>
        <v>19.686955570850639</v>
      </c>
      <c r="BQ50" s="4496">
        <f t="shared" ref="BQ50" si="286">IFERROR(T50/$C$1,0)</f>
        <v>22.917912044951485</v>
      </c>
      <c r="BR50" s="4496">
        <f t="shared" ref="BR50" si="287">IFERROR(U50/$C$1,0)</f>
        <v>0</v>
      </c>
      <c r="BS50" s="4496">
        <f t="shared" ref="BS50" si="288">IFERROR(V50/$C$1,0)</f>
        <v>0</v>
      </c>
      <c r="BT50" s="4496">
        <f t="shared" ref="BT50" si="289">IFERROR(W50/$C$1,0)</f>
        <v>0</v>
      </c>
      <c r="BU50" s="4496">
        <f t="shared" ref="BU50" si="290">IFERROR(X50/$C$1,0)</f>
        <v>0</v>
      </c>
      <c r="BV50" s="4496">
        <f t="shared" ref="BV50" si="291">IFERROR(Y50/$C$1,0)</f>
        <v>0</v>
      </c>
      <c r="BW50" s="4496">
        <f t="shared" ref="BW50" si="292">IFERROR(Z50/$C$1,0)</f>
        <v>0</v>
      </c>
      <c r="BX50" s="4496">
        <f t="shared" ref="BX50" si="293">IFERROR(AA50/$C$1,0)</f>
        <v>11.110141389832069</v>
      </c>
      <c r="BY50" s="4496">
        <f t="shared" ref="BY50" si="294">IFERROR(AB50/$C$1,0)</f>
        <v>15.108371600648468</v>
      </c>
      <c r="BZ50" s="4496">
        <f t="shared" ref="BZ50" si="295">IFERROR(AC50/$C$1,0)</f>
        <v>17.368498427564226</v>
      </c>
      <c r="CA50" s="4496">
        <f t="shared" ref="CA50" si="296">IFERROR(AD50/$C$1,0)</f>
        <v>20.000196290002211</v>
      </c>
      <c r="CB50" s="4496">
        <f t="shared" ref="CB50" si="297">IFERROR(AE50/$C$1,0)</f>
        <v>23.065971830502189</v>
      </c>
      <c r="CC50" s="4496">
        <f t="shared" ref="CC50" si="298">IFERROR(AF50/$C$1,0)</f>
        <v>26.63907360669511</v>
      </c>
      <c r="CD50" s="4496">
        <f t="shared" ref="CD50" si="299">IFERROR(AG50/$C$1,0)</f>
        <v>7.7955317722423674</v>
      </c>
      <c r="CE50" s="4496">
        <f t="shared" ref="CE50" si="300">IFERROR(AH50/$C$1,0)</f>
        <v>11.374200888619432</v>
      </c>
      <c r="CF50" s="4496">
        <f t="shared" ref="CF50" si="301">IFERROR(AI50/$C$1,0)</f>
        <v>13.007374705260483</v>
      </c>
      <c r="CG50" s="4496">
        <f t="shared" ref="CG50" si="302">IFERROR(AJ50/$C$1,0)</f>
        <v>14.874694860865706</v>
      </c>
      <c r="CH50" s="4496">
        <f t="shared" ref="CH50" si="303">IFERROR(AK50/$C$1,0)</f>
        <v>17.009547156880945</v>
      </c>
      <c r="CI50" s="4496">
        <f t="shared" ref="CI50" si="304">IFERROR(AL50/$C$1,0)</f>
        <v>19.450061352100242</v>
      </c>
      <c r="CJ50" s="4496">
        <f t="shared" ref="CJ50" si="305">IFERROR(AM50/$C$1,0)</f>
        <v>9.4483296254048312</v>
      </c>
      <c r="CK50" s="4496">
        <f t="shared" ref="CK50" si="306">IFERROR(AN50/$C$1,0)</f>
        <v>10.556887788562291</v>
      </c>
      <c r="CL50" s="4496">
        <f t="shared" ref="CL50" si="307">IFERROR(AO50/$C$1,0)</f>
        <v>11.805398987016888</v>
      </c>
      <c r="CM50" s="4496">
        <f t="shared" ref="CM50" si="308">IFERROR(AP50/$C$1,0)</f>
        <v>13.490937297565882</v>
      </c>
      <c r="CN50" s="4496">
        <f t="shared" ref="CN50" si="309">IFERROR(AQ50/$C$1,0)</f>
        <v>15.454507681583149</v>
      </c>
      <c r="CO50" s="4496">
        <f t="shared" ref="CO50" si="310">IFERROR(AR50/$C$1,0)</f>
        <v>17.728022315576759</v>
      </c>
      <c r="CP50" s="4496">
        <f t="shared" ref="CP50" si="311">IFERROR(AS50/$C$1,0)</f>
        <v>20.352180071063938</v>
      </c>
      <c r="CQ50" s="4496">
        <f t="shared" ref="CQ50" si="312">IFERROR(AT50/$C$1,0)</f>
        <v>23.373871165895263</v>
      </c>
      <c r="CR50" s="166"/>
      <c r="CS50" s="166"/>
      <c r="CT50" s="166"/>
      <c r="CU50" s="166"/>
      <c r="CV50" s="166"/>
      <c r="CW50" s="166"/>
      <c r="CX50" s="166"/>
      <c r="CY50" s="166"/>
      <c r="CZ50" s="166"/>
      <c r="DA50" s="166"/>
      <c r="DB50" s="166"/>
      <c r="DC50" s="166"/>
      <c r="DD50" s="166"/>
      <c r="DE50" s="166"/>
      <c r="DF50" s="166"/>
      <c r="DG50" s="166"/>
      <c r="DH50" s="166"/>
      <c r="DI50" s="166"/>
      <c r="DJ50" s="166"/>
      <c r="DK50" s="166"/>
      <c r="DL50" s="166"/>
      <c r="DM50" s="166"/>
      <c r="DN50" s="166"/>
      <c r="DO50" s="166"/>
      <c r="DP50" s="166"/>
      <c r="DQ50" s="166"/>
    </row>
    <row r="51" spans="1:121" s="719" customFormat="1" ht="24">
      <c r="A51" s="717"/>
      <c r="B51" s="812" t="s">
        <v>1316</v>
      </c>
      <c r="C51" s="1570"/>
      <c r="D51" s="1571">
        <f>IFERROR((D50-C50)/C50,0)</f>
        <v>0.44198981863063014</v>
      </c>
      <c r="E51" s="1571">
        <f t="shared" ref="E51:G51" si="313">IFERROR((E50-D50)/D50,0)</f>
        <v>0.14179088696642014</v>
      </c>
      <c r="F51" s="1571">
        <f t="shared" si="313"/>
        <v>0.14353660399694165</v>
      </c>
      <c r="G51" s="1571">
        <f t="shared" si="313"/>
        <v>0.1443490099513656</v>
      </c>
      <c r="H51" s="1571">
        <f>IFERROR((H50-G50)/G50,0)</f>
        <v>0.14453106292417409</v>
      </c>
      <c r="I51" s="1570"/>
      <c r="J51" s="1571">
        <f>IFERROR((J50-I50)/I50,0)</f>
        <v>0.87282686898990747</v>
      </c>
      <c r="K51" s="1571">
        <f t="shared" ref="K51:N51" si="314">IFERROR((K50-J50)/J50,0)</f>
        <v>0.13001521824539233</v>
      </c>
      <c r="L51" s="1571">
        <f t="shared" si="314"/>
        <v>0.13126303775275583</v>
      </c>
      <c r="M51" s="1571">
        <f t="shared" si="314"/>
        <v>0.13236386065376135</v>
      </c>
      <c r="N51" s="1571">
        <f t="shared" si="314"/>
        <v>0.1333313362637801</v>
      </c>
      <c r="O51" s="1570"/>
      <c r="P51" s="1571">
        <f>IFERROR((P50-O50)/O50,0)</f>
        <v>0.35045766052141281</v>
      </c>
      <c r="Q51" s="1571">
        <f t="shared" ref="Q51:T51" si="315">IFERROR((Q50-P50)/P50,0)</f>
        <v>0.16157807690005596</v>
      </c>
      <c r="R51" s="1571">
        <f t="shared" si="315"/>
        <v>0.16246178080018472</v>
      </c>
      <c r="S51" s="1571">
        <f t="shared" si="315"/>
        <v>0.16330496908193365</v>
      </c>
      <c r="T51" s="1571">
        <f t="shared" si="315"/>
        <v>0.16411661328096575</v>
      </c>
      <c r="U51" s="1570"/>
      <c r="V51" s="1571">
        <f>IFERROR((V50-U50)/U50,0)</f>
        <v>0</v>
      </c>
      <c r="W51" s="1571">
        <f t="shared" ref="W51:Z51" si="316">IFERROR((W50-V50)/V50,0)</f>
        <v>0</v>
      </c>
      <c r="X51" s="1571">
        <f t="shared" si="316"/>
        <v>0</v>
      </c>
      <c r="Y51" s="1571">
        <f t="shared" si="316"/>
        <v>0</v>
      </c>
      <c r="Z51" s="1571">
        <f t="shared" si="316"/>
        <v>0</v>
      </c>
      <c r="AA51" s="1570"/>
      <c r="AB51" s="1571">
        <f>IFERROR((AB50-AA50)/AA50,0)</f>
        <v>0.35987212678279273</v>
      </c>
      <c r="AC51" s="1571">
        <f t="shared" ref="AC51:AF51" si="317">IFERROR((AC50-AB50)/AB50,0)</f>
        <v>0.14959433661393079</v>
      </c>
      <c r="AD51" s="1571">
        <f t="shared" si="317"/>
        <v>0.15152132312494068</v>
      </c>
      <c r="AE51" s="1571">
        <f t="shared" si="317"/>
        <v>0.15328727258704505</v>
      </c>
      <c r="AF51" s="1571">
        <f t="shared" si="317"/>
        <v>0.15490792247772944</v>
      </c>
      <c r="AG51" s="1570"/>
      <c r="AH51" s="1571">
        <f>IFERROR((AH50-AG50)/AG50,0)</f>
        <v>0.45906670910118913</v>
      </c>
      <c r="AI51" s="1571">
        <f t="shared" ref="AI51:AL51" si="318">IFERROR((AI50-AH50)/AH50,0)</f>
        <v>0.14358580726977838</v>
      </c>
      <c r="AJ51" s="1571">
        <f t="shared" si="318"/>
        <v>0.14355857334147792</v>
      </c>
      <c r="AK51" s="1571">
        <f t="shared" si="318"/>
        <v>0.14352242624027792</v>
      </c>
      <c r="AL51" s="1571">
        <f t="shared" si="318"/>
        <v>0.14347908105431409</v>
      </c>
      <c r="AM51" s="1570"/>
      <c r="AN51" s="1571">
        <f>IFERROR((AN50-AM50)/AM50,0)</f>
        <v>0.11732848102343403</v>
      </c>
      <c r="AO51" s="1571">
        <f>IFERROR((AO50-AN50)/AN50,0)</f>
        <v>0.11826508185558984</v>
      </c>
      <c r="AP51" s="1571">
        <f t="shared" ref="AP51:AT51" si="319">IFERROR((AP50-AO50)/AO50,0)</f>
        <v>0.14277690338146826</v>
      </c>
      <c r="AQ51" s="1571">
        <f t="shared" si="319"/>
        <v>0.14554736566536022</v>
      </c>
      <c r="AR51" s="1571">
        <f t="shared" si="319"/>
        <v>0.14711012999158274</v>
      </c>
      <c r="AS51" s="1571">
        <f t="shared" si="319"/>
        <v>0.1480231527676642</v>
      </c>
      <c r="AT51" s="1571">
        <f t="shared" si="319"/>
        <v>0.14847014345787293</v>
      </c>
      <c r="AU51" s="1564">
        <f>IFERROR((AP50-AM50)/AM50,0)</f>
        <v>0.42786480070416016</v>
      </c>
      <c r="AV51" s="1568"/>
      <c r="AW51" s="1569"/>
      <c r="AX51" s="4488"/>
      <c r="AY51" s="1"/>
      <c r="AZ51" s="166"/>
      <c r="BA51" s="166"/>
      <c r="BB51" s="166"/>
      <c r="BC51" s="166"/>
      <c r="BD51" s="166"/>
      <c r="BE51" s="166"/>
      <c r="BF51" s="166"/>
      <c r="BG51" s="166"/>
      <c r="BH51" s="166"/>
      <c r="BI51" s="166"/>
      <c r="BJ51" s="166"/>
      <c r="BK51" s="166"/>
      <c r="BL51" s="166"/>
      <c r="BM51" s="166"/>
      <c r="BN51" s="166"/>
      <c r="BO51" s="166"/>
      <c r="BP51" s="166"/>
      <c r="BQ51" s="166"/>
      <c r="BR51" s="166"/>
      <c r="BS51" s="166"/>
      <c r="BT51" s="166"/>
      <c r="BU51" s="166"/>
      <c r="BV51" s="166"/>
      <c r="BW51" s="166"/>
      <c r="BX51" s="166"/>
      <c r="BY51" s="166"/>
      <c r="BZ51" s="166"/>
      <c r="CA51" s="166"/>
      <c r="CB51" s="166"/>
      <c r="CC51" s="166"/>
      <c r="CD51" s="166"/>
      <c r="CE51" s="166"/>
      <c r="CF51" s="166"/>
      <c r="CG51" s="166"/>
      <c r="CH51" s="166"/>
      <c r="CI51" s="166"/>
      <c r="CJ51" s="166"/>
      <c r="CK51" s="166"/>
      <c r="CL51" s="166"/>
      <c r="CM51" s="166"/>
      <c r="CN51" s="166"/>
      <c r="CO51" s="166"/>
      <c r="CP51" s="166"/>
      <c r="CQ51" s="166"/>
      <c r="CR51" s="166"/>
      <c r="CS51" s="166"/>
      <c r="CT51" s="166"/>
      <c r="CU51" s="166"/>
      <c r="CV51" s="166"/>
      <c r="CW51" s="166"/>
      <c r="CX51" s="166"/>
      <c r="CY51" s="166"/>
      <c r="CZ51" s="166"/>
      <c r="DA51" s="166"/>
      <c r="DB51" s="166"/>
      <c r="DC51" s="166"/>
      <c r="DD51" s="166"/>
      <c r="DE51" s="166"/>
      <c r="DF51" s="166"/>
      <c r="DG51" s="166"/>
      <c r="DH51" s="166"/>
      <c r="DI51" s="166"/>
      <c r="DJ51" s="166"/>
      <c r="DK51" s="166"/>
      <c r="DL51" s="166"/>
      <c r="DM51" s="166"/>
      <c r="DN51" s="166"/>
      <c r="DO51" s="166"/>
      <c r="DP51" s="166"/>
      <c r="DQ51" s="166"/>
    </row>
    <row r="52" spans="1:121" s="719" customFormat="1" ht="13.8" thickBot="1">
      <c r="A52" s="813"/>
      <c r="B52" s="4256" t="str">
        <f>+"изменениe спрямо "&amp;C9&amp;", %"</f>
        <v>изменениe спрямо 2024 г., %</v>
      </c>
      <c r="C52" s="1572"/>
      <c r="D52" s="1573">
        <f>IFERROR((D50-$C$50)/$C$50,0)</f>
        <v>0.44198981863063014</v>
      </c>
      <c r="E52" s="1573">
        <f t="shared" ref="E52:G52" si="320">IFERROR((E50-$C$50)/$C$50,0)</f>
        <v>0.64645083401081449</v>
      </c>
      <c r="F52" s="1573">
        <f t="shared" si="320"/>
        <v>0.88277679537265907</v>
      </c>
      <c r="G52" s="1573">
        <f t="shared" si="320"/>
        <v>1.1545537617441073</v>
      </c>
      <c r="H52" s="1573">
        <f>IFERROR((H50-$C$50)/$C$50,0)</f>
        <v>1.4659537070562609</v>
      </c>
      <c r="I52" s="1572"/>
      <c r="J52" s="1573">
        <f>IFERROR((J50-$I$50)/$I$50,0)</f>
        <v>0.87282686898990747</v>
      </c>
      <c r="K52" s="1573">
        <f t="shared" ref="K52:M52" si="321">IFERROR((K50-$I$50)/$I$50,0)</f>
        <v>1.1163228630974651</v>
      </c>
      <c r="L52" s="1573">
        <f t="shared" si="321"/>
        <v>1.394117830973248</v>
      </c>
      <c r="M52" s="1573">
        <f t="shared" si="321"/>
        <v>1.7110125099408764</v>
      </c>
      <c r="N52" s="1573">
        <f>IFERROR((N50-$I$50)/$I$50,0)</f>
        <v>2.072475430519118</v>
      </c>
      <c r="O52" s="1572"/>
      <c r="P52" s="1573">
        <f>IFERROR((P50-$O$50)/$O$50,0)</f>
        <v>0.35045766052141281</v>
      </c>
      <c r="Q52" s="1573">
        <f t="shared" ref="Q52:S52" si="322">IFERROR((Q50-$O$50)/$O$50,0)</f>
        <v>0.56866201224341129</v>
      </c>
      <c r="R52" s="1573">
        <f t="shared" si="322"/>
        <v>0.82350963622607709</v>
      </c>
      <c r="S52" s="1573">
        <f t="shared" si="322"/>
        <v>1.1212978209905846</v>
      </c>
      <c r="T52" s="1573">
        <f>IFERROR((T50-$O$50)/$O$50,0)</f>
        <v>1.4694380351318517</v>
      </c>
      <c r="U52" s="1572"/>
      <c r="V52" s="1573">
        <f>IFERROR((V50-$U$50)/$U$50,0)</f>
        <v>0</v>
      </c>
      <c r="W52" s="1573">
        <f t="shared" ref="W52:Y52" si="323">IFERROR((W50-$U$50)/$U$50,0)</f>
        <v>0</v>
      </c>
      <c r="X52" s="1573">
        <f t="shared" si="323"/>
        <v>0</v>
      </c>
      <c r="Y52" s="1573">
        <f t="shared" si="323"/>
        <v>0</v>
      </c>
      <c r="Z52" s="1573">
        <f>IFERROR((Z50-$U$50)/$U$50,0)</f>
        <v>0</v>
      </c>
      <c r="AA52" s="1572"/>
      <c r="AB52" s="1573">
        <f>IFERROR((AB50-$AA$50)/$AA$50,0)</f>
        <v>0.35987212678279273</v>
      </c>
      <c r="AC52" s="1573">
        <f t="shared" ref="AC52:AF52" si="324">IFERROR((AC50-$AA$50)/$AA$50,0)</f>
        <v>0.56330129546863983</v>
      </c>
      <c r="AD52" s="1573">
        <f t="shared" si="324"/>
        <v>0.80017477620098199</v>
      </c>
      <c r="AE52" s="1573">
        <f t="shared" si="324"/>
        <v>1.0761186578248247</v>
      </c>
      <c r="AF52" s="1573">
        <f t="shared" si="324"/>
        <v>1.3977258859257202</v>
      </c>
      <c r="AG52" s="1572"/>
      <c r="AH52" s="1573">
        <f>IFERROR((AH50-$AG$50)/$AG$50,0)</f>
        <v>0.45906670910118913</v>
      </c>
      <c r="AI52" s="1573">
        <f>IFERROR((AI50-$AG$50)/$AG$50,0)</f>
        <v>0.66856798038794218</v>
      </c>
      <c r="AJ52" s="1573">
        <f t="shared" ref="AJ52:AK52" si="325">IFERROR((AJ50-$AG$50)/$AG$50,0)</f>
        <v>0.9081052191757063</v>
      </c>
      <c r="AK52" s="1573">
        <f t="shared" si="325"/>
        <v>1.1819611097535407</v>
      </c>
      <c r="AL52" s="1573">
        <f>IFERROR((AL50-$AG$50)/$AG$50,0)</f>
        <v>1.4950268846772303</v>
      </c>
      <c r="AM52" s="1572"/>
      <c r="AN52" s="1573">
        <f>IFERROR((AN50-$AM$50)/$AM$50,0)</f>
        <v>0.11732848102343403</v>
      </c>
      <c r="AO52" s="1573">
        <f t="shared" ref="AO52:AP52" si="326">IFERROR((AO50-$AM$50)/$AM$50,0)</f>
        <v>0.24946942529125232</v>
      </c>
      <c r="AP52" s="1573">
        <f t="shared" si="326"/>
        <v>0.42786480070416016</v>
      </c>
      <c r="AQ52" s="1573">
        <f>IFERROR((AQ50-$AM$50)/$AM$50,0)</f>
        <v>0.63568676097294519</v>
      </c>
      <c r="AR52" s="1573">
        <f t="shared" ref="AR52:AS52" si="327">IFERROR((AR50-$AM$50)/$AM$50,0)</f>
        <v>0.87631285300518613</v>
      </c>
      <c r="AS52" s="1573">
        <f t="shared" si="327"/>
        <v>1.1540505970855046</v>
      </c>
      <c r="AT52" s="1573">
        <f>IFERROR((AT50-$AM$50)/$AM$50,0)</f>
        <v>1.4738627982503063</v>
      </c>
      <c r="AU52" s="1574"/>
      <c r="AV52" s="1574"/>
      <c r="AW52" s="1575"/>
      <c r="AX52" s="4488"/>
      <c r="AY52" s="1"/>
      <c r="AZ52" s="166"/>
      <c r="BA52" s="166"/>
      <c r="BB52" s="166"/>
      <c r="BC52" s="166"/>
      <c r="BD52" s="166"/>
      <c r="BE52" s="166"/>
      <c r="BF52" s="166"/>
      <c r="BG52" s="166"/>
      <c r="BH52" s="166"/>
      <c r="BI52" s="166"/>
      <c r="BJ52" s="166"/>
      <c r="BK52" s="166"/>
      <c r="BL52" s="166"/>
      <c r="BM52" s="166"/>
      <c r="BN52" s="166"/>
      <c r="BO52" s="166"/>
      <c r="BP52" s="166"/>
      <c r="BQ52" s="166"/>
      <c r="BR52" s="166"/>
      <c r="BS52" s="166"/>
      <c r="BT52" s="166"/>
      <c r="BU52" s="166"/>
      <c r="BV52" s="166"/>
      <c r="BW52" s="166"/>
      <c r="BX52" s="166"/>
      <c r="BY52" s="166"/>
      <c r="BZ52" s="166"/>
      <c r="CA52" s="166"/>
      <c r="CB52" s="166"/>
      <c r="CC52" s="166"/>
      <c r="CD52" s="166"/>
      <c r="CE52" s="166"/>
      <c r="CF52" s="166"/>
      <c r="CG52" s="166"/>
      <c r="CH52" s="166"/>
      <c r="CI52" s="166"/>
      <c r="CJ52" s="166"/>
      <c r="CK52" s="166"/>
      <c r="CL52" s="166"/>
      <c r="CM52" s="166"/>
      <c r="CN52" s="166"/>
      <c r="CO52" s="166"/>
      <c r="CP52" s="166"/>
      <c r="CQ52" s="166"/>
      <c r="CR52" s="166"/>
      <c r="CS52" s="166"/>
      <c r="CT52" s="166"/>
      <c r="CU52" s="166"/>
      <c r="CV52" s="166"/>
      <c r="CW52" s="166"/>
      <c r="CX52" s="166"/>
      <c r="CY52" s="166"/>
      <c r="CZ52" s="166"/>
      <c r="DA52" s="166"/>
      <c r="DB52" s="166"/>
      <c r="DC52" s="166"/>
      <c r="DD52" s="166"/>
      <c r="DE52" s="166"/>
      <c r="DF52" s="166"/>
      <c r="DG52" s="166"/>
      <c r="DH52" s="166"/>
      <c r="DI52" s="166"/>
      <c r="DJ52" s="166"/>
      <c r="DK52" s="166"/>
      <c r="DL52" s="166"/>
      <c r="DM52" s="166"/>
      <c r="DN52" s="166"/>
      <c r="DO52" s="166"/>
      <c r="DP52" s="166"/>
      <c r="DQ52" s="166"/>
    </row>
    <row r="53" spans="1:121" s="166" customFormat="1" ht="27" thickBot="1">
      <c r="A53" s="722" t="s">
        <v>1263</v>
      </c>
      <c r="B53" s="723" t="s">
        <v>1194</v>
      </c>
      <c r="C53" s="1576">
        <f>IFERROR(C30/C15,0)</f>
        <v>29.968845146585259</v>
      </c>
      <c r="D53" s="1576">
        <f>IFERROR(D30/D15,0)</f>
        <v>42.436721490404302</v>
      </c>
      <c r="E53" s="1576">
        <f t="shared" ref="E53:H53" si="328">IFERROR(E30/E15,0)</f>
        <v>48.42678487664454</v>
      </c>
      <c r="F53" s="1576">
        <f t="shared" si="328"/>
        <v>55.265901521891692</v>
      </c>
      <c r="G53" s="1576">
        <f t="shared" si="328"/>
        <v>63.073632744572052</v>
      </c>
      <c r="H53" s="1577">
        <f t="shared" si="328"/>
        <v>71.986295856168013</v>
      </c>
      <c r="I53" s="1576">
        <f>IFERROR(I30/I15,0)</f>
        <v>27.091968558450684</v>
      </c>
      <c r="J53" s="1576">
        <f>IFERROR(J30/J15,0)</f>
        <v>44.361666504843328</v>
      </c>
      <c r="K53" s="1576">
        <f t="shared" ref="K53:N53" si="329">IFERROR(K30/K15,0)</f>
        <v>50.529103310175138</v>
      </c>
      <c r="L53" s="1576">
        <f t="shared" si="329"/>
        <v>57.564544038067375</v>
      </c>
      <c r="M53" s="1576">
        <f t="shared" si="329"/>
        <v>65.589630394001858</v>
      </c>
      <c r="N53" s="1577">
        <f t="shared" si="329"/>
        <v>74.742924666552256</v>
      </c>
      <c r="O53" s="1576">
        <f t="shared" ref="O53:Q54" si="330">IFERROR(O30/O15,0)</f>
        <v>28.313466772796307</v>
      </c>
      <c r="P53" s="1576">
        <f t="shared" si="330"/>
        <v>38.015509943192683</v>
      </c>
      <c r="Q53" s="1576">
        <f t="shared" si="330"/>
        <v>43.646329950756879</v>
      </c>
      <c r="R53" s="1576">
        <f t="shared" ref="R53:T53" si="331">IFERROR(R30/R15,0)</f>
        <v>50.11038473333852</v>
      </c>
      <c r="S53" s="1576">
        <f t="shared" si="331"/>
        <v>57.531113621607084</v>
      </c>
      <c r="T53" s="1577">
        <f t="shared" si="331"/>
        <v>66.050338376170927</v>
      </c>
      <c r="U53" s="1576">
        <f>IFERROR(U30/U15,0)</f>
        <v>0</v>
      </c>
      <c r="V53" s="1576">
        <f>IFERROR(V30/V15,0)</f>
        <v>0</v>
      </c>
      <c r="W53" s="1576">
        <f t="shared" ref="W53:Z53" si="332">IFERROR(W30/W15,0)</f>
        <v>0</v>
      </c>
      <c r="X53" s="1576">
        <f t="shared" si="332"/>
        <v>0</v>
      </c>
      <c r="Y53" s="1576">
        <f t="shared" si="332"/>
        <v>0</v>
      </c>
      <c r="Z53" s="1577">
        <f t="shared" si="332"/>
        <v>0</v>
      </c>
      <c r="AA53" s="1576">
        <f>IFERROR(AA30/AA15,0)</f>
        <v>76.57710855847985</v>
      </c>
      <c r="AB53" s="1576">
        <f>IFERROR(AB30/AB15,0)</f>
        <v>145.29147777662115</v>
      </c>
      <c r="AC53" s="1576">
        <f t="shared" ref="AC53:AF53" si="333">IFERROR(AC30/AC15,0)</f>
        <v>161.83994531769434</v>
      </c>
      <c r="AD53" s="1576">
        <f t="shared" si="333"/>
        <v>180.74758910524221</v>
      </c>
      <c r="AE53" s="1576">
        <f t="shared" si="333"/>
        <v>202.35115598506243</v>
      </c>
      <c r="AF53" s="1577">
        <f t="shared" si="333"/>
        <v>227.03523491544794</v>
      </c>
      <c r="AG53" s="1576">
        <f>IFERROR(AG30/AG15,0)</f>
        <v>37.80747169803103</v>
      </c>
      <c r="AH53" s="1576">
        <f>IFERROR(AH30/AH15,0)</f>
        <v>61.783968076100585</v>
      </c>
      <c r="AI53" s="1576">
        <f t="shared" ref="AI53:AL53" si="334">IFERROR(AI30/AI15,0)</f>
        <v>70.372343660049594</v>
      </c>
      <c r="AJ53" s="1576">
        <f t="shared" si="334"/>
        <v>80.09069211530533</v>
      </c>
      <c r="AK53" s="1576">
        <f t="shared" si="334"/>
        <v>91.085133991314919</v>
      </c>
      <c r="AL53" s="1577">
        <f t="shared" si="334"/>
        <v>103.52057744780522</v>
      </c>
      <c r="AM53" s="1576">
        <f>IFERROR(AM30/AM15,0)</f>
        <v>31.711764212824033</v>
      </c>
      <c r="AN53" s="1576">
        <f t="shared" ref="AN53:AO53" si="335">IFERROR(AN30/AN15,0)</f>
        <v>33.360401620977292</v>
      </c>
      <c r="AO53" s="1576">
        <f t="shared" si="335"/>
        <v>40.268099065977289</v>
      </c>
      <c r="AP53" s="1576">
        <f>IFERROR(AP30/AP15,0)</f>
        <v>45.506510611589469</v>
      </c>
      <c r="AQ53" s="1576">
        <f t="shared" ref="AQ53:AT53" si="336">IFERROR(AQ30/AQ15,0)</f>
        <v>51.847787594214836</v>
      </c>
      <c r="AR53" s="1576">
        <f t="shared" si="336"/>
        <v>59.098560165759253</v>
      </c>
      <c r="AS53" s="1576">
        <f t="shared" si="336"/>
        <v>67.388819557655282</v>
      </c>
      <c r="AT53" s="1577">
        <f t="shared" si="336"/>
        <v>76.867085544938945</v>
      </c>
      <c r="AU53" s="1541">
        <f t="shared" ref="AU53:AU60" si="337">IFERROR((AP53-AM53)/AM53,0)</f>
        <v>0.43500406682473158</v>
      </c>
      <c r="AV53" s="1541">
        <f t="shared" ref="AV53:AV61" si="338">IFERROR(((D53+V53+AB53)-(+C53+U53+AA53))/(C53+U53+AA53),0)</f>
        <v>0.76194583406409555</v>
      </c>
      <c r="AW53" s="1542">
        <f t="shared" ref="AW53:AW61" si="339">IFERROR(((J53+P53)-(I53+O53))/(I53+O53),0)</f>
        <v>0.48680677185434501</v>
      </c>
      <c r="AX53" s="4488"/>
      <c r="AY53" s="4492" t="s">
        <v>1876</v>
      </c>
      <c r="AZ53" s="4496">
        <f t="shared" ref="AZ53:AZ61" si="340">IFERROR(C53/$C$1,0)</f>
        <v>15.32282721227574</v>
      </c>
      <c r="BA53" s="4496">
        <f t="shared" ref="BA53:BA61" si="341">IFERROR(D53/$C$1,0)</f>
        <v>21.697551162628809</v>
      </c>
      <c r="BB53" s="4496">
        <f t="shared" ref="BB53:BB61" si="342">IFERROR(E53/$C$1,0)</f>
        <v>24.76022193986417</v>
      </c>
      <c r="BC53" s="4496">
        <f t="shared" ref="BC53:BC61" si="343">IFERROR(F53/$C$1,0)</f>
        <v>28.257006755132959</v>
      </c>
      <c r="BD53" s="4496">
        <f t="shared" ref="BD53:BD61" si="344">IFERROR(G53/$C$1,0)</f>
        <v>32.249036339851649</v>
      </c>
      <c r="BE53" s="4496">
        <f t="shared" ref="BE53:BE61" si="345">IFERROR(H53/$C$1,0)</f>
        <v>36.806008628647689</v>
      </c>
      <c r="BF53" s="4496">
        <f t="shared" ref="BF53:BF61" si="346">IFERROR(I53/$C$1,0)</f>
        <v>13.851903569559054</v>
      </c>
      <c r="BG53" s="4496">
        <f t="shared" ref="BG53:BG61" si="347">IFERROR(J53/$C$1,0)</f>
        <v>22.681759920260621</v>
      </c>
      <c r="BH53" s="4496">
        <f t="shared" ref="BH53:BH61" si="348">IFERROR(K53/$C$1,0)</f>
        <v>25.835120286617517</v>
      </c>
      <c r="BI53" s="4496">
        <f t="shared" ref="BI53:BI61" si="349">IFERROR(L53/$C$1,0)</f>
        <v>29.432284011426031</v>
      </c>
      <c r="BJ53" s="4496">
        <f t="shared" ref="BJ53:BJ61" si="350">IFERROR(M53/$C$1,0)</f>
        <v>33.535445511113878</v>
      </c>
      <c r="BK53" s="4496">
        <f t="shared" ref="BK53:BK61" si="351">IFERROR(N53/$C$1,0)</f>
        <v>38.215450558868746</v>
      </c>
      <c r="BL53" s="4496">
        <f t="shared" ref="BL53:BL61" si="352">IFERROR(O53/$C$1,0)</f>
        <v>14.476445689449649</v>
      </c>
      <c r="BM53" s="4496">
        <f t="shared" ref="BM53:BM61" si="353">IFERROR(P53/$C$1,0)</f>
        <v>19.437021593488534</v>
      </c>
      <c r="BN53" s="4496">
        <f t="shared" ref="BN53:BN61" si="354">IFERROR(Q53/$C$1,0)</f>
        <v>22.316014147833339</v>
      </c>
      <c r="BO53" s="4496">
        <f t="shared" ref="BO53:BO61" si="355">IFERROR(R53/$C$1,0)</f>
        <v>25.621032877774919</v>
      </c>
      <c r="BP53" s="4496">
        <f t="shared" ref="BP53:BP61" si="356">IFERROR(S53/$C$1,0)</f>
        <v>29.415191310904877</v>
      </c>
      <c r="BQ53" s="4496">
        <f t="shared" ref="BQ53:BQ61" si="357">IFERROR(T53/$C$1,0)</f>
        <v>33.771001761999216</v>
      </c>
      <c r="BR53" s="4496">
        <f t="shared" ref="BR53:BR61" si="358">IFERROR(U53/$C$1,0)</f>
        <v>0</v>
      </c>
      <c r="BS53" s="4496">
        <f t="shared" ref="BS53:BS61" si="359">IFERROR(V53/$C$1,0)</f>
        <v>0</v>
      </c>
      <c r="BT53" s="4496">
        <f t="shared" ref="BT53:BT61" si="360">IFERROR(W53/$C$1,0)</f>
        <v>0</v>
      </c>
      <c r="BU53" s="4496">
        <f t="shared" ref="BU53:BU61" si="361">IFERROR(X53/$C$1,0)</f>
        <v>0</v>
      </c>
      <c r="BV53" s="4496">
        <f t="shared" ref="BV53:BV61" si="362">IFERROR(Y53/$C$1,0)</f>
        <v>0</v>
      </c>
      <c r="BW53" s="4496">
        <f t="shared" ref="BW53:BW61" si="363">IFERROR(Z53/$C$1,0)</f>
        <v>0</v>
      </c>
      <c r="BX53" s="4496">
        <f t="shared" ref="BX53:BX61" si="364">IFERROR(AA53/$C$1,0)</f>
        <v>39.153253891432207</v>
      </c>
      <c r="BY53" s="4496">
        <f t="shared" ref="BY53:BY61" si="365">IFERROR(AB53/$C$1,0)</f>
        <v>74.286352994187197</v>
      </c>
      <c r="BZ53" s="4496">
        <f t="shared" ref="BZ53:BZ61" si="366">IFERROR(AC53/$C$1,0)</f>
        <v>82.747450094177069</v>
      </c>
      <c r="CA53" s="4496">
        <f t="shared" ref="CA53:CA61" si="367">IFERROR(AD53/$C$1,0)</f>
        <v>92.414774855300422</v>
      </c>
      <c r="CB53" s="4496">
        <f t="shared" ref="CB53:CB61" si="368">IFERROR(AE53/$C$1,0)</f>
        <v>103.46050320583203</v>
      </c>
      <c r="CC53" s="4496">
        <f t="shared" ref="CC53:CC61" si="369">IFERROR(AF53/$C$1,0)</f>
        <v>116.08127235774477</v>
      </c>
      <c r="CD53" s="4496">
        <f t="shared" ref="CD53:CD61" si="370">IFERROR(AG53/$C$1,0)</f>
        <v>19.330653327759073</v>
      </c>
      <c r="CE53" s="4496">
        <f t="shared" ref="CE53:CE61" si="371">IFERROR(AH53/$C$1,0)</f>
        <v>31.589641265396576</v>
      </c>
      <c r="CF53" s="4496">
        <f t="shared" ref="CF53:CF61" si="372">IFERROR(AI53/$C$1,0)</f>
        <v>35.98080797413354</v>
      </c>
      <c r="CG53" s="4496">
        <f t="shared" ref="CG53:CG61" si="373">IFERROR(AJ53/$C$1,0)</f>
        <v>40.94972063794161</v>
      </c>
      <c r="CH53" s="4496">
        <f t="shared" ref="CH53:CH61" si="374">IFERROR(AK53/$C$1,0)</f>
        <v>46.571089507429029</v>
      </c>
      <c r="CI53" s="4496">
        <f t="shared" ref="CI53:CI61" si="375">IFERROR(AL53/$C$1,0)</f>
        <v>52.929230785807164</v>
      </c>
      <c r="CJ53" s="4496">
        <f t="shared" ref="CJ53:CJ61" si="376">IFERROR(AM53/$C$1,0)</f>
        <v>16.21396758042572</v>
      </c>
      <c r="CK53" s="4496">
        <f t="shared" ref="CK53:CK61" si="377">IFERROR(AN53/$C$1,0)</f>
        <v>17.056902502250857</v>
      </c>
      <c r="CL53" s="4496">
        <f t="shared" ref="CL53:CL61" si="378">IFERROR(AO53/$C$1,0)</f>
        <v>20.588752123639217</v>
      </c>
      <c r="CM53" s="4496">
        <f t="shared" ref="CM53:CM61" si="379">IFERROR(AP53/$C$1,0)</f>
        <v>23.267109417275257</v>
      </c>
      <c r="CN53" s="4496">
        <f t="shared" ref="CN53:CN61" si="380">IFERROR(AQ53/$C$1,0)</f>
        <v>26.509352854908062</v>
      </c>
      <c r="CO53" s="4496">
        <f t="shared" ref="CO53:CO61" si="381">IFERROR(AR53/$C$1,0)</f>
        <v>30.21661400313895</v>
      </c>
      <c r="CP53" s="4496">
        <f t="shared" ref="CP53:CP61" si="382">IFERROR(AS53/$C$1,0)</f>
        <v>34.455356323226091</v>
      </c>
      <c r="CQ53" s="4496">
        <f t="shared" ref="CQ53:CQ61" si="383">IFERROR(AT53/$C$1,0)</f>
        <v>39.301516770342488</v>
      </c>
    </row>
    <row r="54" spans="1:121" s="166" customFormat="1" ht="27" thickBot="1">
      <c r="A54" s="626" t="s">
        <v>1264</v>
      </c>
      <c r="B54" s="628" t="s">
        <v>1195</v>
      </c>
      <c r="C54" s="1578">
        <f t="shared" ref="C54" si="384">IFERROR(C31/C16,0)</f>
        <v>20.911612616607059</v>
      </c>
      <c r="D54" s="1578">
        <f>IFERROR(D31/D16,0)</f>
        <v>30.858776627183275</v>
      </c>
      <c r="E54" s="1578">
        <f>IFERROR(E31/E16,0)</f>
        <v>35.11253696127126</v>
      </c>
      <c r="F54" s="1578">
        <f>IFERROR(F31/F16,0)</f>
        <v>39.963895501920867</v>
      </c>
      <c r="G54" s="1578">
        <f>IFERROR(G31/G16,0)</f>
        <v>45.496231797249408</v>
      </c>
      <c r="H54" s="1579">
        <f>IFERROR(H31/H16,0)</f>
        <v>51.804492999732801</v>
      </c>
      <c r="I54" s="1578">
        <f>IFERROR(I31/I16,0)</f>
        <v>23.320776114800822</v>
      </c>
      <c r="J54" s="1578">
        <f>IFERROR(J31/J16,0)</f>
        <v>38.944756504397446</v>
      </c>
      <c r="K54" s="1578">
        <f>IFERROR(K31/K16,0)</f>
        <v>44.258052978762173</v>
      </c>
      <c r="L54" s="1578">
        <f>IFERROR(L31/L16,0)</f>
        <v>50.312916000953706</v>
      </c>
      <c r="M54" s="1578">
        <f>IFERROR(M31/M16,0)</f>
        <v>57.212189048695301</v>
      </c>
      <c r="N54" s="1579">
        <f>IFERROR(N31/N16,0)</f>
        <v>65.072861356254137</v>
      </c>
      <c r="O54" s="1578">
        <f t="shared" si="330"/>
        <v>25.019227585232017</v>
      </c>
      <c r="P54" s="1578">
        <f t="shared" si="330"/>
        <v>33.508786146489527</v>
      </c>
      <c r="Q54" s="1578">
        <f t="shared" si="330"/>
        <v>38.694264195424964</v>
      </c>
      <c r="R54" s="1578">
        <f>IFERROR(R31/R16,0)</f>
        <v>44.706906156405061</v>
      </c>
      <c r="S54" s="1578">
        <f>IFERROR(S31/S16,0)</f>
        <v>51.681470248571735</v>
      </c>
      <c r="T54" s="1579">
        <f>IFERROR(T31/T16,0)</f>
        <v>59.775329807723317</v>
      </c>
      <c r="U54" s="1578">
        <f>IFERROR(U31/U16,0)</f>
        <v>0</v>
      </c>
      <c r="V54" s="1578">
        <f>IFERROR(V31/V16,0)</f>
        <v>0</v>
      </c>
      <c r="W54" s="1578">
        <f>IFERROR(W31/W16,0)</f>
        <v>0</v>
      </c>
      <c r="X54" s="1578">
        <f>IFERROR(X31/X16,0)</f>
        <v>0</v>
      </c>
      <c r="Y54" s="1578">
        <f>IFERROR(Y31/Y16,0)</f>
        <v>0</v>
      </c>
      <c r="Z54" s="1579">
        <f>IFERROR(Z31/Z16,0)</f>
        <v>0</v>
      </c>
      <c r="AA54" s="1578">
        <f>IFERROR(AA31/AA16,0)</f>
        <v>0</v>
      </c>
      <c r="AB54" s="1578">
        <f>IFERROR(AB31/AB16,0)</f>
        <v>0</v>
      </c>
      <c r="AC54" s="1578">
        <f>IFERROR(AC31/AC16,0)</f>
        <v>0</v>
      </c>
      <c r="AD54" s="1578">
        <f>IFERROR(AD31/AD16,0)</f>
        <v>0</v>
      </c>
      <c r="AE54" s="1578">
        <f>IFERROR(AE31/AE16,0)</f>
        <v>0</v>
      </c>
      <c r="AF54" s="1579">
        <f>IFERROR(AF31/AF16,0)</f>
        <v>0</v>
      </c>
      <c r="AG54" s="1578">
        <f>IFERROR(AG31/AG16,0)</f>
        <v>21.627331177238801</v>
      </c>
      <c r="AH54" s="1578">
        <f>IFERROR(AH31/AH16,0)</f>
        <v>32.594986653796965</v>
      </c>
      <c r="AI54" s="1578">
        <f>IFERROR(AI31/AI16,0)</f>
        <v>37.131820610622739</v>
      </c>
      <c r="AJ54" s="1578">
        <f>IFERROR(AJ31/AJ16,0)</f>
        <v>42.267565581444174</v>
      </c>
      <c r="AK54" s="1578">
        <f>IFERROR(AK31/AK16,0)</f>
        <v>48.079905166536854</v>
      </c>
      <c r="AL54" s="1579">
        <f>IFERROR(AL31/AL16,0)</f>
        <v>54.656545717699501</v>
      </c>
      <c r="AM54" s="1578">
        <f>IFERROR(AM31/AM16,0)</f>
        <v>24.933717086457023</v>
      </c>
      <c r="AN54" s="1578">
        <f t="shared" ref="AN54:AO54" si="385">IFERROR(AN31/AN16,0)</f>
        <v>26.509347211895957</v>
      </c>
      <c r="AO54" s="1578">
        <f t="shared" si="385"/>
        <v>31.676971675132666</v>
      </c>
      <c r="AP54" s="1578">
        <f t="shared" ref="AP54:AT54" si="386">IFERROR(AP31/AP16,0)</f>
        <v>35.916144319019587</v>
      </c>
      <c r="AQ54" s="1578">
        <f t="shared" si="386"/>
        <v>40.927468564181581</v>
      </c>
      <c r="AR54" s="1578">
        <f t="shared" si="386"/>
        <v>46.65705911705443</v>
      </c>
      <c r="AS54" s="1578">
        <f t="shared" si="386"/>
        <v>53.207520692055162</v>
      </c>
      <c r="AT54" s="1579">
        <f t="shared" si="386"/>
        <v>60.696075651265645</v>
      </c>
      <c r="AU54" s="975">
        <f t="shared" si="337"/>
        <v>0.44046490118105058</v>
      </c>
      <c r="AV54" s="975">
        <f t="shared" si="338"/>
        <v>0.47567656272843478</v>
      </c>
      <c r="AW54" s="971">
        <f t="shared" si="339"/>
        <v>0.49883196328422613</v>
      </c>
      <c r="AX54" s="4488"/>
      <c r="AY54" s="4492" t="s">
        <v>1876</v>
      </c>
      <c r="AZ54" s="4496">
        <f t="shared" si="340"/>
        <v>10.691937753591599</v>
      </c>
      <c r="BA54" s="4496">
        <f t="shared" si="341"/>
        <v>15.777841953126435</v>
      </c>
      <c r="BB54" s="4496">
        <f t="shared" si="342"/>
        <v>17.952755076500136</v>
      </c>
      <c r="BC54" s="4496">
        <f t="shared" si="343"/>
        <v>20.433215311106213</v>
      </c>
      <c r="BD54" s="4496">
        <f t="shared" si="344"/>
        <v>23.261853942954861</v>
      </c>
      <c r="BE54" s="4496">
        <f t="shared" si="345"/>
        <v>26.487216680249716</v>
      </c>
      <c r="BF54" s="4496">
        <f t="shared" si="346"/>
        <v>11.923723490692351</v>
      </c>
      <c r="BG54" s="4496">
        <f t="shared" si="347"/>
        <v>19.912137815862035</v>
      </c>
      <c r="BH54" s="4496">
        <f t="shared" si="348"/>
        <v>22.628783165593212</v>
      </c>
      <c r="BI54" s="4496">
        <f t="shared" si="349"/>
        <v>25.724585470594942</v>
      </c>
      <c r="BJ54" s="4496">
        <f t="shared" si="350"/>
        <v>29.252127766061111</v>
      </c>
      <c r="BK54" s="4496">
        <f t="shared" si="351"/>
        <v>33.271225697659887</v>
      </c>
      <c r="BL54" s="4496">
        <f t="shared" si="352"/>
        <v>12.792127938129601</v>
      </c>
      <c r="BM54" s="4496">
        <f t="shared" si="353"/>
        <v>17.132770305440417</v>
      </c>
      <c r="BN54" s="4496">
        <f t="shared" si="354"/>
        <v>19.784063131982311</v>
      </c>
      <c r="BO54" s="4496">
        <f t="shared" si="355"/>
        <v>22.858278151171145</v>
      </c>
      <c r="BP54" s="4496">
        <f t="shared" si="356"/>
        <v>26.42431614637864</v>
      </c>
      <c r="BQ54" s="4496">
        <f t="shared" si="357"/>
        <v>30.562640826515249</v>
      </c>
      <c r="BR54" s="4496">
        <f t="shared" si="358"/>
        <v>0</v>
      </c>
      <c r="BS54" s="4496">
        <f t="shared" si="359"/>
        <v>0</v>
      </c>
      <c r="BT54" s="4496">
        <f t="shared" si="360"/>
        <v>0</v>
      </c>
      <c r="BU54" s="4496">
        <f t="shared" si="361"/>
        <v>0</v>
      </c>
      <c r="BV54" s="4496">
        <f t="shared" si="362"/>
        <v>0</v>
      </c>
      <c r="BW54" s="4496">
        <f t="shared" si="363"/>
        <v>0</v>
      </c>
      <c r="BX54" s="4496">
        <f t="shared" si="364"/>
        <v>0</v>
      </c>
      <c r="BY54" s="4496">
        <f t="shared" si="365"/>
        <v>0</v>
      </c>
      <c r="BZ54" s="4496">
        <f t="shared" si="366"/>
        <v>0</v>
      </c>
      <c r="CA54" s="4496">
        <f t="shared" si="367"/>
        <v>0</v>
      </c>
      <c r="CB54" s="4496">
        <f t="shared" si="368"/>
        <v>0</v>
      </c>
      <c r="CC54" s="4496">
        <f t="shared" si="369"/>
        <v>0</v>
      </c>
      <c r="CD54" s="4496">
        <f t="shared" si="370"/>
        <v>11.057878842864053</v>
      </c>
      <c r="CE54" s="4496">
        <f t="shared" si="371"/>
        <v>16.665552043785485</v>
      </c>
      <c r="CF54" s="4496">
        <f t="shared" si="372"/>
        <v>18.985198412245818</v>
      </c>
      <c r="CG54" s="4496">
        <f t="shared" si="373"/>
        <v>21.611063119721127</v>
      </c>
      <c r="CH54" s="4496">
        <f t="shared" si="374"/>
        <v>24.582865160334414</v>
      </c>
      <c r="CI54" s="4496">
        <f t="shared" si="375"/>
        <v>27.945448079689697</v>
      </c>
      <c r="CJ54" s="4496">
        <f t="shared" si="376"/>
        <v>12.748407114348907</v>
      </c>
      <c r="CK54" s="4496">
        <f t="shared" si="377"/>
        <v>13.554014005254013</v>
      </c>
      <c r="CL54" s="4496">
        <f t="shared" si="378"/>
        <v>16.19617843837791</v>
      </c>
      <c r="CM54" s="4496">
        <f t="shared" si="379"/>
        <v>18.3636329941864</v>
      </c>
      <c r="CN54" s="4496">
        <f t="shared" si="380"/>
        <v>20.925882394779496</v>
      </c>
      <c r="CO54" s="4496">
        <f t="shared" si="381"/>
        <v>23.855375527041936</v>
      </c>
      <c r="CP54" s="4496">
        <f t="shared" si="382"/>
        <v>27.204573348427605</v>
      </c>
      <c r="CQ54" s="4496">
        <f t="shared" si="383"/>
        <v>31.033410700963604</v>
      </c>
    </row>
    <row r="55" spans="1:121" s="166" customFormat="1" ht="27" thickBot="1">
      <c r="A55" s="626" t="s">
        <v>1265</v>
      </c>
      <c r="B55" s="628" t="s">
        <v>1196</v>
      </c>
      <c r="C55" s="1578">
        <f t="shared" ref="C55" si="387">IFERROR(C32/C17,0)</f>
        <v>20.426078274753625</v>
      </c>
      <c r="D55" s="1578">
        <f t="shared" ref="D55:H55" si="388">IFERROR(D32/D17,0)</f>
        <v>30.774681392290198</v>
      </c>
      <c r="E55" s="1578">
        <f t="shared" si="388"/>
        <v>35.073814019494066</v>
      </c>
      <c r="F55" s="1578">
        <f t="shared" si="388"/>
        <v>39.982674039801012</v>
      </c>
      <c r="G55" s="1578">
        <f t="shared" si="388"/>
        <v>45.587283233607224</v>
      </c>
      <c r="H55" s="1579">
        <f t="shared" si="388"/>
        <v>51.985744803567492</v>
      </c>
      <c r="I55" s="1578">
        <f t="shared" ref="I55:I61" si="389">IFERROR(I32/I17,0)</f>
        <v>17.812809390289463</v>
      </c>
      <c r="J55" s="1578">
        <f t="shared" ref="J55:N55" si="390">IFERROR(J32/J17,0)</f>
        <v>40.131370404249644</v>
      </c>
      <c r="K55" s="1578">
        <f t="shared" si="390"/>
        <v>45.310805638314925</v>
      </c>
      <c r="L55" s="1578">
        <f t="shared" si="390"/>
        <v>51.188743337731793</v>
      </c>
      <c r="M55" s="1578">
        <f t="shared" si="390"/>
        <v>57.85898903228987</v>
      </c>
      <c r="N55" s="1579">
        <f t="shared" si="390"/>
        <v>65.427789499942662</v>
      </c>
      <c r="O55" s="1578">
        <f t="shared" ref="O55:O61" si="391">IFERROR(O32/O17,0)</f>
        <v>20.437376451906662</v>
      </c>
      <c r="P55" s="1578">
        <f t="shared" ref="P55:T55" si="392">IFERROR(P32/P17,0)</f>
        <v>30.135205511518308</v>
      </c>
      <c r="Q55" s="1578">
        <f t="shared" si="392"/>
        <v>34.668929817582928</v>
      </c>
      <c r="R55" s="1578">
        <f t="shared" si="392"/>
        <v>39.932806407363742</v>
      </c>
      <c r="S55" s="1578">
        <f t="shared" si="392"/>
        <v>46.046543652130268</v>
      </c>
      <c r="T55" s="1579">
        <f t="shared" si="392"/>
        <v>53.149858757945125</v>
      </c>
      <c r="U55" s="1578">
        <f t="shared" ref="U55:U61" si="393">IFERROR(U32/U17,0)</f>
        <v>0</v>
      </c>
      <c r="V55" s="1578">
        <f t="shared" ref="V55:Z55" si="394">IFERROR(V32/V17,0)</f>
        <v>0</v>
      </c>
      <c r="W55" s="1578">
        <f t="shared" si="394"/>
        <v>0</v>
      </c>
      <c r="X55" s="1578">
        <f t="shared" si="394"/>
        <v>0</v>
      </c>
      <c r="Y55" s="1578">
        <f t="shared" si="394"/>
        <v>0</v>
      </c>
      <c r="Z55" s="1579">
        <f t="shared" si="394"/>
        <v>0</v>
      </c>
      <c r="AA55" s="1578">
        <f t="shared" ref="AA55:AA61" si="395">IFERROR(AA32/AA17,0)</f>
        <v>79.421161592418841</v>
      </c>
      <c r="AB55" s="1578">
        <f t="shared" ref="AB55:AF55" si="396">IFERROR(AB32/AB17,0)</f>
        <v>54.896100839578416</v>
      </c>
      <c r="AC55" s="1578">
        <f t="shared" si="396"/>
        <v>62.384551207731654</v>
      </c>
      <c r="AD55" s="1578">
        <f t="shared" si="396"/>
        <v>70.951503396802224</v>
      </c>
      <c r="AE55" s="1578">
        <f t="shared" si="396"/>
        <v>80.751424248128572</v>
      </c>
      <c r="AF55" s="1579">
        <f t="shared" si="396"/>
        <v>91.960872006165545</v>
      </c>
      <c r="AG55" s="1578">
        <f t="shared" ref="AG55:AG61" si="397">IFERROR(AG32/AG17,0)</f>
        <v>11.886705616357144</v>
      </c>
      <c r="AH55" s="1578">
        <f t="shared" ref="AH55:AL55" si="398">IFERROR(AH32/AH17,0)</f>
        <v>27.78062991208644</v>
      </c>
      <c r="AI55" s="1578">
        <f t="shared" si="398"/>
        <v>31.670709935391123</v>
      </c>
      <c r="AJ55" s="1578">
        <f t="shared" si="398"/>
        <v>36.077707002531099</v>
      </c>
      <c r="AK55" s="1578">
        <f t="shared" si="398"/>
        <v>41.069050438610546</v>
      </c>
      <c r="AL55" s="1579">
        <f t="shared" si="398"/>
        <v>46.720925370721879</v>
      </c>
      <c r="AM55" s="1578">
        <f t="shared" ref="AM55:AO61" si="399">IFERROR(AM32/AM17,0)</f>
        <v>21.453213064589857</v>
      </c>
      <c r="AN55" s="1578">
        <f t="shared" si="399"/>
        <v>24.129090016920472</v>
      </c>
      <c r="AO55" s="1578">
        <f t="shared" si="399"/>
        <v>28.160299062258002</v>
      </c>
      <c r="AP55" s="1578">
        <f t="shared" ref="AP55:AT55" si="400">IFERROR(AP32/AP17,0)</f>
        <v>31.929089296566758</v>
      </c>
      <c r="AQ55" s="1578">
        <f t="shared" si="400"/>
        <v>36.471026857727367</v>
      </c>
      <c r="AR55" s="1578">
        <f t="shared" si="400"/>
        <v>41.679854406186983</v>
      </c>
      <c r="AS55" s="1578">
        <f t="shared" si="400"/>
        <v>47.653279671009905</v>
      </c>
      <c r="AT55" s="1579">
        <f t="shared" si="400"/>
        <v>54.503297034463145</v>
      </c>
      <c r="AU55" s="975">
        <f t="shared" si="337"/>
        <v>0.48831269238956676</v>
      </c>
      <c r="AV55" s="975">
        <f t="shared" si="338"/>
        <v>-0.14198146743127699</v>
      </c>
      <c r="AW55" s="971">
        <f t="shared" si="339"/>
        <v>0.83702573905543209</v>
      </c>
      <c r="AX55" s="4488"/>
      <c r="AY55" s="4492" t="s">
        <v>1876</v>
      </c>
      <c r="AZ55" s="4496">
        <f t="shared" si="340"/>
        <v>10.44368798655999</v>
      </c>
      <c r="BA55" s="4496">
        <f t="shared" si="341"/>
        <v>15.734844742278316</v>
      </c>
      <c r="BB55" s="4496">
        <f t="shared" si="342"/>
        <v>17.932956350753422</v>
      </c>
      <c r="BC55" s="4496">
        <f t="shared" si="343"/>
        <v>20.442816625065067</v>
      </c>
      <c r="BD55" s="4496">
        <f t="shared" si="344"/>
        <v>23.308407803135868</v>
      </c>
      <c r="BE55" s="4496">
        <f t="shared" si="345"/>
        <v>26.579889256002563</v>
      </c>
      <c r="BF55" s="4496">
        <f t="shared" si="346"/>
        <v>9.107544822550766</v>
      </c>
      <c r="BG55" s="4496">
        <f t="shared" si="347"/>
        <v>20.518843868971047</v>
      </c>
      <c r="BH55" s="4496">
        <f t="shared" si="348"/>
        <v>23.167047053330261</v>
      </c>
      <c r="BI55" s="4496">
        <f t="shared" si="349"/>
        <v>26.172388877219284</v>
      </c>
      <c r="BJ55" s="4496">
        <f t="shared" si="350"/>
        <v>29.582831346430861</v>
      </c>
      <c r="BK55" s="4496">
        <f t="shared" si="351"/>
        <v>33.452697575935879</v>
      </c>
      <c r="BL55" s="4496">
        <f t="shared" si="352"/>
        <v>10.449464652810654</v>
      </c>
      <c r="BM55" s="4496">
        <f t="shared" si="353"/>
        <v>15.407885916218847</v>
      </c>
      <c r="BN55" s="4496">
        <f t="shared" si="354"/>
        <v>17.725942345491646</v>
      </c>
      <c r="BO55" s="4496">
        <f t="shared" si="355"/>
        <v>20.417319709465414</v>
      </c>
      <c r="BP55" s="4496">
        <f t="shared" si="356"/>
        <v>23.543223926481478</v>
      </c>
      <c r="BQ55" s="4496">
        <f t="shared" si="357"/>
        <v>27.175091269663071</v>
      </c>
      <c r="BR55" s="4496">
        <f t="shared" si="358"/>
        <v>0</v>
      </c>
      <c r="BS55" s="4496">
        <f t="shared" si="359"/>
        <v>0</v>
      </c>
      <c r="BT55" s="4496">
        <f t="shared" si="360"/>
        <v>0</v>
      </c>
      <c r="BU55" s="4496">
        <f t="shared" si="361"/>
        <v>0</v>
      </c>
      <c r="BV55" s="4496">
        <f t="shared" si="362"/>
        <v>0</v>
      </c>
      <c r="BW55" s="4496">
        <f t="shared" si="363"/>
        <v>0</v>
      </c>
      <c r="BX55" s="4496">
        <f t="shared" si="364"/>
        <v>40.607395117376683</v>
      </c>
      <c r="BY55" s="4496">
        <f t="shared" si="365"/>
        <v>28.067930668605356</v>
      </c>
      <c r="BZ55" s="4496">
        <f t="shared" si="366"/>
        <v>31.896714544582942</v>
      </c>
      <c r="CA55" s="4496">
        <f t="shared" si="367"/>
        <v>36.276927645450897</v>
      </c>
      <c r="CB55" s="4496">
        <f t="shared" si="368"/>
        <v>41.287547613099591</v>
      </c>
      <c r="CC55" s="4496">
        <f t="shared" si="369"/>
        <v>47.018847244477051</v>
      </c>
      <c r="CD55" s="4496">
        <f t="shared" si="370"/>
        <v>6.0775760758129005</v>
      </c>
      <c r="CE55" s="4496">
        <f t="shared" si="371"/>
        <v>14.204010528566613</v>
      </c>
      <c r="CF55" s="4496">
        <f t="shared" si="372"/>
        <v>16.192976861685896</v>
      </c>
      <c r="CG55" s="4496">
        <f t="shared" si="373"/>
        <v>18.446238682570112</v>
      </c>
      <c r="CH55" s="4496">
        <f t="shared" si="374"/>
        <v>20.99827205769957</v>
      </c>
      <c r="CI55" s="4496">
        <f t="shared" si="375"/>
        <v>23.888029824024521</v>
      </c>
      <c r="CJ55" s="4496">
        <f t="shared" si="376"/>
        <v>10.96885366549744</v>
      </c>
      <c r="CK55" s="4496">
        <f t="shared" si="377"/>
        <v>12.337007826304164</v>
      </c>
      <c r="CL55" s="4496">
        <f t="shared" si="378"/>
        <v>14.398132282590002</v>
      </c>
      <c r="CM55" s="4496">
        <f t="shared" si="379"/>
        <v>16.325084131323663</v>
      </c>
      <c r="CN55" s="4496">
        <f t="shared" si="380"/>
        <v>18.647339931245234</v>
      </c>
      <c r="CO55" s="4496">
        <f t="shared" si="381"/>
        <v>21.31057116732384</v>
      </c>
      <c r="CP55" s="4496">
        <f t="shared" si="382"/>
        <v>24.364735008160171</v>
      </c>
      <c r="CQ55" s="4496">
        <f t="shared" si="383"/>
        <v>27.867093272146938</v>
      </c>
    </row>
    <row r="56" spans="1:121" s="166" customFormat="1" ht="27" thickBot="1">
      <c r="A56" s="626" t="s">
        <v>1266</v>
      </c>
      <c r="B56" s="628" t="s">
        <v>1197</v>
      </c>
      <c r="C56" s="1578">
        <f t="shared" ref="C56" si="401">IFERROR(C33/C18,0)</f>
        <v>17.694058528003637</v>
      </c>
      <c r="D56" s="1578">
        <f t="shared" ref="D56:H56" si="402">IFERROR(D33/D18,0)</f>
        <v>26.140692954510108</v>
      </c>
      <c r="E56" s="1578">
        <f t="shared" si="402"/>
        <v>29.742852721327839</v>
      </c>
      <c r="F56" s="1578">
        <f t="shared" si="402"/>
        <v>33.855633772516448</v>
      </c>
      <c r="G56" s="1578">
        <f t="shared" si="402"/>
        <v>38.550948166556857</v>
      </c>
      <c r="H56" s="1579">
        <f t="shared" si="402"/>
        <v>43.910776792377312</v>
      </c>
      <c r="I56" s="1578">
        <f t="shared" si="389"/>
        <v>15.003931803370115</v>
      </c>
      <c r="J56" s="1578">
        <f t="shared" ref="J56:N56" si="403">IFERROR(J33/J18,0)</f>
        <v>33.704591859627101</v>
      </c>
      <c r="K56" s="1578">
        <f t="shared" si="403"/>
        <v>37.869452002519324</v>
      </c>
      <c r="L56" s="1578">
        <f t="shared" si="403"/>
        <v>42.597405752999983</v>
      </c>
      <c r="M56" s="1578">
        <f t="shared" si="403"/>
        <v>47.963508991310505</v>
      </c>
      <c r="N56" s="1579">
        <f t="shared" si="403"/>
        <v>54.052733546940999</v>
      </c>
      <c r="O56" s="1578">
        <f t="shared" si="391"/>
        <v>18.581310911909348</v>
      </c>
      <c r="P56" s="1578">
        <f t="shared" ref="P56:T56" si="404">IFERROR(P33/P18,0)</f>
        <v>26.606516459055971</v>
      </c>
      <c r="Q56" s="1578">
        <f t="shared" si="404"/>
        <v>30.657544590603436</v>
      </c>
      <c r="R56" s="1578">
        <f t="shared" si="404"/>
        <v>35.357651232251655</v>
      </c>
      <c r="S56" s="1578">
        <f t="shared" si="404"/>
        <v>40.813230921871636</v>
      </c>
      <c r="T56" s="1579">
        <f t="shared" si="404"/>
        <v>47.148645251316509</v>
      </c>
      <c r="U56" s="1578">
        <f t="shared" si="393"/>
        <v>0</v>
      </c>
      <c r="V56" s="1578">
        <f t="shared" ref="V56:Z56" si="405">IFERROR(V33/V18,0)</f>
        <v>0</v>
      </c>
      <c r="W56" s="1578">
        <f t="shared" si="405"/>
        <v>0</v>
      </c>
      <c r="X56" s="1578">
        <f t="shared" si="405"/>
        <v>0</v>
      </c>
      <c r="Y56" s="1578">
        <f t="shared" si="405"/>
        <v>0</v>
      </c>
      <c r="Z56" s="1579">
        <f t="shared" si="405"/>
        <v>0</v>
      </c>
      <c r="AA56" s="1578">
        <f t="shared" si="395"/>
        <v>0</v>
      </c>
      <c r="AB56" s="1578">
        <f t="shared" ref="AB56:AF56" si="406">IFERROR(AB33/AB18,0)</f>
        <v>0</v>
      </c>
      <c r="AC56" s="1578">
        <f t="shared" si="406"/>
        <v>0</v>
      </c>
      <c r="AD56" s="1578">
        <f t="shared" si="406"/>
        <v>0</v>
      </c>
      <c r="AE56" s="1578">
        <f t="shared" si="406"/>
        <v>0</v>
      </c>
      <c r="AF56" s="1579">
        <f t="shared" si="406"/>
        <v>0</v>
      </c>
      <c r="AG56" s="1578">
        <f t="shared" si="397"/>
        <v>14.831349769775068</v>
      </c>
      <c r="AH56" s="1578">
        <f t="shared" ref="AH56:AL56" si="407">IFERROR(AH33/AH18,0)</f>
        <v>23.908913248127792</v>
      </c>
      <c r="AI56" s="1578">
        <f t="shared" si="407"/>
        <v>27.273942861632712</v>
      </c>
      <c r="AJ56" s="1578">
        <f t="shared" si="407"/>
        <v>31.088660888558369</v>
      </c>
      <c r="AK56" s="1578">
        <f t="shared" si="407"/>
        <v>35.412034214786246</v>
      </c>
      <c r="AL56" s="1579">
        <f t="shared" si="407"/>
        <v>40.310672774219732</v>
      </c>
      <c r="AM56" s="1578">
        <f t="shared" si="399"/>
        <v>19.078104557742684</v>
      </c>
      <c r="AN56" s="1578">
        <f t="shared" si="399"/>
        <v>21.774735075653368</v>
      </c>
      <c r="AO56" s="1578">
        <f t="shared" si="399"/>
        <v>24.123480158541398</v>
      </c>
      <c r="AP56" s="1578">
        <f t="shared" ref="AP56:AT56" si="408">IFERROR(AP33/AP18,0)</f>
        <v>27.476841527579371</v>
      </c>
      <c r="AQ56" s="1578">
        <f t="shared" si="408"/>
        <v>31.301799481446633</v>
      </c>
      <c r="AR56" s="1578">
        <f t="shared" si="408"/>
        <v>35.67687347967432</v>
      </c>
      <c r="AS56" s="1578">
        <f t="shared" si="408"/>
        <v>40.680887146112056</v>
      </c>
      <c r="AT56" s="1579">
        <f t="shared" si="408"/>
        <v>46.403920537278431</v>
      </c>
      <c r="AU56" s="975">
        <f t="shared" si="337"/>
        <v>0.44022910894615747</v>
      </c>
      <c r="AV56" s="975">
        <f t="shared" si="338"/>
        <v>0.47737122679561278</v>
      </c>
      <c r="AW56" s="971">
        <f t="shared" si="339"/>
        <v>0.79576216941391309</v>
      </c>
      <c r="AX56" s="4488"/>
      <c r="AY56" s="4492" t="s">
        <v>1876</v>
      </c>
      <c r="AZ56" s="4496">
        <f t="shared" si="340"/>
        <v>9.0468284707789728</v>
      </c>
      <c r="BA56" s="4496">
        <f t="shared" si="341"/>
        <v>13.365524076484208</v>
      </c>
      <c r="BB56" s="4496">
        <f t="shared" si="342"/>
        <v>15.207279120029778</v>
      </c>
      <c r="BC56" s="4496">
        <f t="shared" si="343"/>
        <v>17.310110680640161</v>
      </c>
      <c r="BD56" s="4496">
        <f t="shared" si="344"/>
        <v>19.710786809976767</v>
      </c>
      <c r="BE56" s="4496">
        <f t="shared" si="345"/>
        <v>22.451223670961848</v>
      </c>
      <c r="BF56" s="4496">
        <f t="shared" si="346"/>
        <v>7.6713885170848775</v>
      </c>
      <c r="BG56" s="4496">
        <f t="shared" si="347"/>
        <v>17.232884176859493</v>
      </c>
      <c r="BH56" s="4496">
        <f t="shared" si="348"/>
        <v>19.362343354238011</v>
      </c>
      <c r="BI56" s="4496">
        <f t="shared" si="349"/>
        <v>21.779707721529981</v>
      </c>
      <c r="BJ56" s="4496">
        <f t="shared" si="350"/>
        <v>24.52335274093889</v>
      </c>
      <c r="BK56" s="4496">
        <f t="shared" si="351"/>
        <v>27.636723819013412</v>
      </c>
      <c r="BL56" s="4496">
        <f t="shared" si="352"/>
        <v>9.500473411241952</v>
      </c>
      <c r="BM56" s="4496">
        <f t="shared" si="353"/>
        <v>13.603695852428878</v>
      </c>
      <c r="BN56" s="4496">
        <f t="shared" si="354"/>
        <v>15.674953646586584</v>
      </c>
      <c r="BO56" s="4496">
        <f t="shared" si="355"/>
        <v>18.078080013217743</v>
      </c>
      <c r="BP56" s="4496">
        <f t="shared" si="356"/>
        <v>20.867473615739424</v>
      </c>
      <c r="BQ56" s="4496">
        <f t="shared" si="357"/>
        <v>24.106719526398773</v>
      </c>
      <c r="BR56" s="4496">
        <f t="shared" si="358"/>
        <v>0</v>
      </c>
      <c r="BS56" s="4496">
        <f t="shared" si="359"/>
        <v>0</v>
      </c>
      <c r="BT56" s="4496">
        <f t="shared" si="360"/>
        <v>0</v>
      </c>
      <c r="BU56" s="4496">
        <f t="shared" si="361"/>
        <v>0</v>
      </c>
      <c r="BV56" s="4496">
        <f t="shared" si="362"/>
        <v>0</v>
      </c>
      <c r="BW56" s="4496">
        <f t="shared" si="363"/>
        <v>0</v>
      </c>
      <c r="BX56" s="4496">
        <f t="shared" si="364"/>
        <v>0</v>
      </c>
      <c r="BY56" s="4496">
        <f t="shared" si="365"/>
        <v>0</v>
      </c>
      <c r="BZ56" s="4496">
        <f t="shared" si="366"/>
        <v>0</v>
      </c>
      <c r="CA56" s="4496">
        <f t="shared" si="367"/>
        <v>0</v>
      </c>
      <c r="CB56" s="4496">
        <f t="shared" si="368"/>
        <v>0</v>
      </c>
      <c r="CC56" s="4496">
        <f t="shared" si="369"/>
        <v>0</v>
      </c>
      <c r="CD56" s="4496">
        <f t="shared" si="370"/>
        <v>7.5831487244673967</v>
      </c>
      <c r="CE56" s="4496">
        <f t="shared" si="371"/>
        <v>12.22443323199245</v>
      </c>
      <c r="CF56" s="4496">
        <f t="shared" si="372"/>
        <v>13.944945553362365</v>
      </c>
      <c r="CG56" s="4496">
        <f t="shared" si="373"/>
        <v>15.89537990958231</v>
      </c>
      <c r="CH56" s="4496">
        <f t="shared" si="374"/>
        <v>18.105885590662915</v>
      </c>
      <c r="CI56" s="4496">
        <f t="shared" si="375"/>
        <v>20.610519715015993</v>
      </c>
      <c r="CJ56" s="4496">
        <f t="shared" si="376"/>
        <v>9.7544799689864075</v>
      </c>
      <c r="CK56" s="4496">
        <f t="shared" si="377"/>
        <v>11.133245259380093</v>
      </c>
      <c r="CL56" s="4496">
        <f t="shared" si="378"/>
        <v>12.334139551260282</v>
      </c>
      <c r="CM56" s="4496">
        <f t="shared" si="379"/>
        <v>14.048685993966433</v>
      </c>
      <c r="CN56" s="4496">
        <f t="shared" si="380"/>
        <v>16.004355941695664</v>
      </c>
      <c r="CO56" s="4496">
        <f t="shared" si="381"/>
        <v>18.241295756622161</v>
      </c>
      <c r="CP56" s="4496">
        <f t="shared" si="382"/>
        <v>20.799807317666698</v>
      </c>
      <c r="CQ56" s="4496">
        <f t="shared" si="383"/>
        <v>23.725947826384928</v>
      </c>
    </row>
    <row r="57" spans="1:121" s="166" customFormat="1" ht="27" thickBot="1">
      <c r="A57" s="626" t="s">
        <v>1267</v>
      </c>
      <c r="B57" s="628" t="s">
        <v>1198</v>
      </c>
      <c r="C57" s="1578">
        <f>IFERROR(C34/C19,0)</f>
        <v>19.15584776902887</v>
      </c>
      <c r="D57" s="1578">
        <f t="shared" ref="D57:H57" si="409">IFERROR(D34/D19,0)</f>
        <v>26.077841517857138</v>
      </c>
      <c r="E57" s="1578">
        <f t="shared" si="409"/>
        <v>30.12230963302752</v>
      </c>
      <c r="F57" s="1578">
        <f t="shared" si="409"/>
        <v>34.884228773584908</v>
      </c>
      <c r="G57" s="1578">
        <f t="shared" si="409"/>
        <v>40.497871359223304</v>
      </c>
      <c r="H57" s="1579">
        <f t="shared" si="409"/>
        <v>47.124089999999995</v>
      </c>
      <c r="I57" s="1578">
        <f t="shared" si="389"/>
        <v>0</v>
      </c>
      <c r="J57" s="1578">
        <f t="shared" ref="J57:N57" si="410">IFERROR(J34/J19,0)</f>
        <v>0</v>
      </c>
      <c r="K57" s="1578">
        <f t="shared" si="410"/>
        <v>0</v>
      </c>
      <c r="L57" s="1578">
        <f t="shared" si="410"/>
        <v>0</v>
      </c>
      <c r="M57" s="1578">
        <f t="shared" si="410"/>
        <v>0</v>
      </c>
      <c r="N57" s="1579">
        <f t="shared" si="410"/>
        <v>0</v>
      </c>
      <c r="O57" s="1578">
        <f t="shared" si="391"/>
        <v>0</v>
      </c>
      <c r="P57" s="1578">
        <f t="shared" ref="P57:T57" si="411">IFERROR(P34/P19,0)</f>
        <v>0</v>
      </c>
      <c r="Q57" s="1578">
        <f t="shared" si="411"/>
        <v>0</v>
      </c>
      <c r="R57" s="1578">
        <f t="shared" si="411"/>
        <v>0</v>
      </c>
      <c r="S57" s="1578">
        <f t="shared" si="411"/>
        <v>0</v>
      </c>
      <c r="T57" s="1579">
        <f t="shared" si="411"/>
        <v>0</v>
      </c>
      <c r="U57" s="1578">
        <f t="shared" si="393"/>
        <v>0</v>
      </c>
      <c r="V57" s="1578">
        <f t="shared" ref="V57:Z57" si="412">IFERROR(V34/V19,0)</f>
        <v>0</v>
      </c>
      <c r="W57" s="1578">
        <f t="shared" si="412"/>
        <v>0</v>
      </c>
      <c r="X57" s="1578">
        <f t="shared" si="412"/>
        <v>0</v>
      </c>
      <c r="Y57" s="1578">
        <f t="shared" si="412"/>
        <v>0</v>
      </c>
      <c r="Z57" s="1579">
        <f t="shared" si="412"/>
        <v>0</v>
      </c>
      <c r="AA57" s="1578">
        <f t="shared" si="395"/>
        <v>0</v>
      </c>
      <c r="AB57" s="1578">
        <f t="shared" ref="AB57:AF57" si="413">IFERROR(AB34/AB19,0)</f>
        <v>0</v>
      </c>
      <c r="AC57" s="1578">
        <f t="shared" si="413"/>
        <v>0</v>
      </c>
      <c r="AD57" s="1578">
        <f t="shared" si="413"/>
        <v>0</v>
      </c>
      <c r="AE57" s="1578">
        <f t="shared" si="413"/>
        <v>0</v>
      </c>
      <c r="AF57" s="1579">
        <f t="shared" si="413"/>
        <v>0</v>
      </c>
      <c r="AG57" s="1578">
        <f t="shared" si="397"/>
        <v>13.44769</v>
      </c>
      <c r="AH57" s="1578">
        <f t="shared" ref="AH57:AL57" si="414">IFERROR(AH34/AH19,0)</f>
        <v>21.403354690265488</v>
      </c>
      <c r="AI57" s="1578">
        <f t="shared" si="414"/>
        <v>24.476612389380534</v>
      </c>
      <c r="AJ57" s="1578">
        <f t="shared" si="414"/>
        <v>27.992583008849561</v>
      </c>
      <c r="AK57" s="1578">
        <f t="shared" si="414"/>
        <v>32.014780884955755</v>
      </c>
      <c r="AL57" s="1579">
        <f t="shared" si="414"/>
        <v>36.615806371681423</v>
      </c>
      <c r="AM57" s="1578">
        <f t="shared" si="399"/>
        <v>19.15584776902887</v>
      </c>
      <c r="AN57" s="1578">
        <f t="shared" si="399"/>
        <v>22.000597500000005</v>
      </c>
      <c r="AO57" s="1578">
        <f t="shared" si="399"/>
        <v>22.638543478260871</v>
      </c>
      <c r="AP57" s="1578">
        <f t="shared" ref="AP57:AT57" si="415">IFERROR(AP34/AP19,0)</f>
        <v>26.077841517857138</v>
      </c>
      <c r="AQ57" s="1578">
        <f t="shared" si="415"/>
        <v>30.12230963302752</v>
      </c>
      <c r="AR57" s="1578">
        <f t="shared" si="415"/>
        <v>34.884228773584908</v>
      </c>
      <c r="AS57" s="1578">
        <f t="shared" si="415"/>
        <v>40.497871359223304</v>
      </c>
      <c r="AT57" s="1579">
        <f t="shared" si="415"/>
        <v>47.124089999999995</v>
      </c>
      <c r="AU57" s="975">
        <f t="shared" si="337"/>
        <v>0.36135146991613343</v>
      </c>
      <c r="AV57" s="975">
        <f t="shared" si="338"/>
        <v>0.36135146991613343</v>
      </c>
      <c r="AW57" s="971">
        <f t="shared" si="339"/>
        <v>0</v>
      </c>
      <c r="AX57" s="4488"/>
      <c r="AY57" s="4492" t="s">
        <v>1876</v>
      </c>
      <c r="AZ57" s="4496">
        <f t="shared" si="340"/>
        <v>9.7942294417351565</v>
      </c>
      <c r="BA57" s="4496">
        <f t="shared" si="341"/>
        <v>13.333388647202026</v>
      </c>
      <c r="BB57" s="4496">
        <f t="shared" si="342"/>
        <v>15.401292358245614</v>
      </c>
      <c r="BC57" s="4496">
        <f t="shared" si="343"/>
        <v>17.836022953725482</v>
      </c>
      <c r="BD57" s="4496">
        <f t="shared" si="344"/>
        <v>20.70623283169974</v>
      </c>
      <c r="BE57" s="4496">
        <f t="shared" si="345"/>
        <v>24.094164625759905</v>
      </c>
      <c r="BF57" s="4496">
        <f t="shared" si="346"/>
        <v>0</v>
      </c>
      <c r="BG57" s="4496">
        <f t="shared" si="347"/>
        <v>0</v>
      </c>
      <c r="BH57" s="4496">
        <f t="shared" si="348"/>
        <v>0</v>
      </c>
      <c r="BI57" s="4496">
        <f t="shared" si="349"/>
        <v>0</v>
      </c>
      <c r="BJ57" s="4496">
        <f t="shared" si="350"/>
        <v>0</v>
      </c>
      <c r="BK57" s="4496">
        <f t="shared" si="351"/>
        <v>0</v>
      </c>
      <c r="BL57" s="4496">
        <f t="shared" si="352"/>
        <v>0</v>
      </c>
      <c r="BM57" s="4496">
        <f t="shared" si="353"/>
        <v>0</v>
      </c>
      <c r="BN57" s="4496">
        <f t="shared" si="354"/>
        <v>0</v>
      </c>
      <c r="BO57" s="4496">
        <f t="shared" si="355"/>
        <v>0</v>
      </c>
      <c r="BP57" s="4496">
        <f t="shared" si="356"/>
        <v>0</v>
      </c>
      <c r="BQ57" s="4496">
        <f t="shared" si="357"/>
        <v>0</v>
      </c>
      <c r="BR57" s="4496">
        <f t="shared" si="358"/>
        <v>0</v>
      </c>
      <c r="BS57" s="4496">
        <f t="shared" si="359"/>
        <v>0</v>
      </c>
      <c r="BT57" s="4496">
        <f t="shared" si="360"/>
        <v>0</v>
      </c>
      <c r="BU57" s="4496">
        <f t="shared" si="361"/>
        <v>0</v>
      </c>
      <c r="BV57" s="4496">
        <f t="shared" si="362"/>
        <v>0</v>
      </c>
      <c r="BW57" s="4496">
        <f t="shared" si="363"/>
        <v>0</v>
      </c>
      <c r="BX57" s="4496">
        <f t="shared" si="364"/>
        <v>0</v>
      </c>
      <c r="BY57" s="4496">
        <f t="shared" si="365"/>
        <v>0</v>
      </c>
      <c r="BZ57" s="4496">
        <f t="shared" si="366"/>
        <v>0</v>
      </c>
      <c r="CA57" s="4496">
        <f t="shared" si="367"/>
        <v>0</v>
      </c>
      <c r="CB57" s="4496">
        <f t="shared" si="368"/>
        <v>0</v>
      </c>
      <c r="CC57" s="4496">
        <f t="shared" si="369"/>
        <v>0</v>
      </c>
      <c r="CD57" s="4496">
        <f t="shared" si="370"/>
        <v>6.875694717843575</v>
      </c>
      <c r="CE57" s="4496">
        <f t="shared" si="371"/>
        <v>10.943361483495748</v>
      </c>
      <c r="CF57" s="4496">
        <f t="shared" si="372"/>
        <v>12.514693193877042</v>
      </c>
      <c r="CG57" s="4496">
        <f t="shared" si="373"/>
        <v>14.312380426135995</v>
      </c>
      <c r="CH57" s="4496">
        <f t="shared" si="374"/>
        <v>16.368897544753764</v>
      </c>
      <c r="CI57" s="4496">
        <f t="shared" si="375"/>
        <v>18.721364521293477</v>
      </c>
      <c r="CJ57" s="4496">
        <f t="shared" si="376"/>
        <v>9.7942294417351565</v>
      </c>
      <c r="CK57" s="4496">
        <f t="shared" si="377"/>
        <v>11.248726883215824</v>
      </c>
      <c r="CL57" s="4496">
        <f t="shared" si="378"/>
        <v>11.574903482542384</v>
      </c>
      <c r="CM57" s="4496">
        <f t="shared" si="379"/>
        <v>13.333388647202026</v>
      </c>
      <c r="CN57" s="4496">
        <f t="shared" si="380"/>
        <v>15.401292358245614</v>
      </c>
      <c r="CO57" s="4496">
        <f t="shared" si="381"/>
        <v>17.836022953725482</v>
      </c>
      <c r="CP57" s="4496">
        <f t="shared" si="382"/>
        <v>20.70623283169974</v>
      </c>
      <c r="CQ57" s="4496">
        <f t="shared" si="383"/>
        <v>24.094164625759905</v>
      </c>
    </row>
    <row r="58" spans="1:121" s="166" customFormat="1" ht="27" thickBot="1">
      <c r="A58" s="626" t="s">
        <v>1268</v>
      </c>
      <c r="B58" s="628" t="s">
        <v>1199</v>
      </c>
      <c r="C58" s="1578">
        <f t="shared" ref="C58" si="416">IFERROR(C35/C20,0)</f>
        <v>0</v>
      </c>
      <c r="D58" s="1578">
        <f>IFERROR(D35/D20,0)</f>
        <v>0</v>
      </c>
      <c r="E58" s="1578">
        <f>IFERROR(E35/E20,0)</f>
        <v>0</v>
      </c>
      <c r="F58" s="1578">
        <f>IFERROR(F35/F20,0)</f>
        <v>0</v>
      </c>
      <c r="G58" s="1578">
        <f>IFERROR(G35/G20,0)</f>
        <v>0</v>
      </c>
      <c r="H58" s="1579">
        <f>IFERROR(H35/H20,0)</f>
        <v>0</v>
      </c>
      <c r="I58" s="1578">
        <f t="shared" si="389"/>
        <v>0</v>
      </c>
      <c r="J58" s="1578">
        <f>IFERROR(J35/J20,0)</f>
        <v>0</v>
      </c>
      <c r="K58" s="1578">
        <f>IFERROR(K35/K20,0)</f>
        <v>0</v>
      </c>
      <c r="L58" s="1578">
        <f>IFERROR(L35/L20,0)</f>
        <v>0</v>
      </c>
      <c r="M58" s="1578">
        <f>IFERROR(M35/M20,0)</f>
        <v>0</v>
      </c>
      <c r="N58" s="1579">
        <f>IFERROR(N35/N20,0)</f>
        <v>0</v>
      </c>
      <c r="O58" s="1578">
        <f t="shared" si="391"/>
        <v>0</v>
      </c>
      <c r="P58" s="1578">
        <f>IFERROR(P35/P20,0)</f>
        <v>0</v>
      </c>
      <c r="Q58" s="1578">
        <f>IFERROR(Q35/Q20,0)</f>
        <v>0</v>
      </c>
      <c r="R58" s="1578">
        <f>IFERROR(R35/R20,0)</f>
        <v>0</v>
      </c>
      <c r="S58" s="1578">
        <f>IFERROR(S35/S20,0)</f>
        <v>0</v>
      </c>
      <c r="T58" s="1579">
        <f>IFERROR(T35/T20,0)</f>
        <v>0</v>
      </c>
      <c r="U58" s="1578">
        <f t="shared" si="393"/>
        <v>0</v>
      </c>
      <c r="V58" s="1578">
        <f>IFERROR(V35/V20,0)</f>
        <v>0</v>
      </c>
      <c r="W58" s="1578">
        <f>IFERROR(W35/W20,0)</f>
        <v>0</v>
      </c>
      <c r="X58" s="1578">
        <f>IFERROR(X35/X20,0)</f>
        <v>0</v>
      </c>
      <c r="Y58" s="1578">
        <f>IFERROR(Y35/Y20,0)</f>
        <v>0</v>
      </c>
      <c r="Z58" s="1579">
        <f>IFERROR(Z35/Z20,0)</f>
        <v>0</v>
      </c>
      <c r="AA58" s="1578">
        <f t="shared" si="395"/>
        <v>0</v>
      </c>
      <c r="AB58" s="1578">
        <f>IFERROR(AB35/AB20,0)</f>
        <v>0</v>
      </c>
      <c r="AC58" s="1578">
        <f>IFERROR(AC35/AC20,0)</f>
        <v>0</v>
      </c>
      <c r="AD58" s="1578">
        <f>IFERROR(AD35/AD20,0)</f>
        <v>0</v>
      </c>
      <c r="AE58" s="1578">
        <f>IFERROR(AE35/AE20,0)</f>
        <v>0</v>
      </c>
      <c r="AF58" s="1579">
        <f>IFERROR(AF35/AF20,0)</f>
        <v>0</v>
      </c>
      <c r="AG58" s="1578">
        <f t="shared" si="397"/>
        <v>0</v>
      </c>
      <c r="AH58" s="1578">
        <f>IFERROR(AH35/AH20,0)</f>
        <v>0</v>
      </c>
      <c r="AI58" s="1578">
        <f>IFERROR(AI35/AI20,0)</f>
        <v>0</v>
      </c>
      <c r="AJ58" s="1578">
        <f>IFERROR(AJ35/AJ20,0)</f>
        <v>0</v>
      </c>
      <c r="AK58" s="1578">
        <f>IFERROR(AK35/AK20,0)</f>
        <v>0</v>
      </c>
      <c r="AL58" s="1579">
        <f>IFERROR(AL35/AL20,0)</f>
        <v>0</v>
      </c>
      <c r="AM58" s="1578">
        <f t="shared" si="399"/>
        <v>0</v>
      </c>
      <c r="AN58" s="1578">
        <f t="shared" si="399"/>
        <v>0</v>
      </c>
      <c r="AO58" s="1578">
        <f t="shared" si="399"/>
        <v>0</v>
      </c>
      <c r="AP58" s="1578">
        <f>IFERROR(AP35/AP20,0)</f>
        <v>0</v>
      </c>
      <c r="AQ58" s="1578">
        <f t="shared" ref="AQ58:AT58" si="417">IFERROR(AQ35/AQ20,0)</f>
        <v>0</v>
      </c>
      <c r="AR58" s="1578">
        <f t="shared" si="417"/>
        <v>0</v>
      </c>
      <c r="AS58" s="1578">
        <f t="shared" si="417"/>
        <v>0</v>
      </c>
      <c r="AT58" s="1579">
        <f t="shared" si="417"/>
        <v>0</v>
      </c>
      <c r="AU58" s="975">
        <f t="shared" si="337"/>
        <v>0</v>
      </c>
      <c r="AV58" s="975">
        <f t="shared" si="338"/>
        <v>0</v>
      </c>
      <c r="AW58" s="971">
        <f t="shared" si="339"/>
        <v>0</v>
      </c>
      <c r="AX58" s="4488"/>
      <c r="AY58" s="4492" t="s">
        <v>1876</v>
      </c>
      <c r="AZ58" s="4496">
        <f t="shared" si="340"/>
        <v>0</v>
      </c>
      <c r="BA58" s="4496">
        <f t="shared" si="341"/>
        <v>0</v>
      </c>
      <c r="BB58" s="4496">
        <f t="shared" si="342"/>
        <v>0</v>
      </c>
      <c r="BC58" s="4496">
        <f t="shared" si="343"/>
        <v>0</v>
      </c>
      <c r="BD58" s="4496">
        <f t="shared" si="344"/>
        <v>0</v>
      </c>
      <c r="BE58" s="4496">
        <f t="shared" si="345"/>
        <v>0</v>
      </c>
      <c r="BF58" s="4496">
        <f t="shared" si="346"/>
        <v>0</v>
      </c>
      <c r="BG58" s="4496">
        <f t="shared" si="347"/>
        <v>0</v>
      </c>
      <c r="BH58" s="4496">
        <f t="shared" si="348"/>
        <v>0</v>
      </c>
      <c r="BI58" s="4496">
        <f t="shared" si="349"/>
        <v>0</v>
      </c>
      <c r="BJ58" s="4496">
        <f t="shared" si="350"/>
        <v>0</v>
      </c>
      <c r="BK58" s="4496">
        <f t="shared" si="351"/>
        <v>0</v>
      </c>
      <c r="BL58" s="4496">
        <f t="shared" si="352"/>
        <v>0</v>
      </c>
      <c r="BM58" s="4496">
        <f t="shared" si="353"/>
        <v>0</v>
      </c>
      <c r="BN58" s="4496">
        <f t="shared" si="354"/>
        <v>0</v>
      </c>
      <c r="BO58" s="4496">
        <f t="shared" si="355"/>
        <v>0</v>
      </c>
      <c r="BP58" s="4496">
        <f t="shared" si="356"/>
        <v>0</v>
      </c>
      <c r="BQ58" s="4496">
        <f t="shared" si="357"/>
        <v>0</v>
      </c>
      <c r="BR58" s="4496">
        <f t="shared" si="358"/>
        <v>0</v>
      </c>
      <c r="BS58" s="4496">
        <f t="shared" si="359"/>
        <v>0</v>
      </c>
      <c r="BT58" s="4496">
        <f t="shared" si="360"/>
        <v>0</v>
      </c>
      <c r="BU58" s="4496">
        <f t="shared" si="361"/>
        <v>0</v>
      </c>
      <c r="BV58" s="4496">
        <f t="shared" si="362"/>
        <v>0</v>
      </c>
      <c r="BW58" s="4496">
        <f t="shared" si="363"/>
        <v>0</v>
      </c>
      <c r="BX58" s="4496">
        <f t="shared" si="364"/>
        <v>0</v>
      </c>
      <c r="BY58" s="4496">
        <f t="shared" si="365"/>
        <v>0</v>
      </c>
      <c r="BZ58" s="4496">
        <f t="shared" si="366"/>
        <v>0</v>
      </c>
      <c r="CA58" s="4496">
        <f t="shared" si="367"/>
        <v>0</v>
      </c>
      <c r="CB58" s="4496">
        <f t="shared" si="368"/>
        <v>0</v>
      </c>
      <c r="CC58" s="4496">
        <f t="shared" si="369"/>
        <v>0</v>
      </c>
      <c r="CD58" s="4496">
        <f t="shared" si="370"/>
        <v>0</v>
      </c>
      <c r="CE58" s="4496">
        <f t="shared" si="371"/>
        <v>0</v>
      </c>
      <c r="CF58" s="4496">
        <f t="shared" si="372"/>
        <v>0</v>
      </c>
      <c r="CG58" s="4496">
        <f t="shared" si="373"/>
        <v>0</v>
      </c>
      <c r="CH58" s="4496">
        <f t="shared" si="374"/>
        <v>0</v>
      </c>
      <c r="CI58" s="4496">
        <f t="shared" si="375"/>
        <v>0</v>
      </c>
      <c r="CJ58" s="4496">
        <f t="shared" si="376"/>
        <v>0</v>
      </c>
      <c r="CK58" s="4496">
        <f t="shared" si="377"/>
        <v>0</v>
      </c>
      <c r="CL58" s="4496">
        <f t="shared" si="378"/>
        <v>0</v>
      </c>
      <c r="CM58" s="4496">
        <f t="shared" si="379"/>
        <v>0</v>
      </c>
      <c r="CN58" s="4496">
        <f t="shared" si="380"/>
        <v>0</v>
      </c>
      <c r="CO58" s="4496">
        <f t="shared" si="381"/>
        <v>0</v>
      </c>
      <c r="CP58" s="4496">
        <f t="shared" si="382"/>
        <v>0</v>
      </c>
      <c r="CQ58" s="4496">
        <f t="shared" si="383"/>
        <v>0</v>
      </c>
    </row>
    <row r="59" spans="1:121" s="166" customFormat="1" ht="27" thickBot="1">
      <c r="A59" s="626" t="s">
        <v>1269</v>
      </c>
      <c r="B59" s="628" t="s">
        <v>1200</v>
      </c>
      <c r="C59" s="1578">
        <f t="shared" ref="C59" si="418">IFERROR(C36/C21,0)</f>
        <v>17.513658126556937</v>
      </c>
      <c r="D59" s="1578">
        <f t="shared" ref="D59:H59" si="419">IFERROR(D36/D21,0)</f>
        <v>24.859995341540689</v>
      </c>
      <c r="E59" s="1578">
        <f t="shared" si="419"/>
        <v>28.449425702717804</v>
      </c>
      <c r="F59" s="1578">
        <f t="shared" si="419"/>
        <v>32.558426521822483</v>
      </c>
      <c r="G59" s="1578">
        <f t="shared" si="419"/>
        <v>37.261945239880262</v>
      </c>
      <c r="H59" s="1579">
        <f t="shared" si="419"/>
        <v>42.645704616041691</v>
      </c>
      <c r="I59" s="1578">
        <f t="shared" si="389"/>
        <v>13.694137118989518</v>
      </c>
      <c r="J59" s="1578">
        <f t="shared" ref="J59:N59" si="420">IFERROR(J36/J21,0)</f>
        <v>20.436842510404503</v>
      </c>
      <c r="K59" s="1578">
        <f t="shared" si="420"/>
        <v>23.382239482925026</v>
      </c>
      <c r="L59" s="1578">
        <f t="shared" si="420"/>
        <v>26.753643919973221</v>
      </c>
      <c r="M59" s="1578">
        <f t="shared" si="420"/>
        <v>30.612370949605751</v>
      </c>
      <c r="N59" s="1579">
        <f t="shared" si="420"/>
        <v>35.028549348711579</v>
      </c>
      <c r="O59" s="1578">
        <f t="shared" si="391"/>
        <v>16.719941709752959</v>
      </c>
      <c r="P59" s="1578">
        <f t="shared" ref="P59:T59" si="421">IFERROR(P36/P21,0)</f>
        <v>23.803498878399651</v>
      </c>
      <c r="Q59" s="1578">
        <f t="shared" si="421"/>
        <v>27.557319866789516</v>
      </c>
      <c r="R59" s="1578">
        <f t="shared" si="421"/>
        <v>31.908912533527101</v>
      </c>
      <c r="S59" s="1578">
        <f t="shared" si="421"/>
        <v>36.954126360353868</v>
      </c>
      <c r="T59" s="1579">
        <f t="shared" si="421"/>
        <v>42.804332303459233</v>
      </c>
      <c r="U59" s="1578">
        <f t="shared" si="393"/>
        <v>0</v>
      </c>
      <c r="V59" s="1578">
        <f t="shared" ref="V59:Z59" si="422">IFERROR(V36/V21,0)</f>
        <v>0</v>
      </c>
      <c r="W59" s="1578">
        <f t="shared" si="422"/>
        <v>0</v>
      </c>
      <c r="X59" s="1578">
        <f t="shared" si="422"/>
        <v>0</v>
      </c>
      <c r="Y59" s="1578">
        <f t="shared" si="422"/>
        <v>0</v>
      </c>
      <c r="Z59" s="1579">
        <f t="shared" si="422"/>
        <v>0</v>
      </c>
      <c r="AA59" s="1578">
        <f t="shared" si="395"/>
        <v>17.10060083380964</v>
      </c>
      <c r="AB59" s="1578">
        <f t="shared" ref="AB59:AF59" si="423">IFERROR(AB36/AB21,0)</f>
        <v>26.721514724221237</v>
      </c>
      <c r="AC59" s="1578">
        <f t="shared" si="423"/>
        <v>30.544926127758771</v>
      </c>
      <c r="AD59" s="1578">
        <f t="shared" si="423"/>
        <v>34.916658844973476</v>
      </c>
      <c r="AE59" s="1578">
        <f t="shared" si="423"/>
        <v>39.915076058016723</v>
      </c>
      <c r="AF59" s="1579">
        <f t="shared" si="423"/>
        <v>45.629711673144989</v>
      </c>
      <c r="AG59" s="1578">
        <f t="shared" si="397"/>
        <v>14.113299999999999</v>
      </c>
      <c r="AH59" s="1578">
        <f t="shared" ref="AH59:AL59" si="424">IFERROR(AH36/AH21,0)</f>
        <v>0</v>
      </c>
      <c r="AI59" s="1578">
        <f t="shared" si="424"/>
        <v>0</v>
      </c>
      <c r="AJ59" s="1578">
        <f t="shared" si="424"/>
        <v>0</v>
      </c>
      <c r="AK59" s="1578">
        <f t="shared" si="424"/>
        <v>0</v>
      </c>
      <c r="AL59" s="1579">
        <f t="shared" si="424"/>
        <v>0</v>
      </c>
      <c r="AM59" s="1578">
        <f t="shared" si="399"/>
        <v>17.266573427561838</v>
      </c>
      <c r="AN59" s="1578">
        <f t="shared" si="399"/>
        <v>19.381968705014913</v>
      </c>
      <c r="AO59" s="1578">
        <f t="shared" si="399"/>
        <v>21.617330579803355</v>
      </c>
      <c r="AP59" s="1578">
        <f t="shared" ref="AP59:AT59" si="425">IFERROR(AP36/AP21,0)</f>
        <v>24.806978214079461</v>
      </c>
      <c r="AQ59" s="1578">
        <f t="shared" si="425"/>
        <v>28.408220641848061</v>
      </c>
      <c r="AR59" s="1578">
        <f t="shared" si="425"/>
        <v>32.533601881111622</v>
      </c>
      <c r="AS59" s="1578">
        <f t="shared" si="425"/>
        <v>37.259153917844813</v>
      </c>
      <c r="AT59" s="1579">
        <f t="shared" si="425"/>
        <v>42.671905962131206</v>
      </c>
      <c r="AU59" s="975">
        <f t="shared" si="337"/>
        <v>0.4367053381003333</v>
      </c>
      <c r="AV59" s="975">
        <f t="shared" si="338"/>
        <v>0.49018097209080508</v>
      </c>
      <c r="AW59" s="971">
        <f t="shared" si="339"/>
        <v>0.45460073401911905</v>
      </c>
      <c r="AX59" s="4488"/>
      <c r="AY59" s="4492" t="s">
        <v>1876</v>
      </c>
      <c r="AZ59" s="4496">
        <f t="shared" si="340"/>
        <v>8.9545912101547351</v>
      </c>
      <c r="BA59" s="4496">
        <f t="shared" si="341"/>
        <v>12.710713784705566</v>
      </c>
      <c r="BB59" s="4496">
        <f t="shared" si="342"/>
        <v>14.545960386494636</v>
      </c>
      <c r="BC59" s="4496">
        <f t="shared" si="343"/>
        <v>16.646859145131469</v>
      </c>
      <c r="BD59" s="4496">
        <f t="shared" si="344"/>
        <v>19.051730078728859</v>
      </c>
      <c r="BE59" s="4496">
        <f t="shared" si="345"/>
        <v>21.804402538074214</v>
      </c>
      <c r="BF59" s="4496">
        <f t="shared" si="346"/>
        <v>7.0017011289271149</v>
      </c>
      <c r="BG59" s="4496">
        <f t="shared" si="347"/>
        <v>10.449191652855568</v>
      </c>
      <c r="BH59" s="4496">
        <f t="shared" si="348"/>
        <v>11.955149211805232</v>
      </c>
      <c r="BI59" s="4496">
        <f t="shared" si="349"/>
        <v>13.678920928696881</v>
      </c>
      <c r="BJ59" s="4496">
        <f t="shared" si="350"/>
        <v>15.651856730700393</v>
      </c>
      <c r="BK59" s="4496">
        <f t="shared" si="351"/>
        <v>17.909812892077316</v>
      </c>
      <c r="BL59" s="4496">
        <f t="shared" si="352"/>
        <v>8.5487704502707089</v>
      </c>
      <c r="BM59" s="4496">
        <f t="shared" si="353"/>
        <v>12.170535720589035</v>
      </c>
      <c r="BN59" s="4496">
        <f t="shared" si="354"/>
        <v>14.089833915416737</v>
      </c>
      <c r="BO59" s="4496">
        <f t="shared" si="355"/>
        <v>16.314767916192665</v>
      </c>
      <c r="BP59" s="4496">
        <f t="shared" si="356"/>
        <v>18.894344784748096</v>
      </c>
      <c r="BQ59" s="4496">
        <f t="shared" si="357"/>
        <v>21.885507586783735</v>
      </c>
      <c r="BR59" s="4496">
        <f t="shared" si="358"/>
        <v>0</v>
      </c>
      <c r="BS59" s="4496">
        <f t="shared" si="359"/>
        <v>0</v>
      </c>
      <c r="BT59" s="4496">
        <f t="shared" si="360"/>
        <v>0</v>
      </c>
      <c r="BU59" s="4496">
        <f t="shared" si="361"/>
        <v>0</v>
      </c>
      <c r="BV59" s="4496">
        <f t="shared" si="362"/>
        <v>0</v>
      </c>
      <c r="BW59" s="4496">
        <f t="shared" si="363"/>
        <v>0</v>
      </c>
      <c r="BX59" s="4496">
        <f t="shared" si="364"/>
        <v>8.7433983699041526</v>
      </c>
      <c r="BY59" s="4496">
        <f t="shared" si="365"/>
        <v>13.662493531759528</v>
      </c>
      <c r="BZ59" s="4496">
        <f t="shared" si="366"/>
        <v>15.617372740861308</v>
      </c>
      <c r="CA59" s="4496">
        <f t="shared" si="367"/>
        <v>17.852604185933071</v>
      </c>
      <c r="CB59" s="4496">
        <f t="shared" si="368"/>
        <v>20.408254325793511</v>
      </c>
      <c r="CC59" s="4496">
        <f t="shared" si="369"/>
        <v>23.330101119803352</v>
      </c>
      <c r="CD59" s="4496">
        <f t="shared" si="370"/>
        <v>7.2160157068865898</v>
      </c>
      <c r="CE59" s="4496">
        <f t="shared" si="371"/>
        <v>0</v>
      </c>
      <c r="CF59" s="4496">
        <f t="shared" si="372"/>
        <v>0</v>
      </c>
      <c r="CG59" s="4496">
        <f t="shared" si="373"/>
        <v>0</v>
      </c>
      <c r="CH59" s="4496">
        <f t="shared" si="374"/>
        <v>0</v>
      </c>
      <c r="CI59" s="4496">
        <f t="shared" si="375"/>
        <v>0</v>
      </c>
      <c r="CJ59" s="4496">
        <f t="shared" si="376"/>
        <v>8.8282588095907304</v>
      </c>
      <c r="CK59" s="4496">
        <f t="shared" si="377"/>
        <v>9.9098432404733092</v>
      </c>
      <c r="CL59" s="4496">
        <f t="shared" si="378"/>
        <v>11.052765618588198</v>
      </c>
      <c r="CM59" s="4496">
        <f t="shared" si="379"/>
        <v>12.683606557870297</v>
      </c>
      <c r="CN59" s="4496">
        <f t="shared" si="380"/>
        <v>14.52489257340774</v>
      </c>
      <c r="CO59" s="4496">
        <f t="shared" si="381"/>
        <v>16.634166507882394</v>
      </c>
      <c r="CP59" s="4496">
        <f t="shared" si="382"/>
        <v>19.050302898434328</v>
      </c>
      <c r="CQ59" s="4496">
        <f t="shared" si="383"/>
        <v>21.817799073606196</v>
      </c>
    </row>
    <row r="60" spans="1:121" s="166" customFormat="1" ht="27" thickBot="1">
      <c r="A60" s="626" t="s">
        <v>1270</v>
      </c>
      <c r="B60" s="628" t="s">
        <v>1201</v>
      </c>
      <c r="C60" s="1578">
        <f t="shared" ref="C60" si="426">IFERROR(C37/C22,0)</f>
        <v>18.068848311840881</v>
      </c>
      <c r="D60" s="1578">
        <f t="shared" ref="D60:H60" si="427">IFERROR(D37/D22,0)</f>
        <v>26.930895880985911</v>
      </c>
      <c r="E60" s="1578">
        <f t="shared" si="427"/>
        <v>30.723444978182684</v>
      </c>
      <c r="F60" s="1578">
        <f t="shared" si="427"/>
        <v>35.11495134869984</v>
      </c>
      <c r="G60" s="1578">
        <f t="shared" si="427"/>
        <v>40.201429565568255</v>
      </c>
      <c r="H60" s="1579">
        <f t="shared" si="427"/>
        <v>46.094432722311673</v>
      </c>
      <c r="I60" s="1578">
        <f t="shared" si="389"/>
        <v>18.67534122213161</v>
      </c>
      <c r="J60" s="1578">
        <f t="shared" ref="J60:N60" si="428">IFERROR(J37/J22,0)</f>
        <v>36.160083211306315</v>
      </c>
      <c r="K60" s="1578">
        <f t="shared" si="428"/>
        <v>40.047504708534532</v>
      </c>
      <c r="L60" s="1578">
        <f t="shared" si="428"/>
        <v>44.490326281734923</v>
      </c>
      <c r="M60" s="1578">
        <f t="shared" si="428"/>
        <v>49.567470595294964</v>
      </c>
      <c r="N60" s="1579">
        <f t="shared" si="428"/>
        <v>55.369056043889351</v>
      </c>
      <c r="O60" s="1578">
        <f t="shared" si="391"/>
        <v>15.838327185943704</v>
      </c>
      <c r="P60" s="1578">
        <f t="shared" ref="P60:T60" si="429">IFERROR(P37/P22,0)</f>
        <v>20.096485091349468</v>
      </c>
      <c r="Q60" s="1578">
        <f t="shared" si="429"/>
        <v>23.520917334873893</v>
      </c>
      <c r="R60" s="1578">
        <f t="shared" si="429"/>
        <v>27.55952870579528</v>
      </c>
      <c r="S60" s="1578">
        <f t="shared" si="429"/>
        <v>32.326924857512864</v>
      </c>
      <c r="T60" s="1579">
        <f t="shared" si="429"/>
        <v>37.960178875455092</v>
      </c>
      <c r="U60" s="1578">
        <f t="shared" si="393"/>
        <v>0</v>
      </c>
      <c r="V60" s="1578">
        <f t="shared" ref="V60:Z60" si="430">IFERROR(V37/V22,0)</f>
        <v>0</v>
      </c>
      <c r="W60" s="1578">
        <f t="shared" si="430"/>
        <v>0</v>
      </c>
      <c r="X60" s="1578">
        <f t="shared" si="430"/>
        <v>0</v>
      </c>
      <c r="Y60" s="1578">
        <f t="shared" si="430"/>
        <v>0</v>
      </c>
      <c r="Z60" s="1579">
        <f t="shared" si="430"/>
        <v>0</v>
      </c>
      <c r="AA60" s="1578">
        <f t="shared" si="395"/>
        <v>17.290583073195442</v>
      </c>
      <c r="AB60" s="1578">
        <f t="shared" ref="AB60:AF60" si="431">IFERROR(AB37/AB22,0)</f>
        <v>22.90434322144322</v>
      </c>
      <c r="AC60" s="1578">
        <f t="shared" si="431"/>
        <v>26.440626992973453</v>
      </c>
      <c r="AD60" s="1578">
        <f t="shared" si="431"/>
        <v>30.592725429468743</v>
      </c>
      <c r="AE60" s="1578">
        <f t="shared" si="431"/>
        <v>35.472544664191929</v>
      </c>
      <c r="AF60" s="1579">
        <f t="shared" si="431"/>
        <v>41.213246923525908</v>
      </c>
      <c r="AG60" s="1578">
        <f t="shared" si="397"/>
        <v>18.053481481481484</v>
      </c>
      <c r="AH60" s="1578">
        <f t="shared" ref="AH60:AL60" si="432">IFERROR(AH37/AH22,0)</f>
        <v>0</v>
      </c>
      <c r="AI60" s="1578">
        <f t="shared" si="432"/>
        <v>0</v>
      </c>
      <c r="AJ60" s="1578">
        <f t="shared" si="432"/>
        <v>0</v>
      </c>
      <c r="AK60" s="1578">
        <f t="shared" si="432"/>
        <v>0</v>
      </c>
      <c r="AL60" s="1579">
        <f t="shared" si="432"/>
        <v>0</v>
      </c>
      <c r="AM60" s="1578">
        <f t="shared" si="399"/>
        <v>17.350378774422733</v>
      </c>
      <c r="AN60" s="1578">
        <f t="shared" si="399"/>
        <v>19.634477570536927</v>
      </c>
      <c r="AO60" s="1578">
        <f t="shared" si="399"/>
        <v>21.077208236064756</v>
      </c>
      <c r="AP60" s="1578">
        <f t="shared" ref="AP60:AT60" si="433">IFERROR(AP37/AP22,0)</f>
        <v>24.083660208667141</v>
      </c>
      <c r="AQ60" s="1578">
        <f t="shared" si="433"/>
        <v>27.725952765351902</v>
      </c>
      <c r="AR60" s="1578">
        <f t="shared" si="433"/>
        <v>31.977977785443702</v>
      </c>
      <c r="AS60" s="1578">
        <f t="shared" si="433"/>
        <v>36.944769603968943</v>
      </c>
      <c r="AT60" s="1579">
        <f t="shared" si="433"/>
        <v>42.749970667796624</v>
      </c>
      <c r="AU60" s="975">
        <f t="shared" si="337"/>
        <v>0.38807691300493996</v>
      </c>
      <c r="AV60" s="975">
        <f t="shared" si="338"/>
        <v>0.40939028571366642</v>
      </c>
      <c r="AW60" s="971">
        <f t="shared" si="339"/>
        <v>0.62997939359854249</v>
      </c>
      <c r="AX60" s="4488"/>
      <c r="AY60" s="4492" t="s">
        <v>1876</v>
      </c>
      <c r="AZ60" s="4496">
        <f t="shared" si="340"/>
        <v>9.2384554444102402</v>
      </c>
      <c r="BA60" s="4496">
        <f t="shared" si="341"/>
        <v>13.769548417288778</v>
      </c>
      <c r="BB60" s="4496">
        <f t="shared" si="342"/>
        <v>15.708647979723537</v>
      </c>
      <c r="BC60" s="4496">
        <f t="shared" si="343"/>
        <v>17.95398953319043</v>
      </c>
      <c r="BD60" s="4496">
        <f t="shared" si="344"/>
        <v>20.554664549356669</v>
      </c>
      <c r="BE60" s="4496">
        <f t="shared" si="345"/>
        <v>23.567709219263268</v>
      </c>
      <c r="BF60" s="4496">
        <f t="shared" si="346"/>
        <v>9.5485503454449567</v>
      </c>
      <c r="BG60" s="4496">
        <f t="shared" si="347"/>
        <v>18.488356969320602</v>
      </c>
      <c r="BH60" s="4496">
        <f t="shared" si="348"/>
        <v>20.47596401964104</v>
      </c>
      <c r="BI60" s="4496">
        <f t="shared" si="349"/>
        <v>22.747542619621811</v>
      </c>
      <c r="BJ60" s="4496">
        <f t="shared" si="350"/>
        <v>25.343445286806606</v>
      </c>
      <c r="BK60" s="4496">
        <f t="shared" si="351"/>
        <v>28.309748824739039</v>
      </c>
      <c r="BL60" s="4496">
        <f t="shared" si="352"/>
        <v>8.0980081019023658</v>
      </c>
      <c r="BM60" s="4496">
        <f t="shared" si="353"/>
        <v>10.275169667787829</v>
      </c>
      <c r="BN60" s="4496">
        <f t="shared" si="354"/>
        <v>12.026054071608419</v>
      </c>
      <c r="BO60" s="4496">
        <f t="shared" si="355"/>
        <v>14.090963276867253</v>
      </c>
      <c r="BP60" s="4496">
        <f t="shared" si="356"/>
        <v>16.52849422368655</v>
      </c>
      <c r="BQ60" s="4496">
        <f t="shared" si="357"/>
        <v>19.408731267776389</v>
      </c>
      <c r="BR60" s="4496">
        <f t="shared" si="358"/>
        <v>0</v>
      </c>
      <c r="BS60" s="4496">
        <f t="shared" si="359"/>
        <v>0</v>
      </c>
      <c r="BT60" s="4496">
        <f t="shared" si="360"/>
        <v>0</v>
      </c>
      <c r="BU60" s="4496">
        <f t="shared" si="361"/>
        <v>0</v>
      </c>
      <c r="BV60" s="4496">
        <f t="shared" si="362"/>
        <v>0</v>
      </c>
      <c r="BW60" s="4496">
        <f t="shared" si="363"/>
        <v>0</v>
      </c>
      <c r="BX60" s="4496">
        <f t="shared" si="364"/>
        <v>8.8405347464735904</v>
      </c>
      <c r="BY60" s="4496">
        <f t="shared" si="365"/>
        <v>11.710804733255559</v>
      </c>
      <c r="BZ60" s="4496">
        <f t="shared" si="366"/>
        <v>13.518877915244911</v>
      </c>
      <c r="CA60" s="4496">
        <f t="shared" si="367"/>
        <v>15.641812135752465</v>
      </c>
      <c r="CB60" s="4496">
        <f t="shared" si="368"/>
        <v>18.136824092171572</v>
      </c>
      <c r="CC60" s="4496">
        <f t="shared" si="369"/>
        <v>21.071998549733827</v>
      </c>
      <c r="CD60" s="4496">
        <f t="shared" si="370"/>
        <v>9.2305985088077609</v>
      </c>
      <c r="CE60" s="4496">
        <f t="shared" si="371"/>
        <v>0</v>
      </c>
      <c r="CF60" s="4496">
        <f t="shared" si="372"/>
        <v>0</v>
      </c>
      <c r="CG60" s="4496">
        <f t="shared" si="373"/>
        <v>0</v>
      </c>
      <c r="CH60" s="4496">
        <f t="shared" si="374"/>
        <v>0</v>
      </c>
      <c r="CI60" s="4496">
        <f t="shared" si="375"/>
        <v>0</v>
      </c>
      <c r="CJ60" s="4496">
        <f t="shared" si="376"/>
        <v>8.8711078030415393</v>
      </c>
      <c r="CK60" s="4496">
        <f t="shared" si="377"/>
        <v>10.038948973344784</v>
      </c>
      <c r="CL60" s="4496">
        <f t="shared" si="378"/>
        <v>10.776605449381979</v>
      </c>
      <c r="CM60" s="4496">
        <f t="shared" si="379"/>
        <v>12.313779934179934</v>
      </c>
      <c r="CN60" s="4496">
        <f t="shared" si="380"/>
        <v>14.176054547354271</v>
      </c>
      <c r="CO60" s="4496">
        <f t="shared" si="381"/>
        <v>16.350080418770396</v>
      </c>
      <c r="CP60" s="4496">
        <f t="shared" si="382"/>
        <v>18.889560751174152</v>
      </c>
      <c r="CQ60" s="4496">
        <f t="shared" si="383"/>
        <v>21.857712923820898</v>
      </c>
    </row>
    <row r="61" spans="1:121" s="166" customFormat="1" ht="27" thickBot="1">
      <c r="A61" s="782" t="s">
        <v>1271</v>
      </c>
      <c r="B61" s="629" t="s">
        <v>1202</v>
      </c>
      <c r="C61" s="1580">
        <f t="shared" ref="C61" si="434">IFERROR(C38/C23,0)</f>
        <v>15.694314116353217</v>
      </c>
      <c r="D61" s="1580">
        <f t="shared" ref="D61:H61" si="435">IFERROR(D38/D23,0)</f>
        <v>22.119976566847878</v>
      </c>
      <c r="E61" s="1580">
        <f t="shared" si="435"/>
        <v>25.153952368401654</v>
      </c>
      <c r="F61" s="1580">
        <f t="shared" si="435"/>
        <v>28.78622756881542</v>
      </c>
      <c r="G61" s="1580">
        <f t="shared" si="435"/>
        <v>32.981980737318672</v>
      </c>
      <c r="H61" s="1581">
        <f t="shared" si="435"/>
        <v>37.759600200697164</v>
      </c>
      <c r="I61" s="1580">
        <f t="shared" si="389"/>
        <v>12.291449460691931</v>
      </c>
      <c r="J61" s="1580">
        <f t="shared" ref="J61:N61" si="436">IFERROR(J38/J23,0)</f>
        <v>27.425085504643501</v>
      </c>
      <c r="K61" s="1580">
        <f t="shared" si="436"/>
        <v>30.936739677963629</v>
      </c>
      <c r="L61" s="1580">
        <f t="shared" si="436"/>
        <v>34.920292777794728</v>
      </c>
      <c r="M61" s="1580">
        <f t="shared" si="436"/>
        <v>39.43875253390059</v>
      </c>
      <c r="N61" s="1581">
        <f t="shared" si="436"/>
        <v>44.563440890554631</v>
      </c>
      <c r="O61" s="1580">
        <f t="shared" si="391"/>
        <v>15.23930900278226</v>
      </c>
      <c r="P61" s="1580">
        <f t="shared" ref="P61:T61" si="437">IFERROR(P38/P23,0)</f>
        <v>21.936499622890114</v>
      </c>
      <c r="Q61" s="1580">
        <f t="shared" si="437"/>
        <v>25.374332543331171</v>
      </c>
      <c r="R61" s="1580">
        <f t="shared" si="437"/>
        <v>29.356618661040784</v>
      </c>
      <c r="S61" s="1580">
        <f t="shared" si="437"/>
        <v>33.970892279381339</v>
      </c>
      <c r="T61" s="1581">
        <f t="shared" si="437"/>
        <v>39.319100455661662</v>
      </c>
      <c r="U61" s="1580">
        <f t="shared" si="393"/>
        <v>0</v>
      </c>
      <c r="V61" s="1580">
        <f t="shared" ref="V61:Z61" si="438">IFERROR(V38/V23,0)</f>
        <v>0</v>
      </c>
      <c r="W61" s="1580">
        <f t="shared" si="438"/>
        <v>0</v>
      </c>
      <c r="X61" s="1580">
        <f t="shared" si="438"/>
        <v>0</v>
      </c>
      <c r="Y61" s="1580">
        <f t="shared" si="438"/>
        <v>0</v>
      </c>
      <c r="Z61" s="1581">
        <f t="shared" si="438"/>
        <v>0</v>
      </c>
      <c r="AA61" s="1580">
        <f t="shared" si="395"/>
        <v>14.147755102886274</v>
      </c>
      <c r="AB61" s="1580">
        <f t="shared" ref="AB61:AF61" si="439">IFERROR(AB38/AB23,0)</f>
        <v>20.900710265486733</v>
      </c>
      <c r="AC61" s="1580">
        <f t="shared" si="439"/>
        <v>23.907452389380541</v>
      </c>
      <c r="AD61" s="1580">
        <f t="shared" si="439"/>
        <v>27.348090265486725</v>
      </c>
      <c r="AE61" s="1580">
        <f t="shared" si="439"/>
        <v>31.284986017699126</v>
      </c>
      <c r="AF61" s="1581">
        <f t="shared" si="439"/>
        <v>35.789434159292043</v>
      </c>
      <c r="AG61" s="1580">
        <f t="shared" si="397"/>
        <v>0</v>
      </c>
      <c r="AH61" s="1580">
        <f t="shared" ref="AH61:AL61" si="440">IFERROR(AH38/AH23,0)</f>
        <v>0</v>
      </c>
      <c r="AI61" s="1580">
        <f t="shared" si="440"/>
        <v>0</v>
      </c>
      <c r="AJ61" s="1580">
        <f t="shared" si="440"/>
        <v>0</v>
      </c>
      <c r="AK61" s="1580">
        <f t="shared" si="440"/>
        <v>0</v>
      </c>
      <c r="AL61" s="1581">
        <f t="shared" si="440"/>
        <v>0</v>
      </c>
      <c r="AM61" s="1580">
        <f t="shared" si="399"/>
        <v>15.609958205792323</v>
      </c>
      <c r="AN61" s="1580">
        <f t="shared" si="399"/>
        <v>17.484454279105623</v>
      </c>
      <c r="AO61" s="1580">
        <f t="shared" si="399"/>
        <v>19.327739606035905</v>
      </c>
      <c r="AP61" s="1580">
        <f t="shared" ref="AP61:AT61" si="441">IFERROR(AP38/AP23,0)</f>
        <v>22.12975925085307</v>
      </c>
      <c r="AQ61" s="1580">
        <f t="shared" si="441"/>
        <v>25.194475583481498</v>
      </c>
      <c r="AR61" s="1580">
        <f t="shared" si="441"/>
        <v>28.850026721038347</v>
      </c>
      <c r="AS61" s="1580">
        <f t="shared" si="441"/>
        <v>33.072212978997555</v>
      </c>
      <c r="AT61" s="1581">
        <f t="shared" si="441"/>
        <v>37.886356422561526</v>
      </c>
      <c r="AU61" s="1561">
        <f>IFERROR((AP61-AM61)/AM61,0)</f>
        <v>0.41766934665087518</v>
      </c>
      <c r="AV61" s="1561">
        <f t="shared" si="338"/>
        <v>0.44161205834207801</v>
      </c>
      <c r="AW61" s="1562">
        <f t="shared" si="339"/>
        <v>0.7929613233512246</v>
      </c>
      <c r="AX61" s="4488"/>
      <c r="AY61" s="4492" t="s">
        <v>1876</v>
      </c>
      <c r="AZ61" s="4496">
        <f t="shared" si="340"/>
        <v>8.0243753886346045</v>
      </c>
      <c r="BA61" s="4496">
        <f t="shared" si="341"/>
        <v>11.309764430879923</v>
      </c>
      <c r="BB61" s="4496">
        <f t="shared" si="342"/>
        <v>12.861011625960158</v>
      </c>
      <c r="BC61" s="4496">
        <f t="shared" si="343"/>
        <v>14.718164446202083</v>
      </c>
      <c r="BD61" s="4496">
        <f t="shared" si="344"/>
        <v>16.863418976761107</v>
      </c>
      <c r="BE61" s="4496">
        <f t="shared" si="345"/>
        <v>19.306177019831562</v>
      </c>
      <c r="BF61" s="4496">
        <f t="shared" si="346"/>
        <v>6.2845183173854222</v>
      </c>
      <c r="BG61" s="4496">
        <f t="shared" si="347"/>
        <v>14.02222355963632</v>
      </c>
      <c r="BH61" s="4496">
        <f t="shared" si="348"/>
        <v>15.817703828023719</v>
      </c>
      <c r="BI61" s="4496">
        <f t="shared" si="349"/>
        <v>17.854462186281388</v>
      </c>
      <c r="BJ61" s="4496">
        <f t="shared" si="350"/>
        <v>20.164713975090162</v>
      </c>
      <c r="BK61" s="4496">
        <f t="shared" si="351"/>
        <v>22.784925525508164</v>
      </c>
      <c r="BL61" s="4496">
        <f t="shared" si="352"/>
        <v>7.7917349681630101</v>
      </c>
      <c r="BM61" s="4496">
        <f t="shared" si="353"/>
        <v>11.215954159047625</v>
      </c>
      <c r="BN61" s="4496">
        <f t="shared" si="354"/>
        <v>12.973690220178222</v>
      </c>
      <c r="BO61" s="4496">
        <f t="shared" si="355"/>
        <v>15.009800780763555</v>
      </c>
      <c r="BP61" s="4496">
        <f t="shared" si="356"/>
        <v>17.369041419438979</v>
      </c>
      <c r="BQ61" s="4496">
        <f t="shared" si="357"/>
        <v>20.103536838918345</v>
      </c>
      <c r="BR61" s="4496">
        <f t="shared" si="358"/>
        <v>0</v>
      </c>
      <c r="BS61" s="4496">
        <f t="shared" si="359"/>
        <v>0</v>
      </c>
      <c r="BT61" s="4496">
        <f t="shared" si="360"/>
        <v>0</v>
      </c>
      <c r="BU61" s="4496">
        <f t="shared" si="361"/>
        <v>0</v>
      </c>
      <c r="BV61" s="4496">
        <f t="shared" si="362"/>
        <v>0</v>
      </c>
      <c r="BW61" s="4496">
        <f t="shared" si="363"/>
        <v>0</v>
      </c>
      <c r="BX61" s="4496">
        <f t="shared" si="364"/>
        <v>7.2336323212581224</v>
      </c>
      <c r="BY61" s="4496">
        <f t="shared" si="365"/>
        <v>10.686363469977827</v>
      </c>
      <c r="BZ61" s="4496">
        <f t="shared" si="366"/>
        <v>12.223686306775406</v>
      </c>
      <c r="CA61" s="4496">
        <f t="shared" si="367"/>
        <v>13.982856518964699</v>
      </c>
      <c r="CB61" s="4496">
        <f t="shared" si="368"/>
        <v>15.995759354186777</v>
      </c>
      <c r="CC61" s="4496">
        <f t="shared" si="369"/>
        <v>18.298847118252631</v>
      </c>
      <c r="CD61" s="4496">
        <f t="shared" si="370"/>
        <v>0</v>
      </c>
      <c r="CE61" s="4496">
        <f t="shared" si="371"/>
        <v>0</v>
      </c>
      <c r="CF61" s="4496">
        <f t="shared" si="372"/>
        <v>0</v>
      </c>
      <c r="CG61" s="4496">
        <f t="shared" si="373"/>
        <v>0</v>
      </c>
      <c r="CH61" s="4496">
        <f t="shared" si="374"/>
        <v>0</v>
      </c>
      <c r="CI61" s="4496">
        <f t="shared" si="375"/>
        <v>0</v>
      </c>
      <c r="CJ61" s="4496">
        <f t="shared" si="376"/>
        <v>7.9812448964339042</v>
      </c>
      <c r="CK61" s="4496">
        <f t="shared" si="377"/>
        <v>8.939659520053187</v>
      </c>
      <c r="CL61" s="4496">
        <f t="shared" si="378"/>
        <v>9.8821163424407565</v>
      </c>
      <c r="CM61" s="4496">
        <f t="shared" si="379"/>
        <v>11.314766237788085</v>
      </c>
      <c r="CN61" s="4496">
        <f t="shared" si="380"/>
        <v>12.88173081683045</v>
      </c>
      <c r="CO61" s="4496">
        <f t="shared" si="381"/>
        <v>14.750784434760867</v>
      </c>
      <c r="CP61" s="4496">
        <f t="shared" si="382"/>
        <v>16.909553989353654</v>
      </c>
      <c r="CQ61" s="4496">
        <f t="shared" si="383"/>
        <v>19.370986446961918</v>
      </c>
    </row>
    <row r="62" spans="1:121" ht="24">
      <c r="A62" s="779" t="s">
        <v>109</v>
      </c>
      <c r="B62" s="780" t="s">
        <v>1007</v>
      </c>
      <c r="C62" s="1582">
        <f t="shared" ref="C62:AL62" si="442">IFERROR(C42/C29,0)</f>
        <v>0.19552367079252059</v>
      </c>
      <c r="D62" s="1583">
        <f t="shared" si="442"/>
        <v>0.20096712138335088</v>
      </c>
      <c r="E62" s="1583">
        <f t="shared" si="442"/>
        <v>0.21154258500664933</v>
      </c>
      <c r="F62" s="1583">
        <f t="shared" si="442"/>
        <v>0.21140031377825788</v>
      </c>
      <c r="G62" s="1583">
        <f t="shared" si="442"/>
        <v>0.21128290323733206</v>
      </c>
      <c r="H62" s="1584">
        <f t="shared" si="442"/>
        <v>0.21116615598063879</v>
      </c>
      <c r="I62" s="1582">
        <f t="shared" si="442"/>
        <v>0.22710876459045873</v>
      </c>
      <c r="J62" s="1583">
        <f t="shared" si="442"/>
        <v>0.23046617499328592</v>
      </c>
      <c r="K62" s="1583">
        <f t="shared" si="442"/>
        <v>0.24129972828114854</v>
      </c>
      <c r="L62" s="1583">
        <f t="shared" si="442"/>
        <v>0.24141270252488967</v>
      </c>
      <c r="M62" s="1583">
        <f t="shared" si="442"/>
        <v>0.24152505020113038</v>
      </c>
      <c r="N62" s="1584">
        <f t="shared" si="442"/>
        <v>0.24163486842809098</v>
      </c>
      <c r="O62" s="1582">
        <f t="shared" si="442"/>
        <v>0.19642753616657144</v>
      </c>
      <c r="P62" s="1583">
        <f t="shared" si="442"/>
        <v>0.20134700604841946</v>
      </c>
      <c r="Q62" s="1583">
        <f t="shared" si="442"/>
        <v>0.21203888721964825</v>
      </c>
      <c r="R62" s="1583">
        <f t="shared" si="442"/>
        <v>0.21183895748191325</v>
      </c>
      <c r="S62" s="1583">
        <f t="shared" si="442"/>
        <v>0.21166778875622663</v>
      </c>
      <c r="T62" s="1584">
        <f t="shared" si="442"/>
        <v>0.21151836146180023</v>
      </c>
      <c r="U62" s="1582">
        <f t="shared" si="442"/>
        <v>0</v>
      </c>
      <c r="V62" s="1583">
        <f t="shared" si="442"/>
        <v>0</v>
      </c>
      <c r="W62" s="1583">
        <f t="shared" si="442"/>
        <v>0</v>
      </c>
      <c r="X62" s="1583">
        <f t="shared" si="442"/>
        <v>0</v>
      </c>
      <c r="Y62" s="1583">
        <f t="shared" si="442"/>
        <v>0</v>
      </c>
      <c r="Z62" s="1584">
        <f t="shared" si="442"/>
        <v>0</v>
      </c>
      <c r="AA62" s="1582">
        <f t="shared" si="442"/>
        <v>0.1960036570591675</v>
      </c>
      <c r="AB62" s="1583">
        <f t="shared" si="442"/>
        <v>0.20002656310776099</v>
      </c>
      <c r="AC62" s="1583">
        <f t="shared" si="442"/>
        <v>0.21043040401526486</v>
      </c>
      <c r="AD62" s="1583">
        <f t="shared" si="442"/>
        <v>0.21090969951405861</v>
      </c>
      <c r="AE62" s="1583">
        <f t="shared" si="442"/>
        <v>0.21136370499674301</v>
      </c>
      <c r="AF62" s="1584">
        <f t="shared" si="442"/>
        <v>0.21136718285461659</v>
      </c>
      <c r="AG62" s="1582">
        <f t="shared" si="442"/>
        <v>0.19741984338860805</v>
      </c>
      <c r="AH62" s="1583">
        <f t="shared" si="442"/>
        <v>0.20196698249177292</v>
      </c>
      <c r="AI62" s="1583">
        <f t="shared" si="442"/>
        <v>0.2125360326765755</v>
      </c>
      <c r="AJ62" s="1583">
        <f t="shared" si="442"/>
        <v>0.21229854772583176</v>
      </c>
      <c r="AK62" s="1583">
        <f t="shared" si="442"/>
        <v>0.2120982196933115</v>
      </c>
      <c r="AL62" s="1584">
        <f t="shared" si="442"/>
        <v>0.21191546197078787</v>
      </c>
      <c r="AM62" s="1582">
        <f>IFERROR(AM42/AM29,0)</f>
        <v>0.19637856717888161</v>
      </c>
      <c r="AN62" s="1583">
        <f>IFERROR(AN42/AN29,0)</f>
        <v>0.1921564176813991</v>
      </c>
      <c r="AO62" s="1583">
        <f t="shared" ref="AO62:AS62" si="443">IFERROR(AO42/AO29,0)</f>
        <v>0.19662298200865835</v>
      </c>
      <c r="AP62" s="1583">
        <f t="shared" si="443"/>
        <v>0.20184422045540792</v>
      </c>
      <c r="AQ62" s="1583">
        <f t="shared" si="443"/>
        <v>0.21242634057713886</v>
      </c>
      <c r="AR62" s="1583">
        <f t="shared" si="443"/>
        <v>0.212357753630628</v>
      </c>
      <c r="AS62" s="1583">
        <f t="shared" si="443"/>
        <v>0.21230747788428991</v>
      </c>
      <c r="AT62" s="1584">
        <f>IFERROR(AT42/AT29,0)</f>
        <v>0.21220645912631991</v>
      </c>
      <c r="AU62" s="1568"/>
      <c r="AV62" s="1568"/>
      <c r="AW62" s="1569"/>
      <c r="AX62" s="4488"/>
      <c r="AY62" s="1"/>
      <c r="AZ62" s="147"/>
      <c r="BA62" s="147"/>
      <c r="BB62" s="147"/>
    </row>
    <row r="63" spans="1:121" ht="24.6" thickBot="1">
      <c r="A63" s="327" t="s">
        <v>83</v>
      </c>
      <c r="B63" s="781" t="s">
        <v>1008</v>
      </c>
      <c r="C63" s="1979">
        <f t="shared" ref="C63:AT63" si="444">IFERROR(C46/C29,0)</f>
        <v>7.5832034309722449E-2</v>
      </c>
      <c r="D63" s="1980">
        <f t="shared" si="444"/>
        <v>7.8342219969903884E-2</v>
      </c>
      <c r="E63" s="1980">
        <f t="shared" si="444"/>
        <v>7.2563459572403219E-2</v>
      </c>
      <c r="F63" s="1980">
        <f t="shared" si="444"/>
        <v>7.1023040306929283E-2</v>
      </c>
      <c r="G63" s="1980">
        <f t="shared" si="444"/>
        <v>6.5829152980464059E-2</v>
      </c>
      <c r="H63" s="1981">
        <f t="shared" si="444"/>
        <v>5.7725616439078684E-2</v>
      </c>
      <c r="I63" s="1979">
        <f t="shared" si="444"/>
        <v>7.6663341365173443E-2</v>
      </c>
      <c r="J63" s="1980">
        <f t="shared" si="444"/>
        <v>6.7016374091350167E-2</v>
      </c>
      <c r="K63" s="1980">
        <f t="shared" si="444"/>
        <v>6.2433829151079138E-2</v>
      </c>
      <c r="L63" s="1980">
        <f t="shared" si="444"/>
        <v>6.1470515984933333E-2</v>
      </c>
      <c r="M63" s="1980">
        <f t="shared" si="444"/>
        <v>5.7300210598290748E-2</v>
      </c>
      <c r="N63" s="1981">
        <f t="shared" si="444"/>
        <v>5.0501859995009946E-2</v>
      </c>
      <c r="O63" s="1979">
        <f t="shared" si="444"/>
        <v>7.5424911132630557E-2</v>
      </c>
      <c r="P63" s="1980">
        <f t="shared" si="444"/>
        <v>7.6683767394618005E-2</v>
      </c>
      <c r="Q63" s="1980">
        <f t="shared" si="444"/>
        <v>7.0981149376646333E-2</v>
      </c>
      <c r="R63" s="1980">
        <f t="shared" si="444"/>
        <v>6.9438418338513622E-2</v>
      </c>
      <c r="S63" s="1980">
        <f t="shared" si="444"/>
        <v>6.4377895110430919E-2</v>
      </c>
      <c r="T63" s="1981">
        <f t="shared" si="444"/>
        <v>5.6488867272232124E-2</v>
      </c>
      <c r="U63" s="1979">
        <f t="shared" si="444"/>
        <v>0</v>
      </c>
      <c r="V63" s="1980">
        <f t="shared" si="444"/>
        <v>0</v>
      </c>
      <c r="W63" s="1980">
        <f t="shared" si="444"/>
        <v>0</v>
      </c>
      <c r="X63" s="1980">
        <f t="shared" si="444"/>
        <v>0</v>
      </c>
      <c r="Y63" s="1980">
        <f t="shared" si="444"/>
        <v>0</v>
      </c>
      <c r="Z63" s="1981">
        <f t="shared" si="444"/>
        <v>0</v>
      </c>
      <c r="AA63" s="1979">
        <f t="shared" si="444"/>
        <v>7.63797829294591E-2</v>
      </c>
      <c r="AB63" s="1980">
        <f t="shared" si="444"/>
        <v>7.34107255061512E-2</v>
      </c>
      <c r="AC63" s="1980">
        <f t="shared" si="444"/>
        <v>6.8555654233253258E-2</v>
      </c>
      <c r="AD63" s="1980">
        <f t="shared" si="444"/>
        <v>6.7621726178724501E-2</v>
      </c>
      <c r="AE63" s="1980">
        <f t="shared" si="444"/>
        <v>6.3143191419673034E-2</v>
      </c>
      <c r="AF63" s="1981">
        <f t="shared" si="444"/>
        <v>5.574311471200414E-2</v>
      </c>
      <c r="AG63" s="1979">
        <f t="shared" si="444"/>
        <v>8.641010412562633E-2</v>
      </c>
      <c r="AH63" s="1980">
        <f t="shared" si="444"/>
        <v>9.548144227667836E-2</v>
      </c>
      <c r="AI63" s="1980">
        <f t="shared" si="444"/>
        <v>8.796191419465807E-2</v>
      </c>
      <c r="AJ63" s="1980">
        <f t="shared" si="444"/>
        <v>8.5796469043278312E-2</v>
      </c>
      <c r="AK63" s="1980">
        <f t="shared" si="444"/>
        <v>7.9277518421233067E-2</v>
      </c>
      <c r="AL63" s="1981">
        <f t="shared" si="444"/>
        <v>6.9284925781147019E-2</v>
      </c>
      <c r="AM63" s="1585">
        <f t="shared" si="444"/>
        <v>7.5860784715515092E-2</v>
      </c>
      <c r="AN63" s="1980">
        <f t="shared" ref="AN63:AO63" si="445">IFERROR(AN46/AN29,0)</f>
        <v>8.0523248836644162E-2</v>
      </c>
      <c r="AO63" s="1980">
        <f t="shared" si="445"/>
        <v>8.2008705503720303E-2</v>
      </c>
      <c r="AP63" s="1586">
        <f t="shared" si="444"/>
        <v>7.7121026668850443E-2</v>
      </c>
      <c r="AQ63" s="1586">
        <f t="shared" si="444"/>
        <v>7.150312871664484E-2</v>
      </c>
      <c r="AR63" s="1586">
        <f t="shared" si="444"/>
        <v>7.005559770471638E-2</v>
      </c>
      <c r="AS63" s="1586">
        <f t="shared" si="444"/>
        <v>6.5002796167317314E-2</v>
      </c>
      <c r="AT63" s="1587">
        <f t="shared" si="444"/>
        <v>5.7060012786331861E-2</v>
      </c>
      <c r="AU63" s="1574"/>
      <c r="AV63" s="1574"/>
      <c r="AW63" s="1575"/>
      <c r="AX63" s="4488"/>
      <c r="AY63" s="1"/>
      <c r="AZ63" s="147"/>
      <c r="BA63" s="147"/>
      <c r="BB63" s="147"/>
    </row>
    <row r="64" spans="1:121" s="146" customFormat="1" ht="45.6">
      <c r="A64" s="325" t="s">
        <v>311</v>
      </c>
      <c r="B64" s="720" t="s">
        <v>1422</v>
      </c>
      <c r="C64" s="160"/>
      <c r="D64" s="161"/>
      <c r="E64" s="161"/>
      <c r="F64" s="161"/>
      <c r="G64" s="161"/>
      <c r="H64" s="162"/>
      <c r="I64" s="163"/>
      <c r="J64" s="164"/>
      <c r="K64" s="164"/>
      <c r="L64" s="164"/>
      <c r="M64" s="164"/>
      <c r="N64" s="165"/>
      <c r="O64" s="163"/>
      <c r="P64" s="164"/>
      <c r="Q64" s="164"/>
      <c r="R64" s="164"/>
      <c r="S64" s="164"/>
      <c r="T64" s="165"/>
      <c r="U64" s="163"/>
      <c r="V64" s="164"/>
      <c r="W64" s="164"/>
      <c r="X64" s="164"/>
      <c r="Y64" s="164"/>
      <c r="Z64" s="165"/>
      <c r="AA64" s="163"/>
      <c r="AB64" s="164"/>
      <c r="AC64" s="164"/>
      <c r="AD64" s="164"/>
      <c r="AE64" s="164"/>
      <c r="AF64" s="165"/>
      <c r="AG64" s="163"/>
      <c r="AH64" s="164"/>
      <c r="AI64" s="164"/>
      <c r="AJ64" s="164"/>
      <c r="AK64" s="164"/>
      <c r="AL64" s="165"/>
      <c r="AM64" s="163"/>
      <c r="AN64" s="164"/>
      <c r="AO64" s="164"/>
      <c r="AP64" s="164"/>
      <c r="AQ64" s="164"/>
      <c r="AR64" s="164"/>
      <c r="AS64" s="164"/>
      <c r="AT64" s="165"/>
      <c r="AU64" s="774"/>
      <c r="AV64" s="774"/>
      <c r="AW64" s="617"/>
      <c r="AX64" s="4488"/>
      <c r="AY64" s="1"/>
    </row>
    <row r="65" spans="1:95" s="166" customFormat="1" ht="13.8" thickBot="1">
      <c r="A65" s="814" t="s">
        <v>956</v>
      </c>
      <c r="B65" s="815" t="s">
        <v>1259</v>
      </c>
      <c r="C65" s="297">
        <v>3.6309026547695082</v>
      </c>
      <c r="D65" s="298">
        <v>3.4059394326386228</v>
      </c>
      <c r="E65" s="298">
        <v>3.4080392175881804</v>
      </c>
      <c r="F65" s="298">
        <v>3.4097537042527204</v>
      </c>
      <c r="G65" s="298">
        <v>3.4111229496401214</v>
      </c>
      <c r="H65" s="618">
        <v>3.4121839829578784</v>
      </c>
      <c r="I65" s="299">
        <v>0.11149132084862814</v>
      </c>
      <c r="J65" s="300">
        <v>0.16537833994849807</v>
      </c>
      <c r="K65" s="300">
        <v>0.16460599119916552</v>
      </c>
      <c r="L65" s="300">
        <v>0.16392474291546122</v>
      </c>
      <c r="M65" s="300">
        <v>0.16332489463782929</v>
      </c>
      <c r="N65" s="301">
        <v>0.16279760309895622</v>
      </c>
      <c r="O65" s="299">
        <v>0.75696302287480033</v>
      </c>
      <c r="P65" s="300">
        <v>0.89425502317909367</v>
      </c>
      <c r="Q65" s="300">
        <v>0.89663311930456502</v>
      </c>
      <c r="R65" s="300">
        <v>0.89876466713958314</v>
      </c>
      <c r="S65" s="300">
        <v>0.90067506292899613</v>
      </c>
      <c r="T65" s="301">
        <v>0.90238773821138951</v>
      </c>
      <c r="U65" s="299">
        <v>0</v>
      </c>
      <c r="V65" s="300">
        <v>0</v>
      </c>
      <c r="W65" s="300">
        <v>0</v>
      </c>
      <c r="X65" s="300">
        <v>0</v>
      </c>
      <c r="Y65" s="300">
        <v>0</v>
      </c>
      <c r="Z65" s="301">
        <v>0</v>
      </c>
      <c r="AA65" s="299">
        <v>0.79441246997384973</v>
      </c>
      <c r="AB65" s="300">
        <v>0.81744364550334525</v>
      </c>
      <c r="AC65" s="300">
        <v>0.81363416705866176</v>
      </c>
      <c r="AD65" s="300">
        <v>0.81037665655228563</v>
      </c>
      <c r="AE65" s="300">
        <v>0.807614196260798</v>
      </c>
      <c r="AF65" s="301">
        <v>0.80529409774795002</v>
      </c>
      <c r="AG65" s="299">
        <v>3.6230531533213053E-2</v>
      </c>
      <c r="AH65" s="300">
        <v>1.6983558730440051E-2</v>
      </c>
      <c r="AI65" s="300">
        <v>1.7087504849427525E-2</v>
      </c>
      <c r="AJ65" s="300">
        <v>1.7180229139949189E-2</v>
      </c>
      <c r="AK65" s="300">
        <v>1.7262896532254872E-2</v>
      </c>
      <c r="AL65" s="301">
        <v>1.7336577983825607E-2</v>
      </c>
      <c r="AM65" s="972">
        <f t="shared" ref="AM65:AM68" si="446">C65+I65+O65+AG65+U65+AA65</f>
        <v>5.3299999999999992</v>
      </c>
      <c r="AN65" s="300">
        <v>5.083333333333333</v>
      </c>
      <c r="AO65" s="300">
        <v>5.3</v>
      </c>
      <c r="AP65" s="973">
        <f t="shared" ref="AP65:AT68" si="447">D65+J65+P65+AH65+V65+AB65</f>
        <v>5.3</v>
      </c>
      <c r="AQ65" s="973">
        <f t="shared" si="447"/>
        <v>5.3</v>
      </c>
      <c r="AR65" s="973">
        <f t="shared" si="447"/>
        <v>5.3000000000000007</v>
      </c>
      <c r="AS65" s="973">
        <f t="shared" si="447"/>
        <v>5.3</v>
      </c>
      <c r="AT65" s="974">
        <f t="shared" si="447"/>
        <v>5.3</v>
      </c>
      <c r="AU65" s="1563">
        <f t="shared" ref="AU65:AU68" si="448">IFERROR((AP65-AM65)/AM65,0)</f>
        <v>-5.628517823639656E-3</v>
      </c>
      <c r="AV65" s="1563">
        <f t="shared" ref="AV65:AV68" si="449">IFERROR(((D65+V65+AB65)-(+C65+U65+AA65))/(C65+U65+AA65),0)</f>
        <v>-4.5631111211114343E-2</v>
      </c>
      <c r="AW65" s="1563">
        <f t="shared" ref="AW65:AW68" si="450">IFERROR(((J65+P65)-(I65+O65))/(I65+O65),0)</f>
        <v>0.2201370984967369</v>
      </c>
      <c r="AX65" s="4488"/>
      <c r="AY65" s="1"/>
    </row>
    <row r="66" spans="1:95" s="166" customFormat="1" ht="24.6" thickBot="1">
      <c r="A66" s="814" t="s">
        <v>957</v>
      </c>
      <c r="B66" s="815" t="s">
        <v>1421</v>
      </c>
      <c r="C66" s="297">
        <v>204.45839676023402</v>
      </c>
      <c r="D66" s="298">
        <v>246.80072690050193</v>
      </c>
      <c r="E66" s="298">
        <v>284.73061657769199</v>
      </c>
      <c r="F66" s="298">
        <v>328.6123433458705</v>
      </c>
      <c r="G66" s="298">
        <v>379.37917326442022</v>
      </c>
      <c r="H66" s="618">
        <v>438.11079399010873</v>
      </c>
      <c r="I66" s="299">
        <v>5.5245521312582202</v>
      </c>
      <c r="J66" s="300">
        <v>11.983623114891209</v>
      </c>
      <c r="K66" s="300">
        <v>13.752296371662238</v>
      </c>
      <c r="L66" s="300">
        <v>15.798118742310953</v>
      </c>
      <c r="M66" s="300">
        <v>18.164711274255101</v>
      </c>
      <c r="N66" s="301">
        <v>20.902561968989449</v>
      </c>
      <c r="O66" s="299">
        <v>47.618245344185517</v>
      </c>
      <c r="P66" s="300">
        <v>64.799387693175859</v>
      </c>
      <c r="Q66" s="300">
        <v>74.910787289660178</v>
      </c>
      <c r="R66" s="300">
        <v>86.61774104588514</v>
      </c>
      <c r="S66" s="300">
        <v>100.17151706300466</v>
      </c>
      <c r="T66" s="301">
        <v>115.86298114324468</v>
      </c>
      <c r="U66" s="299">
        <v>0</v>
      </c>
      <c r="V66" s="300">
        <v>0</v>
      </c>
      <c r="W66" s="300">
        <v>0</v>
      </c>
      <c r="X66" s="300">
        <v>0</v>
      </c>
      <c r="Y66" s="300">
        <v>0</v>
      </c>
      <c r="Z66" s="301">
        <v>0</v>
      </c>
      <c r="AA66" s="299">
        <v>51.137657831803224</v>
      </c>
      <c r="AB66" s="300">
        <v>59.233491933861842</v>
      </c>
      <c r="AC66" s="300">
        <v>67.976494184605272</v>
      </c>
      <c r="AD66" s="300">
        <v>78.099415735014318</v>
      </c>
      <c r="AE66" s="300">
        <v>89.82144901178529</v>
      </c>
      <c r="AF66" s="301">
        <v>103.39654553271427</v>
      </c>
      <c r="AG66" s="299">
        <v>1.7444979325190191</v>
      </c>
      <c r="AH66" s="300">
        <v>1.2306603575691664</v>
      </c>
      <c r="AI66" s="300">
        <v>1.4276055763803472</v>
      </c>
      <c r="AJ66" s="300">
        <v>1.6557311309190312</v>
      </c>
      <c r="AK66" s="300">
        <v>1.9199493865347275</v>
      </c>
      <c r="AL66" s="301">
        <v>2.2259473649428458</v>
      </c>
      <c r="AM66" s="972">
        <f t="shared" si="446"/>
        <v>310.48335000000003</v>
      </c>
      <c r="AN66" s="300">
        <v>334.07910000000004</v>
      </c>
      <c r="AO66" s="300">
        <v>364.21048999999999</v>
      </c>
      <c r="AP66" s="973">
        <f t="shared" si="447"/>
        <v>384.04789</v>
      </c>
      <c r="AQ66" s="973">
        <f t="shared" si="447"/>
        <v>442.7978</v>
      </c>
      <c r="AR66" s="973">
        <f t="shared" si="447"/>
        <v>510.78334999999998</v>
      </c>
      <c r="AS66" s="973">
        <f t="shared" si="447"/>
        <v>589.45680000000004</v>
      </c>
      <c r="AT66" s="974">
        <f t="shared" si="447"/>
        <v>680.49883</v>
      </c>
      <c r="AU66" s="1563">
        <f t="shared" si="448"/>
        <v>0.23693553937755424</v>
      </c>
      <c r="AV66" s="1563">
        <f t="shared" si="449"/>
        <v>0.19733545700786342</v>
      </c>
      <c r="AW66" s="1563">
        <f>IFERROR(((J66+P66)-(I66+O66))/(I66+O66),0)</f>
        <v>0.44484322345934135</v>
      </c>
      <c r="AX66" s="4488"/>
      <c r="AY66" s="4491" t="s">
        <v>1875</v>
      </c>
      <c r="AZ66" s="4497">
        <f t="shared" ref="AZ66:AZ68" si="451">IFERROR(C66/$C$1,0)</f>
        <v>104.53791830590288</v>
      </c>
      <c r="BA66" s="4497">
        <f t="shared" ref="BA66:BA68" si="452">IFERROR(D66/$C$1,0)</f>
        <v>126.1872079375518</v>
      </c>
      <c r="BB66" s="4497">
        <f t="shared" ref="BB66:BB68" si="453">IFERROR(E66/$C$1,0)</f>
        <v>145.58045258416735</v>
      </c>
      <c r="BC66" s="4497">
        <f t="shared" ref="BC66:BC68" si="454">IFERROR(F66/$C$1,0)</f>
        <v>168.01682321360778</v>
      </c>
      <c r="BD66" s="4497">
        <f t="shared" ref="BD66:BD68" si="455">IFERROR(G66/$C$1,0)</f>
        <v>193.97349118503152</v>
      </c>
      <c r="BE66" s="4497">
        <f t="shared" ref="BE66:BE68" si="456">IFERROR(H66/$C$1,0)</f>
        <v>224.00249203157162</v>
      </c>
      <c r="BF66" s="4497">
        <f t="shared" ref="BF66:BF68" si="457">IFERROR(I66/$C$1,0)</f>
        <v>2.8246586519575936</v>
      </c>
      <c r="BG66" s="4497">
        <f t="shared" ref="BG66:BG68" si="458">IFERROR(J66/$C$1,0)</f>
        <v>6.1271292059592142</v>
      </c>
      <c r="BH66" s="4497">
        <f t="shared" ref="BH66:BH68" si="459">IFERROR(K66/$C$1,0)</f>
        <v>7.0314374826351154</v>
      </c>
      <c r="BI66" s="4497">
        <f t="shared" ref="BI66:BI68" si="460">IFERROR(L66/$C$1,0)</f>
        <v>8.0774498511174038</v>
      </c>
      <c r="BJ66" s="4497">
        <f t="shared" ref="BJ66:BJ68" si="461">IFERROR(M66/$C$1,0)</f>
        <v>9.2874693988000505</v>
      </c>
      <c r="BK66" s="4497">
        <f t="shared" ref="BK66:BK68" si="462">IFERROR(N66/$C$1,0)</f>
        <v>10.687310230945148</v>
      </c>
      <c r="BL66" s="4497">
        <f t="shared" ref="BL66:BL68" si="463">IFERROR(O66/$C$1,0)</f>
        <v>24.346822241291687</v>
      </c>
      <c r="BM66" s="4497">
        <f t="shared" ref="BM66:BM68" si="464">IFERROR(P66/$C$1,0)</f>
        <v>33.131400834006975</v>
      </c>
      <c r="BN66" s="4497">
        <f t="shared" ref="BN66:BN68" si="465">IFERROR(Q66/$C$1,0)</f>
        <v>38.30127735522013</v>
      </c>
      <c r="BO66" s="4497">
        <f t="shared" ref="BO66:BO68" si="466">IFERROR(R66/$C$1,0)</f>
        <v>44.286947764317524</v>
      </c>
      <c r="BP66" s="4497">
        <f t="shared" ref="BP66:BP68" si="467">IFERROR(S66/$C$1,0)</f>
        <v>51.216883401422749</v>
      </c>
      <c r="BQ66" s="4497">
        <f t="shared" ref="BQ66:BQ68" si="468">IFERROR(T66/$C$1,0)</f>
        <v>59.239801589731563</v>
      </c>
      <c r="BR66" s="4497">
        <f t="shared" ref="BR66:BR68" si="469">IFERROR(U66/$C$1,0)</f>
        <v>0</v>
      </c>
      <c r="BS66" s="4497">
        <f t="shared" ref="BS66:BS68" si="470">IFERROR(V66/$C$1,0)</f>
        <v>0</v>
      </c>
      <c r="BT66" s="4497">
        <f t="shared" ref="BT66:BT68" si="471">IFERROR(W66/$C$1,0)</f>
        <v>0</v>
      </c>
      <c r="BU66" s="4497">
        <f t="shared" ref="BU66:BU68" si="472">IFERROR(X66/$C$1,0)</f>
        <v>0</v>
      </c>
      <c r="BV66" s="4497">
        <f t="shared" ref="BV66:BV68" si="473">IFERROR(Y66/$C$1,0)</f>
        <v>0</v>
      </c>
      <c r="BW66" s="4497">
        <f t="shared" ref="BW66:BW68" si="474">IFERROR(Z66/$C$1,0)</f>
        <v>0</v>
      </c>
      <c r="BX66" s="4497">
        <f t="shared" ref="BX66:BX68" si="475">IFERROR(AA66/$C$1,0)</f>
        <v>26.146269272791205</v>
      </c>
      <c r="BY66" s="4497">
        <f t="shared" ref="BY66:BY68" si="476">IFERROR(AB66/$C$1,0)</f>
        <v>30.285603520685257</v>
      </c>
      <c r="BZ66" s="4497">
        <f t="shared" ref="BZ66:BZ68" si="477">IFERROR(AC66/$C$1,0)</f>
        <v>34.755829588770638</v>
      </c>
      <c r="CA66" s="4497">
        <f t="shared" ref="CA66:CA68" si="478">IFERROR(AD66/$C$1,0)</f>
        <v>39.931597191481018</v>
      </c>
      <c r="CB66" s="4497">
        <f t="shared" ref="CB66:CB68" si="479">IFERROR(AE66/$C$1,0)</f>
        <v>45.924977637005924</v>
      </c>
      <c r="CC66" s="4497">
        <f t="shared" ref="CC66:CC68" si="480">IFERROR(AF66/$C$1,0)</f>
        <v>52.865814274611942</v>
      </c>
      <c r="CD66" s="4497">
        <f t="shared" ref="CD66:CD68" si="481">IFERROR(AG66/$C$1,0)</f>
        <v>0.89194762966056307</v>
      </c>
      <c r="CE66" s="4497">
        <f t="shared" ref="CE66:CE68" si="482">IFERROR(AH66/$C$1,0)</f>
        <v>0.62922664933514993</v>
      </c>
      <c r="CF66" s="4497">
        <f t="shared" ref="CF66:CF68" si="483">IFERROR(AI66/$C$1,0)</f>
        <v>0.72992314075371956</v>
      </c>
      <c r="CG66" s="4497">
        <f t="shared" ref="CG66:CG68" si="484">IFERROR(AJ66/$C$1,0)</f>
        <v>0.84656188468273386</v>
      </c>
      <c r="CH66" s="4497">
        <f t="shared" ref="CH66:CH68" si="485">IFERROR(AK66/$C$1,0)</f>
        <v>0.98165453364286648</v>
      </c>
      <c r="CI66" s="4497">
        <f t="shared" ref="CI66:CI68" si="486">IFERROR(AL66/$C$1,0)</f>
        <v>1.1381088156653931</v>
      </c>
      <c r="CJ66" s="4497">
        <f t="shared" ref="CJ66:CJ68" si="487">IFERROR(AM66/$C$1,0)</f>
        <v>158.74761610160394</v>
      </c>
      <c r="CK66" s="4497">
        <f t="shared" ref="CK66:CK68" si="488">IFERROR(AN66/$C$1,0)</f>
        <v>170.81193150733961</v>
      </c>
      <c r="CL66" s="4497">
        <f t="shared" ref="CL66:CL68" si="489">IFERROR(AO66/$C$1,0)</f>
        <v>186.21786658349652</v>
      </c>
      <c r="CM66" s="4497">
        <f t="shared" ref="CM66:CM68" si="490">IFERROR(AP66/$C$1,0)</f>
        <v>196.36056814753837</v>
      </c>
      <c r="CN66" s="4497">
        <f t="shared" ref="CN66:CN68" si="491">IFERROR(AQ66/$C$1,0)</f>
        <v>226.39892015154692</v>
      </c>
      <c r="CO66" s="4497">
        <f t="shared" ref="CO66:CO68" si="492">IFERROR(AR66/$C$1,0)</f>
        <v>261.15937990520649</v>
      </c>
      <c r="CP66" s="4497">
        <f t="shared" ref="CP66:CP68" si="493">IFERROR(AS66/$C$1,0)</f>
        <v>301.38447615590314</v>
      </c>
      <c r="CQ66" s="4497">
        <f t="shared" ref="CQ66:CQ68" si="494">IFERROR(AT66/$C$1,0)</f>
        <v>347.9335269425257</v>
      </c>
    </row>
    <row r="67" spans="1:95" s="166" customFormat="1" ht="13.8" thickBot="1">
      <c r="A67" s="717" t="s">
        <v>1106</v>
      </c>
      <c r="B67" s="816" t="s">
        <v>721</v>
      </c>
      <c r="C67" s="297">
        <v>19.186805298128462</v>
      </c>
      <c r="D67" s="298">
        <v>30.633918939266056</v>
      </c>
      <c r="E67" s="298">
        <v>34.841523077897385</v>
      </c>
      <c r="F67" s="298">
        <v>40.059465660422866</v>
      </c>
      <c r="G67" s="298">
        <v>46.088789178526056</v>
      </c>
      <c r="H67" s="618">
        <v>53.055656027949865</v>
      </c>
      <c r="I67" s="299">
        <v>0.52321718135098694</v>
      </c>
      <c r="J67" s="300">
        <v>1.4874564743413063</v>
      </c>
      <c r="K67" s="300">
        <v>1.6828220202185828</v>
      </c>
      <c r="L67" s="300">
        <v>1.9258686049744254</v>
      </c>
      <c r="M67" s="300">
        <v>2.2067356550024244</v>
      </c>
      <c r="N67" s="301">
        <v>2.5313211935030493</v>
      </c>
      <c r="O67" s="299">
        <v>4.5098106630030417</v>
      </c>
      <c r="P67" s="300">
        <v>8.0431658967807778</v>
      </c>
      <c r="Q67" s="300">
        <v>9.1665798202772031</v>
      </c>
      <c r="R67" s="300">
        <v>10.55912990875983</v>
      </c>
      <c r="S67" s="300">
        <v>12.16931306978239</v>
      </c>
      <c r="T67" s="301">
        <v>14.031123081728083</v>
      </c>
      <c r="U67" s="299">
        <v>0</v>
      </c>
      <c r="V67" s="300">
        <v>0</v>
      </c>
      <c r="W67" s="300">
        <v>0</v>
      </c>
      <c r="X67" s="300">
        <v>0</v>
      </c>
      <c r="Y67" s="300">
        <v>0</v>
      </c>
      <c r="Z67" s="301">
        <v>0</v>
      </c>
      <c r="AA67" s="299">
        <v>4.8189296110441147</v>
      </c>
      <c r="AB67" s="300">
        <v>7.3523040761672203</v>
      </c>
      <c r="AC67" s="300">
        <v>8.3180538129493193</v>
      </c>
      <c r="AD67" s="300">
        <v>9.5207040334542903</v>
      </c>
      <c r="AE67" s="300">
        <v>10.911937499343336</v>
      </c>
      <c r="AF67" s="301">
        <v>12.521425241090492</v>
      </c>
      <c r="AG67" s="299">
        <v>0.16521724647339794</v>
      </c>
      <c r="AH67" s="300">
        <v>0.1527546134446387</v>
      </c>
      <c r="AI67" s="300">
        <v>0.17469126865750581</v>
      </c>
      <c r="AJ67" s="300">
        <v>0.20184179238858635</v>
      </c>
      <c r="AK67" s="300">
        <v>0.23324459734579286</v>
      </c>
      <c r="AL67" s="301">
        <v>0.26956445572851001</v>
      </c>
      <c r="AM67" s="972">
        <f t="shared" si="446"/>
        <v>29.203980000000001</v>
      </c>
      <c r="AN67" s="300">
        <v>30.655210000000007</v>
      </c>
      <c r="AO67" s="300">
        <v>42.260949999999994</v>
      </c>
      <c r="AP67" s="973">
        <f t="shared" si="447"/>
        <v>47.669599999999996</v>
      </c>
      <c r="AQ67" s="973">
        <f t="shared" si="447"/>
        <v>54.183669999999992</v>
      </c>
      <c r="AR67" s="973">
        <f t="shared" si="447"/>
        <v>62.267009999999999</v>
      </c>
      <c r="AS67" s="973">
        <f t="shared" si="447"/>
        <v>71.610020000000006</v>
      </c>
      <c r="AT67" s="974">
        <f t="shared" si="447"/>
        <v>82.409090000000006</v>
      </c>
      <c r="AU67" s="1563">
        <f t="shared" si="448"/>
        <v>0.63229806348312778</v>
      </c>
      <c r="AV67" s="1563">
        <f t="shared" si="449"/>
        <v>0.58238117512989618</v>
      </c>
      <c r="AW67" s="1563">
        <f t="shared" si="450"/>
        <v>0.8936160629060268</v>
      </c>
      <c r="AX67" s="4488"/>
      <c r="AY67" s="4491" t="s">
        <v>1875</v>
      </c>
      <c r="AZ67" s="4497">
        <f t="shared" si="451"/>
        <v>9.8100577750256726</v>
      </c>
      <c r="BA67" s="4497">
        <f t="shared" si="452"/>
        <v>15.662874042869808</v>
      </c>
      <c r="BB67" s="4497">
        <f t="shared" si="453"/>
        <v>17.814187878239615</v>
      </c>
      <c r="BC67" s="4497">
        <f t="shared" si="454"/>
        <v>20.482079557232922</v>
      </c>
      <c r="BD67" s="4497">
        <f t="shared" si="455"/>
        <v>23.564823721144506</v>
      </c>
      <c r="BE67" s="4497">
        <f t="shared" si="456"/>
        <v>27.126926178629976</v>
      </c>
      <c r="BF67" s="4497">
        <f t="shared" si="457"/>
        <v>0.26751669692712909</v>
      </c>
      <c r="BG67" s="4497">
        <f t="shared" si="458"/>
        <v>0.76052441896346124</v>
      </c>
      <c r="BH67" s="4497">
        <f t="shared" si="459"/>
        <v>0.86041323643598011</v>
      </c>
      <c r="BI67" s="4497">
        <f t="shared" si="460"/>
        <v>0.98468098197411091</v>
      </c>
      <c r="BJ67" s="4497">
        <f t="shared" si="461"/>
        <v>1.128286024348959</v>
      </c>
      <c r="BK67" s="4497">
        <f t="shared" si="462"/>
        <v>1.294243974938031</v>
      </c>
      <c r="BL67" s="4497">
        <f t="shared" si="463"/>
        <v>2.3058295777255906</v>
      </c>
      <c r="BM67" s="4497">
        <f t="shared" si="464"/>
        <v>4.1124054221383135</v>
      </c>
      <c r="BN67" s="4497">
        <f t="shared" si="465"/>
        <v>4.6867978404448261</v>
      </c>
      <c r="BO67" s="4497">
        <f t="shared" si="466"/>
        <v>5.3987973948450687</v>
      </c>
      <c r="BP67" s="4497">
        <f t="shared" si="467"/>
        <v>6.2220709723147669</v>
      </c>
      <c r="BQ67" s="4497">
        <f t="shared" si="468"/>
        <v>7.1739993157524342</v>
      </c>
      <c r="BR67" s="4497">
        <f t="shared" si="469"/>
        <v>0</v>
      </c>
      <c r="BS67" s="4497">
        <f t="shared" si="470"/>
        <v>0</v>
      </c>
      <c r="BT67" s="4497">
        <f t="shared" si="471"/>
        <v>0</v>
      </c>
      <c r="BU67" s="4497">
        <f t="shared" si="472"/>
        <v>0</v>
      </c>
      <c r="BV67" s="4497">
        <f t="shared" si="473"/>
        <v>0</v>
      </c>
      <c r="BW67" s="4497">
        <f t="shared" si="474"/>
        <v>0</v>
      </c>
      <c r="BX67" s="4497">
        <f t="shared" si="475"/>
        <v>2.463879586182907</v>
      </c>
      <c r="BY67" s="4497">
        <f t="shared" si="476"/>
        <v>3.7591733822301632</v>
      </c>
      <c r="BZ67" s="4497">
        <f t="shared" si="477"/>
        <v>4.252953381914236</v>
      </c>
      <c r="CA67" s="4497">
        <f t="shared" si="478"/>
        <v>4.8678586755772688</v>
      </c>
      <c r="CB67" s="4497">
        <f t="shared" si="479"/>
        <v>5.5791850515348145</v>
      </c>
      <c r="CC67" s="4497">
        <f t="shared" si="480"/>
        <v>6.4021030667749717</v>
      </c>
      <c r="CD67" s="4497">
        <f t="shared" si="481"/>
        <v>8.4474236755442925E-2</v>
      </c>
      <c r="CE67" s="4497">
        <f t="shared" si="482"/>
        <v>7.8102193669510489E-2</v>
      </c>
      <c r="CF67" s="4497">
        <f t="shared" si="483"/>
        <v>8.9318227380450144E-2</v>
      </c>
      <c r="CG67" s="4497">
        <f t="shared" si="484"/>
        <v>0.10320006973437688</v>
      </c>
      <c r="CH67" s="4497">
        <f t="shared" si="485"/>
        <v>0.11925606895578494</v>
      </c>
      <c r="CI67" s="4497">
        <f t="shared" si="486"/>
        <v>0.13782611767306463</v>
      </c>
      <c r="CJ67" s="4497">
        <f t="shared" si="487"/>
        <v>14.931757872616743</v>
      </c>
      <c r="CK67" s="4497">
        <f t="shared" si="488"/>
        <v>15.673759989365132</v>
      </c>
      <c r="CL67" s="4497">
        <f t="shared" si="489"/>
        <v>21.607680626639326</v>
      </c>
      <c r="CM67" s="4497">
        <f t="shared" si="490"/>
        <v>24.373079459871256</v>
      </c>
      <c r="CN67" s="4497">
        <f t="shared" si="491"/>
        <v>27.703670564415106</v>
      </c>
      <c r="CO67" s="4497">
        <f t="shared" si="492"/>
        <v>31.836616679363747</v>
      </c>
      <c r="CP67" s="4497">
        <f t="shared" si="493"/>
        <v>36.613621838298833</v>
      </c>
      <c r="CQ67" s="4497">
        <f t="shared" si="494"/>
        <v>42.13509865376848</v>
      </c>
    </row>
    <row r="68" spans="1:95" s="166" customFormat="1" ht="24.6" thickBot="1">
      <c r="A68" s="51" t="s">
        <v>1260</v>
      </c>
      <c r="B68" s="817" t="s">
        <v>1257</v>
      </c>
      <c r="C68" s="297">
        <v>3.6009776694492364</v>
      </c>
      <c r="D68" s="298">
        <v>6.1997737125247383</v>
      </c>
      <c r="E68" s="298">
        <v>6.5395771401644893</v>
      </c>
      <c r="F68" s="298">
        <v>7.3020197251449774</v>
      </c>
      <c r="G68" s="298">
        <v>7.7232972444682</v>
      </c>
      <c r="H68" s="618">
        <v>7.7256995840555742</v>
      </c>
      <c r="I68" s="299">
        <v>9.819734745006535E-2</v>
      </c>
      <c r="J68" s="300">
        <v>0.30103538389681794</v>
      </c>
      <c r="K68" s="300">
        <v>0.31585715669726672</v>
      </c>
      <c r="L68" s="300">
        <v>0.35104638341329908</v>
      </c>
      <c r="M68" s="300">
        <v>0.36979221427433051</v>
      </c>
      <c r="N68" s="301">
        <v>0.3685983466391462</v>
      </c>
      <c r="O68" s="299">
        <v>0.84640080714750776</v>
      </c>
      <c r="P68" s="300">
        <v>1.6277972332302464</v>
      </c>
      <c r="Q68" s="300">
        <v>1.720520532703288</v>
      </c>
      <c r="R68" s="300">
        <v>1.9247130135913717</v>
      </c>
      <c r="S68" s="300">
        <v>2.0392642934241421</v>
      </c>
      <c r="T68" s="301">
        <v>2.0431420487805045</v>
      </c>
      <c r="U68" s="299">
        <v>0</v>
      </c>
      <c r="V68" s="300">
        <v>0</v>
      </c>
      <c r="W68" s="300">
        <v>0</v>
      </c>
      <c r="X68" s="300">
        <v>0</v>
      </c>
      <c r="Y68" s="300">
        <v>0</v>
      </c>
      <c r="Z68" s="301">
        <v>0</v>
      </c>
      <c r="AA68" s="299">
        <v>0.90441621991703836</v>
      </c>
      <c r="AB68" s="300">
        <v>1.4879787867912309</v>
      </c>
      <c r="AC68" s="300">
        <v>1.5612565054691678</v>
      </c>
      <c r="AD68" s="300">
        <v>1.7354292550695174</v>
      </c>
      <c r="AE68" s="300">
        <v>1.8285604443640711</v>
      </c>
      <c r="AF68" s="301">
        <v>1.8233073911274342</v>
      </c>
      <c r="AG68" s="299">
        <v>3.1007956036153094E-2</v>
      </c>
      <c r="AH68" s="300">
        <v>3.0914883556966113E-2</v>
      </c>
      <c r="AI68" s="300">
        <v>3.2788664965788292E-2</v>
      </c>
      <c r="AJ68" s="300">
        <v>3.6791622780834587E-2</v>
      </c>
      <c r="AK68" s="300">
        <v>3.9085803469256317E-2</v>
      </c>
      <c r="AL68" s="301">
        <v>3.9252629397340998E-2</v>
      </c>
      <c r="AM68" s="972">
        <f t="shared" si="446"/>
        <v>5.4810000000000016</v>
      </c>
      <c r="AN68" s="300">
        <v>7.3310000000000004</v>
      </c>
      <c r="AO68" s="300">
        <v>9.0399999999999991</v>
      </c>
      <c r="AP68" s="973">
        <f t="shared" si="447"/>
        <v>9.6474999999999991</v>
      </c>
      <c r="AQ68" s="973">
        <f t="shared" si="447"/>
        <v>10.17</v>
      </c>
      <c r="AR68" s="973">
        <f t="shared" si="447"/>
        <v>11.35</v>
      </c>
      <c r="AS68" s="973">
        <f t="shared" si="447"/>
        <v>11.999999999999998</v>
      </c>
      <c r="AT68" s="974">
        <f t="shared" si="447"/>
        <v>12</v>
      </c>
      <c r="AU68" s="1563">
        <f t="shared" si="448"/>
        <v>0.76017150155081115</v>
      </c>
      <c r="AV68" s="1563">
        <f t="shared" si="449"/>
        <v>0.70634414839083537</v>
      </c>
      <c r="AW68" s="1563">
        <f t="shared" si="450"/>
        <v>1.0419610262194556</v>
      </c>
      <c r="AX68" s="4488"/>
      <c r="AY68" s="4491" t="s">
        <v>1875</v>
      </c>
      <c r="AZ68" s="4497">
        <f t="shared" si="451"/>
        <v>1.8411506467582748</v>
      </c>
      <c r="BA68" s="4497">
        <f t="shared" si="452"/>
        <v>3.1698939644676369</v>
      </c>
      <c r="BB68" s="4497">
        <f t="shared" si="453"/>
        <v>3.3436326982224882</v>
      </c>
      <c r="BC68" s="4497">
        <f t="shared" si="454"/>
        <v>3.73346340180127</v>
      </c>
      <c r="BD68" s="4497">
        <f t="shared" si="455"/>
        <v>3.9488591771617165</v>
      </c>
      <c r="BE68" s="4497">
        <f t="shared" si="456"/>
        <v>3.9500874738886171</v>
      </c>
      <c r="BF68" s="4497">
        <f t="shared" si="457"/>
        <v>5.0207506506222604E-2</v>
      </c>
      <c r="BG68" s="4497">
        <f t="shared" si="458"/>
        <v>0.15391694773922987</v>
      </c>
      <c r="BH68" s="4497">
        <f t="shared" si="459"/>
        <v>0.16149519983703425</v>
      </c>
      <c r="BI68" s="4497">
        <f t="shared" si="460"/>
        <v>0.17948716576251467</v>
      </c>
      <c r="BJ68" s="4497">
        <f t="shared" si="461"/>
        <v>0.18907175688803757</v>
      </c>
      <c r="BK68" s="4497">
        <f t="shared" si="462"/>
        <v>0.18846134205894491</v>
      </c>
      <c r="BL68" s="4497">
        <f t="shared" si="463"/>
        <v>0.432757860932447</v>
      </c>
      <c r="BM68" s="4497">
        <f t="shared" si="464"/>
        <v>0.83227950958429231</v>
      </c>
      <c r="BN68" s="4497">
        <f t="shared" si="465"/>
        <v>0.87968817980258407</v>
      </c>
      <c r="BO68" s="4497">
        <f t="shared" si="466"/>
        <v>0.98409013748197527</v>
      </c>
      <c r="BP68" s="4497">
        <f t="shared" si="467"/>
        <v>1.0426592768411069</v>
      </c>
      <c r="BQ68" s="4497">
        <f t="shared" si="468"/>
        <v>1.0446419416720802</v>
      </c>
      <c r="BR68" s="4497">
        <f t="shared" si="469"/>
        <v>0</v>
      </c>
      <c r="BS68" s="4497">
        <f t="shared" si="470"/>
        <v>0</v>
      </c>
      <c r="BT68" s="4497">
        <f t="shared" si="471"/>
        <v>0</v>
      </c>
      <c r="BU68" s="4497">
        <f t="shared" si="472"/>
        <v>0</v>
      </c>
      <c r="BV68" s="4497">
        <f t="shared" si="473"/>
        <v>0</v>
      </c>
      <c r="BW68" s="4497">
        <f t="shared" si="474"/>
        <v>0</v>
      </c>
      <c r="BX68" s="4497">
        <f t="shared" si="475"/>
        <v>0.46242067046575541</v>
      </c>
      <c r="BY68" s="4497">
        <f t="shared" si="476"/>
        <v>0.76079147307855532</v>
      </c>
      <c r="BZ68" s="4497">
        <f t="shared" si="477"/>
        <v>0.79825777571116496</v>
      </c>
      <c r="CA68" s="4497">
        <f t="shared" si="478"/>
        <v>0.88731088850744566</v>
      </c>
      <c r="CB68" s="4497">
        <f t="shared" si="479"/>
        <v>0.93492810947989913</v>
      </c>
      <c r="CC68" s="4497">
        <f t="shared" si="480"/>
        <v>0.93224226600851523</v>
      </c>
      <c r="CD68" s="4497">
        <f t="shared" si="481"/>
        <v>1.5854116173774354E-2</v>
      </c>
      <c r="CE68" s="4497">
        <f t="shared" si="482"/>
        <v>1.5806528970803247E-2</v>
      </c>
      <c r="CF68" s="4497">
        <f t="shared" si="483"/>
        <v>1.6764578192270438E-2</v>
      </c>
      <c r="CG68" s="4497">
        <f t="shared" si="484"/>
        <v>1.8811258023874563E-2</v>
      </c>
      <c r="CH68" s="4497">
        <f t="shared" si="485"/>
        <v>1.9984253983861746E-2</v>
      </c>
      <c r="CI68" s="4497">
        <f t="shared" si="486"/>
        <v>2.0069550726464467E-2</v>
      </c>
      <c r="CJ68" s="4497">
        <f t="shared" si="487"/>
        <v>2.8023908008364744</v>
      </c>
      <c r="CK68" s="4497">
        <f t="shared" si="488"/>
        <v>3.7482807810494778</v>
      </c>
      <c r="CL68" s="4497">
        <f t="shared" si="489"/>
        <v>4.6220786060138144</v>
      </c>
      <c r="CM68" s="4497">
        <f t="shared" si="490"/>
        <v>4.9326884238405171</v>
      </c>
      <c r="CN68" s="4497">
        <f t="shared" si="491"/>
        <v>5.1998384317655422</v>
      </c>
      <c r="CO68" s="4497">
        <f t="shared" si="492"/>
        <v>5.8031628515770795</v>
      </c>
      <c r="CP68" s="4497">
        <f t="shared" si="493"/>
        <v>6.1355025743546214</v>
      </c>
      <c r="CQ68" s="4497">
        <f t="shared" si="494"/>
        <v>6.1355025743546223</v>
      </c>
    </row>
    <row r="69" spans="1:95" s="646" customFormat="1" ht="27" thickBot="1">
      <c r="A69" s="777" t="s">
        <v>1261</v>
      </c>
      <c r="B69" s="778" t="s">
        <v>1317</v>
      </c>
      <c r="C69" s="1588">
        <f>IFERROR(C66/C65,0)</f>
        <v>56.310624712469235</v>
      </c>
      <c r="D69" s="1589">
        <f t="shared" ref="D69:AT69" si="495">IFERROR(D66/D65,0)</f>
        <v>72.461866037735845</v>
      </c>
      <c r="E69" s="1589">
        <f t="shared" si="495"/>
        <v>83.546754716981127</v>
      </c>
      <c r="F69" s="1589">
        <f t="shared" si="495"/>
        <v>96.374216981132065</v>
      </c>
      <c r="G69" s="1589">
        <f t="shared" si="495"/>
        <v>111.2182641509434</v>
      </c>
      <c r="H69" s="1590">
        <f t="shared" si="495"/>
        <v>128.39600566037737</v>
      </c>
      <c r="I69" s="1588">
        <f t="shared" si="495"/>
        <v>49.551409824616833</v>
      </c>
      <c r="J69" s="1589">
        <f t="shared" si="495"/>
        <v>72.461866037735874</v>
      </c>
      <c r="K69" s="1589">
        <f t="shared" si="495"/>
        <v>83.546754716981141</v>
      </c>
      <c r="L69" s="1589">
        <f t="shared" si="495"/>
        <v>96.374216981132079</v>
      </c>
      <c r="M69" s="1589">
        <f t="shared" si="495"/>
        <v>111.21826415094343</v>
      </c>
      <c r="N69" s="1590">
        <f t="shared" si="495"/>
        <v>128.39600566037737</v>
      </c>
      <c r="O69" s="1588">
        <f t="shared" si="495"/>
        <v>62.906963623322788</v>
      </c>
      <c r="P69" s="1589">
        <f t="shared" si="495"/>
        <v>72.461866037735859</v>
      </c>
      <c r="Q69" s="1589">
        <f t="shared" si="495"/>
        <v>83.546754716981141</v>
      </c>
      <c r="R69" s="1589">
        <f t="shared" si="495"/>
        <v>96.374216981132079</v>
      </c>
      <c r="S69" s="1589">
        <f t="shared" si="495"/>
        <v>111.2182641509434</v>
      </c>
      <c r="T69" s="1590">
        <f t="shared" si="495"/>
        <v>128.39600566037734</v>
      </c>
      <c r="U69" s="1588">
        <f t="shared" si="495"/>
        <v>0</v>
      </c>
      <c r="V69" s="1589">
        <f t="shared" si="495"/>
        <v>0</v>
      </c>
      <c r="W69" s="1589">
        <f t="shared" si="495"/>
        <v>0</v>
      </c>
      <c r="X69" s="1589">
        <f t="shared" si="495"/>
        <v>0</v>
      </c>
      <c r="Y69" s="1589">
        <f t="shared" si="495"/>
        <v>0</v>
      </c>
      <c r="Z69" s="1590">
        <f t="shared" si="495"/>
        <v>0</v>
      </c>
      <c r="AA69" s="1588">
        <f t="shared" si="495"/>
        <v>64.371670592590974</v>
      </c>
      <c r="AB69" s="1589">
        <f t="shared" si="495"/>
        <v>72.461866037735859</v>
      </c>
      <c r="AC69" s="1589">
        <f t="shared" si="495"/>
        <v>83.546754716981141</v>
      </c>
      <c r="AD69" s="1589">
        <f t="shared" si="495"/>
        <v>96.374216981132065</v>
      </c>
      <c r="AE69" s="1589">
        <f t="shared" si="495"/>
        <v>111.21826415094341</v>
      </c>
      <c r="AF69" s="1590">
        <f t="shared" si="495"/>
        <v>128.39600566037737</v>
      </c>
      <c r="AG69" s="1588">
        <f t="shared" si="495"/>
        <v>48.149940359550413</v>
      </c>
      <c r="AH69" s="1589">
        <f t="shared" si="495"/>
        <v>72.461866037735859</v>
      </c>
      <c r="AI69" s="1589">
        <f t="shared" si="495"/>
        <v>83.546754716981141</v>
      </c>
      <c r="AJ69" s="1589">
        <f t="shared" si="495"/>
        <v>96.374216981132079</v>
      </c>
      <c r="AK69" s="1589">
        <f t="shared" si="495"/>
        <v>111.21826415094341</v>
      </c>
      <c r="AL69" s="1590">
        <f>IFERROR(AL66/AL65,0)</f>
        <v>128.39600566037734</v>
      </c>
      <c r="AM69" s="1588">
        <f>IFERROR(AM66/AM65,0)</f>
        <v>58.252035647279563</v>
      </c>
      <c r="AN69" s="1589">
        <f t="shared" si="495"/>
        <v>65.720478688524608</v>
      </c>
      <c r="AO69" s="1589">
        <f t="shared" si="495"/>
        <v>68.718960377358485</v>
      </c>
      <c r="AP69" s="1589">
        <f t="shared" si="495"/>
        <v>72.461866037735845</v>
      </c>
      <c r="AQ69" s="1589">
        <f t="shared" si="495"/>
        <v>83.546754716981127</v>
      </c>
      <c r="AR69" s="1589">
        <f t="shared" si="495"/>
        <v>96.374216981132065</v>
      </c>
      <c r="AS69" s="1589">
        <f t="shared" si="495"/>
        <v>111.21826415094341</v>
      </c>
      <c r="AT69" s="1590">
        <f t="shared" si="495"/>
        <v>128.39600566037737</v>
      </c>
      <c r="AU69" s="1574"/>
      <c r="AV69" s="1574"/>
      <c r="AW69" s="1575"/>
      <c r="AX69" s="4488"/>
      <c r="AY69" s="4492" t="s">
        <v>1898</v>
      </c>
      <c r="AZ69" s="4496">
        <f t="shared" ref="AZ69" si="496">IFERROR(C69/$C$1,0)</f>
        <v>28.791165240572663</v>
      </c>
      <c r="BA69" s="4496">
        <f t="shared" ref="BA69" si="497">IFERROR(D69/$C$1,0)</f>
        <v>37.049163801422338</v>
      </c>
      <c r="BB69" s="4496">
        <f t="shared" ref="BB69" si="498">IFERROR(E69/$C$1,0)</f>
        <v>42.716777387084321</v>
      </c>
      <c r="BC69" s="4496">
        <f t="shared" ref="BC69" si="499">IFERROR(F69/$C$1,0)</f>
        <v>49.275354699095558</v>
      </c>
      <c r="BD69" s="4496">
        <f t="shared" ref="BD69" si="500">IFERROR(G69/$C$1,0)</f>
        <v>56.864995501113796</v>
      </c>
      <c r="BE69" s="4496">
        <f t="shared" ref="BE69" si="501">IFERROR(H69/$C$1,0)</f>
        <v>65.64783527217466</v>
      </c>
      <c r="BF69" s="4496">
        <f t="shared" ref="BF69" si="502">IFERROR(I69/$C$1,0)</f>
        <v>25.335233545153123</v>
      </c>
      <c r="BG69" s="4496">
        <f t="shared" ref="BG69" si="503">IFERROR(J69/$C$1,0)</f>
        <v>37.049163801422353</v>
      </c>
      <c r="BH69" s="4496">
        <f t="shared" ref="BH69" si="504">IFERROR(K69/$C$1,0)</f>
        <v>42.716777387084328</v>
      </c>
      <c r="BI69" s="4496">
        <f t="shared" ref="BI69" si="505">IFERROR(L69/$C$1,0)</f>
        <v>49.275354699095566</v>
      </c>
      <c r="BJ69" s="4496">
        <f t="shared" ref="BJ69" si="506">IFERROR(M69/$C$1,0)</f>
        <v>56.86499550111381</v>
      </c>
      <c r="BK69" s="4496">
        <f t="shared" ref="BK69" si="507">IFERROR(N69/$C$1,0)</f>
        <v>65.64783527217466</v>
      </c>
      <c r="BL69" s="4496">
        <f t="shared" ref="BL69" si="508">IFERROR(O69/$C$1,0)</f>
        <v>32.163819771310791</v>
      </c>
      <c r="BM69" s="4496">
        <f t="shared" ref="BM69" si="509">IFERROR(P69/$C$1,0)</f>
        <v>37.049163801422345</v>
      </c>
      <c r="BN69" s="4496">
        <f t="shared" ref="BN69" si="510">IFERROR(Q69/$C$1,0)</f>
        <v>42.716777387084328</v>
      </c>
      <c r="BO69" s="4496">
        <f t="shared" ref="BO69" si="511">IFERROR(R69/$C$1,0)</f>
        <v>49.275354699095566</v>
      </c>
      <c r="BP69" s="4496">
        <f t="shared" ref="BP69" si="512">IFERROR(S69/$C$1,0)</f>
        <v>56.864995501113796</v>
      </c>
      <c r="BQ69" s="4496">
        <f t="shared" ref="BQ69" si="513">IFERROR(T69/$C$1,0)</f>
        <v>65.647835272174646</v>
      </c>
      <c r="BR69" s="4496">
        <f t="shared" ref="BR69" si="514">IFERROR(U69/$C$1,0)</f>
        <v>0</v>
      </c>
      <c r="BS69" s="4496">
        <f t="shared" ref="BS69" si="515">IFERROR(V69/$C$1,0)</f>
        <v>0</v>
      </c>
      <c r="BT69" s="4496">
        <f t="shared" ref="BT69" si="516">IFERROR(W69/$C$1,0)</f>
        <v>0</v>
      </c>
      <c r="BU69" s="4496">
        <f t="shared" ref="BU69" si="517">IFERROR(X69/$C$1,0)</f>
        <v>0</v>
      </c>
      <c r="BV69" s="4496">
        <f t="shared" ref="BV69" si="518">IFERROR(Y69/$C$1,0)</f>
        <v>0</v>
      </c>
      <c r="BW69" s="4496">
        <f t="shared" ref="BW69" si="519">IFERROR(Z69/$C$1,0)</f>
        <v>0</v>
      </c>
      <c r="BX69" s="4496">
        <f t="shared" ref="BX69" si="520">IFERROR(AA69/$C$1,0)</f>
        <v>32.912712553029138</v>
      </c>
      <c r="BY69" s="4496">
        <f t="shared" ref="BY69" si="521">IFERROR(AB69/$C$1,0)</f>
        <v>37.049163801422345</v>
      </c>
      <c r="BZ69" s="4496">
        <f t="shared" ref="BZ69" si="522">IFERROR(AC69/$C$1,0)</f>
        <v>42.716777387084328</v>
      </c>
      <c r="CA69" s="4496">
        <f t="shared" ref="CA69" si="523">IFERROR(AD69/$C$1,0)</f>
        <v>49.275354699095558</v>
      </c>
      <c r="CB69" s="4496">
        <f t="shared" ref="CB69" si="524">IFERROR(AE69/$C$1,0)</f>
        <v>56.864995501113803</v>
      </c>
      <c r="CC69" s="4496">
        <f t="shared" ref="CC69" si="525">IFERROR(AF69/$C$1,0)</f>
        <v>65.64783527217466</v>
      </c>
      <c r="CD69" s="4496">
        <f t="shared" ref="CD69" si="526">IFERROR(AG69/$C$1,0)</f>
        <v>24.618673585920256</v>
      </c>
      <c r="CE69" s="4496">
        <f t="shared" ref="CE69" si="527">IFERROR(AH69/$C$1,0)</f>
        <v>37.049163801422345</v>
      </c>
      <c r="CF69" s="4496">
        <f t="shared" ref="CF69" si="528">IFERROR(AI69/$C$1,0)</f>
        <v>42.716777387084328</v>
      </c>
      <c r="CG69" s="4496">
        <f t="shared" ref="CG69" si="529">IFERROR(AJ69/$C$1,0)</f>
        <v>49.275354699095566</v>
      </c>
      <c r="CH69" s="4496">
        <f t="shared" ref="CH69" si="530">IFERROR(AK69/$C$1,0)</f>
        <v>56.864995501113803</v>
      </c>
      <c r="CI69" s="4496">
        <f t="shared" ref="CI69" si="531">IFERROR(AL69/$C$1,0)</f>
        <v>65.647835272174646</v>
      </c>
      <c r="CJ69" s="4496">
        <f t="shared" ref="CJ69" si="532">IFERROR(AM69/$C$1,0)</f>
        <v>29.783792889606747</v>
      </c>
      <c r="CK69" s="4496">
        <f t="shared" ref="CK69" si="533">IFERROR(AN69/$C$1,0)</f>
        <v>33.602347181771734</v>
      </c>
      <c r="CL69" s="4496">
        <f t="shared" ref="CL69" si="534">IFERROR(AO69/$C$1,0)</f>
        <v>35.135446525188023</v>
      </c>
      <c r="CM69" s="4496">
        <f t="shared" ref="CM69" si="535">IFERROR(AP69/$C$1,0)</f>
        <v>37.049163801422338</v>
      </c>
      <c r="CN69" s="4496">
        <f t="shared" ref="CN69" si="536">IFERROR(AQ69/$C$1,0)</f>
        <v>42.716777387084321</v>
      </c>
      <c r="CO69" s="4496">
        <f t="shared" ref="CO69" si="537">IFERROR(AR69/$C$1,0)</f>
        <v>49.275354699095558</v>
      </c>
      <c r="CP69" s="4496">
        <f t="shared" ref="CP69" si="538">IFERROR(AS69/$C$1,0)</f>
        <v>56.864995501113803</v>
      </c>
      <c r="CQ69" s="4496">
        <f t="shared" ref="CQ69" si="539">IFERROR(AT69/$C$1,0)</f>
        <v>65.64783527217466</v>
      </c>
    </row>
    <row r="70" spans="1:95">
      <c r="A70" s="1982"/>
      <c r="B70" s="151"/>
      <c r="C70" s="1982"/>
      <c r="J70" s="151"/>
      <c r="K70" s="151"/>
      <c r="L70" s="151"/>
      <c r="M70" s="151"/>
      <c r="N70" s="151"/>
      <c r="O70" s="151"/>
      <c r="P70" s="151"/>
      <c r="W70" s="151"/>
      <c r="X70" s="1982"/>
      <c r="AE70" s="151"/>
      <c r="AF70" s="152"/>
      <c r="AG70" s="152"/>
      <c r="AU70" s="646"/>
      <c r="AV70" s="646"/>
      <c r="AW70" s="167"/>
      <c r="AX70" s="147"/>
      <c r="AY70" s="147"/>
      <c r="AZ70" s="147"/>
      <c r="BA70" s="147"/>
      <c r="BB70" s="147"/>
    </row>
    <row r="71" spans="1:95">
      <c r="A71" s="1983"/>
      <c r="B71" s="1984"/>
      <c r="C71" s="1991" t="str">
        <f>'Приложение '!B82</f>
        <v>Дата: 16.03.2026</v>
      </c>
      <c r="J71" s="151"/>
      <c r="K71" s="151"/>
      <c r="L71" s="151"/>
      <c r="M71" s="151"/>
      <c r="N71" s="151"/>
      <c r="O71" s="151"/>
      <c r="P71" s="151"/>
      <c r="Q71" s="1985"/>
      <c r="R71" s="1986"/>
      <c r="S71" s="1987"/>
      <c r="V71" s="1982"/>
      <c r="W71" s="151"/>
      <c r="X71" s="1982"/>
      <c r="AE71" s="151"/>
      <c r="AF71" s="152"/>
      <c r="AG71" s="152"/>
      <c r="AU71" s="646"/>
      <c r="AV71" s="646"/>
      <c r="AW71" s="167"/>
      <c r="AX71" s="147"/>
      <c r="AY71" s="147"/>
      <c r="AZ71" s="147"/>
      <c r="BA71" s="147"/>
      <c r="BB71" s="147"/>
    </row>
    <row r="72" spans="1:95">
      <c r="A72" s="1985"/>
      <c r="B72" s="1988"/>
      <c r="C72" s="1982"/>
      <c r="Q72" s="1985"/>
      <c r="R72" s="1989"/>
      <c r="S72" s="1990"/>
      <c r="T72" s="151"/>
      <c r="U72" s="1985"/>
      <c r="V72" s="1982"/>
      <c r="X72" s="1982"/>
      <c r="AD72" s="1992"/>
      <c r="AE72" s="1992"/>
      <c r="AF72" s="1993"/>
      <c r="AG72" s="1993"/>
      <c r="AH72" s="1992"/>
      <c r="AI72" s="1992"/>
      <c r="AJ72" s="1992"/>
      <c r="AK72" s="1992"/>
      <c r="AL72" s="1992"/>
      <c r="AM72" s="1992"/>
      <c r="AP72" s="1992"/>
      <c r="AQ72" s="1994"/>
      <c r="AR72" s="1995"/>
      <c r="AS72" s="1993"/>
      <c r="AT72" s="1992"/>
      <c r="AU72" s="1992"/>
      <c r="AV72" s="1992"/>
      <c r="AW72" s="1993"/>
      <c r="AX72" s="147"/>
      <c r="AY72" s="147"/>
      <c r="AZ72" s="147"/>
      <c r="BA72" s="147"/>
      <c r="BB72" s="147"/>
    </row>
    <row r="73" spans="1:95">
      <c r="A73" s="1985"/>
      <c r="B73" s="1988"/>
      <c r="C73" s="1982"/>
      <c r="Q73" s="1982"/>
      <c r="R73" s="1996"/>
      <c r="S73" s="775"/>
      <c r="U73" s="1982"/>
      <c r="V73" s="148"/>
      <c r="X73" s="1982"/>
      <c r="AC73" s="1992"/>
      <c r="AD73" s="1992"/>
      <c r="AE73" s="1992"/>
      <c r="AF73" s="1993"/>
      <c r="AG73" s="1993"/>
      <c r="AH73" s="1992"/>
      <c r="AI73" s="1992"/>
      <c r="AJ73" s="1992"/>
      <c r="AK73" s="1992"/>
      <c r="AL73" s="1992"/>
      <c r="AM73" s="1992"/>
      <c r="AP73" s="1992"/>
      <c r="AQ73" s="1994"/>
      <c r="AR73" s="1997"/>
      <c r="AS73" s="1993"/>
      <c r="AT73" s="1992"/>
      <c r="AU73" s="1992"/>
      <c r="AV73" s="1992"/>
      <c r="AW73" s="1993"/>
      <c r="AX73" s="147"/>
      <c r="AY73" s="147"/>
      <c r="AZ73" s="147"/>
      <c r="BA73" s="147"/>
      <c r="BB73" s="147"/>
    </row>
    <row r="74" spans="1:95">
      <c r="B74" s="3818"/>
      <c r="C74" s="3818" t="s">
        <v>187</v>
      </c>
      <c r="D74" s="1998"/>
      <c r="E74" s="1998"/>
      <c r="F74" s="1998"/>
      <c r="G74" s="1998"/>
      <c r="H74" s="1998"/>
      <c r="I74" s="646"/>
      <c r="J74" s="646"/>
      <c r="K74" s="646"/>
      <c r="L74" s="646"/>
      <c r="M74" s="646"/>
      <c r="N74" s="646"/>
      <c r="O74" s="646"/>
      <c r="P74" s="646"/>
      <c r="Q74" s="1982"/>
      <c r="R74" s="1996"/>
      <c r="S74" s="775"/>
      <c r="T74" s="646"/>
      <c r="U74" s="1982"/>
      <c r="V74" s="148"/>
      <c r="X74" s="1982"/>
      <c r="AC74" s="1992"/>
      <c r="AD74" s="1992"/>
      <c r="AE74" s="1992"/>
      <c r="AF74" s="1993"/>
      <c r="AG74" s="1993"/>
      <c r="AH74" s="1992"/>
      <c r="AI74" s="1992"/>
      <c r="AJ74" s="1992"/>
      <c r="AK74" s="1992"/>
      <c r="AL74" s="1992"/>
      <c r="AM74" s="1992"/>
      <c r="AP74" s="1992"/>
      <c r="AQ74" s="1994"/>
      <c r="AR74" s="1995"/>
      <c r="AS74" s="1993"/>
      <c r="AT74" s="1992"/>
      <c r="AU74" s="1992"/>
      <c r="AV74" s="1992"/>
      <c r="AW74" s="1993"/>
      <c r="AX74" s="147"/>
      <c r="AY74" s="147"/>
      <c r="AZ74" s="147"/>
      <c r="BA74" s="147"/>
      <c r="BB74" s="147"/>
    </row>
    <row r="75" spans="1:95">
      <c r="B75" s="3735"/>
      <c r="C75" s="3735" t="s">
        <v>188</v>
      </c>
      <c r="D75" s="646"/>
      <c r="E75" s="646"/>
      <c r="F75" s="646"/>
      <c r="G75" s="646"/>
      <c r="H75" s="646"/>
      <c r="I75" s="646"/>
      <c r="J75" s="646"/>
      <c r="K75" s="646"/>
      <c r="L75" s="646"/>
      <c r="M75" s="646"/>
      <c r="N75" s="646"/>
      <c r="O75" s="646"/>
      <c r="P75" s="646"/>
      <c r="Q75" s="151"/>
      <c r="R75" s="3402"/>
      <c r="S75" s="3403"/>
      <c r="T75" s="646"/>
      <c r="V75" s="148"/>
      <c r="X75" s="1982"/>
      <c r="AC75" s="1992"/>
      <c r="AD75" s="1992"/>
      <c r="AE75" s="1992"/>
      <c r="AF75" s="1993"/>
      <c r="AG75" s="1993"/>
      <c r="AH75" s="1992"/>
      <c r="AI75" s="1992"/>
      <c r="AJ75" s="1992"/>
      <c r="AK75" s="1992"/>
      <c r="AL75" s="1992"/>
      <c r="AM75" s="1992"/>
      <c r="AP75" s="1992"/>
      <c r="AQ75" s="1994"/>
      <c r="AR75" s="1995"/>
      <c r="AS75" s="1993"/>
      <c r="AT75" s="1992"/>
      <c r="AU75" s="1992"/>
      <c r="AV75" s="1992"/>
      <c r="AW75" s="1993"/>
      <c r="AX75" s="147"/>
      <c r="AY75" s="147"/>
      <c r="AZ75" s="147"/>
      <c r="BA75" s="147"/>
      <c r="BB75" s="147"/>
    </row>
    <row r="76" spans="1:95" ht="46.5" customHeight="1">
      <c r="B76" s="3734"/>
      <c r="C76" s="5181" t="s">
        <v>1477</v>
      </c>
      <c r="D76" s="5181"/>
      <c r="E76" s="5181"/>
      <c r="F76" s="5181"/>
      <c r="G76" s="5181"/>
      <c r="H76" s="5181"/>
      <c r="I76" s="5181"/>
      <c r="J76" s="5181"/>
      <c r="K76" s="5181"/>
      <c r="L76" s="5181"/>
      <c r="M76" s="5181"/>
      <c r="N76" s="5181"/>
      <c r="O76" s="5181"/>
      <c r="P76" s="5181"/>
      <c r="Q76" s="5181"/>
      <c r="R76" s="5181"/>
      <c r="S76" s="5181"/>
      <c r="T76" s="5181"/>
      <c r="U76" s="5181"/>
      <c r="V76" s="5181"/>
      <c r="W76" s="5181"/>
      <c r="X76" s="5181"/>
      <c r="Y76" s="5181"/>
      <c r="Z76" s="5181"/>
      <c r="AC76" s="1992"/>
      <c r="AD76" s="1992"/>
      <c r="AE76" s="1992"/>
      <c r="AF76" s="1992"/>
      <c r="AG76" s="1992"/>
      <c r="AH76" s="1992"/>
      <c r="AI76" s="1992"/>
      <c r="AJ76" s="1999"/>
      <c r="AK76" s="1999"/>
      <c r="AL76" s="1999"/>
      <c r="AM76" s="1992"/>
      <c r="AP76" s="1992"/>
      <c r="AQ76" s="1994"/>
      <c r="AR76" s="1995"/>
      <c r="AS76" s="1994"/>
      <c r="AT76" s="1992"/>
      <c r="AU76" s="1999"/>
      <c r="AV76" s="1999"/>
      <c r="AW76" s="2000"/>
      <c r="AX76" s="147"/>
      <c r="AY76" s="147"/>
    </row>
    <row r="77" spans="1:95" ht="35.25" customHeight="1">
      <c r="B77" s="3734"/>
      <c r="C77" s="5181" t="s">
        <v>1476</v>
      </c>
      <c r="D77" s="5181"/>
      <c r="E77" s="5181"/>
      <c r="F77" s="5181"/>
      <c r="G77" s="5181"/>
      <c r="H77" s="5181"/>
      <c r="I77" s="5181"/>
      <c r="J77" s="5181"/>
      <c r="K77" s="5181"/>
      <c r="L77" s="5181"/>
      <c r="M77" s="5181"/>
      <c r="N77" s="5181"/>
      <c r="O77" s="5181"/>
      <c r="P77" s="5181"/>
      <c r="Q77" s="5181"/>
      <c r="R77" s="5181"/>
      <c r="S77" s="5181"/>
      <c r="T77" s="5181"/>
      <c r="U77" s="5181"/>
      <c r="V77" s="5181"/>
      <c r="W77" s="5181"/>
      <c r="X77" s="5181"/>
      <c r="Y77" s="5181"/>
      <c r="Z77" s="5181"/>
      <c r="AC77" s="1992"/>
      <c r="AD77" s="1992"/>
      <c r="AE77" s="1992"/>
      <c r="AF77" s="1992"/>
      <c r="AG77" s="1992"/>
      <c r="AH77" s="1992"/>
      <c r="AI77" s="1992"/>
      <c r="AJ77" s="1992"/>
      <c r="AK77" s="1992"/>
      <c r="AL77" s="1992"/>
      <c r="AM77" s="1992"/>
      <c r="AP77" s="1992"/>
      <c r="AQ77" s="1994"/>
      <c r="AR77" s="1997"/>
      <c r="AS77" s="1994"/>
      <c r="AT77" s="1992"/>
      <c r="AU77" s="1992"/>
      <c r="AV77" s="1992"/>
      <c r="AW77" s="1993"/>
    </row>
    <row r="78" spans="1:95" ht="21.75" customHeight="1">
      <c r="B78" s="3734"/>
      <c r="C78" s="3735" t="s">
        <v>1513</v>
      </c>
      <c r="D78" s="3735"/>
      <c r="E78" s="3735"/>
      <c r="F78" s="3735"/>
      <c r="G78" s="3735"/>
      <c r="H78" s="3735"/>
      <c r="I78" s="3735"/>
      <c r="J78" s="3735"/>
      <c r="K78" s="3735"/>
      <c r="L78" s="3735"/>
      <c r="M78" s="3735"/>
      <c r="N78" s="3735"/>
      <c r="O78" s="3735"/>
      <c r="P78" s="3735"/>
      <c r="Q78" s="3735"/>
      <c r="R78" s="3735"/>
      <c r="S78" s="3735"/>
      <c r="T78" s="3735"/>
      <c r="U78" s="3735"/>
      <c r="AC78" s="1992"/>
      <c r="AD78" s="1992"/>
      <c r="AE78" s="1992"/>
      <c r="AF78" s="1992"/>
      <c r="AG78" s="1992"/>
      <c r="AH78" s="1992"/>
      <c r="AI78" s="1992"/>
      <c r="AJ78" s="1992"/>
      <c r="AK78" s="1992"/>
      <c r="AL78" s="1992"/>
      <c r="AM78" s="1992"/>
      <c r="AP78" s="1992"/>
      <c r="AQ78" s="1992"/>
      <c r="AR78" s="1992"/>
      <c r="AS78" s="1992"/>
      <c r="AT78" s="1992"/>
      <c r="AU78" s="1992"/>
      <c r="AV78" s="1992"/>
      <c r="AW78" s="1993"/>
    </row>
    <row r="79" spans="1:95" ht="41.25" customHeight="1">
      <c r="B79" s="3734"/>
      <c r="C79" s="5181" t="s">
        <v>1512</v>
      </c>
      <c r="D79" s="5181"/>
      <c r="E79" s="5181"/>
      <c r="F79" s="5181"/>
      <c r="G79" s="5181"/>
      <c r="H79" s="5181"/>
      <c r="I79" s="5181"/>
      <c r="J79" s="5181"/>
      <c r="K79" s="5181"/>
      <c r="L79" s="5181"/>
      <c r="M79" s="5181"/>
      <c r="N79" s="5181"/>
      <c r="O79" s="5181"/>
      <c r="P79" s="5181"/>
      <c r="Q79" s="5181"/>
      <c r="R79" s="5181"/>
      <c r="S79" s="5181"/>
      <c r="T79" s="5181"/>
      <c r="U79" s="5181"/>
      <c r="V79" s="5181"/>
      <c r="W79" s="5181"/>
      <c r="X79" s="5181"/>
      <c r="Y79" s="5181"/>
      <c r="Z79" s="5181"/>
    </row>
  </sheetData>
  <sheetProtection algorithmName="SHA-512" hashValue="gQ9S7Ft4sDLZk6RvGNxS3/8b+cUTyHwGNHzcccoL/vcoj/2XUSHMI7HskpavCqGh2Pat8S694zMVsNogFSQMrg==" saltValue="TrGnRMv8TiVc++yb/WM5QA==" spinCount="100000" sheet="1" formatCells="0" formatColumns="0" formatRows="0"/>
  <mergeCells count="30">
    <mergeCell ref="CD7:CI8"/>
    <mergeCell ref="CJ7:CQ8"/>
    <mergeCell ref="AY7:AY9"/>
    <mergeCell ref="A1:B1"/>
    <mergeCell ref="C1:D1"/>
    <mergeCell ref="AZ7:CC7"/>
    <mergeCell ref="AZ8:BE8"/>
    <mergeCell ref="BF8:BK8"/>
    <mergeCell ref="BL8:BQ8"/>
    <mergeCell ref="BR8:BW8"/>
    <mergeCell ref="BX8:CC8"/>
    <mergeCell ref="A2:Z2"/>
    <mergeCell ref="A3:Z3"/>
    <mergeCell ref="A4:Z4"/>
    <mergeCell ref="A5:Z5"/>
    <mergeCell ref="A7:A9"/>
    <mergeCell ref="C77:Z77"/>
    <mergeCell ref="C79:Z79"/>
    <mergeCell ref="AV7:AV8"/>
    <mergeCell ref="AW7:AW8"/>
    <mergeCell ref="C7:AF7"/>
    <mergeCell ref="U8:Z8"/>
    <mergeCell ref="AA8:AF8"/>
    <mergeCell ref="AM7:AU8"/>
    <mergeCell ref="AG7:AL8"/>
    <mergeCell ref="B7:B9"/>
    <mergeCell ref="C8:H8"/>
    <mergeCell ref="I8:N8"/>
    <mergeCell ref="O8:T8"/>
    <mergeCell ref="C76:Z76"/>
  </mergeCells>
  <conditionalFormatting sqref="M18">
    <cfRule type="cellIs" priority="3" operator="notEqual">
      <formula>$M$18</formula>
    </cfRule>
  </conditionalFormatting>
  <conditionalFormatting sqref="M25:M26">
    <cfRule type="cellIs" priority="1" operator="notEqual">
      <formula>$M$18</formula>
    </cfRule>
  </conditionalFormatting>
  <printOptions horizontalCentered="1"/>
  <pageMargins left="0" right="0" top="0.43307086614173229" bottom="0.15748031496062992" header="0.31496062992125984" footer="0.11811023622047245"/>
  <pageSetup paperSize="9" scale="65" orientation="landscape" r:id="rId1"/>
  <headerFooter alignWithMargins="0">
    <oddFooter>&amp;C&amp;A&amp;RСтр. &amp;P от &amp;N</oddFooter>
  </headerFooter>
  <colBreaks count="1" manualBreakCount="1">
    <brk id="26" max="77" man="1"/>
  </col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tabColor rgb="FFFFFFCC"/>
  </sheetPr>
  <dimension ref="A1:CX119"/>
  <sheetViews>
    <sheetView zoomScale="110" zoomScaleNormal="110" zoomScaleSheetLayoutView="100" workbookViewId="0">
      <selection activeCell="D74" sqref="D74"/>
    </sheetView>
  </sheetViews>
  <sheetFormatPr defaultColWidth="9.109375" defaultRowHeight="13.2"/>
  <cols>
    <col min="1" max="1" width="4.5546875" style="146" customWidth="1"/>
    <col min="2" max="2" width="33.88671875" style="146" customWidth="1"/>
    <col min="3" max="3" width="10.88671875" style="145" customWidth="1"/>
    <col min="4" max="4" width="10.109375" style="145" bestFit="1" customWidth="1"/>
    <col min="5" max="5" width="10.109375" style="145" customWidth="1"/>
    <col min="6" max="6" width="11.33203125" style="145" customWidth="1"/>
    <col min="7" max="7" width="11.5546875" style="145" customWidth="1"/>
    <col min="8" max="8" width="10.88671875" style="145" customWidth="1"/>
    <col min="9" max="14" width="8.6640625" style="145" customWidth="1"/>
    <col min="15" max="20" width="8" style="145" customWidth="1"/>
    <col min="21" max="21" width="2.88671875" style="145" customWidth="1"/>
    <col min="22" max="25" width="8.6640625" style="145" customWidth="1"/>
    <col min="26" max="33" width="8.6640625" style="146" customWidth="1"/>
    <col min="34" max="16384" width="9.109375" style="146"/>
  </cols>
  <sheetData>
    <row r="1" spans="1:102" ht="13.5" customHeight="1" thickBot="1">
      <c r="A1" s="5009" t="str">
        <f>+'1. Обща информация'!B40</f>
        <v>Фиксиран курс на лева към 1 евро</v>
      </c>
      <c r="B1" s="5009"/>
      <c r="C1" s="5010">
        <f>+'1. Обща информация'!$C$40</f>
        <v>1.95583</v>
      </c>
      <c r="D1" s="5010"/>
      <c r="E1" s="2004"/>
      <c r="F1" s="2004"/>
      <c r="G1" s="2004"/>
      <c r="H1" s="2004"/>
      <c r="I1" s="2004"/>
      <c r="J1" s="2004"/>
      <c r="K1" s="2004"/>
      <c r="L1" s="2004"/>
      <c r="M1" s="2004"/>
      <c r="N1" s="2004"/>
      <c r="O1" s="2004"/>
      <c r="P1" s="2004"/>
      <c r="Q1" s="2004"/>
      <c r="R1" s="2004"/>
      <c r="S1" s="2005" t="s">
        <v>1048</v>
      </c>
      <c r="T1" s="146"/>
    </row>
    <row r="2" spans="1:102" s="147" customFormat="1" ht="18.75" customHeight="1">
      <c r="A2" s="5235" t="s">
        <v>1378</v>
      </c>
      <c r="B2" s="5235"/>
      <c r="C2" s="5235"/>
      <c r="D2" s="5235"/>
      <c r="E2" s="5235"/>
      <c r="F2" s="5235"/>
      <c r="G2" s="5235"/>
      <c r="H2" s="5235"/>
      <c r="I2" s="5235"/>
      <c r="J2" s="5235"/>
      <c r="K2" s="5235"/>
      <c r="L2" s="5235"/>
      <c r="M2" s="5235"/>
      <c r="N2" s="5235"/>
      <c r="O2" s="5235"/>
      <c r="P2" s="5235"/>
      <c r="Q2" s="5235"/>
      <c r="R2" s="5235"/>
      <c r="S2" s="5235"/>
      <c r="T2" s="5235"/>
      <c r="U2" s="145"/>
      <c r="V2" s="145"/>
      <c r="W2" s="145"/>
      <c r="X2" s="145"/>
      <c r="Y2" s="145"/>
      <c r="Z2" s="146"/>
      <c r="AA2" s="146"/>
      <c r="AB2" s="146"/>
      <c r="AC2" s="146"/>
      <c r="AD2" s="146"/>
      <c r="AE2" s="146"/>
      <c r="AF2" s="146"/>
      <c r="AG2" s="146"/>
      <c r="AH2" s="146"/>
      <c r="AI2" s="146"/>
      <c r="AJ2" s="146"/>
      <c r="AK2" s="146"/>
      <c r="AL2" s="146"/>
      <c r="AM2" s="146"/>
      <c r="AN2" s="146"/>
      <c r="AO2" s="146"/>
      <c r="AP2" s="146"/>
      <c r="AQ2" s="146"/>
      <c r="AR2" s="146"/>
      <c r="AS2" s="146"/>
      <c r="AT2" s="146"/>
      <c r="AU2" s="146"/>
      <c r="AV2" s="146"/>
      <c r="AW2" s="146"/>
      <c r="AX2" s="146"/>
      <c r="AY2" s="146"/>
      <c r="AZ2" s="146"/>
      <c r="BA2" s="146"/>
      <c r="BB2" s="146"/>
      <c r="BC2" s="146"/>
      <c r="BD2" s="146"/>
      <c r="BE2" s="146"/>
      <c r="BF2" s="146"/>
      <c r="BG2" s="146"/>
      <c r="BH2" s="146"/>
      <c r="BI2" s="146"/>
      <c r="BJ2" s="146"/>
      <c r="BK2" s="146"/>
      <c r="BL2" s="146"/>
      <c r="BM2" s="146"/>
      <c r="BN2" s="146"/>
      <c r="BO2" s="146"/>
      <c r="BP2" s="146"/>
      <c r="BQ2" s="146"/>
      <c r="BR2" s="146"/>
      <c r="BS2" s="146"/>
      <c r="BT2" s="146"/>
      <c r="BU2" s="146"/>
      <c r="BV2" s="146"/>
      <c r="BW2" s="146"/>
      <c r="BX2" s="146"/>
      <c r="BY2" s="146"/>
      <c r="BZ2" s="146"/>
      <c r="CA2" s="146"/>
      <c r="CB2" s="146"/>
      <c r="CC2" s="146"/>
      <c r="CD2" s="146"/>
      <c r="CE2" s="146"/>
      <c r="CF2" s="146"/>
      <c r="CG2" s="146"/>
      <c r="CH2" s="146"/>
      <c r="CI2" s="146"/>
      <c r="CJ2" s="146"/>
      <c r="CK2" s="146"/>
      <c r="CL2" s="146"/>
      <c r="CM2" s="146"/>
      <c r="CN2" s="146"/>
      <c r="CO2" s="146"/>
      <c r="CP2" s="146"/>
      <c r="CQ2" s="146"/>
      <c r="CR2" s="146"/>
      <c r="CS2" s="146"/>
      <c r="CT2" s="146"/>
      <c r="CU2" s="146"/>
      <c r="CV2" s="146"/>
      <c r="CW2" s="146"/>
      <c r="CX2" s="146"/>
    </row>
    <row r="3" spans="1:102" s="147" customFormat="1" ht="17.399999999999999">
      <c r="A3" s="5235" t="s">
        <v>1377</v>
      </c>
      <c r="B3" s="5235"/>
      <c r="C3" s="5235"/>
      <c r="D3" s="5235"/>
      <c r="E3" s="5235"/>
      <c r="F3" s="5235"/>
      <c r="G3" s="5235"/>
      <c r="H3" s="5235"/>
      <c r="I3" s="5235"/>
      <c r="J3" s="5235"/>
      <c r="K3" s="5235"/>
      <c r="L3" s="5235"/>
      <c r="M3" s="5235"/>
      <c r="N3" s="5235"/>
      <c r="O3" s="5235"/>
      <c r="P3" s="5235"/>
      <c r="Q3" s="5235"/>
      <c r="R3" s="5235"/>
      <c r="S3" s="5235"/>
      <c r="T3" s="5235"/>
      <c r="U3" s="145"/>
      <c r="V3" s="145"/>
      <c r="W3" s="145"/>
      <c r="X3" s="145"/>
      <c r="Y3" s="145"/>
      <c r="Z3" s="146"/>
      <c r="AA3" s="146"/>
      <c r="AB3" s="146"/>
      <c r="AC3" s="146"/>
      <c r="AD3" s="146"/>
      <c r="AE3" s="146"/>
      <c r="AF3" s="146"/>
      <c r="AG3" s="146"/>
      <c r="AH3" s="146"/>
      <c r="AI3" s="146"/>
      <c r="AJ3" s="146"/>
      <c r="AK3" s="146"/>
      <c r="AL3" s="146"/>
      <c r="AM3" s="146"/>
      <c r="AN3" s="146"/>
      <c r="AO3" s="146"/>
      <c r="AP3" s="146"/>
      <c r="AQ3" s="146"/>
      <c r="AR3" s="146"/>
      <c r="AS3" s="146"/>
      <c r="AT3" s="146"/>
      <c r="AU3" s="146"/>
      <c r="AV3" s="146"/>
      <c r="AW3" s="146"/>
      <c r="AX3" s="146"/>
      <c r="AY3" s="146"/>
      <c r="AZ3" s="146"/>
      <c r="BA3" s="146"/>
      <c r="BB3" s="146"/>
      <c r="BC3" s="146"/>
      <c r="BD3" s="146"/>
      <c r="BE3" s="146"/>
      <c r="BF3" s="146"/>
      <c r="BG3" s="146"/>
      <c r="BH3" s="146"/>
      <c r="BI3" s="146"/>
      <c r="BJ3" s="146"/>
      <c r="BK3" s="146"/>
      <c r="BL3" s="146"/>
      <c r="BM3" s="146"/>
      <c r="BN3" s="146"/>
      <c r="BO3" s="146"/>
      <c r="BP3" s="146"/>
      <c r="BQ3" s="146"/>
      <c r="BR3" s="146"/>
      <c r="BS3" s="146"/>
      <c r="BT3" s="146"/>
      <c r="BU3" s="146"/>
      <c r="BV3" s="146"/>
      <c r="BW3" s="146"/>
      <c r="BX3" s="146"/>
      <c r="BY3" s="146"/>
      <c r="BZ3" s="146"/>
      <c r="CA3" s="146"/>
      <c r="CB3" s="146"/>
      <c r="CC3" s="146"/>
      <c r="CD3" s="146"/>
      <c r="CE3" s="146"/>
      <c r="CF3" s="146"/>
      <c r="CG3" s="146"/>
      <c r="CH3" s="146"/>
      <c r="CI3" s="146"/>
      <c r="CJ3" s="146"/>
      <c r="CK3" s="146"/>
      <c r="CL3" s="146"/>
      <c r="CM3" s="146"/>
      <c r="CN3" s="146"/>
      <c r="CO3" s="146"/>
      <c r="CP3" s="146"/>
      <c r="CQ3" s="146"/>
      <c r="CR3" s="146"/>
      <c r="CS3" s="146"/>
      <c r="CT3" s="146"/>
      <c r="CU3" s="146"/>
      <c r="CV3" s="146"/>
      <c r="CW3" s="146"/>
      <c r="CX3" s="146"/>
    </row>
    <row r="4" spans="1:102" s="147" customFormat="1" ht="17.25" customHeight="1">
      <c r="A4" s="5159" t="str">
        <f>'1. Обща информация'!A4</f>
        <v>на "В И К" АД, гр. Ловеч</v>
      </c>
      <c r="B4" s="5159"/>
      <c r="C4" s="5159"/>
      <c r="D4" s="5159"/>
      <c r="E4" s="5159"/>
      <c r="F4" s="5159"/>
      <c r="G4" s="5159"/>
      <c r="H4" s="5159"/>
      <c r="I4" s="5159"/>
      <c r="J4" s="5159"/>
      <c r="K4" s="5159"/>
      <c r="L4" s="5159"/>
      <c r="M4" s="5159"/>
      <c r="N4" s="5159"/>
      <c r="O4" s="5159"/>
      <c r="P4" s="5159"/>
      <c r="Q4" s="5159"/>
      <c r="R4" s="5159"/>
      <c r="S4" s="5159"/>
      <c r="T4" s="5159"/>
      <c r="U4" s="148"/>
      <c r="V4" s="148"/>
      <c r="W4" s="148"/>
      <c r="X4" s="148"/>
      <c r="Y4" s="148"/>
    </row>
    <row r="5" spans="1:102" s="147" customFormat="1" ht="17.25" customHeight="1">
      <c r="A5" s="5236" t="str">
        <f>'Приложение '!A4</f>
        <v>ЕИК по БУЛСТАТ: 110549443</v>
      </c>
      <c r="B5" s="5236"/>
      <c r="C5" s="5236"/>
      <c r="D5" s="5236"/>
      <c r="E5" s="5236"/>
      <c r="F5" s="5236"/>
      <c r="G5" s="5236"/>
      <c r="H5" s="5236"/>
      <c r="I5" s="5236"/>
      <c r="J5" s="5236"/>
      <c r="K5" s="5236"/>
      <c r="L5" s="5236"/>
      <c r="M5" s="5236"/>
      <c r="N5" s="5236"/>
      <c r="O5" s="5236"/>
      <c r="P5" s="5236"/>
      <c r="Q5" s="5236"/>
      <c r="R5" s="5236"/>
      <c r="S5" s="5236"/>
      <c r="T5" s="5236"/>
      <c r="U5" s="148"/>
      <c r="V5" s="148"/>
      <c r="W5" s="148"/>
      <c r="X5" s="148"/>
      <c r="Y5" s="148"/>
    </row>
    <row r="6" spans="1:102" s="147" customFormat="1" ht="6" customHeight="1" thickBot="1">
      <c r="A6" s="149"/>
      <c r="B6" s="149"/>
      <c r="C6" s="150"/>
      <c r="D6" s="150"/>
      <c r="E6" s="150"/>
      <c r="F6" s="150"/>
      <c r="G6" s="150"/>
      <c r="H6" s="150"/>
      <c r="I6" s="150"/>
      <c r="J6" s="150"/>
      <c r="K6" s="150"/>
      <c r="L6" s="150"/>
      <c r="M6" s="150"/>
      <c r="N6" s="2004"/>
      <c r="O6" s="2004"/>
      <c r="P6" s="2004"/>
      <c r="Q6" s="2004"/>
      <c r="R6" s="2004"/>
      <c r="S6" s="5234"/>
      <c r="T6" s="5234"/>
      <c r="U6" s="145"/>
      <c r="V6" s="145"/>
      <c r="W6" s="145"/>
      <c r="X6" s="145"/>
      <c r="Y6" s="145"/>
      <c r="Z6" s="146"/>
      <c r="AA6" s="146"/>
      <c r="AB6" s="146"/>
      <c r="AC6" s="146"/>
      <c r="AD6" s="146"/>
      <c r="AE6" s="146"/>
      <c r="AF6" s="146"/>
      <c r="AG6" s="146"/>
      <c r="AH6" s="146"/>
      <c r="AI6" s="146"/>
      <c r="AJ6" s="146"/>
      <c r="AK6" s="146"/>
      <c r="AL6" s="146"/>
      <c r="AM6" s="146"/>
      <c r="AN6" s="146"/>
      <c r="AO6" s="146"/>
      <c r="AP6" s="146"/>
      <c r="AQ6" s="146"/>
      <c r="AR6" s="146"/>
      <c r="AS6" s="146"/>
      <c r="AT6" s="146"/>
      <c r="AU6" s="146"/>
      <c r="AV6" s="146"/>
      <c r="AW6" s="146"/>
      <c r="AX6" s="146"/>
      <c r="AY6" s="146"/>
      <c r="AZ6" s="146"/>
      <c r="BA6" s="146"/>
      <c r="BB6" s="146"/>
      <c r="BC6" s="146"/>
      <c r="BD6" s="146"/>
      <c r="BE6" s="146"/>
      <c r="BF6" s="146"/>
      <c r="BG6" s="146"/>
      <c r="BH6" s="146"/>
      <c r="BI6" s="146"/>
      <c r="BJ6" s="146"/>
      <c r="BK6" s="146"/>
      <c r="BL6" s="146"/>
      <c r="BM6" s="146"/>
      <c r="BN6" s="146"/>
      <c r="BO6" s="146"/>
      <c r="BP6" s="146"/>
      <c r="BQ6" s="146"/>
      <c r="BR6" s="146"/>
      <c r="BS6" s="146"/>
      <c r="BT6" s="146"/>
      <c r="BU6" s="146"/>
      <c r="BV6" s="146"/>
      <c r="BW6" s="146"/>
      <c r="BX6" s="146"/>
      <c r="BY6" s="146"/>
      <c r="BZ6" s="146"/>
      <c r="CA6" s="146"/>
      <c r="CB6" s="146"/>
      <c r="CC6" s="146"/>
      <c r="CD6" s="146"/>
      <c r="CE6" s="146"/>
      <c r="CF6" s="146"/>
      <c r="CG6" s="146"/>
      <c r="CH6" s="146"/>
      <c r="CI6" s="146"/>
      <c r="CJ6" s="146"/>
      <c r="CK6" s="146"/>
      <c r="CL6" s="146"/>
      <c r="CM6" s="146"/>
      <c r="CN6" s="146"/>
      <c r="CO6" s="146"/>
      <c r="CP6" s="146"/>
      <c r="CQ6" s="146"/>
      <c r="CR6" s="146"/>
      <c r="CS6" s="146"/>
      <c r="CT6" s="146"/>
      <c r="CU6" s="146"/>
      <c r="CV6" s="146"/>
      <c r="CW6" s="146"/>
      <c r="CX6" s="146"/>
    </row>
    <row r="7" spans="1:102" s="147" customFormat="1" ht="23.25" customHeight="1">
      <c r="A7" s="5208" t="s">
        <v>1</v>
      </c>
      <c r="B7" s="5205" t="s">
        <v>1751</v>
      </c>
      <c r="C7" s="5205" t="s">
        <v>207</v>
      </c>
      <c r="D7" s="5205"/>
      <c r="E7" s="5205"/>
      <c r="F7" s="5205"/>
      <c r="G7" s="5205"/>
      <c r="H7" s="5205"/>
      <c r="I7" s="5205"/>
      <c r="J7" s="5205"/>
      <c r="K7" s="5205"/>
      <c r="L7" s="5205"/>
      <c r="M7" s="5205"/>
      <c r="N7" s="5205"/>
      <c r="O7" s="5205"/>
      <c r="P7" s="5205"/>
      <c r="Q7" s="5205"/>
      <c r="R7" s="5205"/>
      <c r="S7" s="5205"/>
      <c r="T7" s="5205"/>
      <c r="U7" s="4488"/>
      <c r="V7" s="5233" t="str">
        <f>+C7</f>
        <v>Доставяне на вода на потребителите</v>
      </c>
      <c r="W7" s="5233"/>
      <c r="X7" s="5233"/>
      <c r="Y7" s="5233"/>
      <c r="Z7" s="5233"/>
      <c r="AA7" s="5233"/>
      <c r="AB7" s="5233"/>
      <c r="AC7" s="5233"/>
      <c r="AD7" s="5233"/>
      <c r="AE7" s="5233"/>
      <c r="AF7" s="5233"/>
      <c r="AG7" s="5233"/>
      <c r="AH7" s="146"/>
      <c r="AI7" s="146"/>
      <c r="AJ7" s="146"/>
      <c r="AK7" s="146"/>
      <c r="AL7" s="146"/>
      <c r="AM7" s="146"/>
      <c r="AN7" s="146"/>
      <c r="AO7" s="146"/>
      <c r="AP7" s="146"/>
      <c r="AQ7" s="146"/>
      <c r="AR7" s="146"/>
      <c r="AS7" s="146"/>
      <c r="AT7" s="146"/>
      <c r="AU7" s="146"/>
      <c r="AV7" s="146"/>
      <c r="AW7" s="146"/>
      <c r="AX7" s="146"/>
      <c r="AY7" s="146"/>
      <c r="AZ7" s="146"/>
      <c r="BA7" s="146"/>
      <c r="BB7" s="146"/>
      <c r="BC7" s="146"/>
      <c r="BD7" s="146"/>
      <c r="BE7" s="146"/>
      <c r="BF7" s="146"/>
      <c r="BG7" s="146"/>
      <c r="BH7" s="146"/>
      <c r="BI7" s="146"/>
      <c r="BJ7" s="146"/>
      <c r="BK7" s="146"/>
      <c r="BL7" s="146"/>
      <c r="BM7" s="146"/>
      <c r="BN7" s="146"/>
      <c r="BO7" s="146"/>
      <c r="BP7" s="146"/>
      <c r="BQ7" s="146"/>
      <c r="BR7" s="146"/>
      <c r="BS7" s="146"/>
      <c r="BT7" s="146"/>
      <c r="BU7" s="146"/>
      <c r="BV7" s="146"/>
      <c r="BW7" s="146"/>
      <c r="BX7" s="146"/>
      <c r="BY7" s="146"/>
      <c r="BZ7" s="146"/>
      <c r="CA7" s="146"/>
      <c r="CB7" s="146"/>
      <c r="CC7" s="146"/>
      <c r="CD7" s="146"/>
      <c r="CE7" s="146"/>
      <c r="CF7" s="146"/>
      <c r="CG7" s="146"/>
      <c r="CH7" s="146"/>
      <c r="CI7" s="146"/>
      <c r="CJ7" s="146"/>
      <c r="CK7" s="146"/>
      <c r="CL7" s="146"/>
      <c r="CM7" s="146"/>
      <c r="CN7" s="146"/>
      <c r="CO7" s="146"/>
      <c r="CP7" s="146"/>
      <c r="CQ7" s="146"/>
      <c r="CR7" s="146"/>
      <c r="CS7" s="146"/>
      <c r="CT7" s="146"/>
      <c r="CU7" s="146"/>
      <c r="CV7" s="146"/>
      <c r="CW7" s="146"/>
      <c r="CX7" s="146"/>
    </row>
    <row r="8" spans="1:102" s="147" customFormat="1" ht="23.25" customHeight="1">
      <c r="A8" s="5209"/>
      <c r="B8" s="5206"/>
      <c r="C8" s="5211" t="s">
        <v>348</v>
      </c>
      <c r="D8" s="5211"/>
      <c r="E8" s="5211"/>
      <c r="F8" s="5211"/>
      <c r="G8" s="5211"/>
      <c r="H8" s="5211"/>
      <c r="I8" s="5211" t="s">
        <v>911</v>
      </c>
      <c r="J8" s="5211"/>
      <c r="K8" s="5211"/>
      <c r="L8" s="5211"/>
      <c r="M8" s="5211"/>
      <c r="N8" s="5211"/>
      <c r="O8" s="5211" t="s">
        <v>1763</v>
      </c>
      <c r="P8" s="5211"/>
      <c r="Q8" s="5211"/>
      <c r="R8" s="5211"/>
      <c r="S8" s="5211"/>
      <c r="T8" s="5211"/>
      <c r="U8" s="4488"/>
      <c r="V8" s="5232" t="s">
        <v>1877</v>
      </c>
      <c r="W8" s="5232"/>
      <c r="X8" s="5232"/>
      <c r="Y8" s="5232"/>
      <c r="Z8" s="5232"/>
      <c r="AA8" s="5232"/>
      <c r="AB8" s="5232" t="s">
        <v>1878</v>
      </c>
      <c r="AC8" s="5232"/>
      <c r="AD8" s="5232"/>
      <c r="AE8" s="5232"/>
      <c r="AF8" s="5232"/>
      <c r="AG8" s="5232"/>
      <c r="AH8" s="146"/>
      <c r="AI8" s="146"/>
      <c r="AJ8" s="146"/>
      <c r="AK8" s="146"/>
      <c r="AL8" s="146"/>
      <c r="AM8" s="146"/>
      <c r="AN8" s="146"/>
      <c r="AO8" s="146"/>
      <c r="AP8" s="146"/>
      <c r="AQ8" s="146"/>
      <c r="AR8" s="146"/>
      <c r="AS8" s="146"/>
      <c r="AT8" s="146"/>
      <c r="AU8" s="146"/>
      <c r="AV8" s="146"/>
      <c r="AW8" s="146"/>
      <c r="AX8" s="146"/>
      <c r="AY8" s="146"/>
      <c r="AZ8" s="146"/>
      <c r="BA8" s="146"/>
      <c r="BB8" s="146"/>
      <c r="BC8" s="146"/>
      <c r="BD8" s="146"/>
      <c r="BE8" s="146"/>
      <c r="BF8" s="146"/>
      <c r="BG8" s="146"/>
      <c r="BH8" s="146"/>
      <c r="BI8" s="146"/>
      <c r="BJ8" s="146"/>
      <c r="BK8" s="146"/>
      <c r="BL8" s="146"/>
      <c r="BM8" s="146"/>
      <c r="BN8" s="146"/>
      <c r="BO8" s="146"/>
      <c r="BP8" s="146"/>
      <c r="BQ8" s="146"/>
      <c r="BR8" s="146"/>
      <c r="BS8" s="146"/>
      <c r="BT8" s="146"/>
      <c r="BU8" s="146"/>
      <c r="BV8" s="146"/>
      <c r="BW8" s="146"/>
      <c r="BX8" s="146"/>
      <c r="BY8" s="146"/>
      <c r="BZ8" s="146"/>
      <c r="CA8" s="146"/>
      <c r="CB8" s="146"/>
      <c r="CC8" s="146"/>
      <c r="CD8" s="146"/>
      <c r="CE8" s="146"/>
      <c r="CF8" s="146"/>
      <c r="CG8" s="146"/>
      <c r="CH8" s="146"/>
      <c r="CI8" s="146"/>
      <c r="CJ8" s="146"/>
      <c r="CK8" s="146"/>
      <c r="CL8" s="146"/>
      <c r="CM8" s="146"/>
      <c r="CN8" s="146"/>
      <c r="CO8" s="146"/>
      <c r="CP8" s="146"/>
      <c r="CQ8" s="146"/>
      <c r="CR8" s="146"/>
      <c r="CS8" s="146"/>
      <c r="CT8" s="146"/>
      <c r="CU8" s="146"/>
      <c r="CV8" s="146"/>
      <c r="CW8" s="146"/>
      <c r="CX8" s="146"/>
    </row>
    <row r="9" spans="1:102" s="147" customFormat="1" ht="23.25" customHeight="1" thickBot="1">
      <c r="A9" s="5210"/>
      <c r="B9" s="5207"/>
      <c r="C9" s="155" t="str">
        <f>'Приложение '!C12</f>
        <v>2024 г.</v>
      </c>
      <c r="D9" s="155" t="str">
        <f>'Приложение '!$C14</f>
        <v>2027 г.</v>
      </c>
      <c r="E9" s="155" t="str">
        <f>'Приложение '!$C15</f>
        <v>2028 г.</v>
      </c>
      <c r="F9" s="155" t="str">
        <f>'Приложение '!$C16</f>
        <v>2029 г.</v>
      </c>
      <c r="G9" s="155" t="str">
        <f>'Приложение '!$C17</f>
        <v>2030 г.</v>
      </c>
      <c r="H9" s="155" t="str">
        <f>'Приложение '!$C18</f>
        <v>2031 г.</v>
      </c>
      <c r="I9" s="155" t="str">
        <f t="shared" ref="I9:T9" si="0">C9</f>
        <v>2024 г.</v>
      </c>
      <c r="J9" s="155" t="str">
        <f t="shared" si="0"/>
        <v>2027 г.</v>
      </c>
      <c r="K9" s="155" t="str">
        <f t="shared" si="0"/>
        <v>2028 г.</v>
      </c>
      <c r="L9" s="155" t="str">
        <f t="shared" si="0"/>
        <v>2029 г.</v>
      </c>
      <c r="M9" s="155" t="str">
        <f t="shared" si="0"/>
        <v>2030 г.</v>
      </c>
      <c r="N9" s="155" t="str">
        <f t="shared" si="0"/>
        <v>2031 г.</v>
      </c>
      <c r="O9" s="155" t="str">
        <f t="shared" si="0"/>
        <v>2024 г.</v>
      </c>
      <c r="P9" s="155" t="str">
        <f t="shared" si="0"/>
        <v>2027 г.</v>
      </c>
      <c r="Q9" s="155" t="str">
        <f t="shared" si="0"/>
        <v>2028 г.</v>
      </c>
      <c r="R9" s="155" t="str">
        <f t="shared" si="0"/>
        <v>2029 г.</v>
      </c>
      <c r="S9" s="155" t="str">
        <f t="shared" si="0"/>
        <v>2030 г.</v>
      </c>
      <c r="T9" s="155" t="str">
        <f t="shared" si="0"/>
        <v>2031 г.</v>
      </c>
      <c r="U9" s="4488"/>
      <c r="V9" s="4502" t="str">
        <f>+I9</f>
        <v>2024 г.</v>
      </c>
      <c r="W9" s="4502" t="str">
        <f t="shared" ref="W9:AG9" si="1">+J9</f>
        <v>2027 г.</v>
      </c>
      <c r="X9" s="4502" t="str">
        <f t="shared" si="1"/>
        <v>2028 г.</v>
      </c>
      <c r="Y9" s="4502" t="str">
        <f t="shared" si="1"/>
        <v>2029 г.</v>
      </c>
      <c r="Z9" s="4502" t="str">
        <f t="shared" si="1"/>
        <v>2030 г.</v>
      </c>
      <c r="AA9" s="4502" t="str">
        <f t="shared" si="1"/>
        <v>2031 г.</v>
      </c>
      <c r="AB9" s="4502" t="str">
        <f t="shared" si="1"/>
        <v>2024 г.</v>
      </c>
      <c r="AC9" s="4502" t="str">
        <f t="shared" si="1"/>
        <v>2027 г.</v>
      </c>
      <c r="AD9" s="4502" t="str">
        <f t="shared" si="1"/>
        <v>2028 г.</v>
      </c>
      <c r="AE9" s="4502" t="str">
        <f t="shared" si="1"/>
        <v>2029 г.</v>
      </c>
      <c r="AF9" s="4502" t="str">
        <f t="shared" si="1"/>
        <v>2030 г.</v>
      </c>
      <c r="AG9" s="4502" t="str">
        <f t="shared" si="1"/>
        <v>2031 г.</v>
      </c>
      <c r="AH9" s="146"/>
      <c r="AI9" s="146"/>
      <c r="AJ9" s="146"/>
      <c r="AK9" s="146"/>
      <c r="AL9" s="146"/>
      <c r="AM9" s="146"/>
      <c r="AN9" s="146"/>
      <c r="AO9" s="146"/>
      <c r="AP9" s="146"/>
      <c r="AQ9" s="146"/>
      <c r="AR9" s="146"/>
      <c r="AS9" s="146"/>
      <c r="AT9" s="146"/>
      <c r="AU9" s="146"/>
      <c r="AV9" s="146"/>
      <c r="AW9" s="146"/>
      <c r="AX9" s="146"/>
      <c r="AY9" s="146"/>
      <c r="AZ9" s="146"/>
      <c r="BA9" s="146"/>
      <c r="BB9" s="146"/>
      <c r="BC9" s="146"/>
      <c r="BD9" s="146"/>
      <c r="BE9" s="146"/>
      <c r="BF9" s="146"/>
      <c r="BG9" s="146"/>
      <c r="BH9" s="146"/>
      <c r="BI9" s="146"/>
      <c r="BJ9" s="146"/>
      <c r="BK9" s="146"/>
      <c r="BL9" s="146"/>
      <c r="BM9" s="146"/>
      <c r="BN9" s="146"/>
      <c r="BO9" s="146"/>
      <c r="BP9" s="146"/>
      <c r="BQ9" s="146"/>
      <c r="BR9" s="146"/>
      <c r="BS9" s="146"/>
      <c r="BT9" s="146"/>
      <c r="BU9" s="146"/>
      <c r="BV9" s="146"/>
      <c r="BW9" s="146"/>
      <c r="BX9" s="146"/>
      <c r="BY9" s="146"/>
      <c r="BZ9" s="146"/>
      <c r="CA9" s="146"/>
      <c r="CB9" s="146"/>
      <c r="CC9" s="146"/>
      <c r="CD9" s="146"/>
      <c r="CE9" s="146"/>
      <c r="CF9" s="146"/>
      <c r="CG9" s="146"/>
      <c r="CH9" s="146"/>
      <c r="CI9" s="146"/>
      <c r="CJ9" s="146"/>
      <c r="CK9" s="146"/>
      <c r="CL9" s="146"/>
      <c r="CM9" s="146"/>
      <c r="CN9" s="146"/>
      <c r="CO9" s="146"/>
      <c r="CP9" s="146"/>
      <c r="CQ9" s="146"/>
      <c r="CR9" s="146"/>
      <c r="CS9" s="146"/>
      <c r="CT9" s="146"/>
      <c r="CU9" s="146"/>
      <c r="CV9" s="146"/>
      <c r="CW9" s="146"/>
      <c r="CX9" s="146"/>
    </row>
    <row r="10" spans="1:102" s="19" customFormat="1" ht="22.5" customHeight="1">
      <c r="A10" s="3834">
        <v>1</v>
      </c>
      <c r="B10" s="3835" t="s">
        <v>1750</v>
      </c>
      <c r="C10" s="3839">
        <v>5727628</v>
      </c>
      <c r="D10" s="3840">
        <v>5659076</v>
      </c>
      <c r="E10" s="3840">
        <v>5545992</v>
      </c>
      <c r="F10" s="3840">
        <v>5393913</v>
      </c>
      <c r="G10" s="3840">
        <v>5168839</v>
      </c>
      <c r="H10" s="3840">
        <v>4863771</v>
      </c>
      <c r="I10" s="4439">
        <f t="shared" ref="I10:N12" si="2">(C10/1000)*(O10/1000)</f>
        <v>1357.7341395543751</v>
      </c>
      <c r="J10" s="3841">
        <f t="shared" si="2"/>
        <v>1626.7269057747633</v>
      </c>
      <c r="K10" s="3841">
        <f t="shared" si="2"/>
        <v>1595.2637704880244</v>
      </c>
      <c r="L10" s="3841">
        <f t="shared" si="2"/>
        <v>1552.9511342948229</v>
      </c>
      <c r="M10" s="3841">
        <f t="shared" si="2"/>
        <v>1490.3292451546481</v>
      </c>
      <c r="N10" s="3841">
        <f t="shared" si="2"/>
        <v>1405.4507852871611</v>
      </c>
      <c r="O10" s="4456">
        <v>237.04998640874987</v>
      </c>
      <c r="P10" s="4456">
        <v>287.4545077278982</v>
      </c>
      <c r="Q10" s="4456">
        <v>287.64263823100077</v>
      </c>
      <c r="R10" s="4456">
        <v>287.90807977340808</v>
      </c>
      <c r="S10" s="4456">
        <v>288.3295930004104</v>
      </c>
      <c r="T10" s="4456">
        <v>288.96319034904423</v>
      </c>
      <c r="U10" s="4488"/>
      <c r="V10" s="4504">
        <f>IFERROR(I10/$C$1,0)</f>
        <v>694.19844237708548</v>
      </c>
      <c r="W10" s="4504">
        <f t="shared" ref="W10:AG10" si="3">IFERROR(J10/$C$1,0)</f>
        <v>831.73225984608234</v>
      </c>
      <c r="X10" s="4504">
        <f t="shared" si="3"/>
        <v>815.6454142169946</v>
      </c>
      <c r="Y10" s="4504">
        <f t="shared" si="3"/>
        <v>794.01130685940132</v>
      </c>
      <c r="Z10" s="4504">
        <f t="shared" si="3"/>
        <v>761.99324335686038</v>
      </c>
      <c r="AA10" s="4504">
        <f t="shared" si="3"/>
        <v>718.59557593817522</v>
      </c>
      <c r="AB10" s="4503">
        <f t="shared" si="3"/>
        <v>121.20173348846775</v>
      </c>
      <c r="AC10" s="4503">
        <f t="shared" si="3"/>
        <v>146.97315601452999</v>
      </c>
      <c r="AD10" s="4503">
        <f t="shared" si="3"/>
        <v>147.06934561337169</v>
      </c>
      <c r="AE10" s="4503">
        <f t="shared" si="3"/>
        <v>147.20506371893677</v>
      </c>
      <c r="AF10" s="4503">
        <f t="shared" si="3"/>
        <v>147.42058000971986</v>
      </c>
      <c r="AG10" s="4503">
        <f t="shared" si="3"/>
        <v>147.74453319002379</v>
      </c>
    </row>
    <row r="11" spans="1:102" s="19" customFormat="1" ht="24">
      <c r="A11" s="3348">
        <v>2</v>
      </c>
      <c r="B11" s="98" t="s">
        <v>1752</v>
      </c>
      <c r="C11" s="630">
        <v>2027559</v>
      </c>
      <c r="D11" s="630">
        <v>2016924</v>
      </c>
      <c r="E11" s="630">
        <v>2010008</v>
      </c>
      <c r="F11" s="630">
        <v>2003087</v>
      </c>
      <c r="G11" s="630">
        <v>1996161</v>
      </c>
      <c r="H11" s="630">
        <v>1989229</v>
      </c>
      <c r="I11" s="2008">
        <f t="shared" si="2"/>
        <v>354.01547763634727</v>
      </c>
      <c r="J11" s="2006">
        <f t="shared" si="2"/>
        <v>502.69277707515585</v>
      </c>
      <c r="K11" s="2006">
        <f t="shared" si="2"/>
        <v>500.98121921891538</v>
      </c>
      <c r="L11" s="2006">
        <f t="shared" si="2"/>
        <v>499.26842397266915</v>
      </c>
      <c r="M11" s="2006">
        <f t="shared" si="2"/>
        <v>497.55439133641681</v>
      </c>
      <c r="N11" s="2006">
        <f t="shared" si="2"/>
        <v>495.83887383215733</v>
      </c>
      <c r="O11" s="4456">
        <v>174.6018131340924</v>
      </c>
      <c r="P11" s="4457">
        <v>249.23734214831885</v>
      </c>
      <c r="Q11" s="4457">
        <v>249.24339565758714</v>
      </c>
      <c r="R11" s="4457">
        <v>249.2494953901998</v>
      </c>
      <c r="S11" s="4457">
        <v>249.2556418727832</v>
      </c>
      <c r="T11" s="4457">
        <v>249.26183653674732</v>
      </c>
      <c r="U11" s="4488"/>
      <c r="V11" s="4504">
        <f t="shared" ref="V11:V18" si="4">IFERROR(I11/$C$1,0)</f>
        <v>181.00523953326581</v>
      </c>
      <c r="W11" s="4504">
        <f t="shared" ref="W11:W18" si="5">IFERROR(J11/$C$1,0)</f>
        <v>257.02273565450776</v>
      </c>
      <c r="X11" s="4504">
        <f t="shared" ref="X11:X18" si="6">IFERROR(K11/$C$1,0)</f>
        <v>256.14763001841436</v>
      </c>
      <c r="Y11" s="4504">
        <f t="shared" ref="Y11:Y18" si="7">IFERROR(L11/$C$1,0)</f>
        <v>255.27189171485719</v>
      </c>
      <c r="Z11" s="4504">
        <f t="shared" ref="Z11:Z18" si="8">IFERROR(M11/$C$1,0)</f>
        <v>254.39552074383604</v>
      </c>
      <c r="AA11" s="4504">
        <f t="shared" ref="AA11:AA18" si="9">IFERROR(N11/$C$1,0)</f>
        <v>253.51839057185816</v>
      </c>
      <c r="AB11" s="4503">
        <f t="shared" ref="AB11:AB18" si="10">IFERROR(O11/$C$1,0)</f>
        <v>89.272489497600716</v>
      </c>
      <c r="AC11" s="4503">
        <f t="shared" ref="AC11:AC18" si="11">IFERROR(P11/$C$1,0)</f>
        <v>127.43302953135949</v>
      </c>
      <c r="AD11" s="4503">
        <f t="shared" ref="AD11:AD18" si="12">IFERROR(Q11/$C$1,0)</f>
        <v>127.43612464150112</v>
      </c>
      <c r="AE11" s="4503">
        <f t="shared" ref="AE11:AE18" si="13">IFERROR(R11/$C$1,0)</f>
        <v>127.43924338526344</v>
      </c>
      <c r="AF11" s="4503">
        <f t="shared" ref="AF11:AF18" si="14">IFERROR(S11/$C$1,0)</f>
        <v>127.44238603190625</v>
      </c>
      <c r="AG11" s="4503">
        <f t="shared" ref="AG11:AG18" si="15">IFERROR(T11/$C$1,0)</f>
        <v>127.44555331329785</v>
      </c>
    </row>
    <row r="12" spans="1:102" s="19" customFormat="1" ht="24">
      <c r="A12" s="3348">
        <v>3</v>
      </c>
      <c r="B12" s="98" t="s">
        <v>1753</v>
      </c>
      <c r="C12" s="630"/>
      <c r="D12" s="630"/>
      <c r="E12" s="630"/>
      <c r="F12" s="630"/>
      <c r="G12" s="630"/>
      <c r="H12" s="630"/>
      <c r="I12" s="2008">
        <f t="shared" si="2"/>
        <v>0</v>
      </c>
      <c r="J12" s="2006">
        <f t="shared" si="2"/>
        <v>0</v>
      </c>
      <c r="K12" s="2006">
        <f t="shared" si="2"/>
        <v>0</v>
      </c>
      <c r="L12" s="2006">
        <f t="shared" si="2"/>
        <v>0</v>
      </c>
      <c r="M12" s="2006">
        <f t="shared" si="2"/>
        <v>0</v>
      </c>
      <c r="N12" s="2006">
        <f t="shared" si="2"/>
        <v>0</v>
      </c>
      <c r="O12" s="4457"/>
      <c r="P12" s="4457"/>
      <c r="Q12" s="4457"/>
      <c r="R12" s="4457"/>
      <c r="S12" s="4457"/>
      <c r="T12" s="4457"/>
      <c r="U12" s="4488"/>
      <c r="V12" s="4504">
        <f t="shared" si="4"/>
        <v>0</v>
      </c>
      <c r="W12" s="4504">
        <f t="shared" si="5"/>
        <v>0</v>
      </c>
      <c r="X12" s="4504">
        <f t="shared" si="6"/>
        <v>0</v>
      </c>
      <c r="Y12" s="4504">
        <f t="shared" si="7"/>
        <v>0</v>
      </c>
      <c r="Z12" s="4504">
        <f t="shared" si="8"/>
        <v>0</v>
      </c>
      <c r="AA12" s="4504">
        <f t="shared" si="9"/>
        <v>0</v>
      </c>
      <c r="AB12" s="4503">
        <f t="shared" si="10"/>
        <v>0</v>
      </c>
      <c r="AC12" s="4503">
        <f t="shared" si="11"/>
        <v>0</v>
      </c>
      <c r="AD12" s="4503">
        <f t="shared" si="12"/>
        <v>0</v>
      </c>
      <c r="AE12" s="4503">
        <f t="shared" si="13"/>
        <v>0</v>
      </c>
      <c r="AF12" s="4503">
        <f t="shared" si="14"/>
        <v>0</v>
      </c>
      <c r="AG12" s="4503">
        <f t="shared" si="15"/>
        <v>0</v>
      </c>
    </row>
    <row r="13" spans="1:102" s="19" customFormat="1" ht="38.25" customHeight="1">
      <c r="A13" s="3348">
        <v>4</v>
      </c>
      <c r="B13" s="651" t="s">
        <v>1781</v>
      </c>
      <c r="C13" s="2008">
        <f t="shared" ref="C13:N13" si="16">SUM(C14:C16)</f>
        <v>0</v>
      </c>
      <c r="D13" s="2008">
        <f t="shared" si="16"/>
        <v>0</v>
      </c>
      <c r="E13" s="2008">
        <f t="shared" si="16"/>
        <v>0</v>
      </c>
      <c r="F13" s="2008">
        <f t="shared" si="16"/>
        <v>0</v>
      </c>
      <c r="G13" s="2008">
        <f t="shared" si="16"/>
        <v>0</v>
      </c>
      <c r="H13" s="2008">
        <f t="shared" si="16"/>
        <v>0</v>
      </c>
      <c r="I13" s="2006">
        <f t="shared" si="16"/>
        <v>0</v>
      </c>
      <c r="J13" s="2006">
        <f t="shared" si="16"/>
        <v>0</v>
      </c>
      <c r="K13" s="2006">
        <f t="shared" si="16"/>
        <v>0</v>
      </c>
      <c r="L13" s="2006">
        <f t="shared" si="16"/>
        <v>0</v>
      </c>
      <c r="M13" s="2006">
        <f t="shared" si="16"/>
        <v>0</v>
      </c>
      <c r="N13" s="2006">
        <f t="shared" si="16"/>
        <v>0</v>
      </c>
      <c r="O13" s="305">
        <f>ROUND((IFERROR((I13*1000)/(C13/1000),0)),3)</f>
        <v>0</v>
      </c>
      <c r="P13" s="305">
        <f t="shared" ref="P13:T13" si="17">ROUND((IFERROR((J13*1000)/(D13/1000),0)),3)</f>
        <v>0</v>
      </c>
      <c r="Q13" s="305">
        <f t="shared" si="17"/>
        <v>0</v>
      </c>
      <c r="R13" s="305">
        <f t="shared" si="17"/>
        <v>0</v>
      </c>
      <c r="S13" s="305">
        <f t="shared" si="17"/>
        <v>0</v>
      </c>
      <c r="T13" s="305">
        <f t="shared" si="17"/>
        <v>0</v>
      </c>
      <c r="U13" s="4488"/>
      <c r="V13" s="4504">
        <f t="shared" si="4"/>
        <v>0</v>
      </c>
      <c r="W13" s="4504">
        <f t="shared" si="5"/>
        <v>0</v>
      </c>
      <c r="X13" s="4504">
        <f t="shared" si="6"/>
        <v>0</v>
      </c>
      <c r="Y13" s="4504">
        <f t="shared" si="7"/>
        <v>0</v>
      </c>
      <c r="Z13" s="4504">
        <f t="shared" si="8"/>
        <v>0</v>
      </c>
      <c r="AA13" s="4504">
        <f t="shared" si="9"/>
        <v>0</v>
      </c>
      <c r="AB13" s="4503">
        <f t="shared" si="10"/>
        <v>0</v>
      </c>
      <c r="AC13" s="4503">
        <f t="shared" si="11"/>
        <v>0</v>
      </c>
      <c r="AD13" s="4503">
        <f t="shared" si="12"/>
        <v>0</v>
      </c>
      <c r="AE13" s="4503">
        <f t="shared" si="13"/>
        <v>0</v>
      </c>
      <c r="AF13" s="4503">
        <f t="shared" si="14"/>
        <v>0</v>
      </c>
      <c r="AG13" s="4503">
        <f t="shared" si="15"/>
        <v>0</v>
      </c>
    </row>
    <row r="14" spans="1:102" s="19" customFormat="1" ht="22.5" customHeight="1">
      <c r="A14" s="3348" t="s">
        <v>566</v>
      </c>
      <c r="B14" s="4458"/>
      <c r="C14" s="630"/>
      <c r="D14" s="630"/>
      <c r="E14" s="630"/>
      <c r="F14" s="630"/>
      <c r="G14" s="630"/>
      <c r="H14" s="630"/>
      <c r="I14" s="2006">
        <f t="shared" ref="I14:N16" si="18">(C14/1000)*(O14/1000)</f>
        <v>0</v>
      </c>
      <c r="J14" s="2006">
        <f t="shared" si="18"/>
        <v>0</v>
      </c>
      <c r="K14" s="2006">
        <f t="shared" si="18"/>
        <v>0</v>
      </c>
      <c r="L14" s="2006">
        <f t="shared" si="18"/>
        <v>0</v>
      </c>
      <c r="M14" s="2006">
        <f t="shared" si="18"/>
        <v>0</v>
      </c>
      <c r="N14" s="2006">
        <f t="shared" si="18"/>
        <v>0</v>
      </c>
      <c r="O14" s="4457"/>
      <c r="P14" s="4457"/>
      <c r="Q14" s="4457"/>
      <c r="R14" s="4457"/>
      <c r="S14" s="4457"/>
      <c r="T14" s="4457"/>
      <c r="U14" s="4488"/>
      <c r="V14" s="4504">
        <f t="shared" si="4"/>
        <v>0</v>
      </c>
      <c r="W14" s="4504">
        <f t="shared" si="5"/>
        <v>0</v>
      </c>
      <c r="X14" s="4504">
        <f t="shared" si="6"/>
        <v>0</v>
      </c>
      <c r="Y14" s="4504">
        <f t="shared" si="7"/>
        <v>0</v>
      </c>
      <c r="Z14" s="4504">
        <f t="shared" si="8"/>
        <v>0</v>
      </c>
      <c r="AA14" s="4504">
        <f t="shared" si="9"/>
        <v>0</v>
      </c>
      <c r="AB14" s="4503">
        <f t="shared" si="10"/>
        <v>0</v>
      </c>
      <c r="AC14" s="4503">
        <f t="shared" si="11"/>
        <v>0</v>
      </c>
      <c r="AD14" s="4503">
        <f t="shared" si="12"/>
        <v>0</v>
      </c>
      <c r="AE14" s="4503">
        <f t="shared" si="13"/>
        <v>0</v>
      </c>
      <c r="AF14" s="4503">
        <f t="shared" si="14"/>
        <v>0</v>
      </c>
      <c r="AG14" s="4503">
        <f t="shared" si="15"/>
        <v>0</v>
      </c>
    </row>
    <row r="15" spans="1:102" s="19" customFormat="1" ht="22.5" customHeight="1">
      <c r="A15" s="3348" t="s">
        <v>567</v>
      </c>
      <c r="B15" s="4458"/>
      <c r="C15" s="630"/>
      <c r="D15" s="630"/>
      <c r="E15" s="630"/>
      <c r="F15" s="630"/>
      <c r="G15" s="630"/>
      <c r="H15" s="630"/>
      <c r="I15" s="2006">
        <f t="shared" si="18"/>
        <v>0</v>
      </c>
      <c r="J15" s="2006">
        <f t="shared" si="18"/>
        <v>0</v>
      </c>
      <c r="K15" s="2006">
        <f t="shared" si="18"/>
        <v>0</v>
      </c>
      <c r="L15" s="2006">
        <f t="shared" si="18"/>
        <v>0</v>
      </c>
      <c r="M15" s="2006">
        <f t="shared" si="18"/>
        <v>0</v>
      </c>
      <c r="N15" s="2006">
        <f t="shared" si="18"/>
        <v>0</v>
      </c>
      <c r="O15" s="4457"/>
      <c r="P15" s="4457"/>
      <c r="Q15" s="4457"/>
      <c r="R15" s="4457"/>
      <c r="S15" s="4457"/>
      <c r="T15" s="4457"/>
      <c r="U15" s="4488"/>
      <c r="V15" s="4504">
        <f t="shared" si="4"/>
        <v>0</v>
      </c>
      <c r="W15" s="4504">
        <f t="shared" si="5"/>
        <v>0</v>
      </c>
      <c r="X15" s="4504">
        <f t="shared" si="6"/>
        <v>0</v>
      </c>
      <c r="Y15" s="4504">
        <f t="shared" si="7"/>
        <v>0</v>
      </c>
      <c r="Z15" s="4504">
        <f t="shared" si="8"/>
        <v>0</v>
      </c>
      <c r="AA15" s="4504">
        <f t="shared" si="9"/>
        <v>0</v>
      </c>
      <c r="AB15" s="4503">
        <f t="shared" si="10"/>
        <v>0</v>
      </c>
      <c r="AC15" s="4503">
        <f t="shared" si="11"/>
        <v>0</v>
      </c>
      <c r="AD15" s="4503">
        <f t="shared" si="12"/>
        <v>0</v>
      </c>
      <c r="AE15" s="4503">
        <f t="shared" si="13"/>
        <v>0</v>
      </c>
      <c r="AF15" s="4503">
        <f t="shared" si="14"/>
        <v>0</v>
      </c>
      <c r="AG15" s="4503">
        <f t="shared" si="15"/>
        <v>0</v>
      </c>
    </row>
    <row r="16" spans="1:102" s="19" customFormat="1" ht="22.5" customHeight="1">
      <c r="A16" s="3348" t="s">
        <v>1078</v>
      </c>
      <c r="B16" s="4458"/>
      <c r="C16" s="630"/>
      <c r="D16" s="630"/>
      <c r="E16" s="630"/>
      <c r="F16" s="630"/>
      <c r="G16" s="630"/>
      <c r="H16" s="630"/>
      <c r="I16" s="2006">
        <f t="shared" si="18"/>
        <v>0</v>
      </c>
      <c r="J16" s="2006">
        <f t="shared" si="18"/>
        <v>0</v>
      </c>
      <c r="K16" s="2006">
        <f t="shared" si="18"/>
        <v>0</v>
      </c>
      <c r="L16" s="2006">
        <f t="shared" si="18"/>
        <v>0</v>
      </c>
      <c r="M16" s="2006">
        <f t="shared" si="18"/>
        <v>0</v>
      </c>
      <c r="N16" s="2006">
        <f t="shared" si="18"/>
        <v>0</v>
      </c>
      <c r="O16" s="4457"/>
      <c r="P16" s="4457"/>
      <c r="Q16" s="4457"/>
      <c r="R16" s="4457"/>
      <c r="S16" s="4457"/>
      <c r="T16" s="4457"/>
      <c r="U16" s="4488"/>
      <c r="V16" s="4504">
        <f t="shared" si="4"/>
        <v>0</v>
      </c>
      <c r="W16" s="4504">
        <f t="shared" si="5"/>
        <v>0</v>
      </c>
      <c r="X16" s="4504">
        <f t="shared" si="6"/>
        <v>0</v>
      </c>
      <c r="Y16" s="4504">
        <f t="shared" si="7"/>
        <v>0</v>
      </c>
      <c r="Z16" s="4504">
        <f t="shared" si="8"/>
        <v>0</v>
      </c>
      <c r="AA16" s="4504">
        <f t="shared" si="9"/>
        <v>0</v>
      </c>
      <c r="AB16" s="4503">
        <f t="shared" si="10"/>
        <v>0</v>
      </c>
      <c r="AC16" s="4503">
        <f t="shared" si="11"/>
        <v>0</v>
      </c>
      <c r="AD16" s="4503">
        <f t="shared" si="12"/>
        <v>0</v>
      </c>
      <c r="AE16" s="4503">
        <f t="shared" si="13"/>
        <v>0</v>
      </c>
      <c r="AF16" s="4503">
        <f t="shared" si="14"/>
        <v>0</v>
      </c>
      <c r="AG16" s="4503">
        <f t="shared" si="15"/>
        <v>0</v>
      </c>
    </row>
    <row r="17" spans="1:33" s="19" customFormat="1" ht="22.5" hidden="1" customHeight="1">
      <c r="A17" s="5219"/>
      <c r="B17" s="5220"/>
      <c r="C17" s="5220"/>
      <c r="D17" s="5220"/>
      <c r="E17" s="5220"/>
      <c r="F17" s="5220"/>
      <c r="G17" s="5220"/>
      <c r="H17" s="5220"/>
      <c r="I17" s="5220"/>
      <c r="J17" s="5220"/>
      <c r="K17" s="5220"/>
      <c r="L17" s="5220"/>
      <c r="M17" s="5220"/>
      <c r="N17" s="5220"/>
      <c r="O17" s="5220"/>
      <c r="P17" s="5220"/>
      <c r="Q17" s="5220"/>
      <c r="R17" s="5220"/>
      <c r="S17" s="5220"/>
      <c r="T17" s="5221"/>
      <c r="U17" s="4488"/>
      <c r="V17" s="4504">
        <f t="shared" si="4"/>
        <v>0</v>
      </c>
      <c r="W17" s="4504">
        <f t="shared" si="5"/>
        <v>0</v>
      </c>
      <c r="X17" s="4504">
        <f t="shared" si="6"/>
        <v>0</v>
      </c>
      <c r="Y17" s="4504">
        <f t="shared" si="7"/>
        <v>0</v>
      </c>
      <c r="Z17" s="4504">
        <f t="shared" si="8"/>
        <v>0</v>
      </c>
      <c r="AA17" s="4504">
        <f t="shared" si="9"/>
        <v>0</v>
      </c>
      <c r="AB17" s="4503">
        <f t="shared" si="10"/>
        <v>0</v>
      </c>
      <c r="AC17" s="4503">
        <f t="shared" si="11"/>
        <v>0</v>
      </c>
      <c r="AD17" s="4503">
        <f t="shared" si="12"/>
        <v>0</v>
      </c>
      <c r="AE17" s="4503">
        <f t="shared" si="13"/>
        <v>0</v>
      </c>
      <c r="AF17" s="4503">
        <f t="shared" si="14"/>
        <v>0</v>
      </c>
      <c r="AG17" s="4503">
        <f t="shared" si="15"/>
        <v>0</v>
      </c>
    </row>
    <row r="18" spans="1:33" s="19" customFormat="1" ht="26.25" customHeight="1">
      <c r="A18" s="3820">
        <v>5</v>
      </c>
      <c r="B18" s="312" t="s">
        <v>1754</v>
      </c>
      <c r="C18" s="632">
        <f t="shared" ref="C18:N18" si="19">C10+C11+C12+C13</f>
        <v>7755187</v>
      </c>
      <c r="D18" s="632">
        <f t="shared" si="19"/>
        <v>7676000</v>
      </c>
      <c r="E18" s="632">
        <f t="shared" si="19"/>
        <v>7556000</v>
      </c>
      <c r="F18" s="632">
        <f t="shared" si="19"/>
        <v>7397000</v>
      </c>
      <c r="G18" s="632">
        <f t="shared" si="19"/>
        <v>7165000</v>
      </c>
      <c r="H18" s="632">
        <f t="shared" si="19"/>
        <v>6853000</v>
      </c>
      <c r="I18" s="632">
        <f t="shared" si="19"/>
        <v>1711.7496171907223</v>
      </c>
      <c r="J18" s="632">
        <f t="shared" si="19"/>
        <v>2129.4196828499189</v>
      </c>
      <c r="K18" s="632">
        <f t="shared" si="19"/>
        <v>2096.24498970694</v>
      </c>
      <c r="L18" s="632">
        <f t="shared" si="19"/>
        <v>2052.2195582674922</v>
      </c>
      <c r="M18" s="632">
        <f t="shared" si="19"/>
        <v>1987.8836364910649</v>
      </c>
      <c r="N18" s="632">
        <f t="shared" si="19"/>
        <v>1901.2896591193185</v>
      </c>
      <c r="O18" s="306">
        <f t="shared" ref="O18:T18" si="20">IFERROR((I18*1000)/(C18/1000),0)</f>
        <v>220.72319045185145</v>
      </c>
      <c r="P18" s="306">
        <f t="shared" si="20"/>
        <v>277.41267363860328</v>
      </c>
      <c r="Q18" s="306">
        <f t="shared" si="20"/>
        <v>277.4278705276522</v>
      </c>
      <c r="R18" s="306">
        <f t="shared" si="20"/>
        <v>277.43944278322186</v>
      </c>
      <c r="S18" s="306">
        <f t="shared" si="20"/>
        <v>277.4436338438332</v>
      </c>
      <c r="T18" s="306">
        <f t="shared" si="20"/>
        <v>277.43902803433804</v>
      </c>
      <c r="U18" s="4488"/>
      <c r="V18" s="4504">
        <f t="shared" si="4"/>
        <v>875.20368191035129</v>
      </c>
      <c r="W18" s="4504">
        <f t="shared" si="5"/>
        <v>1088.75499550059</v>
      </c>
      <c r="X18" s="4504">
        <f t="shared" si="6"/>
        <v>1071.7930442354091</v>
      </c>
      <c r="Y18" s="4504">
        <f t="shared" si="7"/>
        <v>1049.2831985742587</v>
      </c>
      <c r="Z18" s="4504">
        <f t="shared" si="8"/>
        <v>1016.3887641006963</v>
      </c>
      <c r="AA18" s="4504">
        <f t="shared" si="9"/>
        <v>972.11396651003338</v>
      </c>
      <c r="AB18" s="4503">
        <f t="shared" si="10"/>
        <v>112.85397526975834</v>
      </c>
      <c r="AC18" s="4503">
        <f t="shared" si="11"/>
        <v>141.83884777235409</v>
      </c>
      <c r="AD18" s="4503">
        <f t="shared" si="12"/>
        <v>141.84661781834424</v>
      </c>
      <c r="AE18" s="4503">
        <f t="shared" si="13"/>
        <v>141.85253461866412</v>
      </c>
      <c r="AF18" s="4503">
        <f t="shared" si="14"/>
        <v>141.85467747392832</v>
      </c>
      <c r="AG18" s="4503">
        <f t="shared" si="15"/>
        <v>141.85232256092709</v>
      </c>
    </row>
    <row r="19" spans="1:33" ht="22.5" customHeight="1">
      <c r="A19" s="3821">
        <v>6</v>
      </c>
      <c r="B19" s="98" t="s">
        <v>350</v>
      </c>
      <c r="C19" s="633"/>
      <c r="D19" s="634">
        <f>D18-C18</f>
        <v>-79187</v>
      </c>
      <c r="E19" s="634">
        <f>E18-D18</f>
        <v>-120000</v>
      </c>
      <c r="F19" s="634">
        <f t="shared" ref="F19:H19" si="21">F18-E18</f>
        <v>-159000</v>
      </c>
      <c r="G19" s="634">
        <f t="shared" si="21"/>
        <v>-232000</v>
      </c>
      <c r="H19" s="634">
        <f t="shared" si="21"/>
        <v>-312000</v>
      </c>
      <c r="I19" s="633"/>
      <c r="J19" s="634">
        <f>J18-I18</f>
        <v>417.67006565919655</v>
      </c>
      <c r="K19" s="634">
        <f t="shared" ref="K19:N19" si="22">K18-J18</f>
        <v>-33.174693142978867</v>
      </c>
      <c r="L19" s="634">
        <f t="shared" si="22"/>
        <v>-44.025431439447857</v>
      </c>
      <c r="M19" s="634">
        <f t="shared" si="22"/>
        <v>-64.335921776427313</v>
      </c>
      <c r="N19" s="634">
        <f t="shared" si="22"/>
        <v>-86.593977371746405</v>
      </c>
      <c r="O19" s="307"/>
      <c r="P19" s="308">
        <f>P18-O18</f>
        <v>56.689483186751829</v>
      </c>
      <c r="Q19" s="308">
        <f t="shared" ref="Q19:T19" si="23">Q18-P18</f>
        <v>1.5196889048922912E-2</v>
      </c>
      <c r="R19" s="308">
        <f t="shared" si="23"/>
        <v>1.1572255569660683E-2</v>
      </c>
      <c r="S19" s="308">
        <f t="shared" si="23"/>
        <v>4.1910606113333415E-3</v>
      </c>
      <c r="T19" s="308">
        <f t="shared" si="23"/>
        <v>-4.6058094951604289E-3</v>
      </c>
      <c r="U19" s="4488"/>
      <c r="V19" s="4574"/>
      <c r="W19" s="4525">
        <f>W18-V18</f>
        <v>213.55131359023869</v>
      </c>
      <c r="X19" s="4525">
        <f t="shared" ref="X19" si="24">X18-W18</f>
        <v>-16.961951265180915</v>
      </c>
      <c r="Y19" s="4525">
        <f t="shared" ref="Y19" si="25">Y18-X18</f>
        <v>-22.509845661150393</v>
      </c>
      <c r="Z19" s="4525">
        <f t="shared" ref="Z19" si="26">Z18-Y18</f>
        <v>-32.894434473562342</v>
      </c>
      <c r="AA19" s="4525">
        <f t="shared" ref="AA19" si="27">AA18-Z18</f>
        <v>-44.274797590662956</v>
      </c>
      <c r="AB19" s="4574"/>
      <c r="AC19" s="4525">
        <f>AC18-AB18</f>
        <v>28.984872502595749</v>
      </c>
      <c r="AD19" s="4525">
        <f t="shared" ref="AD19" si="28">AD18-AC18</f>
        <v>7.7700459901564045E-3</v>
      </c>
      <c r="AE19" s="4525">
        <f t="shared" ref="AE19" si="29">AE18-AD18</f>
        <v>5.9168003198806218E-3</v>
      </c>
      <c r="AF19" s="4525">
        <f t="shared" ref="AF19" si="30">AF18-AE18</f>
        <v>2.1428552641964416E-3</v>
      </c>
      <c r="AG19" s="4525">
        <f t="shared" ref="AG19" si="31">AG18-AF18</f>
        <v>-2.3549130012270325E-3</v>
      </c>
    </row>
    <row r="20" spans="1:33" ht="22.5" customHeight="1">
      <c r="A20" s="3823">
        <v>7</v>
      </c>
      <c r="B20" s="311" t="s">
        <v>1743</v>
      </c>
      <c r="C20" s="309">
        <f>IFERROR(C18/'4. Отчет и прогн. потребление'!D9,0)</f>
        <v>0.81564938376571872</v>
      </c>
      <c r="D20" s="309">
        <f>IFERROR(D18/'4. Отчет и прогн. потребление'!E9,0)</f>
        <v>0.81598809397257366</v>
      </c>
      <c r="E20" s="309">
        <f>IFERROR(E18/'4. Отчет и прогн. потребление'!F9,0)</f>
        <v>0.81404869640163757</v>
      </c>
      <c r="F20" s="309">
        <f>IFERROR(F18/'4. Отчет и прогн. потребление'!G9,0)</f>
        <v>0.80992007007555022</v>
      </c>
      <c r="G20" s="309">
        <f>IFERROR(G18/'4. Отчет и прогн. потребление'!H9,0)</f>
        <v>0.80208216724504644</v>
      </c>
      <c r="H20" s="309">
        <f>IFERROR(H18/'4. Отчет и прогн. потребление'!I9,0)</f>
        <v>0.7924833766984678</v>
      </c>
      <c r="I20" s="307"/>
      <c r="J20" s="307"/>
      <c r="K20" s="307"/>
      <c r="L20" s="307"/>
      <c r="M20" s="307"/>
      <c r="N20" s="307"/>
      <c r="O20" s="307"/>
      <c r="P20" s="307"/>
      <c r="Q20" s="307"/>
      <c r="R20" s="307"/>
      <c r="S20" s="307"/>
      <c r="T20" s="307"/>
      <c r="U20" s="4488"/>
    </row>
    <row r="21" spans="1:33" ht="15" thickBot="1">
      <c r="A21" s="3824">
        <v>8</v>
      </c>
      <c r="B21" s="3825" t="s">
        <v>1744</v>
      </c>
      <c r="C21" s="3826">
        <f>IFERROR(C18/'4. Отчет и прогн. потребление'!D20,0)</f>
        <v>2.0331224382893209</v>
      </c>
      <c r="D21" s="3826">
        <f>IFERROR(D18/'4. Отчет и прогн. потребление'!E20,0)</f>
        <v>2.0226783252461042</v>
      </c>
      <c r="E21" s="3826">
        <f>IFERROR(E18/'4. Отчет и прогн. потребление'!F20,0)</f>
        <v>1.9857628564489784</v>
      </c>
      <c r="F21" s="3826">
        <f>IFERROR(F18/'4. Отчет и прогн. потребление'!G20,0)</f>
        <v>1.9389129905595841</v>
      </c>
      <c r="G21" s="3826">
        <f>IFERROR(G18/'4. Отчет и прогн. потребление'!H20,0)</f>
        <v>1.8721904443048643</v>
      </c>
      <c r="H21" s="3826">
        <f>IFERROR(H18/'4. Отчет и прогн. потребление'!I20,0)</f>
        <v>1.7830119637501269</v>
      </c>
      <c r="I21" s="424"/>
      <c r="J21" s="424"/>
      <c r="K21" s="424"/>
      <c r="L21" s="424"/>
      <c r="M21" s="424"/>
      <c r="N21" s="424"/>
      <c r="O21" s="424"/>
      <c r="P21" s="424"/>
      <c r="Q21" s="424"/>
      <c r="R21" s="424"/>
      <c r="S21" s="424"/>
      <c r="T21" s="424"/>
      <c r="U21" s="4488"/>
    </row>
    <row r="22" spans="1:33" s="147" customFormat="1" ht="18.75" customHeight="1" thickBot="1">
      <c r="B22" s="66"/>
      <c r="C22" s="310"/>
      <c r="D22" s="148"/>
      <c r="E22" s="148"/>
      <c r="F22" s="148"/>
      <c r="G22" s="148"/>
      <c r="H22" s="148"/>
      <c r="I22" s="310"/>
      <c r="J22" s="148"/>
      <c r="K22" s="148"/>
      <c r="L22" s="148"/>
      <c r="M22" s="148"/>
      <c r="N22" s="148"/>
      <c r="O22" s="310"/>
      <c r="P22" s="148"/>
      <c r="Q22" s="148"/>
      <c r="R22" s="148"/>
      <c r="S22" s="148"/>
      <c r="T22" s="148"/>
      <c r="U22" s="148"/>
      <c r="V22" s="148"/>
      <c r="W22" s="148"/>
      <c r="X22" s="148"/>
      <c r="Y22" s="148"/>
    </row>
    <row r="23" spans="1:33" ht="24" customHeight="1">
      <c r="A23" s="5208" t="s">
        <v>1</v>
      </c>
      <c r="B23" s="5205" t="s">
        <v>1751</v>
      </c>
      <c r="C23" s="5205" t="s">
        <v>208</v>
      </c>
      <c r="D23" s="5205"/>
      <c r="E23" s="5205"/>
      <c r="F23" s="5205"/>
      <c r="G23" s="5205"/>
      <c r="H23" s="5205"/>
      <c r="I23" s="5205"/>
      <c r="J23" s="5205"/>
      <c r="K23" s="5205"/>
      <c r="L23" s="5205"/>
      <c r="M23" s="5205"/>
      <c r="N23" s="5205"/>
      <c r="O23" s="5205"/>
      <c r="P23" s="5205"/>
      <c r="Q23" s="5205"/>
      <c r="R23" s="5205"/>
      <c r="S23" s="5205"/>
      <c r="T23" s="5205"/>
      <c r="U23" s="4488"/>
      <c r="V23" s="5233" t="str">
        <f>+C23</f>
        <v>Отвеждане на отпадъчните води</v>
      </c>
      <c r="W23" s="5233"/>
      <c r="X23" s="5233"/>
      <c r="Y23" s="5233"/>
      <c r="Z23" s="5233"/>
      <c r="AA23" s="5233"/>
      <c r="AB23" s="5233"/>
      <c r="AC23" s="5233"/>
      <c r="AD23" s="5233"/>
      <c r="AE23" s="5233"/>
      <c r="AF23" s="5233"/>
      <c r="AG23" s="5233"/>
    </row>
    <row r="24" spans="1:33" ht="24" customHeight="1">
      <c r="A24" s="5209"/>
      <c r="B24" s="5206"/>
      <c r="C24" s="5211" t="s">
        <v>348</v>
      </c>
      <c r="D24" s="5211"/>
      <c r="E24" s="5211"/>
      <c r="F24" s="5211"/>
      <c r="G24" s="5211"/>
      <c r="H24" s="5211"/>
      <c r="I24" s="5211" t="s">
        <v>911</v>
      </c>
      <c r="J24" s="5211"/>
      <c r="K24" s="5211"/>
      <c r="L24" s="5211"/>
      <c r="M24" s="5211"/>
      <c r="N24" s="5211"/>
      <c r="O24" s="5211" t="s">
        <v>1763</v>
      </c>
      <c r="P24" s="5211"/>
      <c r="Q24" s="5211"/>
      <c r="R24" s="5211"/>
      <c r="S24" s="5211"/>
      <c r="T24" s="5211"/>
      <c r="U24" s="4488"/>
      <c r="V24" s="5232" t="s">
        <v>1877</v>
      </c>
      <c r="W24" s="5232"/>
      <c r="X24" s="5232"/>
      <c r="Y24" s="5232"/>
      <c r="Z24" s="5232"/>
      <c r="AA24" s="5232"/>
      <c r="AB24" s="5232" t="s">
        <v>1878</v>
      </c>
      <c r="AC24" s="5232"/>
      <c r="AD24" s="5232"/>
      <c r="AE24" s="5232"/>
      <c r="AF24" s="5232"/>
      <c r="AG24" s="5232"/>
    </row>
    <row r="25" spans="1:33" ht="24" customHeight="1" thickBot="1">
      <c r="A25" s="5210"/>
      <c r="B25" s="5207"/>
      <c r="C25" s="155" t="str">
        <f>'Приложение '!C12</f>
        <v>2024 г.</v>
      </c>
      <c r="D25" s="155" t="str">
        <f>'Приложение '!$C14</f>
        <v>2027 г.</v>
      </c>
      <c r="E25" s="155" t="str">
        <f>'Приложение '!$C15</f>
        <v>2028 г.</v>
      </c>
      <c r="F25" s="155" t="str">
        <f>'Приложение '!$C16</f>
        <v>2029 г.</v>
      </c>
      <c r="G25" s="155" t="str">
        <f>'Приложение '!$C17</f>
        <v>2030 г.</v>
      </c>
      <c r="H25" s="155" t="str">
        <f>'Приложение '!$C18</f>
        <v>2031 г.</v>
      </c>
      <c r="I25" s="155" t="str">
        <f t="shared" ref="I25:T25" si="32">C25</f>
        <v>2024 г.</v>
      </c>
      <c r="J25" s="155" t="str">
        <f t="shared" si="32"/>
        <v>2027 г.</v>
      </c>
      <c r="K25" s="155" t="str">
        <f t="shared" si="32"/>
        <v>2028 г.</v>
      </c>
      <c r="L25" s="155" t="str">
        <f t="shared" si="32"/>
        <v>2029 г.</v>
      </c>
      <c r="M25" s="155" t="str">
        <f t="shared" si="32"/>
        <v>2030 г.</v>
      </c>
      <c r="N25" s="155" t="str">
        <f t="shared" si="32"/>
        <v>2031 г.</v>
      </c>
      <c r="O25" s="155" t="str">
        <f t="shared" si="32"/>
        <v>2024 г.</v>
      </c>
      <c r="P25" s="155" t="str">
        <f t="shared" si="32"/>
        <v>2027 г.</v>
      </c>
      <c r="Q25" s="155" t="str">
        <f t="shared" si="32"/>
        <v>2028 г.</v>
      </c>
      <c r="R25" s="155" t="str">
        <f t="shared" si="32"/>
        <v>2029 г.</v>
      </c>
      <c r="S25" s="155" t="str">
        <f t="shared" si="32"/>
        <v>2030 г.</v>
      </c>
      <c r="T25" s="155" t="str">
        <f t="shared" si="32"/>
        <v>2031 г.</v>
      </c>
      <c r="U25" s="4488"/>
      <c r="V25" s="4502" t="str">
        <f>+I25</f>
        <v>2024 г.</v>
      </c>
      <c r="W25" s="4502" t="str">
        <f t="shared" ref="W25" si="33">+J25</f>
        <v>2027 г.</v>
      </c>
      <c r="X25" s="4502" t="str">
        <f t="shared" ref="X25" si="34">+K25</f>
        <v>2028 г.</v>
      </c>
      <c r="Y25" s="4502" t="str">
        <f t="shared" ref="Y25" si="35">+L25</f>
        <v>2029 г.</v>
      </c>
      <c r="Z25" s="4502" t="str">
        <f t="shared" ref="Z25" si="36">+M25</f>
        <v>2030 г.</v>
      </c>
      <c r="AA25" s="4502" t="str">
        <f t="shared" ref="AA25" si="37">+N25</f>
        <v>2031 г.</v>
      </c>
      <c r="AB25" s="4502" t="str">
        <f t="shared" ref="AB25" si="38">+O25</f>
        <v>2024 г.</v>
      </c>
      <c r="AC25" s="4502" t="str">
        <f t="shared" ref="AC25" si="39">+P25</f>
        <v>2027 г.</v>
      </c>
      <c r="AD25" s="4502" t="str">
        <f t="shared" ref="AD25" si="40">+Q25</f>
        <v>2028 г.</v>
      </c>
      <c r="AE25" s="4502" t="str">
        <f t="shared" ref="AE25" si="41">+R25</f>
        <v>2029 г.</v>
      </c>
      <c r="AF25" s="4502" t="str">
        <f t="shared" ref="AF25" si="42">+S25</f>
        <v>2030 г.</v>
      </c>
      <c r="AG25" s="4502" t="str">
        <f t="shared" ref="AG25" si="43">+T25</f>
        <v>2031 г.</v>
      </c>
    </row>
    <row r="26" spans="1:33" ht="23.25" customHeight="1">
      <c r="A26" s="3834">
        <v>1</v>
      </c>
      <c r="B26" s="3835" t="s">
        <v>1750</v>
      </c>
      <c r="C26" s="3839">
        <v>79</v>
      </c>
      <c r="D26" s="3840">
        <v>200</v>
      </c>
      <c r="E26" s="3840">
        <v>200</v>
      </c>
      <c r="F26" s="3840">
        <v>200</v>
      </c>
      <c r="G26" s="3840">
        <v>200</v>
      </c>
      <c r="H26" s="3840">
        <v>200</v>
      </c>
      <c r="I26" s="4603">
        <f t="shared" ref="I26:N28" si="44">(C26/1000)*(O26/1000)</f>
        <v>0.10119588130589609</v>
      </c>
      <c r="J26" s="4604">
        <f t="shared" si="44"/>
        <v>0.1608089622382991</v>
      </c>
      <c r="K26" s="4604">
        <f t="shared" si="44"/>
        <v>0.1608089622382991</v>
      </c>
      <c r="L26" s="4604">
        <f t="shared" si="44"/>
        <v>0.1608089622382991</v>
      </c>
      <c r="M26" s="4604">
        <f t="shared" si="44"/>
        <v>0.1608089622382991</v>
      </c>
      <c r="N26" s="4604">
        <f t="shared" si="44"/>
        <v>0.1608089622382991</v>
      </c>
      <c r="O26" s="4456">
        <v>1280.9605228594442</v>
      </c>
      <c r="P26" s="4456">
        <v>804.04481119149546</v>
      </c>
      <c r="Q26" s="4456">
        <v>804.04481119149546</v>
      </c>
      <c r="R26" s="4456">
        <v>804.04481119149546</v>
      </c>
      <c r="S26" s="4456">
        <v>804.04481119149546</v>
      </c>
      <c r="T26" s="4456">
        <v>804.04481119149546</v>
      </c>
      <c r="U26" s="4488"/>
      <c r="V26" s="4504">
        <f>IFERROR(I26/$C$1,0)</f>
        <v>5.1740632522200854E-2</v>
      </c>
      <c r="W26" s="4504">
        <f t="shared" ref="W26:W34" si="45">IFERROR(J26/$C$1,0)</f>
        <v>8.2220316816031605E-2</v>
      </c>
      <c r="X26" s="4504">
        <f t="shared" ref="X26:X34" si="46">IFERROR(K26/$C$1,0)</f>
        <v>8.2220316816031605E-2</v>
      </c>
      <c r="Y26" s="4504">
        <f t="shared" ref="Y26:Y34" si="47">IFERROR(L26/$C$1,0)</f>
        <v>8.2220316816031605E-2</v>
      </c>
      <c r="Z26" s="4504">
        <f t="shared" ref="Z26:Z34" si="48">IFERROR(M26/$C$1,0)</f>
        <v>8.2220316816031605E-2</v>
      </c>
      <c r="AA26" s="4504">
        <f t="shared" ref="AA26:AA34" si="49">IFERROR(N26/$C$1,0)</f>
        <v>8.2220316816031605E-2</v>
      </c>
      <c r="AB26" s="4503">
        <f t="shared" ref="AB26:AB34" si="50">IFERROR(O26/$C$1,0)</f>
        <v>654.94471547089688</v>
      </c>
      <c r="AC26" s="4503">
        <f t="shared" ref="AC26:AC34" si="51">IFERROR(P26/$C$1,0)</f>
        <v>411.10158408015803</v>
      </c>
      <c r="AD26" s="4503">
        <f t="shared" ref="AD26:AD34" si="52">IFERROR(Q26/$C$1,0)</f>
        <v>411.10158408015803</v>
      </c>
      <c r="AE26" s="4503">
        <f t="shared" ref="AE26:AE34" si="53">IFERROR(R26/$C$1,0)</f>
        <v>411.10158408015803</v>
      </c>
      <c r="AF26" s="4503">
        <f t="shared" ref="AF26:AF34" si="54">IFERROR(S26/$C$1,0)</f>
        <v>411.10158408015803</v>
      </c>
      <c r="AG26" s="4503">
        <f t="shared" ref="AG26:AG34" si="55">IFERROR(T26/$C$1,0)</f>
        <v>411.10158408015803</v>
      </c>
    </row>
    <row r="27" spans="1:33" ht="24">
      <c r="A27" s="3348">
        <v>2</v>
      </c>
      <c r="B27" s="98" t="s">
        <v>1752</v>
      </c>
      <c r="C27" s="630"/>
      <c r="D27" s="631"/>
      <c r="E27" s="630"/>
      <c r="F27" s="631"/>
      <c r="G27" s="631"/>
      <c r="H27" s="630"/>
      <c r="I27" s="2008">
        <f t="shared" si="44"/>
        <v>0</v>
      </c>
      <c r="J27" s="2008">
        <f t="shared" si="44"/>
        <v>0</v>
      </c>
      <c r="K27" s="2008">
        <f t="shared" si="44"/>
        <v>0</v>
      </c>
      <c r="L27" s="2008">
        <f t="shared" si="44"/>
        <v>0</v>
      </c>
      <c r="M27" s="2008">
        <f t="shared" si="44"/>
        <v>0</v>
      </c>
      <c r="N27" s="2008">
        <f t="shared" si="44"/>
        <v>0</v>
      </c>
      <c r="O27" s="4457"/>
      <c r="P27" s="4457"/>
      <c r="Q27" s="4457"/>
      <c r="R27" s="4457"/>
      <c r="S27" s="4457"/>
      <c r="T27" s="4457"/>
      <c r="U27" s="4488"/>
      <c r="V27" s="4504">
        <f t="shared" ref="V27:V34" si="56">IFERROR(I27/$C$1,0)</f>
        <v>0</v>
      </c>
      <c r="W27" s="4504">
        <f t="shared" si="45"/>
        <v>0</v>
      </c>
      <c r="X27" s="4504">
        <f t="shared" si="46"/>
        <v>0</v>
      </c>
      <c r="Y27" s="4504">
        <f t="shared" si="47"/>
        <v>0</v>
      </c>
      <c r="Z27" s="4504">
        <f t="shared" si="48"/>
        <v>0</v>
      </c>
      <c r="AA27" s="4504">
        <f t="shared" si="49"/>
        <v>0</v>
      </c>
      <c r="AB27" s="4503">
        <f t="shared" si="50"/>
        <v>0</v>
      </c>
      <c r="AC27" s="4503">
        <f t="shared" si="51"/>
        <v>0</v>
      </c>
      <c r="AD27" s="4503">
        <f t="shared" si="52"/>
        <v>0</v>
      </c>
      <c r="AE27" s="4503">
        <f t="shared" si="53"/>
        <v>0</v>
      </c>
      <c r="AF27" s="4503">
        <f t="shared" si="54"/>
        <v>0</v>
      </c>
      <c r="AG27" s="4503">
        <f t="shared" si="55"/>
        <v>0</v>
      </c>
    </row>
    <row r="28" spans="1:33" ht="24">
      <c r="A28" s="3348">
        <v>3</v>
      </c>
      <c r="B28" s="98" t="s">
        <v>1753</v>
      </c>
      <c r="C28" s="630"/>
      <c r="D28" s="631"/>
      <c r="E28" s="630"/>
      <c r="F28" s="631"/>
      <c r="G28" s="631"/>
      <c r="H28" s="630"/>
      <c r="I28" s="2008">
        <f t="shared" si="44"/>
        <v>0</v>
      </c>
      <c r="J28" s="2006">
        <f t="shared" si="44"/>
        <v>0</v>
      </c>
      <c r="K28" s="2008">
        <f t="shared" si="44"/>
        <v>0</v>
      </c>
      <c r="L28" s="2006">
        <f t="shared" si="44"/>
        <v>0</v>
      </c>
      <c r="M28" s="2006">
        <f t="shared" si="44"/>
        <v>0</v>
      </c>
      <c r="N28" s="2008">
        <f t="shared" si="44"/>
        <v>0</v>
      </c>
      <c r="O28" s="4457"/>
      <c r="P28" s="4457"/>
      <c r="Q28" s="4457"/>
      <c r="R28" s="4457"/>
      <c r="S28" s="4457"/>
      <c r="T28" s="4457"/>
      <c r="U28" s="4488"/>
      <c r="V28" s="4504">
        <f t="shared" si="56"/>
        <v>0</v>
      </c>
      <c r="W28" s="4504">
        <f t="shared" si="45"/>
        <v>0</v>
      </c>
      <c r="X28" s="4504">
        <f t="shared" si="46"/>
        <v>0</v>
      </c>
      <c r="Y28" s="4504">
        <f t="shared" si="47"/>
        <v>0</v>
      </c>
      <c r="Z28" s="4504">
        <f t="shared" si="48"/>
        <v>0</v>
      </c>
      <c r="AA28" s="4504">
        <f t="shared" si="49"/>
        <v>0</v>
      </c>
      <c r="AB28" s="4503">
        <f t="shared" si="50"/>
        <v>0</v>
      </c>
      <c r="AC28" s="4503">
        <f t="shared" si="51"/>
        <v>0</v>
      </c>
      <c r="AD28" s="4503">
        <f t="shared" si="52"/>
        <v>0</v>
      </c>
      <c r="AE28" s="4503">
        <f t="shared" si="53"/>
        <v>0</v>
      </c>
      <c r="AF28" s="4503">
        <f t="shared" si="54"/>
        <v>0</v>
      </c>
      <c r="AG28" s="4503">
        <f t="shared" si="55"/>
        <v>0</v>
      </c>
    </row>
    <row r="29" spans="1:33" ht="39.75" customHeight="1">
      <c r="A29" s="3348">
        <v>4</v>
      </c>
      <c r="B29" s="651" t="s">
        <v>1781</v>
      </c>
      <c r="C29" s="2008">
        <f t="shared" ref="C29:N29" si="57">SUM(C30:C32)</f>
        <v>0</v>
      </c>
      <c r="D29" s="2008">
        <f t="shared" si="57"/>
        <v>0</v>
      </c>
      <c r="E29" s="2008">
        <f t="shared" si="57"/>
        <v>0</v>
      </c>
      <c r="F29" s="2008">
        <f t="shared" si="57"/>
        <v>0</v>
      </c>
      <c r="G29" s="2008">
        <f t="shared" si="57"/>
        <v>0</v>
      </c>
      <c r="H29" s="2008">
        <f t="shared" si="57"/>
        <v>0</v>
      </c>
      <c r="I29" s="2006">
        <f t="shared" si="57"/>
        <v>0</v>
      </c>
      <c r="J29" s="2006">
        <f t="shared" si="57"/>
        <v>0</v>
      </c>
      <c r="K29" s="2006">
        <f t="shared" si="57"/>
        <v>0</v>
      </c>
      <c r="L29" s="2006">
        <f t="shared" si="57"/>
        <v>0</v>
      </c>
      <c r="M29" s="2006">
        <f t="shared" si="57"/>
        <v>0</v>
      </c>
      <c r="N29" s="2006">
        <f t="shared" si="57"/>
        <v>0</v>
      </c>
      <c r="O29" s="305">
        <f>ROUND((IFERROR((I29*1000)/(C29/1000),0)),3)</f>
        <v>0</v>
      </c>
      <c r="P29" s="305">
        <f t="shared" ref="P29:T29" si="58">ROUND((IFERROR((J29*1000)/(D29/1000),0)),3)</f>
        <v>0</v>
      </c>
      <c r="Q29" s="305">
        <f t="shared" si="58"/>
        <v>0</v>
      </c>
      <c r="R29" s="305">
        <f t="shared" si="58"/>
        <v>0</v>
      </c>
      <c r="S29" s="305">
        <f t="shared" si="58"/>
        <v>0</v>
      </c>
      <c r="T29" s="305">
        <f t="shared" si="58"/>
        <v>0</v>
      </c>
      <c r="U29" s="4488"/>
      <c r="V29" s="4504">
        <f t="shared" si="56"/>
        <v>0</v>
      </c>
      <c r="W29" s="4504">
        <f t="shared" si="45"/>
        <v>0</v>
      </c>
      <c r="X29" s="4504">
        <f t="shared" si="46"/>
        <v>0</v>
      </c>
      <c r="Y29" s="4504">
        <f t="shared" si="47"/>
        <v>0</v>
      </c>
      <c r="Z29" s="4504">
        <f t="shared" si="48"/>
        <v>0</v>
      </c>
      <c r="AA29" s="4504">
        <f t="shared" si="49"/>
        <v>0</v>
      </c>
      <c r="AB29" s="4503">
        <f t="shared" si="50"/>
        <v>0</v>
      </c>
      <c r="AC29" s="4503">
        <f t="shared" si="51"/>
        <v>0</v>
      </c>
      <c r="AD29" s="4503">
        <f t="shared" si="52"/>
        <v>0</v>
      </c>
      <c r="AE29" s="4503">
        <f t="shared" si="53"/>
        <v>0</v>
      </c>
      <c r="AF29" s="4503">
        <f t="shared" si="54"/>
        <v>0</v>
      </c>
      <c r="AG29" s="4503">
        <f t="shared" si="55"/>
        <v>0</v>
      </c>
    </row>
    <row r="30" spans="1:33" ht="22.5" customHeight="1">
      <c r="A30" s="3348" t="s">
        <v>566</v>
      </c>
      <c r="B30" s="4458"/>
      <c r="C30" s="630"/>
      <c r="D30" s="631"/>
      <c r="E30" s="630"/>
      <c r="F30" s="631"/>
      <c r="G30" s="631"/>
      <c r="H30" s="630"/>
      <c r="I30" s="2006">
        <f t="shared" ref="I30:N32" si="59">(C30/1000)*(O30/1000)</f>
        <v>0</v>
      </c>
      <c r="J30" s="2006">
        <f t="shared" si="59"/>
        <v>0</v>
      </c>
      <c r="K30" s="2008">
        <f t="shared" si="59"/>
        <v>0</v>
      </c>
      <c r="L30" s="2006">
        <f t="shared" si="59"/>
        <v>0</v>
      </c>
      <c r="M30" s="2006">
        <f t="shared" si="59"/>
        <v>0</v>
      </c>
      <c r="N30" s="2008">
        <f t="shared" si="59"/>
        <v>0</v>
      </c>
      <c r="O30" s="4457"/>
      <c r="P30" s="4457"/>
      <c r="Q30" s="4457"/>
      <c r="R30" s="4457"/>
      <c r="S30" s="4457"/>
      <c r="T30" s="4457"/>
      <c r="U30" s="4488"/>
      <c r="V30" s="4504">
        <f t="shared" si="56"/>
        <v>0</v>
      </c>
      <c r="W30" s="4504">
        <f t="shared" si="45"/>
        <v>0</v>
      </c>
      <c r="X30" s="4504">
        <f t="shared" si="46"/>
        <v>0</v>
      </c>
      <c r="Y30" s="4504">
        <f t="shared" si="47"/>
        <v>0</v>
      </c>
      <c r="Z30" s="4504">
        <f t="shared" si="48"/>
        <v>0</v>
      </c>
      <c r="AA30" s="4504">
        <f t="shared" si="49"/>
        <v>0</v>
      </c>
      <c r="AB30" s="4503">
        <f t="shared" si="50"/>
        <v>0</v>
      </c>
      <c r="AC30" s="4503">
        <f t="shared" si="51"/>
        <v>0</v>
      </c>
      <c r="AD30" s="4503">
        <f t="shared" si="52"/>
        <v>0</v>
      </c>
      <c r="AE30" s="4503">
        <f t="shared" si="53"/>
        <v>0</v>
      </c>
      <c r="AF30" s="4503">
        <f t="shared" si="54"/>
        <v>0</v>
      </c>
      <c r="AG30" s="4503">
        <f t="shared" si="55"/>
        <v>0</v>
      </c>
    </row>
    <row r="31" spans="1:33" ht="22.5" customHeight="1">
      <c r="A31" s="3348" t="s">
        <v>567</v>
      </c>
      <c r="B31" s="4458"/>
      <c r="C31" s="630"/>
      <c r="D31" s="631"/>
      <c r="E31" s="630"/>
      <c r="F31" s="631"/>
      <c r="G31" s="631"/>
      <c r="H31" s="630"/>
      <c r="I31" s="2006">
        <f t="shared" si="59"/>
        <v>0</v>
      </c>
      <c r="J31" s="2006">
        <f t="shared" si="59"/>
        <v>0</v>
      </c>
      <c r="K31" s="2008">
        <f t="shared" si="59"/>
        <v>0</v>
      </c>
      <c r="L31" s="2006">
        <f t="shared" si="59"/>
        <v>0</v>
      </c>
      <c r="M31" s="2006">
        <f t="shared" si="59"/>
        <v>0</v>
      </c>
      <c r="N31" s="2008">
        <f t="shared" si="59"/>
        <v>0</v>
      </c>
      <c r="O31" s="4457"/>
      <c r="P31" s="4457"/>
      <c r="Q31" s="4457"/>
      <c r="R31" s="4457"/>
      <c r="S31" s="4457"/>
      <c r="T31" s="4457"/>
      <c r="U31" s="4488"/>
      <c r="V31" s="4504">
        <f t="shared" si="56"/>
        <v>0</v>
      </c>
      <c r="W31" s="4504">
        <f t="shared" si="45"/>
        <v>0</v>
      </c>
      <c r="X31" s="4504">
        <f t="shared" si="46"/>
        <v>0</v>
      </c>
      <c r="Y31" s="4504">
        <f t="shared" si="47"/>
        <v>0</v>
      </c>
      <c r="Z31" s="4504">
        <f t="shared" si="48"/>
        <v>0</v>
      </c>
      <c r="AA31" s="4504">
        <f t="shared" si="49"/>
        <v>0</v>
      </c>
      <c r="AB31" s="4503">
        <f t="shared" si="50"/>
        <v>0</v>
      </c>
      <c r="AC31" s="4503">
        <f t="shared" si="51"/>
        <v>0</v>
      </c>
      <c r="AD31" s="4503">
        <f t="shared" si="52"/>
        <v>0</v>
      </c>
      <c r="AE31" s="4503">
        <f t="shared" si="53"/>
        <v>0</v>
      </c>
      <c r="AF31" s="4503">
        <f t="shared" si="54"/>
        <v>0</v>
      </c>
      <c r="AG31" s="4503">
        <f t="shared" si="55"/>
        <v>0</v>
      </c>
    </row>
    <row r="32" spans="1:33" ht="22.5" customHeight="1">
      <c r="A32" s="3348" t="s">
        <v>1078</v>
      </c>
      <c r="B32" s="4458"/>
      <c r="C32" s="630"/>
      <c r="D32" s="631"/>
      <c r="E32" s="630"/>
      <c r="F32" s="631"/>
      <c r="G32" s="631"/>
      <c r="H32" s="630"/>
      <c r="I32" s="2006">
        <f t="shared" si="59"/>
        <v>0</v>
      </c>
      <c r="J32" s="2006">
        <f t="shared" si="59"/>
        <v>0</v>
      </c>
      <c r="K32" s="2008">
        <f t="shared" si="59"/>
        <v>0</v>
      </c>
      <c r="L32" s="2006">
        <f t="shared" si="59"/>
        <v>0</v>
      </c>
      <c r="M32" s="2006">
        <f t="shared" si="59"/>
        <v>0</v>
      </c>
      <c r="N32" s="2008">
        <f t="shared" si="59"/>
        <v>0</v>
      </c>
      <c r="O32" s="4457"/>
      <c r="P32" s="4457"/>
      <c r="Q32" s="4457"/>
      <c r="R32" s="4457"/>
      <c r="S32" s="4457"/>
      <c r="T32" s="4457"/>
      <c r="U32" s="4488"/>
      <c r="V32" s="4504">
        <f t="shared" si="56"/>
        <v>0</v>
      </c>
      <c r="W32" s="4504">
        <f t="shared" si="45"/>
        <v>0</v>
      </c>
      <c r="X32" s="4504">
        <f t="shared" si="46"/>
        <v>0</v>
      </c>
      <c r="Y32" s="4504">
        <f t="shared" si="47"/>
        <v>0</v>
      </c>
      <c r="Z32" s="4504">
        <f t="shared" si="48"/>
        <v>0</v>
      </c>
      <c r="AA32" s="4504">
        <f t="shared" si="49"/>
        <v>0</v>
      </c>
      <c r="AB32" s="4503">
        <f t="shared" si="50"/>
        <v>0</v>
      </c>
      <c r="AC32" s="4503">
        <f t="shared" si="51"/>
        <v>0</v>
      </c>
      <c r="AD32" s="4503">
        <f t="shared" si="52"/>
        <v>0</v>
      </c>
      <c r="AE32" s="4503">
        <f t="shared" si="53"/>
        <v>0</v>
      </c>
      <c r="AF32" s="4503">
        <f t="shared" si="54"/>
        <v>0</v>
      </c>
      <c r="AG32" s="4503">
        <f t="shared" si="55"/>
        <v>0</v>
      </c>
    </row>
    <row r="33" spans="1:33" ht="22.5" hidden="1" customHeight="1">
      <c r="A33" s="5219"/>
      <c r="B33" s="5220"/>
      <c r="C33" s="5220"/>
      <c r="D33" s="5220"/>
      <c r="E33" s="5220"/>
      <c r="F33" s="5220"/>
      <c r="G33" s="5220"/>
      <c r="H33" s="5220"/>
      <c r="I33" s="5220"/>
      <c r="J33" s="5220"/>
      <c r="K33" s="5220"/>
      <c r="L33" s="5220"/>
      <c r="M33" s="5220"/>
      <c r="N33" s="5220"/>
      <c r="O33" s="5220"/>
      <c r="P33" s="5220"/>
      <c r="Q33" s="5220"/>
      <c r="R33" s="5220"/>
      <c r="S33" s="5220"/>
      <c r="T33" s="5221"/>
      <c r="U33" s="4488"/>
      <c r="V33" s="4504">
        <f t="shared" si="56"/>
        <v>0</v>
      </c>
      <c r="W33" s="4504">
        <f t="shared" si="45"/>
        <v>0</v>
      </c>
      <c r="X33" s="4504">
        <f t="shared" si="46"/>
        <v>0</v>
      </c>
      <c r="Y33" s="4504">
        <f t="shared" si="47"/>
        <v>0</v>
      </c>
      <c r="Z33" s="4504">
        <f t="shared" si="48"/>
        <v>0</v>
      </c>
      <c r="AA33" s="4504">
        <f t="shared" si="49"/>
        <v>0</v>
      </c>
      <c r="AB33" s="4503">
        <f t="shared" si="50"/>
        <v>0</v>
      </c>
      <c r="AC33" s="4503">
        <f t="shared" si="51"/>
        <v>0</v>
      </c>
      <c r="AD33" s="4503">
        <f t="shared" si="52"/>
        <v>0</v>
      </c>
      <c r="AE33" s="4503">
        <f t="shared" si="53"/>
        <v>0</v>
      </c>
      <c r="AF33" s="4503">
        <f t="shared" si="54"/>
        <v>0</v>
      </c>
      <c r="AG33" s="4503">
        <f t="shared" si="55"/>
        <v>0</v>
      </c>
    </row>
    <row r="34" spans="1:33" ht="19.5" customHeight="1">
      <c r="A34" s="3820">
        <v>5</v>
      </c>
      <c r="B34" s="312" t="s">
        <v>1754</v>
      </c>
      <c r="C34" s="632">
        <f t="shared" ref="C34:N34" si="60">C26+C27+C28+C29</f>
        <v>79</v>
      </c>
      <c r="D34" s="632">
        <f t="shared" si="60"/>
        <v>200</v>
      </c>
      <c r="E34" s="632">
        <f t="shared" si="60"/>
        <v>200</v>
      </c>
      <c r="F34" s="632">
        <f t="shared" si="60"/>
        <v>200</v>
      </c>
      <c r="G34" s="632">
        <f t="shared" si="60"/>
        <v>200</v>
      </c>
      <c r="H34" s="632">
        <f t="shared" si="60"/>
        <v>200</v>
      </c>
      <c r="I34" s="632">
        <f t="shared" si="60"/>
        <v>0.10119588130589609</v>
      </c>
      <c r="J34" s="632">
        <f t="shared" si="60"/>
        <v>0.1608089622382991</v>
      </c>
      <c r="K34" s="632">
        <f t="shared" si="60"/>
        <v>0.1608089622382991</v>
      </c>
      <c r="L34" s="632">
        <f t="shared" si="60"/>
        <v>0.1608089622382991</v>
      </c>
      <c r="M34" s="632">
        <f t="shared" si="60"/>
        <v>0.1608089622382991</v>
      </c>
      <c r="N34" s="632">
        <f t="shared" si="60"/>
        <v>0.1608089622382991</v>
      </c>
      <c r="O34" s="306">
        <f t="shared" ref="O34:T34" si="61">IFERROR((I34*1000)/(C34/1000),0)</f>
        <v>1280.9605228594442</v>
      </c>
      <c r="P34" s="306">
        <f t="shared" si="61"/>
        <v>804.04481119149546</v>
      </c>
      <c r="Q34" s="306">
        <f t="shared" si="61"/>
        <v>804.04481119149546</v>
      </c>
      <c r="R34" s="306">
        <f t="shared" si="61"/>
        <v>804.04481119149546</v>
      </c>
      <c r="S34" s="306">
        <f t="shared" si="61"/>
        <v>804.04481119149546</v>
      </c>
      <c r="T34" s="306">
        <f t="shared" si="61"/>
        <v>804.04481119149546</v>
      </c>
      <c r="U34" s="4488"/>
      <c r="V34" s="4504">
        <f t="shared" si="56"/>
        <v>5.1740632522200854E-2</v>
      </c>
      <c r="W34" s="4504">
        <f t="shared" si="45"/>
        <v>8.2220316816031605E-2</v>
      </c>
      <c r="X34" s="4504">
        <f t="shared" si="46"/>
        <v>8.2220316816031605E-2</v>
      </c>
      <c r="Y34" s="4504">
        <f t="shared" si="47"/>
        <v>8.2220316816031605E-2</v>
      </c>
      <c r="Z34" s="4504">
        <f t="shared" si="48"/>
        <v>8.2220316816031605E-2</v>
      </c>
      <c r="AA34" s="4504">
        <f t="shared" si="49"/>
        <v>8.2220316816031605E-2</v>
      </c>
      <c r="AB34" s="4503">
        <f t="shared" si="50"/>
        <v>654.94471547089688</v>
      </c>
      <c r="AC34" s="4503">
        <f t="shared" si="51"/>
        <v>411.10158408015803</v>
      </c>
      <c r="AD34" s="4503">
        <f t="shared" si="52"/>
        <v>411.10158408015803</v>
      </c>
      <c r="AE34" s="4503">
        <f t="shared" si="53"/>
        <v>411.10158408015803</v>
      </c>
      <c r="AF34" s="4503">
        <f t="shared" si="54"/>
        <v>411.10158408015803</v>
      </c>
      <c r="AG34" s="4503">
        <f t="shared" si="55"/>
        <v>411.10158408015803</v>
      </c>
    </row>
    <row r="35" spans="1:33" ht="19.5" customHeight="1">
      <c r="A35" s="3821">
        <v>6</v>
      </c>
      <c r="B35" s="98" t="s">
        <v>350</v>
      </c>
      <c r="C35" s="633"/>
      <c r="D35" s="634">
        <f>D34-C34</f>
        <v>121</v>
      </c>
      <c r="E35" s="634">
        <f t="shared" ref="E35:H35" si="62">E34-D34</f>
        <v>0</v>
      </c>
      <c r="F35" s="634">
        <f t="shared" si="62"/>
        <v>0</v>
      </c>
      <c r="G35" s="634">
        <f t="shared" si="62"/>
        <v>0</v>
      </c>
      <c r="H35" s="634">
        <f t="shared" si="62"/>
        <v>0</v>
      </c>
      <c r="I35" s="633"/>
      <c r="J35" s="634">
        <f>J34-I34</f>
        <v>5.9613080932403015E-2</v>
      </c>
      <c r="K35" s="634">
        <f t="shared" ref="K35:N35" si="63">K34-J34</f>
        <v>0</v>
      </c>
      <c r="L35" s="634">
        <f t="shared" si="63"/>
        <v>0</v>
      </c>
      <c r="M35" s="634">
        <f t="shared" si="63"/>
        <v>0</v>
      </c>
      <c r="N35" s="634">
        <f t="shared" si="63"/>
        <v>0</v>
      </c>
      <c r="O35" s="307"/>
      <c r="P35" s="308">
        <f>P34-O34</f>
        <v>-476.9157116679487</v>
      </c>
      <c r="Q35" s="308">
        <f t="shared" ref="Q35:T35" si="64">Q34-P34</f>
        <v>0</v>
      </c>
      <c r="R35" s="308">
        <f t="shared" si="64"/>
        <v>0</v>
      </c>
      <c r="S35" s="308">
        <f t="shared" si="64"/>
        <v>0</v>
      </c>
      <c r="T35" s="308">
        <f t="shared" si="64"/>
        <v>0</v>
      </c>
      <c r="U35" s="4488"/>
      <c r="V35" s="4574"/>
      <c r="W35" s="4525">
        <f>W34-V34</f>
        <v>3.0479684293830751E-2</v>
      </c>
      <c r="X35" s="4525">
        <f t="shared" ref="X35" si="65">X34-W34</f>
        <v>0</v>
      </c>
      <c r="Y35" s="4525">
        <f t="shared" ref="Y35" si="66">Y34-X34</f>
        <v>0</v>
      </c>
      <c r="Z35" s="4525">
        <f t="shared" ref="Z35" si="67">Z34-Y34</f>
        <v>0</v>
      </c>
      <c r="AA35" s="4525">
        <f t="shared" ref="AA35" si="68">AA34-Z34</f>
        <v>0</v>
      </c>
      <c r="AB35" s="4574"/>
      <c r="AC35" s="4525">
        <f>AC34-AB34</f>
        <v>-243.84313139073885</v>
      </c>
      <c r="AD35" s="4525">
        <f t="shared" ref="AD35" si="69">AD34-AC34</f>
        <v>0</v>
      </c>
      <c r="AE35" s="4525">
        <f t="shared" ref="AE35" si="70">AE34-AD34</f>
        <v>0</v>
      </c>
      <c r="AF35" s="4525">
        <f t="shared" ref="AF35" si="71">AF34-AE34</f>
        <v>0</v>
      </c>
      <c r="AG35" s="4525">
        <f t="shared" ref="AG35" si="72">AG34-AF34</f>
        <v>0</v>
      </c>
    </row>
    <row r="36" spans="1:33" ht="15" thickBot="1">
      <c r="A36" s="3827">
        <v>7</v>
      </c>
      <c r="B36" s="3825" t="s">
        <v>1744</v>
      </c>
      <c r="C36" s="3826">
        <f>IFERROR(C34/'4. Отчет и прогн. потребление'!D48,0)</f>
        <v>4.1977910868348617E-5</v>
      </c>
      <c r="D36" s="3826">
        <f>IFERROR(D34/'4. Отчет и прогн. потребление'!E48,0)</f>
        <v>1.0584445129462285E-4</v>
      </c>
      <c r="E36" s="3826">
        <f>IFERROR(E34/'4. Отчет и прогн. потребление'!F48,0)</f>
        <v>1.0553207608023805E-4</v>
      </c>
      <c r="F36" s="3826">
        <f>IFERROR(F34/'4. Отчет и прогн. потребление'!G48,0)</f>
        <v>1.0508088029191993E-4</v>
      </c>
      <c r="G36" s="3826">
        <f>IFERROR(G34/'4. Отчет и прогн. потребление'!H48,0)</f>
        <v>1.0445375863150025E-4</v>
      </c>
      <c r="H36" s="3826">
        <f>IFERROR(H34/'4. Отчет и прогн. потребление'!I48,0)</f>
        <v>1.0380048398448875E-4</v>
      </c>
      <c r="I36" s="424"/>
      <c r="J36" s="424"/>
      <c r="K36" s="424"/>
      <c r="L36" s="424"/>
      <c r="M36" s="424"/>
      <c r="N36" s="424"/>
      <c r="O36" s="424"/>
      <c r="P36" s="424"/>
      <c r="Q36" s="424"/>
      <c r="R36" s="424"/>
      <c r="S36" s="424"/>
      <c r="T36" s="424"/>
      <c r="U36" s="4488"/>
    </row>
    <row r="37" spans="1:33" s="147" customFormat="1" ht="18.75" customHeight="1" thickBot="1">
      <c r="B37" s="66"/>
      <c r="C37" s="310"/>
      <c r="D37" s="148"/>
      <c r="E37" s="148"/>
      <c r="F37" s="148"/>
      <c r="G37" s="148"/>
      <c r="H37" s="148"/>
      <c r="I37" s="310"/>
      <c r="J37" s="148"/>
      <c r="K37" s="148"/>
      <c r="L37" s="148"/>
      <c r="M37" s="148"/>
      <c r="N37" s="148"/>
      <c r="O37" s="310"/>
      <c r="P37" s="148"/>
      <c r="Q37" s="148"/>
      <c r="R37" s="148"/>
      <c r="S37" s="148"/>
      <c r="T37" s="148"/>
      <c r="U37" s="148"/>
      <c r="V37" s="148"/>
      <c r="W37" s="148"/>
      <c r="X37" s="148"/>
      <c r="Y37" s="148"/>
    </row>
    <row r="38" spans="1:33" ht="21.75" customHeight="1">
      <c r="A38" s="5208" t="s">
        <v>1</v>
      </c>
      <c r="B38" s="5205" t="s">
        <v>1751</v>
      </c>
      <c r="C38" s="5205" t="s">
        <v>209</v>
      </c>
      <c r="D38" s="5205"/>
      <c r="E38" s="5205"/>
      <c r="F38" s="5205"/>
      <c r="G38" s="5205"/>
      <c r="H38" s="5205"/>
      <c r="I38" s="5205"/>
      <c r="J38" s="5205"/>
      <c r="K38" s="5205"/>
      <c r="L38" s="5205"/>
      <c r="M38" s="5205"/>
      <c r="N38" s="5205"/>
      <c r="O38" s="5205"/>
      <c r="P38" s="5205"/>
      <c r="Q38" s="5205"/>
      <c r="R38" s="5205"/>
      <c r="S38" s="5205"/>
      <c r="T38" s="5205"/>
      <c r="U38" s="4488"/>
      <c r="V38" s="5233" t="str">
        <f>+C38</f>
        <v>Пречистване на отпадъчните води</v>
      </c>
      <c r="W38" s="5233"/>
      <c r="X38" s="5233"/>
      <c r="Y38" s="5233"/>
      <c r="Z38" s="5233"/>
      <c r="AA38" s="5233"/>
      <c r="AB38" s="5233"/>
      <c r="AC38" s="5233"/>
      <c r="AD38" s="5233"/>
      <c r="AE38" s="5233"/>
      <c r="AF38" s="5233"/>
      <c r="AG38" s="5233"/>
    </row>
    <row r="39" spans="1:33" ht="21.75" customHeight="1">
      <c r="A39" s="5209"/>
      <c r="B39" s="5206"/>
      <c r="C39" s="5211" t="s">
        <v>348</v>
      </c>
      <c r="D39" s="5211"/>
      <c r="E39" s="5211"/>
      <c r="F39" s="5211"/>
      <c r="G39" s="5211"/>
      <c r="H39" s="5211"/>
      <c r="I39" s="5211" t="s">
        <v>911</v>
      </c>
      <c r="J39" s="5211"/>
      <c r="K39" s="5211"/>
      <c r="L39" s="5211"/>
      <c r="M39" s="5211"/>
      <c r="N39" s="5211"/>
      <c r="O39" s="5211" t="s">
        <v>1763</v>
      </c>
      <c r="P39" s="5211"/>
      <c r="Q39" s="5211"/>
      <c r="R39" s="5211"/>
      <c r="S39" s="5211"/>
      <c r="T39" s="5211"/>
      <c r="U39" s="4488"/>
      <c r="V39" s="5232" t="s">
        <v>1877</v>
      </c>
      <c r="W39" s="5232"/>
      <c r="X39" s="5232"/>
      <c r="Y39" s="5232"/>
      <c r="Z39" s="5232"/>
      <c r="AA39" s="5232"/>
      <c r="AB39" s="5232" t="s">
        <v>1878</v>
      </c>
      <c r="AC39" s="5232"/>
      <c r="AD39" s="5232"/>
      <c r="AE39" s="5232"/>
      <c r="AF39" s="5232"/>
      <c r="AG39" s="5232"/>
    </row>
    <row r="40" spans="1:33" ht="21.75" customHeight="1" thickBot="1">
      <c r="A40" s="5210"/>
      <c r="B40" s="5207"/>
      <c r="C40" s="155" t="str">
        <f t="shared" ref="C40:H40" si="73">C25</f>
        <v>2024 г.</v>
      </c>
      <c r="D40" s="155" t="str">
        <f t="shared" si="73"/>
        <v>2027 г.</v>
      </c>
      <c r="E40" s="155" t="str">
        <f t="shared" si="73"/>
        <v>2028 г.</v>
      </c>
      <c r="F40" s="155" t="str">
        <f t="shared" si="73"/>
        <v>2029 г.</v>
      </c>
      <c r="G40" s="155" t="str">
        <f t="shared" si="73"/>
        <v>2030 г.</v>
      </c>
      <c r="H40" s="155" t="str">
        <f t="shared" si="73"/>
        <v>2031 г.</v>
      </c>
      <c r="I40" s="155" t="str">
        <f t="shared" ref="I40:T40" si="74">C40</f>
        <v>2024 г.</v>
      </c>
      <c r="J40" s="155" t="str">
        <f t="shared" si="74"/>
        <v>2027 г.</v>
      </c>
      <c r="K40" s="155" t="str">
        <f t="shared" si="74"/>
        <v>2028 г.</v>
      </c>
      <c r="L40" s="155" t="str">
        <f t="shared" si="74"/>
        <v>2029 г.</v>
      </c>
      <c r="M40" s="155" t="str">
        <f t="shared" si="74"/>
        <v>2030 г.</v>
      </c>
      <c r="N40" s="155" t="str">
        <f t="shared" si="74"/>
        <v>2031 г.</v>
      </c>
      <c r="O40" s="155" t="str">
        <f t="shared" si="74"/>
        <v>2024 г.</v>
      </c>
      <c r="P40" s="155" t="str">
        <f t="shared" si="74"/>
        <v>2027 г.</v>
      </c>
      <c r="Q40" s="155" t="str">
        <f t="shared" si="74"/>
        <v>2028 г.</v>
      </c>
      <c r="R40" s="155" t="str">
        <f t="shared" si="74"/>
        <v>2029 г.</v>
      </c>
      <c r="S40" s="155" t="str">
        <f t="shared" si="74"/>
        <v>2030 г.</v>
      </c>
      <c r="T40" s="155" t="str">
        <f t="shared" si="74"/>
        <v>2031 г.</v>
      </c>
      <c r="U40" s="4488"/>
      <c r="V40" s="4502" t="str">
        <f>+I40</f>
        <v>2024 г.</v>
      </c>
      <c r="W40" s="4502" t="str">
        <f t="shared" ref="W40" si="75">+J40</f>
        <v>2027 г.</v>
      </c>
      <c r="X40" s="4502" t="str">
        <f t="shared" ref="X40" si="76">+K40</f>
        <v>2028 г.</v>
      </c>
      <c r="Y40" s="4502" t="str">
        <f t="shared" ref="Y40" si="77">+L40</f>
        <v>2029 г.</v>
      </c>
      <c r="Z40" s="4502" t="str">
        <f t="shared" ref="Z40" si="78">+M40</f>
        <v>2030 г.</v>
      </c>
      <c r="AA40" s="4502" t="str">
        <f t="shared" ref="AA40" si="79">+N40</f>
        <v>2031 г.</v>
      </c>
      <c r="AB40" s="4502" t="str">
        <f t="shared" ref="AB40" si="80">+O40</f>
        <v>2024 г.</v>
      </c>
      <c r="AC40" s="4502" t="str">
        <f t="shared" ref="AC40" si="81">+P40</f>
        <v>2027 г.</v>
      </c>
      <c r="AD40" s="4502" t="str">
        <f t="shared" ref="AD40" si="82">+Q40</f>
        <v>2028 г.</v>
      </c>
      <c r="AE40" s="4502" t="str">
        <f t="shared" ref="AE40" si="83">+R40</f>
        <v>2029 г.</v>
      </c>
      <c r="AF40" s="4502" t="str">
        <f t="shared" ref="AF40" si="84">+S40</f>
        <v>2030 г.</v>
      </c>
      <c r="AG40" s="4502" t="str">
        <f t="shared" ref="AG40" si="85">+T40</f>
        <v>2031 г.</v>
      </c>
    </row>
    <row r="41" spans="1:33" ht="22.5" customHeight="1">
      <c r="A41" s="3834">
        <v>1</v>
      </c>
      <c r="B41" s="3835" t="s">
        <v>1750</v>
      </c>
      <c r="C41" s="3839">
        <v>194389</v>
      </c>
      <c r="D41" s="3840">
        <v>319062</v>
      </c>
      <c r="E41" s="3840">
        <v>312815</v>
      </c>
      <c r="F41" s="3840">
        <v>306571</v>
      </c>
      <c r="G41" s="3840">
        <v>300326</v>
      </c>
      <c r="H41" s="3840">
        <v>294084</v>
      </c>
      <c r="I41" s="4439">
        <f t="shared" ref="I41:N43" si="86">(C41/1000)*(O41/1000)</f>
        <v>45.646991595840277</v>
      </c>
      <c r="J41" s="3841">
        <f t="shared" si="86"/>
        <v>90.433305566160939</v>
      </c>
      <c r="K41" s="3841">
        <f t="shared" si="86"/>
        <v>88.695215242717651</v>
      </c>
      <c r="L41" s="3841">
        <f t="shared" si="86"/>
        <v>86.957959603277985</v>
      </c>
      <c r="M41" s="3841">
        <f t="shared" si="86"/>
        <v>85.220425735837082</v>
      </c>
      <c r="N41" s="3841">
        <f t="shared" si="86"/>
        <v>83.483726552399744</v>
      </c>
      <c r="O41" s="4456">
        <v>234.82291485547162</v>
      </c>
      <c r="P41" s="4456">
        <v>283.43489844030609</v>
      </c>
      <c r="Q41" s="4456">
        <v>283.53888158405977</v>
      </c>
      <c r="R41" s="4456">
        <v>283.64704947068697</v>
      </c>
      <c r="S41" s="4456">
        <v>283.75973354234088</v>
      </c>
      <c r="T41" s="4456">
        <v>283.8771458236414</v>
      </c>
      <c r="U41" s="4488"/>
      <c r="V41" s="4504">
        <f>IFERROR(I41/$C$1,0)</f>
        <v>23.338936203985149</v>
      </c>
      <c r="W41" s="4504">
        <f t="shared" ref="W41:W49" si="87">IFERROR(J41/$C$1,0)</f>
        <v>46.237814925714886</v>
      </c>
      <c r="X41" s="4504">
        <f t="shared" ref="X41:X49" si="88">IFERROR(K41/$C$1,0)</f>
        <v>45.349143454552625</v>
      </c>
      <c r="Y41" s="4504">
        <f t="shared" ref="Y41:Y49" si="89">IFERROR(L41/$C$1,0)</f>
        <v>44.460898750544771</v>
      </c>
      <c r="Z41" s="4504">
        <f t="shared" ref="Z41:Z49" si="90">IFERROR(M41/$C$1,0)</f>
        <v>43.572511790818773</v>
      </c>
      <c r="AA41" s="4504">
        <f t="shared" ref="AA41:AA49" si="91">IFERROR(N41/$C$1,0)</f>
        <v>42.684551598247161</v>
      </c>
      <c r="AB41" s="4503">
        <f t="shared" ref="AB41:AB49" si="92">IFERROR(O41/$C$1,0)</f>
        <v>120.06304988443352</v>
      </c>
      <c r="AC41" s="4503">
        <f t="shared" ref="AC41:AC49" si="93">IFERROR(P41/$C$1,0)</f>
        <v>144.91796242020322</v>
      </c>
      <c r="AD41" s="4503">
        <f t="shared" ref="AD41:AD49" si="94">IFERROR(Q41/$C$1,0)</f>
        <v>144.97112815738575</v>
      </c>
      <c r="AE41" s="4503">
        <f t="shared" ref="AE41:AE49" si="95">IFERROR(R41/$C$1,0)</f>
        <v>145.02643351962439</v>
      </c>
      <c r="AF41" s="4503">
        <f t="shared" ref="AF41:AF49" si="96">IFERROR(S41/$C$1,0)</f>
        <v>145.08404797060118</v>
      </c>
      <c r="AG41" s="4503">
        <f t="shared" ref="AG41:AG49" si="97">IFERROR(T41/$C$1,0)</f>
        <v>145.14407991678286</v>
      </c>
    </row>
    <row r="42" spans="1:33" ht="24">
      <c r="A42" s="3348">
        <v>2</v>
      </c>
      <c r="B42" s="98" t="s">
        <v>1752</v>
      </c>
      <c r="C42" s="630">
        <v>1518859</v>
      </c>
      <c r="D42" s="631">
        <v>1403688.652</v>
      </c>
      <c r="E42" s="630">
        <v>1393297.92</v>
      </c>
      <c r="F42" s="631">
        <v>1383051.8479999998</v>
      </c>
      <c r="G42" s="631">
        <v>1372951.8919999998</v>
      </c>
      <c r="H42" s="630">
        <v>1368826.5899999999</v>
      </c>
      <c r="I42" s="2008">
        <f t="shared" si="86"/>
        <v>318.88696580128999</v>
      </c>
      <c r="J42" s="2008">
        <f t="shared" si="86"/>
        <v>361.36083189214463</v>
      </c>
      <c r="K42" s="2008">
        <f t="shared" si="86"/>
        <v>358.78935430586819</v>
      </c>
      <c r="L42" s="2008">
        <f t="shared" si="86"/>
        <v>356.25367688724401</v>
      </c>
      <c r="M42" s="2008">
        <f t="shared" si="86"/>
        <v>353.75415996424198</v>
      </c>
      <c r="N42" s="2008">
        <f t="shared" si="86"/>
        <v>352.73323847097066</v>
      </c>
      <c r="O42" s="4456">
        <v>209.95165831804664</v>
      </c>
      <c r="P42" s="4457">
        <v>257.43659847735569</v>
      </c>
      <c r="Q42" s="4457">
        <v>257.51086623732863</v>
      </c>
      <c r="R42" s="4457">
        <v>257.58519277669484</v>
      </c>
      <c r="S42" s="4457">
        <v>257.65954511991163</v>
      </c>
      <c r="T42" s="4457">
        <v>257.6902297543553</v>
      </c>
      <c r="U42" s="4488"/>
      <c r="V42" s="4504">
        <f t="shared" ref="V42:V49" si="98">IFERROR(I42/$C$1,0)</f>
        <v>163.04431663349575</v>
      </c>
      <c r="W42" s="4504">
        <f t="shared" si="87"/>
        <v>184.76085952876511</v>
      </c>
      <c r="X42" s="4504">
        <f t="shared" si="88"/>
        <v>183.4460839162239</v>
      </c>
      <c r="Y42" s="4504">
        <f t="shared" si="89"/>
        <v>182.14961263874878</v>
      </c>
      <c r="Z42" s="4504">
        <f t="shared" si="90"/>
        <v>180.8716299291053</v>
      </c>
      <c r="AA42" s="4504">
        <f t="shared" si="91"/>
        <v>180.34964105825694</v>
      </c>
      <c r="AB42" s="4503">
        <f t="shared" si="92"/>
        <v>107.34657834169977</v>
      </c>
      <c r="AC42" s="4503">
        <f t="shared" si="93"/>
        <v>131.62524272424275</v>
      </c>
      <c r="AD42" s="4503">
        <f t="shared" si="94"/>
        <v>131.66321522695154</v>
      </c>
      <c r="AE42" s="4503">
        <f t="shared" si="95"/>
        <v>131.70121778308689</v>
      </c>
      <c r="AF42" s="4503">
        <f t="shared" si="96"/>
        <v>131.73923353252155</v>
      </c>
      <c r="AG42" s="4503">
        <f t="shared" si="97"/>
        <v>131.75492233699009</v>
      </c>
    </row>
    <row r="43" spans="1:33" ht="24">
      <c r="A43" s="3348">
        <v>3</v>
      </c>
      <c r="B43" s="98" t="s">
        <v>1753</v>
      </c>
      <c r="C43" s="630"/>
      <c r="D43" s="631"/>
      <c r="E43" s="630"/>
      <c r="F43" s="631"/>
      <c r="G43" s="631"/>
      <c r="H43" s="630"/>
      <c r="I43" s="2008">
        <f t="shared" si="86"/>
        <v>0</v>
      </c>
      <c r="J43" s="2006">
        <f t="shared" si="86"/>
        <v>0</v>
      </c>
      <c r="K43" s="2008">
        <f t="shared" si="86"/>
        <v>0</v>
      </c>
      <c r="L43" s="2006">
        <f t="shared" si="86"/>
        <v>0</v>
      </c>
      <c r="M43" s="2006">
        <f t="shared" si="86"/>
        <v>0</v>
      </c>
      <c r="N43" s="2008">
        <f t="shared" si="86"/>
        <v>0</v>
      </c>
      <c r="O43" s="4457"/>
      <c r="P43" s="4457"/>
      <c r="Q43" s="4457"/>
      <c r="R43" s="4457"/>
      <c r="S43" s="4457"/>
      <c r="T43" s="4457"/>
      <c r="U43" s="4488"/>
      <c r="V43" s="4504">
        <f t="shared" si="98"/>
        <v>0</v>
      </c>
      <c r="W43" s="4504">
        <f t="shared" si="87"/>
        <v>0</v>
      </c>
      <c r="X43" s="4504">
        <f t="shared" si="88"/>
        <v>0</v>
      </c>
      <c r="Y43" s="4504">
        <f t="shared" si="89"/>
        <v>0</v>
      </c>
      <c r="Z43" s="4504">
        <f t="shared" si="90"/>
        <v>0</v>
      </c>
      <c r="AA43" s="4504">
        <f t="shared" si="91"/>
        <v>0</v>
      </c>
      <c r="AB43" s="4503">
        <f t="shared" si="92"/>
        <v>0</v>
      </c>
      <c r="AC43" s="4503">
        <f t="shared" si="93"/>
        <v>0</v>
      </c>
      <c r="AD43" s="4503">
        <f t="shared" si="94"/>
        <v>0</v>
      </c>
      <c r="AE43" s="4503">
        <f t="shared" si="95"/>
        <v>0</v>
      </c>
      <c r="AF43" s="4503">
        <f t="shared" si="96"/>
        <v>0</v>
      </c>
      <c r="AG43" s="4503">
        <f t="shared" si="97"/>
        <v>0</v>
      </c>
    </row>
    <row r="44" spans="1:33" ht="39" customHeight="1">
      <c r="A44" s="3348">
        <v>4</v>
      </c>
      <c r="B44" s="651" t="s">
        <v>1781</v>
      </c>
      <c r="C44" s="2008">
        <f>SUM(C45:C47)</f>
        <v>0</v>
      </c>
      <c r="D44" s="2008">
        <f t="shared" ref="D44" si="99">SUM(D45:D47)</f>
        <v>0</v>
      </c>
      <c r="E44" s="2008">
        <f t="shared" ref="E44" si="100">SUM(E45:E47)</f>
        <v>0</v>
      </c>
      <c r="F44" s="2008">
        <f t="shared" ref="F44" si="101">SUM(F45:F47)</f>
        <v>0</v>
      </c>
      <c r="G44" s="2008">
        <f t="shared" ref="G44" si="102">SUM(G45:G47)</f>
        <v>0</v>
      </c>
      <c r="H44" s="2008">
        <f t="shared" ref="H44" si="103">SUM(H45:H47)</f>
        <v>0</v>
      </c>
      <c r="I44" s="2006">
        <f t="shared" ref="I44" si="104">SUM(I45:I47)</f>
        <v>0</v>
      </c>
      <c r="J44" s="2006">
        <f t="shared" ref="J44" si="105">SUM(J45:J47)</f>
        <v>0</v>
      </c>
      <c r="K44" s="2006">
        <f t="shared" ref="K44" si="106">SUM(K45:K47)</f>
        <v>0</v>
      </c>
      <c r="L44" s="2006">
        <f t="shared" ref="L44" si="107">SUM(L45:L47)</f>
        <v>0</v>
      </c>
      <c r="M44" s="2006">
        <f t="shared" ref="M44" si="108">SUM(M45:M47)</f>
        <v>0</v>
      </c>
      <c r="N44" s="2006">
        <f t="shared" ref="N44" si="109">SUM(N45:N47)</f>
        <v>0</v>
      </c>
      <c r="O44" s="305">
        <f>ROUND((IFERROR((I44*1000)/(C44/1000),0)),3)</f>
        <v>0</v>
      </c>
      <c r="P44" s="305">
        <f t="shared" ref="P44:T44" si="110">ROUND((IFERROR((J44*1000)/(D44/1000),0)),3)</f>
        <v>0</v>
      </c>
      <c r="Q44" s="305">
        <f t="shared" si="110"/>
        <v>0</v>
      </c>
      <c r="R44" s="305">
        <f t="shared" si="110"/>
        <v>0</v>
      </c>
      <c r="S44" s="305">
        <f t="shared" si="110"/>
        <v>0</v>
      </c>
      <c r="T44" s="305">
        <f t="shared" si="110"/>
        <v>0</v>
      </c>
      <c r="U44" s="4488"/>
      <c r="V44" s="4504">
        <f t="shared" si="98"/>
        <v>0</v>
      </c>
      <c r="W44" s="4504">
        <f t="shared" si="87"/>
        <v>0</v>
      </c>
      <c r="X44" s="4504">
        <f t="shared" si="88"/>
        <v>0</v>
      </c>
      <c r="Y44" s="4504">
        <f t="shared" si="89"/>
        <v>0</v>
      </c>
      <c r="Z44" s="4504">
        <f t="shared" si="90"/>
        <v>0</v>
      </c>
      <c r="AA44" s="4504">
        <f t="shared" si="91"/>
        <v>0</v>
      </c>
      <c r="AB44" s="4503">
        <f t="shared" si="92"/>
        <v>0</v>
      </c>
      <c r="AC44" s="4503">
        <f t="shared" si="93"/>
        <v>0</v>
      </c>
      <c r="AD44" s="4503">
        <f t="shared" si="94"/>
        <v>0</v>
      </c>
      <c r="AE44" s="4503">
        <f t="shared" si="95"/>
        <v>0</v>
      </c>
      <c r="AF44" s="4503">
        <f t="shared" si="96"/>
        <v>0</v>
      </c>
      <c r="AG44" s="4503">
        <f t="shared" si="97"/>
        <v>0</v>
      </c>
    </row>
    <row r="45" spans="1:33" ht="22.5" customHeight="1">
      <c r="A45" s="3348" t="s">
        <v>566</v>
      </c>
      <c r="B45" s="4458"/>
      <c r="C45" s="630"/>
      <c r="D45" s="631"/>
      <c r="E45" s="630"/>
      <c r="F45" s="631"/>
      <c r="G45" s="631"/>
      <c r="H45" s="630"/>
      <c r="I45" s="2006">
        <f t="shared" ref="I45:N47" si="111">(C45/1000)*(O45/1000)</f>
        <v>0</v>
      </c>
      <c r="J45" s="2006">
        <f t="shared" si="111"/>
        <v>0</v>
      </c>
      <c r="K45" s="2008">
        <f t="shared" si="111"/>
        <v>0</v>
      </c>
      <c r="L45" s="2006">
        <f t="shared" si="111"/>
        <v>0</v>
      </c>
      <c r="M45" s="2006">
        <f t="shared" si="111"/>
        <v>0</v>
      </c>
      <c r="N45" s="2008">
        <f t="shared" si="111"/>
        <v>0</v>
      </c>
      <c r="O45" s="4457"/>
      <c r="P45" s="4457"/>
      <c r="Q45" s="4457"/>
      <c r="R45" s="4457"/>
      <c r="S45" s="4457"/>
      <c r="T45" s="4457"/>
      <c r="U45" s="4488"/>
      <c r="V45" s="4504">
        <f t="shared" si="98"/>
        <v>0</v>
      </c>
      <c r="W45" s="4504">
        <f t="shared" si="87"/>
        <v>0</v>
      </c>
      <c r="X45" s="4504">
        <f t="shared" si="88"/>
        <v>0</v>
      </c>
      <c r="Y45" s="4504">
        <f t="shared" si="89"/>
        <v>0</v>
      </c>
      <c r="Z45" s="4504">
        <f t="shared" si="90"/>
        <v>0</v>
      </c>
      <c r="AA45" s="4504">
        <f t="shared" si="91"/>
        <v>0</v>
      </c>
      <c r="AB45" s="4503">
        <f t="shared" si="92"/>
        <v>0</v>
      </c>
      <c r="AC45" s="4503">
        <f t="shared" si="93"/>
        <v>0</v>
      </c>
      <c r="AD45" s="4503">
        <f t="shared" si="94"/>
        <v>0</v>
      </c>
      <c r="AE45" s="4503">
        <f t="shared" si="95"/>
        <v>0</v>
      </c>
      <c r="AF45" s="4503">
        <f t="shared" si="96"/>
        <v>0</v>
      </c>
      <c r="AG45" s="4503">
        <f t="shared" si="97"/>
        <v>0</v>
      </c>
    </row>
    <row r="46" spans="1:33" ht="22.5" customHeight="1">
      <c r="A46" s="3348" t="s">
        <v>567</v>
      </c>
      <c r="B46" s="4458"/>
      <c r="C46" s="630"/>
      <c r="D46" s="631"/>
      <c r="E46" s="630"/>
      <c r="F46" s="631"/>
      <c r="G46" s="631"/>
      <c r="H46" s="630"/>
      <c r="I46" s="2006">
        <f t="shared" si="111"/>
        <v>0</v>
      </c>
      <c r="J46" s="2006">
        <f t="shared" si="111"/>
        <v>0</v>
      </c>
      <c r="K46" s="2008">
        <f t="shared" si="111"/>
        <v>0</v>
      </c>
      <c r="L46" s="2006">
        <f t="shared" si="111"/>
        <v>0</v>
      </c>
      <c r="M46" s="2006">
        <f t="shared" si="111"/>
        <v>0</v>
      </c>
      <c r="N46" s="2008">
        <f t="shared" si="111"/>
        <v>0</v>
      </c>
      <c r="O46" s="4457"/>
      <c r="P46" s="4457"/>
      <c r="Q46" s="4457"/>
      <c r="R46" s="4457"/>
      <c r="S46" s="4457"/>
      <c r="T46" s="4457"/>
      <c r="U46" s="4488"/>
      <c r="V46" s="4504">
        <f t="shared" si="98"/>
        <v>0</v>
      </c>
      <c r="W46" s="4504">
        <f t="shared" si="87"/>
        <v>0</v>
      </c>
      <c r="X46" s="4504">
        <f t="shared" si="88"/>
        <v>0</v>
      </c>
      <c r="Y46" s="4504">
        <f t="shared" si="89"/>
        <v>0</v>
      </c>
      <c r="Z46" s="4504">
        <f t="shared" si="90"/>
        <v>0</v>
      </c>
      <c r="AA46" s="4504">
        <f t="shared" si="91"/>
        <v>0</v>
      </c>
      <c r="AB46" s="4503">
        <f t="shared" si="92"/>
        <v>0</v>
      </c>
      <c r="AC46" s="4503">
        <f t="shared" si="93"/>
        <v>0</v>
      </c>
      <c r="AD46" s="4503">
        <f t="shared" si="94"/>
        <v>0</v>
      </c>
      <c r="AE46" s="4503">
        <f t="shared" si="95"/>
        <v>0</v>
      </c>
      <c r="AF46" s="4503">
        <f t="shared" si="96"/>
        <v>0</v>
      </c>
      <c r="AG46" s="4503">
        <f t="shared" si="97"/>
        <v>0</v>
      </c>
    </row>
    <row r="47" spans="1:33" ht="22.5" customHeight="1">
      <c r="A47" s="3348" t="s">
        <v>1078</v>
      </c>
      <c r="B47" s="4458"/>
      <c r="C47" s="630"/>
      <c r="D47" s="631"/>
      <c r="E47" s="630"/>
      <c r="F47" s="631"/>
      <c r="G47" s="631"/>
      <c r="H47" s="630"/>
      <c r="I47" s="2006">
        <f t="shared" si="111"/>
        <v>0</v>
      </c>
      <c r="J47" s="2006">
        <f t="shared" si="111"/>
        <v>0</v>
      </c>
      <c r="K47" s="2008">
        <f t="shared" si="111"/>
        <v>0</v>
      </c>
      <c r="L47" s="2006">
        <f t="shared" si="111"/>
        <v>0</v>
      </c>
      <c r="M47" s="2006">
        <f t="shared" si="111"/>
        <v>0</v>
      </c>
      <c r="N47" s="2008">
        <f t="shared" si="111"/>
        <v>0</v>
      </c>
      <c r="O47" s="4457"/>
      <c r="P47" s="4457"/>
      <c r="Q47" s="4457"/>
      <c r="R47" s="4457"/>
      <c r="S47" s="4457"/>
      <c r="T47" s="4457"/>
      <c r="U47" s="4488"/>
      <c r="V47" s="4504">
        <f t="shared" si="98"/>
        <v>0</v>
      </c>
      <c r="W47" s="4504">
        <f t="shared" si="87"/>
        <v>0</v>
      </c>
      <c r="X47" s="4504">
        <f t="shared" si="88"/>
        <v>0</v>
      </c>
      <c r="Y47" s="4504">
        <f t="shared" si="89"/>
        <v>0</v>
      </c>
      <c r="Z47" s="4504">
        <f t="shared" si="90"/>
        <v>0</v>
      </c>
      <c r="AA47" s="4504">
        <f t="shared" si="91"/>
        <v>0</v>
      </c>
      <c r="AB47" s="4503">
        <f t="shared" si="92"/>
        <v>0</v>
      </c>
      <c r="AC47" s="4503">
        <f t="shared" si="93"/>
        <v>0</v>
      </c>
      <c r="AD47" s="4503">
        <f t="shared" si="94"/>
        <v>0</v>
      </c>
      <c r="AE47" s="4503">
        <f t="shared" si="95"/>
        <v>0</v>
      </c>
      <c r="AF47" s="4503">
        <f t="shared" si="96"/>
        <v>0</v>
      </c>
      <c r="AG47" s="4503">
        <f t="shared" si="97"/>
        <v>0</v>
      </c>
    </row>
    <row r="48" spans="1:33" ht="22.5" hidden="1" customHeight="1">
      <c r="A48" s="5219"/>
      <c r="B48" s="5220"/>
      <c r="C48" s="5220"/>
      <c r="D48" s="5220"/>
      <c r="E48" s="5220"/>
      <c r="F48" s="5220"/>
      <c r="G48" s="5220"/>
      <c r="H48" s="5220"/>
      <c r="I48" s="5220"/>
      <c r="J48" s="5220"/>
      <c r="K48" s="5220"/>
      <c r="L48" s="5220"/>
      <c r="M48" s="5220"/>
      <c r="N48" s="5220"/>
      <c r="O48" s="5220"/>
      <c r="P48" s="5220"/>
      <c r="Q48" s="5220"/>
      <c r="R48" s="5220"/>
      <c r="S48" s="5220"/>
      <c r="T48" s="5221"/>
      <c r="U48" s="4488"/>
      <c r="V48" s="4504">
        <f t="shared" si="98"/>
        <v>0</v>
      </c>
      <c r="W48" s="4504">
        <f t="shared" si="87"/>
        <v>0</v>
      </c>
      <c r="X48" s="4504">
        <f t="shared" si="88"/>
        <v>0</v>
      </c>
      <c r="Y48" s="4504">
        <f t="shared" si="89"/>
        <v>0</v>
      </c>
      <c r="Z48" s="4504">
        <f t="shared" si="90"/>
        <v>0</v>
      </c>
      <c r="AA48" s="4504">
        <f t="shared" si="91"/>
        <v>0</v>
      </c>
      <c r="AB48" s="4503">
        <f t="shared" si="92"/>
        <v>0</v>
      </c>
      <c r="AC48" s="4503">
        <f t="shared" si="93"/>
        <v>0</v>
      </c>
      <c r="AD48" s="4503">
        <f t="shared" si="94"/>
        <v>0</v>
      </c>
      <c r="AE48" s="4503">
        <f t="shared" si="95"/>
        <v>0</v>
      </c>
      <c r="AF48" s="4503">
        <f t="shared" si="96"/>
        <v>0</v>
      </c>
      <c r="AG48" s="4503">
        <f t="shared" si="97"/>
        <v>0</v>
      </c>
    </row>
    <row r="49" spans="1:33" ht="24.75" customHeight="1">
      <c r="A49" s="3820">
        <v>5</v>
      </c>
      <c r="B49" s="312" t="s">
        <v>1754</v>
      </c>
      <c r="C49" s="632">
        <f>C41+C42+C43+C44</f>
        <v>1713248</v>
      </c>
      <c r="D49" s="632">
        <f t="shared" ref="D49:H49" si="112">D41+D42+D43+D44</f>
        <v>1722750.652</v>
      </c>
      <c r="E49" s="632">
        <f t="shared" si="112"/>
        <v>1706112.92</v>
      </c>
      <c r="F49" s="632">
        <f t="shared" si="112"/>
        <v>1689622.8479999998</v>
      </c>
      <c r="G49" s="632">
        <f t="shared" si="112"/>
        <v>1673277.8919999998</v>
      </c>
      <c r="H49" s="632">
        <f t="shared" si="112"/>
        <v>1662910.5899999999</v>
      </c>
      <c r="I49" s="632">
        <f>I41+I42+I43+I44</f>
        <v>364.53395739713028</v>
      </c>
      <c r="J49" s="632">
        <f t="shared" ref="J49:N49" si="113">J41+J42+J43+J44</f>
        <v>451.79413745830556</v>
      </c>
      <c r="K49" s="632">
        <f t="shared" si="113"/>
        <v>447.48456954858585</v>
      </c>
      <c r="L49" s="632">
        <f t="shared" si="113"/>
        <v>443.21163649052198</v>
      </c>
      <c r="M49" s="632">
        <f t="shared" si="113"/>
        <v>438.97458570007905</v>
      </c>
      <c r="N49" s="632">
        <f t="shared" si="113"/>
        <v>436.21696502337039</v>
      </c>
      <c r="O49" s="306">
        <f t="shared" ref="O49:T49" si="114">IFERROR((I49*1000)/(C49/1000),0)</f>
        <v>212.77360743869554</v>
      </c>
      <c r="P49" s="306">
        <f t="shared" si="114"/>
        <v>262.2516131012938</v>
      </c>
      <c r="Q49" s="306">
        <f t="shared" si="114"/>
        <v>262.28309058733691</v>
      </c>
      <c r="R49" s="306">
        <f t="shared" si="114"/>
        <v>262.3139459880943</v>
      </c>
      <c r="S49" s="306">
        <f t="shared" si="114"/>
        <v>262.34410183677909</v>
      </c>
      <c r="T49" s="306">
        <f t="shared" si="114"/>
        <v>262.3213584943075</v>
      </c>
      <c r="U49" s="4488"/>
      <c r="V49" s="4504">
        <f t="shared" si="98"/>
        <v>186.38325283748091</v>
      </c>
      <c r="W49" s="4504">
        <f t="shared" si="87"/>
        <v>230.99867445447998</v>
      </c>
      <c r="X49" s="4504">
        <f t="shared" si="88"/>
        <v>228.79522737077653</v>
      </c>
      <c r="Y49" s="4504">
        <f t="shared" si="89"/>
        <v>226.61051138929355</v>
      </c>
      <c r="Z49" s="4504">
        <f t="shared" si="90"/>
        <v>224.44414171992406</v>
      </c>
      <c r="AA49" s="4504">
        <f t="shared" si="91"/>
        <v>223.0341926565041</v>
      </c>
      <c r="AB49" s="4503">
        <f t="shared" si="92"/>
        <v>108.78941801623635</v>
      </c>
      <c r="AC49" s="4503">
        <f t="shared" si="93"/>
        <v>134.08712060930335</v>
      </c>
      <c r="AD49" s="4503">
        <f t="shared" si="94"/>
        <v>134.10321479235768</v>
      </c>
      <c r="AE49" s="4503">
        <f t="shared" si="95"/>
        <v>134.118990908256</v>
      </c>
      <c r="AF49" s="4503">
        <f t="shared" si="96"/>
        <v>134.13440934885909</v>
      </c>
      <c r="AG49" s="4503">
        <f t="shared" si="97"/>
        <v>134.12278086250211</v>
      </c>
    </row>
    <row r="50" spans="1:33" ht="21.75" customHeight="1">
      <c r="A50" s="3821">
        <v>6</v>
      </c>
      <c r="B50" s="98" t="s">
        <v>350</v>
      </c>
      <c r="C50" s="633"/>
      <c r="D50" s="634">
        <f>D49-C49</f>
        <v>9502.6520000000019</v>
      </c>
      <c r="E50" s="634">
        <f>E49-D49</f>
        <v>-16637.732000000076</v>
      </c>
      <c r="F50" s="634">
        <f t="shared" ref="F50:H50" si="115">F49-E49</f>
        <v>-16490.07200000016</v>
      </c>
      <c r="G50" s="634">
        <f t="shared" si="115"/>
        <v>-16344.956000000006</v>
      </c>
      <c r="H50" s="634">
        <f t="shared" si="115"/>
        <v>-10367.301999999909</v>
      </c>
      <c r="I50" s="633"/>
      <c r="J50" s="634">
        <f t="shared" ref="J50:N50" si="116">J49-I49</f>
        <v>87.260180061175276</v>
      </c>
      <c r="K50" s="634">
        <f t="shared" si="116"/>
        <v>-4.3095679097197035</v>
      </c>
      <c r="L50" s="634">
        <f t="shared" si="116"/>
        <v>-4.2729330580638702</v>
      </c>
      <c r="M50" s="634">
        <f t="shared" si="116"/>
        <v>-4.237050790442936</v>
      </c>
      <c r="N50" s="634">
        <f t="shared" si="116"/>
        <v>-2.7576206767086546</v>
      </c>
      <c r="O50" s="307"/>
      <c r="P50" s="308">
        <f t="shared" ref="P50:T50" si="117">P49-O49</f>
        <v>49.478005662598264</v>
      </c>
      <c r="Q50" s="308">
        <f t="shared" si="117"/>
        <v>3.1477486043115732E-2</v>
      </c>
      <c r="R50" s="308">
        <f t="shared" si="117"/>
        <v>3.0855400757388907E-2</v>
      </c>
      <c r="S50" s="308">
        <f t="shared" si="117"/>
        <v>3.0155848684785269E-2</v>
      </c>
      <c r="T50" s="308">
        <f t="shared" si="117"/>
        <v>-2.2743342471585493E-2</v>
      </c>
      <c r="U50" s="4488"/>
      <c r="V50" s="4574"/>
      <c r="W50" s="4525">
        <f>W49-V49</f>
        <v>44.615421616999072</v>
      </c>
      <c r="X50" s="4525">
        <f t="shared" ref="X50" si="118">X49-W49</f>
        <v>-2.2034470837034519</v>
      </c>
      <c r="Y50" s="4525">
        <f t="shared" ref="Y50" si="119">Y49-X49</f>
        <v>-2.1847159814829809</v>
      </c>
      <c r="Z50" s="4525">
        <f t="shared" ref="Z50" si="120">Z49-Y49</f>
        <v>-2.1663696693694874</v>
      </c>
      <c r="AA50" s="4525">
        <f t="shared" ref="AA50" si="121">AA49-Z49</f>
        <v>-1.4099490634199583</v>
      </c>
      <c r="AB50" s="4574"/>
      <c r="AC50" s="4525">
        <f>AC49-AB49</f>
        <v>25.297702593067001</v>
      </c>
      <c r="AD50" s="4525">
        <f t="shared" ref="AD50" si="122">AD49-AC49</f>
        <v>1.6094183054320865E-2</v>
      </c>
      <c r="AE50" s="4525">
        <f t="shared" ref="AE50" si="123">AE49-AD49</f>
        <v>1.5776115898319176E-2</v>
      </c>
      <c r="AF50" s="4525">
        <f t="shared" ref="AF50" si="124">AF49-AE49</f>
        <v>1.541844060309927E-2</v>
      </c>
      <c r="AG50" s="4525">
        <f t="shared" ref="AG50" si="125">AG49-AF49</f>
        <v>-1.1628486356983103E-2</v>
      </c>
    </row>
    <row r="51" spans="1:33" ht="26.4">
      <c r="A51" s="3823">
        <v>7</v>
      </c>
      <c r="B51" s="311" t="s">
        <v>1745</v>
      </c>
      <c r="C51" s="309">
        <f>IFERROR(C49/'2. Променливи'!E66,0)</f>
        <v>0.2979775246504619</v>
      </c>
      <c r="D51" s="309">
        <f>IFERROR(D49/'2. Променливи'!F66,0)</f>
        <v>0.29199999999999998</v>
      </c>
      <c r="E51" s="309">
        <f>IFERROR(E49/'2. Променливи'!G66,0)</f>
        <v>0.28999999999999998</v>
      </c>
      <c r="F51" s="309">
        <f>IFERROR(F49/'2. Променливи'!H66,0)</f>
        <v>0.28799999999999998</v>
      </c>
      <c r="G51" s="309">
        <f>IFERROR(G49/'2. Променливи'!I66,0)</f>
        <v>0.28599999999999998</v>
      </c>
      <c r="H51" s="309">
        <f>IFERROR(H49/'2. Променливи'!J66,0)</f>
        <v>0.28499999999999998</v>
      </c>
      <c r="I51" s="307"/>
      <c r="J51" s="307"/>
      <c r="K51" s="307"/>
      <c r="L51" s="307"/>
      <c r="M51" s="307"/>
      <c r="N51" s="307"/>
      <c r="O51" s="307"/>
      <c r="P51" s="307"/>
      <c r="Q51" s="307"/>
      <c r="R51" s="307"/>
      <c r="S51" s="307"/>
      <c r="T51" s="307"/>
      <c r="U51" s="4488"/>
    </row>
    <row r="52" spans="1:33" ht="15" thickBot="1">
      <c r="A52" s="3824">
        <v>8</v>
      </c>
      <c r="B52" s="3825" t="s">
        <v>1744</v>
      </c>
      <c r="C52" s="3826">
        <f>IFERROR(C49/'4. Отчет и прогн. потребление'!D53,0)</f>
        <v>0.9745270903469373</v>
      </c>
      <c r="D52" s="3826">
        <f>IFERROR(D49/'4. Отчет и прогн. потребление'!E53,0)</f>
        <v>0.95225351094543587</v>
      </c>
      <c r="E52" s="3826">
        <f>IFERROR(E49/'4. Отчет и прогн. потребление'!F53,0)</f>
        <v>0.93944507284467993</v>
      </c>
      <c r="F52" s="3826">
        <f>IFERROR(F49/'4. Отчет и прогн. потребление'!G53,0)</f>
        <v>0.92649867784381945</v>
      </c>
      <c r="G52" s="3826">
        <f>IFERROR(G49/'4. Отчет и прогн. потребление'!H53,0)</f>
        <v>0.9123491288281661</v>
      </c>
      <c r="H52" s="3826">
        <f>IFERROR(H49/'4. Отчет и прогн. потребление'!I53,0)</f>
        <v>0.90140374266619072</v>
      </c>
      <c r="I52" s="424"/>
      <c r="J52" s="424"/>
      <c r="K52" s="424"/>
      <c r="L52" s="424"/>
      <c r="M52" s="424"/>
      <c r="N52" s="424"/>
      <c r="O52" s="424"/>
      <c r="P52" s="424"/>
      <c r="Q52" s="424"/>
      <c r="R52" s="424"/>
      <c r="S52" s="424"/>
      <c r="T52" s="424"/>
      <c r="U52" s="4488"/>
    </row>
    <row r="53" spans="1:33" s="147" customFormat="1" ht="19.5" customHeight="1" thickBot="1">
      <c r="B53" s="66"/>
      <c r="C53" s="310"/>
      <c r="D53" s="148"/>
      <c r="E53" s="148"/>
      <c r="F53" s="148"/>
      <c r="G53" s="148"/>
      <c r="H53" s="148"/>
      <c r="I53" s="310"/>
      <c r="J53" s="148"/>
      <c r="K53" s="148"/>
      <c r="L53" s="148"/>
      <c r="M53" s="148"/>
      <c r="N53" s="148"/>
      <c r="O53" s="310"/>
      <c r="P53" s="148"/>
      <c r="Q53" s="148"/>
      <c r="R53" s="148"/>
      <c r="S53" s="148"/>
      <c r="T53" s="148"/>
      <c r="U53" s="148"/>
      <c r="V53" s="148"/>
      <c r="W53" s="148"/>
      <c r="X53" s="148"/>
      <c r="Y53" s="148"/>
    </row>
    <row r="54" spans="1:33" s="147" customFormat="1" ht="23.25" customHeight="1">
      <c r="A54" s="5208" t="s">
        <v>1</v>
      </c>
      <c r="B54" s="5205" t="s">
        <v>1751</v>
      </c>
      <c r="C54" s="5205" t="s">
        <v>1029</v>
      </c>
      <c r="D54" s="5205"/>
      <c r="E54" s="5205"/>
      <c r="F54" s="5205"/>
      <c r="G54" s="5205"/>
      <c r="H54" s="5205"/>
      <c r="I54" s="5205"/>
      <c r="J54" s="5205"/>
      <c r="K54" s="5205"/>
      <c r="L54" s="5205"/>
      <c r="M54" s="5205"/>
      <c r="N54" s="5205"/>
      <c r="O54" s="5205"/>
      <c r="P54" s="5205"/>
      <c r="Q54" s="5205"/>
      <c r="R54" s="5205"/>
      <c r="S54" s="5205"/>
      <c r="T54" s="5205"/>
      <c r="U54" s="4488"/>
      <c r="V54" s="5233" t="str">
        <f>+C54</f>
        <v>Доставяне на вода с непитейни качества</v>
      </c>
      <c r="W54" s="5233"/>
      <c r="X54" s="5233"/>
      <c r="Y54" s="5233"/>
      <c r="Z54" s="5233"/>
      <c r="AA54" s="5233"/>
      <c r="AB54" s="5233"/>
      <c r="AC54" s="5233"/>
      <c r="AD54" s="5233"/>
      <c r="AE54" s="5233"/>
      <c r="AF54" s="5233"/>
      <c r="AG54" s="5233"/>
    </row>
    <row r="55" spans="1:33" s="147" customFormat="1" ht="23.25" customHeight="1">
      <c r="A55" s="5209"/>
      <c r="B55" s="5206"/>
      <c r="C55" s="5211" t="s">
        <v>348</v>
      </c>
      <c r="D55" s="5211"/>
      <c r="E55" s="5211"/>
      <c r="F55" s="5211"/>
      <c r="G55" s="5211"/>
      <c r="H55" s="5211"/>
      <c r="I55" s="5211" t="s">
        <v>911</v>
      </c>
      <c r="J55" s="5211"/>
      <c r="K55" s="5211"/>
      <c r="L55" s="5211"/>
      <c r="M55" s="5211"/>
      <c r="N55" s="5211"/>
      <c r="O55" s="5212" t="s">
        <v>1763</v>
      </c>
      <c r="P55" s="5213"/>
      <c r="Q55" s="5213"/>
      <c r="R55" s="5213"/>
      <c r="S55" s="5213"/>
      <c r="T55" s="5213"/>
      <c r="U55" s="4488"/>
      <c r="V55" s="5232" t="s">
        <v>1877</v>
      </c>
      <c r="W55" s="5232"/>
      <c r="X55" s="5232"/>
      <c r="Y55" s="5232"/>
      <c r="Z55" s="5232"/>
      <c r="AA55" s="5232"/>
      <c r="AB55" s="5232" t="s">
        <v>1878</v>
      </c>
      <c r="AC55" s="5232"/>
      <c r="AD55" s="5232"/>
      <c r="AE55" s="5232"/>
      <c r="AF55" s="5232"/>
      <c r="AG55" s="5232"/>
    </row>
    <row r="56" spans="1:33" s="147" customFormat="1" ht="23.25" customHeight="1" thickBot="1">
      <c r="A56" s="5210"/>
      <c r="B56" s="5207"/>
      <c r="C56" s="155" t="str">
        <f>'Приложение '!C12</f>
        <v>2024 г.</v>
      </c>
      <c r="D56" s="155" t="str">
        <f>'Приложение '!$C14</f>
        <v>2027 г.</v>
      </c>
      <c r="E56" s="155" t="str">
        <f>'Приложение '!$C15</f>
        <v>2028 г.</v>
      </c>
      <c r="F56" s="155" t="str">
        <f>'Приложение '!$C16</f>
        <v>2029 г.</v>
      </c>
      <c r="G56" s="155" t="str">
        <f>'Приложение '!$C17</f>
        <v>2030 г.</v>
      </c>
      <c r="H56" s="155" t="str">
        <f>'Приложение '!$C18</f>
        <v>2031 г.</v>
      </c>
      <c r="I56" s="155" t="str">
        <f t="shared" ref="I56:T56" si="126">C56</f>
        <v>2024 г.</v>
      </c>
      <c r="J56" s="155" t="str">
        <f t="shared" si="126"/>
        <v>2027 г.</v>
      </c>
      <c r="K56" s="155" t="str">
        <f t="shared" si="126"/>
        <v>2028 г.</v>
      </c>
      <c r="L56" s="155" t="str">
        <f t="shared" si="126"/>
        <v>2029 г.</v>
      </c>
      <c r="M56" s="155" t="str">
        <f t="shared" si="126"/>
        <v>2030 г.</v>
      </c>
      <c r="N56" s="155" t="str">
        <f t="shared" si="126"/>
        <v>2031 г.</v>
      </c>
      <c r="O56" s="155" t="str">
        <f t="shared" si="126"/>
        <v>2024 г.</v>
      </c>
      <c r="P56" s="155" t="str">
        <f t="shared" si="126"/>
        <v>2027 г.</v>
      </c>
      <c r="Q56" s="155" t="str">
        <f t="shared" si="126"/>
        <v>2028 г.</v>
      </c>
      <c r="R56" s="155" t="str">
        <f t="shared" si="126"/>
        <v>2029 г.</v>
      </c>
      <c r="S56" s="155" t="str">
        <f t="shared" si="126"/>
        <v>2030 г.</v>
      </c>
      <c r="T56" s="155" t="str">
        <f t="shared" si="126"/>
        <v>2031 г.</v>
      </c>
      <c r="U56" s="4488"/>
      <c r="V56" s="4502" t="str">
        <f>+I56</f>
        <v>2024 г.</v>
      </c>
      <c r="W56" s="4502" t="str">
        <f t="shared" ref="W56" si="127">+J56</f>
        <v>2027 г.</v>
      </c>
      <c r="X56" s="4502" t="str">
        <f t="shared" ref="X56" si="128">+K56</f>
        <v>2028 г.</v>
      </c>
      <c r="Y56" s="4502" t="str">
        <f t="shared" ref="Y56" si="129">+L56</f>
        <v>2029 г.</v>
      </c>
      <c r="Z56" s="4502" t="str">
        <f t="shared" ref="Z56" si="130">+M56</f>
        <v>2030 г.</v>
      </c>
      <c r="AA56" s="4502" t="str">
        <f t="shared" ref="AA56" si="131">+N56</f>
        <v>2031 г.</v>
      </c>
      <c r="AB56" s="4502" t="str">
        <f t="shared" ref="AB56" si="132">+O56</f>
        <v>2024 г.</v>
      </c>
      <c r="AC56" s="4502" t="str">
        <f t="shared" ref="AC56" si="133">+P56</f>
        <v>2027 г.</v>
      </c>
      <c r="AD56" s="4502" t="str">
        <f t="shared" ref="AD56" si="134">+Q56</f>
        <v>2028 г.</v>
      </c>
      <c r="AE56" s="4502" t="str">
        <f t="shared" ref="AE56" si="135">+R56</f>
        <v>2029 г.</v>
      </c>
      <c r="AF56" s="4502" t="str">
        <f t="shared" ref="AF56" si="136">+S56</f>
        <v>2030 г.</v>
      </c>
      <c r="AG56" s="4502" t="str">
        <f t="shared" ref="AG56" si="137">+T56</f>
        <v>2031 г.</v>
      </c>
    </row>
    <row r="57" spans="1:33" s="147" customFormat="1" ht="23.25" customHeight="1">
      <c r="A57" s="3834">
        <v>1</v>
      </c>
      <c r="B57" s="3835" t="s">
        <v>1750</v>
      </c>
      <c r="C57" s="3839"/>
      <c r="D57" s="3840"/>
      <c r="E57" s="3840"/>
      <c r="F57" s="3840"/>
      <c r="G57" s="3840"/>
      <c r="H57" s="3840"/>
      <c r="I57" s="4439">
        <f t="shared" ref="I57:N59" si="138">(C57/1000)*(O57/1000)</f>
        <v>0</v>
      </c>
      <c r="J57" s="3841">
        <f t="shared" si="138"/>
        <v>0</v>
      </c>
      <c r="K57" s="3841">
        <f t="shared" si="138"/>
        <v>0</v>
      </c>
      <c r="L57" s="3841">
        <f t="shared" si="138"/>
        <v>0</v>
      </c>
      <c r="M57" s="3841">
        <f t="shared" si="138"/>
        <v>0</v>
      </c>
      <c r="N57" s="3841">
        <f t="shared" si="138"/>
        <v>0</v>
      </c>
      <c r="O57" s="4456"/>
      <c r="P57" s="4456"/>
      <c r="Q57" s="4456"/>
      <c r="R57" s="4456"/>
      <c r="S57" s="4456"/>
      <c r="T57" s="4456"/>
      <c r="U57" s="4488"/>
      <c r="V57" s="4504">
        <f>IFERROR(I57/$C$1,0)</f>
        <v>0</v>
      </c>
      <c r="W57" s="4504">
        <f t="shared" ref="W57:W65" si="139">IFERROR(J57/$C$1,0)</f>
        <v>0</v>
      </c>
      <c r="X57" s="4504">
        <f t="shared" ref="X57:X65" si="140">IFERROR(K57/$C$1,0)</f>
        <v>0</v>
      </c>
      <c r="Y57" s="4504">
        <f t="shared" ref="Y57:Y65" si="141">IFERROR(L57/$C$1,0)</f>
        <v>0</v>
      </c>
      <c r="Z57" s="4504">
        <f t="shared" ref="Z57:Z65" si="142">IFERROR(M57/$C$1,0)</f>
        <v>0</v>
      </c>
      <c r="AA57" s="4504">
        <f t="shared" ref="AA57:AA65" si="143">IFERROR(N57/$C$1,0)</f>
        <v>0</v>
      </c>
      <c r="AB57" s="4503">
        <f t="shared" ref="AB57:AB65" si="144">IFERROR(O57/$C$1,0)</f>
        <v>0</v>
      </c>
      <c r="AC57" s="4503">
        <f t="shared" ref="AC57:AC65" si="145">IFERROR(P57/$C$1,0)</f>
        <v>0</v>
      </c>
      <c r="AD57" s="4503">
        <f t="shared" ref="AD57:AD65" si="146">IFERROR(Q57/$C$1,0)</f>
        <v>0</v>
      </c>
      <c r="AE57" s="4503">
        <f t="shared" ref="AE57:AE65" si="147">IFERROR(R57/$C$1,0)</f>
        <v>0</v>
      </c>
      <c r="AF57" s="4503">
        <f t="shared" ref="AF57:AF65" si="148">IFERROR(S57/$C$1,0)</f>
        <v>0</v>
      </c>
      <c r="AG57" s="4503">
        <f t="shared" ref="AG57:AG65" si="149">IFERROR(T57/$C$1,0)</f>
        <v>0</v>
      </c>
    </row>
    <row r="58" spans="1:33" s="147" customFormat="1" ht="23.25" customHeight="1">
      <c r="A58" s="3348">
        <v>2</v>
      </c>
      <c r="B58" s="98" t="s">
        <v>1752</v>
      </c>
      <c r="C58" s="630"/>
      <c r="D58" s="631"/>
      <c r="E58" s="630"/>
      <c r="F58" s="631"/>
      <c r="G58" s="631"/>
      <c r="H58" s="630"/>
      <c r="I58" s="2008">
        <f t="shared" si="138"/>
        <v>0</v>
      </c>
      <c r="J58" s="2008">
        <f t="shared" si="138"/>
        <v>0</v>
      </c>
      <c r="K58" s="2008">
        <f t="shared" si="138"/>
        <v>0</v>
      </c>
      <c r="L58" s="2008">
        <f t="shared" si="138"/>
        <v>0</v>
      </c>
      <c r="M58" s="2008">
        <f t="shared" si="138"/>
        <v>0</v>
      </c>
      <c r="N58" s="2008">
        <f t="shared" si="138"/>
        <v>0</v>
      </c>
      <c r="O58" s="4457"/>
      <c r="P58" s="4457"/>
      <c r="Q58" s="4457"/>
      <c r="R58" s="4457"/>
      <c r="S58" s="4457"/>
      <c r="T58" s="4457"/>
      <c r="U58" s="4488"/>
      <c r="V58" s="4504">
        <f t="shared" ref="V58:V65" si="150">IFERROR(I58/$C$1,0)</f>
        <v>0</v>
      </c>
      <c r="W58" s="4504">
        <f t="shared" si="139"/>
        <v>0</v>
      </c>
      <c r="X58" s="4504">
        <f t="shared" si="140"/>
        <v>0</v>
      </c>
      <c r="Y58" s="4504">
        <f t="shared" si="141"/>
        <v>0</v>
      </c>
      <c r="Z58" s="4504">
        <f t="shared" si="142"/>
        <v>0</v>
      </c>
      <c r="AA58" s="4504">
        <f t="shared" si="143"/>
        <v>0</v>
      </c>
      <c r="AB58" s="4503">
        <f t="shared" si="144"/>
        <v>0</v>
      </c>
      <c r="AC58" s="4503">
        <f t="shared" si="145"/>
        <v>0</v>
      </c>
      <c r="AD58" s="4503">
        <f t="shared" si="146"/>
        <v>0</v>
      </c>
      <c r="AE58" s="4503">
        <f t="shared" si="147"/>
        <v>0</v>
      </c>
      <c r="AF58" s="4503">
        <f t="shared" si="148"/>
        <v>0</v>
      </c>
      <c r="AG58" s="4503">
        <f t="shared" si="149"/>
        <v>0</v>
      </c>
    </row>
    <row r="59" spans="1:33" s="147" customFormat="1" ht="23.25" customHeight="1">
      <c r="A59" s="3348">
        <v>3</v>
      </c>
      <c r="B59" s="98" t="s">
        <v>1753</v>
      </c>
      <c r="C59" s="630"/>
      <c r="D59" s="631"/>
      <c r="E59" s="630"/>
      <c r="F59" s="631"/>
      <c r="G59" s="631"/>
      <c r="H59" s="630"/>
      <c r="I59" s="2008">
        <f t="shared" si="138"/>
        <v>0</v>
      </c>
      <c r="J59" s="2006">
        <f t="shared" si="138"/>
        <v>0</v>
      </c>
      <c r="K59" s="2008">
        <f t="shared" si="138"/>
        <v>0</v>
      </c>
      <c r="L59" s="2006">
        <f t="shared" si="138"/>
        <v>0</v>
      </c>
      <c r="M59" s="2006">
        <f t="shared" si="138"/>
        <v>0</v>
      </c>
      <c r="N59" s="2008">
        <f t="shared" si="138"/>
        <v>0</v>
      </c>
      <c r="O59" s="4457"/>
      <c r="P59" s="4457"/>
      <c r="Q59" s="4457"/>
      <c r="R59" s="4457"/>
      <c r="S59" s="4457"/>
      <c r="T59" s="4457"/>
      <c r="U59" s="4488"/>
      <c r="V59" s="4504">
        <f t="shared" si="150"/>
        <v>0</v>
      </c>
      <c r="W59" s="4504">
        <f t="shared" si="139"/>
        <v>0</v>
      </c>
      <c r="X59" s="4504">
        <f t="shared" si="140"/>
        <v>0</v>
      </c>
      <c r="Y59" s="4504">
        <f t="shared" si="141"/>
        <v>0</v>
      </c>
      <c r="Z59" s="4504">
        <f t="shared" si="142"/>
        <v>0</v>
      </c>
      <c r="AA59" s="4504">
        <f t="shared" si="143"/>
        <v>0</v>
      </c>
      <c r="AB59" s="4503">
        <f t="shared" si="144"/>
        <v>0</v>
      </c>
      <c r="AC59" s="4503">
        <f t="shared" si="145"/>
        <v>0</v>
      </c>
      <c r="AD59" s="4503">
        <f t="shared" si="146"/>
        <v>0</v>
      </c>
      <c r="AE59" s="4503">
        <f t="shared" si="147"/>
        <v>0</v>
      </c>
      <c r="AF59" s="4503">
        <f t="shared" si="148"/>
        <v>0</v>
      </c>
      <c r="AG59" s="4503">
        <f t="shared" si="149"/>
        <v>0</v>
      </c>
    </row>
    <row r="60" spans="1:33" s="147" customFormat="1" ht="40.5" customHeight="1">
      <c r="A60" s="3828">
        <v>4</v>
      </c>
      <c r="B60" s="651" t="s">
        <v>1781</v>
      </c>
      <c r="C60" s="2008">
        <f>SUM(C61:C63)</f>
        <v>0</v>
      </c>
      <c r="D60" s="2008">
        <f t="shared" ref="D60" si="151">SUM(D61:D63)</f>
        <v>0</v>
      </c>
      <c r="E60" s="2008">
        <f t="shared" ref="E60" si="152">SUM(E61:E63)</f>
        <v>0</v>
      </c>
      <c r="F60" s="2008">
        <f t="shared" ref="F60" si="153">SUM(F61:F63)</f>
        <v>0</v>
      </c>
      <c r="G60" s="2008">
        <f t="shared" ref="G60" si="154">SUM(G61:G63)</f>
        <v>0</v>
      </c>
      <c r="H60" s="2008">
        <f t="shared" ref="H60" si="155">SUM(H61:H63)</f>
        <v>0</v>
      </c>
      <c r="I60" s="2006">
        <f t="shared" ref="I60" si="156">SUM(I61:I63)</f>
        <v>0</v>
      </c>
      <c r="J60" s="2006">
        <f t="shared" ref="J60" si="157">SUM(J61:J63)</f>
        <v>0</v>
      </c>
      <c r="K60" s="2006">
        <f t="shared" ref="K60" si="158">SUM(K61:K63)</f>
        <v>0</v>
      </c>
      <c r="L60" s="2006">
        <f t="shared" ref="L60" si="159">SUM(L61:L63)</f>
        <v>0</v>
      </c>
      <c r="M60" s="2006">
        <f t="shared" ref="M60" si="160">SUM(M61:M63)</f>
        <v>0</v>
      </c>
      <c r="N60" s="2006">
        <f t="shared" ref="N60" si="161">SUM(N61:N63)</f>
        <v>0</v>
      </c>
      <c r="O60" s="305">
        <f>ROUND((IFERROR((I60*1000)/(C60/1000),0)),3)</f>
        <v>0</v>
      </c>
      <c r="P60" s="305">
        <f t="shared" ref="P60:T60" si="162">ROUND((IFERROR((J60*1000)/(D60/1000),0)),3)</f>
        <v>0</v>
      </c>
      <c r="Q60" s="305">
        <f t="shared" si="162"/>
        <v>0</v>
      </c>
      <c r="R60" s="305">
        <f t="shared" si="162"/>
        <v>0</v>
      </c>
      <c r="S60" s="305">
        <f t="shared" si="162"/>
        <v>0</v>
      </c>
      <c r="T60" s="305">
        <f t="shared" si="162"/>
        <v>0</v>
      </c>
      <c r="U60" s="4488"/>
      <c r="V60" s="4504">
        <f t="shared" si="150"/>
        <v>0</v>
      </c>
      <c r="W60" s="4504">
        <f t="shared" si="139"/>
        <v>0</v>
      </c>
      <c r="X60" s="4504">
        <f t="shared" si="140"/>
        <v>0</v>
      </c>
      <c r="Y60" s="4504">
        <f t="shared" si="141"/>
        <v>0</v>
      </c>
      <c r="Z60" s="4504">
        <f t="shared" si="142"/>
        <v>0</v>
      </c>
      <c r="AA60" s="4504">
        <f t="shared" si="143"/>
        <v>0</v>
      </c>
      <c r="AB60" s="4503">
        <f t="shared" si="144"/>
        <v>0</v>
      </c>
      <c r="AC60" s="4503">
        <f t="shared" si="145"/>
        <v>0</v>
      </c>
      <c r="AD60" s="4503">
        <f t="shared" si="146"/>
        <v>0</v>
      </c>
      <c r="AE60" s="4503">
        <f t="shared" si="147"/>
        <v>0</v>
      </c>
      <c r="AF60" s="4503">
        <f t="shared" si="148"/>
        <v>0</v>
      </c>
      <c r="AG60" s="4503">
        <f t="shared" si="149"/>
        <v>0</v>
      </c>
    </row>
    <row r="61" spans="1:33" s="147" customFormat="1" ht="22.5" customHeight="1">
      <c r="A61" s="3828" t="s">
        <v>566</v>
      </c>
      <c r="B61" s="4458"/>
      <c r="C61" s="630"/>
      <c r="D61" s="631"/>
      <c r="E61" s="630"/>
      <c r="F61" s="631"/>
      <c r="G61" s="631"/>
      <c r="H61" s="630"/>
      <c r="I61" s="2006">
        <f t="shared" ref="I61:N63" si="163">(C61/1000)*(O61/1000)</f>
        <v>0</v>
      </c>
      <c r="J61" s="2006">
        <f t="shared" si="163"/>
        <v>0</v>
      </c>
      <c r="K61" s="2008">
        <f t="shared" si="163"/>
        <v>0</v>
      </c>
      <c r="L61" s="2006">
        <f t="shared" si="163"/>
        <v>0</v>
      </c>
      <c r="M61" s="2006">
        <f t="shared" si="163"/>
        <v>0</v>
      </c>
      <c r="N61" s="2008">
        <f t="shared" si="163"/>
        <v>0</v>
      </c>
      <c r="O61" s="4457"/>
      <c r="P61" s="4457"/>
      <c r="Q61" s="4457"/>
      <c r="R61" s="4457"/>
      <c r="S61" s="4457"/>
      <c r="T61" s="4457"/>
      <c r="U61" s="4488"/>
      <c r="V61" s="4504">
        <f t="shared" si="150"/>
        <v>0</v>
      </c>
      <c r="W61" s="4504">
        <f t="shared" si="139"/>
        <v>0</v>
      </c>
      <c r="X61" s="4504">
        <f t="shared" si="140"/>
        <v>0</v>
      </c>
      <c r="Y61" s="4504">
        <f t="shared" si="141"/>
        <v>0</v>
      </c>
      <c r="Z61" s="4504">
        <f t="shared" si="142"/>
        <v>0</v>
      </c>
      <c r="AA61" s="4504">
        <f t="shared" si="143"/>
        <v>0</v>
      </c>
      <c r="AB61" s="4503">
        <f t="shared" si="144"/>
        <v>0</v>
      </c>
      <c r="AC61" s="4503">
        <f t="shared" si="145"/>
        <v>0</v>
      </c>
      <c r="AD61" s="4503">
        <f t="shared" si="146"/>
        <v>0</v>
      </c>
      <c r="AE61" s="4503">
        <f t="shared" si="147"/>
        <v>0</v>
      </c>
      <c r="AF61" s="4503">
        <f t="shared" si="148"/>
        <v>0</v>
      </c>
      <c r="AG61" s="4503">
        <f t="shared" si="149"/>
        <v>0</v>
      </c>
    </row>
    <row r="62" spans="1:33" s="147" customFormat="1" ht="22.5" customHeight="1">
      <c r="A62" s="3828" t="s">
        <v>567</v>
      </c>
      <c r="B62" s="4458"/>
      <c r="C62" s="630"/>
      <c r="D62" s="631"/>
      <c r="E62" s="630"/>
      <c r="F62" s="631"/>
      <c r="G62" s="631"/>
      <c r="H62" s="630"/>
      <c r="I62" s="2006">
        <f t="shared" si="163"/>
        <v>0</v>
      </c>
      <c r="J62" s="2006">
        <f t="shared" si="163"/>
        <v>0</v>
      </c>
      <c r="K62" s="2008">
        <f t="shared" si="163"/>
        <v>0</v>
      </c>
      <c r="L62" s="2006">
        <f t="shared" si="163"/>
        <v>0</v>
      </c>
      <c r="M62" s="2006">
        <f t="shared" si="163"/>
        <v>0</v>
      </c>
      <c r="N62" s="2008">
        <f t="shared" si="163"/>
        <v>0</v>
      </c>
      <c r="O62" s="4457"/>
      <c r="P62" s="4457"/>
      <c r="Q62" s="4457"/>
      <c r="R62" s="4457"/>
      <c r="S62" s="4457"/>
      <c r="T62" s="4457"/>
      <c r="U62" s="4488"/>
      <c r="V62" s="4504">
        <f t="shared" si="150"/>
        <v>0</v>
      </c>
      <c r="W62" s="4504">
        <f t="shared" si="139"/>
        <v>0</v>
      </c>
      <c r="X62" s="4504">
        <f t="shared" si="140"/>
        <v>0</v>
      </c>
      <c r="Y62" s="4504">
        <f t="shared" si="141"/>
        <v>0</v>
      </c>
      <c r="Z62" s="4504">
        <f t="shared" si="142"/>
        <v>0</v>
      </c>
      <c r="AA62" s="4504">
        <f t="shared" si="143"/>
        <v>0</v>
      </c>
      <c r="AB62" s="4503">
        <f t="shared" si="144"/>
        <v>0</v>
      </c>
      <c r="AC62" s="4503">
        <f t="shared" si="145"/>
        <v>0</v>
      </c>
      <c r="AD62" s="4503">
        <f t="shared" si="146"/>
        <v>0</v>
      </c>
      <c r="AE62" s="4503">
        <f t="shared" si="147"/>
        <v>0</v>
      </c>
      <c r="AF62" s="4503">
        <f t="shared" si="148"/>
        <v>0</v>
      </c>
      <c r="AG62" s="4503">
        <f t="shared" si="149"/>
        <v>0</v>
      </c>
    </row>
    <row r="63" spans="1:33" s="147" customFormat="1" ht="22.5" customHeight="1">
      <c r="A63" s="3828" t="s">
        <v>1078</v>
      </c>
      <c r="B63" s="4458"/>
      <c r="C63" s="630"/>
      <c r="D63" s="631"/>
      <c r="E63" s="630"/>
      <c r="F63" s="631"/>
      <c r="G63" s="631"/>
      <c r="H63" s="630"/>
      <c r="I63" s="2006">
        <f t="shared" si="163"/>
        <v>0</v>
      </c>
      <c r="J63" s="2006">
        <f t="shared" si="163"/>
        <v>0</v>
      </c>
      <c r="K63" s="2008">
        <f t="shared" si="163"/>
        <v>0</v>
      </c>
      <c r="L63" s="2006">
        <f t="shared" si="163"/>
        <v>0</v>
      </c>
      <c r="M63" s="2006">
        <f t="shared" si="163"/>
        <v>0</v>
      </c>
      <c r="N63" s="2008">
        <f t="shared" si="163"/>
        <v>0</v>
      </c>
      <c r="O63" s="4457"/>
      <c r="P63" s="4457"/>
      <c r="Q63" s="4457"/>
      <c r="R63" s="4457"/>
      <c r="S63" s="4457"/>
      <c r="T63" s="4457"/>
      <c r="U63" s="4488"/>
      <c r="V63" s="4504">
        <f t="shared" si="150"/>
        <v>0</v>
      </c>
      <c r="W63" s="4504">
        <f t="shared" si="139"/>
        <v>0</v>
      </c>
      <c r="X63" s="4504">
        <f t="shared" si="140"/>
        <v>0</v>
      </c>
      <c r="Y63" s="4504">
        <f t="shared" si="141"/>
        <v>0</v>
      </c>
      <c r="Z63" s="4504">
        <f t="shared" si="142"/>
        <v>0</v>
      </c>
      <c r="AA63" s="4504">
        <f t="shared" si="143"/>
        <v>0</v>
      </c>
      <c r="AB63" s="4503">
        <f t="shared" si="144"/>
        <v>0</v>
      </c>
      <c r="AC63" s="4503">
        <f t="shared" si="145"/>
        <v>0</v>
      </c>
      <c r="AD63" s="4503">
        <f t="shared" si="146"/>
        <v>0</v>
      </c>
      <c r="AE63" s="4503">
        <f t="shared" si="147"/>
        <v>0</v>
      </c>
      <c r="AF63" s="4503">
        <f t="shared" si="148"/>
        <v>0</v>
      </c>
      <c r="AG63" s="4503">
        <f t="shared" si="149"/>
        <v>0</v>
      </c>
    </row>
    <row r="64" spans="1:33" s="147" customFormat="1" ht="22.5" hidden="1" customHeight="1">
      <c r="A64" s="5219"/>
      <c r="B64" s="5220"/>
      <c r="C64" s="5220"/>
      <c r="D64" s="5220"/>
      <c r="E64" s="5220"/>
      <c r="F64" s="5220"/>
      <c r="G64" s="5220"/>
      <c r="H64" s="5220"/>
      <c r="I64" s="5220"/>
      <c r="J64" s="5220"/>
      <c r="K64" s="5220"/>
      <c r="L64" s="5220"/>
      <c r="M64" s="5220"/>
      <c r="N64" s="5220"/>
      <c r="O64" s="5220"/>
      <c r="P64" s="5220"/>
      <c r="Q64" s="5220"/>
      <c r="R64" s="5220"/>
      <c r="S64" s="5220"/>
      <c r="T64" s="5221"/>
      <c r="U64" s="4488"/>
      <c r="V64" s="4504">
        <f t="shared" si="150"/>
        <v>0</v>
      </c>
      <c r="W64" s="4504">
        <f t="shared" si="139"/>
        <v>0</v>
      </c>
      <c r="X64" s="4504">
        <f t="shared" si="140"/>
        <v>0</v>
      </c>
      <c r="Y64" s="4504">
        <f t="shared" si="141"/>
        <v>0</v>
      </c>
      <c r="Z64" s="4504">
        <f t="shared" si="142"/>
        <v>0</v>
      </c>
      <c r="AA64" s="4504">
        <f t="shared" si="143"/>
        <v>0</v>
      </c>
      <c r="AB64" s="4503">
        <f t="shared" si="144"/>
        <v>0</v>
      </c>
      <c r="AC64" s="4503">
        <f t="shared" si="145"/>
        <v>0</v>
      </c>
      <c r="AD64" s="4503">
        <f t="shared" si="146"/>
        <v>0</v>
      </c>
      <c r="AE64" s="4503">
        <f t="shared" si="147"/>
        <v>0</v>
      </c>
      <c r="AF64" s="4503">
        <f t="shared" si="148"/>
        <v>0</v>
      </c>
      <c r="AG64" s="4503">
        <f t="shared" si="149"/>
        <v>0</v>
      </c>
    </row>
    <row r="65" spans="1:33" s="147" customFormat="1" ht="23.25" customHeight="1">
      <c r="A65" s="3820">
        <v>5</v>
      </c>
      <c r="B65" s="312" t="s">
        <v>1754</v>
      </c>
      <c r="C65" s="632">
        <f>C57+C58+C59+C60</f>
        <v>0</v>
      </c>
      <c r="D65" s="632">
        <f t="shared" ref="D65:H65" si="164">D57+D58+D59+D60</f>
        <v>0</v>
      </c>
      <c r="E65" s="632">
        <f t="shared" si="164"/>
        <v>0</v>
      </c>
      <c r="F65" s="632">
        <f t="shared" si="164"/>
        <v>0</v>
      </c>
      <c r="G65" s="632">
        <f t="shared" si="164"/>
        <v>0</v>
      </c>
      <c r="H65" s="632">
        <f t="shared" si="164"/>
        <v>0</v>
      </c>
      <c r="I65" s="632">
        <f>I57+I58+I59+I60</f>
        <v>0</v>
      </c>
      <c r="J65" s="632">
        <f t="shared" ref="J65:N65" si="165">J57+J58+J59+J60</f>
        <v>0</v>
      </c>
      <c r="K65" s="632">
        <f t="shared" si="165"/>
        <v>0</v>
      </c>
      <c r="L65" s="632">
        <f t="shared" si="165"/>
        <v>0</v>
      </c>
      <c r="M65" s="632">
        <f t="shared" si="165"/>
        <v>0</v>
      </c>
      <c r="N65" s="632">
        <f t="shared" si="165"/>
        <v>0</v>
      </c>
      <c r="O65" s="306">
        <f t="shared" ref="O65:T65" si="166">IFERROR((I65*1000)/(C65/1000),0)</f>
        <v>0</v>
      </c>
      <c r="P65" s="306">
        <f t="shared" si="166"/>
        <v>0</v>
      </c>
      <c r="Q65" s="306">
        <f t="shared" si="166"/>
        <v>0</v>
      </c>
      <c r="R65" s="306">
        <f t="shared" si="166"/>
        <v>0</v>
      </c>
      <c r="S65" s="306">
        <f t="shared" si="166"/>
        <v>0</v>
      </c>
      <c r="T65" s="306">
        <f t="shared" si="166"/>
        <v>0</v>
      </c>
      <c r="U65" s="4488"/>
      <c r="V65" s="4504">
        <f t="shared" si="150"/>
        <v>0</v>
      </c>
      <c r="W65" s="4504">
        <f t="shared" si="139"/>
        <v>0</v>
      </c>
      <c r="X65" s="4504">
        <f t="shared" si="140"/>
        <v>0</v>
      </c>
      <c r="Y65" s="4504">
        <f t="shared" si="141"/>
        <v>0</v>
      </c>
      <c r="Z65" s="4504">
        <f t="shared" si="142"/>
        <v>0</v>
      </c>
      <c r="AA65" s="4504">
        <f t="shared" si="143"/>
        <v>0</v>
      </c>
      <c r="AB65" s="4503">
        <f t="shared" si="144"/>
        <v>0</v>
      </c>
      <c r="AC65" s="4503">
        <f t="shared" si="145"/>
        <v>0</v>
      </c>
      <c r="AD65" s="4503">
        <f t="shared" si="146"/>
        <v>0</v>
      </c>
      <c r="AE65" s="4503">
        <f t="shared" si="147"/>
        <v>0</v>
      </c>
      <c r="AF65" s="4503">
        <f t="shared" si="148"/>
        <v>0</v>
      </c>
      <c r="AG65" s="4503">
        <f t="shared" si="149"/>
        <v>0</v>
      </c>
    </row>
    <row r="66" spans="1:33" s="147" customFormat="1" ht="23.25" customHeight="1">
      <c r="A66" s="3821">
        <v>6</v>
      </c>
      <c r="B66" s="98" t="s">
        <v>350</v>
      </c>
      <c r="C66" s="633"/>
      <c r="D66" s="634">
        <f t="shared" ref="D66:H66" si="167">D65-C65</f>
        <v>0</v>
      </c>
      <c r="E66" s="634">
        <f t="shared" si="167"/>
        <v>0</v>
      </c>
      <c r="F66" s="634">
        <f t="shared" si="167"/>
        <v>0</v>
      </c>
      <c r="G66" s="634">
        <f t="shared" si="167"/>
        <v>0</v>
      </c>
      <c r="H66" s="634">
        <f t="shared" si="167"/>
        <v>0</v>
      </c>
      <c r="I66" s="633"/>
      <c r="J66" s="634">
        <f t="shared" ref="J66:N66" si="168">J65-I65</f>
        <v>0</v>
      </c>
      <c r="K66" s="634">
        <f t="shared" si="168"/>
        <v>0</v>
      </c>
      <c r="L66" s="634">
        <f t="shared" si="168"/>
        <v>0</v>
      </c>
      <c r="M66" s="634">
        <f t="shared" si="168"/>
        <v>0</v>
      </c>
      <c r="N66" s="634">
        <f t="shared" si="168"/>
        <v>0</v>
      </c>
      <c r="O66" s="307"/>
      <c r="P66" s="613">
        <f t="shared" ref="P66:T66" si="169">P65-O65</f>
        <v>0</v>
      </c>
      <c r="Q66" s="613">
        <f t="shared" si="169"/>
        <v>0</v>
      </c>
      <c r="R66" s="613">
        <f t="shared" si="169"/>
        <v>0</v>
      </c>
      <c r="S66" s="613">
        <f t="shared" si="169"/>
        <v>0</v>
      </c>
      <c r="T66" s="613">
        <f t="shared" si="169"/>
        <v>0</v>
      </c>
      <c r="U66" s="4488"/>
      <c r="V66" s="4574"/>
      <c r="W66" s="4525">
        <f>W65-V65</f>
        <v>0</v>
      </c>
      <c r="X66" s="4525">
        <f t="shared" ref="X66" si="170">X65-W65</f>
        <v>0</v>
      </c>
      <c r="Y66" s="4525">
        <f t="shared" ref="Y66" si="171">Y65-X65</f>
        <v>0</v>
      </c>
      <c r="Z66" s="4525">
        <f t="shared" ref="Z66" si="172">Z65-Y65</f>
        <v>0</v>
      </c>
      <c r="AA66" s="4525">
        <f t="shared" ref="AA66" si="173">AA65-Z65</f>
        <v>0</v>
      </c>
      <c r="AB66" s="4574"/>
      <c r="AC66" s="4525">
        <f>AC65-AB65</f>
        <v>0</v>
      </c>
      <c r="AD66" s="4525">
        <f t="shared" ref="AD66" si="174">AD65-AC65</f>
        <v>0</v>
      </c>
      <c r="AE66" s="4525">
        <f t="shared" ref="AE66" si="175">AE65-AD65</f>
        <v>0</v>
      </c>
      <c r="AF66" s="4525">
        <f t="shared" ref="AF66" si="176">AF65-AE65</f>
        <v>0</v>
      </c>
      <c r="AG66" s="4525">
        <f t="shared" ref="AG66" si="177">AG65-AF65</f>
        <v>0</v>
      </c>
    </row>
    <row r="67" spans="1:33" s="147" customFormat="1" ht="23.25" customHeight="1">
      <c r="A67" s="3940">
        <v>7</v>
      </c>
      <c r="B67" s="311" t="s">
        <v>1743</v>
      </c>
      <c r="C67" s="309">
        <f>IFERROR(C65/'4. Отчет и прогн. потребление'!D62,0)</f>
        <v>0</v>
      </c>
      <c r="D67" s="309">
        <f>IFERROR(D65/'4. Отчет и прогн. потребление'!E62,0)</f>
        <v>0</v>
      </c>
      <c r="E67" s="309">
        <f>IFERROR(E65/'4. Отчет и прогн. потребление'!F62,0)</f>
        <v>0</v>
      </c>
      <c r="F67" s="309">
        <f>IFERROR(F65/'4. Отчет и прогн. потребление'!G62,0)</f>
        <v>0</v>
      </c>
      <c r="G67" s="309">
        <f>IFERROR(G65/'4. Отчет и прогн. потребление'!H62,0)</f>
        <v>0</v>
      </c>
      <c r="H67" s="309">
        <f>IFERROR(H65/'4. Отчет и прогн. потребление'!I62,0)</f>
        <v>0</v>
      </c>
      <c r="I67" s="3941"/>
      <c r="J67" s="307"/>
      <c r="K67" s="307"/>
      <c r="L67" s="307"/>
      <c r="M67" s="307"/>
      <c r="N67" s="307"/>
      <c r="O67" s="3942"/>
      <c r="P67" s="307"/>
      <c r="Q67" s="307"/>
      <c r="R67" s="307"/>
      <c r="S67" s="307"/>
      <c r="T67" s="307"/>
      <c r="U67" s="4488"/>
      <c r="V67" s="148"/>
      <c r="W67" s="148"/>
      <c r="X67" s="148"/>
      <c r="Y67" s="148"/>
    </row>
    <row r="68" spans="1:33" s="147" customFormat="1" ht="25.5" customHeight="1" thickBot="1">
      <c r="A68" s="3824">
        <v>8</v>
      </c>
      <c r="B68" s="3825" t="s">
        <v>1744</v>
      </c>
      <c r="C68" s="3943">
        <f>IFERROR(C65/'4. Отчет и прогн. потребление'!D69,0)</f>
        <v>0</v>
      </c>
      <c r="D68" s="3943">
        <f>IFERROR(D65/'4. Отчет и прогн. потребление'!E69,0)</f>
        <v>0</v>
      </c>
      <c r="E68" s="3943">
        <f>IFERROR(E65/'4. Отчет и прогн. потребление'!F69,0)</f>
        <v>0</v>
      </c>
      <c r="F68" s="3943">
        <f>IFERROR(F65/'4. Отчет и прогн. потребление'!G69,0)</f>
        <v>0</v>
      </c>
      <c r="G68" s="3943">
        <f>IFERROR(G65/'4. Отчет и прогн. потребление'!H69,0)</f>
        <v>0</v>
      </c>
      <c r="H68" s="3943">
        <f>IFERROR(H65/'4. Отчет и прогн. потребление'!I69,0)</f>
        <v>0</v>
      </c>
      <c r="I68" s="424"/>
      <c r="J68" s="424"/>
      <c r="K68" s="424"/>
      <c r="L68" s="424"/>
      <c r="M68" s="424"/>
      <c r="N68" s="424"/>
      <c r="O68" s="424"/>
      <c r="P68" s="424"/>
      <c r="Q68" s="424"/>
      <c r="R68" s="424"/>
      <c r="S68" s="424"/>
      <c r="T68" s="424"/>
      <c r="U68" s="4488"/>
      <c r="V68" s="148"/>
      <c r="W68" s="148"/>
      <c r="X68" s="148"/>
      <c r="Y68" s="148"/>
    </row>
    <row r="69" spans="1:33" s="147" customFormat="1" ht="23.25" customHeight="1" thickBot="1">
      <c r="A69" s="446"/>
      <c r="B69" s="447"/>
      <c r="D69" s="148"/>
      <c r="E69" s="148"/>
      <c r="F69" s="148"/>
      <c r="G69" s="148"/>
      <c r="H69" s="148"/>
      <c r="I69" s="448"/>
      <c r="J69" s="448"/>
      <c r="K69" s="448"/>
      <c r="L69" s="448"/>
      <c r="M69" s="448"/>
      <c r="N69" s="448"/>
      <c r="O69" s="310"/>
      <c r="P69" s="148"/>
      <c r="Q69" s="148"/>
      <c r="R69" s="148"/>
      <c r="S69" s="148"/>
      <c r="T69" s="148"/>
      <c r="U69" s="148"/>
      <c r="V69" s="148"/>
      <c r="W69" s="148"/>
      <c r="X69" s="148"/>
      <c r="Y69" s="148"/>
    </row>
    <row r="70" spans="1:33" s="147" customFormat="1" ht="23.25" customHeight="1">
      <c r="A70" s="5208" t="s">
        <v>1</v>
      </c>
      <c r="B70" s="5205" t="s">
        <v>1751</v>
      </c>
      <c r="C70" s="5205" t="s">
        <v>1092</v>
      </c>
      <c r="D70" s="5205"/>
      <c r="E70" s="5205"/>
      <c r="F70" s="5205"/>
      <c r="G70" s="5205"/>
      <c r="H70" s="5205"/>
      <c r="I70" s="5205"/>
      <c r="J70" s="5205"/>
      <c r="K70" s="5205"/>
      <c r="L70" s="5205"/>
      <c r="M70" s="5205"/>
      <c r="N70" s="5205"/>
      <c r="O70" s="5205"/>
      <c r="P70" s="5205"/>
      <c r="Q70" s="5205"/>
      <c r="R70" s="5205"/>
      <c r="S70" s="5205"/>
      <c r="T70" s="5205"/>
      <c r="U70" s="4488"/>
      <c r="V70" s="5233" t="str">
        <f>+C70</f>
        <v>Доставяне на вода на друг ВиК оператор</v>
      </c>
      <c r="W70" s="5233"/>
      <c r="X70" s="5233"/>
      <c r="Y70" s="5233"/>
      <c r="Z70" s="5233"/>
      <c r="AA70" s="5233"/>
      <c r="AB70" s="5233"/>
      <c r="AC70" s="5233"/>
      <c r="AD70" s="5233"/>
      <c r="AE70" s="5233"/>
      <c r="AF70" s="5233"/>
      <c r="AG70" s="5233"/>
    </row>
    <row r="71" spans="1:33" s="147" customFormat="1" ht="23.25" customHeight="1">
      <c r="A71" s="5209"/>
      <c r="B71" s="5206"/>
      <c r="C71" s="5211" t="s">
        <v>348</v>
      </c>
      <c r="D71" s="5211"/>
      <c r="E71" s="5211"/>
      <c r="F71" s="5211"/>
      <c r="G71" s="5211"/>
      <c r="H71" s="5211"/>
      <c r="I71" s="5211" t="s">
        <v>911</v>
      </c>
      <c r="J71" s="5211"/>
      <c r="K71" s="5211"/>
      <c r="L71" s="5211"/>
      <c r="M71" s="5211"/>
      <c r="N71" s="5211"/>
      <c r="O71" s="5212" t="s">
        <v>1763</v>
      </c>
      <c r="P71" s="5213"/>
      <c r="Q71" s="5213"/>
      <c r="R71" s="5213"/>
      <c r="S71" s="5213"/>
      <c r="T71" s="5213"/>
      <c r="U71" s="4488"/>
      <c r="V71" s="5232" t="s">
        <v>1877</v>
      </c>
      <c r="W71" s="5232"/>
      <c r="X71" s="5232"/>
      <c r="Y71" s="5232"/>
      <c r="Z71" s="5232"/>
      <c r="AA71" s="5232"/>
      <c r="AB71" s="5232" t="s">
        <v>1878</v>
      </c>
      <c r="AC71" s="5232"/>
      <c r="AD71" s="5232"/>
      <c r="AE71" s="5232"/>
      <c r="AF71" s="5232"/>
      <c r="AG71" s="5232"/>
    </row>
    <row r="72" spans="1:33" s="147" customFormat="1" ht="23.25" customHeight="1" thickBot="1">
      <c r="A72" s="5210"/>
      <c r="B72" s="5207"/>
      <c r="C72" s="155" t="str">
        <f>'Приложение '!C12</f>
        <v>2024 г.</v>
      </c>
      <c r="D72" s="155" t="str">
        <f>'Приложение '!C14</f>
        <v>2027 г.</v>
      </c>
      <c r="E72" s="155" t="str">
        <f>'Приложение '!C15</f>
        <v>2028 г.</v>
      </c>
      <c r="F72" s="155" t="str">
        <f>'Приложение '!C16</f>
        <v>2029 г.</v>
      </c>
      <c r="G72" s="155" t="str">
        <f>'Приложение '!C17</f>
        <v>2030 г.</v>
      </c>
      <c r="H72" s="155" t="str">
        <f>'Приложение '!C18</f>
        <v>2031 г.</v>
      </c>
      <c r="I72" s="155" t="str">
        <f t="shared" ref="I72:T72" si="178">C72</f>
        <v>2024 г.</v>
      </c>
      <c r="J72" s="155" t="str">
        <f t="shared" si="178"/>
        <v>2027 г.</v>
      </c>
      <c r="K72" s="155" t="str">
        <f t="shared" si="178"/>
        <v>2028 г.</v>
      </c>
      <c r="L72" s="155" t="str">
        <f t="shared" si="178"/>
        <v>2029 г.</v>
      </c>
      <c r="M72" s="155" t="str">
        <f t="shared" si="178"/>
        <v>2030 г.</v>
      </c>
      <c r="N72" s="155" t="str">
        <f t="shared" si="178"/>
        <v>2031 г.</v>
      </c>
      <c r="O72" s="155" t="str">
        <f t="shared" si="178"/>
        <v>2024 г.</v>
      </c>
      <c r="P72" s="155" t="str">
        <f t="shared" si="178"/>
        <v>2027 г.</v>
      </c>
      <c r="Q72" s="155" t="str">
        <f t="shared" si="178"/>
        <v>2028 г.</v>
      </c>
      <c r="R72" s="155" t="str">
        <f t="shared" si="178"/>
        <v>2029 г.</v>
      </c>
      <c r="S72" s="155" t="str">
        <f t="shared" si="178"/>
        <v>2030 г.</v>
      </c>
      <c r="T72" s="155" t="str">
        <f t="shared" si="178"/>
        <v>2031 г.</v>
      </c>
      <c r="U72" s="4488"/>
      <c r="V72" s="4502" t="str">
        <f>+I72</f>
        <v>2024 г.</v>
      </c>
      <c r="W72" s="4502" t="str">
        <f t="shared" ref="W72" si="179">+J72</f>
        <v>2027 г.</v>
      </c>
      <c r="X72" s="4502" t="str">
        <f t="shared" ref="X72" si="180">+K72</f>
        <v>2028 г.</v>
      </c>
      <c r="Y72" s="4502" t="str">
        <f t="shared" ref="Y72" si="181">+L72</f>
        <v>2029 г.</v>
      </c>
      <c r="Z72" s="4502" t="str">
        <f t="shared" ref="Z72" si="182">+M72</f>
        <v>2030 г.</v>
      </c>
      <c r="AA72" s="4502" t="str">
        <f t="shared" ref="AA72" si="183">+N72</f>
        <v>2031 г.</v>
      </c>
      <c r="AB72" s="4502" t="str">
        <f t="shared" ref="AB72" si="184">+O72</f>
        <v>2024 г.</v>
      </c>
      <c r="AC72" s="4502" t="str">
        <f t="shared" ref="AC72" si="185">+P72</f>
        <v>2027 г.</v>
      </c>
      <c r="AD72" s="4502" t="str">
        <f t="shared" ref="AD72" si="186">+Q72</f>
        <v>2028 г.</v>
      </c>
      <c r="AE72" s="4502" t="str">
        <f t="shared" ref="AE72" si="187">+R72</f>
        <v>2029 г.</v>
      </c>
      <c r="AF72" s="4502" t="str">
        <f t="shared" ref="AF72" si="188">+S72</f>
        <v>2030 г.</v>
      </c>
      <c r="AG72" s="4502" t="str">
        <f t="shared" ref="AG72" si="189">+T72</f>
        <v>2031 г.</v>
      </c>
    </row>
    <row r="73" spans="1:33" s="147" customFormat="1" ht="23.25" customHeight="1">
      <c r="A73" s="3834">
        <v>1</v>
      </c>
      <c r="B73" s="3835" t="s">
        <v>1750</v>
      </c>
      <c r="C73" s="3839">
        <v>55833</v>
      </c>
      <c r="D73" s="3840">
        <v>58272.302333333326</v>
      </c>
      <c r="E73" s="3840">
        <v>58335.302333333326</v>
      </c>
      <c r="F73" s="3840">
        <v>58396.302333333326</v>
      </c>
      <c r="G73" s="3840">
        <v>58457.302333333326</v>
      </c>
      <c r="H73" s="3840">
        <v>58518.302333333326</v>
      </c>
      <c r="I73" s="4439">
        <f t="shared" ref="I73:N75" si="190">(C73/1000)*(O73/1000)</f>
        <v>13.260760658724889</v>
      </c>
      <c r="J73" s="3841">
        <f t="shared" si="190"/>
        <v>17.600110303029851</v>
      </c>
      <c r="K73" s="3841">
        <f t="shared" si="190"/>
        <v>17.617638667104917</v>
      </c>
      <c r="L73" s="3841">
        <f t="shared" si="190"/>
        <v>17.634610575177593</v>
      </c>
      <c r="M73" s="3841">
        <f t="shared" si="190"/>
        <v>17.651582483250273</v>
      </c>
      <c r="N73" s="3841">
        <f t="shared" si="190"/>
        <v>17.668554391322957</v>
      </c>
      <c r="O73" s="4456">
        <v>237.50757900748462</v>
      </c>
      <c r="P73" s="4456">
        <v>302.0321764936017</v>
      </c>
      <c r="Q73" s="4456">
        <v>302.00646885201854</v>
      </c>
      <c r="R73" s="4456">
        <v>301.98163018125791</v>
      </c>
      <c r="S73" s="4456">
        <v>301.95684334863756</v>
      </c>
      <c r="T73" s="4456">
        <v>301.93210819204774</v>
      </c>
      <c r="U73" s="4488"/>
      <c r="V73" s="4504">
        <f>IFERROR(I73/$C$1,0)</f>
        <v>6.7801192632922538</v>
      </c>
      <c r="W73" s="4504">
        <f t="shared" ref="W73:W81" si="191">IFERROR(J73/$C$1,0)</f>
        <v>8.9987935060970798</v>
      </c>
      <c r="X73" s="4504">
        <f t="shared" ref="X73:X81" si="192">IFERROR(K73/$C$1,0)</f>
        <v>9.0077556163393115</v>
      </c>
      <c r="Y73" s="4504">
        <f t="shared" ref="Y73:Y81" si="193">IFERROR(L73/$C$1,0)</f>
        <v>9.0164332151452804</v>
      </c>
      <c r="Z73" s="4504">
        <f t="shared" ref="Z73:Z81" si="194">IFERROR(M73/$C$1,0)</f>
        <v>9.0251108139512493</v>
      </c>
      <c r="AA73" s="4504">
        <f t="shared" ref="AA73:AA81" si="195">IFERROR(N73/$C$1,0)</f>
        <v>9.0337884127572217</v>
      </c>
      <c r="AB73" s="4503">
        <f t="shared" ref="AB73:AB81" si="196">IFERROR(O73/$C$1,0)</f>
        <v>121.4356968690963</v>
      </c>
      <c r="AC73" s="4503">
        <f t="shared" ref="AC73:AC81" si="197">IFERROR(P73/$C$1,0)</f>
        <v>154.42659970120189</v>
      </c>
      <c r="AD73" s="4503">
        <f t="shared" ref="AD73:AD81" si="198">IFERROR(Q73/$C$1,0)</f>
        <v>154.41345559277573</v>
      </c>
      <c r="AE73" s="4503">
        <f t="shared" ref="AE73:AE81" si="199">IFERROR(R73/$C$1,0)</f>
        <v>154.40075578207612</v>
      </c>
      <c r="AF73" s="4503">
        <f t="shared" ref="AF73:AF81" si="200">IFERROR(S73/$C$1,0)</f>
        <v>154.38808247579675</v>
      </c>
      <c r="AG73" s="4503">
        <f t="shared" ref="AG73:AG81" si="201">IFERROR(T73/$C$1,0)</f>
        <v>154.37543559105225</v>
      </c>
    </row>
    <row r="74" spans="1:33" s="147" customFormat="1" ht="23.25" customHeight="1">
      <c r="A74" s="3348">
        <v>2</v>
      </c>
      <c r="B74" s="98" t="s">
        <v>1752</v>
      </c>
      <c r="C74" s="630">
        <v>1449034</v>
      </c>
      <c r="D74" s="631">
        <v>1429575</v>
      </c>
      <c r="E74" s="630">
        <v>1431404</v>
      </c>
      <c r="F74" s="631">
        <v>1433238</v>
      </c>
      <c r="G74" s="631">
        <v>1435075</v>
      </c>
      <c r="H74" s="630">
        <v>1436918</v>
      </c>
      <c r="I74" s="2008">
        <f t="shared" si="190"/>
        <v>260.15603930867985</v>
      </c>
      <c r="J74" s="2006">
        <f t="shared" si="190"/>
        <v>369.59512655333214</v>
      </c>
      <c r="K74" s="2006">
        <f t="shared" si="190"/>
        <v>370.04776381751145</v>
      </c>
      <c r="L74" s="2006">
        <f t="shared" si="190"/>
        <v>370.50163847169654</v>
      </c>
      <c r="M74" s="2006">
        <f t="shared" si="190"/>
        <v>370.95625555988539</v>
      </c>
      <c r="N74" s="2006">
        <f t="shared" si="190"/>
        <v>371.41235751608122</v>
      </c>
      <c r="O74" s="4456">
        <v>179.5375673094488</v>
      </c>
      <c r="P74" s="4457">
        <v>258.53496777247233</v>
      </c>
      <c r="Q74" s="4457">
        <v>258.52083955159509</v>
      </c>
      <c r="R74" s="4457">
        <v>258.50670891484634</v>
      </c>
      <c r="S74" s="4457">
        <v>258.49259136970915</v>
      </c>
      <c r="T74" s="4457">
        <v>258.47846398756315</v>
      </c>
      <c r="U74" s="4488"/>
      <c r="V74" s="4504">
        <f t="shared" ref="V74:V81" si="202">IFERROR(I74/$C$1,0)</f>
        <v>133.01567074269229</v>
      </c>
      <c r="W74" s="4504">
        <f t="shared" si="191"/>
        <v>188.97098753640765</v>
      </c>
      <c r="X74" s="4504">
        <f t="shared" si="192"/>
        <v>189.20241729470939</v>
      </c>
      <c r="Y74" s="4504">
        <f t="shared" si="193"/>
        <v>189.43447972047497</v>
      </c>
      <c r="Z74" s="4504">
        <f t="shared" si="194"/>
        <v>189.666921746719</v>
      </c>
      <c r="AA74" s="4504">
        <f t="shared" si="195"/>
        <v>189.90012297391962</v>
      </c>
      <c r="AB74" s="4503">
        <f t="shared" si="196"/>
        <v>91.796100535040779</v>
      </c>
      <c r="AC74" s="4503">
        <f t="shared" si="197"/>
        <v>132.1868300273911</v>
      </c>
      <c r="AD74" s="4503">
        <f t="shared" si="198"/>
        <v>132.17960638276082</v>
      </c>
      <c r="AE74" s="4503">
        <f t="shared" si="199"/>
        <v>132.17238150291504</v>
      </c>
      <c r="AF74" s="4503">
        <f t="shared" si="200"/>
        <v>132.165163316704</v>
      </c>
      <c r="AG74" s="4503">
        <f t="shared" si="201"/>
        <v>132.15794010091017</v>
      </c>
    </row>
    <row r="75" spans="1:33" s="147" customFormat="1" ht="23.25" customHeight="1">
      <c r="A75" s="3348">
        <v>3</v>
      </c>
      <c r="B75" s="98" t="s">
        <v>1753</v>
      </c>
      <c r="C75" s="630"/>
      <c r="D75" s="631"/>
      <c r="E75" s="630"/>
      <c r="F75" s="631"/>
      <c r="G75" s="631"/>
      <c r="H75" s="630"/>
      <c r="I75" s="2008">
        <f t="shared" si="190"/>
        <v>0</v>
      </c>
      <c r="J75" s="2006">
        <f t="shared" si="190"/>
        <v>0</v>
      </c>
      <c r="K75" s="2006">
        <f t="shared" si="190"/>
        <v>0</v>
      </c>
      <c r="L75" s="2006">
        <f t="shared" si="190"/>
        <v>0</v>
      </c>
      <c r="M75" s="2006">
        <f t="shared" si="190"/>
        <v>0</v>
      </c>
      <c r="N75" s="2006">
        <f t="shared" si="190"/>
        <v>0</v>
      </c>
      <c r="O75" s="4457"/>
      <c r="P75" s="4457"/>
      <c r="Q75" s="4457"/>
      <c r="R75" s="4457"/>
      <c r="S75" s="4457"/>
      <c r="T75" s="4457"/>
      <c r="U75" s="4488"/>
      <c r="V75" s="4504">
        <f t="shared" si="202"/>
        <v>0</v>
      </c>
      <c r="W75" s="4504">
        <f t="shared" si="191"/>
        <v>0</v>
      </c>
      <c r="X75" s="4504">
        <f t="shared" si="192"/>
        <v>0</v>
      </c>
      <c r="Y75" s="4504">
        <f t="shared" si="193"/>
        <v>0</v>
      </c>
      <c r="Z75" s="4504">
        <f t="shared" si="194"/>
        <v>0</v>
      </c>
      <c r="AA75" s="4504">
        <f t="shared" si="195"/>
        <v>0</v>
      </c>
      <c r="AB75" s="4503">
        <f t="shared" si="196"/>
        <v>0</v>
      </c>
      <c r="AC75" s="4503">
        <f t="shared" si="197"/>
        <v>0</v>
      </c>
      <c r="AD75" s="4503">
        <f t="shared" si="198"/>
        <v>0</v>
      </c>
      <c r="AE75" s="4503">
        <f t="shared" si="199"/>
        <v>0</v>
      </c>
      <c r="AF75" s="4503">
        <f t="shared" si="200"/>
        <v>0</v>
      </c>
      <c r="AG75" s="4503">
        <f t="shared" si="201"/>
        <v>0</v>
      </c>
    </row>
    <row r="76" spans="1:33" s="147" customFormat="1" ht="39" customHeight="1">
      <c r="A76" s="3828">
        <v>4</v>
      </c>
      <c r="B76" s="651" t="s">
        <v>1781</v>
      </c>
      <c r="C76" s="2008">
        <f>SUM(C77:C79)</f>
        <v>0</v>
      </c>
      <c r="D76" s="2008">
        <f t="shared" ref="D76" si="203">SUM(D77:D79)</f>
        <v>0</v>
      </c>
      <c r="E76" s="2008">
        <f t="shared" ref="E76" si="204">SUM(E77:E79)</f>
        <v>0</v>
      </c>
      <c r="F76" s="2008">
        <f t="shared" ref="F76" si="205">SUM(F77:F79)</f>
        <v>0</v>
      </c>
      <c r="G76" s="2008">
        <f t="shared" ref="G76" si="206">SUM(G77:G79)</f>
        <v>0</v>
      </c>
      <c r="H76" s="2008">
        <f t="shared" ref="H76" si="207">SUM(H77:H79)</f>
        <v>0</v>
      </c>
      <c r="I76" s="2006">
        <f t="shared" ref="I76" si="208">SUM(I77:I79)</f>
        <v>0</v>
      </c>
      <c r="J76" s="2006">
        <f t="shared" ref="J76" si="209">SUM(J77:J79)</f>
        <v>0</v>
      </c>
      <c r="K76" s="2006">
        <f t="shared" ref="K76" si="210">SUM(K77:K79)</f>
        <v>0</v>
      </c>
      <c r="L76" s="2006">
        <f t="shared" ref="L76" si="211">SUM(L77:L79)</f>
        <v>0</v>
      </c>
      <c r="M76" s="2006">
        <f t="shared" ref="M76" si="212">SUM(M77:M79)</f>
        <v>0</v>
      </c>
      <c r="N76" s="2006">
        <f t="shared" ref="N76" si="213">SUM(N77:N79)</f>
        <v>0</v>
      </c>
      <c r="O76" s="305">
        <f>ROUND((IFERROR((I76*1000)/(C76/1000),0)),3)</f>
        <v>0</v>
      </c>
      <c r="P76" s="305">
        <f t="shared" ref="P76:T76" si="214">ROUND((IFERROR((J76*1000)/(D76/1000),0)),3)</f>
        <v>0</v>
      </c>
      <c r="Q76" s="305">
        <f t="shared" si="214"/>
        <v>0</v>
      </c>
      <c r="R76" s="305">
        <f t="shared" si="214"/>
        <v>0</v>
      </c>
      <c r="S76" s="305">
        <f t="shared" si="214"/>
        <v>0</v>
      </c>
      <c r="T76" s="305">
        <f t="shared" si="214"/>
        <v>0</v>
      </c>
      <c r="U76" s="4488"/>
      <c r="V76" s="4504">
        <f t="shared" si="202"/>
        <v>0</v>
      </c>
      <c r="W76" s="4504">
        <f t="shared" si="191"/>
        <v>0</v>
      </c>
      <c r="X76" s="4504">
        <f t="shared" si="192"/>
        <v>0</v>
      </c>
      <c r="Y76" s="4504">
        <f t="shared" si="193"/>
        <v>0</v>
      </c>
      <c r="Z76" s="4504">
        <f t="shared" si="194"/>
        <v>0</v>
      </c>
      <c r="AA76" s="4504">
        <f t="shared" si="195"/>
        <v>0</v>
      </c>
      <c r="AB76" s="4503">
        <f t="shared" si="196"/>
        <v>0</v>
      </c>
      <c r="AC76" s="4503">
        <f t="shared" si="197"/>
        <v>0</v>
      </c>
      <c r="AD76" s="4503">
        <f t="shared" si="198"/>
        <v>0</v>
      </c>
      <c r="AE76" s="4503">
        <f t="shared" si="199"/>
        <v>0</v>
      </c>
      <c r="AF76" s="4503">
        <f t="shared" si="200"/>
        <v>0</v>
      </c>
      <c r="AG76" s="4503">
        <f t="shared" si="201"/>
        <v>0</v>
      </c>
    </row>
    <row r="77" spans="1:33" s="147" customFormat="1" ht="22.5" customHeight="1">
      <c r="A77" s="3828" t="s">
        <v>566</v>
      </c>
      <c r="B77" s="4458"/>
      <c r="C77" s="630"/>
      <c r="D77" s="631"/>
      <c r="E77" s="630"/>
      <c r="F77" s="631"/>
      <c r="G77" s="631"/>
      <c r="H77" s="630"/>
      <c r="I77" s="2006">
        <f t="shared" ref="I77:N79" si="215">(C77/1000)*(O77/1000)</f>
        <v>0</v>
      </c>
      <c r="J77" s="2006">
        <f t="shared" si="215"/>
        <v>0</v>
      </c>
      <c r="K77" s="2006">
        <f t="shared" si="215"/>
        <v>0</v>
      </c>
      <c r="L77" s="2006">
        <f t="shared" si="215"/>
        <v>0</v>
      </c>
      <c r="M77" s="2006">
        <f t="shared" si="215"/>
        <v>0</v>
      </c>
      <c r="N77" s="2006">
        <f t="shared" si="215"/>
        <v>0</v>
      </c>
      <c r="O77" s="4457"/>
      <c r="P77" s="4457"/>
      <c r="Q77" s="4457"/>
      <c r="R77" s="4457"/>
      <c r="S77" s="4457"/>
      <c r="T77" s="4457"/>
      <c r="U77" s="4488"/>
      <c r="V77" s="4504">
        <f t="shared" si="202"/>
        <v>0</v>
      </c>
      <c r="W77" s="4504">
        <f t="shared" si="191"/>
        <v>0</v>
      </c>
      <c r="X77" s="4504">
        <f t="shared" si="192"/>
        <v>0</v>
      </c>
      <c r="Y77" s="4504">
        <f t="shared" si="193"/>
        <v>0</v>
      </c>
      <c r="Z77" s="4504">
        <f t="shared" si="194"/>
        <v>0</v>
      </c>
      <c r="AA77" s="4504">
        <f t="shared" si="195"/>
        <v>0</v>
      </c>
      <c r="AB77" s="4503">
        <f t="shared" si="196"/>
        <v>0</v>
      </c>
      <c r="AC77" s="4503">
        <f t="shared" si="197"/>
        <v>0</v>
      </c>
      <c r="AD77" s="4503">
        <f t="shared" si="198"/>
        <v>0</v>
      </c>
      <c r="AE77" s="4503">
        <f t="shared" si="199"/>
        <v>0</v>
      </c>
      <c r="AF77" s="4503">
        <f t="shared" si="200"/>
        <v>0</v>
      </c>
      <c r="AG77" s="4503">
        <f t="shared" si="201"/>
        <v>0</v>
      </c>
    </row>
    <row r="78" spans="1:33" s="147" customFormat="1" ht="22.5" customHeight="1">
      <c r="A78" s="3828" t="s">
        <v>567</v>
      </c>
      <c r="B78" s="4458"/>
      <c r="C78" s="630"/>
      <c r="D78" s="631"/>
      <c r="E78" s="630"/>
      <c r="F78" s="631"/>
      <c r="G78" s="631"/>
      <c r="H78" s="630"/>
      <c r="I78" s="2006">
        <f t="shared" si="215"/>
        <v>0</v>
      </c>
      <c r="J78" s="2006">
        <f t="shared" si="215"/>
        <v>0</v>
      </c>
      <c r="K78" s="2006">
        <f t="shared" si="215"/>
        <v>0</v>
      </c>
      <c r="L78" s="2006">
        <f t="shared" si="215"/>
        <v>0</v>
      </c>
      <c r="M78" s="2006">
        <f t="shared" si="215"/>
        <v>0</v>
      </c>
      <c r="N78" s="2006">
        <f t="shared" si="215"/>
        <v>0</v>
      </c>
      <c r="O78" s="4457"/>
      <c r="P78" s="4457"/>
      <c r="Q78" s="4457"/>
      <c r="R78" s="4457"/>
      <c r="S78" s="4457"/>
      <c r="T78" s="4457"/>
      <c r="U78" s="4488"/>
      <c r="V78" s="4504">
        <f t="shared" si="202"/>
        <v>0</v>
      </c>
      <c r="W78" s="4504">
        <f t="shared" si="191"/>
        <v>0</v>
      </c>
      <c r="X78" s="4504">
        <f t="shared" si="192"/>
        <v>0</v>
      </c>
      <c r="Y78" s="4504">
        <f t="shared" si="193"/>
        <v>0</v>
      </c>
      <c r="Z78" s="4504">
        <f t="shared" si="194"/>
        <v>0</v>
      </c>
      <c r="AA78" s="4504">
        <f t="shared" si="195"/>
        <v>0</v>
      </c>
      <c r="AB78" s="4503">
        <f t="shared" si="196"/>
        <v>0</v>
      </c>
      <c r="AC78" s="4503">
        <f t="shared" si="197"/>
        <v>0</v>
      </c>
      <c r="AD78" s="4503">
        <f t="shared" si="198"/>
        <v>0</v>
      </c>
      <c r="AE78" s="4503">
        <f t="shared" si="199"/>
        <v>0</v>
      </c>
      <c r="AF78" s="4503">
        <f t="shared" si="200"/>
        <v>0</v>
      </c>
      <c r="AG78" s="4503">
        <f t="shared" si="201"/>
        <v>0</v>
      </c>
    </row>
    <row r="79" spans="1:33" s="147" customFormat="1" ht="22.5" customHeight="1">
      <c r="A79" s="3828" t="s">
        <v>1078</v>
      </c>
      <c r="B79" s="4458"/>
      <c r="C79" s="630"/>
      <c r="D79" s="631"/>
      <c r="E79" s="630"/>
      <c r="F79" s="631"/>
      <c r="G79" s="631"/>
      <c r="H79" s="630"/>
      <c r="I79" s="2006">
        <f t="shared" si="215"/>
        <v>0</v>
      </c>
      <c r="J79" s="2006">
        <f t="shared" si="215"/>
        <v>0</v>
      </c>
      <c r="K79" s="2006">
        <f t="shared" si="215"/>
        <v>0</v>
      </c>
      <c r="L79" s="2006">
        <f t="shared" si="215"/>
        <v>0</v>
      </c>
      <c r="M79" s="2006">
        <f t="shared" si="215"/>
        <v>0</v>
      </c>
      <c r="N79" s="2006">
        <f t="shared" si="215"/>
        <v>0</v>
      </c>
      <c r="O79" s="4457"/>
      <c r="P79" s="4457"/>
      <c r="Q79" s="4457"/>
      <c r="R79" s="4457"/>
      <c r="S79" s="4457"/>
      <c r="T79" s="4457"/>
      <c r="U79" s="4488"/>
      <c r="V79" s="4504">
        <f t="shared" si="202"/>
        <v>0</v>
      </c>
      <c r="W79" s="4504">
        <f t="shared" si="191"/>
        <v>0</v>
      </c>
      <c r="X79" s="4504">
        <f t="shared" si="192"/>
        <v>0</v>
      </c>
      <c r="Y79" s="4504">
        <f t="shared" si="193"/>
        <v>0</v>
      </c>
      <c r="Z79" s="4504">
        <f t="shared" si="194"/>
        <v>0</v>
      </c>
      <c r="AA79" s="4504">
        <f t="shared" si="195"/>
        <v>0</v>
      </c>
      <c r="AB79" s="4503">
        <f t="shared" si="196"/>
        <v>0</v>
      </c>
      <c r="AC79" s="4503">
        <f t="shared" si="197"/>
        <v>0</v>
      </c>
      <c r="AD79" s="4503">
        <f t="shared" si="198"/>
        <v>0</v>
      </c>
      <c r="AE79" s="4503">
        <f t="shared" si="199"/>
        <v>0</v>
      </c>
      <c r="AF79" s="4503">
        <f t="shared" si="200"/>
        <v>0</v>
      </c>
      <c r="AG79" s="4503">
        <f t="shared" si="201"/>
        <v>0</v>
      </c>
    </row>
    <row r="80" spans="1:33" s="147" customFormat="1" ht="22.5" hidden="1" customHeight="1">
      <c r="A80" s="5219"/>
      <c r="B80" s="5220"/>
      <c r="C80" s="5220"/>
      <c r="D80" s="5220"/>
      <c r="E80" s="5220"/>
      <c r="F80" s="5220"/>
      <c r="G80" s="5220"/>
      <c r="H80" s="5220"/>
      <c r="I80" s="5220"/>
      <c r="J80" s="5220"/>
      <c r="K80" s="5220"/>
      <c r="L80" s="5220"/>
      <c r="M80" s="5220"/>
      <c r="N80" s="5220"/>
      <c r="O80" s="5220"/>
      <c r="P80" s="5220"/>
      <c r="Q80" s="5220"/>
      <c r="R80" s="5220"/>
      <c r="S80" s="5220"/>
      <c r="T80" s="5221"/>
      <c r="U80" s="4488"/>
      <c r="V80" s="4504">
        <f t="shared" si="202"/>
        <v>0</v>
      </c>
      <c r="W80" s="4504">
        <f t="shared" si="191"/>
        <v>0</v>
      </c>
      <c r="X80" s="4504">
        <f t="shared" si="192"/>
        <v>0</v>
      </c>
      <c r="Y80" s="4504">
        <f t="shared" si="193"/>
        <v>0</v>
      </c>
      <c r="Z80" s="4504">
        <f t="shared" si="194"/>
        <v>0</v>
      </c>
      <c r="AA80" s="4504">
        <f t="shared" si="195"/>
        <v>0</v>
      </c>
      <c r="AB80" s="4503">
        <f t="shared" si="196"/>
        <v>0</v>
      </c>
      <c r="AC80" s="4503">
        <f t="shared" si="197"/>
        <v>0</v>
      </c>
      <c r="AD80" s="4503">
        <f t="shared" si="198"/>
        <v>0</v>
      </c>
      <c r="AE80" s="4503">
        <f t="shared" si="199"/>
        <v>0</v>
      </c>
      <c r="AF80" s="4503">
        <f t="shared" si="200"/>
        <v>0</v>
      </c>
      <c r="AG80" s="4503">
        <f t="shared" si="201"/>
        <v>0</v>
      </c>
    </row>
    <row r="81" spans="1:33" s="147" customFormat="1" ht="23.25" customHeight="1">
      <c r="A81" s="3820">
        <v>5</v>
      </c>
      <c r="B81" s="312" t="s">
        <v>1754</v>
      </c>
      <c r="C81" s="632">
        <f t="shared" ref="C81:N81" si="216">C73+C74+C75+C76</f>
        <v>1504867</v>
      </c>
      <c r="D81" s="632">
        <f t="shared" si="216"/>
        <v>1487847.3023333333</v>
      </c>
      <c r="E81" s="632">
        <f t="shared" si="216"/>
        <v>1489739.3023333333</v>
      </c>
      <c r="F81" s="632">
        <f t="shared" si="216"/>
        <v>1491634.3023333333</v>
      </c>
      <c r="G81" s="632">
        <f t="shared" si="216"/>
        <v>1493532.3023333333</v>
      </c>
      <c r="H81" s="632">
        <f t="shared" si="216"/>
        <v>1495436.3023333333</v>
      </c>
      <c r="I81" s="632">
        <f t="shared" si="216"/>
        <v>273.41679996740476</v>
      </c>
      <c r="J81" s="632">
        <f t="shared" si="216"/>
        <v>387.19523685636199</v>
      </c>
      <c r="K81" s="632">
        <f t="shared" si="216"/>
        <v>387.66540248461638</v>
      </c>
      <c r="L81" s="632">
        <f t="shared" si="216"/>
        <v>388.13624904687413</v>
      </c>
      <c r="M81" s="632">
        <f t="shared" si="216"/>
        <v>388.60783804313564</v>
      </c>
      <c r="N81" s="632">
        <f t="shared" si="216"/>
        <v>389.08091190740419</v>
      </c>
      <c r="O81" s="306">
        <f t="shared" ref="O81:T81" si="217">IFERROR((I81*1000)/(C81/1000),0)</f>
        <v>181.68834851678238</v>
      </c>
      <c r="P81" s="306">
        <f t="shared" si="217"/>
        <v>260.23855825066096</v>
      </c>
      <c r="Q81" s="306">
        <f t="shared" si="217"/>
        <v>260.22365247223314</v>
      </c>
      <c r="R81" s="306">
        <f t="shared" si="217"/>
        <v>260.20871767277038</v>
      </c>
      <c r="S81" s="306">
        <f t="shared" si="217"/>
        <v>260.19379523028516</v>
      </c>
      <c r="T81" s="306">
        <f t="shared" si="217"/>
        <v>260.17885970824716</v>
      </c>
      <c r="U81" s="4488"/>
      <c r="V81" s="4504">
        <f t="shared" si="202"/>
        <v>139.79579000598454</v>
      </c>
      <c r="W81" s="4504">
        <f t="shared" si="191"/>
        <v>197.96978104250471</v>
      </c>
      <c r="X81" s="4504">
        <f t="shared" si="192"/>
        <v>198.21017291104872</v>
      </c>
      <c r="Y81" s="4504">
        <f t="shared" si="193"/>
        <v>198.45091293562024</v>
      </c>
      <c r="Z81" s="4504">
        <f t="shared" si="194"/>
        <v>198.69203256067024</v>
      </c>
      <c r="AA81" s="4504">
        <f t="shared" si="195"/>
        <v>198.93391138667687</v>
      </c>
      <c r="AB81" s="4503">
        <f t="shared" si="196"/>
        <v>92.89577750457984</v>
      </c>
      <c r="AC81" s="4503">
        <f t="shared" si="197"/>
        <v>133.05786200777212</v>
      </c>
      <c r="AD81" s="4503">
        <f t="shared" si="198"/>
        <v>133.05024080427907</v>
      </c>
      <c r="AE81" s="4503">
        <f t="shared" si="199"/>
        <v>133.04260476256647</v>
      </c>
      <c r="AF81" s="4503">
        <f t="shared" si="200"/>
        <v>133.03497503887615</v>
      </c>
      <c r="AG81" s="4503">
        <f t="shared" si="201"/>
        <v>133.02733862771672</v>
      </c>
    </row>
    <row r="82" spans="1:33" s="147" customFormat="1" ht="23.25" customHeight="1">
      <c r="A82" s="3821">
        <v>6</v>
      </c>
      <c r="B82" s="98" t="s">
        <v>350</v>
      </c>
      <c r="C82" s="633"/>
      <c r="D82" s="634">
        <f>D81-C81</f>
        <v>-17019.697666666703</v>
      </c>
      <c r="E82" s="634">
        <f t="shared" ref="E82:H82" si="218">E81-D81</f>
        <v>1892</v>
      </c>
      <c r="F82" s="634">
        <f t="shared" si="218"/>
        <v>1895</v>
      </c>
      <c r="G82" s="634">
        <f t="shared" si="218"/>
        <v>1898</v>
      </c>
      <c r="H82" s="634">
        <f t="shared" si="218"/>
        <v>1904</v>
      </c>
      <c r="I82" s="633"/>
      <c r="J82" s="634">
        <f t="shared" ref="J82:N82" si="219">J81-I81</f>
        <v>113.77843688895723</v>
      </c>
      <c r="K82" s="634">
        <f>K81-J81</f>
        <v>0.47016562825439223</v>
      </c>
      <c r="L82" s="634">
        <f t="shared" si="219"/>
        <v>0.47084656225774779</v>
      </c>
      <c r="M82" s="634">
        <f t="shared" si="219"/>
        <v>0.47158899626151651</v>
      </c>
      <c r="N82" s="634">
        <f t="shared" si="219"/>
        <v>0.47307386426854237</v>
      </c>
      <c r="O82" s="307"/>
      <c r="P82" s="613">
        <f t="shared" ref="P82:T82" si="220">P81-O81</f>
        <v>78.550209733878575</v>
      </c>
      <c r="Q82" s="613">
        <f t="shared" si="220"/>
        <v>-1.490577842781704E-2</v>
      </c>
      <c r="R82" s="613">
        <f t="shared" si="220"/>
        <v>-1.4934799462764659E-2</v>
      </c>
      <c r="S82" s="613">
        <f t="shared" si="220"/>
        <v>-1.4922442485215015E-2</v>
      </c>
      <c r="T82" s="613">
        <f t="shared" si="220"/>
        <v>-1.4935522038001636E-2</v>
      </c>
      <c r="U82" s="4488"/>
      <c r="V82" s="4574"/>
      <c r="W82" s="4525">
        <f>W81-V81</f>
        <v>58.173991036520164</v>
      </c>
      <c r="X82" s="4525">
        <f t="shared" ref="X82" si="221">X81-W81</f>
        <v>0.24039186854400896</v>
      </c>
      <c r="Y82" s="4525">
        <f t="shared" ref="Y82" si="222">Y81-X81</f>
        <v>0.24074002457152233</v>
      </c>
      <c r="Z82" s="4525">
        <f t="shared" ref="Z82" si="223">Z81-Y81</f>
        <v>0.24111962505000406</v>
      </c>
      <c r="AA82" s="4525">
        <f t="shared" ref="AA82" si="224">AA81-Z81</f>
        <v>0.24187882600662647</v>
      </c>
      <c r="AB82" s="4574"/>
      <c r="AC82" s="4525">
        <f>AC81-AB81</f>
        <v>40.162084503192276</v>
      </c>
      <c r="AD82" s="4525">
        <f t="shared" ref="AD82" si="225">AD81-AC81</f>
        <v>-7.621203493044959E-3</v>
      </c>
      <c r="AE82" s="4525">
        <f t="shared" ref="AE82" si="226">AE81-AD81</f>
        <v>-7.6360417126011271E-3</v>
      </c>
      <c r="AF82" s="4525">
        <f t="shared" ref="AF82" si="227">AF81-AE81</f>
        <v>-7.6297236903144494E-3</v>
      </c>
      <c r="AG82" s="4525">
        <f t="shared" ref="AG82" si="228">AG81-AF81</f>
        <v>-7.6364111594386941E-3</v>
      </c>
    </row>
    <row r="83" spans="1:33" s="147" customFormat="1" ht="23.25" customHeight="1">
      <c r="A83" s="3940">
        <v>7</v>
      </c>
      <c r="B83" s="311" t="s">
        <v>1743</v>
      </c>
      <c r="C83" s="309">
        <f>IFERROR(C81/'4. Отчет и прогн. потребление'!D93,0)</f>
        <v>8.3470119022269418E-2</v>
      </c>
      <c r="D83" s="309">
        <f>IFERROR(D81/'4. Отчет и прогн. потребление'!E93,0)</f>
        <v>7.621354102903416E-2</v>
      </c>
      <c r="E83" s="309">
        <f>IFERROR(E81/'4. Отчет и прогн. потребление'!F93,0)</f>
        <v>7.6285807339473655E-2</v>
      </c>
      <c r="F83" s="309">
        <f>IFERROR(F81/'4. Отчет и прогн. потребление'!G93,0)</f>
        <v>7.635812191870163E-2</v>
      </c>
      <c r="G83" s="309">
        <f>IFERROR(G81/'4. Отчет и прогн. потребление'!H93,0)</f>
        <v>7.6430496287166791E-2</v>
      </c>
      <c r="H83" s="309">
        <f>IFERROR(H81/'4. Отчет и прогн. потребление'!I93,0)</f>
        <v>7.6503060244228496E-2</v>
      </c>
      <c r="I83" s="3941"/>
      <c r="J83" s="307"/>
      <c r="K83" s="307"/>
      <c r="L83" s="307"/>
      <c r="M83" s="307"/>
      <c r="N83" s="307"/>
      <c r="O83" s="3942"/>
      <c r="P83" s="307"/>
      <c r="Q83" s="307"/>
      <c r="R83" s="307"/>
      <c r="S83" s="307"/>
      <c r="T83" s="307"/>
      <c r="U83" s="4488"/>
      <c r="V83" s="148"/>
      <c r="W83" s="148"/>
      <c r="X83" s="148"/>
      <c r="Y83" s="148"/>
    </row>
    <row r="84" spans="1:33" s="147" customFormat="1" ht="24.75" customHeight="1" thickBot="1">
      <c r="A84" s="3824">
        <v>8</v>
      </c>
      <c r="B84" s="3825" t="s">
        <v>1744</v>
      </c>
      <c r="C84" s="3943">
        <f>IFERROR(C81/'4. Отчет и прогн. потребление'!D100,0)</f>
        <v>8.8962538909032524E-2</v>
      </c>
      <c r="D84" s="3943">
        <f>IFERROR(D81/'4. Отчет и прогн. потребление'!E100,0)</f>
        <v>8.1205126006576617E-2</v>
      </c>
      <c r="E84" s="3943">
        <f>IFERROR(E81/'4. Отчет и прогн. потребление'!F100,0)</f>
        <v>8.13098449577455E-2</v>
      </c>
      <c r="F84" s="3943">
        <f>IFERROR(F81/'4. Отчет и прогн. потребление'!G100,0)</f>
        <v>8.1414735844749522E-2</v>
      </c>
      <c r="G84" s="3943">
        <f>IFERROR(G81/'4. Отчет и прогн. потребление'!H100,0)</f>
        <v>8.1519794244523158E-2</v>
      </c>
      <c r="H84" s="3943">
        <f>IFERROR(H81/'4. Отчет и прогн. потребление'!I100,0)</f>
        <v>8.1625179459322642E-2</v>
      </c>
      <c r="I84" s="424"/>
      <c r="J84" s="424"/>
      <c r="K84" s="424"/>
      <c r="L84" s="424"/>
      <c r="M84" s="424"/>
      <c r="N84" s="424"/>
      <c r="O84" s="424"/>
      <c r="P84" s="424"/>
      <c r="Q84" s="424"/>
      <c r="R84" s="424"/>
      <c r="S84" s="424"/>
      <c r="T84" s="424"/>
      <c r="U84" s="4488"/>
      <c r="V84" s="148"/>
      <c r="W84" s="148"/>
      <c r="X84" s="148"/>
      <c r="Y84" s="148"/>
    </row>
    <row r="85" spans="1:33" s="147" customFormat="1" ht="23.25" customHeight="1" thickBot="1">
      <c r="A85" s="446"/>
      <c r="B85" s="447"/>
      <c r="D85" s="148"/>
      <c r="E85" s="148"/>
      <c r="F85" s="148"/>
      <c r="G85" s="148"/>
      <c r="H85" s="148"/>
      <c r="I85" s="448"/>
      <c r="J85" s="448"/>
      <c r="K85" s="448"/>
      <c r="L85" s="448"/>
      <c r="M85" s="448"/>
      <c r="N85" s="448"/>
      <c r="O85" s="310"/>
      <c r="P85" s="148"/>
      <c r="Q85" s="148"/>
      <c r="R85" s="148"/>
      <c r="S85" s="148"/>
      <c r="T85" s="148"/>
      <c r="U85" s="148"/>
      <c r="V85" s="148"/>
      <c r="W85" s="148"/>
      <c r="X85" s="148"/>
      <c r="Y85" s="148"/>
    </row>
    <row r="86" spans="1:33" ht="23.25" customHeight="1">
      <c r="A86" s="5208" t="s">
        <v>1</v>
      </c>
      <c r="B86" s="5205" t="s">
        <v>1751</v>
      </c>
      <c r="C86" s="5205" t="s">
        <v>1764</v>
      </c>
      <c r="D86" s="5205"/>
      <c r="E86" s="5205"/>
      <c r="F86" s="5205"/>
      <c r="G86" s="5205"/>
      <c r="H86" s="5205"/>
      <c r="I86" s="5205"/>
      <c r="J86" s="5205"/>
      <c r="K86" s="5205"/>
      <c r="L86" s="5205"/>
      <c r="M86" s="5205"/>
      <c r="N86" s="5205"/>
      <c r="O86" s="5205"/>
      <c r="P86" s="5205"/>
      <c r="Q86" s="5205"/>
      <c r="R86" s="5205"/>
      <c r="S86" s="5205"/>
      <c r="T86" s="5205"/>
      <c r="U86" s="4488"/>
      <c r="V86" s="5233" t="str">
        <f>+C86</f>
        <v>Обобщена справка за консумацията и производството на електроенергия</v>
      </c>
      <c r="W86" s="5233"/>
      <c r="X86" s="5233"/>
      <c r="Y86" s="5233"/>
      <c r="Z86" s="5233"/>
      <c r="AA86" s="5233"/>
      <c r="AB86" s="5233"/>
      <c r="AC86" s="5233"/>
      <c r="AD86" s="5233"/>
      <c r="AE86" s="5233"/>
      <c r="AF86" s="5233"/>
      <c r="AG86" s="5233"/>
    </row>
    <row r="87" spans="1:33" ht="24.75" customHeight="1">
      <c r="A87" s="5209"/>
      <c r="B87" s="5206"/>
      <c r="C87" s="5211" t="s">
        <v>348</v>
      </c>
      <c r="D87" s="5211"/>
      <c r="E87" s="5211"/>
      <c r="F87" s="5211"/>
      <c r="G87" s="5211"/>
      <c r="H87" s="5211"/>
      <c r="I87" s="5211" t="s">
        <v>911</v>
      </c>
      <c r="J87" s="5211"/>
      <c r="K87" s="5211"/>
      <c r="L87" s="5211"/>
      <c r="M87" s="5211"/>
      <c r="N87" s="5211"/>
      <c r="O87" s="5212" t="s">
        <v>1763</v>
      </c>
      <c r="P87" s="5213"/>
      <c r="Q87" s="5213"/>
      <c r="R87" s="5213"/>
      <c r="S87" s="5213"/>
      <c r="T87" s="5213"/>
      <c r="U87" s="4488"/>
      <c r="V87" s="5232" t="s">
        <v>1877</v>
      </c>
      <c r="W87" s="5232"/>
      <c r="X87" s="5232"/>
      <c r="Y87" s="5232"/>
      <c r="Z87" s="5232"/>
      <c r="AA87" s="5232"/>
      <c r="AB87" s="5232" t="s">
        <v>1878</v>
      </c>
      <c r="AC87" s="5232"/>
      <c r="AD87" s="5232"/>
      <c r="AE87" s="5232"/>
      <c r="AF87" s="5232"/>
      <c r="AG87" s="5232"/>
    </row>
    <row r="88" spans="1:33" ht="26.25" customHeight="1" thickBot="1">
      <c r="A88" s="5210"/>
      <c r="B88" s="5207"/>
      <c r="C88" s="155" t="str">
        <f t="shared" ref="C88:H88" si="229">C40</f>
        <v>2024 г.</v>
      </c>
      <c r="D88" s="155" t="str">
        <f t="shared" si="229"/>
        <v>2027 г.</v>
      </c>
      <c r="E88" s="155" t="str">
        <f t="shared" si="229"/>
        <v>2028 г.</v>
      </c>
      <c r="F88" s="155" t="str">
        <f t="shared" si="229"/>
        <v>2029 г.</v>
      </c>
      <c r="G88" s="155" t="str">
        <f t="shared" si="229"/>
        <v>2030 г.</v>
      </c>
      <c r="H88" s="155" t="str">
        <f t="shared" si="229"/>
        <v>2031 г.</v>
      </c>
      <c r="I88" s="155" t="str">
        <f t="shared" ref="I88:T88" si="230">C88</f>
        <v>2024 г.</v>
      </c>
      <c r="J88" s="155" t="str">
        <f t="shared" si="230"/>
        <v>2027 г.</v>
      </c>
      <c r="K88" s="155" t="str">
        <f t="shared" si="230"/>
        <v>2028 г.</v>
      </c>
      <c r="L88" s="155" t="str">
        <f t="shared" si="230"/>
        <v>2029 г.</v>
      </c>
      <c r="M88" s="155" t="str">
        <f t="shared" si="230"/>
        <v>2030 г.</v>
      </c>
      <c r="N88" s="155" t="str">
        <f t="shared" si="230"/>
        <v>2031 г.</v>
      </c>
      <c r="O88" s="155" t="str">
        <f t="shared" si="230"/>
        <v>2024 г.</v>
      </c>
      <c r="P88" s="155" t="str">
        <f t="shared" si="230"/>
        <v>2027 г.</v>
      </c>
      <c r="Q88" s="155" t="str">
        <f t="shared" si="230"/>
        <v>2028 г.</v>
      </c>
      <c r="R88" s="155" t="str">
        <f t="shared" si="230"/>
        <v>2029 г.</v>
      </c>
      <c r="S88" s="155" t="str">
        <f t="shared" si="230"/>
        <v>2030 г.</v>
      </c>
      <c r="T88" s="155" t="str">
        <f t="shared" si="230"/>
        <v>2031 г.</v>
      </c>
      <c r="U88" s="4488"/>
      <c r="V88" s="4502" t="str">
        <f>+I88</f>
        <v>2024 г.</v>
      </c>
      <c r="W88" s="4502" t="str">
        <f t="shared" ref="W88" si="231">+J88</f>
        <v>2027 г.</v>
      </c>
      <c r="X88" s="4502" t="str">
        <f t="shared" ref="X88" si="232">+K88</f>
        <v>2028 г.</v>
      </c>
      <c r="Y88" s="4502" t="str">
        <f t="shared" ref="Y88" si="233">+L88</f>
        <v>2029 г.</v>
      </c>
      <c r="Z88" s="4502" t="str">
        <f t="shared" ref="Z88" si="234">+M88</f>
        <v>2030 г.</v>
      </c>
      <c r="AA88" s="4502" t="str">
        <f t="shared" ref="AA88" si="235">+N88</f>
        <v>2031 г.</v>
      </c>
      <c r="AB88" s="4502" t="str">
        <f t="shared" ref="AB88" si="236">+O88</f>
        <v>2024 г.</v>
      </c>
      <c r="AC88" s="4502" t="str">
        <f t="shared" ref="AC88" si="237">+P88</f>
        <v>2027 г.</v>
      </c>
      <c r="AD88" s="4502" t="str">
        <f t="shared" ref="AD88" si="238">+Q88</f>
        <v>2028 г.</v>
      </c>
      <c r="AE88" s="4502" t="str">
        <f t="shared" ref="AE88" si="239">+R88</f>
        <v>2029 г.</v>
      </c>
      <c r="AF88" s="4502" t="str">
        <f t="shared" ref="AF88" si="240">+S88</f>
        <v>2030 г.</v>
      </c>
      <c r="AG88" s="4502" t="str">
        <f t="shared" ref="AG88" si="241">+T88</f>
        <v>2031 г.</v>
      </c>
    </row>
    <row r="89" spans="1:33" ht="24" customHeight="1">
      <c r="A89" s="3834">
        <v>1</v>
      </c>
      <c r="B89" s="3835" t="s">
        <v>1750</v>
      </c>
      <c r="C89" s="3836">
        <f t="shared" ref="C89:N89" si="242">C10+C26+C41+C57+C73</f>
        <v>5977929</v>
      </c>
      <c r="D89" s="3836">
        <f t="shared" si="242"/>
        <v>6036610.3023333335</v>
      </c>
      <c r="E89" s="3836">
        <f t="shared" si="242"/>
        <v>5917342.3023333335</v>
      </c>
      <c r="F89" s="3836">
        <f t="shared" si="242"/>
        <v>5759080.3023333335</v>
      </c>
      <c r="G89" s="3836">
        <f t="shared" si="242"/>
        <v>5527822.3023333335</v>
      </c>
      <c r="H89" s="3836">
        <f t="shared" si="242"/>
        <v>5216573.3023333335</v>
      </c>
      <c r="I89" s="3836">
        <f t="shared" si="242"/>
        <v>1416.7430876902461</v>
      </c>
      <c r="J89" s="3836">
        <f t="shared" si="242"/>
        <v>1734.9211306061923</v>
      </c>
      <c r="K89" s="3836">
        <f t="shared" si="242"/>
        <v>1701.7374333600853</v>
      </c>
      <c r="L89" s="3836">
        <f t="shared" si="242"/>
        <v>1657.7045134355167</v>
      </c>
      <c r="M89" s="3836">
        <f t="shared" si="242"/>
        <v>1593.3620623359736</v>
      </c>
      <c r="N89" s="3836">
        <f t="shared" si="242"/>
        <v>1506.763875193122</v>
      </c>
      <c r="O89" s="3837">
        <f>IFERROR((I89*1000)/(C89/1000),0)</f>
        <v>236.99563639686019</v>
      </c>
      <c r="P89" s="3837">
        <f t="shared" ref="O89:T93" si="243">IFERROR((J89*1000)/(D89/1000),0)</f>
        <v>287.39988896344568</v>
      </c>
      <c r="Q89" s="3837">
        <f t="shared" si="243"/>
        <v>287.58475450863375</v>
      </c>
      <c r="R89" s="3837">
        <f t="shared" si="243"/>
        <v>287.84188210813551</v>
      </c>
      <c r="S89" s="3837">
        <f t="shared" si="243"/>
        <v>288.24408151893812</v>
      </c>
      <c r="T89" s="3838">
        <f t="shared" si="243"/>
        <v>288.8416950873015</v>
      </c>
      <c r="U89" s="4488"/>
      <c r="V89" s="4504">
        <f>IFERROR(I89/$C$1,0)</f>
        <v>724.36923847688502</v>
      </c>
      <c r="W89" s="4504">
        <f t="shared" ref="W89:W96" si="244">IFERROR(J89/$C$1,0)</f>
        <v>887.05108859471034</v>
      </c>
      <c r="X89" s="4504">
        <f t="shared" ref="X89:X96" si="245">IFERROR(K89/$C$1,0)</f>
        <v>870.08453360470253</v>
      </c>
      <c r="Y89" s="4504">
        <f t="shared" ref="Y89:Y96" si="246">IFERROR(L89/$C$1,0)</f>
        <v>847.57085914190736</v>
      </c>
      <c r="Z89" s="4504">
        <f t="shared" ref="Z89:Z96" si="247">IFERROR(M89/$C$1,0)</f>
        <v>814.67308627844636</v>
      </c>
      <c r="AA89" s="4504">
        <f t="shared" ref="AA89:AA96" si="248">IFERROR(N89/$C$1,0)</f>
        <v>770.39613626599555</v>
      </c>
      <c r="AB89" s="4503">
        <f t="shared" ref="AB89:AB96" si="249">IFERROR(O89/$C$1,0)</f>
        <v>121.17394476864564</v>
      </c>
      <c r="AC89" s="4503">
        <f t="shared" ref="AC89:AC96" si="250">IFERROR(P89/$C$1,0)</f>
        <v>146.94522988370446</v>
      </c>
      <c r="AD89" s="4503">
        <f t="shared" ref="AD89:AD96" si="251">IFERROR(Q89/$C$1,0)</f>
        <v>147.03975013607203</v>
      </c>
      <c r="AE89" s="4503">
        <f t="shared" ref="AE89:AE96" si="252">IFERROR(R89/$C$1,0)</f>
        <v>147.17121739012876</v>
      </c>
      <c r="AF89" s="4503">
        <f t="shared" ref="AF89:AF96" si="253">IFERROR(S89/$C$1,0)</f>
        <v>147.37685868349402</v>
      </c>
      <c r="AG89" s="4503">
        <f t="shared" ref="AG89:AG96" si="254">IFERROR(T89/$C$1,0)</f>
        <v>147.68241364909093</v>
      </c>
    </row>
    <row r="90" spans="1:33" ht="24">
      <c r="A90" s="3348">
        <v>2</v>
      </c>
      <c r="B90" s="98" t="s">
        <v>1752</v>
      </c>
      <c r="C90" s="635">
        <f t="shared" ref="C90:N90" si="255">C11+C27+C42+C58+C74</f>
        <v>4995452</v>
      </c>
      <c r="D90" s="635">
        <f t="shared" si="255"/>
        <v>4850187.6519999998</v>
      </c>
      <c r="E90" s="635">
        <f t="shared" si="255"/>
        <v>4834709.92</v>
      </c>
      <c r="F90" s="635">
        <f t="shared" si="255"/>
        <v>4819376.8479999993</v>
      </c>
      <c r="G90" s="635">
        <f t="shared" si="255"/>
        <v>4804187.892</v>
      </c>
      <c r="H90" s="635">
        <f t="shared" si="255"/>
        <v>4794973.59</v>
      </c>
      <c r="I90" s="635">
        <f t="shared" si="255"/>
        <v>933.05848274631705</v>
      </c>
      <c r="J90" s="635">
        <f t="shared" si="255"/>
        <v>1233.6487355206327</v>
      </c>
      <c r="K90" s="635">
        <f t="shared" si="255"/>
        <v>1229.8183373422951</v>
      </c>
      <c r="L90" s="635">
        <f t="shared" si="255"/>
        <v>1226.0237393316097</v>
      </c>
      <c r="M90" s="635">
        <f t="shared" si="255"/>
        <v>1222.2648068605442</v>
      </c>
      <c r="N90" s="635">
        <f t="shared" si="255"/>
        <v>1219.9844698192092</v>
      </c>
      <c r="O90" s="305">
        <f t="shared" si="243"/>
        <v>186.78159308633474</v>
      </c>
      <c r="P90" s="305">
        <f t="shared" si="243"/>
        <v>254.35072290696451</v>
      </c>
      <c r="Q90" s="305">
        <f t="shared" si="243"/>
        <v>254.37272508425801</v>
      </c>
      <c r="R90" s="305">
        <f t="shared" si="243"/>
        <v>254.39466096958145</v>
      </c>
      <c r="S90" s="305">
        <f t="shared" si="243"/>
        <v>254.41652873233301</v>
      </c>
      <c r="T90" s="305">
        <f t="shared" si="243"/>
        <v>254.42986221311162</v>
      </c>
      <c r="U90" s="4488"/>
      <c r="V90" s="4504">
        <f t="shared" ref="V90:V96" si="256">IFERROR(I90/$C$1,0)</f>
        <v>477.06522690945383</v>
      </c>
      <c r="W90" s="4504">
        <f t="shared" si="244"/>
        <v>630.75458271968057</v>
      </c>
      <c r="X90" s="4504">
        <f t="shared" si="245"/>
        <v>628.79613122934768</v>
      </c>
      <c r="Y90" s="4504">
        <f t="shared" si="246"/>
        <v>626.85598407408099</v>
      </c>
      <c r="Z90" s="4504">
        <f t="shared" si="247"/>
        <v>624.93407241966031</v>
      </c>
      <c r="AA90" s="4504">
        <f t="shared" si="248"/>
        <v>623.76815460403475</v>
      </c>
      <c r="AB90" s="4503">
        <f t="shared" si="249"/>
        <v>95.499912101938691</v>
      </c>
      <c r="AC90" s="4503">
        <f t="shared" si="250"/>
        <v>130.04745959872</v>
      </c>
      <c r="AD90" s="4503">
        <f t="shared" si="251"/>
        <v>130.05870913333879</v>
      </c>
      <c r="AE90" s="4503">
        <f t="shared" si="252"/>
        <v>130.06992477341151</v>
      </c>
      <c r="AF90" s="4503">
        <f t="shared" si="253"/>
        <v>130.08110558296633</v>
      </c>
      <c r="AG90" s="4503">
        <f t="shared" si="254"/>
        <v>130.08792288343651</v>
      </c>
    </row>
    <row r="91" spans="1:33" ht="24">
      <c r="A91" s="3348">
        <v>3</v>
      </c>
      <c r="B91" s="98" t="s">
        <v>1753</v>
      </c>
      <c r="C91" s="635">
        <f t="shared" ref="C91:N91" si="257">C12+C28+C43+C59+C75</f>
        <v>0</v>
      </c>
      <c r="D91" s="635">
        <f t="shared" si="257"/>
        <v>0</v>
      </c>
      <c r="E91" s="635">
        <f t="shared" si="257"/>
        <v>0</v>
      </c>
      <c r="F91" s="635">
        <f t="shared" si="257"/>
        <v>0</v>
      </c>
      <c r="G91" s="635">
        <f t="shared" si="257"/>
        <v>0</v>
      </c>
      <c r="H91" s="635">
        <f t="shared" si="257"/>
        <v>0</v>
      </c>
      <c r="I91" s="635">
        <f t="shared" si="257"/>
        <v>0</v>
      </c>
      <c r="J91" s="635">
        <f t="shared" si="257"/>
        <v>0</v>
      </c>
      <c r="K91" s="635">
        <f t="shared" si="257"/>
        <v>0</v>
      </c>
      <c r="L91" s="635">
        <f t="shared" si="257"/>
        <v>0</v>
      </c>
      <c r="M91" s="635">
        <f t="shared" si="257"/>
        <v>0</v>
      </c>
      <c r="N91" s="635">
        <f t="shared" si="257"/>
        <v>0</v>
      </c>
      <c r="O91" s="305">
        <f t="shared" si="243"/>
        <v>0</v>
      </c>
      <c r="P91" s="305">
        <f t="shared" si="243"/>
        <v>0</v>
      </c>
      <c r="Q91" s="305">
        <f t="shared" si="243"/>
        <v>0</v>
      </c>
      <c r="R91" s="305">
        <f t="shared" si="243"/>
        <v>0</v>
      </c>
      <c r="S91" s="305">
        <f t="shared" si="243"/>
        <v>0</v>
      </c>
      <c r="T91" s="305">
        <f t="shared" si="243"/>
        <v>0</v>
      </c>
      <c r="U91" s="4488"/>
      <c r="V91" s="4504">
        <f t="shared" si="256"/>
        <v>0</v>
      </c>
      <c r="W91" s="4504">
        <f t="shared" si="244"/>
        <v>0</v>
      </c>
      <c r="X91" s="4504">
        <f t="shared" si="245"/>
        <v>0</v>
      </c>
      <c r="Y91" s="4504">
        <f t="shared" si="246"/>
        <v>0</v>
      </c>
      <c r="Z91" s="4504">
        <f t="shared" si="247"/>
        <v>0</v>
      </c>
      <c r="AA91" s="4504">
        <f t="shared" si="248"/>
        <v>0</v>
      </c>
      <c r="AB91" s="4503">
        <f t="shared" si="249"/>
        <v>0</v>
      </c>
      <c r="AC91" s="4503">
        <f t="shared" si="250"/>
        <v>0</v>
      </c>
      <c r="AD91" s="4503">
        <f t="shared" si="251"/>
        <v>0</v>
      </c>
      <c r="AE91" s="4503">
        <f t="shared" si="252"/>
        <v>0</v>
      </c>
      <c r="AF91" s="4503">
        <f t="shared" si="253"/>
        <v>0</v>
      </c>
      <c r="AG91" s="4503">
        <f t="shared" si="254"/>
        <v>0</v>
      </c>
    </row>
    <row r="92" spans="1:33" ht="24" customHeight="1">
      <c r="A92" s="3828">
        <v>4</v>
      </c>
      <c r="B92" s="651" t="s">
        <v>1755</v>
      </c>
      <c r="C92" s="635">
        <f t="shared" ref="C92:N92" si="258">C13+C29+C44+C60+C76</f>
        <v>0</v>
      </c>
      <c r="D92" s="635">
        <f t="shared" si="258"/>
        <v>0</v>
      </c>
      <c r="E92" s="635">
        <f t="shared" si="258"/>
        <v>0</v>
      </c>
      <c r="F92" s="635">
        <f t="shared" si="258"/>
        <v>0</v>
      </c>
      <c r="G92" s="635">
        <f t="shared" si="258"/>
        <v>0</v>
      </c>
      <c r="H92" s="635">
        <f t="shared" si="258"/>
        <v>0</v>
      </c>
      <c r="I92" s="635">
        <f t="shared" si="258"/>
        <v>0</v>
      </c>
      <c r="J92" s="635">
        <f t="shared" si="258"/>
        <v>0</v>
      </c>
      <c r="K92" s="635">
        <f t="shared" si="258"/>
        <v>0</v>
      </c>
      <c r="L92" s="635">
        <f t="shared" si="258"/>
        <v>0</v>
      </c>
      <c r="M92" s="635">
        <f t="shared" si="258"/>
        <v>0</v>
      </c>
      <c r="N92" s="635">
        <f t="shared" si="258"/>
        <v>0</v>
      </c>
      <c r="O92" s="305">
        <f t="shared" si="243"/>
        <v>0</v>
      </c>
      <c r="P92" s="305">
        <f t="shared" si="243"/>
        <v>0</v>
      </c>
      <c r="Q92" s="305">
        <f t="shared" si="243"/>
        <v>0</v>
      </c>
      <c r="R92" s="305">
        <f t="shared" si="243"/>
        <v>0</v>
      </c>
      <c r="S92" s="305">
        <f t="shared" si="243"/>
        <v>0</v>
      </c>
      <c r="T92" s="305">
        <f t="shared" si="243"/>
        <v>0</v>
      </c>
      <c r="U92" s="4488"/>
      <c r="V92" s="4504">
        <f t="shared" si="256"/>
        <v>0</v>
      </c>
      <c r="W92" s="4504">
        <f t="shared" si="244"/>
        <v>0</v>
      </c>
      <c r="X92" s="4504">
        <f t="shared" si="245"/>
        <v>0</v>
      </c>
      <c r="Y92" s="4504">
        <f t="shared" si="246"/>
        <v>0</v>
      </c>
      <c r="Z92" s="4504">
        <f t="shared" si="247"/>
        <v>0</v>
      </c>
      <c r="AA92" s="4504">
        <f t="shared" si="248"/>
        <v>0</v>
      </c>
      <c r="AB92" s="4503">
        <f t="shared" si="249"/>
        <v>0</v>
      </c>
      <c r="AC92" s="4503">
        <f t="shared" si="250"/>
        <v>0</v>
      </c>
      <c r="AD92" s="4503">
        <f t="shared" si="251"/>
        <v>0</v>
      </c>
      <c r="AE92" s="4503">
        <f t="shared" si="252"/>
        <v>0</v>
      </c>
      <c r="AF92" s="4503">
        <f t="shared" si="253"/>
        <v>0</v>
      </c>
      <c r="AG92" s="4503">
        <f t="shared" si="254"/>
        <v>0</v>
      </c>
    </row>
    <row r="93" spans="1:33" ht="22.8">
      <c r="A93" s="3820">
        <v>5</v>
      </c>
      <c r="B93" s="312" t="s">
        <v>1756</v>
      </c>
      <c r="C93" s="632">
        <f>C89+C90+C91+C92</f>
        <v>10973381</v>
      </c>
      <c r="D93" s="632">
        <f t="shared" ref="D93:H93" si="259">D89+D90+D91+D92</f>
        <v>10886797.954333333</v>
      </c>
      <c r="E93" s="632">
        <f t="shared" si="259"/>
        <v>10752052.222333334</v>
      </c>
      <c r="F93" s="632">
        <f t="shared" si="259"/>
        <v>10578457.150333334</v>
      </c>
      <c r="G93" s="632">
        <f t="shared" si="259"/>
        <v>10332010.194333334</v>
      </c>
      <c r="H93" s="632">
        <f t="shared" si="259"/>
        <v>10011546.892333332</v>
      </c>
      <c r="I93" s="632">
        <f t="shared" ref="I93" si="260">I89+I90+I91+I92</f>
        <v>2349.801570436563</v>
      </c>
      <c r="J93" s="632">
        <f t="shared" ref="J93" si="261">J89+J90+J91+J92</f>
        <v>2968.5698661268252</v>
      </c>
      <c r="K93" s="632">
        <f t="shared" ref="K93" si="262">K89+K90+K91+K92</f>
        <v>2931.5557707023804</v>
      </c>
      <c r="L93" s="632">
        <f t="shared" ref="L93" si="263">L89+L90+L91+L92</f>
        <v>2883.7282527671264</v>
      </c>
      <c r="M93" s="632">
        <f t="shared" ref="M93" si="264">M89+M90+M91+M92</f>
        <v>2815.6268691965179</v>
      </c>
      <c r="N93" s="632">
        <f t="shared" ref="N93" si="265">N89+N90+N91+N92</f>
        <v>2726.7483450123309</v>
      </c>
      <c r="O93" s="410">
        <f t="shared" si="243"/>
        <v>214.13651548566145</v>
      </c>
      <c r="P93" s="410">
        <f t="shared" si="243"/>
        <v>272.676123739876</v>
      </c>
      <c r="Q93" s="410">
        <f t="shared" si="243"/>
        <v>272.6508121503706</v>
      </c>
      <c r="R93" s="410">
        <f t="shared" si="243"/>
        <v>272.60386007011039</v>
      </c>
      <c r="S93" s="410">
        <f t="shared" si="243"/>
        <v>272.51491396521936</v>
      </c>
      <c r="T93" s="410">
        <f t="shared" si="243"/>
        <v>272.36034294564683</v>
      </c>
      <c r="U93" s="4488"/>
      <c r="V93" s="4504">
        <f t="shared" si="256"/>
        <v>1201.4344653863388</v>
      </c>
      <c r="W93" s="4504">
        <f t="shared" si="244"/>
        <v>1517.805671314391</v>
      </c>
      <c r="X93" s="4504">
        <f t="shared" si="245"/>
        <v>1498.8806648340503</v>
      </c>
      <c r="Y93" s="4504">
        <f t="shared" si="246"/>
        <v>1474.4268432159884</v>
      </c>
      <c r="Z93" s="4504">
        <f t="shared" si="247"/>
        <v>1439.6071586981066</v>
      </c>
      <c r="AA93" s="4504">
        <f t="shared" si="248"/>
        <v>1394.1642908700301</v>
      </c>
      <c r="AB93" s="4503">
        <f t="shared" si="249"/>
        <v>109.48626183546702</v>
      </c>
      <c r="AC93" s="4503">
        <f t="shared" si="250"/>
        <v>139.41708826425406</v>
      </c>
      <c r="AD93" s="4503">
        <f t="shared" si="251"/>
        <v>139.40414665403978</v>
      </c>
      <c r="AE93" s="4503">
        <f t="shared" si="252"/>
        <v>139.38014043659746</v>
      </c>
      <c r="AF93" s="4503">
        <f t="shared" si="253"/>
        <v>139.33466301530265</v>
      </c>
      <c r="AG93" s="4503">
        <f t="shared" si="254"/>
        <v>139.255632107927</v>
      </c>
    </row>
    <row r="94" spans="1:33" ht="29.25" customHeight="1">
      <c r="A94" s="3348">
        <v>6</v>
      </c>
      <c r="B94" s="98" t="s">
        <v>1757</v>
      </c>
      <c r="C94" s="724">
        <v>219814.52354358922</v>
      </c>
      <c r="D94" s="724">
        <v>231183.45718119643</v>
      </c>
      <c r="E94" s="724">
        <v>231183.45718119643</v>
      </c>
      <c r="F94" s="724">
        <v>231183.45718119643</v>
      </c>
      <c r="G94" s="724">
        <v>231183.45718119643</v>
      </c>
      <c r="H94" s="724">
        <v>231183.45718119643</v>
      </c>
      <c r="I94" s="2008">
        <f>(C94/1000)*(O94/1000)</f>
        <v>54.474688383114078</v>
      </c>
      <c r="J94" s="2006">
        <f t="shared" ref="J94:N95" si="266">(D94/1000)*(P94/1000)</f>
        <v>67.999203000063957</v>
      </c>
      <c r="K94" s="2006">
        <f t="shared" si="266"/>
        <v>67.999203000063957</v>
      </c>
      <c r="L94" s="2006">
        <f t="shared" si="266"/>
        <v>67.999203000063957</v>
      </c>
      <c r="M94" s="2006">
        <f t="shared" si="266"/>
        <v>67.999203000063957</v>
      </c>
      <c r="N94" s="2006">
        <f t="shared" si="266"/>
        <v>67.999203000063957</v>
      </c>
      <c r="O94" s="4456">
        <v>247.8211516916067</v>
      </c>
      <c r="P94" s="4457">
        <v>294.13524578779749</v>
      </c>
      <c r="Q94" s="4457">
        <v>294.13524578779749</v>
      </c>
      <c r="R94" s="4457">
        <v>294.13524578779749</v>
      </c>
      <c r="S94" s="4457">
        <v>294.13524578779749</v>
      </c>
      <c r="T94" s="4457">
        <v>294.13524578779749</v>
      </c>
      <c r="U94" s="4488"/>
      <c r="V94" s="4504">
        <f t="shared" si="256"/>
        <v>27.852465900980185</v>
      </c>
      <c r="W94" s="4504">
        <f t="shared" si="244"/>
        <v>34.767440421746244</v>
      </c>
      <c r="X94" s="4504">
        <f t="shared" si="245"/>
        <v>34.767440421746244</v>
      </c>
      <c r="Y94" s="4504">
        <f t="shared" si="246"/>
        <v>34.767440421746244</v>
      </c>
      <c r="Z94" s="4504">
        <f t="shared" si="247"/>
        <v>34.767440421746244</v>
      </c>
      <c r="AA94" s="4504">
        <f t="shared" si="248"/>
        <v>34.767440421746244</v>
      </c>
      <c r="AB94" s="4503">
        <f t="shared" si="249"/>
        <v>126.70894284861501</v>
      </c>
      <c r="AC94" s="4503">
        <f t="shared" si="250"/>
        <v>150.38896314495508</v>
      </c>
      <c r="AD94" s="4503">
        <f t="shared" si="251"/>
        <v>150.38896314495508</v>
      </c>
      <c r="AE94" s="4503">
        <f t="shared" si="252"/>
        <v>150.38896314495508</v>
      </c>
      <c r="AF94" s="4503">
        <f t="shared" si="253"/>
        <v>150.38896314495508</v>
      </c>
      <c r="AG94" s="4503">
        <f t="shared" si="254"/>
        <v>150.38896314495508</v>
      </c>
    </row>
    <row r="95" spans="1:33" ht="29.25" customHeight="1">
      <c r="A95" s="3348">
        <v>7</v>
      </c>
      <c r="B95" s="98" t="s">
        <v>1758</v>
      </c>
      <c r="C95" s="630">
        <v>93.476456410391862</v>
      </c>
      <c r="D95" s="630">
        <v>17000</v>
      </c>
      <c r="E95" s="630">
        <v>17000</v>
      </c>
      <c r="F95" s="630">
        <v>17000</v>
      </c>
      <c r="G95" s="630">
        <v>17000</v>
      </c>
      <c r="H95" s="630">
        <v>17000</v>
      </c>
      <c r="I95" s="2008">
        <f>(C95/1000)*(O95/1000)</f>
        <v>0.61509005032253827</v>
      </c>
      <c r="J95" s="2006">
        <f t="shared" si="266"/>
        <v>5.3920350202554239</v>
      </c>
      <c r="K95" s="2006">
        <f t="shared" si="266"/>
        <v>5.3920350202554239</v>
      </c>
      <c r="L95" s="2006">
        <f t="shared" si="266"/>
        <v>5.3920350202554239</v>
      </c>
      <c r="M95" s="2006">
        <f t="shared" si="266"/>
        <v>5.3920350202554239</v>
      </c>
      <c r="N95" s="2006">
        <f t="shared" si="266"/>
        <v>5.3920350202554239</v>
      </c>
      <c r="O95" s="4456">
        <v>6580.1601167046183</v>
      </c>
      <c r="P95" s="4457">
        <v>317.17853060326024</v>
      </c>
      <c r="Q95" s="4457">
        <v>317.17853060326024</v>
      </c>
      <c r="R95" s="4457">
        <v>317.17853060326024</v>
      </c>
      <c r="S95" s="4457">
        <v>317.17853060326024</v>
      </c>
      <c r="T95" s="4457">
        <v>317.17853060326024</v>
      </c>
      <c r="U95" s="4488"/>
      <c r="V95" s="4504">
        <f t="shared" si="256"/>
        <v>0.3144905489344873</v>
      </c>
      <c r="W95" s="4504">
        <f t="shared" si="244"/>
        <v>2.756903728982286</v>
      </c>
      <c r="X95" s="4504">
        <f t="shared" si="245"/>
        <v>2.756903728982286</v>
      </c>
      <c r="Y95" s="4504">
        <f t="shared" si="246"/>
        <v>2.756903728982286</v>
      </c>
      <c r="Z95" s="4504">
        <f t="shared" si="247"/>
        <v>2.756903728982286</v>
      </c>
      <c r="AA95" s="4504">
        <f t="shared" si="248"/>
        <v>2.756903728982286</v>
      </c>
      <c r="AB95" s="4503">
        <f t="shared" si="249"/>
        <v>3364.3824446422327</v>
      </c>
      <c r="AC95" s="4503">
        <f t="shared" si="250"/>
        <v>162.17080758719328</v>
      </c>
      <c r="AD95" s="4503">
        <f t="shared" si="251"/>
        <v>162.17080758719328</v>
      </c>
      <c r="AE95" s="4503">
        <f t="shared" si="252"/>
        <v>162.17080758719328</v>
      </c>
      <c r="AF95" s="4503">
        <f t="shared" si="253"/>
        <v>162.17080758719328</v>
      </c>
      <c r="AG95" s="4503">
        <f t="shared" si="254"/>
        <v>162.17080758719328</v>
      </c>
    </row>
    <row r="96" spans="1:33" ht="24" customHeight="1" thickBot="1">
      <c r="A96" s="3829">
        <v>8</v>
      </c>
      <c r="B96" s="3830" t="s">
        <v>1754</v>
      </c>
      <c r="C96" s="3831">
        <f>C89+C90+C91+C92+C94+C95</f>
        <v>11193289</v>
      </c>
      <c r="D96" s="3831">
        <f t="shared" ref="D96:H96" si="267">D89+D90+D91+D92+D94+D95</f>
        <v>11134981.41151453</v>
      </c>
      <c r="E96" s="3831">
        <f t="shared" si="267"/>
        <v>11000235.679514531</v>
      </c>
      <c r="F96" s="3831">
        <f t="shared" si="267"/>
        <v>10826640.60751453</v>
      </c>
      <c r="G96" s="3831">
        <f t="shared" si="267"/>
        <v>10580193.65151453</v>
      </c>
      <c r="H96" s="3831">
        <f t="shared" si="267"/>
        <v>10259730.349514529</v>
      </c>
      <c r="I96" s="3831">
        <f>I89+I90+I91+I92+I94+I95</f>
        <v>2404.8913488699995</v>
      </c>
      <c r="J96" s="3831">
        <f>J89+J90+J91+J92+J94+J95</f>
        <v>3041.9611041471444</v>
      </c>
      <c r="K96" s="3831">
        <f>K89+K90+K91+K92+K94+K95</f>
        <v>3004.9470087226996</v>
      </c>
      <c r="L96" s="3831">
        <f>L89+L90+L91+L92+L94+L95</f>
        <v>2957.1194907874456</v>
      </c>
      <c r="M96" s="3831">
        <f>M89+M90+M91+M92+M94+M95</f>
        <v>2889.0181072168371</v>
      </c>
      <c r="N96" s="3831">
        <f t="shared" ref="N96" si="268">N89+N90+N91+N92+N94+N95</f>
        <v>2800.1395830326501</v>
      </c>
      <c r="O96" s="3832">
        <f t="shared" ref="O96:T96" si="269">IFERROR((I96*1000)/(C96/1000),0)</f>
        <v>214.85117992307707</v>
      </c>
      <c r="P96" s="3832">
        <f t="shared" si="269"/>
        <v>273.18959877216275</v>
      </c>
      <c r="Q96" s="3832">
        <f t="shared" si="269"/>
        <v>273.17114798901434</v>
      </c>
      <c r="R96" s="3832">
        <f t="shared" si="269"/>
        <v>273.1336153095333</v>
      </c>
      <c r="S96" s="3832">
        <f t="shared" si="269"/>
        <v>273.05909536006277</v>
      </c>
      <c r="T96" s="3832">
        <f t="shared" si="269"/>
        <v>272.9252609611857</v>
      </c>
      <c r="U96" s="4488"/>
      <c r="V96" s="4504">
        <f t="shared" si="256"/>
        <v>1229.6014218362534</v>
      </c>
      <c r="W96" s="4504">
        <f t="shared" si="244"/>
        <v>1555.3300154651195</v>
      </c>
      <c r="X96" s="4504">
        <f t="shared" si="245"/>
        <v>1536.4050089847788</v>
      </c>
      <c r="Y96" s="4504">
        <f t="shared" si="246"/>
        <v>1511.9511873667168</v>
      </c>
      <c r="Z96" s="4504">
        <f t="shared" si="247"/>
        <v>1477.131502848835</v>
      </c>
      <c r="AA96" s="4504">
        <f t="shared" si="248"/>
        <v>1431.6886350207585</v>
      </c>
      <c r="AB96" s="4503">
        <f t="shared" si="249"/>
        <v>109.85166396009728</v>
      </c>
      <c r="AC96" s="4503">
        <f t="shared" si="250"/>
        <v>139.67962387945923</v>
      </c>
      <c r="AD96" s="4503">
        <f t="shared" si="251"/>
        <v>139.67019014383374</v>
      </c>
      <c r="AE96" s="4503">
        <f t="shared" si="252"/>
        <v>139.65099998953553</v>
      </c>
      <c r="AF96" s="4503">
        <f t="shared" si="253"/>
        <v>139.61289854438411</v>
      </c>
      <c r="AG96" s="4503">
        <f t="shared" si="254"/>
        <v>139.54447010281348</v>
      </c>
    </row>
    <row r="97" spans="1:27" ht="13.8" thickBot="1">
      <c r="V97" s="146"/>
      <c r="W97" s="146"/>
      <c r="X97" s="146"/>
      <c r="Y97" s="146"/>
    </row>
    <row r="98" spans="1:27" ht="21" customHeight="1">
      <c r="A98" s="5208" t="s">
        <v>1</v>
      </c>
      <c r="B98" s="5205" t="s">
        <v>1751</v>
      </c>
      <c r="C98" s="5205" t="s">
        <v>1759</v>
      </c>
      <c r="D98" s="5205"/>
      <c r="E98" s="5205"/>
      <c r="F98" s="5205"/>
      <c r="G98" s="5205"/>
      <c r="H98" s="5205"/>
      <c r="I98" s="5205"/>
      <c r="J98" s="5205"/>
      <c r="K98" s="5205"/>
      <c r="L98" s="5205"/>
      <c r="M98" s="5205"/>
      <c r="N98" s="5215"/>
      <c r="U98" s="4488"/>
      <c r="V98" s="5237" t="str">
        <f>+C98</f>
        <v>Обобщена справка за произведена и оползотворена/продадена електроенергия</v>
      </c>
      <c r="W98" s="5238"/>
      <c r="X98" s="5238"/>
      <c r="Y98" s="5238"/>
      <c r="Z98" s="5238"/>
      <c r="AA98" s="5239"/>
    </row>
    <row r="99" spans="1:27" ht="21" customHeight="1">
      <c r="A99" s="5209"/>
      <c r="B99" s="5206"/>
      <c r="C99" s="5211" t="s">
        <v>348</v>
      </c>
      <c r="D99" s="5211"/>
      <c r="E99" s="5211"/>
      <c r="F99" s="5211"/>
      <c r="G99" s="5211"/>
      <c r="H99" s="5211"/>
      <c r="I99" s="5211" t="s">
        <v>912</v>
      </c>
      <c r="J99" s="5211"/>
      <c r="K99" s="5211"/>
      <c r="L99" s="5211"/>
      <c r="M99" s="5211"/>
      <c r="N99" s="5214"/>
      <c r="U99" s="4488"/>
      <c r="V99" s="5232" t="s">
        <v>1879</v>
      </c>
      <c r="W99" s="5232"/>
      <c r="X99" s="5232"/>
      <c r="Y99" s="5232"/>
      <c r="Z99" s="5232"/>
      <c r="AA99" s="5232"/>
    </row>
    <row r="100" spans="1:27" ht="21.75" customHeight="1" thickBot="1">
      <c r="A100" s="5210"/>
      <c r="B100" s="5207"/>
      <c r="C100" s="155" t="str">
        <f t="shared" ref="C100:H100" si="270">C88</f>
        <v>2024 г.</v>
      </c>
      <c r="D100" s="155" t="str">
        <f t="shared" si="270"/>
        <v>2027 г.</v>
      </c>
      <c r="E100" s="155" t="str">
        <f t="shared" si="270"/>
        <v>2028 г.</v>
      </c>
      <c r="F100" s="155" t="str">
        <f t="shared" si="270"/>
        <v>2029 г.</v>
      </c>
      <c r="G100" s="155" t="str">
        <f t="shared" si="270"/>
        <v>2030 г.</v>
      </c>
      <c r="H100" s="155" t="str">
        <f t="shared" si="270"/>
        <v>2031 г.</v>
      </c>
      <c r="I100" s="155" t="str">
        <f>C100</f>
        <v>2024 г.</v>
      </c>
      <c r="J100" s="155" t="str">
        <f t="shared" ref="J100:N100" si="271">D100</f>
        <v>2027 г.</v>
      </c>
      <c r="K100" s="155" t="str">
        <f t="shared" si="271"/>
        <v>2028 г.</v>
      </c>
      <c r="L100" s="155" t="str">
        <f t="shared" si="271"/>
        <v>2029 г.</v>
      </c>
      <c r="M100" s="155" t="str">
        <f t="shared" si="271"/>
        <v>2030 г.</v>
      </c>
      <c r="N100" s="156" t="str">
        <f t="shared" si="271"/>
        <v>2031 г.</v>
      </c>
      <c r="U100" s="4488"/>
      <c r="V100" s="4502" t="str">
        <f>+I100</f>
        <v>2024 г.</v>
      </c>
      <c r="W100" s="4502" t="str">
        <f t="shared" ref="W100" si="272">+J100</f>
        <v>2027 г.</v>
      </c>
      <c r="X100" s="4502" t="str">
        <f t="shared" ref="X100" si="273">+K100</f>
        <v>2028 г.</v>
      </c>
      <c r="Y100" s="4502" t="str">
        <f t="shared" ref="Y100" si="274">+L100</f>
        <v>2029 г.</v>
      </c>
      <c r="Z100" s="4502" t="str">
        <f t="shared" ref="Z100" si="275">+M100</f>
        <v>2030 г.</v>
      </c>
      <c r="AA100" s="4502" t="str">
        <f t="shared" ref="AA100" si="276">+N100</f>
        <v>2031 г.</v>
      </c>
    </row>
    <row r="101" spans="1:27" ht="24">
      <c r="A101" s="3834">
        <v>1</v>
      </c>
      <c r="B101" s="3842" t="s">
        <v>1760</v>
      </c>
      <c r="C101" s="3819">
        <f>C102+C103</f>
        <v>0</v>
      </c>
      <c r="D101" s="3819">
        <f t="shared" ref="D101:H101" si="277">D102+D103</f>
        <v>0</v>
      </c>
      <c r="E101" s="3819">
        <f t="shared" si="277"/>
        <v>0</v>
      </c>
      <c r="F101" s="3819">
        <f t="shared" si="277"/>
        <v>0</v>
      </c>
      <c r="G101" s="3819">
        <f t="shared" si="277"/>
        <v>0</v>
      </c>
      <c r="H101" s="3819">
        <f t="shared" si="277"/>
        <v>0</v>
      </c>
      <c r="I101" s="3843"/>
      <c r="J101" s="3843"/>
      <c r="K101" s="3843"/>
      <c r="L101" s="3843"/>
      <c r="M101" s="3843"/>
      <c r="N101" s="3844"/>
      <c r="U101" s="4488"/>
      <c r="V101" s="4504"/>
      <c r="W101" s="4504"/>
      <c r="X101" s="4504"/>
      <c r="Y101" s="4504"/>
      <c r="Z101" s="4504"/>
      <c r="AA101" s="4504"/>
    </row>
    <row r="102" spans="1:27" ht="24">
      <c r="A102" s="3348">
        <v>2</v>
      </c>
      <c r="B102" s="101" t="s">
        <v>1761</v>
      </c>
      <c r="C102" s="2009">
        <f t="shared" ref="C102:H102" si="278">C13+C29+C44+C60+C76</f>
        <v>0</v>
      </c>
      <c r="D102" s="2009">
        <f t="shared" si="278"/>
        <v>0</v>
      </c>
      <c r="E102" s="2009">
        <f t="shared" si="278"/>
        <v>0</v>
      </c>
      <c r="F102" s="2009">
        <f t="shared" si="278"/>
        <v>0</v>
      </c>
      <c r="G102" s="2009">
        <f t="shared" si="278"/>
        <v>0</v>
      </c>
      <c r="H102" s="2009">
        <f t="shared" si="278"/>
        <v>0</v>
      </c>
      <c r="I102" s="307"/>
      <c r="J102" s="307"/>
      <c r="K102" s="307"/>
      <c r="L102" s="307"/>
      <c r="M102" s="307"/>
      <c r="N102" s="3822"/>
      <c r="U102" s="4488"/>
      <c r="V102" s="4504"/>
      <c r="W102" s="4504"/>
      <c r="X102" s="4504"/>
      <c r="Y102" s="4504"/>
      <c r="Z102" s="4504"/>
      <c r="AA102" s="4504"/>
    </row>
    <row r="103" spans="1:27" ht="24">
      <c r="A103" s="4089">
        <v>3</v>
      </c>
      <c r="B103" s="101" t="s">
        <v>1762</v>
      </c>
      <c r="C103" s="177"/>
      <c r="D103" s="177"/>
      <c r="E103" s="177"/>
      <c r="F103" s="177"/>
      <c r="G103" s="177"/>
      <c r="H103" s="177"/>
      <c r="I103" s="177"/>
      <c r="J103" s="177"/>
      <c r="K103" s="177"/>
      <c r="L103" s="177"/>
      <c r="M103" s="177"/>
      <c r="N103" s="3833"/>
      <c r="U103" s="4488"/>
      <c r="V103" s="4504">
        <f t="shared" ref="V103" si="279">IFERROR(I103/$C$1,0)</f>
        <v>0</v>
      </c>
      <c r="W103" s="4504">
        <f t="shared" ref="W103" si="280">IFERROR(J103/$C$1,0)</f>
        <v>0</v>
      </c>
      <c r="X103" s="4504">
        <f t="shared" ref="X103" si="281">IFERROR(K103/$C$1,0)</f>
        <v>0</v>
      </c>
      <c r="Y103" s="4504">
        <f t="shared" ref="Y103" si="282">IFERROR(L103/$C$1,0)</f>
        <v>0</v>
      </c>
      <c r="Z103" s="4504">
        <f t="shared" ref="Z103" si="283">IFERROR(M103/$C$1,0)</f>
        <v>0</v>
      </c>
      <c r="AA103" s="4504">
        <f t="shared" ref="AA103" si="284">IFERROR(N103/$C$1,0)</f>
        <v>0</v>
      </c>
    </row>
    <row r="104" spans="1:27" ht="13.8" thickBot="1">
      <c r="A104" s="5230"/>
      <c r="B104" s="5231"/>
      <c r="C104" s="5231"/>
      <c r="D104" s="5231"/>
      <c r="E104" s="5231"/>
      <c r="F104" s="5231"/>
      <c r="G104" s="5231"/>
      <c r="H104" s="5231"/>
      <c r="I104" s="5231"/>
      <c r="J104" s="5231"/>
      <c r="K104" s="5231"/>
      <c r="L104" s="5231"/>
      <c r="M104" s="5231"/>
      <c r="N104" s="5231"/>
      <c r="O104" s="5231"/>
      <c r="P104" s="5231"/>
      <c r="Q104" s="5231"/>
      <c r="R104" s="5231"/>
      <c r="S104" s="5231"/>
      <c r="T104" s="5231"/>
    </row>
    <row r="105" spans="1:27" ht="22.5" customHeight="1">
      <c r="A105" s="5208" t="s">
        <v>1782</v>
      </c>
      <c r="B105" s="5205"/>
      <c r="C105" s="5205"/>
      <c r="D105" s="5205"/>
      <c r="E105" s="5205"/>
      <c r="F105" s="5205"/>
      <c r="G105" s="5205"/>
      <c r="H105" s="5205"/>
      <c r="I105" s="5205"/>
      <c r="J105" s="5205"/>
      <c r="K105" s="5205"/>
      <c r="L105" s="5205"/>
      <c r="M105" s="5205"/>
      <c r="N105" s="5215"/>
    </row>
    <row r="106" spans="1:27" ht="24.9" customHeight="1" thickBot="1">
      <c r="A106" s="5227" t="s">
        <v>207</v>
      </c>
      <c r="B106" s="5228"/>
      <c r="C106" s="5228" t="s">
        <v>174</v>
      </c>
      <c r="D106" s="5228"/>
      <c r="E106" s="5228"/>
      <c r="F106" s="5228" t="s">
        <v>184</v>
      </c>
      <c r="G106" s="5228"/>
      <c r="H106" s="5228"/>
      <c r="I106" s="5228" t="s">
        <v>1029</v>
      </c>
      <c r="J106" s="5228"/>
      <c r="K106" s="5228"/>
      <c r="L106" s="5228" t="s">
        <v>1092</v>
      </c>
      <c r="M106" s="5228"/>
      <c r="N106" s="5229"/>
    </row>
    <row r="107" spans="1:27" ht="57.75" customHeight="1">
      <c r="A107" s="5222"/>
      <c r="B107" s="5222"/>
      <c r="C107" s="5223"/>
      <c r="D107" s="5223"/>
      <c r="E107" s="5223"/>
      <c r="F107" s="5224"/>
      <c r="G107" s="5225"/>
      <c r="H107" s="5226"/>
      <c r="I107" s="5223"/>
      <c r="J107" s="5223"/>
      <c r="K107" s="5223"/>
      <c r="L107" s="5223"/>
      <c r="M107" s="5223"/>
      <c r="N107" s="5223"/>
    </row>
    <row r="108" spans="1:27" ht="20.25" customHeight="1"/>
    <row r="111" spans="1:27">
      <c r="A111" s="2010"/>
      <c r="B111" s="2011" t="str">
        <f>'Приложение '!B82</f>
        <v>Дата: 16.03.2026</v>
      </c>
      <c r="C111" s="2012"/>
      <c r="D111" s="2012"/>
      <c r="J111" s="2013"/>
      <c r="K111" s="2014"/>
    </row>
    <row r="112" spans="1:27">
      <c r="A112" s="2015"/>
      <c r="B112" s="2015"/>
      <c r="C112" s="5218"/>
      <c r="D112" s="5218"/>
      <c r="J112" s="2013"/>
      <c r="K112" s="2016"/>
    </row>
    <row r="113" spans="1:18">
      <c r="F113" s="2022"/>
    </row>
    <row r="114" spans="1:18">
      <c r="A114" s="5216" t="s">
        <v>187</v>
      </c>
      <c r="B114" s="5216"/>
      <c r="C114" s="5216"/>
      <c r="D114" s="1369"/>
      <c r="E114" s="1369"/>
      <c r="F114" s="1369"/>
      <c r="G114" s="1369"/>
      <c r="H114" s="1369"/>
      <c r="I114" s="1369"/>
      <c r="J114" s="1369"/>
      <c r="K114" s="1369"/>
      <c r="L114" s="1369"/>
      <c r="M114" s="1369"/>
      <c r="N114" s="1369"/>
      <c r="O114" s="1369"/>
      <c r="P114" s="1369"/>
      <c r="Q114" s="1369"/>
      <c r="R114" s="1369"/>
    </row>
    <row r="115" spans="1:18">
      <c r="A115" s="5217" t="s">
        <v>188</v>
      </c>
      <c r="B115" s="5217"/>
      <c r="C115" s="5217"/>
      <c r="D115" s="1369"/>
      <c r="E115" s="1369"/>
      <c r="F115" s="1369"/>
      <c r="G115" s="1369"/>
      <c r="H115" s="1369"/>
      <c r="I115" s="1369"/>
      <c r="J115" s="1369"/>
      <c r="K115" s="1369"/>
      <c r="L115" s="1369"/>
      <c r="M115" s="1369"/>
      <c r="N115" s="1369"/>
      <c r="O115" s="1369"/>
      <c r="P115" s="1369"/>
      <c r="Q115" s="1369"/>
      <c r="R115" s="1369"/>
    </row>
    <row r="116" spans="1:18" ht="14.25" customHeight="1">
      <c r="A116" s="5165" t="s">
        <v>1783</v>
      </c>
      <c r="B116" s="5165"/>
      <c r="C116" s="5165"/>
      <c r="D116" s="5165"/>
      <c r="E116" s="5165"/>
      <c r="F116" s="5165"/>
      <c r="G116" s="5165"/>
      <c r="H116" s="5165"/>
      <c r="I116" s="5165"/>
      <c r="J116" s="5165"/>
      <c r="K116" s="5165"/>
      <c r="L116" s="5165"/>
      <c r="M116" s="5165"/>
      <c r="N116" s="5165"/>
      <c r="O116" s="5165"/>
      <c r="P116" s="5165"/>
      <c r="Q116" s="5165"/>
      <c r="R116" s="5165"/>
    </row>
    <row r="119" spans="1:18">
      <c r="B119" s="654"/>
    </row>
  </sheetData>
  <sheetProtection password="EF75" sheet="1" formatCells="0" formatColumns="0" formatRows="0" insertRows="0"/>
  <mergeCells count="89">
    <mergeCell ref="V86:AG86"/>
    <mergeCell ref="V87:AA87"/>
    <mergeCell ref="AB87:AG87"/>
    <mergeCell ref="V99:AA99"/>
    <mergeCell ref="V98:AA98"/>
    <mergeCell ref="V54:AG54"/>
    <mergeCell ref="V55:AA55"/>
    <mergeCell ref="AB55:AG55"/>
    <mergeCell ref="V70:AG70"/>
    <mergeCell ref="V71:AA71"/>
    <mergeCell ref="AB71:AG71"/>
    <mergeCell ref="V23:AG23"/>
    <mergeCell ref="V24:AA24"/>
    <mergeCell ref="AB24:AG24"/>
    <mergeCell ref="V38:AG38"/>
    <mergeCell ref="V39:AA39"/>
    <mergeCell ref="AB39:AG39"/>
    <mergeCell ref="V8:AA8"/>
    <mergeCell ref="AB8:AG8"/>
    <mergeCell ref="V7:AG7"/>
    <mergeCell ref="A1:B1"/>
    <mergeCell ref="C1:D1"/>
    <mergeCell ref="S6:T6"/>
    <mergeCell ref="A7:A9"/>
    <mergeCell ref="B7:B9"/>
    <mergeCell ref="C8:H8"/>
    <mergeCell ref="I8:N8"/>
    <mergeCell ref="C7:T7"/>
    <mergeCell ref="O8:T8"/>
    <mergeCell ref="A3:T3"/>
    <mergeCell ref="A2:T2"/>
    <mergeCell ref="A4:T4"/>
    <mergeCell ref="A5:T5"/>
    <mergeCell ref="A17:T17"/>
    <mergeCell ref="A33:T33"/>
    <mergeCell ref="A48:T48"/>
    <mergeCell ref="A64:T64"/>
    <mergeCell ref="A107:B107"/>
    <mergeCell ref="C107:E107"/>
    <mergeCell ref="F107:H107"/>
    <mergeCell ref="I107:K107"/>
    <mergeCell ref="L107:N107"/>
    <mergeCell ref="A106:B106"/>
    <mergeCell ref="C106:E106"/>
    <mergeCell ref="F106:H106"/>
    <mergeCell ref="I106:K106"/>
    <mergeCell ref="L106:N106"/>
    <mergeCell ref="A104:T104"/>
    <mergeCell ref="A105:N105"/>
    <mergeCell ref="A86:A88"/>
    <mergeCell ref="A70:A72"/>
    <mergeCell ref="B70:B72"/>
    <mergeCell ref="C71:H71"/>
    <mergeCell ref="I71:N71"/>
    <mergeCell ref="B86:B88"/>
    <mergeCell ref="C87:H87"/>
    <mergeCell ref="C70:T70"/>
    <mergeCell ref="O71:T71"/>
    <mergeCell ref="O87:T87"/>
    <mergeCell ref="I87:N87"/>
    <mergeCell ref="C86:T86"/>
    <mergeCell ref="A80:T80"/>
    <mergeCell ref="A116:R116"/>
    <mergeCell ref="I99:N99"/>
    <mergeCell ref="C98:N98"/>
    <mergeCell ref="A114:C114"/>
    <mergeCell ref="A115:C115"/>
    <mergeCell ref="A98:A100"/>
    <mergeCell ref="B98:B100"/>
    <mergeCell ref="C99:H99"/>
    <mergeCell ref="C112:D112"/>
    <mergeCell ref="A54:A56"/>
    <mergeCell ref="B54:B56"/>
    <mergeCell ref="C55:H55"/>
    <mergeCell ref="C54:T54"/>
    <mergeCell ref="O55:T55"/>
    <mergeCell ref="I55:N55"/>
    <mergeCell ref="B23:B25"/>
    <mergeCell ref="A23:A25"/>
    <mergeCell ref="I39:N39"/>
    <mergeCell ref="A38:A40"/>
    <mergeCell ref="B38:B40"/>
    <mergeCell ref="C39:H39"/>
    <mergeCell ref="C23:T23"/>
    <mergeCell ref="C38:T38"/>
    <mergeCell ref="C24:H24"/>
    <mergeCell ref="I24:N24"/>
    <mergeCell ref="O24:T24"/>
    <mergeCell ref="O39:T39"/>
  </mergeCells>
  <printOptions horizontalCentered="1"/>
  <pageMargins left="0" right="0" top="0.74803149606299213" bottom="0.27559055118110237" header="0.31496062992125984" footer="0.11811023622047245"/>
  <pageSetup paperSize="9" scale="70" orientation="landscape" r:id="rId1"/>
  <headerFooter alignWithMargins="0">
    <oddFooter>&amp;C&amp;A&amp;RСтр. &amp;P от &amp;N</oddFooter>
  </headerFooter>
  <rowBreaks count="3" manualBreakCount="3">
    <brk id="37" max="20" man="1"/>
    <brk id="69" max="20" man="1"/>
    <brk id="97" max="20"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Работни листове</vt:lpstr>
      </vt:variant>
      <vt:variant>
        <vt:i4>37</vt:i4>
      </vt:variant>
      <vt:variant>
        <vt:lpstr>Наименувани диапазони</vt:lpstr>
      </vt:variant>
      <vt:variant>
        <vt:i4>38</vt:i4>
      </vt:variant>
    </vt:vector>
  </HeadingPairs>
  <TitlesOfParts>
    <vt:vector size="75" baseType="lpstr">
      <vt:lpstr>Приложение </vt:lpstr>
      <vt:lpstr>1. Обща информация</vt:lpstr>
      <vt:lpstr>2. Променливи</vt:lpstr>
      <vt:lpstr>3. Показатели за качество</vt:lpstr>
      <vt:lpstr>4. Отчет и прогн. потребление</vt:lpstr>
      <vt:lpstr>4.1. Фактурирани количества</vt:lpstr>
      <vt:lpstr>4.2. Продад. и закупени кол-ва</vt:lpstr>
      <vt:lpstr>5. Персонал</vt:lpstr>
      <vt:lpstr>6. Ел.Енергия</vt:lpstr>
      <vt:lpstr>7. Утайки от ПСОВ</vt:lpstr>
      <vt:lpstr>8. Ремонтна програма</vt:lpstr>
      <vt:lpstr>9.Инвестиционна програма</vt:lpstr>
      <vt:lpstr>10. Финансиране на ИП</vt:lpstr>
      <vt:lpstr>11. Амортиз. план</vt:lpstr>
      <vt:lpstr>11.1.Амортиз.нови активи</vt:lpstr>
      <vt:lpstr>11.2. ДА за периода</vt:lpstr>
      <vt:lpstr>11.3. ДА Базова година</vt:lpstr>
      <vt:lpstr>12. Разходи</vt:lpstr>
      <vt:lpstr>12.1. Разходи изменение</vt:lpstr>
      <vt:lpstr>12.2.Нови дейности или обекти</vt:lpstr>
      <vt:lpstr>13. Соц. поносимост</vt:lpstr>
      <vt:lpstr>14. ОПР</vt:lpstr>
      <vt:lpstr>15. ОПП</vt:lpstr>
      <vt:lpstr>16. Необходими приходи</vt:lpstr>
      <vt:lpstr>17. РБА</vt:lpstr>
      <vt:lpstr>18. OK</vt:lpstr>
      <vt:lpstr>19. HB</vt:lpstr>
      <vt:lpstr>20.Цени </vt:lpstr>
      <vt:lpstr>Анализ (ТЧ)</vt:lpstr>
      <vt:lpstr>Анализ (ТЧ€)</vt:lpstr>
      <vt:lpstr>Анализ (ОЧ)</vt:lpstr>
      <vt:lpstr>Анализ (ОЧ€)</vt:lpstr>
      <vt:lpstr>Анализ (ИЧ)</vt:lpstr>
      <vt:lpstr>Анализ (ИЧ€)</vt:lpstr>
      <vt:lpstr>Лист1</vt:lpstr>
      <vt:lpstr>Лист2</vt:lpstr>
      <vt:lpstr>Лист3</vt:lpstr>
      <vt:lpstr>'1. Обща информация'!Област_печат</vt:lpstr>
      <vt:lpstr>'10. Финансиране на ИП'!Област_печат</vt:lpstr>
      <vt:lpstr>'11. Амортиз. план'!Област_печат</vt:lpstr>
      <vt:lpstr>'11.1.Амортиз.нови активи'!Област_печат</vt:lpstr>
      <vt:lpstr>'11.2. ДА за периода'!Област_печат</vt:lpstr>
      <vt:lpstr>'11.3. ДА Базова година'!Област_печат</vt:lpstr>
      <vt:lpstr>'12. Разходи'!Област_печат</vt:lpstr>
      <vt:lpstr>'12.1. Разходи изменение'!Област_печат</vt:lpstr>
      <vt:lpstr>'12.2.Нови дейности или обекти'!Област_печат</vt:lpstr>
      <vt:lpstr>'13. Соц. поносимост'!Област_печат</vt:lpstr>
      <vt:lpstr>'14. ОПР'!Област_печат</vt:lpstr>
      <vt:lpstr>'15. ОПП'!Област_печат</vt:lpstr>
      <vt:lpstr>'16. Необходими приходи'!Област_печат</vt:lpstr>
      <vt:lpstr>'17. РБА'!Област_печат</vt:lpstr>
      <vt:lpstr>'18. OK'!Област_печат</vt:lpstr>
      <vt:lpstr>'19. HB'!Област_печат</vt:lpstr>
      <vt:lpstr>'20.Цени '!Област_печат</vt:lpstr>
      <vt:lpstr>'3. Показатели за качество'!Област_печат</vt:lpstr>
      <vt:lpstr>'4. Отчет и прогн. потребление'!Област_печат</vt:lpstr>
      <vt:lpstr>'4.1. Фактурирани количества'!Област_печат</vt:lpstr>
      <vt:lpstr>'7. Утайки от ПСОВ'!Област_печат</vt:lpstr>
      <vt:lpstr>'8. Ремонтна програма'!Област_печат</vt:lpstr>
      <vt:lpstr>'9.Инвестиционна програма'!Област_печат</vt:lpstr>
      <vt:lpstr>'10. Финансиране на ИП'!Печат_заглавия</vt:lpstr>
      <vt:lpstr>'11. Амортиз. план'!Печат_заглавия</vt:lpstr>
      <vt:lpstr>'11.1.Амортиз.нови активи'!Печат_заглавия</vt:lpstr>
      <vt:lpstr>'11.2. ДА за периода'!Печат_заглавия</vt:lpstr>
      <vt:lpstr>'11.3. ДА Базова година'!Печат_заглавия</vt:lpstr>
      <vt:lpstr>'12. Разходи'!Печат_заглавия</vt:lpstr>
      <vt:lpstr>'12.1. Разходи изменение'!Печат_заглавия</vt:lpstr>
      <vt:lpstr>'12.2.Нови дейности или обекти'!Печат_заглавия</vt:lpstr>
      <vt:lpstr>'2. Променливи'!Печат_заглавия</vt:lpstr>
      <vt:lpstr>'4. Отчет и прогн. потребление'!Печат_заглавия</vt:lpstr>
      <vt:lpstr>'4.1. Фактурирани количества'!Печат_заглавия</vt:lpstr>
      <vt:lpstr>'4.2. Продад. и закупени кол-ва'!Печат_заглавия</vt:lpstr>
      <vt:lpstr>'5. Персонал'!Печат_заглавия</vt:lpstr>
      <vt:lpstr>'8. Ремонтна програма'!Печат_заглавия</vt:lpstr>
      <vt:lpstr>'9.Инвестиционна програма'!Печат_заглавия</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Stefan Yakimov</dc:creator>
  <cp:lastModifiedBy>Cvetomir Tsokov ( finance chief )</cp:lastModifiedBy>
  <cp:lastPrinted>2026-04-01T10:51:11Z</cp:lastPrinted>
  <dcterms:created xsi:type="dcterms:W3CDTF">2015-02-06T07:26:45Z</dcterms:created>
  <dcterms:modified xsi:type="dcterms:W3CDTF">2026-04-02T11:35:50Z</dcterms:modified>
</cp:coreProperties>
</file>